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780" tabRatio="929"/>
  </bookViews>
  <sheets>
    <sheet name="总表" sheetId="1" r:id="rId1"/>
    <sheet name="店铺订单装修进程统计" sheetId="7" r:id="rId2"/>
    <sheet name="分公司设计师买单统计" sheetId="19" r:id="rId3"/>
    <sheet name="设计师累计买单" sheetId="18" r:id="rId4"/>
    <sheet name="设计师每周买单情况累计" sheetId="16" r:id="rId5"/>
    <sheet name="8月份设计师每周买单情况累计" sheetId="9" state="hidden" r:id="rId6"/>
    <sheet name="8月份设计师累计买单" sheetId="11" state="hidden" r:id="rId7"/>
    <sheet name="设计师对应买单统计" sheetId="14" r:id="rId8"/>
    <sheet name="7月份设计师买单对应店铺" sheetId="12" state="hidden" r:id="rId9"/>
    <sheet name="7月份设计师每周买单情况" sheetId="2" state="hidden" r:id="rId10"/>
    <sheet name="7月份设计师买单情况累计" sheetId="3" state="hidden" r:id="rId11"/>
    <sheet name="设计师、导购存单统计" sheetId="4" r:id="rId12"/>
    <sheet name="设计师对应店铺" sheetId="6" r:id="rId13"/>
    <sheet name="店面人员" sheetId="13" r:id="rId14"/>
    <sheet name="Sheet1" sheetId="17" r:id="rId15"/>
  </sheets>
  <definedNames>
    <definedName name="_xlnm._FilterDatabase" localSheetId="0" hidden="1">总表!$A$2:$AB$10670</definedName>
    <definedName name="_xlnm._FilterDatabase" localSheetId="3" hidden="1">设计师累计买单!$A$3:$G$43</definedName>
    <definedName name="_xlnm._FilterDatabase" localSheetId="4" hidden="1">设计师每周买单情况累计!$A$62:$E$105</definedName>
    <definedName name="_xlnm._FilterDatabase" localSheetId="7" hidden="1">设计师对应买单统计!$A$2:$BA$35</definedName>
    <definedName name="_xlnm._FilterDatabase" localSheetId="9" hidden="1">'7月份设计师每周买单情况'!$A$92:$E$132</definedName>
    <definedName name="_xlnm._FilterDatabase" localSheetId="10" hidden="1">'7月份设计师买单情况累计'!$A$3:$G$43</definedName>
    <definedName name="_xlnm._FilterDatabase" localSheetId="5" hidden="1">'8月份设计师每周买单情况累计'!$A$99:$E$99</definedName>
    <definedName name="_xlnm._FilterDatabase" localSheetId="6" hidden="1">'8月份设计师累计买单'!$I$2:$O$2</definedName>
    <definedName name="_xlnm._FilterDatabase" localSheetId="11" hidden="1">设计师、导购存单统计!#REF!</definedName>
    <definedName name="_xlnm._FilterDatabase" localSheetId="14" hidden="1">Sheet1!$A$1:$I$2</definedName>
    <definedName name="_xlnm._FilterDatabase" localSheetId="2" hidden="1">分公司设计师买单统计!$I$2:$O$2</definedName>
  </definedNames>
  <calcPr calcId="144525"/>
</workbook>
</file>

<file path=xl/comments1.xml><?xml version="1.0" encoding="utf-8"?>
<comments xmlns="http://schemas.openxmlformats.org/spreadsheetml/2006/main">
  <authors>
    <author>Administrator</author>
  </authors>
  <commentList>
    <comment ref="Z2" authorId="0">
      <text>
        <r>
          <rPr>
            <b/>
            <sz val="9"/>
            <rFont val="宋体"/>
            <charset val="134"/>
          </rPr>
          <t>Administrator:</t>
        </r>
        <r>
          <rPr>
            <sz val="9"/>
            <rFont val="宋体"/>
            <charset val="134"/>
          </rPr>
          <t xml:space="preserve">
如有装饰公司填写</t>
        </r>
      </text>
    </comment>
    <comment ref="AA2" authorId="0">
      <text>
        <r>
          <rPr>
            <b/>
            <sz val="9"/>
            <rFont val="宋体"/>
            <charset val="134"/>
          </rPr>
          <t>Administrator:</t>
        </r>
        <r>
          <rPr>
            <sz val="9"/>
            <rFont val="宋体"/>
            <charset val="134"/>
          </rPr>
          <t xml:space="preserve">
如有设计师需填写</t>
        </r>
      </text>
    </comment>
    <comment ref="K126" authorId="0">
      <text>
        <r>
          <rPr>
            <b/>
            <sz val="9"/>
            <rFont val="宋体"/>
            <charset val="134"/>
          </rPr>
          <t>Administrator:</t>
        </r>
        <r>
          <rPr>
            <sz val="9"/>
            <rFont val="宋体"/>
            <charset val="134"/>
          </rPr>
          <t xml:space="preserve">
家饰佳店POS刷微信</t>
        </r>
      </text>
    </comment>
    <comment ref="K530" authorId="0">
      <text>
        <r>
          <rPr>
            <b/>
            <sz val="9"/>
            <rFont val="宋体"/>
            <charset val="134"/>
          </rPr>
          <t>Administrator:</t>
        </r>
        <r>
          <rPr>
            <sz val="9"/>
            <rFont val="宋体"/>
            <charset val="134"/>
          </rPr>
          <t xml:space="preserve">
200商场券</t>
        </r>
      </text>
    </comment>
    <comment ref="L943" authorId="0">
      <text>
        <r>
          <rPr>
            <b/>
            <sz val="9"/>
            <rFont val="宋体"/>
            <charset val="134"/>
          </rPr>
          <t>Administrator:</t>
        </r>
        <r>
          <rPr>
            <sz val="9"/>
            <rFont val="宋体"/>
            <charset val="134"/>
          </rPr>
          <t xml:space="preserve">
付商场立减500，原价5500
</t>
        </r>
      </text>
    </comment>
    <comment ref="L1612" authorId="0">
      <text>
        <r>
          <rPr>
            <b/>
            <sz val="9"/>
            <rFont val="宋体"/>
            <charset val="134"/>
          </rPr>
          <t>Administrator:</t>
        </r>
        <r>
          <rPr>
            <sz val="9"/>
            <rFont val="宋体"/>
            <charset val="134"/>
          </rPr>
          <t xml:space="preserve">
参加商场活动</t>
        </r>
      </text>
    </comment>
    <comment ref="L1885" authorId="0">
      <text>
        <r>
          <rPr>
            <b/>
            <sz val="9"/>
            <rFont val="宋体"/>
            <charset val="134"/>
          </rPr>
          <t>Administrator:</t>
        </r>
        <r>
          <rPr>
            <sz val="9"/>
            <rFont val="宋体"/>
            <charset val="134"/>
          </rPr>
          <t xml:space="preserve">
扣掉返点打的，装饰公司公单
</t>
        </r>
      </text>
    </comment>
    <comment ref="L2192" authorId="0">
      <text>
        <r>
          <rPr>
            <b/>
            <sz val="9"/>
            <rFont val="宋体"/>
            <charset val="134"/>
          </rPr>
          <t>Administrator:</t>
        </r>
        <r>
          <rPr>
            <sz val="9"/>
            <rFont val="宋体"/>
            <charset val="134"/>
          </rPr>
          <t xml:space="preserve">
公单返利
</t>
        </r>
      </text>
    </comment>
    <comment ref="L2441" authorId="0">
      <text>
        <r>
          <rPr>
            <b/>
            <sz val="9"/>
            <rFont val="宋体"/>
            <charset val="134"/>
          </rPr>
          <t>Administrator:</t>
        </r>
        <r>
          <rPr>
            <sz val="9"/>
            <rFont val="宋体"/>
            <charset val="134"/>
          </rPr>
          <t xml:space="preserve">
扣点设计师返点</t>
        </r>
      </text>
    </comment>
    <comment ref="L2505" authorId="0">
      <text>
        <r>
          <rPr>
            <b/>
            <sz val="9"/>
            <rFont val="宋体"/>
            <charset val="134"/>
          </rPr>
          <t>Administrator:</t>
        </r>
        <r>
          <rPr>
            <sz val="9"/>
            <rFont val="宋体"/>
            <charset val="134"/>
          </rPr>
          <t xml:space="preserve">
装修公司对公的
15个点</t>
        </r>
      </text>
    </comment>
    <comment ref="C2857" authorId="0">
      <text>
        <r>
          <rPr>
            <b/>
            <sz val="9"/>
            <rFont val="宋体"/>
            <charset val="134"/>
          </rPr>
          <t>Administrator:</t>
        </r>
        <r>
          <rPr>
            <sz val="9"/>
            <rFont val="宋体"/>
            <charset val="134"/>
          </rPr>
          <t xml:space="preserve">
程品品买单</t>
        </r>
      </text>
    </comment>
    <comment ref="L3152" authorId="0">
      <text>
        <r>
          <rPr>
            <b/>
            <sz val="9"/>
            <rFont val="宋体"/>
            <charset val="134"/>
          </rPr>
          <t>Administrator:</t>
        </r>
        <r>
          <rPr>
            <sz val="9"/>
            <rFont val="宋体"/>
            <charset val="134"/>
          </rPr>
          <t xml:space="preserve">
抹零五块</t>
        </r>
      </text>
    </comment>
    <comment ref="L3161" authorId="0">
      <text>
        <r>
          <rPr>
            <b/>
            <sz val="9"/>
            <rFont val="宋体"/>
            <charset val="134"/>
          </rPr>
          <t>Administrator:</t>
        </r>
        <r>
          <rPr>
            <sz val="9"/>
            <rFont val="宋体"/>
            <charset val="134"/>
          </rPr>
          <t xml:space="preserve">
500商场卷</t>
        </r>
      </text>
    </comment>
    <comment ref="L3266" authorId="0">
      <text>
        <r>
          <rPr>
            <b/>
            <sz val="9"/>
            <rFont val="宋体"/>
            <charset val="134"/>
          </rPr>
          <t>Administrator:</t>
        </r>
        <r>
          <rPr>
            <sz val="9"/>
            <rFont val="宋体"/>
            <charset val="134"/>
          </rPr>
          <t xml:space="preserve">
多刷428
</t>
        </r>
      </text>
    </comment>
    <comment ref="L3281" authorId="0">
      <text>
        <r>
          <rPr>
            <b/>
            <sz val="9"/>
            <rFont val="宋体"/>
            <charset val="134"/>
          </rPr>
          <t>Administrator:</t>
        </r>
        <r>
          <rPr>
            <sz val="9"/>
            <rFont val="宋体"/>
            <charset val="134"/>
          </rPr>
          <t xml:space="preserve">
商场活动97折，20628
</t>
        </r>
      </text>
    </comment>
    <comment ref="L3597" authorId="0">
      <text>
        <r>
          <rPr>
            <b/>
            <sz val="9"/>
            <rFont val="宋体"/>
            <charset val="134"/>
          </rPr>
          <t>Administrator:</t>
        </r>
        <r>
          <rPr>
            <sz val="9"/>
            <rFont val="宋体"/>
            <charset val="134"/>
          </rPr>
          <t xml:space="preserve">
500商场优惠卷</t>
        </r>
      </text>
    </comment>
    <comment ref="L3598" authorId="0">
      <text>
        <r>
          <rPr>
            <b/>
            <sz val="9"/>
            <rFont val="宋体"/>
            <charset val="134"/>
          </rPr>
          <t>Administrator:</t>
        </r>
        <r>
          <rPr>
            <sz val="9"/>
            <rFont val="宋体"/>
            <charset val="134"/>
          </rPr>
          <t xml:space="preserve">
500商场卷</t>
        </r>
      </text>
    </comment>
    <comment ref="L3656" authorId="0">
      <text>
        <r>
          <rPr>
            <b/>
            <sz val="9"/>
            <rFont val="宋体"/>
            <charset val="134"/>
          </rPr>
          <t>Administrator:</t>
        </r>
        <r>
          <rPr>
            <sz val="9"/>
            <rFont val="宋体"/>
            <charset val="134"/>
          </rPr>
          <t xml:space="preserve">
抹零3块			</t>
        </r>
      </text>
    </comment>
    <comment ref="L3743" authorId="0">
      <text>
        <r>
          <rPr>
            <b/>
            <sz val="9"/>
            <rFont val="宋体"/>
            <charset val="134"/>
          </rPr>
          <t>Administrator:</t>
        </r>
        <r>
          <rPr>
            <sz val="9"/>
            <rFont val="宋体"/>
            <charset val="134"/>
          </rPr>
          <t xml:space="preserve">
公单 装修公司直接扣</t>
        </r>
      </text>
    </comment>
    <comment ref="L3770" authorId="0">
      <text>
        <r>
          <rPr>
            <b/>
            <sz val="9"/>
            <rFont val="宋体"/>
            <charset val="134"/>
          </rPr>
          <t>Administrator:</t>
        </r>
        <r>
          <rPr>
            <sz val="9"/>
            <rFont val="宋体"/>
            <charset val="134"/>
          </rPr>
          <t xml:space="preserve">
两个5000商场折扣150</t>
        </r>
      </text>
    </comment>
    <comment ref="K3802" authorId="0">
      <text>
        <r>
          <rPr>
            <b/>
            <sz val="9"/>
            <rFont val="宋体"/>
            <charset val="134"/>
          </rPr>
          <t>Administrator:</t>
        </r>
        <r>
          <rPr>
            <sz val="9"/>
            <rFont val="宋体"/>
            <charset val="134"/>
          </rPr>
          <t xml:space="preserve">
商场优惠</t>
        </r>
      </text>
    </comment>
    <comment ref="K3803" authorId="0">
      <text>
        <r>
          <rPr>
            <b/>
            <sz val="9"/>
            <rFont val="宋体"/>
            <charset val="134"/>
          </rPr>
          <t>Administrator:</t>
        </r>
        <r>
          <rPr>
            <sz val="9"/>
            <rFont val="宋体"/>
            <charset val="134"/>
          </rPr>
          <t xml:space="preserve">
商场优惠</t>
        </r>
      </text>
    </comment>
    <comment ref="K3804" authorId="0">
      <text>
        <r>
          <rPr>
            <b/>
            <sz val="9"/>
            <rFont val="宋体"/>
            <charset val="134"/>
          </rPr>
          <t>Administrator:</t>
        </r>
        <r>
          <rPr>
            <sz val="9"/>
            <rFont val="宋体"/>
            <charset val="134"/>
          </rPr>
          <t xml:space="preserve">
商场优惠</t>
        </r>
      </text>
    </comment>
    <comment ref="L3892" authorId="0">
      <text>
        <r>
          <rPr>
            <b/>
            <sz val="9"/>
            <rFont val="宋体"/>
            <charset val="134"/>
          </rPr>
          <t>Administrator:</t>
        </r>
        <r>
          <rPr>
            <sz val="9"/>
            <rFont val="宋体"/>
            <charset val="134"/>
          </rPr>
          <t xml:space="preserve">
退差价330</t>
        </r>
      </text>
    </comment>
    <comment ref="L3952" authorId="0">
      <text>
        <r>
          <rPr>
            <b/>
            <sz val="9"/>
            <rFont val="宋体"/>
            <charset val="134"/>
          </rPr>
          <t>Administrator:</t>
        </r>
        <r>
          <rPr>
            <sz val="9"/>
            <rFont val="宋体"/>
            <charset val="134"/>
          </rPr>
          <t xml:space="preserve">
500商场卷</t>
        </r>
      </text>
    </comment>
    <comment ref="K4014" authorId="0">
      <text>
        <r>
          <rPr>
            <b/>
            <sz val="9"/>
            <rFont val="宋体"/>
            <charset val="134"/>
          </rPr>
          <t>Administrator:</t>
        </r>
        <r>
          <rPr>
            <sz val="9"/>
            <rFont val="宋体"/>
            <charset val="134"/>
          </rPr>
          <t xml:space="preserve">
抵3500货款，付真北店的，3200</t>
        </r>
      </text>
    </comment>
    <comment ref="K4015" authorId="0">
      <text>
        <r>
          <rPr>
            <b/>
            <sz val="9"/>
            <rFont val="宋体"/>
            <charset val="134"/>
          </rPr>
          <t>Administrator:</t>
        </r>
        <r>
          <rPr>
            <sz val="9"/>
            <rFont val="宋体"/>
            <charset val="134"/>
          </rPr>
          <t xml:space="preserve">
付真北商场，3200</t>
        </r>
      </text>
    </comment>
    <comment ref="K4016" authorId="0">
      <text>
        <r>
          <rPr>
            <b/>
            <sz val="9"/>
            <rFont val="宋体"/>
            <charset val="134"/>
          </rPr>
          <t>Administrator:</t>
        </r>
        <r>
          <rPr>
            <sz val="9"/>
            <rFont val="宋体"/>
            <charset val="134"/>
          </rPr>
          <t xml:space="preserve">
付真北，2200</t>
        </r>
      </text>
    </comment>
    <comment ref="K4017" authorId="0">
      <text>
        <r>
          <rPr>
            <b/>
            <sz val="9"/>
            <rFont val="宋体"/>
            <charset val="134"/>
          </rPr>
          <t>Administrator:</t>
        </r>
        <r>
          <rPr>
            <sz val="9"/>
            <rFont val="宋体"/>
            <charset val="134"/>
          </rPr>
          <t xml:space="preserve">
付真北，3200</t>
        </r>
      </text>
    </comment>
    <comment ref="K4018" authorId="0">
      <text>
        <r>
          <rPr>
            <b/>
            <sz val="9"/>
            <rFont val="宋体"/>
            <charset val="134"/>
          </rPr>
          <t>Administrator:</t>
        </r>
        <r>
          <rPr>
            <sz val="9"/>
            <rFont val="宋体"/>
            <charset val="134"/>
          </rPr>
          <t xml:space="preserve">
付真北，3200</t>
        </r>
      </text>
    </comment>
    <comment ref="K4020" authorId="0">
      <text>
        <r>
          <rPr>
            <b/>
            <sz val="9"/>
            <rFont val="宋体"/>
            <charset val="134"/>
          </rPr>
          <t>Administrator:</t>
        </r>
        <r>
          <rPr>
            <sz val="9"/>
            <rFont val="宋体"/>
            <charset val="134"/>
          </rPr>
          <t xml:space="preserve">
付真北，3200</t>
        </r>
      </text>
    </comment>
    <comment ref="M4078" authorId="0">
      <text>
        <r>
          <rPr>
            <b/>
            <sz val="9"/>
            <rFont val="宋体"/>
            <charset val="134"/>
          </rPr>
          <t>Administrator:</t>
        </r>
        <r>
          <rPr>
            <sz val="9"/>
            <rFont val="宋体"/>
            <charset val="134"/>
          </rPr>
          <t xml:space="preserve">
7.28砸金蛋活动减500</t>
        </r>
      </text>
    </comment>
    <comment ref="M4080" authorId="0">
      <text>
        <r>
          <rPr>
            <b/>
            <sz val="9"/>
            <rFont val="宋体"/>
            <charset val="134"/>
          </rPr>
          <t>Administrator:</t>
        </r>
        <r>
          <rPr>
            <sz val="9"/>
            <rFont val="宋体"/>
            <charset val="134"/>
          </rPr>
          <t xml:space="preserve">
商场返租金500</t>
        </r>
      </text>
    </comment>
    <comment ref="K4103" authorId="0">
      <text>
        <r>
          <rPr>
            <b/>
            <sz val="9"/>
            <rFont val="宋体"/>
            <charset val="134"/>
          </rPr>
          <t>Administrator:</t>
        </r>
        <r>
          <rPr>
            <sz val="9"/>
            <rFont val="宋体"/>
            <charset val="134"/>
          </rPr>
          <t xml:space="preserve">
装修公司，一次性打款，扣除返点的
</t>
        </r>
      </text>
    </comment>
    <comment ref="L4165" authorId="0">
      <text>
        <r>
          <rPr>
            <b/>
            <sz val="9"/>
            <rFont val="宋体"/>
            <charset val="134"/>
          </rPr>
          <t>Administrator:</t>
        </r>
        <r>
          <rPr>
            <sz val="9"/>
            <rFont val="宋体"/>
            <charset val="134"/>
          </rPr>
          <t xml:space="preserve">
14114*0.97</t>
        </r>
      </text>
    </comment>
    <comment ref="M4186" authorId="0">
      <text>
        <r>
          <rPr>
            <b/>
            <sz val="9"/>
            <rFont val="宋体"/>
            <charset val="134"/>
          </rPr>
          <t>Administrator:</t>
        </r>
        <r>
          <rPr>
            <sz val="9"/>
            <rFont val="宋体"/>
            <charset val="134"/>
          </rPr>
          <t xml:space="preserve">
活动立减1800
</t>
        </r>
      </text>
    </comment>
    <comment ref="L4209" authorId="0">
      <text>
        <r>
          <rPr>
            <b/>
            <sz val="9"/>
            <rFont val="宋体"/>
            <charset val="134"/>
          </rPr>
          <t>Administrator:</t>
        </r>
        <r>
          <rPr>
            <sz val="9"/>
            <rFont val="宋体"/>
            <charset val="134"/>
          </rPr>
          <t xml:space="preserve">
扣返点5</t>
        </r>
      </text>
    </comment>
    <comment ref="K4255" authorId="0">
      <text>
        <r>
          <rPr>
            <b/>
            <sz val="9"/>
            <rFont val="宋体"/>
            <charset val="134"/>
          </rPr>
          <t>Administrator:</t>
        </r>
        <r>
          <rPr>
            <sz val="9"/>
            <rFont val="宋体"/>
            <charset val="134"/>
          </rPr>
          <t xml:space="preserve">
500商场卷</t>
        </r>
      </text>
    </comment>
    <comment ref="L4335" authorId="0">
      <text>
        <r>
          <rPr>
            <b/>
            <sz val="9"/>
            <rFont val="宋体"/>
            <charset val="134"/>
          </rPr>
          <t>Administrator:</t>
        </r>
        <r>
          <rPr>
            <sz val="9"/>
            <rFont val="宋体"/>
            <charset val="134"/>
          </rPr>
          <t xml:space="preserve">
扣除返点</t>
        </r>
      </text>
    </comment>
    <comment ref="M4340" authorId="0">
      <text>
        <r>
          <rPr>
            <b/>
            <sz val="9"/>
            <rFont val="宋体"/>
            <charset val="134"/>
          </rPr>
          <t>Administrator:</t>
        </r>
        <r>
          <rPr>
            <sz val="9"/>
            <rFont val="宋体"/>
            <charset val="134"/>
          </rPr>
          <t xml:space="preserve">
商场五百返现</t>
        </r>
      </text>
    </comment>
    <comment ref="M4430" authorId="0">
      <text>
        <r>
          <rPr>
            <b/>
            <sz val="9"/>
            <rFont val="宋体"/>
            <charset val="134"/>
          </rPr>
          <t>Administrator:</t>
        </r>
        <r>
          <rPr>
            <sz val="9"/>
            <rFont val="宋体"/>
            <charset val="134"/>
          </rPr>
          <t xml:space="preserve">
抹零50</t>
        </r>
      </text>
    </comment>
    <comment ref="M4434" authorId="0">
      <text>
        <r>
          <rPr>
            <b/>
            <sz val="9"/>
            <rFont val="宋体"/>
            <charset val="134"/>
          </rPr>
          <t>Administrator:</t>
        </r>
        <r>
          <rPr>
            <sz val="9"/>
            <rFont val="宋体"/>
            <charset val="134"/>
          </rPr>
          <t xml:space="preserve">
天猫100优惠卷</t>
        </r>
      </text>
    </comment>
    <comment ref="M4483" authorId="0">
      <text>
        <r>
          <rPr>
            <b/>
            <sz val="9"/>
            <rFont val="宋体"/>
            <charset val="134"/>
          </rPr>
          <t>Administrator:</t>
        </r>
        <r>
          <rPr>
            <sz val="9"/>
            <rFont val="宋体"/>
            <charset val="134"/>
          </rPr>
          <t xml:space="preserve">
定金只有9100</t>
        </r>
      </text>
    </comment>
    <comment ref="H4542" authorId="0">
      <text>
        <r>
          <rPr>
            <b/>
            <sz val="9"/>
            <rFont val="宋体"/>
            <charset val="134"/>
          </rPr>
          <t>Administrator:</t>
        </r>
        <r>
          <rPr>
            <sz val="9"/>
            <rFont val="宋体"/>
            <charset val="134"/>
          </rPr>
          <t xml:space="preserve">
地址不一样</t>
        </r>
      </text>
    </comment>
    <comment ref="K4582" authorId="0">
      <text>
        <r>
          <rPr>
            <b/>
            <sz val="9"/>
            <rFont val="宋体"/>
            <charset val="134"/>
          </rPr>
          <t>Administrator:</t>
        </r>
        <r>
          <rPr>
            <sz val="9"/>
            <rFont val="宋体"/>
            <charset val="134"/>
          </rPr>
          <t xml:space="preserve">
100建材卷</t>
        </r>
      </text>
    </comment>
    <comment ref="L4641" authorId="0">
      <text>
        <r>
          <rPr>
            <b/>
            <sz val="9"/>
            <rFont val="宋体"/>
            <charset val="134"/>
          </rPr>
          <t>Administrator:</t>
        </r>
        <r>
          <rPr>
            <sz val="9"/>
            <rFont val="宋体"/>
            <charset val="134"/>
          </rPr>
          <t xml:space="preserve">
扣返点</t>
        </r>
      </text>
    </comment>
    <comment ref="L4663" authorId="0">
      <text>
        <r>
          <rPr>
            <b/>
            <sz val="9"/>
            <rFont val="宋体"/>
            <charset val="134"/>
          </rPr>
          <t>Administrator:</t>
        </r>
        <r>
          <rPr>
            <sz val="9"/>
            <rFont val="宋体"/>
            <charset val="134"/>
          </rPr>
          <t xml:space="preserve">
亿津公单，扣返点</t>
        </r>
      </text>
    </comment>
    <comment ref="L4769" authorId="0">
      <text>
        <r>
          <rPr>
            <b/>
            <sz val="9"/>
            <rFont val="宋体"/>
            <charset val="134"/>
          </rPr>
          <t>Administrator:</t>
        </r>
        <r>
          <rPr>
            <sz val="9"/>
            <rFont val="宋体"/>
            <charset val="134"/>
          </rPr>
          <t xml:space="preserve">
返15个点</t>
        </r>
      </text>
    </comment>
    <comment ref="L4863" authorId="0">
      <text>
        <r>
          <rPr>
            <b/>
            <sz val="9"/>
            <rFont val="宋体"/>
            <charset val="134"/>
          </rPr>
          <t>Administrator:</t>
        </r>
        <r>
          <rPr>
            <sz val="9"/>
            <rFont val="宋体"/>
            <charset val="134"/>
          </rPr>
          <t xml:space="preserve">
天猫优惠120</t>
        </r>
      </text>
    </comment>
    <comment ref="K4893" authorId="0">
      <text>
        <r>
          <rPr>
            <b/>
            <sz val="9"/>
            <rFont val="宋体"/>
            <charset val="134"/>
          </rPr>
          <t>Administrator:</t>
        </r>
        <r>
          <rPr>
            <sz val="9"/>
            <rFont val="宋体"/>
            <charset val="134"/>
          </rPr>
          <t xml:space="preserve">
家装老大出面要了优惠</t>
        </r>
      </text>
    </comment>
    <comment ref="H5059" authorId="0">
      <text>
        <r>
          <rPr>
            <b/>
            <sz val="9"/>
            <rFont val="宋体"/>
            <charset val="134"/>
          </rPr>
          <t>Administrator:</t>
        </r>
        <r>
          <rPr>
            <sz val="9"/>
            <rFont val="宋体"/>
            <charset val="134"/>
          </rPr>
          <t xml:space="preserve">
智能入户门订单</t>
        </r>
      </text>
    </comment>
    <comment ref="H5060" authorId="0">
      <text>
        <r>
          <rPr>
            <b/>
            <sz val="9"/>
            <rFont val="宋体"/>
            <charset val="134"/>
          </rPr>
          <t>Administrator:</t>
        </r>
        <r>
          <rPr>
            <sz val="9"/>
            <rFont val="宋体"/>
            <charset val="134"/>
          </rPr>
          <t xml:space="preserve">
智能入户门订单</t>
        </r>
      </text>
    </comment>
    <comment ref="L5190" authorId="0">
      <text>
        <r>
          <rPr>
            <b/>
            <sz val="9"/>
            <rFont val="宋体"/>
            <charset val="134"/>
          </rPr>
          <t>Administrator:</t>
        </r>
        <r>
          <rPr>
            <sz val="9"/>
            <rFont val="宋体"/>
            <charset val="134"/>
          </rPr>
          <t xml:space="preserve">
扣返点，32600
</t>
        </r>
      </text>
    </comment>
    <comment ref="L5509" authorId="0">
      <text>
        <r>
          <rPr>
            <b/>
            <sz val="9"/>
            <rFont val="宋体"/>
            <charset val="134"/>
          </rPr>
          <t>Administrator:</t>
        </r>
        <r>
          <rPr>
            <sz val="9"/>
            <rFont val="宋体"/>
            <charset val="134"/>
          </rPr>
          <t xml:space="preserve">
41177是客户价
35000是装饰公司实际付款，</t>
        </r>
      </text>
    </comment>
    <comment ref="M6241" authorId="0">
      <text>
        <r>
          <rPr>
            <b/>
            <sz val="9"/>
            <rFont val="宋体"/>
            <charset val="134"/>
          </rPr>
          <t>Administrator:</t>
        </r>
        <r>
          <rPr>
            <sz val="9"/>
            <rFont val="宋体"/>
            <charset val="134"/>
          </rPr>
          <t xml:space="preserve">
15个点</t>
        </r>
      </text>
    </comment>
    <comment ref="L6590" authorId="0">
      <text>
        <r>
          <rPr>
            <b/>
            <sz val="9"/>
            <rFont val="宋体"/>
            <charset val="134"/>
          </rPr>
          <t>Administrator:</t>
        </r>
        <r>
          <rPr>
            <sz val="9"/>
            <rFont val="宋体"/>
            <charset val="134"/>
          </rPr>
          <t xml:space="preserve">
扣返点</t>
        </r>
      </text>
    </comment>
    <comment ref="H7296" authorId="0">
      <text>
        <r>
          <rPr>
            <b/>
            <sz val="9"/>
            <rFont val="宋体"/>
            <charset val="134"/>
          </rPr>
          <t>Administrator:</t>
        </r>
        <r>
          <rPr>
            <sz val="9"/>
            <rFont val="宋体"/>
            <charset val="134"/>
          </rPr>
          <t xml:space="preserve">
不是聚通客户</t>
        </r>
      </text>
    </comment>
    <comment ref="L7611" authorId="0">
      <text>
        <r>
          <rPr>
            <b/>
            <sz val="9"/>
            <rFont val="宋体"/>
            <charset val="134"/>
          </rPr>
          <t>Administrator:</t>
        </r>
        <r>
          <rPr>
            <sz val="9"/>
            <rFont val="宋体"/>
            <charset val="134"/>
          </rPr>
          <t xml:space="preserve">
</t>
        </r>
      </text>
    </comment>
    <comment ref="M9667" authorId="0">
      <text>
        <r>
          <rPr>
            <b/>
            <sz val="9"/>
            <rFont val="宋体"/>
            <charset val="134"/>
          </rPr>
          <t>Administrator:</t>
        </r>
        <r>
          <rPr>
            <sz val="9"/>
            <rFont val="宋体"/>
            <charset val="134"/>
          </rPr>
          <t xml:space="preserve">
天猫100优惠卷</t>
        </r>
      </text>
    </comment>
    <comment ref="K10011" authorId="0">
      <text>
        <r>
          <rPr>
            <b/>
            <sz val="9"/>
            <rFont val="宋体"/>
            <charset val="134"/>
          </rPr>
          <t>Administrator:</t>
        </r>
        <r>
          <rPr>
            <sz val="9"/>
            <rFont val="宋体"/>
            <charset val="134"/>
          </rPr>
          <t xml:space="preserve">
200抵500
</t>
        </r>
      </text>
    </comment>
    <comment ref="K10014" authorId="0">
      <text>
        <r>
          <rPr>
            <b/>
            <sz val="9"/>
            <rFont val="宋体"/>
            <charset val="134"/>
          </rPr>
          <t>Administrator:</t>
        </r>
        <r>
          <rPr>
            <sz val="9"/>
            <rFont val="宋体"/>
            <charset val="134"/>
          </rPr>
          <t xml:space="preserve">
200抵500
</t>
        </r>
      </text>
    </comment>
    <comment ref="M10375" authorId="0">
      <text>
        <r>
          <rPr>
            <b/>
            <sz val="9"/>
            <rFont val="宋体"/>
            <charset val="134"/>
          </rPr>
          <t>Administrator:</t>
        </r>
        <r>
          <rPr>
            <sz val="9"/>
            <rFont val="宋体"/>
            <charset val="134"/>
          </rPr>
          <t xml:space="preserve">
装修公司返点，实际付款5000</t>
        </r>
      </text>
    </comment>
  </commentList>
</comments>
</file>

<file path=xl/sharedStrings.xml><?xml version="1.0" encoding="utf-8"?>
<sst xmlns="http://schemas.openxmlformats.org/spreadsheetml/2006/main" count="66994" uniqueCount="21319">
  <si>
    <t>订单编号</t>
  </si>
  <si>
    <t>导购</t>
  </si>
  <si>
    <t>设计师 （测量）</t>
  </si>
  <si>
    <t>收单日期</t>
  </si>
  <si>
    <t>订单日期</t>
  </si>
  <si>
    <t>买单日期</t>
  </si>
  <si>
    <t>客户信息</t>
  </si>
  <si>
    <t>订单金额</t>
  </si>
  <si>
    <t>主单金额</t>
  </si>
  <si>
    <t>加项金额</t>
  </si>
  <si>
    <t>买单总金额</t>
  </si>
  <si>
    <t>客户装修进度</t>
  </si>
  <si>
    <t>退单</t>
  </si>
  <si>
    <t>测量</t>
  </si>
  <si>
    <t>是否为大单</t>
  </si>
  <si>
    <t>其他信息</t>
  </si>
  <si>
    <t>姓名</t>
  </si>
  <si>
    <t>电话</t>
  </si>
  <si>
    <t>地址</t>
  </si>
  <si>
    <t>未开工</t>
  </si>
  <si>
    <t>砌墙</t>
  </si>
  <si>
    <t>水电</t>
  </si>
  <si>
    <t>泥工</t>
  </si>
  <si>
    <t>木工</t>
  </si>
  <si>
    <t>油漆工</t>
  </si>
  <si>
    <t>退单时间</t>
  </si>
  <si>
    <t>预测时间</t>
  </si>
  <si>
    <t>精测时间</t>
  </si>
  <si>
    <t>活动</t>
  </si>
  <si>
    <t>装饰公司</t>
  </si>
  <si>
    <t>设计师</t>
  </si>
  <si>
    <t>汶水店</t>
  </si>
  <si>
    <t>余才红</t>
  </si>
  <si>
    <t>雷翔</t>
  </si>
  <si>
    <t>郑小兰</t>
  </si>
  <si>
    <t>浦江店</t>
  </si>
  <si>
    <t>赵欢欢</t>
  </si>
  <si>
    <t>朱敬利</t>
  </si>
  <si>
    <t>张亚琪</t>
  </si>
  <si>
    <t>浦润苑19号楼1303室</t>
  </si>
  <si>
    <t>已退单</t>
  </si>
  <si>
    <t>元旦活动</t>
  </si>
  <si>
    <t>百安居金桥店</t>
  </si>
  <si>
    <t>曾晓璐</t>
  </si>
  <si>
    <t>张奥奥</t>
  </si>
  <si>
    <t>张乐</t>
  </si>
  <si>
    <t>静安区洛川东路140弄2#201</t>
  </si>
  <si>
    <t>松江店</t>
  </si>
  <si>
    <t>徐紫瑞</t>
  </si>
  <si>
    <t>自配</t>
  </si>
  <si>
    <t>唐兆忠</t>
  </si>
  <si>
    <t>城里路257弄11号1002室</t>
  </si>
  <si>
    <t>√</t>
  </si>
  <si>
    <t>徐欣宇</t>
  </si>
  <si>
    <t>李振乾</t>
  </si>
  <si>
    <t>山水*苑</t>
  </si>
  <si>
    <t>2019.4.30</t>
  </si>
  <si>
    <t>0000421</t>
  </si>
  <si>
    <t>喜盈门</t>
  </si>
  <si>
    <t>李雪梅</t>
  </si>
  <si>
    <t>邰志远</t>
  </si>
  <si>
    <t>李烨侃</t>
  </si>
  <si>
    <t>闵行区罗锦路888弄6支弄11号402</t>
  </si>
  <si>
    <t>已退</t>
  </si>
  <si>
    <t>1.5活动</t>
  </si>
  <si>
    <t>李宁</t>
  </si>
  <si>
    <t>沪南店</t>
  </si>
  <si>
    <t>赵晓华</t>
  </si>
  <si>
    <t>万若尘</t>
  </si>
  <si>
    <t>已买单</t>
  </si>
  <si>
    <t>范轶俊</t>
  </si>
  <si>
    <t>黄浦区南仓街118号10号3306室</t>
  </si>
  <si>
    <t>周落地活动</t>
  </si>
  <si>
    <t>百家宜</t>
  </si>
  <si>
    <t>李泽冉</t>
  </si>
  <si>
    <t>王光永</t>
  </si>
  <si>
    <t>石绮玉</t>
  </si>
  <si>
    <t>浦东雪绒花路369弄48号302</t>
  </si>
  <si>
    <t>无效单</t>
  </si>
  <si>
    <t>聚通</t>
  </si>
  <si>
    <t>赖永鹏</t>
  </si>
  <si>
    <t>刘云华</t>
  </si>
  <si>
    <t>星华郡53号</t>
  </si>
  <si>
    <t>2019.10.8</t>
  </si>
  <si>
    <t>王华</t>
  </si>
  <si>
    <t>华庭首府140号</t>
  </si>
  <si>
    <t>2019年4月20</t>
  </si>
  <si>
    <t>吉盛伟邦</t>
  </si>
  <si>
    <t>柯玉嫚</t>
  </si>
  <si>
    <t>郑史侠</t>
  </si>
  <si>
    <t>唐利</t>
  </si>
  <si>
    <t>嘉松中路业文路189弄5号楼35-302</t>
  </si>
  <si>
    <t>天猫活动</t>
  </si>
  <si>
    <t>0001741</t>
  </si>
  <si>
    <t>南汇店</t>
  </si>
  <si>
    <t>王新玉</t>
  </si>
  <si>
    <t>蔡燕峰</t>
  </si>
  <si>
    <t>书院塘北村509号</t>
  </si>
  <si>
    <t>已测量</t>
  </si>
  <si>
    <t>1.12活动</t>
  </si>
  <si>
    <t>0001742</t>
  </si>
  <si>
    <t>郭晓玲</t>
  </si>
  <si>
    <t>闫玉娟</t>
  </si>
  <si>
    <t>铃兰路508弄83#101</t>
  </si>
  <si>
    <t>五月已退</t>
  </si>
  <si>
    <t>桑钱</t>
  </si>
  <si>
    <t>洞泾镇润景苑149号601室</t>
  </si>
  <si>
    <t>2019.4.15</t>
  </si>
  <si>
    <t>0002591</t>
  </si>
  <si>
    <t>孙操操</t>
  </si>
  <si>
    <t>张志钏</t>
  </si>
  <si>
    <t>姜兆军</t>
  </si>
  <si>
    <t>闵行区宝铭路88弄59号102室</t>
  </si>
  <si>
    <t>1.12-1.13活动</t>
  </si>
  <si>
    <t>0001553</t>
  </si>
  <si>
    <t>罗洋</t>
  </si>
  <si>
    <t>张女士</t>
  </si>
  <si>
    <t>宝山区淞南路111弄1号602</t>
  </si>
  <si>
    <t>微信落地活动</t>
  </si>
  <si>
    <t>梁淑萍</t>
  </si>
  <si>
    <t>陈丽峰</t>
  </si>
  <si>
    <t>浦东大团镇周埠村542号</t>
  </si>
  <si>
    <t>瓷砖</t>
  </si>
  <si>
    <t>同福店</t>
  </si>
  <si>
    <t>阚俊俊</t>
  </si>
  <si>
    <t>刘庠印</t>
  </si>
  <si>
    <t>黄奇凤</t>
  </si>
  <si>
    <t>浦东洪山路180弄1号408</t>
  </si>
  <si>
    <t>已经退单</t>
  </si>
  <si>
    <t>0002196</t>
  </si>
  <si>
    <t>真北一店</t>
  </si>
  <si>
    <t>梁晶晶</t>
  </si>
  <si>
    <t>姜好</t>
  </si>
  <si>
    <t>补款</t>
  </si>
  <si>
    <t>韩文轶</t>
  </si>
  <si>
    <t>长宁区宣化路268弄7号203室</t>
  </si>
  <si>
    <t>6月退单</t>
  </si>
  <si>
    <t>家饰佳二店</t>
  </si>
  <si>
    <t>周文琴</t>
  </si>
  <si>
    <t>胡志方</t>
  </si>
  <si>
    <t>宋涛</t>
  </si>
  <si>
    <t>杨浦区双辽支路65弄8号楼604室</t>
  </si>
  <si>
    <t>周末活动</t>
  </si>
  <si>
    <t>胡建</t>
  </si>
  <si>
    <t>陈先生</t>
  </si>
  <si>
    <t>闵行区上中西路1285弄15号1102</t>
  </si>
  <si>
    <t>0000133</t>
  </si>
  <si>
    <t>百安居杨浦店</t>
  </si>
  <si>
    <t>林巧兰</t>
  </si>
  <si>
    <t>蔡保洲</t>
  </si>
  <si>
    <t>冉杰</t>
  </si>
  <si>
    <t>浦航路718弄53号803室</t>
  </si>
  <si>
    <t>1.18微信活动</t>
  </si>
  <si>
    <t>好饰家</t>
  </si>
  <si>
    <t>施文慧</t>
  </si>
  <si>
    <t>胡安亮</t>
  </si>
  <si>
    <t>安装完</t>
  </si>
  <si>
    <t>方舟</t>
  </si>
  <si>
    <t>浦东新区渔港路333弄11号202室</t>
  </si>
  <si>
    <t>0001983</t>
  </si>
  <si>
    <t>真北二店</t>
  </si>
  <si>
    <t>周群</t>
  </si>
  <si>
    <t>王卫佳</t>
  </si>
  <si>
    <t>吴小姐</t>
  </si>
  <si>
    <t>普陀区宜川路街道沪太路680-67号</t>
  </si>
  <si>
    <t>成功</t>
  </si>
  <si>
    <t>金地天地云墅167号601室</t>
  </si>
  <si>
    <t>开年大促活动</t>
  </si>
  <si>
    <t>0002078</t>
  </si>
  <si>
    <t>家饰佳一店</t>
  </si>
  <si>
    <t>梁丽君</t>
  </si>
  <si>
    <t>张西顺</t>
  </si>
  <si>
    <t>陈陈</t>
  </si>
  <si>
    <t>嘉定区鹤旋路500弄70号602室</t>
  </si>
  <si>
    <t xml:space="preserve">退单 </t>
  </si>
  <si>
    <t>1.20活动</t>
  </si>
  <si>
    <t>耿伟光</t>
  </si>
  <si>
    <t>金地天地云墅186-1002</t>
  </si>
  <si>
    <t>曹明华</t>
  </si>
  <si>
    <t>叶加</t>
  </si>
  <si>
    <t>湖滨路117弄16号123室</t>
  </si>
  <si>
    <t>崔丽</t>
  </si>
  <si>
    <t>丁文智</t>
  </si>
  <si>
    <t>李艳丽</t>
  </si>
  <si>
    <t>嘉定江桥海波路127弄6号301</t>
  </si>
  <si>
    <t>金桥店</t>
  </si>
  <si>
    <t>曹燕</t>
  </si>
  <si>
    <t>王艳</t>
  </si>
  <si>
    <t>朱帆</t>
  </si>
  <si>
    <t>虹梅南路126弄翡翠别墅20号</t>
  </si>
  <si>
    <t>0002599</t>
  </si>
  <si>
    <t>丁耀祖</t>
  </si>
  <si>
    <t>林峰</t>
  </si>
  <si>
    <t>西藏南路688弄4号1701室</t>
  </si>
  <si>
    <t>0000379</t>
  </si>
  <si>
    <t>吕艳</t>
  </si>
  <si>
    <t>沈文琪</t>
  </si>
  <si>
    <t>利津路789-7-301</t>
  </si>
  <si>
    <t>0000646</t>
  </si>
  <si>
    <t>郑琴</t>
  </si>
  <si>
    <t>陆鸿斌</t>
  </si>
  <si>
    <t>青浦区清河湾路850弄9号1701室</t>
  </si>
  <si>
    <t>封云</t>
  </si>
  <si>
    <t>浦东新区博兴路250弄17号501</t>
  </si>
  <si>
    <t>0000375</t>
  </si>
  <si>
    <t>百安居徐泾店</t>
  </si>
  <si>
    <t>祝敏雪</t>
  </si>
  <si>
    <t>王超越</t>
  </si>
  <si>
    <t>闵阳洋</t>
  </si>
  <si>
    <t>昆山市*景园9号2单元1007室</t>
  </si>
  <si>
    <t>1.20微信活动</t>
  </si>
  <si>
    <t>0002149</t>
  </si>
  <si>
    <t>张毅</t>
  </si>
  <si>
    <t>虹口区周家嘴路981弄16号2401室</t>
  </si>
  <si>
    <t>6.7-6.9商场活动</t>
  </si>
  <si>
    <t>0001068</t>
  </si>
  <si>
    <t>舒磊</t>
  </si>
  <si>
    <t>陈丽娟</t>
  </si>
  <si>
    <t>锦秋路699弄一区505号</t>
  </si>
  <si>
    <t>停工</t>
  </si>
  <si>
    <t>顾叶娟</t>
  </si>
  <si>
    <t>苏军</t>
  </si>
  <si>
    <t>范蓓蓓</t>
  </si>
  <si>
    <t>九江公路159弄</t>
  </si>
  <si>
    <t>年底活动</t>
  </si>
  <si>
    <t>0002609</t>
  </si>
  <si>
    <t>3月</t>
  </si>
  <si>
    <t>吴曹敏</t>
  </si>
  <si>
    <t>巨鹿路568弄3号11A</t>
  </si>
  <si>
    <t>开门红活动</t>
  </si>
  <si>
    <t>王敬月</t>
  </si>
  <si>
    <t>买单</t>
  </si>
  <si>
    <t>刘</t>
  </si>
  <si>
    <t>兰谷路2955弄3号401</t>
  </si>
  <si>
    <t>2.12开门红活动</t>
  </si>
  <si>
    <t>0000381</t>
  </si>
  <si>
    <t>百安居龙阳店</t>
  </si>
  <si>
    <t>张益铭</t>
  </si>
  <si>
    <t>施建君</t>
  </si>
  <si>
    <t>上海市碑文路1200弄69号301室</t>
  </si>
  <si>
    <t>沈媛媛</t>
  </si>
  <si>
    <t>嘉定区金园一路170号802室</t>
  </si>
  <si>
    <t>4月退单</t>
  </si>
  <si>
    <t>金山店</t>
  </si>
  <si>
    <t>俞叶</t>
  </si>
  <si>
    <t>蔡依潮</t>
  </si>
  <si>
    <t>慈溪碧桂园3-1704室</t>
  </si>
  <si>
    <t>0000962</t>
  </si>
  <si>
    <t>肖升木</t>
  </si>
  <si>
    <t>松江区龙源路1208弄78号402</t>
  </si>
  <si>
    <t>0003171</t>
  </si>
  <si>
    <t>曹平平</t>
  </si>
  <si>
    <t>孙剑</t>
  </si>
  <si>
    <t>绿地天呈44号102室</t>
  </si>
  <si>
    <t>章涟</t>
  </si>
  <si>
    <t>欧阳街道东体育路119弄11号</t>
  </si>
  <si>
    <t>陈鹏远</t>
  </si>
  <si>
    <t>上海市青浦区淀湖路555弄3号101室</t>
  </si>
  <si>
    <t>吉文丽</t>
  </si>
  <si>
    <t>顾秀英</t>
  </si>
  <si>
    <t>同普路689弄7号1402室</t>
  </si>
  <si>
    <t>宁萌萌</t>
  </si>
  <si>
    <t>1362148032/13641880553</t>
  </si>
  <si>
    <t>浦东新区俱进路505弄39号401</t>
  </si>
  <si>
    <t>2.18活动</t>
  </si>
  <si>
    <t>张月琴</t>
  </si>
  <si>
    <t>苏家浜路388弄168号302室</t>
  </si>
  <si>
    <t>张雨</t>
  </si>
  <si>
    <t>森兰名轩8号402</t>
  </si>
  <si>
    <t>8月10号</t>
  </si>
  <si>
    <t>0004136</t>
  </si>
  <si>
    <t>马才干</t>
  </si>
  <si>
    <t>徐波泓</t>
  </si>
  <si>
    <t>莲花南路565弄12号604</t>
  </si>
  <si>
    <t>6.29活动</t>
  </si>
  <si>
    <t>秦金平</t>
  </si>
  <si>
    <t>杨志远</t>
  </si>
  <si>
    <t>森兰如轩40-602</t>
  </si>
  <si>
    <t>2.22微信活动</t>
  </si>
  <si>
    <t>须文敏</t>
  </si>
  <si>
    <t>虹口区黄山路30弄1号601室</t>
  </si>
  <si>
    <t>奉贤店</t>
  </si>
  <si>
    <t>王梅</t>
  </si>
  <si>
    <t>曹春芳</t>
  </si>
  <si>
    <t>奉贤南桥镇蓝天苑33号401</t>
  </si>
  <si>
    <t>徐姐</t>
  </si>
  <si>
    <t>绿地南桥新苑274号801</t>
  </si>
  <si>
    <t>巩梦娟</t>
  </si>
  <si>
    <t>康先生</t>
  </si>
  <si>
    <t>待定</t>
  </si>
  <si>
    <t>卢先生</t>
  </si>
  <si>
    <t>卢湾</t>
  </si>
  <si>
    <t>高维娜</t>
  </si>
  <si>
    <t>天山西路</t>
  </si>
  <si>
    <t>朱莉</t>
  </si>
  <si>
    <t>浦东新区东育路255-5号10楼</t>
  </si>
  <si>
    <t>3月退单</t>
  </si>
  <si>
    <t>李翔麟</t>
  </si>
  <si>
    <t>森兰明轩二期</t>
  </si>
  <si>
    <t>冯坤友</t>
  </si>
  <si>
    <t>李丹</t>
  </si>
  <si>
    <t>金山区海上明珠</t>
  </si>
  <si>
    <t>武艳</t>
  </si>
  <si>
    <t>苏进章</t>
  </si>
  <si>
    <t>黄火平</t>
  </si>
  <si>
    <t>朴瑞</t>
  </si>
  <si>
    <t>金山区朱泾镇郁金香庭</t>
  </si>
  <si>
    <t>张志飞/朱鹏</t>
  </si>
  <si>
    <t>金山区旭辉府61-802</t>
  </si>
  <si>
    <t>李春燕</t>
  </si>
  <si>
    <t>唐女士</t>
  </si>
  <si>
    <t>金山区金荷雅苑73-1103</t>
  </si>
  <si>
    <t>沈先生</t>
  </si>
  <si>
    <t>青浦朱家角</t>
  </si>
  <si>
    <t>0001800</t>
  </si>
  <si>
    <t>真北店</t>
  </si>
  <si>
    <t>张晓莹</t>
  </si>
  <si>
    <t>吴杨东路333弄29号601室</t>
  </si>
  <si>
    <t>家倍德</t>
  </si>
  <si>
    <t>张永芳</t>
  </si>
  <si>
    <t>范佳燕</t>
  </si>
  <si>
    <t>浦东南汇老港镇牛肚村1172号</t>
  </si>
  <si>
    <t>李丽</t>
  </si>
  <si>
    <t>宝山区中环国际50-1-603</t>
  </si>
  <si>
    <t>9月15号</t>
  </si>
  <si>
    <t>余思琪</t>
  </si>
  <si>
    <t>中环国际三期11栋45号1402室</t>
  </si>
  <si>
    <t>0003868</t>
  </si>
  <si>
    <t>何笑笑</t>
  </si>
  <si>
    <t>王明启</t>
  </si>
  <si>
    <t>闵行区畹町路99弄315号102室</t>
  </si>
  <si>
    <t>婚博会活动</t>
  </si>
  <si>
    <t>张朝平</t>
  </si>
  <si>
    <t>市光一村14号101室</t>
  </si>
  <si>
    <t>没交定金，未买</t>
  </si>
  <si>
    <t>建配龙</t>
  </si>
  <si>
    <t>姚波</t>
  </si>
  <si>
    <t>万学凉</t>
  </si>
  <si>
    <t>陆金如</t>
  </si>
  <si>
    <t>淞南路211弄15号101室</t>
  </si>
  <si>
    <t>钱勇</t>
  </si>
  <si>
    <t>秦州市姜堰区前进西路西侧花园路北侧</t>
  </si>
  <si>
    <t>牛群</t>
  </si>
  <si>
    <t>潘庆洋</t>
  </si>
  <si>
    <t>俞晓冬</t>
  </si>
  <si>
    <t>淮海中路1699-102</t>
  </si>
  <si>
    <t>杜队长</t>
  </si>
  <si>
    <t>王志凤</t>
  </si>
  <si>
    <t>宋女士</t>
  </si>
  <si>
    <t>嘉定区鹤友路119弄22号（老房）</t>
  </si>
  <si>
    <t>申队长</t>
  </si>
  <si>
    <t>浦东新区高青路222弄58号</t>
  </si>
  <si>
    <t>陈媛</t>
  </si>
  <si>
    <t>0003693</t>
  </si>
  <si>
    <t>百安居普陀店</t>
  </si>
  <si>
    <t>钱小静</t>
  </si>
  <si>
    <t>江呈泉</t>
  </si>
  <si>
    <t>陈华</t>
  </si>
  <si>
    <t>光新路200弄4号308室</t>
  </si>
  <si>
    <t>美美家</t>
  </si>
  <si>
    <t>吴美琴</t>
  </si>
  <si>
    <t>姬红光</t>
  </si>
  <si>
    <t>周女士</t>
  </si>
  <si>
    <t>青浦区雅苑一区84号402</t>
  </si>
  <si>
    <t>王有福</t>
  </si>
  <si>
    <t>美罄家园1002</t>
  </si>
  <si>
    <t>王玲珠</t>
  </si>
  <si>
    <t>黄爽</t>
  </si>
  <si>
    <t>昌邑路55号9号</t>
  </si>
  <si>
    <t>冯女士</t>
  </si>
  <si>
    <t>朱家角550号101</t>
  </si>
  <si>
    <t>2019.12.13</t>
  </si>
  <si>
    <t>吴天明</t>
  </si>
  <si>
    <t>奉贤南桥太日</t>
  </si>
  <si>
    <t>袁白玲</t>
  </si>
  <si>
    <t>天钥桥路380弄23号702</t>
  </si>
  <si>
    <t>1.22活动</t>
  </si>
  <si>
    <t>闫瑞华</t>
  </si>
  <si>
    <t>秦亦君</t>
  </si>
  <si>
    <t>闵行富国路199-25-402</t>
  </si>
  <si>
    <t>4.27活动</t>
  </si>
  <si>
    <t>丁浩</t>
  </si>
  <si>
    <t>平凉路2545弄28号401</t>
  </si>
  <si>
    <t>孙达</t>
  </si>
  <si>
    <t>浦江镇</t>
  </si>
  <si>
    <t>2.26活动</t>
  </si>
  <si>
    <t>唐泽锋</t>
  </si>
  <si>
    <t>陕西北路1155弄6号807室</t>
  </si>
  <si>
    <t>3.1天猫活动</t>
  </si>
  <si>
    <t>陈步秀</t>
  </si>
  <si>
    <t>东淮海公寓5号楼1003室</t>
  </si>
  <si>
    <t>3.1家博会</t>
  </si>
  <si>
    <t>吴秉明</t>
  </si>
  <si>
    <t>麟祺</t>
  </si>
  <si>
    <t>青浦区绿湖路888弄18号</t>
  </si>
  <si>
    <t>周梦婉</t>
  </si>
  <si>
    <t>路培骏</t>
  </si>
  <si>
    <t>嘉定区丰庄西路433弄3号302室</t>
  </si>
  <si>
    <t>0002746</t>
  </si>
  <si>
    <t>刘阳</t>
  </si>
  <si>
    <t>已安装完毕</t>
  </si>
  <si>
    <t>张小姐</t>
  </si>
  <si>
    <t>浦东锦安东路511弄7号901室</t>
  </si>
  <si>
    <t>已经测量，等确认方案</t>
  </si>
  <si>
    <t>0000215</t>
  </si>
  <si>
    <t>嘉定店</t>
  </si>
  <si>
    <t>李红静</t>
  </si>
  <si>
    <t>陈阳阳</t>
  </si>
  <si>
    <t>张喆锋</t>
  </si>
  <si>
    <t>北水湾名邸4号</t>
  </si>
  <si>
    <t>3.1-3.3活动</t>
  </si>
  <si>
    <t>罗群</t>
  </si>
  <si>
    <t>宝山区真北路4333弄92号1101室</t>
  </si>
  <si>
    <t>花花</t>
  </si>
  <si>
    <t>王晓娟</t>
  </si>
  <si>
    <t>嘉定区嘉康公路169弄</t>
  </si>
  <si>
    <t>陆懿</t>
  </si>
  <si>
    <t>青浦区嘉松中路6780号51栋153号301</t>
  </si>
  <si>
    <t>家博会活动</t>
  </si>
  <si>
    <t>罗婷</t>
  </si>
  <si>
    <t>吕天宇</t>
  </si>
  <si>
    <t>宝山区肇嘉浜路388弄159-601</t>
  </si>
  <si>
    <t>参加好家居活动</t>
  </si>
  <si>
    <t>钱佳顺</t>
  </si>
  <si>
    <t>富锦路1815弄72号401</t>
  </si>
  <si>
    <t>0002708</t>
  </si>
  <si>
    <t>何晓璐</t>
  </si>
  <si>
    <t>李达</t>
  </si>
  <si>
    <t>姚静</t>
  </si>
  <si>
    <t>松江区月台路555弄319号101室</t>
  </si>
  <si>
    <t>肖育林</t>
  </si>
  <si>
    <t>普陀区石湾路7弄20号602</t>
  </si>
  <si>
    <t>晋凯锋</t>
  </si>
  <si>
    <t>奉贤区港阳路333弄17号802</t>
  </si>
  <si>
    <t>0000217</t>
  </si>
  <si>
    <t>胡珍</t>
  </si>
  <si>
    <t>临泽路188弄1号402室</t>
  </si>
  <si>
    <t>陈艾</t>
  </si>
  <si>
    <t>杨浦区靖宇东路85弄15号201室</t>
  </si>
  <si>
    <t>吕嘉文</t>
  </si>
  <si>
    <t>洞塔路782弄美墅88号</t>
  </si>
  <si>
    <t>陈斌</t>
  </si>
  <si>
    <t>黄浦区学院路30号301</t>
  </si>
  <si>
    <t>张鑫强</t>
  </si>
  <si>
    <t>王峰</t>
  </si>
  <si>
    <t>徐汇区望月路909弄6号202室</t>
  </si>
  <si>
    <t>0002586</t>
  </si>
  <si>
    <t>邹先生</t>
  </si>
  <si>
    <t>陆家嘴壹号院11号1702室</t>
  </si>
  <si>
    <t>年末活动</t>
  </si>
  <si>
    <t>0000693</t>
  </si>
  <si>
    <t>尹红</t>
  </si>
  <si>
    <t>葛予</t>
  </si>
  <si>
    <t>定西路1310弄4号1405室</t>
  </si>
  <si>
    <t>周晨</t>
  </si>
  <si>
    <t>蒲晓璐398弄39号102</t>
  </si>
  <si>
    <t>0002162</t>
  </si>
  <si>
    <t>康女士</t>
  </si>
  <si>
    <t>浦东新区上丰路</t>
  </si>
  <si>
    <t>10月20号</t>
  </si>
  <si>
    <t>0002999</t>
  </si>
  <si>
    <t>张泓</t>
  </si>
  <si>
    <t>闵行区联航路1399弄30号1102室</t>
  </si>
  <si>
    <t>石淑娟</t>
  </si>
  <si>
    <t>兰谷璐9弄森兰明轩二期301</t>
  </si>
  <si>
    <t>3.3家博会活动</t>
  </si>
  <si>
    <t>张翠勤</t>
  </si>
  <si>
    <t>陈启明</t>
  </si>
  <si>
    <t>松江区新桥镇场西路300弄34号</t>
  </si>
  <si>
    <t>已安装</t>
  </si>
  <si>
    <t>余析萌</t>
  </si>
  <si>
    <t>打浦路316弄1号501室</t>
  </si>
  <si>
    <t>.</t>
  </si>
  <si>
    <t>家博会现场</t>
  </si>
  <si>
    <t>郭永红</t>
  </si>
  <si>
    <t>松江区莘松路1500弄荣盛名邸</t>
  </si>
  <si>
    <t>朱俊伟</t>
  </si>
  <si>
    <t>虹口区岳州路319弄2号901室</t>
  </si>
  <si>
    <t>詹琪</t>
  </si>
  <si>
    <t>浦东新区上丰路1483号90号203室</t>
  </si>
  <si>
    <t>李美凤</t>
  </si>
  <si>
    <t>陈蓓蓉</t>
  </si>
  <si>
    <t>莘北路398弄130号402室</t>
  </si>
  <si>
    <t>李善群</t>
  </si>
  <si>
    <t>浦东大道1000弄2号401室</t>
  </si>
  <si>
    <t>找同济做了</t>
  </si>
  <si>
    <t>彭青山</t>
  </si>
  <si>
    <t>惠南镇靖海路545号</t>
  </si>
  <si>
    <t>拿房延期</t>
  </si>
  <si>
    <t>史晓奕</t>
  </si>
  <si>
    <t>徐汇区冠生园路247号601室</t>
  </si>
  <si>
    <t>宋源雄</t>
  </si>
  <si>
    <t>吴女士</t>
  </si>
  <si>
    <t>奉贤区南桥中粮怡庭15号401</t>
  </si>
  <si>
    <t>何晓璐/徐柏</t>
  </si>
  <si>
    <t>倪先生</t>
  </si>
  <si>
    <t>芳林路1357弄223号</t>
  </si>
  <si>
    <t>湖畔三期团购</t>
  </si>
  <si>
    <t>/</t>
  </si>
  <si>
    <t>下单</t>
  </si>
  <si>
    <t>钱桥</t>
  </si>
  <si>
    <t>砍价会</t>
  </si>
  <si>
    <t>陈文燕</t>
  </si>
  <si>
    <t>奉贤区奉城镇洪庙村652号</t>
  </si>
  <si>
    <t>3.6微信活动</t>
  </si>
  <si>
    <t>卢瑕</t>
  </si>
  <si>
    <t>黄颖</t>
  </si>
  <si>
    <t>周浦御沁园142号</t>
  </si>
  <si>
    <t>退款</t>
  </si>
  <si>
    <t>0002611</t>
  </si>
  <si>
    <t>撞单沪南店</t>
  </si>
  <si>
    <t>计敏华</t>
  </si>
  <si>
    <t>浦东新区高城路108弄3号2103室</t>
  </si>
  <si>
    <t>0002612</t>
  </si>
  <si>
    <t>李雪丽</t>
  </si>
  <si>
    <t>曾Echo</t>
  </si>
  <si>
    <t>长宁区荣华大道维多利亚601</t>
  </si>
  <si>
    <t>刘佳</t>
  </si>
  <si>
    <t>袁增荣</t>
  </si>
  <si>
    <t>唐铮</t>
  </si>
  <si>
    <t>尚东区21号702</t>
  </si>
  <si>
    <t>0001535</t>
  </si>
  <si>
    <t>严女士</t>
  </si>
  <si>
    <t>古波路355弄133号1203</t>
  </si>
  <si>
    <t>0002580</t>
  </si>
  <si>
    <t>赵金芳</t>
  </si>
  <si>
    <t>宝塔路399弄2号602</t>
  </si>
  <si>
    <t>吴殿卓</t>
  </si>
  <si>
    <t>浦东新区繁荣东路159弄126号楼1102</t>
  </si>
  <si>
    <t>陈洁</t>
  </si>
  <si>
    <t>松江城隆路1500弄543号302室</t>
  </si>
  <si>
    <t>陈生</t>
  </si>
  <si>
    <t>松江泗泾镇泗陈公路1888弄371号</t>
  </si>
  <si>
    <t>0003844</t>
  </si>
  <si>
    <t>李女士</t>
  </si>
  <si>
    <t>闵行区浦江镇北江路68弄18号202</t>
  </si>
  <si>
    <t>和景芳</t>
  </si>
  <si>
    <t>航瑞路459弄12号902室</t>
  </si>
  <si>
    <t>0003152</t>
  </si>
  <si>
    <t>王小姐</t>
  </si>
  <si>
    <t>宝山区顾村龙湖天街1号楼1512室</t>
  </si>
  <si>
    <t>0002084</t>
  </si>
  <si>
    <t>魏得梅</t>
  </si>
  <si>
    <t>刘强</t>
  </si>
  <si>
    <t>新村路1288弄35号301室</t>
  </si>
  <si>
    <t>重单</t>
  </si>
  <si>
    <t>3.7微信活动</t>
  </si>
  <si>
    <t>吴美君</t>
  </si>
  <si>
    <t>杨浦区周家嘴路201弄14号201</t>
  </si>
  <si>
    <t>微信活动</t>
  </si>
  <si>
    <t>马丽萍</t>
  </si>
  <si>
    <t>朱泾镇秀州街358弄2号202室</t>
  </si>
  <si>
    <t>0003890</t>
  </si>
  <si>
    <t>闵行区罗阳路258弄48号602室</t>
  </si>
  <si>
    <t>明年7-8月装修</t>
  </si>
  <si>
    <t>要退单</t>
  </si>
  <si>
    <t>陈川</t>
  </si>
  <si>
    <t>宝山区纬地路99回号70号401室</t>
  </si>
  <si>
    <t>3.9周落地活动</t>
  </si>
  <si>
    <t>卢范</t>
  </si>
  <si>
    <t>闵行区顾戴路2000弄121号1604室</t>
  </si>
  <si>
    <t>宋小姐</t>
  </si>
  <si>
    <t>普陀区光复西路133弄2398</t>
  </si>
  <si>
    <t>刘宸</t>
  </si>
  <si>
    <t>浦东新区东靖路699弄107号1003室</t>
  </si>
  <si>
    <t>花花团购</t>
  </si>
  <si>
    <t>杜佳格</t>
  </si>
  <si>
    <t>德园路955弄星信名邸3单元1503</t>
  </si>
  <si>
    <t>靳玲玲</t>
  </si>
  <si>
    <t>静安区洛川中路1100弄4号203室</t>
  </si>
  <si>
    <t>郑敏</t>
  </si>
  <si>
    <t>徐汇区冠生园路209弄7号2201室</t>
  </si>
  <si>
    <t>王钰</t>
  </si>
  <si>
    <t>浦东大道1700弄11号501室</t>
  </si>
  <si>
    <t>王芳芳</t>
  </si>
  <si>
    <t>梅川路888弄20号602室</t>
  </si>
  <si>
    <t>徐林</t>
  </si>
  <si>
    <t>浦东益江路126弄79号402室</t>
  </si>
  <si>
    <t>戴海珺</t>
  </si>
  <si>
    <t>平阳路50弄42号1304室</t>
  </si>
  <si>
    <t>张薇薇</t>
  </si>
  <si>
    <t>闵行区莲花南路1288弄86号502室</t>
  </si>
  <si>
    <t>宋雯婷</t>
  </si>
  <si>
    <t>闵行区银都路3151弄41号401室</t>
  </si>
  <si>
    <t>撞单</t>
  </si>
  <si>
    <t>方佳婷</t>
  </si>
  <si>
    <t>高清路2861弄126号902室</t>
  </si>
  <si>
    <t>龚小菊</t>
  </si>
  <si>
    <t>陆升斌</t>
  </si>
  <si>
    <t>博丰路158弄34号2001</t>
  </si>
  <si>
    <t>邹钟雷</t>
  </si>
  <si>
    <t>九华丽苑二期3号602室</t>
  </si>
  <si>
    <t>0000218</t>
  </si>
  <si>
    <t>王垠</t>
  </si>
  <si>
    <t>浦东新区周康路869号146</t>
  </si>
  <si>
    <t>已退 ，定金不要了</t>
  </si>
  <si>
    <t>王斌</t>
  </si>
  <si>
    <t>嘉松中路88弄40号</t>
  </si>
  <si>
    <t>0000846</t>
  </si>
  <si>
    <t>田茜</t>
  </si>
  <si>
    <t>韦圆圆</t>
  </si>
  <si>
    <t>殷行路301弄4号501室</t>
  </si>
  <si>
    <t>3.9-3.10活动</t>
  </si>
  <si>
    <t>胡延平</t>
  </si>
  <si>
    <t>何梦雨</t>
  </si>
  <si>
    <t>逸仙路1238弄50号802室</t>
  </si>
  <si>
    <t>陈剑</t>
  </si>
  <si>
    <t>宝山区淞南五村230号601室</t>
  </si>
  <si>
    <t>王振华</t>
  </si>
  <si>
    <t>宝山区苏家浜路159弄</t>
  </si>
  <si>
    <t>3.10活动</t>
  </si>
  <si>
    <t>刘小芳</t>
  </si>
  <si>
    <t>浦东新区尚博路799弄35号502</t>
  </si>
  <si>
    <t>曾敏</t>
  </si>
  <si>
    <t>梅岭北路1258弄93号502</t>
  </si>
  <si>
    <t>王芳</t>
  </si>
  <si>
    <t>李晶</t>
  </si>
  <si>
    <t>汾西路635弄11号606号</t>
  </si>
  <si>
    <t>0000457</t>
  </si>
  <si>
    <t>海琴</t>
  </si>
  <si>
    <t>梅陇九村134号602室</t>
  </si>
  <si>
    <t>3.15活动</t>
  </si>
  <si>
    <t>吕鹏</t>
  </si>
  <si>
    <t>上海室闵行区顾戴路江南星城12-801</t>
  </si>
  <si>
    <t>0000981</t>
  </si>
  <si>
    <t>潘俊</t>
  </si>
  <si>
    <t>月亮河桂园25号801室</t>
  </si>
  <si>
    <t>0000982</t>
  </si>
  <si>
    <t>周节</t>
  </si>
  <si>
    <t>信达2号1502</t>
  </si>
  <si>
    <t>客户不存在</t>
  </si>
  <si>
    <t>汤树枫</t>
  </si>
  <si>
    <t>御龙锦园301号902</t>
  </si>
  <si>
    <t>0002095</t>
  </si>
  <si>
    <t>秦正敏</t>
  </si>
  <si>
    <t>杨慧</t>
  </si>
  <si>
    <t>郑重</t>
  </si>
  <si>
    <t>浦东新区严桥路150弄4号</t>
  </si>
  <si>
    <t>左明亮</t>
  </si>
  <si>
    <t>浦东新区民耀路268弄19号402</t>
  </si>
  <si>
    <t>徐建伟</t>
  </si>
  <si>
    <t>山鑫阳光城47号202</t>
  </si>
  <si>
    <t>孙乐群</t>
  </si>
  <si>
    <t>松江城隆路1500弄471号</t>
  </si>
  <si>
    <t>李麟慧</t>
  </si>
  <si>
    <t>诸光路1588弄698号B座604</t>
  </si>
  <si>
    <t>已测量待定</t>
  </si>
  <si>
    <t>0000850</t>
  </si>
  <si>
    <t>朱琳玲</t>
  </si>
  <si>
    <t>世界路65弄14号302室</t>
  </si>
  <si>
    <t>宣先生</t>
  </si>
  <si>
    <t>绿地天呈16号301室</t>
  </si>
  <si>
    <t>3.16活动</t>
  </si>
  <si>
    <t>徐波</t>
  </si>
  <si>
    <t>绿地天呈89号102室</t>
  </si>
  <si>
    <t>0000571</t>
  </si>
  <si>
    <t>顾毅成</t>
  </si>
  <si>
    <t>宝山区高跃路133弄6号302</t>
  </si>
  <si>
    <t>3.15-3.17活动</t>
  </si>
  <si>
    <t>8月份</t>
  </si>
  <si>
    <t>楊开凯</t>
  </si>
  <si>
    <t>浦东新区御云路100弄10号502</t>
  </si>
  <si>
    <t>郑静</t>
  </si>
  <si>
    <t>温川路1498弄293号302室</t>
  </si>
  <si>
    <t xml:space="preserve"> 2019.8.1</t>
  </si>
  <si>
    <t>0001272</t>
  </si>
  <si>
    <t>黄先生</t>
  </si>
  <si>
    <t>汤臣臻园18-902</t>
  </si>
  <si>
    <t>0000460</t>
  </si>
  <si>
    <t>王翠英</t>
  </si>
  <si>
    <t>浦东新区严木桥路198弄34号603室</t>
  </si>
  <si>
    <t>3.17活动</t>
  </si>
  <si>
    <t>0001479</t>
  </si>
  <si>
    <t>王珊珊</t>
  </si>
  <si>
    <t>闵行区富国路199弄23号902</t>
  </si>
  <si>
    <t>0001572</t>
  </si>
  <si>
    <t>周巍</t>
  </si>
  <si>
    <t>场中路2600弄60号501室</t>
  </si>
  <si>
    <t>冯先生</t>
  </si>
  <si>
    <t>秋月朗庭尚东区19号301</t>
  </si>
  <si>
    <t>邵先生</t>
  </si>
  <si>
    <t>南桥新苑348号602室</t>
  </si>
  <si>
    <t>卢女士</t>
  </si>
  <si>
    <t>金水新苑102号602</t>
  </si>
  <si>
    <t>封小姐</t>
  </si>
  <si>
    <t>华赢公寓40号</t>
  </si>
  <si>
    <t>曾庆梓</t>
  </si>
  <si>
    <t>天通俺路666弄18号601室</t>
  </si>
  <si>
    <t>虞解娣</t>
  </si>
  <si>
    <t>临山路30号203</t>
  </si>
  <si>
    <t>0000588</t>
  </si>
  <si>
    <t>待买单</t>
  </si>
  <si>
    <t>周宏</t>
  </si>
  <si>
    <t>宝山区菊联路419弄101号</t>
  </si>
  <si>
    <t>0000762</t>
  </si>
  <si>
    <t>李振宇</t>
  </si>
  <si>
    <t>青浦区朱家角张家圩路333号</t>
  </si>
  <si>
    <t>崔孝卿</t>
  </si>
  <si>
    <t>浦东张杨北路4555弄31号401室</t>
  </si>
  <si>
    <t>0002012</t>
  </si>
  <si>
    <t>顾沁瑶</t>
  </si>
  <si>
    <t>上海市闵行区虹莘路1518-28-1702</t>
  </si>
  <si>
    <t>0000760</t>
  </si>
  <si>
    <t>张真真</t>
  </si>
  <si>
    <t>姚秀惠</t>
  </si>
  <si>
    <t>浦东新区丁香路1089弄6号201室</t>
  </si>
  <si>
    <t>客户要退</t>
  </si>
  <si>
    <t>黄雅莉</t>
  </si>
  <si>
    <t>松江区崇南公路499弄495号402</t>
  </si>
  <si>
    <t>董湘莲</t>
  </si>
  <si>
    <t>浦东夏栎路333弄23号202</t>
  </si>
  <si>
    <t>3.17微信落地活动</t>
  </si>
  <si>
    <t>吴建平</t>
  </si>
  <si>
    <t>汇臻路815-25-1402</t>
  </si>
  <si>
    <t>沪居微信转单</t>
  </si>
  <si>
    <t>顾先生</t>
  </si>
  <si>
    <t>南郊别墅390号</t>
  </si>
  <si>
    <t>潘庆辉</t>
  </si>
  <si>
    <t>项力宏</t>
  </si>
  <si>
    <t>钦州南路8弄5号1201室</t>
  </si>
  <si>
    <t>陈宏宾</t>
  </si>
  <si>
    <t>佘山银湖10号</t>
  </si>
  <si>
    <t>吕梅花</t>
  </si>
  <si>
    <t>刘璐</t>
  </si>
  <si>
    <t>真北路1029弄27号102室（丽和苑）</t>
  </si>
  <si>
    <t>7月退单</t>
  </si>
  <si>
    <t>百安居闵行店</t>
  </si>
  <si>
    <t>王素云</t>
  </si>
  <si>
    <t>朱梅</t>
  </si>
  <si>
    <t>上海徐汇区桂平路218弄126号</t>
  </si>
  <si>
    <t>6.29退单</t>
  </si>
  <si>
    <t>0002316</t>
  </si>
  <si>
    <t>杨建华</t>
  </si>
  <si>
    <t>水电路1600弄23号202室</t>
  </si>
  <si>
    <t>2019.7.</t>
  </si>
  <si>
    <t>陈雄</t>
  </si>
  <si>
    <t>嘉定区江桥镇鹤望路365弄13号402</t>
  </si>
  <si>
    <t>翁国强</t>
  </si>
  <si>
    <t>大木桥路158弄17号1001室</t>
  </si>
  <si>
    <t>虞先生</t>
  </si>
  <si>
    <t>松江区保利西子湾</t>
  </si>
  <si>
    <t>3.24活动</t>
  </si>
  <si>
    <t>0001778</t>
  </si>
  <si>
    <t>赵先生</t>
  </si>
  <si>
    <t>雪绒花路369弄58号402室</t>
  </si>
  <si>
    <t>3.23活动</t>
  </si>
  <si>
    <t>0001777</t>
  </si>
  <si>
    <t>金刚</t>
  </si>
  <si>
    <t>泥城云汉路1288弄47号802</t>
  </si>
  <si>
    <t>0001776</t>
  </si>
  <si>
    <t>刘永平</t>
  </si>
  <si>
    <t>惠南镇江南村682号</t>
  </si>
  <si>
    <t>0001079</t>
  </si>
  <si>
    <t>浦秀英</t>
  </si>
  <si>
    <t>新村路1759弄103号302室</t>
  </si>
  <si>
    <t>3.23周落地</t>
  </si>
  <si>
    <t>刘建</t>
  </si>
  <si>
    <t>徐汇区*路398弄222号</t>
  </si>
  <si>
    <t>刘宛琳</t>
  </si>
  <si>
    <t>严平顺</t>
  </si>
  <si>
    <t>双佳翠庭152幢901室</t>
  </si>
  <si>
    <t>0001429</t>
  </si>
  <si>
    <t>张志慧</t>
  </si>
  <si>
    <t>上海市徐汇区龙水南路385弄8号701室</t>
  </si>
  <si>
    <t>等通知</t>
  </si>
  <si>
    <t>这个月测量</t>
  </si>
  <si>
    <t>范丽云</t>
  </si>
  <si>
    <t>徐汇区大木桥路158弄17号1301室</t>
  </si>
  <si>
    <t>胡逸辉</t>
  </si>
  <si>
    <t>上海市长宁区天山西路350弄13号601室</t>
  </si>
  <si>
    <t>王又然</t>
  </si>
  <si>
    <t>静安区曹家渡街道延平路312号3号201</t>
  </si>
  <si>
    <t>0000782</t>
  </si>
  <si>
    <t>周琦</t>
  </si>
  <si>
    <t>虹口区凉城路465弄46号1102室</t>
  </si>
  <si>
    <t>客户是外部设计师推荐过来的，家里很多材料买来都出现问题，客户不信任设计师了，自己采购了木门材料，要求退款</t>
  </si>
  <si>
    <t>10/23已买单</t>
  </si>
  <si>
    <t>陈来来</t>
  </si>
  <si>
    <t>上海市松江区九亭镇莘松路1288弄绿川1201号902室</t>
  </si>
  <si>
    <t>夏坚萍</t>
  </si>
  <si>
    <t>虹口区欧阳路378-7-402</t>
  </si>
  <si>
    <t>5月</t>
  </si>
  <si>
    <t>周洁</t>
  </si>
  <si>
    <t>场中路4079弄10号201室</t>
  </si>
  <si>
    <t>0002135</t>
  </si>
  <si>
    <t>赵鸿</t>
  </si>
  <si>
    <t>徐虹北路5弄7号401室</t>
  </si>
  <si>
    <t>6.1活动</t>
  </si>
  <si>
    <t>张友根</t>
  </si>
  <si>
    <t>静安区长寿路999弄53号楼17A室（达安花园）</t>
  </si>
  <si>
    <t>尤老师</t>
  </si>
  <si>
    <t>泗泾颐景园276别墅</t>
  </si>
  <si>
    <t>3.28微信活动</t>
  </si>
  <si>
    <t>0002124</t>
  </si>
  <si>
    <t>张雅仙</t>
  </si>
  <si>
    <t>王伟</t>
  </si>
  <si>
    <t>普陀区子洲路45弄17号104室</t>
  </si>
  <si>
    <t>0000570</t>
  </si>
  <si>
    <t>詹寿彬</t>
  </si>
  <si>
    <t>黄浦区徐家汇135-6-702</t>
  </si>
  <si>
    <t>加项</t>
  </si>
  <si>
    <t>王继力</t>
  </si>
  <si>
    <t>浦东新区铃兰路508弄17号801</t>
  </si>
  <si>
    <t>顾小林</t>
  </si>
  <si>
    <t>0001203</t>
  </si>
  <si>
    <t>兴力达</t>
  </si>
  <si>
    <t>张琴</t>
  </si>
  <si>
    <t>潘小玲</t>
  </si>
  <si>
    <t>上海市延安西路1328号</t>
  </si>
  <si>
    <t>测量未付款</t>
  </si>
  <si>
    <t>0001202</t>
  </si>
  <si>
    <t>马志平</t>
  </si>
  <si>
    <t>松江新农河路500弄158#</t>
  </si>
  <si>
    <t>0000857</t>
  </si>
  <si>
    <t>陈颖群</t>
  </si>
  <si>
    <t>上海室浦东区中原路28弄3号903室</t>
  </si>
  <si>
    <t>地面还没平</t>
  </si>
  <si>
    <t>3.28智能入户门活动</t>
  </si>
  <si>
    <t>李敏飞</t>
  </si>
  <si>
    <t>业前路1688号192号</t>
  </si>
  <si>
    <t>0002827</t>
  </si>
  <si>
    <t>屠蕾蕾</t>
  </si>
  <si>
    <t>浦东栖山路1636弄28号402室</t>
  </si>
  <si>
    <t>戈乾</t>
  </si>
  <si>
    <t>刘军</t>
  </si>
  <si>
    <t>大成郡8号801</t>
  </si>
  <si>
    <t>0001204</t>
  </si>
  <si>
    <t>宝山区正荣国领441-401</t>
  </si>
  <si>
    <t>0001205</t>
  </si>
  <si>
    <t>秦俊杰</t>
  </si>
  <si>
    <t>昆山市绿地世纪家园163号2单元205室</t>
  </si>
  <si>
    <t>王芸</t>
  </si>
  <si>
    <t>普陀区长寿路光复西路133弄2号楼1906</t>
  </si>
  <si>
    <t>5月退单</t>
  </si>
  <si>
    <t>陈晓</t>
  </si>
  <si>
    <t>松江新南路1259弄24</t>
  </si>
  <si>
    <t>轻松装</t>
  </si>
  <si>
    <t>叶先生</t>
  </si>
  <si>
    <t>宝山区海江路667弄30#201</t>
  </si>
  <si>
    <t>6.15活动</t>
  </si>
  <si>
    <t>韩洪玉</t>
  </si>
  <si>
    <t>东靖路2250弄19号602室</t>
  </si>
  <si>
    <t>李文辉</t>
  </si>
  <si>
    <t>北京东路5431弄5号1605室</t>
  </si>
  <si>
    <t>王雪霞</t>
  </si>
  <si>
    <t>闵行区景行中路58弄16号301</t>
  </si>
  <si>
    <t>七月已退</t>
  </si>
  <si>
    <t>0002832</t>
  </si>
  <si>
    <t>王维</t>
  </si>
  <si>
    <t>杨浦区周家嘴路1299弄20号901室</t>
  </si>
  <si>
    <t>0004171</t>
  </si>
  <si>
    <t>秦勇</t>
  </si>
  <si>
    <t>杨浦区宁武路445弄3号701室</t>
  </si>
  <si>
    <t>0004155</t>
  </si>
  <si>
    <t>马慧珍</t>
  </si>
  <si>
    <t>市京一村15号301室</t>
  </si>
  <si>
    <t>6.18活动</t>
  </si>
  <si>
    <t>高波</t>
  </si>
  <si>
    <t>宝山区虎林路99弄40号201</t>
  </si>
  <si>
    <t>刘欣</t>
  </si>
  <si>
    <t>嘉定区南翔镇方林路951弄13号2302</t>
  </si>
  <si>
    <t>姚文红</t>
  </si>
  <si>
    <t>周兰芳</t>
  </si>
  <si>
    <t>玫瑰公馆20号202室</t>
  </si>
  <si>
    <t>0001030</t>
  </si>
  <si>
    <t>李德兵</t>
  </si>
  <si>
    <t>辰花公路839弄43号902室</t>
  </si>
  <si>
    <t>0002883</t>
  </si>
  <si>
    <t>罗俊</t>
  </si>
  <si>
    <t>宝山区场北路669弄40号1302</t>
  </si>
  <si>
    <t>3.30-3.31活动</t>
  </si>
  <si>
    <t>史庆庆</t>
  </si>
  <si>
    <t>闵行区龙茗路1458弄113号201室</t>
  </si>
  <si>
    <t>康峻芫</t>
  </si>
  <si>
    <t>上海市徐汇区梅陇十一村55号201室</t>
  </si>
  <si>
    <t>4.5退单</t>
  </si>
  <si>
    <t>0000773</t>
  </si>
  <si>
    <t>郭小丽</t>
  </si>
  <si>
    <t>上海成山路248弄17号402室</t>
  </si>
  <si>
    <t>王希昊</t>
  </si>
  <si>
    <t>常德路519弄6号304</t>
  </si>
  <si>
    <t>赵遵</t>
  </si>
  <si>
    <t>安西路500弄6号1701室</t>
  </si>
  <si>
    <t>党永梅</t>
  </si>
  <si>
    <t>秋月道东区2号101</t>
  </si>
  <si>
    <t>0002836</t>
  </si>
  <si>
    <t>张亚南</t>
  </si>
  <si>
    <t>严顺</t>
  </si>
  <si>
    <t>浦东芳草路153弄13号401</t>
  </si>
  <si>
    <t>退</t>
  </si>
  <si>
    <t>0000990</t>
  </si>
  <si>
    <t>朱燕</t>
  </si>
  <si>
    <t>松江区小昆山佘山院子一期79号</t>
  </si>
  <si>
    <t>0001548</t>
  </si>
  <si>
    <t>王新宇</t>
  </si>
  <si>
    <t>静安区平陆路999弄67号</t>
  </si>
  <si>
    <t>何国娟</t>
  </si>
  <si>
    <t>闵行区汇川路皮庆路136弄232号201室</t>
  </si>
  <si>
    <t>叶姐奋</t>
  </si>
  <si>
    <t>太仓浏河银河湾1703</t>
  </si>
  <si>
    <t>4.6活动</t>
  </si>
  <si>
    <t>0000560</t>
  </si>
  <si>
    <t>曹晶</t>
  </si>
  <si>
    <t>张一帅</t>
  </si>
  <si>
    <t>浦东居家桥路1030弄27号407</t>
  </si>
  <si>
    <t>天猫20周年庆</t>
  </si>
  <si>
    <t>0000565</t>
  </si>
  <si>
    <t>陈晓青</t>
  </si>
  <si>
    <t>浦东雪绒花路369弄125号</t>
  </si>
  <si>
    <t>龚煦</t>
  </si>
  <si>
    <t>浦东新区周家渡街道德州路150弄33号401</t>
  </si>
  <si>
    <t>0004194</t>
  </si>
  <si>
    <t>朱妍</t>
  </si>
  <si>
    <t>闵行区都市路4580弄8号803室</t>
  </si>
  <si>
    <t>6.9端午节活动</t>
  </si>
  <si>
    <t>陆民</t>
  </si>
  <si>
    <t>闵行区兰竹路17弄182号502室</t>
  </si>
  <si>
    <t>李胜</t>
  </si>
  <si>
    <t>场北路669弄6号701</t>
  </si>
  <si>
    <t>陈潇</t>
  </si>
  <si>
    <t>浦东新区张东路2281弄19号502室</t>
  </si>
  <si>
    <t>鲁惠忠</t>
  </si>
  <si>
    <t>久事西郊名墅</t>
  </si>
  <si>
    <t>门店活动</t>
  </si>
  <si>
    <t>0000872</t>
  </si>
  <si>
    <t>刘颖芳</t>
  </si>
  <si>
    <t>上海室浦东新区顾唐路138弄2号802室</t>
  </si>
  <si>
    <t>0000779</t>
  </si>
  <si>
    <t>KIKI</t>
  </si>
  <si>
    <t>浦东新区勒政路88弄华发四季</t>
  </si>
  <si>
    <t>0001929</t>
  </si>
  <si>
    <t>吕宇宙</t>
  </si>
  <si>
    <t>新源路颛溪八村23号401室</t>
  </si>
  <si>
    <t>杜国勇</t>
  </si>
  <si>
    <t>上海嘉定区南翔镇众下南路79-11-501</t>
  </si>
  <si>
    <t>顾哥</t>
  </si>
  <si>
    <t>南桥镇南奉公路889弄正阳居礼苑113号701室</t>
  </si>
  <si>
    <t>严克勤</t>
  </si>
  <si>
    <t>静安区老沪太路201弄1号1403室</t>
  </si>
  <si>
    <t>夏永福</t>
  </si>
  <si>
    <t>松江九亭来访路1033弄143号802室</t>
  </si>
  <si>
    <t>2019年4月25</t>
  </si>
  <si>
    <t>0000380</t>
  </si>
  <si>
    <t>宋先生</t>
  </si>
  <si>
    <t>张杨路628弄27C</t>
  </si>
  <si>
    <t>撞单喜盈门店</t>
  </si>
  <si>
    <t>朱夏钧</t>
  </si>
  <si>
    <t>许昌路1560弄1号乙座1001室</t>
  </si>
  <si>
    <t>龚炽荣</t>
  </si>
  <si>
    <t>新华路543号2号楼一楼D室</t>
  </si>
  <si>
    <t>0001379</t>
  </si>
  <si>
    <t>周新潮</t>
  </si>
  <si>
    <t>许江</t>
  </si>
  <si>
    <t>新浦路629弄</t>
  </si>
  <si>
    <t>吴昆庭</t>
  </si>
  <si>
    <t>2019/11/31</t>
  </si>
  <si>
    <t>李莉</t>
  </si>
  <si>
    <t>嘉定和政路885弄11号</t>
  </si>
  <si>
    <t>4.11微信联盟活动</t>
  </si>
  <si>
    <t>钱智轶</t>
  </si>
  <si>
    <t>普陀区桃浦镇祁安路365弄121号1201室</t>
  </si>
  <si>
    <t>4.13活动</t>
  </si>
  <si>
    <t>0001464</t>
  </si>
  <si>
    <t>李晓敏</t>
  </si>
  <si>
    <t>青浦区置鼎路889弄49号101室</t>
  </si>
  <si>
    <t>徐晔</t>
  </si>
  <si>
    <t>浦东新区杨莲路AB套</t>
  </si>
  <si>
    <t>0002014</t>
  </si>
  <si>
    <t>杨杰</t>
  </si>
  <si>
    <t>松江区洞庭镇的悦路375弄26-1515</t>
  </si>
  <si>
    <t>427活动</t>
  </si>
  <si>
    <t>王翠芳</t>
  </si>
  <si>
    <t>康桥路1118弄1号1003</t>
  </si>
  <si>
    <t>李小姐</t>
  </si>
  <si>
    <t>新村路1288弄32号102室</t>
  </si>
  <si>
    <t>张磊</t>
  </si>
  <si>
    <t>尚东区23-1703</t>
  </si>
  <si>
    <t>0002995</t>
  </si>
  <si>
    <t>唐佳丽</t>
  </si>
  <si>
    <t>东波路49弄77号302</t>
  </si>
  <si>
    <t>陆晓柳</t>
  </si>
  <si>
    <t>13955120566/18817309057</t>
  </si>
  <si>
    <t>闵行区龙柏三村69幢402室</t>
  </si>
  <si>
    <t>茅雯琼</t>
  </si>
  <si>
    <t>平型关路1083弄6号602室</t>
  </si>
  <si>
    <t>周年庆活动</t>
  </si>
  <si>
    <t>杜华</t>
  </si>
  <si>
    <t>长宁区虹桥路720弄美丽华花园10号4楼G座</t>
  </si>
  <si>
    <t>中二</t>
  </si>
  <si>
    <t>长宁区</t>
  </si>
  <si>
    <t>0001212</t>
  </si>
  <si>
    <t>李珮珮</t>
  </si>
  <si>
    <t>赵子俊</t>
  </si>
  <si>
    <t>闵行区银都路3536弄129#401</t>
  </si>
  <si>
    <t>4.7活动</t>
  </si>
  <si>
    <t>吉承燕</t>
  </si>
  <si>
    <t>御云路100弄10号701室</t>
  </si>
  <si>
    <t>0002845</t>
  </si>
  <si>
    <t>王昕</t>
  </si>
  <si>
    <t>浦东新区唐镇金融家51号202</t>
  </si>
  <si>
    <t>范伟</t>
  </si>
  <si>
    <t>普陀区石泉路街道铜川路273弄38号</t>
  </si>
  <si>
    <t>0000554</t>
  </si>
  <si>
    <t>姚晓倩</t>
  </si>
  <si>
    <t>浦东南洋泾路287弄4号201室</t>
  </si>
  <si>
    <t>4.14活动</t>
  </si>
  <si>
    <t>0000555</t>
  </si>
  <si>
    <t>陆培俊</t>
  </si>
  <si>
    <t>松江区江秋谭路377弄43号703</t>
  </si>
  <si>
    <t>张辉</t>
  </si>
  <si>
    <t>灿辉晶典1733（254号）</t>
  </si>
  <si>
    <t>0001145</t>
  </si>
  <si>
    <t>毛宏柱</t>
  </si>
  <si>
    <t>龙奚路69弄19号901室</t>
  </si>
  <si>
    <t>何女士</t>
  </si>
  <si>
    <t>浦江镇先新路1058弄浦江馨都</t>
  </si>
  <si>
    <t>穆禹璐</t>
  </si>
  <si>
    <t>上海市徐汇区虹桥路18号504室</t>
  </si>
  <si>
    <t>0001824</t>
  </si>
  <si>
    <t>邵力波</t>
  </si>
  <si>
    <t>浦东新区三林镇三彩路52弄13号2103</t>
  </si>
  <si>
    <t>0001147</t>
  </si>
  <si>
    <t>邬佳薏</t>
  </si>
  <si>
    <t>真北路4333弄02号504</t>
  </si>
  <si>
    <t>0001750</t>
  </si>
  <si>
    <t>蒋玉</t>
  </si>
  <si>
    <t>周浦镇周星路500弄48红啊1503室</t>
  </si>
  <si>
    <t>0000995</t>
  </si>
  <si>
    <t>黄亚芳</t>
  </si>
  <si>
    <t>松江区新家园路128弄148还701</t>
  </si>
  <si>
    <t>0000997</t>
  </si>
  <si>
    <t>梅慧敏</t>
  </si>
  <si>
    <t>茸凯路300弄10号502室</t>
  </si>
  <si>
    <t>0001213</t>
  </si>
  <si>
    <t>王强</t>
  </si>
  <si>
    <t>曾</t>
  </si>
  <si>
    <t>镇坪路310号18D室</t>
  </si>
  <si>
    <t>单先生</t>
  </si>
  <si>
    <t>古北长产荣华东苑19弄11号601室</t>
  </si>
  <si>
    <t>周冰</t>
  </si>
  <si>
    <t>徐汇区天钥桥南路1199弄54号302室</t>
  </si>
  <si>
    <t>周文琴/徐柏</t>
  </si>
  <si>
    <t>吕小姐</t>
  </si>
  <si>
    <t>恒业路388弄6号501室</t>
  </si>
  <si>
    <t>4.15微信活动</t>
  </si>
  <si>
    <t>李斌</t>
  </si>
  <si>
    <t>锦绣路2866弄18号202</t>
  </si>
  <si>
    <t>0002119</t>
  </si>
  <si>
    <t>罗群/徐柏</t>
  </si>
  <si>
    <t>戈伟</t>
  </si>
  <si>
    <t>湖畔天下芳林路1357弄308号</t>
  </si>
  <si>
    <t>退订单/超预算太多</t>
  </si>
  <si>
    <t>熊骞俊</t>
  </si>
  <si>
    <t>徐汇区桂林路575号1807室</t>
  </si>
  <si>
    <t>5.1真北店已买</t>
  </si>
  <si>
    <t>0001659</t>
  </si>
  <si>
    <t>周翠萍</t>
  </si>
  <si>
    <t>周浦汤巷中心村60号302</t>
  </si>
  <si>
    <t>张定鼎</t>
  </si>
  <si>
    <t>恒盛262弄7号1502室</t>
  </si>
  <si>
    <t>0002850</t>
  </si>
  <si>
    <t>许滢</t>
  </si>
  <si>
    <t>浦东博山东路555弄24号602</t>
  </si>
  <si>
    <t>贾子骏</t>
  </si>
  <si>
    <t>湖畔三期91号</t>
  </si>
  <si>
    <t>0002903</t>
  </si>
  <si>
    <t>姚文红/徐柏</t>
  </si>
  <si>
    <t>巩婧</t>
  </si>
  <si>
    <t>芳林路1357弄湖畔三期2号</t>
  </si>
  <si>
    <t>0002894</t>
  </si>
  <si>
    <t>陈志付</t>
  </si>
  <si>
    <t>湖畔天下三期26号</t>
  </si>
  <si>
    <t>0002112</t>
  </si>
  <si>
    <t>王琼</t>
  </si>
  <si>
    <t>湖畔天下三期6号</t>
  </si>
  <si>
    <t>0002895</t>
  </si>
  <si>
    <t>张建明</t>
  </si>
  <si>
    <t>湖畔天下三期310#</t>
  </si>
  <si>
    <t>0002324</t>
  </si>
  <si>
    <t>徐敏静</t>
  </si>
  <si>
    <t>场中路4弄3号1307室</t>
  </si>
  <si>
    <t>孟令元</t>
  </si>
  <si>
    <t>湖畔天下三期27号</t>
  </si>
  <si>
    <t>0002106</t>
  </si>
  <si>
    <t>吕晨龙</t>
  </si>
  <si>
    <t>湖畔三期138号</t>
  </si>
  <si>
    <t>李佳</t>
  </si>
  <si>
    <t>湖畔天下三期80号</t>
  </si>
  <si>
    <t>0004130</t>
  </si>
  <si>
    <t>何吟燕</t>
  </si>
  <si>
    <t>金汇路518弄37号102</t>
  </si>
  <si>
    <t>陈继伟</t>
  </si>
  <si>
    <t>0002890</t>
  </si>
  <si>
    <t>李杨</t>
  </si>
  <si>
    <t>湖畔天下三期239#</t>
  </si>
  <si>
    <t>0002893</t>
  </si>
  <si>
    <t>李红静/徐柏</t>
  </si>
  <si>
    <t>陈震宇/陈建华</t>
  </si>
  <si>
    <t>13641688699/18516103253</t>
  </si>
  <si>
    <t>湖畔三期189号</t>
  </si>
  <si>
    <t>黄东升</t>
  </si>
  <si>
    <t>湖畔天下三期109号</t>
  </si>
  <si>
    <t>张成洁</t>
  </si>
  <si>
    <t>湖畔天下3期228号</t>
  </si>
  <si>
    <t>郭亦芊</t>
  </si>
  <si>
    <t>湖畔天下3期67号</t>
  </si>
  <si>
    <t>陈春俏</t>
  </si>
  <si>
    <t>上海是嘉定区南翔镇芳林路1357弄247号</t>
  </si>
  <si>
    <t>李美凤/徐柏</t>
  </si>
  <si>
    <t>王建中</t>
  </si>
  <si>
    <t>229号</t>
  </si>
  <si>
    <t>徐彩霞</t>
  </si>
  <si>
    <t>嘉定南翔芳林路1357号98号</t>
  </si>
  <si>
    <t>朱磊</t>
  </si>
  <si>
    <t>湖畔天下3期32号</t>
  </si>
  <si>
    <t>0002113</t>
  </si>
  <si>
    <t>陈家希</t>
  </si>
  <si>
    <t>湖畔天下3期117号</t>
  </si>
  <si>
    <t>没开工</t>
  </si>
  <si>
    <t>0001153</t>
  </si>
  <si>
    <t>马菁</t>
  </si>
  <si>
    <t>场北路669弄1楼102室</t>
  </si>
  <si>
    <t>张伟</t>
  </si>
  <si>
    <t>淞虹路650弄17号401</t>
  </si>
  <si>
    <t>倪健华</t>
  </si>
  <si>
    <t>徐汇区天桥路968-5-1904</t>
  </si>
  <si>
    <t>4.20活动</t>
  </si>
  <si>
    <t>汪慧平</t>
  </si>
  <si>
    <t>曹杨路2155弄2号803室</t>
  </si>
  <si>
    <t>4.27联盟活动</t>
  </si>
  <si>
    <t>陈加美</t>
  </si>
  <si>
    <t>周先生</t>
  </si>
  <si>
    <t>西康路/武定路3650号3号2601室</t>
  </si>
  <si>
    <t>马丽</t>
  </si>
  <si>
    <t>沈成彬</t>
  </si>
  <si>
    <t>民生路818弄13号602室</t>
  </si>
  <si>
    <t>0000880</t>
  </si>
  <si>
    <t>王春明</t>
  </si>
  <si>
    <t>花木路718弄10号901室</t>
  </si>
  <si>
    <t>已买好其他品牌，未退</t>
  </si>
  <si>
    <t>已买</t>
  </si>
  <si>
    <t>周宇</t>
  </si>
  <si>
    <t>明珠新苑73号401</t>
  </si>
  <si>
    <t>五一联盟活动</t>
  </si>
  <si>
    <t>刘庆</t>
  </si>
  <si>
    <t>芳林路1357弄311号</t>
  </si>
  <si>
    <t>0001168</t>
  </si>
  <si>
    <t>归浩铭</t>
  </si>
  <si>
    <t>宝山区美安路628弄13号606室</t>
  </si>
  <si>
    <t>0001163</t>
  </si>
  <si>
    <t>童影影</t>
  </si>
  <si>
    <t>浦东新区芳甸路77弄24#2101室</t>
  </si>
  <si>
    <t>高岩</t>
  </si>
  <si>
    <t>浅滩后院16号501室</t>
  </si>
  <si>
    <t>0002114</t>
  </si>
  <si>
    <t>刘云泊</t>
  </si>
  <si>
    <t>湖畔三期85号</t>
  </si>
  <si>
    <t>陈祺</t>
  </si>
  <si>
    <t>湖畔三期143号</t>
  </si>
  <si>
    <t>0002892</t>
  </si>
  <si>
    <t>丁耀祖/徐柏</t>
  </si>
  <si>
    <t>林青</t>
  </si>
  <si>
    <t>湖畔三期158号</t>
  </si>
  <si>
    <t>陆士峰</t>
  </si>
  <si>
    <t>冠生园路403弄6号201室</t>
  </si>
  <si>
    <t>4.21活动</t>
  </si>
  <si>
    <t>0001124</t>
  </si>
  <si>
    <t>黄海云</t>
  </si>
  <si>
    <t>黄浦区翔殷路934弄12号311室</t>
  </si>
  <si>
    <t>0001169</t>
  </si>
  <si>
    <t>陆省权</t>
  </si>
  <si>
    <t>吴晓聪</t>
  </si>
  <si>
    <t>青浦区崧文南路59弄20号1201室</t>
  </si>
  <si>
    <t>0001661</t>
  </si>
  <si>
    <t>陈春梅</t>
  </si>
  <si>
    <t>漕宝路1555弄12区8-402室</t>
  </si>
  <si>
    <t>0001976</t>
  </si>
  <si>
    <t>蔡卫良</t>
  </si>
  <si>
    <t>上海崇明三星镇育新村622号</t>
  </si>
  <si>
    <t>王先生</t>
  </si>
  <si>
    <t>佘山三号35号</t>
  </si>
  <si>
    <t>6.23活动</t>
  </si>
  <si>
    <t>陈英</t>
  </si>
  <si>
    <t>青浦区新府中路12600弄虹桥宝龙城1期10号1503</t>
  </si>
  <si>
    <t>0002021</t>
  </si>
  <si>
    <t>王玲燕</t>
  </si>
  <si>
    <t>金山区枫泾镇枫泾路49弄桃源名庭173楼801</t>
  </si>
  <si>
    <t>0002818</t>
  </si>
  <si>
    <t>卓青</t>
  </si>
  <si>
    <t>上海浦东长岛路728弄34号402室</t>
  </si>
  <si>
    <t>0003852</t>
  </si>
  <si>
    <t>许荣</t>
  </si>
  <si>
    <t>李明明</t>
  </si>
  <si>
    <t>浦江镇盐铁路256弄20号302</t>
  </si>
  <si>
    <t>0002108</t>
  </si>
  <si>
    <t>徐柏</t>
  </si>
  <si>
    <t>黄烨</t>
  </si>
  <si>
    <t>芳林路1357弄182#</t>
  </si>
  <si>
    <t>0002109</t>
  </si>
  <si>
    <t>于宇</t>
  </si>
  <si>
    <t>芳林路1357弄86号</t>
  </si>
  <si>
    <t>沈新</t>
  </si>
  <si>
    <t>东苑绿世界沪闵路6780弄13号702室</t>
  </si>
  <si>
    <t>0002732</t>
  </si>
  <si>
    <t>张琼</t>
  </si>
  <si>
    <t>丁许刚</t>
  </si>
  <si>
    <t>浦东新区金葵路余葵城</t>
  </si>
  <si>
    <t>0001127</t>
  </si>
  <si>
    <t>唐嘉宾</t>
  </si>
  <si>
    <t>上海市静安区西康路501弄7号2603室</t>
  </si>
  <si>
    <t>曹绿玲</t>
  </si>
  <si>
    <t>塘镇创新西路300弄61号1202</t>
  </si>
  <si>
    <t>王琪</t>
  </si>
  <si>
    <t>湖畔三期225号</t>
  </si>
  <si>
    <t>唐书斌</t>
  </si>
  <si>
    <t>嘉定区鹤望路365弄130号802室</t>
  </si>
  <si>
    <t>殷为晴</t>
  </si>
  <si>
    <t>松江区龙湖好望山70号</t>
  </si>
  <si>
    <t>0002735</t>
  </si>
  <si>
    <t>王辉政</t>
  </si>
  <si>
    <t>胶东路818弄30号408室</t>
  </si>
  <si>
    <t>胡杰</t>
  </si>
  <si>
    <t>真华路999弄39号302</t>
  </si>
  <si>
    <t>5.1活动</t>
  </si>
  <si>
    <t>0002340</t>
  </si>
  <si>
    <t>撞单百家宜店</t>
  </si>
  <si>
    <t>施乃睿</t>
  </si>
  <si>
    <t>宝山牡丹江路1242-34-702</t>
  </si>
  <si>
    <t>6.2婚博会活动</t>
  </si>
  <si>
    <t>普陀区长寿路16号1002室</t>
  </si>
  <si>
    <t>肖军</t>
  </si>
  <si>
    <t>金山区廊下镇景阳六组5036号</t>
  </si>
  <si>
    <t>长提村703号</t>
  </si>
  <si>
    <t>0000239</t>
  </si>
  <si>
    <t>林建军</t>
  </si>
  <si>
    <t>金海波</t>
  </si>
  <si>
    <t>绿地天呈</t>
  </si>
  <si>
    <t>郭莹莹</t>
  </si>
  <si>
    <t>金城蔚蓝16号601室</t>
  </si>
  <si>
    <t>2019.5.30</t>
  </si>
  <si>
    <t>0001392</t>
  </si>
  <si>
    <t>王霞</t>
  </si>
  <si>
    <t>杨高南路340弄24号</t>
  </si>
  <si>
    <t>0000548</t>
  </si>
  <si>
    <t>金爱华</t>
  </si>
  <si>
    <t>浦东新区塘镇创新中路593弄</t>
  </si>
  <si>
    <t>邵鲲</t>
  </si>
  <si>
    <t>洞塔路782弄100号</t>
  </si>
  <si>
    <t>赵润泽</t>
  </si>
  <si>
    <t>上海市嘉定区裕民路1000弄40号1102室</t>
  </si>
  <si>
    <t>0002034</t>
  </si>
  <si>
    <t>刘桂晴</t>
  </si>
  <si>
    <t>浦东新区玉兰路46弄8号302室</t>
  </si>
  <si>
    <t>0002854</t>
  </si>
  <si>
    <t>何军</t>
  </si>
  <si>
    <t>天钥桥南路1249弄43号401室</t>
  </si>
  <si>
    <t>0002206</t>
  </si>
  <si>
    <t>冯佳琼</t>
  </si>
  <si>
    <t>华和路728弄27号501</t>
  </si>
  <si>
    <t>0002858</t>
  </si>
  <si>
    <t>邓丽颖</t>
  </si>
  <si>
    <t>华夏东路2026弄5号601</t>
  </si>
  <si>
    <t>0000541</t>
  </si>
  <si>
    <t>单文君</t>
  </si>
  <si>
    <t>浦三路821弄6号501室</t>
  </si>
  <si>
    <t>徐磊</t>
  </si>
  <si>
    <t>马骏</t>
  </si>
  <si>
    <t>龙漕路51弄1401室</t>
  </si>
  <si>
    <t>退订单/客户选择了其他品牌</t>
  </si>
  <si>
    <t>4.27活动现场</t>
  </si>
  <si>
    <t>嘉定区合作路1000号</t>
  </si>
  <si>
    <t>0004173</t>
  </si>
  <si>
    <t>张涛</t>
  </si>
  <si>
    <t>虹口区虹湾路313弄26号2703</t>
  </si>
  <si>
    <t>0003813</t>
  </si>
  <si>
    <t>郦仁杰</t>
  </si>
  <si>
    <t>浦东新区德淳路99弄24号1201室</t>
  </si>
  <si>
    <t>0001389</t>
  </si>
  <si>
    <t>曹思源</t>
  </si>
  <si>
    <t>闵行区紫晶南园25号701</t>
  </si>
  <si>
    <t>张鑫</t>
  </si>
  <si>
    <t>青浦区华志路333弄29号102室</t>
  </si>
  <si>
    <t>王平兰</t>
  </si>
  <si>
    <t>长宁区新泾一村139号204室</t>
  </si>
  <si>
    <t>0001975</t>
  </si>
  <si>
    <t>鲁海燕</t>
  </si>
  <si>
    <t>场北路669弄12号401室</t>
  </si>
  <si>
    <t>0002037</t>
  </si>
  <si>
    <t>张华峥</t>
  </si>
  <si>
    <t>青浦区崧泽华苑崧漪46-13-902</t>
  </si>
  <si>
    <t>0001071</t>
  </si>
  <si>
    <t>朱侗明</t>
  </si>
  <si>
    <t>徐汇区小木桥路538弄1号1202室</t>
  </si>
  <si>
    <t>罗敏</t>
  </si>
  <si>
    <t>青浦区绿洲路58弄56号</t>
  </si>
  <si>
    <t>张杨路1811弄11号303室</t>
  </si>
  <si>
    <t>ID</t>
  </si>
  <si>
    <t>黄泵岚</t>
  </si>
  <si>
    <t>真光路1433弄52号501室</t>
  </si>
  <si>
    <t>吉小红</t>
  </si>
  <si>
    <t>青浦区夏阳街道丹苑54号106室</t>
  </si>
  <si>
    <t>0000891</t>
  </si>
  <si>
    <t>马惠钧</t>
  </si>
  <si>
    <t>上海室浦东新区秀浦路666弄-15-802</t>
  </si>
  <si>
    <t>五一提前购</t>
  </si>
  <si>
    <t>0000796</t>
  </si>
  <si>
    <t>支明</t>
  </si>
  <si>
    <t>宝山区宝林五村24号3楼</t>
  </si>
  <si>
    <t>0002738</t>
  </si>
  <si>
    <t>刘女士</t>
  </si>
  <si>
    <t>上海黄浦区蒙自路601弄7号603</t>
  </si>
  <si>
    <t>0003459</t>
  </si>
  <si>
    <t>任美江</t>
  </si>
  <si>
    <t>零陵路789-6-202</t>
  </si>
  <si>
    <t>章琼</t>
  </si>
  <si>
    <t>涂娃女</t>
  </si>
  <si>
    <t>嘉唐路绿地天呈16号</t>
  </si>
  <si>
    <t>7.29活动</t>
  </si>
  <si>
    <t>梁云</t>
  </si>
  <si>
    <t>马陆鹤望路260-11-501</t>
  </si>
  <si>
    <t>0002186</t>
  </si>
  <si>
    <t>孙思铭</t>
  </si>
  <si>
    <t>上海市虹口区新港路311弄2号804</t>
  </si>
  <si>
    <t>7月退</t>
  </si>
  <si>
    <t>4.30活动</t>
  </si>
  <si>
    <t>0000487</t>
  </si>
  <si>
    <t>顾秋红</t>
  </si>
  <si>
    <t>都市路3635弄15号301（闵行区）</t>
  </si>
  <si>
    <t>待测</t>
  </si>
  <si>
    <t>20周年庆</t>
  </si>
  <si>
    <t>0003815</t>
  </si>
  <si>
    <t>于巍巍</t>
  </si>
  <si>
    <t>景谷中路58弄26号1602</t>
  </si>
  <si>
    <t>五一团购活动</t>
  </si>
  <si>
    <t>肖莹</t>
  </si>
  <si>
    <t>嘉定区外区恒荣路589弄114-10</t>
  </si>
  <si>
    <t>陈浩</t>
  </si>
  <si>
    <t>崇明区横沙岛东海村2组223号</t>
  </si>
  <si>
    <t>五一活动</t>
  </si>
  <si>
    <t>0002789</t>
  </si>
  <si>
    <t>潘诚</t>
  </si>
  <si>
    <t>浦东杨高北路3885弄46号102室</t>
  </si>
  <si>
    <t>端云</t>
  </si>
  <si>
    <t>浦东新区泥城镇马*709</t>
  </si>
  <si>
    <t>吴建军</t>
  </si>
  <si>
    <t>浦东青平路58弄仁恒公寓16A</t>
  </si>
  <si>
    <t>蒋丽丽</t>
  </si>
  <si>
    <t>金山区龙轩路866弄农房东区36号802</t>
  </si>
  <si>
    <t>2019.6.30</t>
  </si>
  <si>
    <t>刘磊</t>
  </si>
  <si>
    <t>育秀九区358号202</t>
  </si>
  <si>
    <t>夏秋谨</t>
  </si>
  <si>
    <t>浦东永泰路1650弄6号1602</t>
  </si>
  <si>
    <t>5.11活动</t>
  </si>
  <si>
    <t>汤玮英</t>
  </si>
  <si>
    <t>大道路253弄2号2307室</t>
  </si>
  <si>
    <t>马益维</t>
  </si>
  <si>
    <t>周家嘴路1299弄29号703室</t>
  </si>
  <si>
    <t>周道平</t>
  </si>
  <si>
    <t>万春干区63弄</t>
  </si>
  <si>
    <t>陈莉</t>
  </si>
  <si>
    <t>熊珺</t>
  </si>
  <si>
    <t>宝山区宝杨路555弄14号202室</t>
  </si>
  <si>
    <t>0003093</t>
  </si>
  <si>
    <t>齐永生</t>
  </si>
  <si>
    <t>上海市闵行区兴没路1199弄29号1401室</t>
  </si>
  <si>
    <t>0001893</t>
  </si>
  <si>
    <t>乔新昱</t>
  </si>
  <si>
    <t>浦东新区刘杉路99弄22号202</t>
  </si>
  <si>
    <t>余先会</t>
  </si>
  <si>
    <t>解放新村永竹新村10号202室</t>
  </si>
  <si>
    <t>王韵梅</t>
  </si>
  <si>
    <t>玉屏南路113弄17号503室</t>
  </si>
  <si>
    <t>罗碧洪</t>
  </si>
  <si>
    <t>管弄新村61弄30号401</t>
  </si>
  <si>
    <t>5.2活动</t>
  </si>
  <si>
    <t>竺琳</t>
  </si>
  <si>
    <t>张辉路451-28-603</t>
  </si>
  <si>
    <t>黄河青</t>
  </si>
  <si>
    <t>中山西路1698弄10号1701室</t>
  </si>
  <si>
    <t>0003095</t>
  </si>
  <si>
    <t>汪先生</t>
  </si>
  <si>
    <t>泗泾镇泗凤公路1718弄3号804室</t>
  </si>
  <si>
    <t>0002889</t>
  </si>
  <si>
    <t>朱轩轩</t>
  </si>
  <si>
    <t>13816697794/18818261967</t>
  </si>
  <si>
    <t>九亭伴婷路855号</t>
  </si>
  <si>
    <t>0002886</t>
  </si>
  <si>
    <t>吕强</t>
  </si>
  <si>
    <t>1776513497/17765137447</t>
  </si>
  <si>
    <t>上海室长宁区番禺路222弄32号1104</t>
  </si>
  <si>
    <t>0002885</t>
  </si>
  <si>
    <t>周国斌</t>
  </si>
  <si>
    <t>上海室长宁区定西路710弄105号5C</t>
  </si>
  <si>
    <t>顾珑梅</t>
  </si>
  <si>
    <t>松江区江秋谭路377弄24号601室</t>
  </si>
  <si>
    <t>盛明华</t>
  </si>
  <si>
    <t>0001902</t>
  </si>
  <si>
    <t>邵萍</t>
  </si>
  <si>
    <t>江航南路801弄1号101室</t>
  </si>
  <si>
    <t>0002863</t>
  </si>
  <si>
    <t>梅洋</t>
  </si>
  <si>
    <t>浦驰路1336弄4号202室</t>
  </si>
  <si>
    <t>0002862</t>
  </si>
  <si>
    <t>汪之值</t>
  </si>
  <si>
    <t>松江区泗凤路1718弄3号804室</t>
  </si>
  <si>
    <t>0000892</t>
  </si>
  <si>
    <t>樊俊玲</t>
  </si>
  <si>
    <t>松林路95弄9号402室</t>
  </si>
  <si>
    <t>0001714</t>
  </si>
  <si>
    <t>段小霜</t>
  </si>
  <si>
    <t>天山西路120号1310室</t>
  </si>
  <si>
    <t>黄为正</t>
  </si>
  <si>
    <t>刘志强</t>
  </si>
  <si>
    <t>车兰路51弄4号304室</t>
  </si>
  <si>
    <t>4.28活动</t>
  </si>
  <si>
    <t>0000336</t>
  </si>
  <si>
    <t>施晓玮</t>
  </si>
  <si>
    <t>杨高中路2168弄32号101</t>
  </si>
  <si>
    <t>0001906</t>
  </si>
  <si>
    <t>张寒军</t>
  </si>
  <si>
    <t>苏家浜路388弄169号702</t>
  </si>
  <si>
    <t>夏勇</t>
  </si>
  <si>
    <t>莫雅琴</t>
  </si>
  <si>
    <t>上海市松江区明中路1777弄16号1504室</t>
  </si>
  <si>
    <t>罗建峰</t>
  </si>
  <si>
    <t>金海公路99弄82号203室</t>
  </si>
  <si>
    <t>0001231</t>
  </si>
  <si>
    <t>王杰</t>
  </si>
  <si>
    <t>上海室奉贤区富竹路39弄70号102室</t>
  </si>
  <si>
    <t>0002913</t>
  </si>
  <si>
    <t>丁亚芬</t>
  </si>
  <si>
    <t>钱忆文</t>
  </si>
  <si>
    <t>15800965168/1381622700</t>
  </si>
  <si>
    <t>宝山十村44号501室</t>
  </si>
  <si>
    <t>0001732</t>
  </si>
  <si>
    <t>谢兵</t>
  </si>
  <si>
    <t>方晓轶</t>
  </si>
  <si>
    <t>13386280976/13795418936</t>
  </si>
  <si>
    <t>浦东惠南镇拱川路159-201</t>
  </si>
  <si>
    <t>贴砖(可能退)</t>
  </si>
  <si>
    <t>陈馥昊</t>
  </si>
  <si>
    <t>黄浦区普音乐路200弄7号2503室</t>
  </si>
  <si>
    <t>张兵</t>
  </si>
  <si>
    <t>金山区宝华64号101</t>
  </si>
  <si>
    <t>5.1大促</t>
  </si>
  <si>
    <t>张婕</t>
  </si>
  <si>
    <t>昆山周庄88-127-107</t>
  </si>
  <si>
    <t>0002963</t>
  </si>
  <si>
    <t>李万新</t>
  </si>
  <si>
    <t>浦东新区竹柏路503弄15号601室</t>
  </si>
  <si>
    <t>0001235</t>
  </si>
  <si>
    <t>何小姐</t>
  </si>
  <si>
    <t>徐汇区宛平路921弄5号1302室</t>
  </si>
  <si>
    <t>0001236</t>
  </si>
  <si>
    <t>汪宵</t>
  </si>
  <si>
    <t>徐汇区华容路11号4室</t>
  </si>
  <si>
    <t>0001237</t>
  </si>
  <si>
    <t>陶艳君</t>
  </si>
  <si>
    <t>雷静</t>
  </si>
  <si>
    <t>景谷东路99弄17号701</t>
  </si>
  <si>
    <t>0003859</t>
  </si>
  <si>
    <t>陆时平</t>
  </si>
  <si>
    <t>莘庄畹町路99弄301号602室</t>
  </si>
  <si>
    <t>0003099</t>
  </si>
  <si>
    <t>陈敏</t>
  </si>
  <si>
    <t>中山西路910弄30号1301室</t>
  </si>
  <si>
    <t>吴娇玉</t>
  </si>
  <si>
    <t>吴金娜</t>
  </si>
  <si>
    <t>西郊锦庐109号101</t>
  </si>
  <si>
    <t>卓自红</t>
  </si>
  <si>
    <t>闵行区</t>
  </si>
  <si>
    <t>待复测</t>
  </si>
  <si>
    <t>0003100</t>
  </si>
  <si>
    <t>王永刚</t>
  </si>
  <si>
    <t>宝山区月浦镇徐家南11号</t>
  </si>
  <si>
    <t>徐骏</t>
  </si>
  <si>
    <t>上海室浦东新区栖山路1636弄29号201室</t>
  </si>
  <si>
    <t>李晋</t>
  </si>
  <si>
    <t>13916665541/18616244056</t>
  </si>
  <si>
    <t>西郊锦庐156号102</t>
  </si>
  <si>
    <t>待测量</t>
  </si>
  <si>
    <t>张庆</t>
  </si>
  <si>
    <t>松江区广富林路1188弄133-502室</t>
  </si>
  <si>
    <t>曹伟立</t>
  </si>
  <si>
    <t>松江富林路1599弄96号302室</t>
  </si>
  <si>
    <t>0001910</t>
  </si>
  <si>
    <t>吴涛</t>
  </si>
  <si>
    <t>青浦区朱家角张家圩路777弄1203号</t>
  </si>
  <si>
    <t>何健清</t>
  </si>
  <si>
    <t>青浦区徐泾金圩路8号402</t>
  </si>
  <si>
    <t>0003893</t>
  </si>
  <si>
    <t>陈家天</t>
  </si>
  <si>
    <t>美墅15号</t>
  </si>
  <si>
    <t>美墅团购活动</t>
  </si>
  <si>
    <t>万绍楠</t>
  </si>
  <si>
    <t>上海市临平路333号5座2802室</t>
  </si>
  <si>
    <t>0000492</t>
  </si>
  <si>
    <t>曲尹墨</t>
  </si>
  <si>
    <t>闵行区虹梅路2159弄25号101</t>
  </si>
  <si>
    <t>0003663</t>
  </si>
  <si>
    <t>曹胜男</t>
  </si>
  <si>
    <t>武定路1158弄3号801</t>
  </si>
  <si>
    <t>葛效凡</t>
  </si>
  <si>
    <t>闵行区顾戴路251弄2号401室</t>
  </si>
  <si>
    <t>0002927</t>
  </si>
  <si>
    <t>胡建杰</t>
  </si>
  <si>
    <t>上海市宝山区共康路共康六村120号501室</t>
  </si>
  <si>
    <t>5.1家博会活动</t>
  </si>
  <si>
    <t>夏先生</t>
  </si>
  <si>
    <t>安宁路777弄46号802室</t>
  </si>
  <si>
    <t>0003692</t>
  </si>
  <si>
    <t>高敏</t>
  </si>
  <si>
    <t>长宁区长顺路37号301室</t>
  </si>
  <si>
    <t>朱先生</t>
  </si>
  <si>
    <t>原平路183弄2号802</t>
  </si>
  <si>
    <t>马跃华</t>
  </si>
  <si>
    <t>白本路99弄1号102室</t>
  </si>
  <si>
    <t>孙辞伟</t>
  </si>
  <si>
    <t>静安区延长中路451弄17号103室</t>
  </si>
  <si>
    <t>万女士</t>
  </si>
  <si>
    <t>希望路1333号</t>
  </si>
  <si>
    <t>杨博淼</t>
  </si>
  <si>
    <t>战乡南路230弄10号402</t>
  </si>
  <si>
    <t>孟文卿</t>
  </si>
  <si>
    <t>杨浦区中原路990弄24-301</t>
  </si>
  <si>
    <t>刚开工</t>
  </si>
  <si>
    <t>李艳</t>
  </si>
  <si>
    <t>青浦赵巷业文路189弄208号302室</t>
  </si>
  <si>
    <t>0002819</t>
  </si>
  <si>
    <t>党俊霞</t>
  </si>
  <si>
    <t>孙勃海</t>
  </si>
  <si>
    <t>昆山市花桥镇国际华城16-405</t>
  </si>
  <si>
    <t>叶轻舟</t>
  </si>
  <si>
    <t>闵行区莘松路958弄山林道69号1102室</t>
  </si>
  <si>
    <t>邓建军</t>
  </si>
  <si>
    <t>嘉定区胜竹路2600-98-102</t>
  </si>
  <si>
    <t>徐也洪</t>
  </si>
  <si>
    <t>武宁南路310号2201室</t>
  </si>
  <si>
    <t xml:space="preserve"> 廖军</t>
  </si>
  <si>
    <t>杨柳青路桂巷新村82号604</t>
  </si>
  <si>
    <t>汪伟</t>
  </si>
  <si>
    <t>闸北区宜川路733弄15号201</t>
  </si>
  <si>
    <t>翟豪君</t>
  </si>
  <si>
    <t>浦东南路2199弄4号501室</t>
  </si>
  <si>
    <t>0001754</t>
  </si>
  <si>
    <t>刘娇</t>
  </si>
  <si>
    <t>浦东新区张杨北路4555弄33号1004室</t>
  </si>
  <si>
    <t>0002530</t>
  </si>
  <si>
    <t>丁亮</t>
  </si>
  <si>
    <t>浦东泥城云端路1388弄28号502</t>
  </si>
  <si>
    <t>恽延疆</t>
  </si>
  <si>
    <t>青浦区嘉松中路6999号西郊锦庐88号101室</t>
  </si>
  <si>
    <t>0000540</t>
  </si>
  <si>
    <t>廖军和</t>
  </si>
  <si>
    <t>临港新城铃兰公寓铃兰路79-301</t>
  </si>
  <si>
    <t>褚楚</t>
  </si>
  <si>
    <t>静安区柳营路635弄2号502</t>
  </si>
  <si>
    <t>0000527</t>
  </si>
  <si>
    <t>包梦丽</t>
  </si>
  <si>
    <t>灵山路1415弄72号403室</t>
  </si>
  <si>
    <t>0000518</t>
  </si>
  <si>
    <t>陈俊良</t>
  </si>
  <si>
    <t>花木路500弄69号401</t>
  </si>
  <si>
    <t>0000532</t>
  </si>
  <si>
    <t>王云光</t>
  </si>
  <si>
    <t>嘉定恒荣路589弄151号101</t>
  </si>
  <si>
    <t>0000537</t>
  </si>
  <si>
    <t>谢晓帆</t>
  </si>
  <si>
    <t>嘉定区梅园路300弄21号104室</t>
  </si>
  <si>
    <t>0000533</t>
  </si>
  <si>
    <t>徐琴娣</t>
  </si>
  <si>
    <t>大宁路540弄64号301</t>
  </si>
  <si>
    <t>0002747</t>
  </si>
  <si>
    <t>裘晶</t>
  </si>
  <si>
    <t>浦江镇浦驰路1336弄5号302</t>
  </si>
  <si>
    <t>贾会军</t>
  </si>
  <si>
    <t>高桥镇凌环路179弄14号501室</t>
  </si>
  <si>
    <t>曾华兰</t>
  </si>
  <si>
    <t>水产路招商花园213弄301室</t>
  </si>
  <si>
    <t>退订单/客户家里选了全屋定制</t>
  </si>
  <si>
    <t>高晶晶</t>
  </si>
  <si>
    <t>闸北区临汾路1565弄9号103室</t>
  </si>
  <si>
    <t>0002911</t>
  </si>
  <si>
    <t>包岷</t>
  </si>
  <si>
    <t>真大路358弄22号401</t>
  </si>
  <si>
    <t>0003046</t>
  </si>
  <si>
    <t>田小玲</t>
  </si>
  <si>
    <t>奉贤区河湾镇海马路5888弄687-607</t>
  </si>
  <si>
    <t>0002521</t>
  </si>
  <si>
    <t>李歆</t>
  </si>
  <si>
    <t>宝山区恒高路128弄1号1803室</t>
  </si>
  <si>
    <t>0002531</t>
  </si>
  <si>
    <t>戴鹏</t>
  </si>
  <si>
    <t>泗塘七村</t>
  </si>
  <si>
    <t>退订单/超预算</t>
  </si>
  <si>
    <t>0002756</t>
  </si>
  <si>
    <t>王小涛</t>
  </si>
  <si>
    <t>闵行区江桦路200弄46号401</t>
  </si>
  <si>
    <t>0002947</t>
  </si>
  <si>
    <t>郑斌</t>
  </si>
  <si>
    <t>虹桥路996弄22号302室</t>
  </si>
  <si>
    <t>白丽路99弄133号102室</t>
  </si>
  <si>
    <t>田益民</t>
  </si>
  <si>
    <t>徐汇区太原路76号401室</t>
  </si>
  <si>
    <t>0002477</t>
  </si>
  <si>
    <t>陈雯</t>
  </si>
  <si>
    <t>嘉定区临泽路600弄8号601室</t>
  </si>
  <si>
    <t>年后开工</t>
  </si>
  <si>
    <t>0002891</t>
  </si>
  <si>
    <t>汪蕾</t>
  </si>
  <si>
    <t>博山路200弄6号102室</t>
  </si>
  <si>
    <t>阴小东</t>
  </si>
  <si>
    <t>奉贤西渡扶兰路18弄7号楼7-1501</t>
  </si>
  <si>
    <t>奉贤抢单</t>
  </si>
  <si>
    <t>陈燕</t>
  </si>
  <si>
    <t>浦东西营南路67弄37号101室</t>
  </si>
  <si>
    <t>黄云英</t>
  </si>
  <si>
    <t>普陀曹杨710弄31号1701室</t>
  </si>
  <si>
    <t>0002914</t>
  </si>
  <si>
    <t>庞秋月</t>
  </si>
  <si>
    <t>周于</t>
  </si>
  <si>
    <t>浦东新区临港新城</t>
  </si>
  <si>
    <t>0002534</t>
  </si>
  <si>
    <t>朱煜华</t>
  </si>
  <si>
    <t>宝杨路3410弄2号102室</t>
  </si>
  <si>
    <t>0000065</t>
  </si>
  <si>
    <t>撞单百家宜</t>
  </si>
  <si>
    <t>奉贤西渡扶兰路18弄7号楼170-1501室</t>
  </si>
  <si>
    <t>吴达清</t>
  </si>
  <si>
    <t>川沙城丰路599弄10号902室</t>
  </si>
  <si>
    <t>5.4活动</t>
  </si>
  <si>
    <t>0000716</t>
  </si>
  <si>
    <t>万洁</t>
  </si>
  <si>
    <t>徐汇区肇嘉浜路999弄18号2302室</t>
  </si>
  <si>
    <t>0002820</t>
  </si>
  <si>
    <t>梁斌</t>
  </si>
  <si>
    <t>浦东新区寿光路78弄28号801室</t>
  </si>
  <si>
    <t>0002900</t>
  </si>
  <si>
    <t>金女士</t>
  </si>
  <si>
    <t>金高路2131弄47号301室</t>
  </si>
  <si>
    <t>王帆</t>
  </si>
  <si>
    <t>嘉定区金耀路555弄21号1003室</t>
  </si>
  <si>
    <t>0003820</t>
  </si>
  <si>
    <t>谈燕</t>
  </si>
  <si>
    <t>15000810886/13564372073</t>
  </si>
  <si>
    <t>浦秀路765弄55号302</t>
  </si>
  <si>
    <t>0003821</t>
  </si>
  <si>
    <t>赵静芬</t>
  </si>
  <si>
    <t>150008108861</t>
  </si>
  <si>
    <t>浦秀路765弄82号503</t>
  </si>
  <si>
    <t>0001914</t>
  </si>
  <si>
    <t>刘艳玲</t>
  </si>
  <si>
    <t>景谷中路58弄9号1502</t>
  </si>
  <si>
    <t>0003670</t>
  </si>
  <si>
    <t>刘爽</t>
  </si>
  <si>
    <t>长宁区仙霞西路500号32号601</t>
  </si>
  <si>
    <t>马佳琳</t>
  </si>
  <si>
    <t>虹许路788号43号505室</t>
  </si>
  <si>
    <t>0001755</t>
  </si>
  <si>
    <t>于学静</t>
  </si>
  <si>
    <t>惠南镇丰海路500弄16号801</t>
  </si>
  <si>
    <t>沈玉军</t>
  </si>
  <si>
    <t>朱泾镇万安街740弄7号</t>
  </si>
  <si>
    <t>张晨燕</t>
  </si>
  <si>
    <t>江浦路209-2-301</t>
  </si>
  <si>
    <t>0002899</t>
  </si>
  <si>
    <t>何志云</t>
  </si>
  <si>
    <t>美墅1号</t>
  </si>
  <si>
    <t>陶宗浅</t>
  </si>
  <si>
    <t>锦绣路3336弄8号501</t>
  </si>
  <si>
    <t>0003085</t>
  </si>
  <si>
    <t>陈小姐</t>
  </si>
  <si>
    <t>普陀区中山北路</t>
  </si>
  <si>
    <t>0003467</t>
  </si>
  <si>
    <t>龚丽慧</t>
  </si>
  <si>
    <t>美墅59号</t>
  </si>
  <si>
    <t>0003883</t>
  </si>
  <si>
    <t>顾洪军</t>
  </si>
  <si>
    <t>南昌路555弄2号2002</t>
  </si>
  <si>
    <t>苏女士</t>
  </si>
  <si>
    <t>虹口区新市南路1225弄15号1201室</t>
  </si>
  <si>
    <t>严超</t>
  </si>
  <si>
    <t>嘉唐公路169-73-502</t>
  </si>
  <si>
    <t>沈锦华</t>
  </si>
  <si>
    <t>浦东秀浦路800弄1号1202室</t>
  </si>
  <si>
    <t>地暖阶段</t>
  </si>
  <si>
    <t>0003824</t>
  </si>
  <si>
    <t>余琳宾</t>
  </si>
  <si>
    <t>浦东新区周康路869呢266号1602室</t>
  </si>
  <si>
    <t>0003860</t>
  </si>
  <si>
    <t>徐聪</t>
  </si>
  <si>
    <t>浦东航头镇环镇东路185弄40号502</t>
  </si>
  <si>
    <t>0003817</t>
  </si>
  <si>
    <t>戴莉莉</t>
  </si>
  <si>
    <t>13361891705/18917928320</t>
  </si>
  <si>
    <t>浦星公路禹洲雍贤府15幢101室</t>
  </si>
  <si>
    <t>曾岩</t>
  </si>
  <si>
    <t>浦驰路1336弄18号301室</t>
  </si>
  <si>
    <t>0001138</t>
  </si>
  <si>
    <t>孙俊</t>
  </si>
  <si>
    <t>场北路699弄中环国际三期35号1202</t>
  </si>
  <si>
    <t>张晨艳</t>
  </si>
  <si>
    <t>闵行浦连路281弄7号1201室</t>
  </si>
  <si>
    <t>0003823</t>
  </si>
  <si>
    <t>李想</t>
  </si>
  <si>
    <t>闵行区浦涛路510弄5#303</t>
  </si>
  <si>
    <t>0002945</t>
  </si>
  <si>
    <t>赵超越</t>
  </si>
  <si>
    <t>湖畔天下三期33号</t>
  </si>
  <si>
    <t>0000525</t>
  </si>
  <si>
    <t>王伟波</t>
  </si>
  <si>
    <t>沪南公路3468弄154号502</t>
  </si>
  <si>
    <t>王建霞</t>
  </si>
  <si>
    <t>宜川路778弄17号1302室</t>
  </si>
  <si>
    <t>王宁</t>
  </si>
  <si>
    <t>浦东居家桥路737弄49号601室</t>
  </si>
  <si>
    <t>0001720</t>
  </si>
  <si>
    <t>陆健慧</t>
  </si>
  <si>
    <t>洛川中路600弄20号701</t>
  </si>
  <si>
    <t>0002352</t>
  </si>
  <si>
    <t>罗园洁</t>
  </si>
  <si>
    <t>华和路728弄滨河华城26号901室</t>
  </si>
  <si>
    <t>0002432</t>
  </si>
  <si>
    <t>任薇薇</t>
  </si>
  <si>
    <t>齐河路259弄37号401</t>
  </si>
  <si>
    <t>退订单/客户觉得价格高了</t>
  </si>
  <si>
    <t>0000344</t>
  </si>
  <si>
    <t>张志强</t>
  </si>
  <si>
    <t>张春辉</t>
  </si>
  <si>
    <t>利津路185弄17号301室</t>
  </si>
  <si>
    <t>5.13</t>
  </si>
  <si>
    <t>002946</t>
  </si>
  <si>
    <t>李小艳</t>
  </si>
  <si>
    <t>湖畔三期111号</t>
  </si>
  <si>
    <t>0002346</t>
  </si>
  <si>
    <t>于健伟</t>
  </si>
  <si>
    <t>嘉定区沙霞路77弄10号202室</t>
  </si>
  <si>
    <t>吕慧英</t>
  </si>
  <si>
    <t>芳林路1357弄136号</t>
  </si>
  <si>
    <t>土建</t>
  </si>
  <si>
    <t>0002478</t>
  </si>
  <si>
    <t>纪华烨</t>
  </si>
  <si>
    <t>长桥五村</t>
  </si>
  <si>
    <t>0003466</t>
  </si>
  <si>
    <t>傅艳臻</t>
  </si>
  <si>
    <t>长宁路1666弄6号102室</t>
  </si>
  <si>
    <t>倪家明</t>
  </si>
  <si>
    <t>0001723</t>
  </si>
  <si>
    <t>袁孝娟</t>
  </si>
  <si>
    <t>郭敏</t>
  </si>
  <si>
    <t>东厅2880弄2号1802室</t>
  </si>
  <si>
    <t>0002944</t>
  </si>
  <si>
    <t>王恒志</t>
  </si>
  <si>
    <t>湖畔天下三期318号</t>
  </si>
  <si>
    <t>退订单/觉得价格高</t>
  </si>
  <si>
    <t>0002743</t>
  </si>
  <si>
    <t>郭明君</t>
  </si>
  <si>
    <t>陶勤</t>
  </si>
  <si>
    <t>铜川路2395弄22号401室</t>
  </si>
  <si>
    <t>退订单/觉得工期太长装饰公司包了</t>
  </si>
  <si>
    <t>0000804</t>
  </si>
  <si>
    <t>诸发文</t>
  </si>
  <si>
    <t>嘉定区嘉程东路69弄2号1002室</t>
  </si>
  <si>
    <t>0002524</t>
  </si>
  <si>
    <t>李康凯</t>
  </si>
  <si>
    <t>贲先生</t>
  </si>
  <si>
    <t>莘松路958弄瀑布湾道90号403</t>
  </si>
  <si>
    <t>报测量</t>
  </si>
  <si>
    <t>0002928</t>
  </si>
  <si>
    <t>卜云</t>
  </si>
  <si>
    <t>浦东新区俱进路285弄153号102</t>
  </si>
  <si>
    <t>8月动工</t>
  </si>
  <si>
    <t>0003882</t>
  </si>
  <si>
    <t>徐汇区南宁路501弄1号302室</t>
  </si>
  <si>
    <t>范莉</t>
  </si>
  <si>
    <t>17321325288/13761644675</t>
  </si>
  <si>
    <t>浦东周浦镇荣东路159弄55号401室</t>
  </si>
  <si>
    <t>10月动工</t>
  </si>
  <si>
    <t>刘鹏飞</t>
  </si>
  <si>
    <t>湖畔天下三期197号</t>
  </si>
  <si>
    <t>窦赟</t>
  </si>
  <si>
    <t>昆山前进西路时代悦府6-202</t>
  </si>
  <si>
    <t>0002841</t>
  </si>
  <si>
    <t>蒙山路1090弄103号301室</t>
  </si>
  <si>
    <t>云兰建筑装饰</t>
  </si>
  <si>
    <t>0002532</t>
  </si>
  <si>
    <t>牛红</t>
  </si>
  <si>
    <t>13681862245/13916345696</t>
  </si>
  <si>
    <t>浦东新区泥城镇农具新村24弄2号401</t>
  </si>
  <si>
    <t>0002502</t>
  </si>
  <si>
    <t>夏铮嵘</t>
  </si>
  <si>
    <t>徐汇区虹梅路2015弄-24号301</t>
  </si>
  <si>
    <t>0002500</t>
  </si>
  <si>
    <t>吴伟</t>
  </si>
  <si>
    <t>浦东飓风路995弄49号402</t>
  </si>
  <si>
    <t>退订单</t>
  </si>
  <si>
    <t>0002897</t>
  </si>
  <si>
    <t>刁先生</t>
  </si>
  <si>
    <t>松江区朱建设（未拿房）</t>
  </si>
  <si>
    <t>0000722</t>
  </si>
  <si>
    <t>曹小姐</t>
  </si>
  <si>
    <t>虹口区东体育会路689-301</t>
  </si>
  <si>
    <t>0002479</t>
  </si>
  <si>
    <t>姚佳杰</t>
  </si>
  <si>
    <t>浦东新区祝家港路155弄29号501室</t>
  </si>
  <si>
    <t>于加欣</t>
  </si>
  <si>
    <t>呼玛三村375号301室</t>
  </si>
  <si>
    <t>李永雄</t>
  </si>
  <si>
    <t>嘉定平城1000弄汇景华庭4号203室</t>
  </si>
  <si>
    <t>0002905</t>
  </si>
  <si>
    <t>姜俊</t>
  </si>
  <si>
    <t>新闸路1910弄8号1305</t>
  </si>
  <si>
    <t>潘玲星</t>
  </si>
  <si>
    <t>松江区中山街道茸梅路200弄250号401</t>
  </si>
  <si>
    <t>0000724</t>
  </si>
  <si>
    <t>汪娟</t>
  </si>
  <si>
    <t>浦东益江路396弄15号501室</t>
  </si>
  <si>
    <t>0000725</t>
  </si>
  <si>
    <t>杨家为</t>
  </si>
  <si>
    <t>汶水东路298弄5号203室</t>
  </si>
  <si>
    <t>撞单已退</t>
  </si>
  <si>
    <t>喜盈门孙操操代买了</t>
  </si>
  <si>
    <t>姜佳培</t>
  </si>
  <si>
    <t>浦东兰谷璐2955弄39号-902室</t>
  </si>
  <si>
    <t>孙施良</t>
  </si>
  <si>
    <t>闵行区水清路999弄49号102</t>
  </si>
  <si>
    <t>7.13退单</t>
  </si>
  <si>
    <t>0002241</t>
  </si>
  <si>
    <t>朱颖</t>
  </si>
  <si>
    <t>闵行区水清路1028弄35号</t>
  </si>
  <si>
    <t>龚小菊/刘佳</t>
  </si>
  <si>
    <t>孔凡志</t>
  </si>
  <si>
    <t>秋月尚东区14号101室</t>
  </si>
  <si>
    <t>0001261</t>
  </si>
  <si>
    <t>顾瑾</t>
  </si>
  <si>
    <t>尚东区4号101</t>
  </si>
  <si>
    <t>平云枝</t>
  </si>
  <si>
    <t>宝城三村25号102室</t>
  </si>
  <si>
    <t>0002930</t>
  </si>
  <si>
    <t>卢姝萍</t>
  </si>
  <si>
    <t>闵行区江川路街道京川路865弄201室23号</t>
  </si>
  <si>
    <t>网上申请退款</t>
  </si>
  <si>
    <t>0002276</t>
  </si>
  <si>
    <t>卫志强</t>
  </si>
  <si>
    <t>车峰路2000弄36号501室</t>
  </si>
  <si>
    <t>0001270</t>
  </si>
  <si>
    <t>许杰陆</t>
  </si>
  <si>
    <t>浦东2号楼1204</t>
  </si>
  <si>
    <t>王婉</t>
  </si>
  <si>
    <t>福家路100弄21号102室</t>
  </si>
  <si>
    <t>000349</t>
  </si>
  <si>
    <t>沈清</t>
  </si>
  <si>
    <t>浦东新区巨野路60弄9号302室</t>
  </si>
  <si>
    <t>8.10退单</t>
  </si>
  <si>
    <t>孙卓青</t>
  </si>
  <si>
    <t>上海闵行区七莘路181弄35号301</t>
  </si>
  <si>
    <t>0002965</t>
  </si>
  <si>
    <t>张英</t>
  </si>
  <si>
    <t>东兰路1111弄116号901室</t>
  </si>
  <si>
    <t>0002355</t>
  </si>
  <si>
    <t>杭永胜</t>
  </si>
  <si>
    <t>天山路202弄46号701</t>
  </si>
  <si>
    <t>家倍得</t>
  </si>
  <si>
    <t>卢晔</t>
  </si>
  <si>
    <t>杨树浦路1177弄16号1206室</t>
  </si>
  <si>
    <t>邴献文</t>
  </si>
  <si>
    <t>闵行区莘朱路81弄40号401</t>
  </si>
  <si>
    <t>方雅娟</t>
  </si>
  <si>
    <t>宝山区三泉路1495弄35号601室</t>
  </si>
  <si>
    <t>顾晨宏</t>
  </si>
  <si>
    <t>甲红路881弄62号</t>
  </si>
  <si>
    <t>马支勤</t>
  </si>
  <si>
    <t>浦东益江路511弄11#402</t>
  </si>
  <si>
    <t>0003119</t>
  </si>
  <si>
    <t>张大维</t>
  </si>
  <si>
    <t>闵行区芦通路378弄204号601室</t>
  </si>
  <si>
    <t>0003861</t>
  </si>
  <si>
    <t>徐萍</t>
  </si>
  <si>
    <t>祝桥镇千汇三村47号1001室</t>
  </si>
  <si>
    <t>0003862</t>
  </si>
  <si>
    <t>顾旭宏</t>
  </si>
  <si>
    <t>祝桥镇千汇三村47号1002室</t>
  </si>
  <si>
    <t>姜莉</t>
  </si>
  <si>
    <t>青浦区绿地时代名邸二期68号103室</t>
  </si>
  <si>
    <t>张晓薇</t>
  </si>
  <si>
    <t>浦东周*路500-20-102</t>
  </si>
  <si>
    <t>陈騑</t>
  </si>
  <si>
    <t>宝山区南陈路278弄58号201室</t>
  </si>
  <si>
    <t>0000378</t>
  </si>
  <si>
    <t>程坚</t>
  </si>
  <si>
    <t>江宁路1415弄世纪之门47号902室</t>
  </si>
  <si>
    <t>0000499</t>
  </si>
  <si>
    <t>朱开宇</t>
  </si>
  <si>
    <t>闵行区春都路88弄202</t>
  </si>
  <si>
    <t>朱方</t>
  </si>
  <si>
    <t>场北路399弄29号201室</t>
  </si>
  <si>
    <t>张淋蒨</t>
  </si>
  <si>
    <t>宝山区新二路999弄98号402室</t>
  </si>
  <si>
    <t>李杰</t>
  </si>
  <si>
    <t>浦东新区川沙路2301弄17号1701室</t>
  </si>
  <si>
    <t>张爱珍</t>
  </si>
  <si>
    <t>金山海滨新村21-901</t>
  </si>
  <si>
    <t>0000911</t>
  </si>
  <si>
    <t>黄娇皎</t>
  </si>
  <si>
    <t>浦东新区浦明路99弄31号1502室</t>
  </si>
  <si>
    <t>印良</t>
  </si>
  <si>
    <t>18001666212/130031707199</t>
  </si>
  <si>
    <t>普陀区祁顺路1388弄65号302室</t>
  </si>
  <si>
    <t>19.4月开工</t>
  </si>
  <si>
    <t>0001664</t>
  </si>
  <si>
    <t>倪总跃</t>
  </si>
  <si>
    <t>浦江镇闵驰二路256弄22号703室</t>
  </si>
  <si>
    <t>2019.8.27</t>
  </si>
  <si>
    <t>周梦颖</t>
  </si>
  <si>
    <t>金山区海尚馨苑64号1002</t>
  </si>
  <si>
    <t>0001012</t>
  </si>
  <si>
    <t>强屹峰</t>
  </si>
  <si>
    <t>松江区谷阳北南路52号208室</t>
  </si>
  <si>
    <t>0001242</t>
  </si>
  <si>
    <t>孙烨</t>
  </si>
  <si>
    <t>浦东新区上丰路1483弄87-301</t>
  </si>
  <si>
    <t>杨豪杰</t>
  </si>
  <si>
    <t>曲阳路街道甘河路110号岳阳医院</t>
  </si>
  <si>
    <t>0002144</t>
  </si>
  <si>
    <t>张丽丽</t>
  </si>
  <si>
    <t>浦东北艾路155弄30号404</t>
  </si>
  <si>
    <t>0001004</t>
  </si>
  <si>
    <t>王健</t>
  </si>
  <si>
    <t>水云间39弄21号</t>
  </si>
  <si>
    <t>5.12活动</t>
  </si>
  <si>
    <t>0001247</t>
  </si>
  <si>
    <t>王琳</t>
  </si>
  <si>
    <t>上海市徐汇区宾南路19弄10-101</t>
  </si>
  <si>
    <t>0002676</t>
  </si>
  <si>
    <t>程序</t>
  </si>
  <si>
    <t>御街路68弄48号303室</t>
  </si>
  <si>
    <t>0002877</t>
  </si>
  <si>
    <t>吕兰</t>
  </si>
  <si>
    <t>闵行区虹桥镇龙柏三村194号403室</t>
  </si>
  <si>
    <t>0001657</t>
  </si>
  <si>
    <t>周田宾</t>
  </si>
  <si>
    <t>松江区广福林路1518弄589号701室</t>
  </si>
  <si>
    <t>0000092</t>
  </si>
  <si>
    <t>李蓓</t>
  </si>
  <si>
    <t>双阳北路288弄65号801室</t>
  </si>
  <si>
    <t>已安排测量</t>
  </si>
  <si>
    <t>客户要等地砖贴好才测量，工期不紧</t>
  </si>
  <si>
    <t>0001249</t>
  </si>
  <si>
    <t>毛靖雯</t>
  </si>
  <si>
    <t>浦东新区上丰路1483弄金融家88号501室</t>
  </si>
  <si>
    <t>孟涛</t>
  </si>
  <si>
    <t>希望路260弄1号1804室</t>
  </si>
  <si>
    <t>5.13活动</t>
  </si>
  <si>
    <t>毛连发</t>
  </si>
  <si>
    <t>复兴东路701弄8号1501</t>
  </si>
  <si>
    <t>0000729</t>
  </si>
  <si>
    <t>徐芳美</t>
  </si>
  <si>
    <t>飞虹路237弄10号303室</t>
  </si>
  <si>
    <t>陈旭琦</t>
  </si>
  <si>
    <t>武宁南路230弄9号2303室</t>
  </si>
  <si>
    <t>0002176</t>
  </si>
  <si>
    <t>王晓丹</t>
  </si>
  <si>
    <t>滨江大道1773弄6号501室</t>
  </si>
  <si>
    <t>王金花</t>
  </si>
  <si>
    <t>杨浦区江湾城路1299弄81号1101室</t>
  </si>
  <si>
    <t>0000916</t>
  </si>
  <si>
    <t>张秀芳</t>
  </si>
  <si>
    <t>东靖路2250弄21号901</t>
  </si>
  <si>
    <t>李隽</t>
  </si>
  <si>
    <t>13817706637/18616963099</t>
  </si>
  <si>
    <t>博兴路986弄22号201室</t>
  </si>
  <si>
    <t>0002129</t>
  </si>
  <si>
    <t>冯罕冰</t>
  </si>
  <si>
    <t>浦东丁香路1399弄7号201</t>
  </si>
  <si>
    <t>0001251</t>
  </si>
  <si>
    <t>孙小姐</t>
  </si>
  <si>
    <t>18501688217/18616857658</t>
  </si>
  <si>
    <t>城隆路1258弄上坤四季24-101</t>
  </si>
  <si>
    <t>0003864</t>
  </si>
  <si>
    <t>张良</t>
  </si>
  <si>
    <t>奉贤区南桥镇环城南路1128弄</t>
  </si>
  <si>
    <t>0003107</t>
  </si>
  <si>
    <t>李麟</t>
  </si>
  <si>
    <t>闵行区洱海路99弄40号201室</t>
  </si>
  <si>
    <t>0001166</t>
  </si>
  <si>
    <t>唐小姐</t>
  </si>
  <si>
    <t>上海杨浦区政悦路500弄雍景苑58号201室</t>
  </si>
  <si>
    <t>0000628</t>
  </si>
  <si>
    <t>张艳红</t>
  </si>
  <si>
    <t>宝山区阳曲路共和三村9号502</t>
  </si>
  <si>
    <t>0002969</t>
  </si>
  <si>
    <t>杨正道</t>
  </si>
  <si>
    <t>华石路88弄36号2602室</t>
  </si>
  <si>
    <t>5.19活动</t>
  </si>
  <si>
    <t>0002970</t>
  </si>
  <si>
    <t>龚剑锋</t>
  </si>
  <si>
    <t>九江公路159弄绿地海珀88弄101室</t>
  </si>
  <si>
    <t>王成梁</t>
  </si>
  <si>
    <t>西泰林路850弄28号402室</t>
  </si>
  <si>
    <t>天猫退单</t>
  </si>
  <si>
    <t>洪磊</t>
  </si>
  <si>
    <t>静安区万荣路388弄8号202室</t>
  </si>
  <si>
    <t>和洪亮撞单了</t>
  </si>
  <si>
    <t>0000359</t>
  </si>
  <si>
    <t>吴和平</t>
  </si>
  <si>
    <t>九亭象屿虹桥悦府</t>
  </si>
  <si>
    <t>8月交房</t>
  </si>
  <si>
    <t>0003829</t>
  </si>
  <si>
    <t>苏先生</t>
  </si>
  <si>
    <t>景谷中路58弄9号101室</t>
  </si>
  <si>
    <t>张琦</t>
  </si>
  <si>
    <t>霍山路288号1608室</t>
  </si>
  <si>
    <t>葛跃琦</t>
  </si>
  <si>
    <t>汾西路87弄12号602室</t>
  </si>
  <si>
    <t>5.18活动</t>
  </si>
  <si>
    <t>俞斯嘉</t>
  </si>
  <si>
    <t>希望路260弄11号1401室</t>
  </si>
  <si>
    <t>0002363</t>
  </si>
  <si>
    <t>郭永富</t>
  </si>
  <si>
    <t>凯旋路1555弄51号1704室</t>
  </si>
  <si>
    <t>0003683</t>
  </si>
  <si>
    <t>王唯申</t>
  </si>
  <si>
    <t>嘉定区嘉绣路955弄1号1202室</t>
  </si>
  <si>
    <t>江涛</t>
  </si>
  <si>
    <t>罗南路368弄8号401</t>
  </si>
  <si>
    <t>0003477</t>
  </si>
  <si>
    <t>王君</t>
  </si>
  <si>
    <t>虹桥路2328号1号楼206室</t>
  </si>
  <si>
    <t>鲁长青</t>
  </si>
  <si>
    <t>0003478</t>
  </si>
  <si>
    <t>谢家达</t>
  </si>
  <si>
    <t>苏家浜路388弄171号402</t>
  </si>
  <si>
    <t>0000926</t>
  </si>
  <si>
    <t>牛梦鸽</t>
  </si>
  <si>
    <t>凌河路618弄正旺苑31号601</t>
  </si>
  <si>
    <t>0003833</t>
  </si>
  <si>
    <t>夏嬴</t>
  </si>
  <si>
    <t>闵行区老沪闵路业祥路晶城晶采坊111弄1号2001</t>
  </si>
  <si>
    <t>0000506</t>
  </si>
  <si>
    <t>吴伟萍</t>
  </si>
  <si>
    <t>松江区陈春公路677弄169号</t>
  </si>
  <si>
    <t>0000360</t>
  </si>
  <si>
    <t>曾晓璐/张志强</t>
  </si>
  <si>
    <t>虹口区汶水东路298弄5号203室</t>
  </si>
  <si>
    <t>7.8测量</t>
  </si>
  <si>
    <t>张智双</t>
  </si>
  <si>
    <t>昆山象屿都城怡园九号楼1204室</t>
  </si>
  <si>
    <t>范先生</t>
  </si>
  <si>
    <t>潘玲</t>
  </si>
  <si>
    <t>普陀区白丽路99弄106号101室</t>
  </si>
  <si>
    <t>0000097</t>
  </si>
  <si>
    <t>陈旭明</t>
  </si>
  <si>
    <t>市光三村105号603</t>
  </si>
  <si>
    <t>王颖</t>
  </si>
  <si>
    <t>海宁市海洲街道公园道一号21幢1单元701室</t>
  </si>
  <si>
    <t>0001254</t>
  </si>
  <si>
    <t>洪柳</t>
  </si>
  <si>
    <t>宝山华和路728弄56号</t>
  </si>
  <si>
    <t>郭牧</t>
  </si>
  <si>
    <t>扶兰路18弄香榭国际112-301</t>
  </si>
  <si>
    <t>俞飞</t>
  </si>
  <si>
    <t>金山区卫零北路800弄113号102</t>
  </si>
  <si>
    <t>0001761</t>
  </si>
  <si>
    <t>潘先生</t>
  </si>
  <si>
    <t>观海路1588弄远洋万科四季20弄702室</t>
  </si>
  <si>
    <t>汪纬</t>
  </si>
  <si>
    <t>宜川路733-15-201</t>
  </si>
  <si>
    <t>宁初岚/曹伟龙</t>
  </si>
  <si>
    <t>18602115708/13818582772</t>
  </si>
  <si>
    <t>闵行区罗阳路568弄110号202室</t>
  </si>
  <si>
    <t>李虎林</t>
  </si>
  <si>
    <t>新昌路87弄104号511室</t>
  </si>
  <si>
    <t>陈施明</t>
  </si>
  <si>
    <t>丰海路500弄12号401室</t>
  </si>
  <si>
    <t>贴砖</t>
  </si>
  <si>
    <t>张倩芸</t>
  </si>
  <si>
    <t>华发路99弄48号402室</t>
  </si>
  <si>
    <t>0003885</t>
  </si>
  <si>
    <t>李飞</t>
  </si>
  <si>
    <t>徐汇区田林东路100弄32号201室</t>
  </si>
  <si>
    <t>0001635</t>
  </si>
  <si>
    <t>鲁伟嘉</t>
  </si>
  <si>
    <t>吉浦路395弄16号905室</t>
  </si>
  <si>
    <t>刘小倩</t>
  </si>
  <si>
    <t>古龙路1065弄48号302室</t>
  </si>
  <si>
    <t>0000739</t>
  </si>
  <si>
    <t>张沙沙</t>
  </si>
  <si>
    <t>林展路411弄6号楼403室</t>
  </si>
  <si>
    <t>0000740</t>
  </si>
  <si>
    <t>王若杨</t>
  </si>
  <si>
    <t>虹口区纪念路555弄1号803</t>
  </si>
  <si>
    <t>0008074</t>
  </si>
  <si>
    <t>李宇雷</t>
  </si>
  <si>
    <t>宝城路120弄9号402室</t>
  </si>
  <si>
    <t>陈宏大</t>
  </si>
  <si>
    <t>浦东新区梅园二街坊</t>
  </si>
  <si>
    <t>0002107</t>
  </si>
  <si>
    <t>杨芸</t>
  </si>
  <si>
    <t>嘉定区金园一路1888弄151号902室</t>
  </si>
  <si>
    <t>0003835</t>
  </si>
  <si>
    <t>范凉飞</t>
  </si>
  <si>
    <t>江臻路815弄3号402室</t>
  </si>
  <si>
    <t>胡海鸥</t>
  </si>
  <si>
    <t>闵行区金汇路588弄1号501</t>
  </si>
  <si>
    <t>顾丹丹</t>
  </si>
  <si>
    <t>闵行区鑫都路2535弄98号702室</t>
  </si>
  <si>
    <t>长宁区荣华路58弄32号</t>
  </si>
  <si>
    <t>4.25微信活动</t>
  </si>
  <si>
    <t>彭杉</t>
  </si>
  <si>
    <t>长宁区水城路728弄2号1701室</t>
  </si>
  <si>
    <t>2019.8.16</t>
  </si>
  <si>
    <t>谢越南</t>
  </si>
  <si>
    <t>闵行区银康路750弄11号1802室</t>
  </si>
  <si>
    <t>开工了，进度比较慢，应该到月底或下月初了</t>
  </si>
  <si>
    <t>0000909</t>
  </si>
  <si>
    <t>汪昕雨</t>
  </si>
  <si>
    <t>张衡路666弄16号</t>
  </si>
  <si>
    <t>阮先生</t>
  </si>
  <si>
    <t>澜庭23号1803</t>
  </si>
  <si>
    <t>0000718</t>
  </si>
  <si>
    <t>高山</t>
  </si>
  <si>
    <t>闵行区华漕镇金丰小区179弄86号502室</t>
  </si>
  <si>
    <t>彭越</t>
  </si>
  <si>
    <t>顾村镇顾北路东方帕堤欧46号</t>
  </si>
  <si>
    <t>0001982</t>
  </si>
  <si>
    <t>吉萍</t>
  </si>
  <si>
    <t>长宁区华阳路街道华院住宅小区11号楼1203室</t>
  </si>
  <si>
    <t>顾杰</t>
  </si>
  <si>
    <t>闵行区山花路108弄16号702室</t>
  </si>
  <si>
    <t>6.1婚博会活动</t>
  </si>
  <si>
    <t>潘春芳</t>
  </si>
  <si>
    <t>陈义鸿</t>
  </si>
  <si>
    <t>巨鹿路1号1905室</t>
  </si>
  <si>
    <t>等测量</t>
  </si>
  <si>
    <t>0002901</t>
  </si>
  <si>
    <t>殷丽华</t>
  </si>
  <si>
    <t>桂林东街51弄3号302</t>
  </si>
  <si>
    <t>退单6.18</t>
  </si>
  <si>
    <t>0001402</t>
  </si>
  <si>
    <t>浦浩军</t>
  </si>
  <si>
    <t>朱家角观澜府137号</t>
  </si>
  <si>
    <t>0002902</t>
  </si>
  <si>
    <t>蔡琳</t>
  </si>
  <si>
    <t>成山路1728弄47号2004室</t>
  </si>
  <si>
    <t>郑先生</t>
  </si>
  <si>
    <t>赵巷镇业前路泷湾苑1688弄523号</t>
  </si>
  <si>
    <t>平姐</t>
  </si>
  <si>
    <t>紫云路118弄2号10B</t>
  </si>
  <si>
    <t>5.23微信活动</t>
  </si>
  <si>
    <t>0003079</t>
  </si>
  <si>
    <t>君君</t>
  </si>
  <si>
    <t>大华路1380弄32号101室</t>
  </si>
  <si>
    <t>0002692</t>
  </si>
  <si>
    <t>付雪</t>
  </si>
  <si>
    <t>上海嘉定区金沙西路1555弄389号</t>
  </si>
  <si>
    <t>0003837</t>
  </si>
  <si>
    <t>徐瑛</t>
  </si>
  <si>
    <t>普善路239弄43号902</t>
  </si>
  <si>
    <t>0003602</t>
  </si>
  <si>
    <t>楚天舒</t>
  </si>
  <si>
    <t>羽山路308弄40号601室</t>
  </si>
  <si>
    <t>0001538</t>
  </si>
  <si>
    <t>张东枝</t>
  </si>
  <si>
    <t>徐汇区华泾路1000弄51号501室</t>
  </si>
  <si>
    <t>倪玮</t>
  </si>
  <si>
    <t>周东路368弄36号</t>
  </si>
  <si>
    <t>蔡慧俐</t>
  </si>
  <si>
    <t>松江区象屿虹桥悦府46号102室</t>
  </si>
  <si>
    <t>0003605</t>
  </si>
  <si>
    <t>胡炯</t>
  </si>
  <si>
    <t>闵行区宝城路158弄52号403室</t>
  </si>
  <si>
    <t>7.31测量</t>
  </si>
  <si>
    <t>0001639</t>
  </si>
  <si>
    <t>叶华兴</t>
  </si>
  <si>
    <t>虹口区雷民路238号909室</t>
  </si>
  <si>
    <t>陆春霜</t>
  </si>
  <si>
    <t>七莘路1818弄37号101室（老房子）</t>
  </si>
  <si>
    <t>邵志斌</t>
  </si>
  <si>
    <t>冯丹</t>
  </si>
  <si>
    <t>青浦区业辉路555弄160号</t>
  </si>
  <si>
    <t>杨文瑜</t>
  </si>
  <si>
    <t>上海市中科路2500弄3号1203室</t>
  </si>
  <si>
    <t>0000928</t>
  </si>
  <si>
    <t>王知</t>
  </si>
  <si>
    <t>利津路385弄64#601</t>
  </si>
  <si>
    <t>胡斌斌</t>
  </si>
  <si>
    <t>浦东新区上丰路1483弄53号501室</t>
  </si>
  <si>
    <t>嘉定区于塘南路82弄3号1601</t>
  </si>
  <si>
    <t>2019.9.7</t>
  </si>
  <si>
    <t>吴金初</t>
  </si>
  <si>
    <t>云谷路183-9-1604</t>
  </si>
  <si>
    <t>朱霁晟</t>
  </si>
  <si>
    <t>丁香路899弄11-1501</t>
  </si>
  <si>
    <t>宋佳</t>
  </si>
  <si>
    <t>御青路1051-20-401</t>
  </si>
  <si>
    <t>陈东</t>
  </si>
  <si>
    <t>0000929</t>
  </si>
  <si>
    <t>张亮</t>
  </si>
  <si>
    <t>川周公路2828弄55号501室</t>
  </si>
  <si>
    <t>凌师傅</t>
  </si>
  <si>
    <t>金地166号101/201</t>
  </si>
  <si>
    <t>周辉</t>
  </si>
  <si>
    <t>育秀东区152号202室</t>
  </si>
  <si>
    <t>姚文芳</t>
  </si>
  <si>
    <t>育秀东区</t>
  </si>
  <si>
    <t>0001256</t>
  </si>
  <si>
    <t>蔡以欣</t>
  </si>
  <si>
    <t>闵行区马桥镇元祥小区星星苑5区9号</t>
  </si>
  <si>
    <t>叶晓颖</t>
  </si>
  <si>
    <t>黄浦丽园洛68弄7号802室海洲丽园</t>
  </si>
  <si>
    <t>0001258</t>
  </si>
  <si>
    <t>彭国燕</t>
  </si>
  <si>
    <t>13601631567/13917578135</t>
  </si>
  <si>
    <t>浦东新区川沙路1666弄96号1002室</t>
  </si>
  <si>
    <t>5.25活动</t>
  </si>
  <si>
    <t>王党菲</t>
  </si>
  <si>
    <t>浦东康士路2弄4号102室</t>
  </si>
  <si>
    <t>5.25-5.26活动</t>
  </si>
  <si>
    <t>张华</t>
  </si>
  <si>
    <t>宝山区富联路25弄51号601室</t>
  </si>
  <si>
    <t>5.26活动</t>
  </si>
  <si>
    <t>陈滨</t>
  </si>
  <si>
    <t>梧洲路299弄7号702室</t>
  </si>
  <si>
    <t>0000227</t>
  </si>
  <si>
    <t>陈敏芳</t>
  </si>
  <si>
    <t>上海市嘉定区仓场路350弄16号501室</t>
  </si>
  <si>
    <t>0001727</t>
  </si>
  <si>
    <t>赵青</t>
  </si>
  <si>
    <t>竹柏路758弄74-201</t>
  </si>
  <si>
    <t>高俊</t>
  </si>
  <si>
    <t>上海宝山大华路1355弄34号301</t>
  </si>
  <si>
    <t>曹伟文</t>
  </si>
  <si>
    <t>遵义南路8号</t>
  </si>
  <si>
    <t>金豹</t>
  </si>
  <si>
    <t>平南三村万源路1185弄88号401室</t>
  </si>
  <si>
    <t>徐敏</t>
  </si>
  <si>
    <t>虹湾路313弄7号1404室</t>
  </si>
  <si>
    <t>0000007</t>
  </si>
  <si>
    <t>西康路1288弄1号1802室</t>
  </si>
  <si>
    <t>0001546</t>
  </si>
  <si>
    <t>顾健</t>
  </si>
  <si>
    <t>宝山区顾村路菊泉街1280弄32号1402</t>
  </si>
  <si>
    <t>高依萍</t>
  </si>
  <si>
    <t>尚东区23号602室</t>
  </si>
  <si>
    <t>5.1特惠</t>
  </si>
  <si>
    <t>何国强</t>
  </si>
  <si>
    <t>金山区香颂湾东区21/701</t>
  </si>
  <si>
    <t>陆燕</t>
  </si>
  <si>
    <t>金山名郡95号</t>
  </si>
  <si>
    <t>蔡云强</t>
  </si>
  <si>
    <t>闸殷路115弄6号403室</t>
  </si>
  <si>
    <t>肖丽媛</t>
  </si>
  <si>
    <t>闵行区莘松路958弄上海康城城道72号102室</t>
  </si>
  <si>
    <t>0001653</t>
  </si>
  <si>
    <t>王建生</t>
  </si>
  <si>
    <t>上海嘉定区南德路766弄湖语森林17号</t>
  </si>
  <si>
    <t>二十周年庆</t>
  </si>
  <si>
    <t>刘荣</t>
  </si>
  <si>
    <t>吴中路429弄11号302</t>
  </si>
  <si>
    <t>袁国迎</t>
  </si>
  <si>
    <t>都市路3566弄283号</t>
  </si>
  <si>
    <t>周沁之</t>
  </si>
  <si>
    <t>松江区泗泾镇绿雅苑47幢601</t>
  </si>
  <si>
    <t>杨辰</t>
  </si>
  <si>
    <t>松江区古楼公路656弄161号602</t>
  </si>
  <si>
    <t>杨子文</t>
  </si>
  <si>
    <t>荣华东道98弄1501室</t>
  </si>
  <si>
    <t>0000508</t>
  </si>
  <si>
    <t>王荣</t>
  </si>
  <si>
    <t>长宁区长宁路1188弄7号303室</t>
  </si>
  <si>
    <t>7.22已测量</t>
  </si>
  <si>
    <t>王健敏</t>
  </si>
  <si>
    <t>13818279551/13386118311</t>
  </si>
  <si>
    <t>长宁路476弄4号507室</t>
  </si>
  <si>
    <t>韩嶸珏</t>
  </si>
  <si>
    <t>黄浦区明珠路849弄17号704室</t>
  </si>
  <si>
    <t>3.6天猫活动</t>
  </si>
  <si>
    <t>黄浦区明珠路849弄27号1201室</t>
  </si>
  <si>
    <t>0000211</t>
  </si>
  <si>
    <t>严梁</t>
  </si>
  <si>
    <t xml:space="preserve">嘉定区城固路1331弄106号 </t>
  </si>
  <si>
    <t>朱旭峰</t>
  </si>
  <si>
    <t>浦东新区齐恒路177弄6号704</t>
  </si>
  <si>
    <t>0002121</t>
  </si>
  <si>
    <t>许朝阳</t>
  </si>
  <si>
    <t>江苏省昆山市千灯镇浦园别墅6栋206室</t>
  </si>
  <si>
    <t>邵晨辰</t>
  </si>
  <si>
    <t>上海市闵行区漕宝路1555弄16区2号201</t>
  </si>
  <si>
    <t xml:space="preserve">6.1-6.2入户门活动 </t>
  </si>
  <si>
    <t>0000509</t>
  </si>
  <si>
    <t>薛伟</t>
  </si>
  <si>
    <t>松江区新桥镇新中街188弄6号1101室</t>
  </si>
  <si>
    <t>8/5测量</t>
  </si>
  <si>
    <t>0001355</t>
  </si>
  <si>
    <t>曹梦蒂</t>
  </si>
  <si>
    <t>闵行区浦江镇闵驰二路59弄17号703室</t>
  </si>
  <si>
    <t>0002443</t>
  </si>
  <si>
    <t>万雪梅</t>
  </si>
  <si>
    <t>浦东新区东绣路99弄5号1101室</t>
  </si>
  <si>
    <t>0002698</t>
  </si>
  <si>
    <t>刘珂</t>
  </si>
  <si>
    <t>王亚虎</t>
  </si>
  <si>
    <t>廖荣</t>
  </si>
  <si>
    <t>东绣路1085弄1号1601</t>
  </si>
  <si>
    <t>月底</t>
  </si>
  <si>
    <t>0002444</t>
  </si>
  <si>
    <t>毛莉莉</t>
  </si>
  <si>
    <t>博华路980弄23号601</t>
  </si>
  <si>
    <t>程莺</t>
  </si>
  <si>
    <t>张扬北路555弄10号302</t>
  </si>
  <si>
    <t>鲍亚敏</t>
  </si>
  <si>
    <t>泗塘二村87号303室</t>
  </si>
  <si>
    <t>陈聘兰</t>
  </si>
  <si>
    <t>中华路429弄4号1601室</t>
  </si>
  <si>
    <t>砸金蛋活动</t>
  </si>
  <si>
    <t>吴文娟</t>
  </si>
  <si>
    <t>浦东华高一村120号202室</t>
  </si>
  <si>
    <t>0000842</t>
  </si>
  <si>
    <t>王颖琪</t>
  </si>
  <si>
    <t>漕河泾街道三江路12号605室</t>
  </si>
  <si>
    <t>冯敏</t>
  </si>
  <si>
    <t>武威东路888弄49号1102室</t>
  </si>
  <si>
    <t>陈颖峰</t>
  </si>
  <si>
    <t>0002512</t>
  </si>
  <si>
    <t>高嘉</t>
  </si>
  <si>
    <t>环林东路271弄20号1102室</t>
  </si>
  <si>
    <t>本周测量</t>
  </si>
  <si>
    <t>麻锦涛</t>
  </si>
  <si>
    <t>浦东浦发醇园90号502室</t>
  </si>
  <si>
    <t>0002471</t>
  </si>
  <si>
    <t>侯文琪</t>
  </si>
  <si>
    <t>宝山区一二八纪念路688弄11号301室</t>
  </si>
  <si>
    <t>于飞</t>
  </si>
  <si>
    <t>上海市浦东新区源泉路600弄1支弄1号204室</t>
  </si>
  <si>
    <t>6.2联盟活动</t>
  </si>
  <si>
    <t>0002136</t>
  </si>
  <si>
    <t>百雅静</t>
  </si>
  <si>
    <t>普陀区中潭路100弄244号404室</t>
  </si>
  <si>
    <t>周敏</t>
  </si>
  <si>
    <t>武乡南路230弄8号1001</t>
  </si>
  <si>
    <t>0000229</t>
  </si>
  <si>
    <t>张晓飞</t>
  </si>
  <si>
    <t>希望路260弄11号1201室</t>
  </si>
  <si>
    <t>0004323</t>
  </si>
  <si>
    <t>詹青</t>
  </si>
  <si>
    <t>东方路1663弄9号901室</t>
  </si>
  <si>
    <t>李进茹</t>
  </si>
  <si>
    <t>闵行区莘庄镇申北路锦绣苑47号101</t>
  </si>
  <si>
    <t>客户线上拍多个单号，后面订单给喜盈门了</t>
  </si>
  <si>
    <t>徐颖</t>
  </si>
  <si>
    <t>成山路1728弄21号1803室</t>
  </si>
  <si>
    <t>袁奇</t>
  </si>
  <si>
    <t>巨峰路176弄23号601室</t>
  </si>
  <si>
    <t>朱总（聚通装饰）</t>
  </si>
  <si>
    <t>嘉定区华亭镇北新村818号</t>
  </si>
  <si>
    <t>杨菊萍</t>
  </si>
  <si>
    <t>浦东新区华夏东路1668-11-602</t>
  </si>
  <si>
    <t>7月12</t>
  </si>
  <si>
    <t>张思茗</t>
  </si>
  <si>
    <t>大成郡4号1302</t>
  </si>
  <si>
    <t>0002513</t>
  </si>
  <si>
    <t>凌学喜</t>
  </si>
  <si>
    <t>闵行区黄文路101弄1号1906</t>
  </si>
  <si>
    <t>6.2活动</t>
  </si>
  <si>
    <t>俞璐</t>
  </si>
  <si>
    <t>闵行区业祥路1111弄</t>
  </si>
  <si>
    <t>0002334</t>
  </si>
  <si>
    <t>彭涛</t>
  </si>
  <si>
    <t>18616886584/13162158696</t>
  </si>
  <si>
    <t>曲阳路118弄15号402室</t>
  </si>
  <si>
    <t>0002336</t>
  </si>
  <si>
    <t>纪雯</t>
  </si>
  <si>
    <t>13761046377/13801725154</t>
  </si>
  <si>
    <t>长宁区泉口路109弄63号502室</t>
  </si>
  <si>
    <t>韩克成</t>
  </si>
  <si>
    <t>田林东路100弄30号1002室</t>
  </si>
  <si>
    <t>0002141</t>
  </si>
  <si>
    <t>胡乔寓</t>
  </si>
  <si>
    <t>上海市松江区广富林路1599弄59</t>
  </si>
  <si>
    <t>0002138</t>
  </si>
  <si>
    <t>钱昆</t>
  </si>
  <si>
    <t>张立峰</t>
  </si>
  <si>
    <t>宜山路2328弄18号901室</t>
  </si>
  <si>
    <t>0004321</t>
  </si>
  <si>
    <t>陆为燕</t>
  </si>
  <si>
    <t>浦东潍坊西路2弄15号4502</t>
  </si>
  <si>
    <t>锁定6.2活动</t>
  </si>
  <si>
    <t>0000886</t>
  </si>
  <si>
    <t>陈美玲</t>
  </si>
  <si>
    <t>黄琴</t>
  </si>
  <si>
    <t>上海市奉贤区奉城镇水墩村练功811号</t>
  </si>
  <si>
    <t>10月开工</t>
  </si>
  <si>
    <t>姜蕾</t>
  </si>
  <si>
    <t>嘉定区彰城11号228楼401室</t>
  </si>
  <si>
    <t>0002434</t>
  </si>
  <si>
    <t>王凯</t>
  </si>
  <si>
    <t>塘镇金融家2期92号502室</t>
  </si>
  <si>
    <t>0001046</t>
  </si>
  <si>
    <t>贾天阳</t>
  </si>
  <si>
    <t>杜康乐</t>
  </si>
  <si>
    <t>佘山镇刘家山路1088号19号701室</t>
  </si>
  <si>
    <t>0001764</t>
  </si>
  <si>
    <t>陈庆华</t>
  </si>
  <si>
    <t>北艾路1765弄6号1601室</t>
  </si>
  <si>
    <t>黄晶涛</t>
  </si>
  <si>
    <t>上海五莲路780弄56号402</t>
  </si>
  <si>
    <t>孔林</t>
  </si>
  <si>
    <t>上海闵行区浦江镇闵驰一路197弄15号203室</t>
  </si>
  <si>
    <t>张茜</t>
  </si>
  <si>
    <t>铜川路2288弄1号603</t>
  </si>
  <si>
    <t>8.12退单</t>
  </si>
  <si>
    <t>6.8团购</t>
  </si>
  <si>
    <t>0003088</t>
  </si>
  <si>
    <t>王翼飞</t>
  </si>
  <si>
    <t>虹桥路2222弄30号601室</t>
  </si>
  <si>
    <t>陈黎莉</t>
  </si>
  <si>
    <t>凉城路845弄29号102</t>
  </si>
  <si>
    <t>杨万里</t>
  </si>
  <si>
    <t>浦东新区凌环路51弄9号301</t>
  </si>
  <si>
    <t>臧舜</t>
  </si>
  <si>
    <t>浦东峨山路187弄40号302室</t>
  </si>
  <si>
    <t>0001973</t>
  </si>
  <si>
    <t>虬江路1488弄17号802室</t>
  </si>
  <si>
    <t>撞单汶水店</t>
  </si>
  <si>
    <t>6.30活动</t>
  </si>
  <si>
    <t>0000844</t>
  </si>
  <si>
    <t>储辰</t>
  </si>
  <si>
    <t>宏雅路151弄24号502室</t>
  </si>
  <si>
    <t>0002445</t>
  </si>
  <si>
    <t>管薇</t>
  </si>
  <si>
    <t>浦东新区沪南公路3468弄165号1201</t>
  </si>
  <si>
    <t>张新志</t>
  </si>
  <si>
    <t>艺术路500弄106号201室</t>
  </si>
  <si>
    <t>张思琪</t>
  </si>
  <si>
    <t>松江区月台路555弄248-301</t>
  </si>
  <si>
    <t>王微</t>
  </si>
  <si>
    <t>浦东新区民生路1001弄2号402室</t>
  </si>
  <si>
    <t>王薇</t>
  </si>
  <si>
    <t>0002128</t>
  </si>
  <si>
    <t>唐爱珍</t>
  </si>
  <si>
    <t>天钥桥路408号北楼402室</t>
  </si>
  <si>
    <t>0003876</t>
  </si>
  <si>
    <t>姚胜军</t>
  </si>
  <si>
    <t>宜山路2328弄38号401</t>
  </si>
  <si>
    <t>周成霖</t>
  </si>
  <si>
    <t>平型关路1083弄20号1001室</t>
  </si>
  <si>
    <t>胡皖</t>
  </si>
  <si>
    <t>兰谷路2455弄吧40号801</t>
  </si>
  <si>
    <t>退订单/客户开始选的免漆特价款，后面想做油漆但是价格接受不了</t>
  </si>
  <si>
    <t>武文骥</t>
  </si>
  <si>
    <t>金沙江路2299弄73号602室</t>
  </si>
  <si>
    <t>金申韵</t>
  </si>
  <si>
    <t>上海闵行区浦江路58弄37号402室</t>
  </si>
  <si>
    <t>卫兴华</t>
  </si>
  <si>
    <t>嘉定区南翔镇德华路331号501室</t>
  </si>
  <si>
    <t>0004320</t>
  </si>
  <si>
    <t>冯基</t>
  </si>
  <si>
    <t>衡山路20号1605室</t>
  </si>
  <si>
    <t>0004324</t>
  </si>
  <si>
    <t>郑翠君</t>
  </si>
  <si>
    <t>浦东花木路锦安东路567弄28号602</t>
  </si>
  <si>
    <t>0000843</t>
  </si>
  <si>
    <t>姚远</t>
  </si>
  <si>
    <t>浦东五莲路1769弄7号801</t>
  </si>
  <si>
    <t>0001364</t>
  </si>
  <si>
    <t>刘伟</t>
  </si>
  <si>
    <t>浦江江杭路500弄46号1002</t>
  </si>
  <si>
    <t>朱佳伟</t>
  </si>
  <si>
    <t>长临路380弄163号502室</t>
  </si>
  <si>
    <t>0001354</t>
  </si>
  <si>
    <t>李骏强</t>
  </si>
  <si>
    <t>虹口区场中路4弄5号楼401室</t>
  </si>
  <si>
    <t>張女士</t>
  </si>
  <si>
    <t>航北路38-5-403</t>
  </si>
  <si>
    <t>0002140</t>
  </si>
  <si>
    <t>蒋宝宏</t>
  </si>
  <si>
    <t>普陀区顺义路100弄12号701</t>
  </si>
  <si>
    <t>0002337</t>
  </si>
  <si>
    <t>李洁</t>
  </si>
  <si>
    <t>上海市长宁区天山路1726弄6号404</t>
  </si>
  <si>
    <t>潘佳诚</t>
  </si>
  <si>
    <t>上海市宝山区杨泰路99弄455号904</t>
  </si>
  <si>
    <t>陈竹青</t>
  </si>
  <si>
    <t>青浦重固回龙村付家桥425号</t>
  </si>
  <si>
    <t>0000887</t>
  </si>
  <si>
    <t>呼庆峰</t>
  </si>
  <si>
    <t>张江玉兰香苑三期31号601室</t>
  </si>
  <si>
    <t>已开工</t>
  </si>
  <si>
    <t>0003894</t>
  </si>
  <si>
    <t>李灿灿</t>
  </si>
  <si>
    <t>东波路195弄112号202</t>
  </si>
  <si>
    <t>李海波</t>
  </si>
  <si>
    <t>合庆镇前哨路198弄24号501</t>
  </si>
  <si>
    <t>已测待买</t>
  </si>
  <si>
    <t>沈生</t>
  </si>
  <si>
    <t>上海江桥镇临夏路800弄13号701</t>
  </si>
  <si>
    <t>0000935</t>
  </si>
  <si>
    <t>0001398</t>
  </si>
  <si>
    <t>严贞珍</t>
  </si>
  <si>
    <t>金山区朱泾镇公园路129弄15号1002室</t>
  </si>
  <si>
    <t>颜涛峰</t>
  </si>
  <si>
    <t>东育路95弄5号1301</t>
  </si>
  <si>
    <t>庄立涵</t>
  </si>
  <si>
    <t>长宁路1188弄11号13A01室</t>
  </si>
  <si>
    <t>0000882</t>
  </si>
  <si>
    <t>郁安达</t>
  </si>
  <si>
    <t>13761408952/13611648404</t>
  </si>
  <si>
    <t>普陀区武宁路955弄5号502</t>
  </si>
  <si>
    <t>0001670</t>
  </si>
  <si>
    <t>许瑾</t>
  </si>
  <si>
    <t>新华路569弄88号2104室</t>
  </si>
  <si>
    <t>退单6.3</t>
  </si>
  <si>
    <t>梁志鹏</t>
  </si>
  <si>
    <t>哈密路1800弄1号303室</t>
  </si>
  <si>
    <t>0001547</t>
  </si>
  <si>
    <t>郭云</t>
  </si>
  <si>
    <t>汾西路88弄31号1104室</t>
  </si>
  <si>
    <t>0001591</t>
  </si>
  <si>
    <t>张佳轶</t>
  </si>
  <si>
    <t>杨浦区长阳路1318弄54号902室</t>
  </si>
  <si>
    <t>0002519</t>
  </si>
  <si>
    <t>王成伟</t>
  </si>
  <si>
    <t>浦东海阳路215弄9号303室</t>
  </si>
  <si>
    <t>0002254</t>
  </si>
  <si>
    <t>顾悦琳</t>
  </si>
  <si>
    <t>南翔镇佳苑651弄4号2201</t>
  </si>
  <si>
    <t>吴楚怿</t>
  </si>
  <si>
    <t>浦东新区盛苑路777弄12号302室</t>
  </si>
  <si>
    <t>0002139</t>
  </si>
  <si>
    <t>段晓景</t>
  </si>
  <si>
    <t>周浦路周星路500弄7号901</t>
  </si>
  <si>
    <t>乐成涛</t>
  </si>
  <si>
    <t>华灵路1781弄95号102</t>
  </si>
  <si>
    <t>0002178</t>
  </si>
  <si>
    <t>魏双羽</t>
  </si>
  <si>
    <t>东绣路1389弄93号903室</t>
  </si>
  <si>
    <t>0000845</t>
  </si>
  <si>
    <t>曹纪华</t>
  </si>
  <si>
    <t>浦东利津路1313弄26号902</t>
  </si>
  <si>
    <t>0002446</t>
  </si>
  <si>
    <t>唐莉</t>
  </si>
  <si>
    <t>浦东梦苑路800弄346号</t>
  </si>
  <si>
    <t>尹传实</t>
  </si>
  <si>
    <t>凯旋北路1555弄10号1001室</t>
  </si>
  <si>
    <t>0003863</t>
  </si>
  <si>
    <t>倪珊</t>
  </si>
  <si>
    <t>秀沿路837弄20号202室</t>
  </si>
  <si>
    <t>0001767</t>
  </si>
  <si>
    <t>张莉</t>
  </si>
  <si>
    <t>玲兰路508弄58号301</t>
  </si>
  <si>
    <t>朱英</t>
  </si>
  <si>
    <t>惠南镇听悦路1205弄8幢21号1203</t>
  </si>
  <si>
    <t>0003686</t>
  </si>
  <si>
    <t>柴霞</t>
  </si>
  <si>
    <t>安亭镇博园路8200弄7号楼301</t>
  </si>
  <si>
    <t>魏升贤</t>
  </si>
  <si>
    <t>唐先生</t>
  </si>
  <si>
    <t>浦东园艺村376</t>
  </si>
  <si>
    <t>魏威</t>
  </si>
  <si>
    <t>东青路95弄5号1501</t>
  </si>
  <si>
    <t>王祥</t>
  </si>
  <si>
    <t>杨浦区关山路139号2303室</t>
  </si>
  <si>
    <t>郭晓宇</t>
  </si>
  <si>
    <t>宝山区友谊路宝林三村4号302室</t>
  </si>
  <si>
    <t>沈爱芳</t>
  </si>
  <si>
    <t>闵行区汇臻路939弄15号102室</t>
  </si>
  <si>
    <t>0003033</t>
  </si>
  <si>
    <t>顾玉婷</t>
  </si>
  <si>
    <t>长春路101弄2号403室</t>
  </si>
  <si>
    <t>朱海峰</t>
  </si>
  <si>
    <t>杨浦区周家嘴路2188弄4号602</t>
  </si>
  <si>
    <t>王国平</t>
  </si>
  <si>
    <t>江杨南路466弄33#1403</t>
  </si>
  <si>
    <t>宋琳</t>
  </si>
  <si>
    <t>上海市平路154弄25红包502室</t>
  </si>
  <si>
    <t>0001371</t>
  </si>
  <si>
    <t>许松山</t>
  </si>
  <si>
    <t>松江区桃源路518弄32号</t>
  </si>
  <si>
    <t>蒋柯</t>
  </si>
  <si>
    <t>长宁路969号3701室</t>
  </si>
  <si>
    <t>退订单/选择了其他品牌</t>
  </si>
  <si>
    <t>6.5花花团购</t>
  </si>
  <si>
    <t>0003688</t>
  </si>
  <si>
    <t>胡群</t>
  </si>
  <si>
    <t>建国东路338弄20弄1501室</t>
  </si>
  <si>
    <t>秦昊</t>
  </si>
  <si>
    <t>嘉定区南翔镇柏林路425弄402室</t>
  </si>
  <si>
    <t>0002256</t>
  </si>
  <si>
    <t>施夏叶</t>
  </si>
  <si>
    <t>13816693542/18001899107</t>
  </si>
  <si>
    <t>黄浦区五星路188弄4-504</t>
  </si>
  <si>
    <t>0001550</t>
  </si>
  <si>
    <t>高天</t>
  </si>
  <si>
    <t>上海室保零路4号301弄</t>
  </si>
  <si>
    <t>0001373</t>
  </si>
  <si>
    <t>马丽娜</t>
  </si>
  <si>
    <t>宝山区月辉路218弄37单元1502</t>
  </si>
  <si>
    <t>乔家路19弄3号通达大厦20楼7室</t>
  </si>
  <si>
    <t>000432</t>
  </si>
  <si>
    <t>潘蕾</t>
  </si>
  <si>
    <t>浦东齐河路257弄28号102室</t>
  </si>
  <si>
    <t>何志庆</t>
  </si>
  <si>
    <t>成山路2388弄95号1501室</t>
  </si>
  <si>
    <t>6.7-6.9活动</t>
  </si>
  <si>
    <t>陶冶</t>
  </si>
  <si>
    <t>仙霞路1388弄62号302室</t>
  </si>
  <si>
    <t>邵春艳</t>
  </si>
  <si>
    <t>虹桥路666弄8号1203室</t>
  </si>
  <si>
    <t>乔宏惠</t>
  </si>
  <si>
    <t>水电路1661弄1号602室</t>
  </si>
  <si>
    <t>李庆</t>
  </si>
  <si>
    <t>聚丰园路628-50-202</t>
  </si>
  <si>
    <t>6.7端午活动</t>
  </si>
  <si>
    <t>王幼茗</t>
  </si>
  <si>
    <t>浦东鹤浩路346弄1号704室</t>
  </si>
  <si>
    <t>沙静</t>
  </si>
  <si>
    <t>浦东东路三村335号1103室</t>
  </si>
  <si>
    <t>6.7活动</t>
  </si>
  <si>
    <t>杨慧萍</t>
  </si>
  <si>
    <t>松江区古楼公路639弄263-301</t>
  </si>
  <si>
    <t>0001668</t>
  </si>
  <si>
    <t>祝青霞</t>
  </si>
  <si>
    <t>惠南镇迎熏路215弄3号301</t>
  </si>
  <si>
    <t>0003242</t>
  </si>
  <si>
    <t>城大店</t>
  </si>
  <si>
    <t>刘丽</t>
  </si>
  <si>
    <t>陈璐</t>
  </si>
  <si>
    <t>涴沙三村56号102室</t>
  </si>
  <si>
    <t>徐晨曦</t>
  </si>
  <si>
    <t>巨峰路716弄11号201室</t>
  </si>
  <si>
    <t>0003695</t>
  </si>
  <si>
    <t>李亚萍</t>
  </si>
  <si>
    <t>上海真北路2087弄52支弄3号101室</t>
  </si>
  <si>
    <t>李明</t>
  </si>
  <si>
    <t>徐汇区中漕路111号2号楼2201室</t>
  </si>
  <si>
    <t>0001891</t>
  </si>
  <si>
    <t>祝鑫磊</t>
  </si>
  <si>
    <t>浦秀路765弄82号1103室</t>
  </si>
  <si>
    <t>顾玥慜</t>
  </si>
  <si>
    <t>水电路1312弄6支弄10#302</t>
  </si>
  <si>
    <t>李晓宏</t>
  </si>
  <si>
    <t>安亭中央公园9号302室</t>
  </si>
  <si>
    <t>赵佳</t>
  </si>
  <si>
    <t>浦东新区环林东路270弄20号701</t>
  </si>
  <si>
    <t>沈卫东</t>
  </si>
  <si>
    <t>青浦区徐塘镇燕南12号</t>
  </si>
  <si>
    <t>李贞</t>
  </si>
  <si>
    <t>青浦朱通路339弄卓越世纪中心20-36-602</t>
  </si>
  <si>
    <t>黄琛炜</t>
  </si>
  <si>
    <t>北沈路288弄6号901</t>
  </si>
  <si>
    <t>0004177</t>
  </si>
  <si>
    <t>苗瑜</t>
  </si>
  <si>
    <t>上海浦东新区张杨路628弄9号1008室</t>
  </si>
  <si>
    <t>周琴</t>
  </si>
  <si>
    <t>0004182</t>
  </si>
  <si>
    <t>许烨</t>
  </si>
  <si>
    <t>三江路88弄20号1501室</t>
  </si>
  <si>
    <t>陈文举</t>
  </si>
  <si>
    <t>御桥路1978弄24号701室</t>
  </si>
  <si>
    <t>端午节活动</t>
  </si>
  <si>
    <t>0004183</t>
  </si>
  <si>
    <t>鲍习斌</t>
  </si>
  <si>
    <t>徐汇区太原路289弄2号902室</t>
  </si>
  <si>
    <t>0001407</t>
  </si>
  <si>
    <t>郑可峰</t>
  </si>
  <si>
    <t>星尚湾42栋1204号</t>
  </si>
  <si>
    <t>0002068</t>
  </si>
  <si>
    <t>张宁展</t>
  </si>
  <si>
    <t>远香湖路600弄26号2001号</t>
  </si>
  <si>
    <t>陈洪凌</t>
  </si>
  <si>
    <t>新松江路1777弄66号</t>
  </si>
  <si>
    <t>0001375</t>
  </si>
  <si>
    <t>刘斌</t>
  </si>
  <si>
    <t>松江区广富林路1599弄三湘四季花城4期18号1502</t>
  </si>
  <si>
    <t>马飞</t>
  </si>
  <si>
    <t>青浦区崧文路388弄3号101室</t>
  </si>
  <si>
    <t>0002070</t>
  </si>
  <si>
    <t>周伟钧</t>
  </si>
  <si>
    <t>嘉康公路169弄78号101室</t>
  </si>
  <si>
    <t>0002067</t>
  </si>
  <si>
    <t>聂磊</t>
  </si>
  <si>
    <t>普陀区雪松路393弄280号602</t>
  </si>
  <si>
    <t>0002257</t>
  </si>
  <si>
    <t>凌鸿</t>
  </si>
  <si>
    <t>杨浦区赤峰路59弄4号1701室</t>
  </si>
  <si>
    <t>曹永建</t>
  </si>
  <si>
    <t>宝山盘古路2618弄25号101</t>
  </si>
  <si>
    <t>余菲</t>
  </si>
  <si>
    <t>逸仙路1238弄29号401室</t>
  </si>
  <si>
    <t>6.8活动</t>
  </si>
  <si>
    <t>0002265</t>
  </si>
  <si>
    <t>蔡倩峰</t>
  </si>
  <si>
    <t>新镇路876弄123号601</t>
  </si>
  <si>
    <t>楼茵</t>
  </si>
  <si>
    <t>大华路301弄7号301室</t>
  </si>
  <si>
    <t>0002266</t>
  </si>
  <si>
    <t>问静</t>
  </si>
  <si>
    <t>场北路669弄13号1101室</t>
  </si>
  <si>
    <t>0001669</t>
  </si>
  <si>
    <t>赵海深</t>
  </si>
  <si>
    <t>康达路118弄10号702室</t>
  </si>
  <si>
    <t>杨光</t>
  </si>
  <si>
    <t>1340204000/13916406904</t>
  </si>
  <si>
    <t>卫零北路800弄243号1002</t>
  </si>
  <si>
    <t>司明华</t>
  </si>
  <si>
    <t>余建俊</t>
  </si>
  <si>
    <t>上海漕宝路1555弄大上海国际花园12区10号202</t>
  </si>
  <si>
    <t>到货安装</t>
  </si>
  <si>
    <t>曹女士</t>
  </si>
  <si>
    <t>潍坊路208-9-204</t>
  </si>
  <si>
    <t>在跟装饰公司对接方案</t>
  </si>
  <si>
    <t>0001616</t>
  </si>
  <si>
    <t>郭改艳</t>
  </si>
  <si>
    <t>畹町路99弄万科假日风景91号102室</t>
  </si>
  <si>
    <t>0002268</t>
  </si>
  <si>
    <t>刘淑敏</t>
  </si>
  <si>
    <t>陈娟</t>
  </si>
  <si>
    <t>菊联路90弄15号503室</t>
  </si>
  <si>
    <t>庄磊</t>
  </si>
  <si>
    <t>静安区万荣路399弄1号1201室</t>
  </si>
  <si>
    <t>0004084</t>
  </si>
  <si>
    <t>袁嘉敏</t>
  </si>
  <si>
    <t>钦州北路885弄25号502室</t>
  </si>
  <si>
    <t>0004083</t>
  </si>
  <si>
    <t>刘顺凯</t>
  </si>
  <si>
    <t>三舒路33弄5号1004</t>
  </si>
  <si>
    <t>顾鸿飞</t>
  </si>
  <si>
    <t>嘉定区铜川路2395弄49号402</t>
  </si>
  <si>
    <t>高云</t>
  </si>
  <si>
    <t>中山西路189弄6号402室</t>
  </si>
  <si>
    <t>王悦</t>
  </si>
  <si>
    <t>道悦路55弄8号1602室</t>
  </si>
  <si>
    <t>0001055</t>
  </si>
  <si>
    <t>张晓嫣</t>
  </si>
  <si>
    <t>浦东永业路94弄15号501室</t>
  </si>
  <si>
    <t xml:space="preserve"> 刘凯韵</t>
  </si>
  <si>
    <t>虹桥路668-4-3201</t>
  </si>
  <si>
    <t>0001376</t>
  </si>
  <si>
    <t>高飞</t>
  </si>
  <si>
    <t>杨浦区双阳路68弄8号502</t>
  </si>
  <si>
    <t>00005697</t>
  </si>
  <si>
    <t>沈月平</t>
  </si>
  <si>
    <t>北艾路1765弄8号1501室</t>
  </si>
  <si>
    <t>史存峰</t>
  </si>
  <si>
    <t>朋中路1010弄327号</t>
  </si>
  <si>
    <t>0000748</t>
  </si>
  <si>
    <t>严萍</t>
  </si>
  <si>
    <t>大团镇永春西一路169号5-401</t>
  </si>
  <si>
    <t>韩箐</t>
  </si>
  <si>
    <t>丰皓路633弄50号301室</t>
  </si>
  <si>
    <t>0003047</t>
  </si>
  <si>
    <t>姜维</t>
  </si>
  <si>
    <t>云屏路1033弄6号1704</t>
  </si>
  <si>
    <t>0001768</t>
  </si>
  <si>
    <t>曾爱琴</t>
  </si>
  <si>
    <t>张江镇香楠小区276弄19号202室</t>
  </si>
  <si>
    <t>0003022</t>
  </si>
  <si>
    <t>东新路88弄37号1708室</t>
  </si>
  <si>
    <t>顾杨娟</t>
  </si>
  <si>
    <t>嘉定新城德富路900弄1号1102室</t>
  </si>
  <si>
    <t>钱玥</t>
  </si>
  <si>
    <t>瑞宝南路628弄2号楼906室</t>
  </si>
  <si>
    <t>6.9活动</t>
  </si>
  <si>
    <t>陈宏凯</t>
  </si>
  <si>
    <t>天钥桥路380弄37号802室</t>
  </si>
  <si>
    <t>史海萍</t>
  </si>
  <si>
    <t>银杏路30弄68号201室</t>
  </si>
  <si>
    <t>汪静颖</t>
  </si>
  <si>
    <t>金鼎路2588弄1号1202室</t>
  </si>
  <si>
    <t>8.11测量</t>
  </si>
  <si>
    <t>谭逶</t>
  </si>
  <si>
    <t>真华路1030弄73号601室</t>
  </si>
  <si>
    <t>王玮</t>
  </si>
  <si>
    <t>闵行区水清一村59号101室</t>
  </si>
  <si>
    <t>0002267</t>
  </si>
  <si>
    <t>史卫平</t>
  </si>
  <si>
    <t>虹湾路313弄12号803</t>
  </si>
  <si>
    <t>闵燕</t>
  </si>
  <si>
    <t>上海浦东新区惠南镇靖海南路567号1号楼1102</t>
  </si>
  <si>
    <t>长宁区虹井路888弄7号801</t>
  </si>
  <si>
    <t>0002269</t>
  </si>
  <si>
    <t>张玉梅</t>
  </si>
  <si>
    <t>南陈路278弄19号201室</t>
  </si>
  <si>
    <t>黄玲</t>
  </si>
  <si>
    <t>杨浦区本溪路138弄1号303室</t>
  </si>
  <si>
    <t>胡俊</t>
  </si>
  <si>
    <t>浦东新区高青路2878弄22号702室</t>
  </si>
  <si>
    <t>0004053</t>
  </si>
  <si>
    <t>袁湘英</t>
  </si>
  <si>
    <t>浦东路2281弄75号602</t>
  </si>
  <si>
    <t>0004190</t>
  </si>
  <si>
    <t>樊海博</t>
  </si>
  <si>
    <t>国贸天悦2号804</t>
  </si>
  <si>
    <t>0004110</t>
  </si>
  <si>
    <t>陈晰</t>
  </si>
  <si>
    <t>浦东昆山路600弄15号302</t>
  </si>
  <si>
    <t>丽目路1032-5-404</t>
  </si>
  <si>
    <t>等待退单</t>
  </si>
  <si>
    <t>0004191</t>
  </si>
  <si>
    <t>李新芳</t>
  </si>
  <si>
    <t>沪太路909弄1号楼401室</t>
  </si>
  <si>
    <t>0004329</t>
  </si>
  <si>
    <t>严天岑</t>
  </si>
  <si>
    <t>惠南镇西江路听潮六村2幢3号201室</t>
  </si>
  <si>
    <t>0001393</t>
  </si>
  <si>
    <t>陈娇</t>
  </si>
  <si>
    <t>新府中路1331弄63号1804</t>
  </si>
  <si>
    <t>林玲</t>
  </si>
  <si>
    <t>黄浦区川昌路384弄1号806</t>
  </si>
  <si>
    <t>丁文娟</t>
  </si>
  <si>
    <t>广中五村30号603室</t>
  </si>
  <si>
    <t>王昕昕</t>
  </si>
  <si>
    <t>上海市浦东新区杨高北路5291弄24号1002室</t>
  </si>
  <si>
    <t>0004086</t>
  </si>
  <si>
    <t>沈莲萍</t>
  </si>
  <si>
    <t>浦东新区宏雅路151弄57号</t>
  </si>
  <si>
    <t>0001753</t>
  </si>
  <si>
    <t>薛女士</t>
  </si>
  <si>
    <t>羽山路801弄14号302室</t>
  </si>
  <si>
    <t>高真</t>
  </si>
  <si>
    <t>还有一个门洞尺寸没有留好，在改，一个星期左右可以测量</t>
  </si>
  <si>
    <t>撞单家饰佳</t>
  </si>
  <si>
    <t>吴先生/程嘉瑶</t>
  </si>
  <si>
    <t>盛苑路777弄12号302室</t>
  </si>
  <si>
    <t>周黎达</t>
  </si>
  <si>
    <t>张扬路1515弄2号2701室</t>
  </si>
  <si>
    <t>张薏</t>
  </si>
  <si>
    <t>曲阳路58弄17号201室</t>
  </si>
  <si>
    <t>刚开工，应该要下月才能测量了</t>
  </si>
  <si>
    <t>浦东新区西泰林路901弄54号402</t>
  </si>
  <si>
    <t>0003690</t>
  </si>
  <si>
    <t>徐国耀</t>
  </si>
  <si>
    <t>南翔乐惠路801弄7号1504室</t>
  </si>
  <si>
    <t>0003036</t>
  </si>
  <si>
    <t>吴虹</t>
  </si>
  <si>
    <t>德国路955弄8号1605室</t>
  </si>
  <si>
    <t>卢勇</t>
  </si>
  <si>
    <t>龙吴路1343-18-3204</t>
  </si>
  <si>
    <t>0001378</t>
  </si>
  <si>
    <t>周斌</t>
  </si>
  <si>
    <t>浦秀路765弄87号301室</t>
  </si>
  <si>
    <t>0003697</t>
  </si>
  <si>
    <t>朱德永</t>
  </si>
  <si>
    <t>清涧路187弄9号1203室</t>
  </si>
  <si>
    <t>0004331</t>
  </si>
  <si>
    <t>袁媛</t>
  </si>
  <si>
    <t>浦东红枫路300弄2号901</t>
  </si>
  <si>
    <t>0001076</t>
  </si>
  <si>
    <t>抚远路885弄22号1201</t>
  </si>
  <si>
    <t>高先生</t>
  </si>
  <si>
    <t>金山区蓝色收获64号402</t>
  </si>
  <si>
    <t>0001552</t>
  </si>
  <si>
    <t>大宁路700弄21号301</t>
  </si>
  <si>
    <t>陆卫峰</t>
  </si>
  <si>
    <t>崇明区新河镇卫东村816号</t>
  </si>
  <si>
    <t>万翼青</t>
  </si>
  <si>
    <t>中漕路111号1号1302室</t>
  </si>
  <si>
    <t>0004332</t>
  </si>
  <si>
    <t>郑亮亮</t>
  </si>
  <si>
    <t>芳华路478弄30号602</t>
  </si>
  <si>
    <t>王晓强</t>
  </si>
  <si>
    <t>闵行区航东路255弄17号501</t>
  </si>
  <si>
    <t>姜春明</t>
  </si>
  <si>
    <t>泗泾镇外婆泾路288弄7号103</t>
  </si>
  <si>
    <t>0004192</t>
  </si>
  <si>
    <t>吴梅芳</t>
  </si>
  <si>
    <t>景谷中路58弄16号1301室</t>
  </si>
  <si>
    <t>0002181</t>
  </si>
  <si>
    <t>訾媛媛</t>
  </si>
  <si>
    <t>浦东新区栖山路1876弄7号202室</t>
  </si>
  <si>
    <t>张永红</t>
  </si>
  <si>
    <t>闵行碧江路501弄88号402室</t>
  </si>
  <si>
    <t>马艳</t>
  </si>
  <si>
    <t>莘诋路188弄10号201室</t>
  </si>
  <si>
    <t>0000104</t>
  </si>
  <si>
    <t>张一宁</t>
  </si>
  <si>
    <t>武定西路1398弄5号17D</t>
  </si>
  <si>
    <t>森兰名轩7号401</t>
  </si>
  <si>
    <t>南桥环城南路1000号21幢402</t>
  </si>
  <si>
    <t>0003037</t>
  </si>
  <si>
    <t>徐梅萍</t>
  </si>
  <si>
    <t>闵行区华岗路100弄保利名苑11号201室</t>
  </si>
  <si>
    <t>0003038</t>
  </si>
  <si>
    <t>赖显丹</t>
  </si>
  <si>
    <t>普陀区白丽路99弄137号602室</t>
  </si>
  <si>
    <t>0004063</t>
  </si>
  <si>
    <t>刘坚</t>
  </si>
  <si>
    <t>黄浦区丽园路333弄10号2902室</t>
  </si>
  <si>
    <t>张晨</t>
  </si>
  <si>
    <t>浦东新区潍坊路126弄11号501</t>
  </si>
  <si>
    <t>刚进场</t>
  </si>
  <si>
    <t>董俊华</t>
  </si>
  <si>
    <t>浦东新区铃兰路508弄107号101</t>
  </si>
  <si>
    <t>0000103</t>
  </si>
  <si>
    <t>黄琦</t>
  </si>
  <si>
    <t>杨浦区延吉中路118弄13号602室</t>
  </si>
  <si>
    <t>张丽莉/杨子吟</t>
  </si>
  <si>
    <t>普陀区江宁路1415弄40号201室</t>
  </si>
  <si>
    <t>黄斌</t>
  </si>
  <si>
    <t>松江区刘家山路1088弄28号503室</t>
  </si>
  <si>
    <t>修方鹏</t>
  </si>
  <si>
    <t>青浦区置鼎路889弄122-101</t>
  </si>
  <si>
    <t>0001209</t>
  </si>
  <si>
    <t>杨先生</t>
  </si>
  <si>
    <t>闵行华漕镇金凤路179弄77号201室</t>
  </si>
  <si>
    <t>4.5活动</t>
  </si>
  <si>
    <t>杨天宇</t>
  </si>
  <si>
    <t>嘉定区铜川路2558弄7号楼1403</t>
  </si>
  <si>
    <t>吴小龙</t>
  </si>
  <si>
    <t>静安区大宁540弄4号203</t>
  </si>
  <si>
    <t>000294</t>
  </si>
  <si>
    <t>南六公路369弄</t>
  </si>
  <si>
    <t>退订单/装饰公司包了</t>
  </si>
  <si>
    <t>宋旖</t>
  </si>
  <si>
    <t>陈煜里</t>
  </si>
  <si>
    <t>青浦华科路255弄31号502室</t>
  </si>
  <si>
    <t>0004196</t>
  </si>
  <si>
    <t>陈啸平</t>
  </si>
  <si>
    <t>宛平南路300弄1号602</t>
  </si>
  <si>
    <t>施燕</t>
  </si>
  <si>
    <t>桂平路67弄4号601室</t>
  </si>
  <si>
    <t>0002260</t>
  </si>
  <si>
    <t>赵丽春</t>
  </si>
  <si>
    <t>富平路299弄6号502室</t>
  </si>
  <si>
    <t>夏哲一</t>
  </si>
  <si>
    <t>松江区佘山镇小机山路118弄3号904</t>
  </si>
  <si>
    <t>蒋娟</t>
  </si>
  <si>
    <t>13175074353/13761572549</t>
  </si>
  <si>
    <t>杨高中路750弄41-602</t>
  </si>
  <si>
    <t>0003051</t>
  </si>
  <si>
    <t>李玮</t>
  </si>
  <si>
    <t>桐柏路30弄8号501室</t>
  </si>
  <si>
    <t>陈改革</t>
  </si>
  <si>
    <t>崧建路339弄6单元1102号</t>
  </si>
  <si>
    <t>刘晓华</t>
  </si>
  <si>
    <t>川沙镇城南路627号3支弄6号210室</t>
  </si>
  <si>
    <t>沈佳</t>
  </si>
  <si>
    <t>浦东新区积岚路251弄18#202</t>
  </si>
  <si>
    <t>朱秋良</t>
  </si>
  <si>
    <t>大成郡三期8-2001</t>
  </si>
  <si>
    <t>傅菊萍</t>
  </si>
  <si>
    <t>桂林路70弄13舍33号302室</t>
  </si>
  <si>
    <t>0004144</t>
  </si>
  <si>
    <t>郑双宁</t>
  </si>
  <si>
    <t>金汇南路60弄</t>
  </si>
  <si>
    <t>高瑜青</t>
  </si>
  <si>
    <t>闵行区山茂路65弄30号501室</t>
  </si>
  <si>
    <t>6.13活动</t>
  </si>
  <si>
    <t>严海伟</t>
  </si>
  <si>
    <t>虹口区红馥里42号1203</t>
  </si>
  <si>
    <t>预售615活动</t>
  </si>
  <si>
    <t>0004145</t>
  </si>
  <si>
    <t>王国寿</t>
  </si>
  <si>
    <t>浦东新区竹柏路758弄73号502室</t>
  </si>
  <si>
    <t>6.11活动</t>
  </si>
  <si>
    <t>沈小姐</t>
  </si>
  <si>
    <t>七莘路2299弄2号502</t>
  </si>
  <si>
    <t>6.18已退单</t>
  </si>
  <si>
    <t>0003043</t>
  </si>
  <si>
    <t>孙晓英</t>
  </si>
  <si>
    <t>天山路88弄5号1102室</t>
  </si>
  <si>
    <t>0003042</t>
  </si>
  <si>
    <t>唐肖媛</t>
  </si>
  <si>
    <t>松花二村33号301室</t>
  </si>
  <si>
    <t>0004091</t>
  </si>
  <si>
    <t>周海波</t>
  </si>
  <si>
    <t>南汇区泥城镇马厂村148号</t>
  </si>
  <si>
    <t>袁其杰</t>
  </si>
  <si>
    <t>灵惠南路380弄62号401</t>
  </si>
  <si>
    <t>6.14活动</t>
  </si>
  <si>
    <t>朱平</t>
  </si>
  <si>
    <t>0004148</t>
  </si>
  <si>
    <t>胡国萍</t>
  </si>
  <si>
    <t>安顺路77弄5号1002室</t>
  </si>
  <si>
    <t>华静玮</t>
  </si>
  <si>
    <t>长宁区黄金城道619弄12号502室</t>
  </si>
  <si>
    <t>孙兴隆</t>
  </si>
  <si>
    <t>金山双林镇凤凰水岸2/806</t>
  </si>
  <si>
    <t>0001605</t>
  </si>
  <si>
    <t>罗飞</t>
  </si>
  <si>
    <t>浦东乳山路200弄31号601室</t>
  </si>
  <si>
    <t>0001502</t>
  </si>
  <si>
    <t>张娟</t>
  </si>
  <si>
    <t>松江区文景苑25号401</t>
  </si>
  <si>
    <t>0001573</t>
  </si>
  <si>
    <t>邓宇琪</t>
  </si>
  <si>
    <t>宝山区环镇北路1118弄3号1002室</t>
  </si>
  <si>
    <t>余惠红</t>
  </si>
  <si>
    <t>闵行区莘东路298-7-1002</t>
  </si>
  <si>
    <t>陈露萍</t>
  </si>
  <si>
    <t>杨南路797弄31-501</t>
  </si>
  <si>
    <t>0001745</t>
  </si>
  <si>
    <t>朱子昊</t>
  </si>
  <si>
    <t>普陀区普雄路29弄</t>
  </si>
  <si>
    <t>陈琳钰</t>
  </si>
  <si>
    <t>闵行区*藤一村17号201室</t>
  </si>
  <si>
    <t>拆旧</t>
  </si>
  <si>
    <t>王力功</t>
  </si>
  <si>
    <t>浦江颐城浦晓路298弄42号401</t>
  </si>
  <si>
    <t>胡玥琪</t>
  </si>
  <si>
    <t>金口路53弄2号301室</t>
  </si>
  <si>
    <t>刘洋</t>
  </si>
  <si>
    <t>徐汇区桂林西街15弄20号301室</t>
  </si>
  <si>
    <t>邱忠培</t>
  </si>
  <si>
    <t>浙江中路188弄1号401室</t>
  </si>
  <si>
    <t>0004085</t>
  </si>
  <si>
    <t>马伟彬</t>
  </si>
  <si>
    <t>五莲路780弄45号501室</t>
  </si>
  <si>
    <t>徐鋆芸</t>
  </si>
  <si>
    <t>松江区洞宁路655弄71号502</t>
  </si>
  <si>
    <t>0001571</t>
  </si>
  <si>
    <t>钱总</t>
  </si>
  <si>
    <t>阿克苏路63弄10号1503</t>
  </si>
  <si>
    <t>0001675</t>
  </si>
  <si>
    <t>程雯</t>
  </si>
  <si>
    <t>闵行区银都路3151弄206号201室</t>
  </si>
  <si>
    <t>0001815</t>
  </si>
  <si>
    <t>陈媛媛</t>
  </si>
  <si>
    <t>张春妹</t>
  </si>
  <si>
    <t>13661959982/13774373990</t>
  </si>
  <si>
    <t>黄浦区盈浦街道朱家角路306号1005室</t>
  </si>
  <si>
    <t>2019.8.5</t>
  </si>
  <si>
    <t>0001744</t>
  </si>
  <si>
    <t>陈书君</t>
  </si>
  <si>
    <t>宝山区真华路999弄58号602室</t>
  </si>
  <si>
    <t>0002455</t>
  </si>
  <si>
    <t>杜枭雄</t>
  </si>
  <si>
    <t>浦东新区繁锦路688弄24号1402室</t>
  </si>
  <si>
    <t>0004233</t>
  </si>
  <si>
    <t>郑伟庆</t>
  </si>
  <si>
    <t>羽山路951弄10号601室</t>
  </si>
  <si>
    <t>0003002</t>
  </si>
  <si>
    <t>王鑫</t>
  </si>
  <si>
    <t>普陀区武夷路</t>
  </si>
  <si>
    <t>7月退单，建配龙撞单</t>
  </si>
  <si>
    <t>0004096</t>
  </si>
  <si>
    <t>王振</t>
  </si>
  <si>
    <t>宝山区云西路24号501</t>
  </si>
  <si>
    <t>0000231</t>
  </si>
  <si>
    <t>杨鹏昊</t>
  </si>
  <si>
    <t>嘉定区平城路955弄</t>
  </si>
  <si>
    <t>0004149</t>
  </si>
  <si>
    <t>李鼎</t>
  </si>
  <si>
    <t>黄浦区打浦路38弄2号15F</t>
  </si>
  <si>
    <t>殷建明</t>
  </si>
  <si>
    <t>0002878</t>
  </si>
  <si>
    <t>王珺</t>
  </si>
  <si>
    <t>拱海路595弄18号901室</t>
  </si>
  <si>
    <t>0004335</t>
  </si>
  <si>
    <t>段刚</t>
  </si>
  <si>
    <t>浦东新区上钢新村街道成山路24弄89号402室</t>
  </si>
  <si>
    <t>0004336</t>
  </si>
  <si>
    <t>张羽巍</t>
  </si>
  <si>
    <t>浦东新区锦绣路3666弄17号601室</t>
  </si>
  <si>
    <t>0004333</t>
  </si>
  <si>
    <t>张炯平</t>
  </si>
  <si>
    <t>浦东鹏飞路101弄6号101室</t>
  </si>
  <si>
    <t>郭伟明</t>
  </si>
  <si>
    <t>正荣府徐和路165弄51号101</t>
  </si>
  <si>
    <t>0003001</t>
  </si>
  <si>
    <t>博山东路811弄20号702室</t>
  </si>
  <si>
    <t>0001676</t>
  </si>
  <si>
    <t>权雨龙</t>
  </si>
  <si>
    <t>莘松路958弄康城道81号1104</t>
  </si>
  <si>
    <t>0003701</t>
  </si>
  <si>
    <t>董德靖</t>
  </si>
  <si>
    <t>普陀区岚皋路166弄20号402室</t>
  </si>
  <si>
    <t>池美丽</t>
  </si>
  <si>
    <t>嘉定区鹤友路336弄44号1202</t>
  </si>
  <si>
    <t>陈慧</t>
  </si>
  <si>
    <t>嘉定区鹤旋路500弄96-401</t>
  </si>
  <si>
    <t>徐炯</t>
  </si>
  <si>
    <t>北蔡鹏丰苑鹏岳路152弄7号1203室</t>
  </si>
  <si>
    <t>0002456</t>
  </si>
  <si>
    <t>李中政</t>
  </si>
  <si>
    <t>杭昌路199号4栋1303</t>
  </si>
  <si>
    <t>水电（停工）</t>
  </si>
  <si>
    <t>0000732</t>
  </si>
  <si>
    <t>王钰琛</t>
  </si>
  <si>
    <t>浦东华夏二路1255弄17号1104室</t>
  </si>
  <si>
    <t>母亲节活动</t>
  </si>
  <si>
    <t>曹轶</t>
  </si>
  <si>
    <t>浦瑞路369弄20号101室</t>
  </si>
  <si>
    <t>许鹏飞</t>
  </si>
  <si>
    <t>浦驰路1336弄5号楼502</t>
  </si>
  <si>
    <t>0000654</t>
  </si>
  <si>
    <t>宁怡</t>
  </si>
  <si>
    <t>18640038007/18698867515</t>
  </si>
  <si>
    <t>昆山长泰淀湖观园133栋305室</t>
  </si>
  <si>
    <t>0001677</t>
  </si>
  <si>
    <t>蔡佳伶</t>
  </si>
  <si>
    <t>徐汇区吴中东路500弄33号201室</t>
  </si>
  <si>
    <t>0001748</t>
  </si>
  <si>
    <t>刘博</t>
  </si>
  <si>
    <t>青浦赵巷融信铂湾165-102</t>
  </si>
  <si>
    <t>0002184</t>
  </si>
  <si>
    <t>华芸颖</t>
  </si>
  <si>
    <t>芳甸路333弄5-301</t>
  </si>
  <si>
    <t>钟凯瑞</t>
  </si>
  <si>
    <t>香梅花园一期4号楼502室</t>
  </si>
  <si>
    <t>0001775</t>
  </si>
  <si>
    <t>师泽源</t>
  </si>
  <si>
    <t>唐镇来安路685号</t>
  </si>
  <si>
    <t>四月已退</t>
  </si>
  <si>
    <t>焦丽莉</t>
  </si>
  <si>
    <t>羽山路600弄17号901室</t>
  </si>
  <si>
    <t>陈家恩</t>
  </si>
  <si>
    <t>松江区龙湖好望山235号</t>
  </si>
  <si>
    <t>杨琼</t>
  </si>
  <si>
    <t>灵山路600弄43号201室</t>
  </si>
  <si>
    <t>苏顺</t>
  </si>
  <si>
    <t>航春路169弄803室</t>
  </si>
  <si>
    <t>谢姚</t>
  </si>
  <si>
    <t>静安区延长路152弄12号1402室</t>
  </si>
  <si>
    <t>刘昀</t>
  </si>
  <si>
    <t>水产南路858弄24号102</t>
  </si>
  <si>
    <t>0002745</t>
  </si>
  <si>
    <t>浦东上丰路1483弄52号707</t>
  </si>
  <si>
    <t>胡文超</t>
  </si>
  <si>
    <t>真华路1801弄57号601室</t>
  </si>
  <si>
    <t>石柳娴</t>
  </si>
  <si>
    <t>真华路1801弄61号602室</t>
  </si>
  <si>
    <t>蒋蕾</t>
  </si>
  <si>
    <t>浦东新区三林镇恒大华城天地苑3期35栋702室</t>
  </si>
  <si>
    <t>0002263</t>
  </si>
  <si>
    <t>龚涛</t>
  </si>
  <si>
    <t>石门二路503号恒丰大楼北路2301</t>
  </si>
  <si>
    <t>000243</t>
  </si>
  <si>
    <t>孙瑛</t>
  </si>
  <si>
    <t>浦东东靖路2250弄5号1403室</t>
  </si>
  <si>
    <t>0001583</t>
  </si>
  <si>
    <t>刘吴蔚</t>
  </si>
  <si>
    <t>浦东新区张杨北路4555弄31号701室</t>
  </si>
  <si>
    <t>李剑诗</t>
  </si>
  <si>
    <t>景谷中路58弄1201</t>
  </si>
  <si>
    <t>0002457</t>
  </si>
  <si>
    <t>姚聪聪</t>
  </si>
  <si>
    <t>环桥1481弄35号</t>
  </si>
  <si>
    <t>退单了</t>
  </si>
  <si>
    <t>徐齐</t>
  </si>
  <si>
    <t>金山区朱泾镇公园路129弄16号702</t>
  </si>
  <si>
    <t>陶钧</t>
  </si>
  <si>
    <t>银山路342弄2号1001室</t>
  </si>
  <si>
    <t>0001206</t>
  </si>
  <si>
    <t>苏州市高新区锦华苑锦国楼9B</t>
  </si>
  <si>
    <t>袁昃雯</t>
  </si>
  <si>
    <t>浦东新区耀华路222号304室</t>
  </si>
  <si>
    <t>卢志成</t>
  </si>
  <si>
    <t>闵行区滨浦新苑三村20号1102室</t>
  </si>
  <si>
    <t>周蓓蕾</t>
  </si>
  <si>
    <t>青浦区华新镇朱长村姚家宅276号</t>
  </si>
  <si>
    <t>李先生</t>
  </si>
  <si>
    <t>齐贤公寓12-301</t>
  </si>
  <si>
    <t>0004147</t>
  </si>
  <si>
    <t>李晓来</t>
  </si>
  <si>
    <t>闵行区水清路999弄81号301室</t>
  </si>
  <si>
    <t>0002437</t>
  </si>
  <si>
    <t>顾剑斌</t>
  </si>
  <si>
    <t>红松东路321弄1503室</t>
  </si>
  <si>
    <t>王剑</t>
  </si>
  <si>
    <t>沪亭北路900弄19号601室</t>
  </si>
  <si>
    <t>0004065</t>
  </si>
  <si>
    <t>姚亦毅</t>
  </si>
  <si>
    <t>浦东新区松林路333弄11号楼601室</t>
  </si>
  <si>
    <t>0003045</t>
  </si>
  <si>
    <t>王忠</t>
  </si>
  <si>
    <t>中江路1070弄17号203</t>
  </si>
  <si>
    <t>王丽娟</t>
  </si>
  <si>
    <t>18217474770/13917879040</t>
  </si>
  <si>
    <t>中江路1070弄17号704室</t>
  </si>
  <si>
    <t>王佳忆</t>
  </si>
  <si>
    <t>新建西路56弄20号</t>
  </si>
  <si>
    <t>0002262</t>
  </si>
  <si>
    <t>黄弘晋</t>
  </si>
  <si>
    <t>延长路38号18号903室</t>
  </si>
  <si>
    <t>0001584</t>
  </si>
  <si>
    <t>陈兴亮</t>
  </si>
  <si>
    <t>宝山区淞南路一二八纪念路55弄126号1202室</t>
  </si>
  <si>
    <t>紧谷中路58弄56号1201</t>
  </si>
  <si>
    <t>0001771</t>
  </si>
  <si>
    <t>刘静</t>
  </si>
  <si>
    <t>静安区威海路651号乙505室</t>
  </si>
  <si>
    <t>0004353</t>
  </si>
  <si>
    <t>江桅路350弄24号301</t>
  </si>
  <si>
    <t>6.29年中大促</t>
  </si>
  <si>
    <t>程洁</t>
  </si>
  <si>
    <t>袁龙</t>
  </si>
  <si>
    <t>聚丰园路95弄40号202室</t>
  </si>
  <si>
    <t>0001555</t>
  </si>
  <si>
    <t>谷羽</t>
  </si>
  <si>
    <t>新闸路金家巷西弄1号甲204室</t>
  </si>
  <si>
    <t>虹桥悦府15号</t>
  </si>
  <si>
    <t>0001770</t>
  </si>
  <si>
    <t>顾建新</t>
  </si>
  <si>
    <t>周浦镇周东路458弄10号501室</t>
  </si>
  <si>
    <t>宁文雨</t>
  </si>
  <si>
    <t>王明生</t>
  </si>
  <si>
    <t>保利铃兰公馆9/301</t>
  </si>
  <si>
    <t>6.16联盟活动</t>
  </si>
  <si>
    <t>0001673</t>
  </si>
  <si>
    <t>李华</t>
  </si>
  <si>
    <t>迎惠路215弄5号701室</t>
  </si>
  <si>
    <t>0001671</t>
  </si>
  <si>
    <t>刘东海</t>
  </si>
  <si>
    <t>临港首付8-102</t>
  </si>
  <si>
    <t>0001672</t>
  </si>
  <si>
    <t>王莉</t>
  </si>
  <si>
    <t>保利铃兰133-101</t>
  </si>
  <si>
    <t>卫佳琦</t>
  </si>
  <si>
    <t>浦东商城路1075弄28号202</t>
  </si>
  <si>
    <t>已网退</t>
  </si>
  <si>
    <t>0004157</t>
  </si>
  <si>
    <t>严师傅</t>
  </si>
  <si>
    <t>闵行区罗秀路1955弄18号303</t>
  </si>
  <si>
    <t>钱庭国</t>
  </si>
  <si>
    <t>浦东新区张杨路1662弄8号603室</t>
  </si>
  <si>
    <t>刘丽英</t>
  </si>
  <si>
    <t>东绣路266弄2号楼701</t>
  </si>
  <si>
    <t>展义伟</t>
  </si>
  <si>
    <t>闵行区漕宝路1467弄静安新城1区12号楼603</t>
  </si>
  <si>
    <t>6.16活动</t>
  </si>
  <si>
    <t>0003120</t>
  </si>
  <si>
    <t>温馨</t>
  </si>
  <si>
    <t>上海浦东莱阳路2328弄8号楼603室</t>
  </si>
  <si>
    <t>0004097</t>
  </si>
  <si>
    <t>吴秋兰</t>
  </si>
  <si>
    <t>浦东新区海松路52弄11号2001室</t>
  </si>
  <si>
    <t>0001586</t>
  </si>
  <si>
    <t>张培德</t>
  </si>
  <si>
    <t>华新镇新凤中路899弄</t>
  </si>
  <si>
    <t>海波路50弄25号701</t>
  </si>
  <si>
    <t>1.25微信活动</t>
  </si>
  <si>
    <t>金先生</t>
  </si>
  <si>
    <t>杨浦区五角场镇世界路151弄12号102</t>
  </si>
  <si>
    <t>0000235</t>
  </si>
  <si>
    <t>姜山</t>
  </si>
  <si>
    <t>嘉定区温宿路72弄12号404号</t>
  </si>
  <si>
    <t>李梦妮</t>
  </si>
  <si>
    <t>保乐路666弄63号401</t>
  </si>
  <si>
    <t>0003899</t>
  </si>
  <si>
    <t>黄梦捷</t>
  </si>
  <si>
    <t>长宁区黄金城道688弄7号801室</t>
  </si>
  <si>
    <t>李文婷</t>
  </si>
  <si>
    <t>虹梅南路1555弄9号602室</t>
  </si>
  <si>
    <t>8月开工</t>
  </si>
  <si>
    <t>0004366</t>
  </si>
  <si>
    <t>郑伟康</t>
  </si>
  <si>
    <t>上海市闵行区芦恒路378弄199号801室</t>
  </si>
  <si>
    <t>郭剑强</t>
  </si>
  <si>
    <t>芦恒路318弄204号2002</t>
  </si>
  <si>
    <t>0001266</t>
  </si>
  <si>
    <t>朱银弟</t>
  </si>
  <si>
    <t>肖塘乐康苑98号201</t>
  </si>
  <si>
    <t>0002458</t>
  </si>
  <si>
    <t>韩秀婷</t>
  </si>
  <si>
    <t>三林路1300弄43号501室</t>
  </si>
  <si>
    <t>6.17活动</t>
  </si>
  <si>
    <t>包小芬</t>
  </si>
  <si>
    <t>花桥绿地大道鑫苑国际城市花园201幢1201室</t>
  </si>
  <si>
    <t>朱豪</t>
  </si>
  <si>
    <t>青浦田徐路85弄4号1101</t>
  </si>
  <si>
    <t>张桂华</t>
  </si>
  <si>
    <t>东泰路200弄8-3003</t>
  </si>
  <si>
    <t>刘冰</t>
  </si>
  <si>
    <t>青浦区联民路88弄52-301</t>
  </si>
  <si>
    <t>0004234</t>
  </si>
  <si>
    <t>李俊</t>
  </si>
  <si>
    <t>上海浦东花中路500弄91号301室</t>
  </si>
  <si>
    <t>0003048</t>
  </si>
  <si>
    <t>邵云</t>
  </si>
  <si>
    <t>真金路250-29-102</t>
  </si>
  <si>
    <t>程娇娇</t>
  </si>
  <si>
    <t>浦东新区永宁路33弄11号503</t>
  </si>
  <si>
    <t>宫女士</t>
  </si>
  <si>
    <t>长宁区新华路569弄99号2号楼901</t>
  </si>
  <si>
    <t>0003005</t>
  </si>
  <si>
    <t>张志红</t>
  </si>
  <si>
    <t>泸定路555弄7号1201室</t>
  </si>
  <si>
    <t>0000848</t>
  </si>
  <si>
    <t>左传英</t>
  </si>
  <si>
    <t>金葵路945弄21号601室</t>
  </si>
  <si>
    <t>朱娜</t>
  </si>
  <si>
    <t>普陀店武威东路479弄10号802室</t>
  </si>
  <si>
    <t>三空间</t>
  </si>
  <si>
    <t>0004367</t>
  </si>
  <si>
    <t>方云峰</t>
  </si>
  <si>
    <t>闵行区昆阳路420弄34号402室</t>
  </si>
  <si>
    <t>0004370</t>
  </si>
  <si>
    <t>朱嘉敏</t>
  </si>
  <si>
    <t>鹤翔路180弄83号201</t>
  </si>
  <si>
    <t>朱晓亭</t>
  </si>
  <si>
    <t>浦东新区板泉路1201弄61号401室</t>
  </si>
  <si>
    <t>易居</t>
  </si>
  <si>
    <t>0003480</t>
  </si>
  <si>
    <t>马晓红</t>
  </si>
  <si>
    <t>泗陈公路2188弄43号301室</t>
  </si>
  <si>
    <t>李迅</t>
  </si>
  <si>
    <t>宜山路2328弄37号301</t>
  </si>
  <si>
    <t>韩旭</t>
  </si>
  <si>
    <t>鞍山五村29号9室</t>
  </si>
  <si>
    <t>张力</t>
  </si>
  <si>
    <t>浦东新区花木路街道申波路83弄申波苑1号楼302</t>
  </si>
  <si>
    <t>王蕴瑜</t>
  </si>
  <si>
    <t>德州路150弄28号301室</t>
  </si>
  <si>
    <t>于雷</t>
  </si>
  <si>
    <t>闸北区城区场中路3123弄57号502</t>
  </si>
  <si>
    <t>0001588</t>
  </si>
  <si>
    <t>连鹤林</t>
  </si>
  <si>
    <t>静安区凤阳路588弄8号502室</t>
  </si>
  <si>
    <t>0004101</t>
  </si>
  <si>
    <t>冯凯</t>
  </si>
  <si>
    <t>五峰路667弄124号901室</t>
  </si>
  <si>
    <t>0002284</t>
  </si>
  <si>
    <t>孟琛</t>
  </si>
  <si>
    <t>霍香路238弄39号601</t>
  </si>
  <si>
    <t>0001941</t>
  </si>
  <si>
    <t>丁鲁维</t>
  </si>
  <si>
    <t>沪松公路2972弄22号27号楼402</t>
  </si>
  <si>
    <t>0004102</t>
  </si>
  <si>
    <t>张简</t>
  </si>
  <si>
    <t>浦东新区 路288弄39号602</t>
  </si>
  <si>
    <t>周钧</t>
  </si>
  <si>
    <t>普陀区白玉路669弄11号1202室</t>
  </si>
  <si>
    <t>徐伟民</t>
  </si>
  <si>
    <t>泗泾洞纬路650弄13号901</t>
  </si>
  <si>
    <t>安小青</t>
  </si>
  <si>
    <t>浦东北艾路1660弄22号1302室</t>
  </si>
  <si>
    <t>未能测量</t>
  </si>
  <si>
    <t>王庚云</t>
  </si>
  <si>
    <t>崂山路645弄16-103</t>
  </si>
  <si>
    <t>罗阳</t>
  </si>
  <si>
    <t>浦东新区鹏飞路101弄1号1102</t>
  </si>
  <si>
    <t>0003246</t>
  </si>
  <si>
    <t>张佳龙</t>
  </si>
  <si>
    <t>杨浦区周家嘴路3158弄5号1101室</t>
  </si>
  <si>
    <t>0003130</t>
  </si>
  <si>
    <t>吕雅晶</t>
  </si>
  <si>
    <t>泗泾镇江川南路25弄5号202室</t>
  </si>
  <si>
    <t>刘柏林</t>
  </si>
  <si>
    <t>虹口区车站南路198弄9号102室</t>
  </si>
  <si>
    <t>韩女士</t>
  </si>
  <si>
    <t>浦东新区潍坊四村405号504</t>
  </si>
  <si>
    <t>涂龙祖</t>
  </si>
  <si>
    <t>金山博海路118弄澜庭16号402室</t>
  </si>
  <si>
    <t>0001504</t>
  </si>
  <si>
    <t>赖永鹏/徐欣宇</t>
  </si>
  <si>
    <t>萬晓光</t>
  </si>
  <si>
    <t>鼓楼公路1198弄287号803室</t>
  </si>
  <si>
    <t>2019.9.10</t>
  </si>
  <si>
    <t>0003704</t>
  </si>
  <si>
    <t>倪黎胜</t>
  </si>
  <si>
    <t>静安区延平路462弄3号303室</t>
  </si>
  <si>
    <t>徐茜玮</t>
  </si>
  <si>
    <t>武乡南路259弄大成郡30号502室</t>
  </si>
  <si>
    <t>刘晓</t>
  </si>
  <si>
    <t>浦东上南路201弄602室</t>
  </si>
  <si>
    <t>周桂凤</t>
  </si>
  <si>
    <t>浦东南路4800弄9号202室</t>
  </si>
  <si>
    <t>0003607</t>
  </si>
  <si>
    <t>严云龙</t>
  </si>
  <si>
    <t>大渡河路1262弄17号603室</t>
  </si>
  <si>
    <t>0001589</t>
  </si>
  <si>
    <t>徐罡</t>
  </si>
  <si>
    <t>嘉定区迎园十一坊20号503</t>
  </si>
  <si>
    <t>0001556</t>
  </si>
  <si>
    <t>高兴</t>
  </si>
  <si>
    <t>闻喜路251弄1号601室</t>
  </si>
  <si>
    <t>孙先生</t>
  </si>
  <si>
    <t>青浦区</t>
  </si>
  <si>
    <t>√工期很慢</t>
  </si>
  <si>
    <t>普陀区武威东路888弄16号901</t>
  </si>
  <si>
    <t>李贺</t>
  </si>
  <si>
    <t>青浦区徐泾镇新虹桥明珠花园15号601室</t>
  </si>
  <si>
    <t>任浩</t>
  </si>
  <si>
    <t>延平路518弄1号601室</t>
  </si>
  <si>
    <t>刘月</t>
  </si>
  <si>
    <t>浦东新区周浦镇年家浜东路印象春城</t>
  </si>
  <si>
    <t>0001780</t>
  </si>
  <si>
    <t>陈静怡</t>
  </si>
  <si>
    <t>闵行区平阳路111弄15号101室</t>
  </si>
  <si>
    <t>0001816</t>
  </si>
  <si>
    <t>陆雪凡</t>
  </si>
  <si>
    <t>上海市青浦区华青南路99弄32号702室</t>
  </si>
  <si>
    <t>周雅菁</t>
  </si>
  <si>
    <t>青浦区业辉路199弄166号</t>
  </si>
  <si>
    <t>618活动</t>
  </si>
  <si>
    <t>0001607</t>
  </si>
  <si>
    <t>肖先生</t>
  </si>
  <si>
    <t>共和新路966号共和大厦2402室</t>
  </si>
  <si>
    <t>0004100</t>
  </si>
  <si>
    <t>叶铠榕</t>
  </si>
  <si>
    <t>浦东新区环龙路263弄6号501</t>
  </si>
  <si>
    <t>0001781</t>
  </si>
  <si>
    <t>徐爱娣</t>
  </si>
  <si>
    <t>静安区昌平路399号1011室</t>
  </si>
  <si>
    <t>王文达</t>
  </si>
  <si>
    <t>闵行区莘朱路879弄30-301</t>
  </si>
  <si>
    <t>陶燕</t>
  </si>
  <si>
    <t>金山朱泾镇</t>
  </si>
  <si>
    <t>陈美娅</t>
  </si>
  <si>
    <t>奉贤区秋月朗庭尚东区5-101</t>
  </si>
  <si>
    <t>李辉宇</t>
  </si>
  <si>
    <t>洪庙</t>
  </si>
  <si>
    <t>严枝花</t>
  </si>
  <si>
    <t>钱桥镇周陆村758号</t>
  </si>
  <si>
    <t>魏耀峰</t>
  </si>
  <si>
    <t>金山区枫泾镇枫湾路680弄正荣景园62号402</t>
  </si>
  <si>
    <t>2019.6.5</t>
  </si>
  <si>
    <t>顾旭峰</t>
  </si>
  <si>
    <t>金水苑5期12-2102</t>
  </si>
  <si>
    <t>金山区枫泾镇枫沛路49弄17号601室</t>
  </si>
  <si>
    <t>方盛</t>
  </si>
  <si>
    <t>奉贤区恒盛89弄108号（泽丰路）</t>
  </si>
  <si>
    <t>陈伟清</t>
  </si>
  <si>
    <t>灵石路1123弄39号302室</t>
  </si>
  <si>
    <t>施先生</t>
  </si>
  <si>
    <t>恒盛89弄14-1202</t>
  </si>
  <si>
    <t>已下单</t>
  </si>
  <si>
    <t>正阳名仕苑</t>
  </si>
  <si>
    <t>马女士</t>
  </si>
  <si>
    <t>尚东区6号601</t>
  </si>
  <si>
    <t>鞠峰</t>
  </si>
  <si>
    <t>绿地官邸8-301</t>
  </si>
  <si>
    <t>0002491</t>
  </si>
  <si>
    <t>赵小艳</t>
  </si>
  <si>
    <t>周浦康弘路580弄8号502</t>
  </si>
  <si>
    <t>张士珍</t>
  </si>
  <si>
    <t>古华南区720-301</t>
  </si>
  <si>
    <t>钟先生</t>
  </si>
  <si>
    <t>团会公路258弄7-1602</t>
  </si>
  <si>
    <t>赵女士</t>
  </si>
  <si>
    <t>香榭170-1702</t>
  </si>
  <si>
    <t>魏然</t>
  </si>
  <si>
    <t>育秀六区202号202室</t>
  </si>
  <si>
    <t>张先生</t>
  </si>
  <si>
    <t>尚东区16号102</t>
  </si>
  <si>
    <t>王龙</t>
  </si>
  <si>
    <t>奉贤金碧路1959弄129号</t>
  </si>
  <si>
    <t>0004328</t>
  </si>
  <si>
    <t>李钧</t>
  </si>
  <si>
    <t>栖山路1489弄14号103室</t>
  </si>
  <si>
    <t>栖山路1558弄12号602室</t>
  </si>
  <si>
    <t>褚春妹</t>
  </si>
  <si>
    <t>恒盛88弄16号502</t>
  </si>
  <si>
    <t>0000244</t>
  </si>
  <si>
    <t>云雅路400弄同景苑7号602室</t>
  </si>
  <si>
    <t>未开工（可能退)</t>
  </si>
  <si>
    <t>7.2微信团购活动</t>
  </si>
  <si>
    <t>任淑娟</t>
  </si>
  <si>
    <t>奉贤区八字桥路158弄218号1702</t>
  </si>
  <si>
    <t>王锦宏</t>
  </si>
  <si>
    <t>海韵馨苑89号202</t>
  </si>
  <si>
    <t>6月退单，聚通买单</t>
  </si>
  <si>
    <t>周姐</t>
  </si>
  <si>
    <t>佳兆业别墅8号59号</t>
  </si>
  <si>
    <t>0000899</t>
  </si>
  <si>
    <t>陈鹏</t>
  </si>
  <si>
    <t>奉贤区博丰路158弄13号1202室</t>
  </si>
  <si>
    <t>朱女士</t>
  </si>
  <si>
    <t>尚东区7-702</t>
  </si>
  <si>
    <t>袁先生</t>
  </si>
  <si>
    <t>香榭国际</t>
  </si>
  <si>
    <t>何总</t>
  </si>
  <si>
    <t>正阳别墅306号</t>
  </si>
  <si>
    <t>宋老师</t>
  </si>
  <si>
    <t>佳兆业别墅55号</t>
  </si>
  <si>
    <t>0002130</t>
  </si>
  <si>
    <t>郭先生</t>
  </si>
  <si>
    <t>保乐路666弄68号401</t>
  </si>
  <si>
    <t>宋标</t>
  </si>
  <si>
    <t>李珺</t>
  </si>
  <si>
    <t>浦东新区高桥镇展凌路58弄28号901</t>
  </si>
  <si>
    <t>0004111</t>
  </si>
  <si>
    <t>郭广龙</t>
  </si>
  <si>
    <t>梅川路1111弄23号601室</t>
  </si>
  <si>
    <t>0003015</t>
  </si>
  <si>
    <t>朱睿达</t>
  </si>
  <si>
    <t>曹杨新村街道曹杨路903弄8号1003</t>
  </si>
  <si>
    <t>严圣虎</t>
  </si>
  <si>
    <t>松江区佘山镇桃园路688弄601</t>
  </si>
  <si>
    <t>沈诗慧</t>
  </si>
  <si>
    <t>松江方塔南路74弄1号302</t>
  </si>
  <si>
    <t>天猫6.18</t>
  </si>
  <si>
    <t>孙庆弟</t>
  </si>
  <si>
    <t>青浦区盈清路155弄3号楼401</t>
  </si>
  <si>
    <t>张妮</t>
  </si>
  <si>
    <t>青浦区夏阳街道华青南路99弄仁恒运杰河滨花园10号602</t>
  </si>
  <si>
    <t>王海兰</t>
  </si>
  <si>
    <t>控江路2202-905</t>
  </si>
  <si>
    <t>2019.7.30</t>
  </si>
  <si>
    <t>0001817</t>
  </si>
  <si>
    <t>黄志兵</t>
  </si>
  <si>
    <t>淀湖路555弄3-1202室</t>
  </si>
  <si>
    <t>0004152</t>
  </si>
  <si>
    <t>陈月莹</t>
  </si>
  <si>
    <t>江苏路835号</t>
  </si>
  <si>
    <t>6.19活动</t>
  </si>
  <si>
    <t>亿津</t>
  </si>
  <si>
    <t>刘超</t>
  </si>
  <si>
    <t>闵行区吴泾镇龙吴路5688弄108号1202室</t>
  </si>
  <si>
    <t>0003013</t>
  </si>
  <si>
    <t>邵一君</t>
  </si>
  <si>
    <t>普陀区桃浦镇武威东路788弄3号402</t>
  </si>
  <si>
    <t>0000852</t>
  </si>
  <si>
    <t>刘平</t>
  </si>
  <si>
    <t>杨高北路3885弄18号102</t>
  </si>
  <si>
    <t>0004056</t>
  </si>
  <si>
    <t>张波</t>
  </si>
  <si>
    <t>三林路1300弄万科金色雅筑21号楼901号</t>
  </si>
  <si>
    <t>娄春雷</t>
  </si>
  <si>
    <t>15121181826/13764649848</t>
  </si>
  <si>
    <t>金山区枫泾长城逸府193号</t>
  </si>
  <si>
    <t>0004154</t>
  </si>
  <si>
    <t>马建华</t>
  </si>
  <si>
    <t>世界路151弄3号201</t>
  </si>
  <si>
    <t>0002990</t>
  </si>
  <si>
    <t>长寿路街道澳门路288弄18号902室</t>
  </si>
  <si>
    <t>0003008</t>
  </si>
  <si>
    <t>仇小姐</t>
  </si>
  <si>
    <t>普陀区石泉路300弄2号302室</t>
  </si>
  <si>
    <t>0003609</t>
  </si>
  <si>
    <t>杨翠兰</t>
  </si>
  <si>
    <t>宜川一村82号504室</t>
  </si>
  <si>
    <t>0004153</t>
  </si>
  <si>
    <t>张祺晟</t>
  </si>
  <si>
    <t>杨浦区国霞路55弄11号1102室</t>
  </si>
  <si>
    <t>0003010</t>
  </si>
  <si>
    <t>张力文</t>
  </si>
  <si>
    <t>中华新路288弄4号3201室</t>
  </si>
  <si>
    <t>0002290</t>
  </si>
  <si>
    <t>已买单（刘振）</t>
  </si>
  <si>
    <t>徐女士</t>
  </si>
  <si>
    <t>浦东新区宣桥镇宣中路621弄16号903室</t>
  </si>
  <si>
    <t>0000855</t>
  </si>
  <si>
    <t>明勋</t>
  </si>
  <si>
    <t>奉贤区新四平公路2378弄9-401室</t>
  </si>
  <si>
    <t>0002226</t>
  </si>
  <si>
    <t>曹政</t>
  </si>
  <si>
    <t>上海市闵行区平南二村25号401室</t>
  </si>
  <si>
    <t>0004143</t>
  </si>
  <si>
    <t>梁宏凯</t>
  </si>
  <si>
    <t>德淳路99弄35幢202室</t>
  </si>
  <si>
    <t>孙邦程</t>
  </si>
  <si>
    <t>0001772</t>
  </si>
  <si>
    <t>吕海峰</t>
  </si>
  <si>
    <t>大成郡7号2104</t>
  </si>
  <si>
    <t>方志浩</t>
  </si>
  <si>
    <t>青浦区赵巷镇置鼎路889弄98号101室</t>
  </si>
  <si>
    <t>0001942</t>
  </si>
  <si>
    <t>方琼</t>
  </si>
  <si>
    <t>抚海路惠康西苑4号楼201</t>
  </si>
  <si>
    <t>姚依敏</t>
  </si>
  <si>
    <t>青浦区业文路189-2-701</t>
  </si>
  <si>
    <t>金玺骏</t>
  </si>
  <si>
    <t>浦东川沙镇翔川路525弄6号201室</t>
  </si>
  <si>
    <t>李超</t>
  </si>
  <si>
    <t>蓝色收获13号204</t>
  </si>
  <si>
    <t>2019.5.31</t>
  </si>
  <si>
    <t>0004057</t>
  </si>
  <si>
    <t>李伟继</t>
  </si>
  <si>
    <t>盛夏路1107弄67号501室</t>
  </si>
  <si>
    <t>陆佳</t>
  </si>
  <si>
    <t>虹桥路1720弄10号9E</t>
  </si>
  <si>
    <t>0001564</t>
  </si>
  <si>
    <t>高陈婷</t>
  </si>
  <si>
    <t>上海市虹口区天宝路66弄5号楼2702</t>
  </si>
  <si>
    <t>0001757</t>
  </si>
  <si>
    <t>丁迪新</t>
  </si>
  <si>
    <t>松江区佘山镇华莹山路450弄12号604</t>
  </si>
  <si>
    <t>许墅</t>
  </si>
  <si>
    <t>顾村镇菊泉街577弄4号401室</t>
  </si>
  <si>
    <t>范叶青</t>
  </si>
  <si>
    <t>博华路26弄32号</t>
  </si>
  <si>
    <t>洪春龙</t>
  </si>
  <si>
    <t>张江镇青铜路618弄11号902</t>
  </si>
  <si>
    <t>0004344</t>
  </si>
  <si>
    <t>邱小舟</t>
  </si>
  <si>
    <t>杨南路399弄26号1302室</t>
  </si>
  <si>
    <t>邹小珍</t>
  </si>
  <si>
    <t>医学院路110弄11号101室</t>
  </si>
  <si>
    <t>陆志杰</t>
  </si>
  <si>
    <t>芳林路1357弄15号</t>
  </si>
  <si>
    <t>湖畔三期小区团购</t>
  </si>
  <si>
    <t>刘婷</t>
  </si>
  <si>
    <t>上海室松江区新桥镇莘松路1500弄115号401室</t>
  </si>
  <si>
    <t>刘雅娟</t>
  </si>
  <si>
    <t>闵行区航北路229弄469号601</t>
  </si>
  <si>
    <t>乔曦</t>
  </si>
  <si>
    <t>徐汇区漕河泾街道桂平路260弄30号401</t>
  </si>
  <si>
    <t>陈磊</t>
  </si>
  <si>
    <t>杨浦区双阳路490弄4号101室</t>
  </si>
  <si>
    <t>6.20活动</t>
  </si>
  <si>
    <t>0000859</t>
  </si>
  <si>
    <t>乔逸洲</t>
  </si>
  <si>
    <t>浦东新区听和路65弄25号301</t>
  </si>
  <si>
    <t>0003153</t>
  </si>
  <si>
    <t>傅玉婷</t>
  </si>
  <si>
    <t>国秀路599弄1号12C</t>
  </si>
  <si>
    <t>0001568</t>
  </si>
  <si>
    <t>朱建国</t>
  </si>
  <si>
    <t>宝山区电台路318弄118号</t>
  </si>
  <si>
    <t>0004113</t>
  </si>
  <si>
    <t>菊泉街39弄40号501室</t>
  </si>
  <si>
    <t>秋月朗庭39-302</t>
  </si>
  <si>
    <t>胡洁静</t>
  </si>
  <si>
    <t>同心路28弄8号704室</t>
  </si>
  <si>
    <t>0003247</t>
  </si>
  <si>
    <t>傅丽莉</t>
  </si>
  <si>
    <t>杨浦区控江一村15号401室</t>
  </si>
  <si>
    <t>陈志伟</t>
  </si>
  <si>
    <t>闵行区莘庄镇洱海99弄春申玫瑰苑30号</t>
  </si>
  <si>
    <t>0004104</t>
  </si>
  <si>
    <t>周荣康</t>
  </si>
  <si>
    <t>浦东新区福山路100弄10号504</t>
  </si>
  <si>
    <t>质鼎</t>
  </si>
  <si>
    <t>0004116</t>
  </si>
  <si>
    <t>杨一鸣</t>
  </si>
  <si>
    <t>柳州路181弄3号1703</t>
  </si>
  <si>
    <t>函亭</t>
  </si>
  <si>
    <t>何旭艺</t>
  </si>
  <si>
    <t>泰兴路689弄32号502室</t>
  </si>
  <si>
    <t>0003248</t>
  </si>
  <si>
    <t>朱文贵</t>
  </si>
  <si>
    <t>松江区洞坤路168弄126号</t>
  </si>
  <si>
    <t>张婷婷</t>
  </si>
  <si>
    <t>瑞安路80弄68号201</t>
  </si>
  <si>
    <t>0001674</t>
  </si>
  <si>
    <t>张丹</t>
  </si>
  <si>
    <t>海伦路306弄5号1102</t>
  </si>
  <si>
    <t>董定栋</t>
  </si>
  <si>
    <t>高桥镇合龙路619弄29号602室</t>
  </si>
  <si>
    <t>0001339</t>
  </si>
  <si>
    <t>侯宇</t>
  </si>
  <si>
    <t>浦东康沈路3001弄12号1401</t>
  </si>
  <si>
    <t>已测好</t>
  </si>
  <si>
    <t>0002282</t>
  </si>
  <si>
    <t>张倩</t>
  </si>
  <si>
    <t>上海浦东新区碧波路49弄11-101室</t>
  </si>
  <si>
    <t>0004347</t>
  </si>
  <si>
    <t>杨云</t>
  </si>
  <si>
    <t>环林东路271号12号803</t>
  </si>
  <si>
    <t>0003021</t>
  </si>
  <si>
    <t>张颖</t>
  </si>
  <si>
    <t>宝山区抚远路1211弄420室</t>
  </si>
  <si>
    <t>余先生</t>
  </si>
  <si>
    <t>江海新村358号103</t>
  </si>
  <si>
    <t>卢思宇/薛梦圆</t>
  </si>
  <si>
    <t>13918314954/13701792179</t>
  </si>
  <si>
    <t>宝山区场北路39号和欣花园24号1101室</t>
  </si>
  <si>
    <t>待预约测量</t>
  </si>
  <si>
    <t>九亭沪亭北路338弄89号701</t>
  </si>
  <si>
    <t>7.19活动</t>
  </si>
  <si>
    <t>0004237</t>
  </si>
  <si>
    <t>已完成</t>
  </si>
  <si>
    <t>小茹</t>
  </si>
  <si>
    <t>徐家汇路1弄2号205室</t>
  </si>
  <si>
    <t>0003249</t>
  </si>
  <si>
    <t>盛琼华</t>
  </si>
  <si>
    <t>宝山区盘古路19弄18号101</t>
  </si>
  <si>
    <t>进场</t>
  </si>
  <si>
    <t>王远</t>
  </si>
  <si>
    <t>解放新村463号101室</t>
  </si>
  <si>
    <t>褚建明</t>
  </si>
  <si>
    <t>数据洞泾新农河路500弄312号202</t>
  </si>
  <si>
    <t>黄春胜</t>
  </si>
  <si>
    <t>安徽省东至县尧渡镇碧桂园首付</t>
  </si>
  <si>
    <t>陈高权</t>
  </si>
  <si>
    <t>闵行区浦江镇永跃路555弄35号1201室</t>
  </si>
  <si>
    <t>0004120</t>
  </si>
  <si>
    <t>施钻专</t>
  </si>
  <si>
    <t>长宁支路15弄6号楼2303室</t>
  </si>
  <si>
    <t>年中大促</t>
  </si>
  <si>
    <t>0000033</t>
  </si>
  <si>
    <t>杨泰路99弄229号</t>
  </si>
  <si>
    <t>陈艳芳</t>
  </si>
  <si>
    <t>浦江镇苏民村十二组20号</t>
  </si>
  <si>
    <t>0003023</t>
  </si>
  <si>
    <t>李萌萌</t>
  </si>
  <si>
    <t>嘉定区爱特路333弄14号楼1304室</t>
  </si>
  <si>
    <t>0001786</t>
  </si>
  <si>
    <t>邓辰明</t>
  </si>
  <si>
    <t>徐汇区建园西路212弄（甲）403室</t>
  </si>
  <si>
    <t>邱建荣</t>
  </si>
  <si>
    <t>13806251593/18621685095</t>
  </si>
  <si>
    <t>青浦区淀山湖大道859号5号楼1501室</t>
  </si>
  <si>
    <t>6.22活动</t>
  </si>
  <si>
    <t>0001789</t>
  </si>
  <si>
    <t>张红</t>
  </si>
  <si>
    <t>莘松路225弄2号302</t>
  </si>
  <si>
    <t>张玉婷</t>
  </si>
  <si>
    <t>浦东区上丰路1483弄55号602</t>
  </si>
  <si>
    <t>0003154</t>
  </si>
  <si>
    <t>包凯</t>
  </si>
  <si>
    <t>顾北东路39弄27号1201室</t>
  </si>
  <si>
    <t>0004122</t>
  </si>
  <si>
    <t>付俊</t>
  </si>
  <si>
    <t>沪太路1296弄29号202室</t>
  </si>
  <si>
    <t>程富伟</t>
  </si>
  <si>
    <t>0001788</t>
  </si>
  <si>
    <t>阮洁朋</t>
  </si>
  <si>
    <t>同普路1680弄54号302室</t>
  </si>
  <si>
    <t>胡妍</t>
  </si>
  <si>
    <t>芦恒路378弄206号1302室</t>
  </si>
  <si>
    <t>一品漫城团购活动</t>
  </si>
  <si>
    <t>李冠桥</t>
  </si>
  <si>
    <t>浦东新区御桥路288弄未来城59-602</t>
  </si>
  <si>
    <t>0001944</t>
  </si>
  <si>
    <t>朱家声</t>
  </si>
  <si>
    <t>荣德路1258弄8号502室</t>
  </si>
  <si>
    <t>0004106</t>
  </si>
  <si>
    <t>文强</t>
  </si>
  <si>
    <t>歂兴路666弄22号604</t>
  </si>
  <si>
    <t>森如</t>
  </si>
  <si>
    <t>0000237</t>
  </si>
  <si>
    <t>杜玉军</t>
  </si>
  <si>
    <t>徐行镇启宁路421弄8号1804</t>
  </si>
  <si>
    <t>0000238</t>
  </si>
  <si>
    <t>王蒙</t>
  </si>
  <si>
    <t>大成郡1号楼2002室</t>
  </si>
  <si>
    <t>王佩</t>
  </si>
  <si>
    <t>青浦区青松路479弄13号502室</t>
  </si>
  <si>
    <t>8/13测量</t>
  </si>
  <si>
    <t>刘奇文</t>
  </si>
  <si>
    <t>淞南十村60号401</t>
  </si>
  <si>
    <t>徐霞</t>
  </si>
  <si>
    <t>浦东新区庭安路825弄22号1302室</t>
  </si>
  <si>
    <t>曾林</t>
  </si>
  <si>
    <t>浦东莲溪路780弄51号401</t>
  </si>
  <si>
    <t>敲墙</t>
  </si>
  <si>
    <t>王宏徽</t>
  </si>
  <si>
    <t>浦明路233弄1号2503室</t>
  </si>
  <si>
    <t>陈春洪</t>
  </si>
  <si>
    <t>普陀区远景路97弄17号904室</t>
  </si>
  <si>
    <t>金晓岚</t>
  </si>
  <si>
    <t>高清路2878弄53号901室</t>
  </si>
  <si>
    <t>0002293</t>
  </si>
  <si>
    <t>浦东周浦镇果园一村225号</t>
  </si>
  <si>
    <t>5.23活动</t>
  </si>
  <si>
    <t>0002229</t>
  </si>
  <si>
    <t>彭铮</t>
  </si>
  <si>
    <t>涞寅路658弄18号2501室</t>
  </si>
  <si>
    <t>9月份开工</t>
  </si>
  <si>
    <t>于春雷</t>
  </si>
  <si>
    <t>华夏东路860弄4号601（瀚龙苑）</t>
  </si>
  <si>
    <t>0004239</t>
  </si>
  <si>
    <t>苗姣姣</t>
  </si>
  <si>
    <t>浦东新区俱进路285弄3号201室</t>
  </si>
  <si>
    <t>7.1退款</t>
  </si>
  <si>
    <t>0001403</t>
  </si>
  <si>
    <t>徐汇区蒲汇塘路50号2号楼2003</t>
  </si>
  <si>
    <t>张永康</t>
  </si>
  <si>
    <t>浦东新区崮山路322弄31号1301</t>
  </si>
  <si>
    <t>0004126</t>
  </si>
  <si>
    <t>李颖</t>
  </si>
  <si>
    <t>七莘路2938弄5号601室</t>
  </si>
  <si>
    <t>潘陈升</t>
  </si>
  <si>
    <t>王茜</t>
  </si>
  <si>
    <t>浦东新区长岛路823弄5号1002</t>
  </si>
  <si>
    <t>0001790</t>
  </si>
  <si>
    <t>王敏敏</t>
  </si>
  <si>
    <t>真北路1524弄21号</t>
  </si>
  <si>
    <t>周秋云</t>
  </si>
  <si>
    <t>虹许路788弄43号505室</t>
  </si>
  <si>
    <t>0004108</t>
  </si>
  <si>
    <t>谭剑</t>
  </si>
  <si>
    <t>羽山路1446弄13号502</t>
  </si>
  <si>
    <t>0004107</t>
  </si>
  <si>
    <t>竺雅华</t>
  </si>
  <si>
    <t>浦东张杨路310弄31号402</t>
  </si>
  <si>
    <t>0002131</t>
  </si>
  <si>
    <t>赵焕魁</t>
  </si>
  <si>
    <t>七莘路3333弄6区15号502室</t>
  </si>
  <si>
    <t>顾琼</t>
  </si>
  <si>
    <t>长宁区定西路710弄达安长宁公寓105号401室</t>
  </si>
  <si>
    <t>郑敏华</t>
  </si>
  <si>
    <t>万航渡路682号501室</t>
  </si>
  <si>
    <t>0004098</t>
  </si>
  <si>
    <t>王伟伟</t>
  </si>
  <si>
    <t>浦东巨峰路399弄22号楼402室</t>
  </si>
  <si>
    <t>0000893</t>
  </si>
  <si>
    <t>陈庭鹭</t>
  </si>
  <si>
    <t>静安区南京西路2068号2406</t>
  </si>
  <si>
    <t>0000861</t>
  </si>
  <si>
    <t>尹永志</t>
  </si>
  <si>
    <t>巨峰路399弄48号202室</t>
  </si>
  <si>
    <t>高婷婷</t>
  </si>
  <si>
    <t>浦东海趣路218号绿地Mtown1716室</t>
  </si>
  <si>
    <t>米琦</t>
  </si>
  <si>
    <t>东方路1881弄58号2101室</t>
  </si>
  <si>
    <t>0003608</t>
  </si>
  <si>
    <t>刘淑勤</t>
  </si>
  <si>
    <t>黄浦区斜土路80弄13号105室</t>
  </si>
  <si>
    <t>陈国菊</t>
  </si>
  <si>
    <t>莘庄莘城路199弄好世鹿鸣苑6栋503</t>
  </si>
  <si>
    <t>0004293</t>
  </si>
  <si>
    <t>叶冉</t>
  </si>
  <si>
    <t>上海杨思路855弄42号202室</t>
  </si>
  <si>
    <t>王淼</t>
  </si>
  <si>
    <t>浦东三林路1662弄105号502</t>
  </si>
  <si>
    <t>0002571</t>
  </si>
  <si>
    <t>王女士</t>
  </si>
  <si>
    <t>徐汇区（老房子）</t>
  </si>
  <si>
    <t>唐雪芹</t>
  </si>
  <si>
    <t>青浦区盈港东路1529弄22号402</t>
  </si>
  <si>
    <t xml:space="preserve"> 杜朋旭</t>
  </si>
  <si>
    <t>康桥镇1558弄17号502室</t>
  </si>
  <si>
    <t>左燕丽</t>
  </si>
  <si>
    <t>云山路1039弄27号1001室</t>
  </si>
  <si>
    <t>魏晓迪</t>
  </si>
  <si>
    <t>襄阳南路277弄3号202</t>
  </si>
  <si>
    <t>0004292</t>
  </si>
  <si>
    <t>常朝</t>
  </si>
  <si>
    <t>一品漫城五期204号902室</t>
  </si>
  <si>
    <t>朱凯杰</t>
  </si>
  <si>
    <t>陆家浜路1141号1809室</t>
  </si>
  <si>
    <t>李寅锋</t>
  </si>
  <si>
    <t>虹口区四达路58弄9号1702</t>
  </si>
  <si>
    <t>0004372</t>
  </si>
  <si>
    <t>陈怡</t>
  </si>
  <si>
    <t>闵行区景谷中路58弄15号101</t>
  </si>
  <si>
    <t>0002353</t>
  </si>
  <si>
    <t>詹琴</t>
  </si>
  <si>
    <t>杨浦区延吉东路桂花一村4号301</t>
  </si>
  <si>
    <t>0003878</t>
  </si>
  <si>
    <t>吴时舟</t>
  </si>
  <si>
    <t>桂林路505弄1号301室</t>
  </si>
  <si>
    <t>0000862</t>
  </si>
  <si>
    <t>童燕</t>
  </si>
  <si>
    <t>13761891912/13524516885</t>
  </si>
  <si>
    <t>瑞虹路383弄2号1302</t>
  </si>
  <si>
    <t>沈洁</t>
  </si>
  <si>
    <t>普陀区曹杨路303室67号402室</t>
  </si>
  <si>
    <t>梁国民</t>
  </si>
  <si>
    <t>宝山锦秋路699弄3-526</t>
  </si>
  <si>
    <t>0004352</t>
  </si>
  <si>
    <t>沈敏芝</t>
  </si>
  <si>
    <t>浦涛路768弄40号1004室</t>
  </si>
  <si>
    <t>0004241</t>
  </si>
  <si>
    <t>谭芳</t>
  </si>
  <si>
    <t>浦东灵山路785弄15号501</t>
  </si>
  <si>
    <t>7.3</t>
  </si>
  <si>
    <t>0004058</t>
  </si>
  <si>
    <t>王莺</t>
  </si>
  <si>
    <t>上海市嘉定区栖林路425弄6号701</t>
  </si>
  <si>
    <t>0002628</t>
  </si>
  <si>
    <t>顾永珍/王之翰</t>
  </si>
  <si>
    <t>业文路189弄228号101室</t>
  </si>
  <si>
    <t>12.16活动</t>
  </si>
  <si>
    <t>戴建亮</t>
  </si>
  <si>
    <t>浦驰路188弄76号801</t>
  </si>
  <si>
    <t>0001787</t>
  </si>
  <si>
    <t>陈金辉</t>
  </si>
  <si>
    <t>江桥海波路127弄3号1101</t>
  </si>
  <si>
    <t>0000864</t>
  </si>
  <si>
    <t>徐桐</t>
  </si>
  <si>
    <t>上海普陀区真光路798弄74号2002</t>
  </si>
  <si>
    <t>郑远洪</t>
  </si>
  <si>
    <t>徐汇区罗秀二村37号503室</t>
  </si>
  <si>
    <t>李金妍</t>
  </si>
  <si>
    <t>昆山花桥象屿都城9号2701室</t>
  </si>
  <si>
    <t>刘艳红</t>
  </si>
  <si>
    <t>文翔路3088弄文翔名苑657号102室</t>
  </si>
  <si>
    <t>0004129</t>
  </si>
  <si>
    <t>沈桂旭</t>
  </si>
  <si>
    <t>13817298162/18302171357</t>
  </si>
  <si>
    <t>浦东潍坊路208弄5号302室</t>
  </si>
  <si>
    <t>张泽霞</t>
  </si>
  <si>
    <t>新行路433弄56号501室</t>
  </si>
  <si>
    <t>盛亮</t>
  </si>
  <si>
    <t>0003251</t>
  </si>
  <si>
    <t>朱毅君</t>
  </si>
  <si>
    <t>恒业路365弄16号101</t>
  </si>
  <si>
    <t>0003252</t>
  </si>
  <si>
    <t>李红英</t>
  </si>
  <si>
    <t>平型路377弄10号2303</t>
  </si>
  <si>
    <t>0004068</t>
  </si>
  <si>
    <t>朱旖旎</t>
  </si>
  <si>
    <t>浦东瑞建路88弄15号701室</t>
  </si>
  <si>
    <t>尚东区14-701</t>
  </si>
  <si>
    <t>0000896</t>
  </si>
  <si>
    <t>江聪</t>
  </si>
  <si>
    <t>杨浦区长阳路1658弄1号1102室</t>
  </si>
  <si>
    <t>虹桥路40弄40号楼1102室</t>
  </si>
  <si>
    <t>0004133</t>
  </si>
  <si>
    <t>陆鑫</t>
  </si>
  <si>
    <t>淀山湖路壹号二期紫荆庄园340幢106室</t>
  </si>
  <si>
    <t>0004150</t>
  </si>
  <si>
    <t>陈卓</t>
  </si>
  <si>
    <t>闵行金汇南路60弄62号401</t>
  </si>
  <si>
    <t>林颖</t>
  </si>
  <si>
    <t>浦东新区昌军东路71弄7号902室</t>
  </si>
  <si>
    <t>0001609</t>
  </si>
  <si>
    <t>刘希</t>
  </si>
  <si>
    <t>杨浦区民府路999号民府小区34号楼201</t>
  </si>
  <si>
    <t>赵然</t>
  </si>
  <si>
    <t>浦东新区牡丹江路1248弄62号</t>
  </si>
  <si>
    <t>油漆</t>
  </si>
  <si>
    <t>张麟</t>
  </si>
  <si>
    <t>乳山路114弄4号602</t>
  </si>
  <si>
    <t>0004243</t>
  </si>
  <si>
    <t>陆昊</t>
  </si>
  <si>
    <t>乳山三村341号203室</t>
  </si>
  <si>
    <t>0000932</t>
  </si>
  <si>
    <t>彭虎</t>
  </si>
  <si>
    <t>上海浦东新区惠南镇43号803</t>
  </si>
  <si>
    <t>马芸</t>
  </si>
  <si>
    <t>宝山区江杨北路1568弄68号2003室</t>
  </si>
  <si>
    <t>金山区龙轩路1998弄正荣11号</t>
  </si>
  <si>
    <t>张俊</t>
  </si>
  <si>
    <t>宝山三泉路1495-62-601</t>
  </si>
  <si>
    <t>马君</t>
  </si>
  <si>
    <t>徐汇区龙山新村55号401</t>
  </si>
  <si>
    <t>0004294</t>
  </si>
  <si>
    <t>张丽梅</t>
  </si>
  <si>
    <t>浦东新区雪绒花路369弄133号</t>
  </si>
  <si>
    <t>0004052</t>
  </si>
  <si>
    <t>黄浦区河南南路1001弄10号2501室</t>
  </si>
  <si>
    <t>赵雄</t>
  </si>
  <si>
    <t>斜土路118弄13号1708室</t>
  </si>
  <si>
    <t>0004135</t>
  </si>
  <si>
    <t>方俊</t>
  </si>
  <si>
    <t>浦东新区羽山路100弄3号201室</t>
  </si>
  <si>
    <t>6.25活动</t>
  </si>
  <si>
    <t xml:space="preserve"> 王晓时</t>
  </si>
  <si>
    <t>航定路568弄20号103室</t>
  </si>
  <si>
    <t>6.27活动</t>
  </si>
  <si>
    <t>赵文权</t>
  </si>
  <si>
    <t>张堰镇高桥4003号</t>
  </si>
  <si>
    <t>金志华</t>
  </si>
  <si>
    <t>浦东新区北蔡紫业路66弄1号402</t>
  </si>
  <si>
    <t>0000114</t>
  </si>
  <si>
    <t>曾颖</t>
  </si>
  <si>
    <t>虹口区虹湾路313弄33号1601室</t>
  </si>
  <si>
    <t>李建国</t>
  </si>
  <si>
    <t>置鼎路889弄融信铂湾88号101室</t>
  </si>
  <si>
    <t>0004244</t>
  </si>
  <si>
    <t>田胜华</t>
  </si>
  <si>
    <t>浦东灵山路708弄4-1003号</t>
  </si>
  <si>
    <t>月底应该可以</t>
  </si>
  <si>
    <t>陈连民</t>
  </si>
  <si>
    <t>长宁区安龙路698弄12号302室</t>
  </si>
  <si>
    <t>朱玲</t>
  </si>
  <si>
    <t>0004375</t>
  </si>
  <si>
    <t>沈鹏飞</t>
  </si>
  <si>
    <t>奉贤区沿港河路350弄6号1602</t>
  </si>
  <si>
    <t>海飞信国际贸易有限公司</t>
  </si>
  <si>
    <t>静安区威海路333弄20号501室</t>
  </si>
  <si>
    <t>000321</t>
  </si>
  <si>
    <t>陆海生</t>
  </si>
  <si>
    <t>上海市奉贤区海马路海湾艺墅189号302</t>
  </si>
  <si>
    <t>朱庆文</t>
  </si>
  <si>
    <t>浦东康沈路465弄28号402</t>
  </si>
  <si>
    <t>0000361</t>
  </si>
  <si>
    <t>郝梦娟</t>
  </si>
  <si>
    <t>周炜</t>
  </si>
  <si>
    <t>宝山区呼玛一村100号401室</t>
  </si>
  <si>
    <t>邹飞</t>
  </si>
  <si>
    <t>0000933</t>
  </si>
  <si>
    <t>金伟</t>
  </si>
  <si>
    <t>控江路128弄32号1301室</t>
  </si>
  <si>
    <t>0001921</t>
  </si>
  <si>
    <t>彭思伟</t>
  </si>
  <si>
    <t>白银三期1号302室</t>
  </si>
  <si>
    <t>0001508</t>
  </si>
  <si>
    <t>陈锋</t>
  </si>
  <si>
    <t>代婷</t>
  </si>
  <si>
    <t>上海市松江区乐都路1558弄5-101室</t>
  </si>
  <si>
    <t>0002259</t>
  </si>
  <si>
    <t>赵慧</t>
  </si>
  <si>
    <t>常德路519弄3号302室</t>
  </si>
  <si>
    <t>吴丁飞</t>
  </si>
  <si>
    <t>锦和路14号501室</t>
  </si>
  <si>
    <t>王洪磊</t>
  </si>
  <si>
    <t>王叶</t>
  </si>
  <si>
    <t>华夏东路2345弄17号1102室</t>
  </si>
  <si>
    <t>0003254</t>
  </si>
  <si>
    <t>张美云</t>
  </si>
  <si>
    <t>邯郸路470弄13号501室</t>
  </si>
  <si>
    <t>李尊敬</t>
  </si>
  <si>
    <t>南汇新城镇古棕路555弄69号402室</t>
  </si>
  <si>
    <t>0001712</t>
  </si>
  <si>
    <t>徐飞</t>
  </si>
  <si>
    <t>浦东耀华路331弄53号202</t>
  </si>
  <si>
    <t>0001713</t>
  </si>
  <si>
    <t>丁白金</t>
  </si>
  <si>
    <t>奉贤区港阳路333弄9号602</t>
  </si>
  <si>
    <t>0001679</t>
  </si>
  <si>
    <t>雷博钰</t>
  </si>
  <si>
    <t>上海市延平路123弄3号805</t>
  </si>
  <si>
    <t>0001715</t>
  </si>
  <si>
    <t>丁海云</t>
  </si>
  <si>
    <t>13816539477/13817563000</t>
  </si>
  <si>
    <t>浦东博兴路465弄1支弄1号202室</t>
  </si>
  <si>
    <t>朱锐</t>
  </si>
  <si>
    <t>武宁路955弄6-701室</t>
  </si>
  <si>
    <t>顾俊杰</t>
  </si>
  <si>
    <t>普陀区交通西路188弄504室</t>
  </si>
  <si>
    <t>开业活动</t>
  </si>
  <si>
    <t>0004354</t>
  </si>
  <si>
    <t>郑霄潇</t>
  </si>
  <si>
    <t>芦恒路378弄177号1002室</t>
  </si>
  <si>
    <t>0003256</t>
  </si>
  <si>
    <t>谢黎君</t>
  </si>
  <si>
    <t>135644779927</t>
  </si>
  <si>
    <t>长兴镇圆展路135弄31号1704</t>
  </si>
  <si>
    <t>王佩华</t>
  </si>
  <si>
    <t>浦东新区惠南镇东方城市豪庭27号502室</t>
  </si>
  <si>
    <t>12月开工</t>
  </si>
  <si>
    <t>百安居万达茂店</t>
  </si>
  <si>
    <t>徐雯彦/于庆营</t>
  </si>
  <si>
    <t>肖</t>
  </si>
  <si>
    <t>青*路500弄5号901室</t>
  </si>
  <si>
    <t>0001613</t>
  </si>
  <si>
    <t>屠颖星</t>
  </si>
  <si>
    <t>虹口区天宝路466弄11号2304室</t>
  </si>
  <si>
    <t>0002300</t>
  </si>
  <si>
    <t>欧阳瞻</t>
  </si>
  <si>
    <t>浦东新区康杉路386弄9#701</t>
  </si>
  <si>
    <t>杜丹丹</t>
  </si>
  <si>
    <t>上丰路1483弄65号201室</t>
  </si>
  <si>
    <t>6.28活动</t>
  </si>
  <si>
    <t>0003614</t>
  </si>
  <si>
    <t>丁美玲</t>
  </si>
  <si>
    <t>曹杨二村318号203室</t>
  </si>
  <si>
    <r>
      <rPr>
        <sz val="9"/>
        <rFont val="Arial"/>
        <charset val="134"/>
      </rPr>
      <t>√7</t>
    </r>
    <r>
      <rPr>
        <sz val="9"/>
        <rFont val="宋体"/>
        <charset val="134"/>
      </rPr>
      <t>月底动工</t>
    </r>
  </si>
  <si>
    <t>0000115</t>
  </si>
  <si>
    <t>徐佳</t>
  </si>
  <si>
    <t>杨浦区包头路工农四村121号001室</t>
  </si>
  <si>
    <t>阮文斌</t>
  </si>
  <si>
    <t>博海路118弄22号1803</t>
  </si>
  <si>
    <t>0001763</t>
  </si>
  <si>
    <t>袁哲琴</t>
  </si>
  <si>
    <t>上海杨林市光二村101号201室</t>
  </si>
  <si>
    <t>倪炜</t>
  </si>
  <si>
    <t>虹口区新市南路1137弄4号301室</t>
  </si>
  <si>
    <t>0003615</t>
  </si>
  <si>
    <t>黄健</t>
  </si>
  <si>
    <t>上海宝山区牡丹江路1242号27号101</t>
  </si>
  <si>
    <t>0001611</t>
  </si>
  <si>
    <t>陆雅芳</t>
  </si>
  <si>
    <t>13671654826/13472825075</t>
  </si>
  <si>
    <t>顾北东路155弄137号501室</t>
  </si>
  <si>
    <t>0001922</t>
  </si>
  <si>
    <t>黄点点</t>
  </si>
  <si>
    <t>绿地天呈11号101室</t>
  </si>
  <si>
    <t>浦东新区金杨七街810弄32号303</t>
  </si>
  <si>
    <t>0004297</t>
  </si>
  <si>
    <t>史子强</t>
  </si>
  <si>
    <t>宝山区通河三村3号1304室</t>
  </si>
  <si>
    <t>罗春</t>
  </si>
  <si>
    <t>上海虹桥路168号10号204室</t>
  </si>
  <si>
    <t>0003892</t>
  </si>
  <si>
    <t>吴晓平</t>
  </si>
  <si>
    <t>浦东张江藿香路238弄69号1101室</t>
  </si>
  <si>
    <t>张丽敏</t>
  </si>
  <si>
    <t>秀沿西路258弄1501</t>
  </si>
  <si>
    <t>0004245</t>
  </si>
  <si>
    <t>陈瑶蕾</t>
  </si>
  <si>
    <t>前肖路231弄7号501室</t>
  </si>
  <si>
    <t>才刚交房，准备开工</t>
  </si>
  <si>
    <t>普陀区武威东路821弄</t>
  </si>
  <si>
    <t>0000363</t>
  </si>
  <si>
    <t>朱腾飞</t>
  </si>
  <si>
    <t>浦东新区川周公路2828弄31号202</t>
  </si>
  <si>
    <t>0000849</t>
  </si>
  <si>
    <t>顾晓青</t>
  </si>
  <si>
    <t>莱阳路881弄47号502室</t>
  </si>
  <si>
    <t>0001612</t>
  </si>
  <si>
    <t>黄沙</t>
  </si>
  <si>
    <t>静安区平型关路1083弄2号1502室</t>
  </si>
  <si>
    <t>0001694</t>
  </si>
  <si>
    <t>青浦区秀泽路225弄14栋904室</t>
  </si>
  <si>
    <t>张兰兰</t>
  </si>
  <si>
    <t>昆山市花桥镇高银东路999号</t>
  </si>
  <si>
    <t>胡运币</t>
  </si>
  <si>
    <t>行德路141路12号602</t>
  </si>
  <si>
    <t>0000870</t>
  </si>
  <si>
    <t>彭静</t>
  </si>
  <si>
    <t>上海杨浦涴沙四村66号604</t>
  </si>
  <si>
    <t>0003213</t>
  </si>
  <si>
    <t>蒋国锋</t>
  </si>
  <si>
    <t>青浦区赵巷镇巷居路99弄127号</t>
  </si>
  <si>
    <t>0002157</t>
  </si>
  <si>
    <t>潘一舟</t>
  </si>
  <si>
    <t>吴中路511弄70号302室</t>
  </si>
  <si>
    <t>浦江*浦一村10号903</t>
  </si>
  <si>
    <t>0003604</t>
  </si>
  <si>
    <t>萧龙瑛</t>
  </si>
  <si>
    <t>黄浦区蒙自路598弄1号1003室</t>
  </si>
  <si>
    <t>马文兰</t>
  </si>
  <si>
    <t>胡金辉</t>
  </si>
  <si>
    <t>普陀区富平路737弄72号501</t>
  </si>
  <si>
    <t>马桂英</t>
  </si>
  <si>
    <t>13003126908/13681923845</t>
  </si>
  <si>
    <t>曹阳四村121号801室</t>
  </si>
  <si>
    <t>鲁莺莺</t>
  </si>
  <si>
    <t>浦东新区航春路169弄12号701室</t>
  </si>
  <si>
    <t>0002674</t>
  </si>
  <si>
    <t>黄浦区徐汇路101号百汇大厦207</t>
  </si>
  <si>
    <t>微信不回复</t>
  </si>
  <si>
    <t>0003167</t>
  </si>
  <si>
    <t>锦秋路655弄36号</t>
  </si>
  <si>
    <t>0001372</t>
  </si>
  <si>
    <t>黄颖超</t>
  </si>
  <si>
    <t>芦恒路378弄205号1001</t>
  </si>
  <si>
    <t>喻炜</t>
  </si>
  <si>
    <t>峨眉路299弄7号2003室</t>
  </si>
  <si>
    <t>严琴</t>
  </si>
  <si>
    <t>秀沿路1028弄2支弄75号1002室</t>
  </si>
  <si>
    <t>退订单/客户买了日门</t>
  </si>
  <si>
    <t>吴世康</t>
  </si>
  <si>
    <t>浦润苑718弄15号</t>
  </si>
  <si>
    <t>叶雅芬</t>
  </si>
  <si>
    <t>许昌路328弄19号502室</t>
  </si>
  <si>
    <t>诸珏</t>
  </si>
  <si>
    <t>闵行区莘朱路651弄23号101室</t>
  </si>
  <si>
    <t>王新志</t>
  </si>
  <si>
    <t>百曲雅苑1988弄23号1402</t>
  </si>
  <si>
    <t>0002655</t>
  </si>
  <si>
    <t>田蓉静/薛子峰</t>
  </si>
  <si>
    <t>15195950702/13381800381</t>
  </si>
  <si>
    <t>肇周路384弄1号1505室</t>
  </si>
  <si>
    <t>刘率宇</t>
  </si>
  <si>
    <t>古井路38弄3号1401</t>
  </si>
  <si>
    <t>2.16活动</t>
  </si>
  <si>
    <t>0000863</t>
  </si>
  <si>
    <t>黄明璋</t>
  </si>
  <si>
    <t>东园三村303号401室</t>
  </si>
  <si>
    <t>0001716</t>
  </si>
  <si>
    <t>王昱琪</t>
  </si>
  <si>
    <t>普陀区宁夏路366弄20号502室</t>
  </si>
  <si>
    <t>王翔</t>
  </si>
  <si>
    <t>奉贤区明城路1198弄25号1001</t>
  </si>
  <si>
    <t>朱春凤</t>
  </si>
  <si>
    <t>龙泽园西区24-602</t>
  </si>
  <si>
    <t>0003274</t>
  </si>
  <si>
    <t>徐奇峰</t>
  </si>
  <si>
    <t>虹口区丰镇路45号201室</t>
  </si>
  <si>
    <t>0003164</t>
  </si>
  <si>
    <t>李芸</t>
  </si>
  <si>
    <t>交城路399弄58号502室</t>
  </si>
  <si>
    <t>0004246</t>
  </si>
  <si>
    <t>柯菲</t>
  </si>
  <si>
    <t>龙阳路1880弄59号101室</t>
  </si>
  <si>
    <t>0000937</t>
  </si>
  <si>
    <t>张岭</t>
  </si>
  <si>
    <t>秦丽娜</t>
  </si>
  <si>
    <t>德淳路99弄紫金九号32号801</t>
  </si>
  <si>
    <t>0002233</t>
  </si>
  <si>
    <t>金陆一</t>
  </si>
  <si>
    <t>闵行区友情路50弄3号203室</t>
  </si>
  <si>
    <t>7.24测量</t>
  </si>
  <si>
    <t>万*路2278弄22号702</t>
  </si>
  <si>
    <t>张杰梅</t>
  </si>
  <si>
    <t>褚家路100弄8号402室</t>
  </si>
  <si>
    <t>0000066</t>
  </si>
  <si>
    <t>徐凤娟</t>
  </si>
  <si>
    <t>御中环43号康杉路</t>
  </si>
  <si>
    <t>9月开工</t>
  </si>
  <si>
    <t>徐烨</t>
  </si>
  <si>
    <t>东方路1881弄7号2101</t>
  </si>
  <si>
    <t>邹昊洋</t>
  </si>
  <si>
    <t>宝山区罗芬路1199弄6号801室</t>
  </si>
  <si>
    <t>奉贤区褚家路100弄8号402室</t>
  </si>
  <si>
    <t>3.2家博会</t>
  </si>
  <si>
    <t>0003170</t>
  </si>
  <si>
    <t>绿地天呈80号502室</t>
  </si>
  <si>
    <t>夏中群</t>
  </si>
  <si>
    <t>曹杨新村宁夏路366弄16号1102室</t>
  </si>
  <si>
    <t>0001240</t>
  </si>
  <si>
    <t>撞单真北店</t>
  </si>
  <si>
    <t>宁夏路366弄16号1102室</t>
  </si>
  <si>
    <t>银河丽湾</t>
  </si>
  <si>
    <t>0003160</t>
  </si>
  <si>
    <t>万邦红</t>
  </si>
  <si>
    <t>新沪路1059-62</t>
  </si>
  <si>
    <t>展浩</t>
  </si>
  <si>
    <t>金汇路588弄10号302室</t>
  </si>
  <si>
    <t>000003</t>
  </si>
  <si>
    <t>黄立辉</t>
  </si>
  <si>
    <t>万航渡路661弄61号503室</t>
  </si>
  <si>
    <t>0004060</t>
  </si>
  <si>
    <t>余苗</t>
  </si>
  <si>
    <t>上海浦东新区张江镇益丰新村35号103</t>
  </si>
  <si>
    <t>喻慧</t>
  </si>
  <si>
    <t>都市路4633弄8号401</t>
  </si>
  <si>
    <t>0002156</t>
  </si>
  <si>
    <t>李旭</t>
  </si>
  <si>
    <t>浦东新区蓝村路470弄50号203</t>
  </si>
  <si>
    <t>马道祺</t>
  </si>
  <si>
    <t>华堂苑42号</t>
  </si>
  <si>
    <t>安国路56号403室</t>
  </si>
  <si>
    <t>7.2微信活动</t>
  </si>
  <si>
    <t>陈依超</t>
  </si>
  <si>
    <t>田林三村42号403室</t>
  </si>
  <si>
    <t>0003161</t>
  </si>
  <si>
    <t>陈柳青</t>
  </si>
  <si>
    <t>虹口区汶水路717弄17号402室</t>
  </si>
  <si>
    <t>0002303</t>
  </si>
  <si>
    <t>王文超</t>
  </si>
  <si>
    <t>浦东新区成山路208弄4#202</t>
  </si>
  <si>
    <t>0002572</t>
  </si>
  <si>
    <t>周杰</t>
  </si>
  <si>
    <t>崇明区长兴岛凤蓉路455弄10号101室</t>
  </si>
  <si>
    <t>郑轶之</t>
  </si>
  <si>
    <t>嘉定南翔德华路79弄16号1501室</t>
  </si>
  <si>
    <t>孙金国</t>
  </si>
  <si>
    <t>宝山区场北路669弄19号1202室</t>
  </si>
  <si>
    <t>孙权</t>
  </si>
  <si>
    <t>0004355</t>
  </si>
  <si>
    <t>蒋炜</t>
  </si>
  <si>
    <t>新沪路1099弄62号502室</t>
  </si>
  <si>
    <t>普陀区武威东路888弄恒盛盛都会6号楼502室</t>
  </si>
  <si>
    <t>0001596</t>
  </si>
  <si>
    <t>朱登峰</t>
  </si>
  <si>
    <t>大华路988弄8号202室</t>
  </si>
  <si>
    <t>0001600</t>
  </si>
  <si>
    <t>朱道云</t>
  </si>
  <si>
    <t>嘉定区嘉绣路955号</t>
  </si>
  <si>
    <t>潘伟伟</t>
  </si>
  <si>
    <t>宝山区韶山路245弄44号1504室</t>
  </si>
  <si>
    <t>退订单/嫌贵，买了其他品牌</t>
  </si>
  <si>
    <t>0002279</t>
  </si>
  <si>
    <t>鲍晓辉</t>
  </si>
  <si>
    <t>嘉定区嘉唐公路169弄79号102室</t>
  </si>
  <si>
    <t>0003616</t>
  </si>
  <si>
    <t>陈非</t>
  </si>
  <si>
    <t>石泉路450弄14号401室</t>
  </si>
  <si>
    <t>0003166</t>
  </si>
  <si>
    <t>黄仁杰</t>
  </si>
  <si>
    <t>宝山区陆翔路698弄56号203</t>
  </si>
  <si>
    <t>0003165</t>
  </si>
  <si>
    <t>孙亚军</t>
  </si>
  <si>
    <t>静安区广中西路818弄2号102室</t>
  </si>
  <si>
    <t>王和芳</t>
  </si>
  <si>
    <t>莘耕路100弄3号楼3F</t>
  </si>
  <si>
    <t>0003273</t>
  </si>
  <si>
    <t>黄雅静</t>
  </si>
  <si>
    <t>奉贤区田汇公路258弄26号1004室</t>
  </si>
  <si>
    <t>000006</t>
  </si>
  <si>
    <t>梁璟</t>
  </si>
  <si>
    <t>兰溪路221弄6号203室</t>
  </si>
  <si>
    <t>退订单/父母选了其他品牌</t>
  </si>
  <si>
    <t>0004298</t>
  </si>
  <si>
    <t>阚大伟</t>
  </si>
  <si>
    <t>上海浦东新区绿林路52弄17号402</t>
  </si>
  <si>
    <t>0003214</t>
  </si>
  <si>
    <t>张云心</t>
  </si>
  <si>
    <t>青浦区西郊半岛名苑50号102</t>
  </si>
  <si>
    <t>在做地暖</t>
  </si>
  <si>
    <t>0000117</t>
  </si>
  <si>
    <t>王伟琳</t>
  </si>
  <si>
    <t>杨浦区爱国路301弄17号701室</t>
  </si>
  <si>
    <t>地面还没找平</t>
  </si>
  <si>
    <t>0000116</t>
  </si>
  <si>
    <t>江璐</t>
  </si>
  <si>
    <t>鞍山路310弄24号501室</t>
  </si>
  <si>
    <t>需要退</t>
  </si>
  <si>
    <t>曹志勇</t>
  </si>
  <si>
    <t>上海嘉定区宝安公路3636弄6号1902室</t>
  </si>
  <si>
    <t>吴杏</t>
  </si>
  <si>
    <t>绿地天呈78号102室</t>
  </si>
  <si>
    <t>谢小姐</t>
  </si>
  <si>
    <t>绿地天呈87号101室</t>
  </si>
  <si>
    <t>秦圣骅</t>
  </si>
  <si>
    <t>上海嘉定柳湖老城10号602</t>
  </si>
  <si>
    <t>张卓年</t>
  </si>
  <si>
    <t>虹口区虹湾路313弄6号1903</t>
  </si>
  <si>
    <t>0002356</t>
  </si>
  <si>
    <t>周少波</t>
  </si>
  <si>
    <t>闵行区漕宝路1555号</t>
  </si>
  <si>
    <t>0002361</t>
  </si>
  <si>
    <t>徐佳奕</t>
  </si>
  <si>
    <t>闵行区富国路199弄29-105</t>
  </si>
  <si>
    <t>0002360</t>
  </si>
  <si>
    <t>汪成/朱文华</t>
  </si>
  <si>
    <t>奉贤区扶港路629弄215号</t>
  </si>
  <si>
    <t>0002362</t>
  </si>
  <si>
    <t>马妮</t>
  </si>
  <si>
    <t>闵行区畹町路99弄183号401</t>
  </si>
  <si>
    <t>包恺俊</t>
  </si>
  <si>
    <t>嘉定区宝安公路3636弄6号2001室</t>
  </si>
  <si>
    <t>0003168</t>
  </si>
  <si>
    <t>文占朝</t>
  </si>
  <si>
    <t>真大路333弄50号303室</t>
  </si>
  <si>
    <t>柏桦</t>
  </si>
  <si>
    <t>瑞虹城三期2号楼1602室</t>
  </si>
  <si>
    <t>储丹霞</t>
  </si>
  <si>
    <t>吴海燕</t>
  </si>
  <si>
    <t>浦瑞路369弄3号102</t>
  </si>
  <si>
    <t>李旭东</t>
  </si>
  <si>
    <t>龙阳路1880弄万邦都市苑园66-601</t>
  </si>
  <si>
    <t>不是我的</t>
  </si>
  <si>
    <t>张臣</t>
  </si>
  <si>
    <t>徐汇区凌云路228号梅陇五村62号203室</t>
  </si>
  <si>
    <t>0002230</t>
  </si>
  <si>
    <t>由鹏飞</t>
  </si>
  <si>
    <t>漕宝路1467弄十区20号101</t>
  </si>
  <si>
    <t>0000655</t>
  </si>
  <si>
    <t>王文龙</t>
  </si>
  <si>
    <t>松江区樾山明月131号</t>
  </si>
  <si>
    <t>奉贤买单</t>
  </si>
  <si>
    <t>奉贤区泽丰路89弄108号</t>
  </si>
  <si>
    <t>0004139</t>
  </si>
  <si>
    <t>李佳新</t>
  </si>
  <si>
    <t>龙茗路1458弄1号201</t>
  </si>
  <si>
    <t>姚斌</t>
  </si>
  <si>
    <t>闵行区漕宝路1555弄14区9号301室</t>
  </si>
  <si>
    <t>0004140</t>
  </si>
  <si>
    <t>王静雪</t>
  </si>
  <si>
    <t>都市路2899-152-401</t>
  </si>
  <si>
    <t>周晓灵</t>
  </si>
  <si>
    <t>浦东祝桥镇立新村九组</t>
  </si>
  <si>
    <t>明年动工</t>
  </si>
  <si>
    <t>赵云</t>
  </si>
  <si>
    <t>荣成路9号3栋1501室</t>
  </si>
  <si>
    <t>刚动工</t>
  </si>
  <si>
    <t>袁德政</t>
  </si>
  <si>
    <t>龙吴路1323弄17号204室</t>
  </si>
  <si>
    <t>年中活动</t>
  </si>
  <si>
    <t>0002301</t>
  </si>
  <si>
    <t>巫辉</t>
  </si>
  <si>
    <t>上海市青桐路618弄12号301室</t>
  </si>
  <si>
    <t>居晓雪</t>
  </si>
  <si>
    <t>普陀区白玉新村127号201室</t>
  </si>
  <si>
    <t>0001595</t>
  </si>
  <si>
    <t>许惠琴</t>
  </si>
  <si>
    <t>莲花南路1288号</t>
  </si>
  <si>
    <t>0003163</t>
  </si>
  <si>
    <t>徐晓静</t>
  </si>
  <si>
    <t>宝山区沙浦路311弄291号503室</t>
  </si>
  <si>
    <t>0003162</t>
  </si>
  <si>
    <t>罗馥</t>
  </si>
  <si>
    <t>宝菊路22号66号楼403</t>
  </si>
  <si>
    <t>0003358</t>
  </si>
  <si>
    <t>秦悦</t>
  </si>
  <si>
    <t>徐汇区钦州路920号701</t>
  </si>
  <si>
    <t>奚梅</t>
  </si>
  <si>
    <t>上海市闵行区浦秀路1535弄89号302室</t>
  </si>
  <si>
    <t>田成虎</t>
  </si>
  <si>
    <t>曹安公路1775号兆地凡座1207室</t>
  </si>
  <si>
    <t>舒婧</t>
  </si>
  <si>
    <t>浦东新区灵山路600弄43号202</t>
  </si>
  <si>
    <t>钱玲</t>
  </si>
  <si>
    <t>松江区城鸿路222弄7号904室</t>
  </si>
  <si>
    <t>李瑞芳</t>
  </si>
  <si>
    <t>普陀区曹杨三村208号402</t>
  </si>
  <si>
    <t>0000938</t>
  </si>
  <si>
    <t>陈岚</t>
  </si>
  <si>
    <t>东煦路90弄1号1103室</t>
  </si>
  <si>
    <t>闻涛</t>
  </si>
  <si>
    <t>青浦区尚泰路458弄欣沁苑</t>
  </si>
  <si>
    <t>0000005</t>
  </si>
  <si>
    <t>吴琼</t>
  </si>
  <si>
    <t>石夏路1300弄6号1002</t>
  </si>
  <si>
    <t>0001615</t>
  </si>
  <si>
    <t>魏伟</t>
  </si>
  <si>
    <t>真华路999弄34号202</t>
  </si>
  <si>
    <t>尹佳俊</t>
  </si>
  <si>
    <t>闵行区畹町路100弄1号楼903</t>
  </si>
  <si>
    <t>0000350</t>
  </si>
  <si>
    <t>0002305</t>
  </si>
  <si>
    <t>黄叻</t>
  </si>
  <si>
    <t>北艾路1643弄6号302室</t>
  </si>
  <si>
    <t>0000031</t>
  </si>
  <si>
    <t>夏宁宁</t>
  </si>
  <si>
    <t>沪定路568弄12号101</t>
  </si>
  <si>
    <t>奚晓俊</t>
  </si>
  <si>
    <t>宜山路2328弄47号602室</t>
  </si>
  <si>
    <t>黄杰勤</t>
  </si>
  <si>
    <t>浦东新区北艾路73弄24号601室</t>
  </si>
  <si>
    <t>0003169</t>
  </si>
  <si>
    <t>付忠敏</t>
  </si>
  <si>
    <t>137611662221</t>
  </si>
  <si>
    <t>杨浦区古浦路375弄45号401</t>
  </si>
  <si>
    <t>0002239</t>
  </si>
  <si>
    <t>金源</t>
  </si>
  <si>
    <t>花木路916弄3单元1701</t>
  </si>
  <si>
    <t>丁建刚</t>
  </si>
  <si>
    <t>浦东锦安东路280弄40号302</t>
  </si>
  <si>
    <t>袁建芳</t>
  </si>
  <si>
    <t>浦东新区城丰路599弄14号103室</t>
  </si>
  <si>
    <t>未动工</t>
  </si>
  <si>
    <t>胡斌</t>
  </si>
  <si>
    <t>鹤永路750弄1-22号</t>
  </si>
  <si>
    <t>0001985</t>
  </si>
  <si>
    <t>金丹</t>
  </si>
  <si>
    <t>启宁路421弄18号102室</t>
  </si>
  <si>
    <t>黄凯</t>
  </si>
  <si>
    <t>莘朱路698弄19号501</t>
  </si>
  <si>
    <t>钟敏</t>
  </si>
  <si>
    <t>上海浦东川沙镇城丰路599弄14号103</t>
  </si>
  <si>
    <t>退订单/定了别的品牌</t>
  </si>
  <si>
    <t>谢晓辉</t>
  </si>
  <si>
    <t>青浦万达茂7号1701室</t>
  </si>
  <si>
    <t>张春</t>
  </si>
  <si>
    <t>闵行区东兰路1349弄67号402室</t>
  </si>
  <si>
    <t>袁俊杰</t>
  </si>
  <si>
    <t>嘉定区嘉康公路169弄72号102室</t>
  </si>
  <si>
    <t>2019.12.1</t>
  </si>
  <si>
    <t>是</t>
  </si>
  <si>
    <t>高峰</t>
  </si>
  <si>
    <t>嘉定区嘉康公路169弄72号101室</t>
  </si>
  <si>
    <t>0001924</t>
  </si>
  <si>
    <t>张新国</t>
  </si>
  <si>
    <t>绿地天呈28号102</t>
  </si>
  <si>
    <t>2019.12.5</t>
  </si>
  <si>
    <t>0001923</t>
  </si>
  <si>
    <t>朱丹阳</t>
  </si>
  <si>
    <t>绿地天呈75号501</t>
  </si>
  <si>
    <t>王晓巍</t>
  </si>
  <si>
    <t>周星路500弄12号1402室</t>
  </si>
  <si>
    <t>李金云</t>
  </si>
  <si>
    <t>徐汇区漕河泾街道18弄16号301室</t>
  </si>
  <si>
    <t>潘能</t>
  </si>
  <si>
    <t>上海梅陇四村55号401室</t>
  </si>
  <si>
    <t>俞心念</t>
  </si>
  <si>
    <t>钱吉民</t>
  </si>
  <si>
    <t>闵行区顾戴路1266弄109号301室</t>
  </si>
  <si>
    <t>施凌枭</t>
  </si>
  <si>
    <t>昆山市花桥镇泗泾路鑫苑鑫都汇2楼105</t>
  </si>
  <si>
    <t>退订单/辅料贵不想做</t>
  </si>
  <si>
    <t>杨伟/杨申</t>
  </si>
  <si>
    <t>丁金凤</t>
  </si>
  <si>
    <t>瑞金南路271弄3号601室</t>
  </si>
  <si>
    <t>张庭</t>
  </si>
  <si>
    <t>普陀区武宁路300弄21号903</t>
  </si>
  <si>
    <t>0002494</t>
  </si>
  <si>
    <t>周铂</t>
  </si>
  <si>
    <t>闵行区莘庄镇珠城路99弄33号701</t>
  </si>
  <si>
    <t>沈健新</t>
  </si>
  <si>
    <t>乳山路160弄14号501室</t>
  </si>
  <si>
    <t>刘峰松</t>
  </si>
  <si>
    <t>闵行山花路108弄20号302</t>
  </si>
  <si>
    <t>范利民</t>
  </si>
  <si>
    <t>嘉定路509弄1号2301室</t>
  </si>
  <si>
    <t>白杨路199弄12号902</t>
  </si>
  <si>
    <t>1.13活动</t>
  </si>
  <si>
    <t>陆家庆</t>
  </si>
  <si>
    <t>陈家镇安润路681弄57号501室</t>
  </si>
  <si>
    <t>宣嘉珅</t>
  </si>
  <si>
    <t>光复西路133弄8号1903室</t>
  </si>
  <si>
    <t>0004300</t>
  </si>
  <si>
    <t>刘威</t>
  </si>
  <si>
    <t>方竹路333弄62号401室</t>
  </si>
  <si>
    <t>0002447</t>
  </si>
  <si>
    <t>姚圣兵/苏晓燕</t>
  </si>
  <si>
    <t>13061751096/13788951851</t>
  </si>
  <si>
    <t>闵行区虹莘路3799弄101号601室</t>
  </si>
  <si>
    <t>夏多山</t>
  </si>
  <si>
    <t>龙吴路2388弄10号102室</t>
  </si>
  <si>
    <t>0004159</t>
  </si>
  <si>
    <t>朱胜声</t>
  </si>
  <si>
    <t>普陀区雅坪路176弄25号楼2103室</t>
  </si>
  <si>
    <t>0000940</t>
  </si>
  <si>
    <t>顾梅珍</t>
  </si>
  <si>
    <t>彭平公路260号405</t>
  </si>
  <si>
    <t>0003706</t>
  </si>
  <si>
    <t>李红军</t>
  </si>
  <si>
    <t>铜川路2059弄66号</t>
  </si>
  <si>
    <t>0003173</t>
  </si>
  <si>
    <t>刘一舟</t>
  </si>
  <si>
    <t>浦东新区淮坊留村605号203室</t>
  </si>
  <si>
    <t>加倍得</t>
  </si>
  <si>
    <t>0003174</t>
  </si>
  <si>
    <t>匡美容</t>
  </si>
  <si>
    <t>宝山区聚丰园路138号501室</t>
  </si>
  <si>
    <t>盛之欣</t>
  </si>
  <si>
    <t>内江路16弄13号1102</t>
  </si>
  <si>
    <t>0000245</t>
  </si>
  <si>
    <t>钱晓华</t>
  </si>
  <si>
    <t>浦东北艾路1077弄66号602</t>
  </si>
  <si>
    <t>0002539</t>
  </si>
  <si>
    <t>施蕾</t>
  </si>
  <si>
    <t>车站北路水电路</t>
  </si>
  <si>
    <t>0002540</t>
  </si>
  <si>
    <t>李团团</t>
  </si>
  <si>
    <t>宝山区花园宅路190弄8号1001</t>
  </si>
  <si>
    <t>0002496</t>
  </si>
  <si>
    <t>樊祥峰</t>
  </si>
  <si>
    <t>闵行区浦雪路179弄31号302室</t>
  </si>
  <si>
    <t>7.2微信落地活动</t>
  </si>
  <si>
    <t>刘小哲</t>
  </si>
  <si>
    <t>虹口区海门路609号远虹大厦</t>
  </si>
  <si>
    <t>0003391</t>
  </si>
  <si>
    <t>桂桂</t>
  </si>
  <si>
    <t>宝山区沪方路1170弄16号106室</t>
  </si>
  <si>
    <t>0003175</t>
  </si>
  <si>
    <t>顾洪洲</t>
  </si>
  <si>
    <t>崇明县庙镇洪水援华2队235号</t>
  </si>
  <si>
    <t>0001357</t>
  </si>
  <si>
    <t>胡铁城</t>
  </si>
  <si>
    <t>上海市闵行区东兰路751弄21号801室</t>
  </si>
  <si>
    <t>0003453</t>
  </si>
  <si>
    <t>姜倩</t>
  </si>
  <si>
    <t>15021150793/13816730553</t>
  </si>
  <si>
    <t>徐汇区乐山路12弄4号202室</t>
  </si>
  <si>
    <t>4.26微信落地活动</t>
  </si>
  <si>
    <t>0000511</t>
  </si>
  <si>
    <t>杨尚培</t>
  </si>
  <si>
    <t>上海市虹口区天潼路508号2205室</t>
  </si>
  <si>
    <t>0003189</t>
  </si>
  <si>
    <t>蔡程</t>
  </si>
  <si>
    <t>平凉路1740弄619号</t>
  </si>
  <si>
    <t>0000512</t>
  </si>
  <si>
    <t>张新兰</t>
  </si>
  <si>
    <t>上海市静安区塘沽路933号602室</t>
  </si>
  <si>
    <t>王晶</t>
  </si>
  <si>
    <t>黄石路18弄2号301室</t>
  </si>
  <si>
    <t>顾赟</t>
  </si>
  <si>
    <t>上海嘉定区红石路730弄26号1803室</t>
  </si>
  <si>
    <t>15618730603/18616790924</t>
  </si>
  <si>
    <t>金天地21号502</t>
  </si>
  <si>
    <t>0000008</t>
  </si>
  <si>
    <t>李慧文</t>
  </si>
  <si>
    <t>宝山区中环国际公寓3期18号302室</t>
  </si>
  <si>
    <t>0001511</t>
  </si>
  <si>
    <t>季芳</t>
  </si>
  <si>
    <t>辰花路839弄28/301</t>
  </si>
  <si>
    <t>程飞</t>
  </si>
  <si>
    <t>徐汇区南京路501弄25号901室</t>
  </si>
  <si>
    <t>董涛</t>
  </si>
  <si>
    <t>交通路199号17号802</t>
  </si>
  <si>
    <t>王中元</t>
  </si>
  <si>
    <t>蒙自西路72弄5号202室</t>
  </si>
  <si>
    <t>0002234</t>
  </si>
  <si>
    <t>邢国珍</t>
  </si>
  <si>
    <t>肇嘉浜路768号2601室</t>
  </si>
  <si>
    <t>吕军</t>
  </si>
  <si>
    <t>嘉定绿地天呈34号302室</t>
  </si>
  <si>
    <t>团购活动</t>
  </si>
  <si>
    <t>0000811</t>
  </si>
  <si>
    <t>秦浩伟</t>
  </si>
  <si>
    <t>杨浦远东一村21号302室</t>
  </si>
  <si>
    <t>地面还没找平，木工刚进场</t>
  </si>
  <si>
    <t>2019.8.1</t>
  </si>
  <si>
    <t>0003258</t>
  </si>
  <si>
    <t>秦雯</t>
  </si>
  <si>
    <t>闵行区莘松路958弄江山道4号1002室</t>
  </si>
  <si>
    <t>0004249</t>
  </si>
  <si>
    <t>姜婧文</t>
  </si>
  <si>
    <t>东陆路1397弄9号</t>
  </si>
  <si>
    <t>0000812</t>
  </si>
  <si>
    <t>郭女士</t>
  </si>
  <si>
    <t>江浦路1057弄4-702室</t>
  </si>
  <si>
    <t>杨华</t>
  </si>
  <si>
    <t>江宁路293号14A</t>
  </si>
  <si>
    <t>7.2活动</t>
  </si>
  <si>
    <t>温水生</t>
  </si>
  <si>
    <t>宝山区吉浦路615弄90号504</t>
  </si>
  <si>
    <t>7.3活动</t>
  </si>
  <si>
    <t>沈家祺</t>
  </si>
  <si>
    <t>虹口区车站南路406弄1号302</t>
  </si>
  <si>
    <t>0000939</t>
  </si>
  <si>
    <t>施丽</t>
  </si>
  <si>
    <t>虹湾路313弄37号3001室</t>
  </si>
  <si>
    <t>李明辉</t>
  </si>
  <si>
    <t>13817959314/13917717465</t>
  </si>
  <si>
    <t>上海市浦东新昌里东路190弄3号楼1904</t>
  </si>
  <si>
    <t>7.4活动</t>
  </si>
  <si>
    <t>钱惠珍</t>
  </si>
  <si>
    <t>普陀区中潭路100弄228号2203室</t>
  </si>
  <si>
    <t>退单7.18</t>
  </si>
  <si>
    <t>李登科</t>
  </si>
  <si>
    <t>于淼</t>
  </si>
  <si>
    <t>王红</t>
  </si>
  <si>
    <t>张杨北路588弄79号303室</t>
  </si>
  <si>
    <t>0004248</t>
  </si>
  <si>
    <t>严祥波</t>
  </si>
  <si>
    <t>张杨路1515弄15号1801室</t>
  </si>
  <si>
    <t>0004250</t>
  </si>
  <si>
    <t>陈彦竹</t>
  </si>
  <si>
    <t>康杉路386弄御中环一期10号302</t>
  </si>
  <si>
    <t>6.30团购活动</t>
  </si>
  <si>
    <t>0004247</t>
  </si>
  <si>
    <t>陈嘉伟</t>
  </si>
  <si>
    <t>浦东新区张东路1388号科技领袖之都西区6幢</t>
  </si>
  <si>
    <t>0004254</t>
  </si>
  <si>
    <t>王晓晨</t>
  </si>
  <si>
    <t>御水路199弄6号1006室</t>
  </si>
  <si>
    <t>明年2月开工</t>
  </si>
  <si>
    <t>0004253</t>
  </si>
  <si>
    <t>徐敏婵</t>
  </si>
  <si>
    <t>康杉路386弄御中环一期12号1002</t>
  </si>
  <si>
    <t>0004252</t>
  </si>
  <si>
    <t>刑玉婧</t>
  </si>
  <si>
    <t>康杉路386弄御中环一期3号902室</t>
  </si>
  <si>
    <t>0004251</t>
  </si>
  <si>
    <t>邓女士</t>
  </si>
  <si>
    <t>康杉路386弄御中环一期16号502</t>
  </si>
  <si>
    <t>0000383</t>
  </si>
  <si>
    <t>闵行区永德路360弄个12号202</t>
  </si>
  <si>
    <t>唐洁勇</t>
  </si>
  <si>
    <t>浦东新区大团镇园艺村376</t>
  </si>
  <si>
    <t>0002240</t>
  </si>
  <si>
    <t>陈佳</t>
  </si>
  <si>
    <t>康杉路386弄御中环一期2号801室</t>
  </si>
  <si>
    <t>魏腾飞</t>
  </si>
  <si>
    <t>浦东康杉路386弄御中环一期6号302室</t>
  </si>
  <si>
    <t>0000370</t>
  </si>
  <si>
    <t>屠晶</t>
  </si>
  <si>
    <t>沪南公路3150弄84号101室</t>
  </si>
  <si>
    <t>陈红辉</t>
  </si>
  <si>
    <t>金瀚园36号1502</t>
  </si>
  <si>
    <t>0001766</t>
  </si>
  <si>
    <t>蔡蓉蓉</t>
  </si>
  <si>
    <t>新闸路1068弄5号602室</t>
  </si>
  <si>
    <t>0003132</t>
  </si>
  <si>
    <t>徐燕汝</t>
  </si>
  <si>
    <t>上海金山区龙胜东路789号金海花园78号101</t>
  </si>
  <si>
    <t>0001718</t>
  </si>
  <si>
    <t>孙娟</t>
  </si>
  <si>
    <t>航头镇沪南路5288弄139号</t>
  </si>
  <si>
    <t>0002372</t>
  </si>
  <si>
    <t>梅林</t>
  </si>
  <si>
    <t>杨浦区延吉中路365弄21号401室</t>
  </si>
  <si>
    <t>梁倩倩</t>
  </si>
  <si>
    <t>上海松江区九新公路33弄2号306室</t>
  </si>
  <si>
    <t>张语轩</t>
  </si>
  <si>
    <t>15948088909/18621373816</t>
  </si>
  <si>
    <t>南码头浦东南路港南新村57号楼401</t>
  </si>
  <si>
    <t>0004303</t>
  </si>
  <si>
    <t>冯禄兰</t>
  </si>
  <si>
    <t>牡丹路258弄14号601室</t>
  </si>
  <si>
    <t>0001512</t>
  </si>
  <si>
    <t>曹静毅</t>
  </si>
  <si>
    <t>松江维罗纳贵都40号1302</t>
  </si>
  <si>
    <t>0002235</t>
  </si>
  <si>
    <t>巫仁海</t>
  </si>
  <si>
    <t>上中西路810弄80号102</t>
  </si>
  <si>
    <t>贴瓷砖</t>
  </si>
  <si>
    <t>白女士</t>
  </si>
  <si>
    <t>闵行区竹辉路501弄64号501</t>
  </si>
  <si>
    <t>0003360</t>
  </si>
  <si>
    <t>朱彩红</t>
  </si>
  <si>
    <t>闵行区珠城路99弄25号302室</t>
  </si>
  <si>
    <t>0003359</t>
  </si>
  <si>
    <t>李稳稳</t>
  </si>
  <si>
    <t>徐汇区桂冠生园路4111弄13-1402</t>
  </si>
  <si>
    <t>0001601</t>
  </si>
  <si>
    <t>王玉</t>
  </si>
  <si>
    <t>静安区中兴路1258弄5哈搜1001室</t>
  </si>
  <si>
    <t>0001308</t>
  </si>
  <si>
    <t>圆圆</t>
  </si>
  <si>
    <t>曹秋红</t>
  </si>
  <si>
    <t>顾戴路1100弄82-301</t>
  </si>
  <si>
    <t>0001307</t>
  </si>
  <si>
    <t>徐红</t>
  </si>
  <si>
    <t>古美路1455弄30号102</t>
  </si>
  <si>
    <t>孙子敬</t>
  </si>
  <si>
    <t>杨浦区许昌路1128弄2号1001室</t>
  </si>
  <si>
    <t>0000945</t>
  </si>
  <si>
    <t>华永杰</t>
  </si>
  <si>
    <t>石泉路五村35号301室</t>
  </si>
  <si>
    <t>马涛</t>
  </si>
  <si>
    <t>嘉定区嘉唐公路169弄20号502室</t>
  </si>
  <si>
    <t>吴坚</t>
  </si>
  <si>
    <t>虹桥路550号406室</t>
  </si>
  <si>
    <t>沈霞</t>
  </si>
  <si>
    <t>上海闵行区鹤庆路江川路街道136弄210号501</t>
  </si>
  <si>
    <t>郭娜</t>
  </si>
  <si>
    <t>长宁区福泉路418号218室</t>
  </si>
  <si>
    <t>黄梅芳</t>
  </si>
  <si>
    <t>上丰路1483弄64号501室</t>
  </si>
  <si>
    <t>林圣光</t>
  </si>
  <si>
    <t>茶陵路400弄7号203室</t>
  </si>
  <si>
    <t>0003176</t>
  </si>
  <si>
    <t>何书侃</t>
  </si>
  <si>
    <t>宝山区长逸路301弄13号602室</t>
  </si>
  <si>
    <t>0003392</t>
  </si>
  <si>
    <t>吴云华</t>
  </si>
  <si>
    <t>春都路88弄68号102室</t>
  </si>
  <si>
    <t>朱黎明</t>
  </si>
  <si>
    <t>乳山路235弄35号201</t>
  </si>
  <si>
    <t>退订单/超预算，选择了其他品牌</t>
  </si>
  <si>
    <t>徐永妘</t>
  </si>
  <si>
    <t>虬江路1488弄8号2603室</t>
  </si>
  <si>
    <t>0001602</t>
  </si>
  <si>
    <t>宝山区松兰路198弄157-402</t>
  </si>
  <si>
    <t>0000949</t>
  </si>
  <si>
    <t>0000546</t>
  </si>
  <si>
    <t>钱慧敏</t>
  </si>
  <si>
    <t>上海杨浦区武东路28弄14号801室</t>
  </si>
  <si>
    <t>江扬北路1568弄36号1702室</t>
  </si>
  <si>
    <t>0003301</t>
  </si>
  <si>
    <t>岳增勇</t>
  </si>
  <si>
    <t>13816298669/13671571901</t>
  </si>
  <si>
    <t>武威东路479号10号802室</t>
  </si>
  <si>
    <t>0000950</t>
  </si>
  <si>
    <t>兰嵩路360弄16号</t>
  </si>
  <si>
    <t>董雪</t>
  </si>
  <si>
    <t>徐汇区钦州路428弄1号1201室</t>
  </si>
  <si>
    <t>宋淑敏</t>
  </si>
  <si>
    <t>龙吴路338弄17号204</t>
  </si>
  <si>
    <t>0003177</t>
  </si>
  <si>
    <t>蔡永成</t>
  </si>
  <si>
    <t>浦东新区紫薇路667弄111号</t>
  </si>
  <si>
    <t>徐崟</t>
  </si>
  <si>
    <t>龙华路2518弄27号5A</t>
  </si>
  <si>
    <t>蒋正萍</t>
  </si>
  <si>
    <t>上海市浦东新区凌兆路285弄4号502</t>
  </si>
  <si>
    <t>0000947</t>
  </si>
  <si>
    <t>刘姝婷</t>
  </si>
  <si>
    <t>观海路1538弄11号204</t>
  </si>
  <si>
    <t>0001413</t>
  </si>
  <si>
    <t>钱魏元</t>
  </si>
  <si>
    <t>文定路81弄1号2202室</t>
  </si>
  <si>
    <t>0001821</t>
  </si>
  <si>
    <t>康智磊</t>
  </si>
  <si>
    <t>大发融悦7号601室</t>
  </si>
  <si>
    <t>已测量待买单</t>
  </si>
  <si>
    <t>朱文超</t>
  </si>
  <si>
    <t>宝山区苏家浜388弄173号201</t>
  </si>
  <si>
    <t>退订单/选了兔宝宝</t>
  </si>
  <si>
    <t>邢永伟</t>
  </si>
  <si>
    <t>平型关路235弄4号304</t>
  </si>
  <si>
    <t>黄梦雪</t>
  </si>
  <si>
    <t>杨浦阜新路49号鞍山五村19号楼4室（一楼）</t>
  </si>
  <si>
    <t>0003182</t>
  </si>
  <si>
    <t>浦东新区拱晨路256弄6号404</t>
  </si>
  <si>
    <t>项成</t>
  </si>
  <si>
    <t>永和路459弄18号502室</t>
  </si>
  <si>
    <t>邵艺</t>
  </si>
  <si>
    <t>陆罗滇路52弄8号楼2102室</t>
  </si>
  <si>
    <t>杨雪莹</t>
  </si>
  <si>
    <t>平阳路111弄29号302</t>
  </si>
  <si>
    <t>刘翠</t>
  </si>
  <si>
    <t>奉贤区奉城镇兰博路3151弄16幢202室</t>
  </si>
  <si>
    <t>何险峰</t>
  </si>
  <si>
    <t>上海临沂路31弄24号301室</t>
  </si>
  <si>
    <t>王飘</t>
  </si>
  <si>
    <t>嘉定区希望路260弄11号1302室</t>
  </si>
  <si>
    <t>0000372</t>
  </si>
  <si>
    <t>潘佳伟</t>
  </si>
  <si>
    <t>听谐路域康苑40号门1201室</t>
  </si>
  <si>
    <t>孙传云</t>
  </si>
  <si>
    <t>青浦秀禾路235号5号楼1402室</t>
  </si>
  <si>
    <t>卢文峰</t>
  </si>
  <si>
    <t>静安区胶州路148弄25号</t>
  </si>
  <si>
    <t>朱文修</t>
  </si>
  <si>
    <t>浦东新区花木街道锦和路289弄37号602室</t>
  </si>
  <si>
    <t>0000543</t>
  </si>
  <si>
    <t>沈辉</t>
  </si>
  <si>
    <t>18017766300/13774231515</t>
  </si>
  <si>
    <t>闵行区浦秀路1535弄62号101室</t>
  </si>
  <si>
    <t>汤琦峰</t>
  </si>
  <si>
    <t>浦东新区永泰路630弄65号503室</t>
  </si>
  <si>
    <t>高娅</t>
  </si>
  <si>
    <t>浦连路281弄7号801室</t>
  </si>
  <si>
    <t>卫斐</t>
  </si>
  <si>
    <t>芳华路788弄8号1303室</t>
  </si>
  <si>
    <t>马焰</t>
  </si>
  <si>
    <t>浦东新区严杨路116弄14号301室</t>
  </si>
  <si>
    <t>0003055</t>
  </si>
  <si>
    <t>张少杰</t>
  </si>
  <si>
    <t>嘉定区临夏路999弄66号302室</t>
  </si>
  <si>
    <t>0000544</t>
  </si>
  <si>
    <t>李梦娇</t>
  </si>
  <si>
    <t>浦东新区剑桥新中路199弄46号301</t>
  </si>
  <si>
    <t>0000376</t>
  </si>
  <si>
    <t>宋晓龙</t>
  </si>
  <si>
    <t>浦东瑞和路168弄29号1402室</t>
  </si>
  <si>
    <t>陈茹</t>
  </si>
  <si>
    <t>河南南路555弄1号1002室</t>
  </si>
  <si>
    <t>0000038</t>
  </si>
  <si>
    <t>严莹</t>
  </si>
  <si>
    <t>沪南路3468弄170号101</t>
  </si>
  <si>
    <t>周杰华</t>
  </si>
  <si>
    <t>闵行区漕宝路299弄金泰公寓13号101室</t>
  </si>
  <si>
    <t>7/31测量</t>
  </si>
  <si>
    <t>0001054</t>
  </si>
  <si>
    <t>左文彪</t>
  </si>
  <si>
    <t>长宁区天山路177弄13号202室</t>
  </si>
  <si>
    <t>0003708</t>
  </si>
  <si>
    <t>宛勇庆</t>
  </si>
  <si>
    <t>普陀区590弄43号402室</t>
  </si>
  <si>
    <t>胡晔</t>
  </si>
  <si>
    <t>青浦区叶联路699弄67号</t>
  </si>
  <si>
    <t>0000111</t>
  </si>
  <si>
    <t>邵砺君</t>
  </si>
  <si>
    <t>13585863673/15601917925</t>
  </si>
  <si>
    <t>世界路43弄20号101室</t>
  </si>
  <si>
    <t>0000118</t>
  </si>
  <si>
    <t>沈蕾</t>
  </si>
  <si>
    <t>国权东路99弄38号401室</t>
  </si>
  <si>
    <t>0000119</t>
  </si>
  <si>
    <t>田芳</t>
  </si>
  <si>
    <t>国京路60弄13号201</t>
  </si>
  <si>
    <t>0000814</t>
  </si>
  <si>
    <t>周志祥</t>
  </si>
  <si>
    <t>长阳路3003号</t>
  </si>
  <si>
    <t>崔松良</t>
  </si>
  <si>
    <t>凌兆路127弄69号601</t>
  </si>
  <si>
    <t>0004379</t>
  </si>
  <si>
    <t>张立言</t>
  </si>
  <si>
    <t>七宝七莘路2299弄26支弄3号301</t>
  </si>
  <si>
    <t>童政文</t>
  </si>
  <si>
    <t>江航路60弄11号903</t>
  </si>
  <si>
    <t>李光远</t>
  </si>
  <si>
    <t>闵行区建设路11弄1号503室</t>
  </si>
  <si>
    <t>盖玲</t>
  </si>
  <si>
    <t>零陵路789弄17号3101室</t>
  </si>
  <si>
    <t>0001719</t>
  </si>
  <si>
    <t>耿佳乐</t>
  </si>
  <si>
    <t>栖山路1689弄9-301</t>
  </si>
  <si>
    <t>0001783</t>
  </si>
  <si>
    <t>尹丽益</t>
  </si>
  <si>
    <t>方竹路333弄35号401</t>
  </si>
  <si>
    <t>0001782</t>
  </si>
  <si>
    <t>张玲</t>
  </si>
  <si>
    <t>听谐路86弄21号802室</t>
  </si>
  <si>
    <t>0001665</t>
  </si>
  <si>
    <t>陈晓蕾</t>
  </si>
  <si>
    <t>康桥镇环桥路1137弄29号1502</t>
  </si>
  <si>
    <t>0001305</t>
  </si>
  <si>
    <t>相丽莲</t>
  </si>
  <si>
    <t>奉贤区阳光春城13-1002</t>
  </si>
  <si>
    <t>孙佳佳</t>
  </si>
  <si>
    <t>浦东新区巨峰路399弄80号502</t>
  </si>
  <si>
    <t>000038</t>
  </si>
  <si>
    <t>张猛姣</t>
  </si>
  <si>
    <t>怒江北路458弄14号102室</t>
  </si>
  <si>
    <t>0000373</t>
  </si>
  <si>
    <t>刘永增</t>
  </si>
  <si>
    <t>宝山区镇泰路211弄3号302室</t>
  </si>
  <si>
    <t>要复测</t>
  </si>
  <si>
    <t>顾力</t>
  </si>
  <si>
    <t>上海市松江区九亭镇伴亭路855弄11栋36号1401室</t>
  </si>
  <si>
    <t>黄轶鑫</t>
  </si>
  <si>
    <t>浦东新区或山路475弄47号601</t>
  </si>
  <si>
    <t>0003183</t>
  </si>
  <si>
    <t>陈亮</t>
  </si>
  <si>
    <t>云台路1101弄10号501室</t>
  </si>
  <si>
    <t>陆原</t>
  </si>
  <si>
    <t>宝山区松兰路招商花园城46号1204室</t>
  </si>
  <si>
    <t>0001928</t>
  </si>
  <si>
    <t>谢静</t>
  </si>
  <si>
    <t>武乡南路230号大成郡三期8-1502</t>
  </si>
  <si>
    <t>马飞卉</t>
  </si>
  <si>
    <t>宝山区抚远路1288弄10号302室</t>
  </si>
  <si>
    <t>倪妮</t>
  </si>
  <si>
    <t>十一街区2号1207</t>
  </si>
  <si>
    <t>0001926</t>
  </si>
  <si>
    <t>苏森</t>
  </si>
  <si>
    <t>大成郡三期7#1703</t>
  </si>
  <si>
    <t>0004307</t>
  </si>
  <si>
    <t>贾书琪</t>
  </si>
  <si>
    <t>浦东新区樱花路801弄602室</t>
  </si>
  <si>
    <t>0000240</t>
  </si>
  <si>
    <t>赵小姐</t>
  </si>
  <si>
    <t>嘉定区和政路228弄27号301</t>
  </si>
  <si>
    <t>游弋</t>
  </si>
  <si>
    <t>苇芯路363弄1号601室</t>
  </si>
  <si>
    <t>0003218</t>
  </si>
  <si>
    <t>赵莉丽</t>
  </si>
  <si>
    <t>徐泾镇徐泾新区110号</t>
  </si>
  <si>
    <t>0000039</t>
  </si>
  <si>
    <t>周柏芸</t>
  </si>
  <si>
    <t>上海市普陀区中山北路2584弄2号611</t>
  </si>
  <si>
    <t>邹元</t>
  </si>
  <si>
    <t>13671794526/18688424294</t>
  </si>
  <si>
    <t>嘉松中路6633弄20号</t>
  </si>
  <si>
    <t>方婷婷</t>
  </si>
  <si>
    <t>梅陇十一村175号102室</t>
  </si>
  <si>
    <t>0003707</t>
  </si>
  <si>
    <t>顾兵</t>
  </si>
  <si>
    <t>铜川路1897弄7号1303室</t>
  </si>
  <si>
    <t>已安排测量师</t>
  </si>
  <si>
    <t>0002237</t>
  </si>
  <si>
    <t>蔡翀</t>
  </si>
  <si>
    <t>青浦朱家角蒙特堂路111弄145号101室</t>
  </si>
  <si>
    <t>0000011</t>
  </si>
  <si>
    <t>司徒亮昌</t>
  </si>
  <si>
    <t>哈密路1719弄3号502</t>
  </si>
  <si>
    <t>0002236</t>
  </si>
  <si>
    <t>沈水英</t>
  </si>
  <si>
    <t>徐汇区虹漕南路浦北路388弄5号702室</t>
  </si>
  <si>
    <t>0000513</t>
  </si>
  <si>
    <t>徐汇区斜土路街道肇溪路99号2号楼1102室</t>
  </si>
  <si>
    <t>0000301</t>
  </si>
  <si>
    <t>叶慧超</t>
  </si>
  <si>
    <t>13761188196/13901743348</t>
  </si>
  <si>
    <t>耀华路579弄66-301</t>
  </si>
  <si>
    <t>孙奕倩</t>
  </si>
  <si>
    <t>上海普陀区真北路2904弄32号402室</t>
  </si>
  <si>
    <t>0001311</t>
  </si>
  <si>
    <t>屠桂兴</t>
  </si>
  <si>
    <t>拓林镇新寺骑塘村615号（骑塘北路）</t>
  </si>
  <si>
    <t>孙佳燕</t>
  </si>
  <si>
    <t>上海市闵行区红中路47号301室</t>
  </si>
  <si>
    <t>0003184</t>
  </si>
  <si>
    <t>冯湖滨</t>
  </si>
  <si>
    <t>杨思路855弄86号302室</t>
  </si>
  <si>
    <t>吴高峰</t>
  </si>
  <si>
    <t>南京弘阳广场B座C3座315-316室</t>
  </si>
  <si>
    <t>杨丽俊</t>
  </si>
  <si>
    <t>金藏路51号2609</t>
  </si>
  <si>
    <t>0000943</t>
  </si>
  <si>
    <t>陆建华</t>
  </si>
  <si>
    <t>浦东新区海青路150弄43号301</t>
  </si>
  <si>
    <t>顾颉</t>
  </si>
  <si>
    <t>花园里德富路900弄11号1401室</t>
  </si>
  <si>
    <t>0003133</t>
  </si>
  <si>
    <t>庄敬辉</t>
  </si>
  <si>
    <t>富永路425弄165号602室</t>
  </si>
  <si>
    <t>李兆宁</t>
  </si>
  <si>
    <t>静安区常德路988号601</t>
  </si>
  <si>
    <t>0001313</t>
  </si>
  <si>
    <t xml:space="preserve">刘佳/龚小菊 </t>
  </si>
  <si>
    <t>庄福舟</t>
  </si>
  <si>
    <t>四田海港新苑216号1203室</t>
  </si>
  <si>
    <t>0001414</t>
  </si>
  <si>
    <t>项延辉</t>
  </si>
  <si>
    <t>闵行区畹町路99弄200号702室</t>
  </si>
  <si>
    <t>彭苟</t>
  </si>
  <si>
    <t>宝山区大场镇新村路789弄44-101室</t>
  </si>
  <si>
    <t>0000012</t>
  </si>
  <si>
    <t>彭云</t>
  </si>
  <si>
    <t>徐汇区龙平路3166-6-501</t>
  </si>
  <si>
    <t>李剑</t>
  </si>
  <si>
    <t>上海市松江文诚路2000弄55号101</t>
  </si>
  <si>
    <t>0000014</t>
  </si>
  <si>
    <t>喻晓燕</t>
  </si>
  <si>
    <t>中北浦路300弄70号101</t>
  </si>
  <si>
    <t>0000952</t>
  </si>
  <si>
    <t>朱玉晴</t>
  </si>
  <si>
    <t>巨峰路667弄124号802室</t>
  </si>
  <si>
    <t>张延宗</t>
  </si>
  <si>
    <t>浦江镇芦恒路一品漫城三期10号302室</t>
  </si>
  <si>
    <t>0000953</t>
  </si>
  <si>
    <t>何正彪</t>
  </si>
  <si>
    <t>上海自贸区英伦路1号金士顿科技有限公司</t>
  </si>
  <si>
    <t>0003185</t>
  </si>
  <si>
    <t>杨浦区殷行路850弄1号102室</t>
  </si>
  <si>
    <t>王涛</t>
  </si>
  <si>
    <t>林君君</t>
  </si>
  <si>
    <t>徐汇柳州路600弄4号807室</t>
  </si>
  <si>
    <t>0000067</t>
  </si>
  <si>
    <t>浦东新区御青路328弄115号302室</t>
  </si>
  <si>
    <t>魏礼佳</t>
  </si>
  <si>
    <t>博华路1018弄29号501室</t>
  </si>
  <si>
    <t>0003172</t>
  </si>
  <si>
    <t>乔宇</t>
  </si>
  <si>
    <t>静安区江宁路新闸路1730弄4号701室</t>
  </si>
  <si>
    <t>0000242</t>
  </si>
  <si>
    <t>邬晨亮</t>
  </si>
  <si>
    <t>顾戴路2000弄32号502室</t>
  </si>
  <si>
    <t>周梅兰</t>
  </si>
  <si>
    <t>上海金鼎路2588弄19号1201</t>
  </si>
  <si>
    <t>0000016</t>
  </si>
  <si>
    <t>熊罗曼</t>
  </si>
  <si>
    <t>嘉定区江桥镇吴杨东路218弄26号401</t>
  </si>
  <si>
    <t>0000017</t>
  </si>
  <si>
    <t>王盈</t>
  </si>
  <si>
    <t>普陀区长寿路28弄15号604室</t>
  </si>
  <si>
    <t>张钧超</t>
  </si>
  <si>
    <t>芦恒路378弄185号1201</t>
  </si>
  <si>
    <t>商女士</t>
  </si>
  <si>
    <t>杨浦区殷行路850弄83号101室</t>
  </si>
  <si>
    <t>未拿房</t>
  </si>
  <si>
    <t>许彬</t>
  </si>
  <si>
    <t>虹湾路313弄41号1204室</t>
  </si>
  <si>
    <t>0003394</t>
  </si>
  <si>
    <t>叶思维</t>
  </si>
  <si>
    <t>虹口区梧州路318弄6号楼1806室</t>
  </si>
  <si>
    <t>陆莉娟</t>
  </si>
  <si>
    <t>普陀区古浪108弄509号</t>
  </si>
  <si>
    <t>0001415</t>
  </si>
  <si>
    <t>高宇</t>
  </si>
  <si>
    <t>浦东新区康沈路1758弄东方晶华园5号楼502室</t>
  </si>
  <si>
    <t>0000817</t>
  </si>
  <si>
    <t>王家驹</t>
  </si>
  <si>
    <t>宝山区顾村教育路555弄42号402室</t>
  </si>
  <si>
    <t>0001416</t>
  </si>
  <si>
    <t>郑成</t>
  </si>
  <si>
    <t>闵行区古成路1065弄58号801室</t>
  </si>
  <si>
    <t>樊佳良</t>
  </si>
  <si>
    <t>上海市莘庄西环一村13号302室</t>
  </si>
  <si>
    <t>0002238</t>
  </si>
  <si>
    <t>张梅琴</t>
  </si>
  <si>
    <t>桂林路70弄88号502</t>
  </si>
  <si>
    <t>乔宁</t>
  </si>
  <si>
    <t>浦东置慧旭辉广场C座802</t>
  </si>
  <si>
    <t>0000948</t>
  </si>
  <si>
    <t>沈慧青</t>
  </si>
  <si>
    <t>宝山区瑞丰路456弄7号1002室</t>
  </si>
  <si>
    <t>夏海瑞</t>
  </si>
  <si>
    <t>朱家角古北香堤艺墅172</t>
  </si>
  <si>
    <t>潘文婷</t>
  </si>
  <si>
    <t>浦东博山东路440-12-602室</t>
  </si>
  <si>
    <t>汤文静</t>
  </si>
  <si>
    <t>闵行区航东路255弄6号402室</t>
  </si>
  <si>
    <t>王晓燕</t>
  </si>
  <si>
    <t>普陀区长寿路街道长寿路28弄15号604</t>
  </si>
  <si>
    <t>0003215</t>
  </si>
  <si>
    <t>马絮</t>
  </si>
  <si>
    <t>康杉路386弄御中环一期6号902室</t>
  </si>
  <si>
    <t>刚拿房</t>
  </si>
  <si>
    <t>0001411</t>
  </si>
  <si>
    <t>戎慧萍</t>
  </si>
  <si>
    <t>宜山路2328号9号304（九歌上郡）</t>
  </si>
  <si>
    <t>0001412</t>
  </si>
  <si>
    <t>张毅蕾</t>
  </si>
  <si>
    <t>青浦区沪青公路2525号C-7单元</t>
  </si>
  <si>
    <t>退订单/定了装饰公司推荐的品牌</t>
  </si>
  <si>
    <t>王温娜</t>
  </si>
  <si>
    <t>18768112243/13764045590</t>
  </si>
  <si>
    <t>黄浦区中山南一路721弄2号楼303室</t>
  </si>
  <si>
    <t>俞思淼</t>
  </si>
  <si>
    <t>闵行区梅陇镇虹梅路1660弄72号402室</t>
  </si>
  <si>
    <t>0000816</t>
  </si>
  <si>
    <t>辛雷</t>
  </si>
  <si>
    <t>虹湾路313弄41号3503室</t>
  </si>
  <si>
    <t>赵荣青</t>
  </si>
  <si>
    <t>瑞金南路458弄2号701</t>
  </si>
  <si>
    <t>0000018</t>
  </si>
  <si>
    <t>贾燕华</t>
  </si>
  <si>
    <t>上海浦东新区秀沿路258-282-104</t>
  </si>
  <si>
    <t>0001417</t>
  </si>
  <si>
    <t>刘婷婷</t>
  </si>
  <si>
    <t>徐汇区桂林西街47号长丰坊40号401</t>
  </si>
  <si>
    <t>钟维</t>
  </si>
  <si>
    <t>逸贤雅苑7-1602</t>
  </si>
  <si>
    <t>绉文佐</t>
  </si>
  <si>
    <t>新闸路1990弄5号301</t>
  </si>
  <si>
    <t>周佳俊</t>
  </si>
  <si>
    <t>松江区陈坊新苑91号602室</t>
  </si>
  <si>
    <t>周忠民</t>
  </si>
  <si>
    <t>浦航路718弄19号703室</t>
  </si>
  <si>
    <t>张君</t>
  </si>
  <si>
    <t>南汇新城雪绒花路369弄1号102室</t>
  </si>
  <si>
    <t>肖晓琼</t>
  </si>
  <si>
    <t>浦东新区晨晖路377弄170-202</t>
  </si>
  <si>
    <t>董臣</t>
  </si>
  <si>
    <t>浦东新区崇溪路111弄绿都绣云里318号1401室</t>
  </si>
  <si>
    <t>约测量</t>
  </si>
  <si>
    <t>张芳</t>
  </si>
  <si>
    <t>上海市保屯路211弄市民新村28号3104</t>
  </si>
  <si>
    <t>陈以琦</t>
  </si>
  <si>
    <t>虹梅路3297弄5号101</t>
  </si>
  <si>
    <t>0001418</t>
  </si>
  <si>
    <t>林晓麒</t>
  </si>
  <si>
    <t>光复西路133弄泰欣嘉园7号2201</t>
  </si>
  <si>
    <t>0002231</t>
  </si>
  <si>
    <t>沈铠立</t>
  </si>
  <si>
    <t>黄浦区江阳街401弄10号1504室</t>
  </si>
  <si>
    <t>7/22测量</t>
  </si>
  <si>
    <t>0000941</t>
  </si>
  <si>
    <t>耿雨晴</t>
  </si>
  <si>
    <t>浦东新区光泽路120弄48号401</t>
  </si>
  <si>
    <t>0000813</t>
  </si>
  <si>
    <t>徐红红</t>
  </si>
  <si>
    <t>黄浦区丽园路818弄2好1801</t>
  </si>
  <si>
    <t>0000302</t>
  </si>
  <si>
    <t>陈文斌</t>
  </si>
  <si>
    <t>黄浦区打浦路398弄3好603室</t>
  </si>
  <si>
    <t>0000942</t>
  </si>
  <si>
    <t>王宏权</t>
  </si>
  <si>
    <t>浦东宣镇东路628弄新荷苑27号501</t>
  </si>
  <si>
    <t>冯文俊</t>
  </si>
  <si>
    <t>东方路1881弄东方城市花园75号1801</t>
  </si>
  <si>
    <t>0003057</t>
  </si>
  <si>
    <t>潘玲丽</t>
  </si>
  <si>
    <t>黄浦区人民路777弄东淮海公寓5号2602室</t>
  </si>
  <si>
    <t>0000377</t>
  </si>
  <si>
    <t>李泉</t>
  </si>
  <si>
    <t>益江路511弄玉兰香苑二期85号102室</t>
  </si>
  <si>
    <t>2019.9.5</t>
  </si>
  <si>
    <t>廖丹</t>
  </si>
  <si>
    <t>闵行区莲花南路1108弄上海春城30号101室</t>
  </si>
  <si>
    <t>0000818</t>
  </si>
  <si>
    <t>姚先生</t>
  </si>
  <si>
    <t>浦三路858弄8号502室</t>
  </si>
  <si>
    <t>0003219</t>
  </si>
  <si>
    <t>徐正愚</t>
  </si>
  <si>
    <t>诸光路1056弄久事西郊花园518号</t>
  </si>
  <si>
    <t>0002283</t>
  </si>
  <si>
    <t>李韬</t>
  </si>
  <si>
    <t>徐汇区梅陇七村4号503室</t>
  </si>
  <si>
    <t>俞宗耀</t>
  </si>
  <si>
    <t>杨浦区宁国路438弄银河苑5号201室</t>
  </si>
  <si>
    <t>0003187</t>
  </si>
  <si>
    <t>王宇梵</t>
  </si>
  <si>
    <t>闵行曙建路78弄中冶锦城16号702室</t>
  </si>
  <si>
    <t>0003135</t>
  </si>
  <si>
    <t>王海栗</t>
  </si>
  <si>
    <t>人民北路71弄67号101室</t>
  </si>
  <si>
    <t>0004374</t>
  </si>
  <si>
    <t>闵行区汇舒路119弄27号303室</t>
  </si>
  <si>
    <t>0002364</t>
  </si>
  <si>
    <t>庄英伟</t>
  </si>
  <si>
    <t>虹口区车站南路406弄10号101室</t>
  </si>
  <si>
    <t>王敏</t>
  </si>
  <si>
    <t>武乡南路230弄10号2603室</t>
  </si>
  <si>
    <t>陈银坤</t>
  </si>
  <si>
    <t>红树林路225/202</t>
  </si>
  <si>
    <t>0003178</t>
  </si>
  <si>
    <t>周晓敏</t>
  </si>
  <si>
    <t>新村路2080弄8号301</t>
  </si>
  <si>
    <t>杜女士</t>
  </si>
  <si>
    <t>长宁福泉路123弄世纪之春</t>
  </si>
  <si>
    <t xml:space="preserve">10月 </t>
  </si>
  <si>
    <t>0003395</t>
  </si>
  <si>
    <t>钱业风云</t>
  </si>
  <si>
    <t>新开盘</t>
  </si>
  <si>
    <t>0000955</t>
  </si>
  <si>
    <t>易盼盼</t>
  </si>
  <si>
    <t>兰谷路2955弄森兰名轩39-901</t>
  </si>
  <si>
    <t>00056011</t>
  </si>
  <si>
    <t>费新权</t>
  </si>
  <si>
    <t>奉贤区金水苑和璟园21-1403</t>
  </si>
  <si>
    <t>0056010</t>
  </si>
  <si>
    <t>奉贤区金水苑和璟园9号1202</t>
  </si>
  <si>
    <t xml:space="preserve"> </t>
  </si>
  <si>
    <t>郑锦芳</t>
  </si>
  <si>
    <t>中山北路止园路77号和兰苑16号602室</t>
  </si>
  <si>
    <t>0000553</t>
  </si>
  <si>
    <t>陆欣</t>
  </si>
  <si>
    <t>黄浦区局门路599弄东怡花苑2号2405室</t>
  </si>
  <si>
    <t>0003397</t>
  </si>
  <si>
    <t>周锡琴</t>
  </si>
  <si>
    <t>18117247545/13524683982</t>
  </si>
  <si>
    <t>普陀区交通西路108弄平江盛世花园2号2101室</t>
  </si>
  <si>
    <t>0000382</t>
  </si>
  <si>
    <t>孙健</t>
  </si>
  <si>
    <t>周康路869弄261号1601室</t>
  </si>
  <si>
    <t>林仕锋</t>
  </si>
  <si>
    <t>浦东新区益江路396弄15号501</t>
  </si>
  <si>
    <t>0000957</t>
  </si>
  <si>
    <t>陈晓杰</t>
  </si>
  <si>
    <t>浦东晨晖路377弄120号</t>
  </si>
  <si>
    <t>刘峻</t>
  </si>
  <si>
    <t>闵行区鲁浩路160弄5号1102室</t>
  </si>
  <si>
    <t>陈名良</t>
  </si>
  <si>
    <t>浦东上浦路329弄13号601</t>
  </si>
  <si>
    <t>0003712</t>
  </si>
  <si>
    <t>周新毅</t>
  </si>
  <si>
    <t>曲江路185弄9号楼603（江桥三村)</t>
  </si>
  <si>
    <t>0003711</t>
  </si>
  <si>
    <t>李慧蔚</t>
  </si>
  <si>
    <t>沪市长宁区北翟路980弄90号203</t>
  </si>
  <si>
    <t>0003710</t>
  </si>
  <si>
    <t>张伟萍</t>
  </si>
  <si>
    <t>上海市嘉定区泰富路236弄10号楼1504</t>
  </si>
  <si>
    <t>吴峻</t>
  </si>
  <si>
    <t>闵行区航华二村二街坊55号401室</t>
  </si>
  <si>
    <t>0000820</t>
  </si>
  <si>
    <t>陆丽颖</t>
  </si>
  <si>
    <t>闵行区剑川路100弄19号602室</t>
  </si>
  <si>
    <t>0000822</t>
  </si>
  <si>
    <t>陈艳倩</t>
  </si>
  <si>
    <t>斜土路85弄8号3201室</t>
  </si>
  <si>
    <t>乐开贞</t>
  </si>
  <si>
    <t>上海市杨浦区许昌路1600号1917室</t>
  </si>
  <si>
    <t>徐尧</t>
  </si>
  <si>
    <t>淞南八村89号202室</t>
  </si>
  <si>
    <t>0003058</t>
  </si>
  <si>
    <t>钟捷</t>
  </si>
  <si>
    <t>曲阳路385弄2号506室</t>
  </si>
  <si>
    <t>朱暑蕊</t>
  </si>
  <si>
    <t>浦东东波路585弄108号601室</t>
  </si>
  <si>
    <t>0000821</t>
  </si>
  <si>
    <t>马克斯</t>
  </si>
  <si>
    <t>长宁区平塘路415弄48号604室</t>
  </si>
  <si>
    <t>0001419</t>
  </si>
  <si>
    <t>蔡芬</t>
  </si>
  <si>
    <t>中山北路1530号108-10</t>
  </si>
  <si>
    <t>0001420</t>
  </si>
  <si>
    <t>章健</t>
  </si>
  <si>
    <t>徐汇区东山路25弄1号502室</t>
  </si>
  <si>
    <t>王晓</t>
  </si>
  <si>
    <t>七莘路2299弄63号602室</t>
  </si>
  <si>
    <t>李光明</t>
  </si>
  <si>
    <t>浦东新区南汇新城镇竹柏路333弄25号402室</t>
  </si>
  <si>
    <t>0003396</t>
  </si>
  <si>
    <t>田桂林</t>
  </si>
  <si>
    <t>南翔民主东街151弄27号702</t>
  </si>
  <si>
    <t>0000042</t>
  </si>
  <si>
    <t>郭蕊</t>
  </si>
  <si>
    <t>静安区新闸路1068弄5号1503室</t>
  </si>
  <si>
    <t>0004358</t>
  </si>
  <si>
    <t>苏家浜路388弄170号101</t>
  </si>
  <si>
    <t>0001822</t>
  </si>
  <si>
    <t>程品品</t>
  </si>
  <si>
    <t>昆山市淀山湖镇新乐路1188号韵湖国际24号103</t>
  </si>
  <si>
    <t>7月15号</t>
  </si>
  <si>
    <t>0003059</t>
  </si>
  <si>
    <t>翁毅</t>
  </si>
  <si>
    <t>长宁区愚园路1240号B幢1902室</t>
  </si>
  <si>
    <t>胡振东</t>
  </si>
  <si>
    <t>抚远路993弄102号701</t>
  </si>
  <si>
    <t>0001823</t>
  </si>
  <si>
    <t>周强</t>
  </si>
  <si>
    <t>浦东花木路500弄61号602室</t>
  </si>
  <si>
    <t>0001421</t>
  </si>
  <si>
    <t>李斯佳</t>
  </si>
  <si>
    <t>宝山区淞南路111弄5号302</t>
  </si>
  <si>
    <t>0004311</t>
  </si>
  <si>
    <t>陈向东</t>
  </si>
  <si>
    <t>浦东南码头路1378弄</t>
  </si>
  <si>
    <t>0003302</t>
  </si>
  <si>
    <t>娄佳兵</t>
  </si>
  <si>
    <t>闵行区疏影路1111弄8号601室</t>
  </si>
  <si>
    <t>朱晓冬</t>
  </si>
  <si>
    <t>华林路228弄21号602室</t>
  </si>
  <si>
    <t>0003188</t>
  </si>
  <si>
    <t>李积</t>
  </si>
  <si>
    <t>新华路73弄21号4楼</t>
  </si>
  <si>
    <t>潘晖</t>
  </si>
  <si>
    <t>杨浦区殷行路850弄49号302</t>
  </si>
  <si>
    <t>费旖</t>
  </si>
  <si>
    <t>灵山路1799弄35号302室</t>
  </si>
  <si>
    <t>张佩</t>
  </si>
  <si>
    <t>中环国际三期44号401</t>
  </si>
  <si>
    <t>陆垚</t>
  </si>
  <si>
    <t>天钥桥路1199弄滨江小区33号501室</t>
  </si>
  <si>
    <t>000112</t>
  </si>
  <si>
    <t>上海誉之皓国际物流</t>
  </si>
  <si>
    <t>上海市杨浦区杨树浦路1177弄20号102室</t>
  </si>
  <si>
    <t>0000826</t>
  </si>
  <si>
    <t>罗美芳</t>
  </si>
  <si>
    <t>浦星公路568弄129号</t>
  </si>
  <si>
    <t>0000831</t>
  </si>
  <si>
    <t>徐斯琪</t>
  </si>
  <si>
    <t>宝安公路3636弄16#6#2003</t>
  </si>
  <si>
    <t>0000824</t>
  </si>
  <si>
    <t>朱春曦</t>
  </si>
  <si>
    <t>东方曼哈顿西区4号2202室</t>
  </si>
  <si>
    <t>0004162</t>
  </si>
  <si>
    <t>赵应仁</t>
  </si>
  <si>
    <t>浦东张杨路1575弄22号2502</t>
  </si>
  <si>
    <t>0001785</t>
  </si>
  <si>
    <t>黄伟</t>
  </si>
  <si>
    <t>海阳路1333弄14号702室</t>
  </si>
  <si>
    <t>0000047</t>
  </si>
  <si>
    <t>陆克胜</t>
  </si>
  <si>
    <t>上海青浦区城中西路448弄6#402</t>
  </si>
  <si>
    <t>0002373</t>
  </si>
  <si>
    <t>侯凯</t>
  </si>
  <si>
    <t>徐汇区清真路58弄34号501室</t>
  </si>
  <si>
    <t>章先生</t>
  </si>
  <si>
    <t>联杨路1078弄12号1701室</t>
  </si>
  <si>
    <t>0000828</t>
  </si>
  <si>
    <t>丁鹏飞</t>
  </si>
  <si>
    <t>13764021486/13816078391</t>
  </si>
  <si>
    <t>长青双拥院桂林西街30弄39号201</t>
  </si>
  <si>
    <t>0000827</t>
  </si>
  <si>
    <t>高怡</t>
  </si>
  <si>
    <t>高雄路189号1202</t>
  </si>
  <si>
    <t>0000825</t>
  </si>
  <si>
    <t>江志敏</t>
  </si>
  <si>
    <t>宝山区南大路6弄29号463室</t>
  </si>
  <si>
    <t>王楠楠</t>
  </si>
  <si>
    <t>鲁豫路555弄26号704</t>
  </si>
  <si>
    <t>0000048</t>
  </si>
  <si>
    <t>刘仪</t>
  </si>
  <si>
    <t>梅川路2643弄29弄301室</t>
  </si>
  <si>
    <t>0000022</t>
  </si>
  <si>
    <t>赵蕾</t>
  </si>
  <si>
    <t>新村路2003弄80号2003室</t>
  </si>
  <si>
    <t>钟思嘉</t>
  </si>
  <si>
    <t>真北路4333弄24号301室</t>
  </si>
  <si>
    <t>沪太路1771弄209号101</t>
  </si>
  <si>
    <t>0000021</t>
  </si>
  <si>
    <t>奚振鸣</t>
  </si>
  <si>
    <t>普陀区武威东路888弄42号602室</t>
  </si>
  <si>
    <t>顾荣</t>
  </si>
  <si>
    <t>昆山西源一号马鞍山西路1999弄17号602室</t>
  </si>
  <si>
    <t>0002242</t>
  </si>
  <si>
    <t>张洁</t>
  </si>
  <si>
    <t>上海市闵行区富国路199弄28-1402</t>
  </si>
  <si>
    <t>0001072</t>
  </si>
  <si>
    <t>孙敏捷</t>
  </si>
  <si>
    <t>灵石路1669弄39号602</t>
  </si>
  <si>
    <t>何晓雨</t>
  </si>
  <si>
    <t>芦恒路318弄199号701</t>
  </si>
  <si>
    <t>葛海荣</t>
  </si>
  <si>
    <t>上海浦东新区芦恒路378弄182号302室</t>
  </si>
  <si>
    <t>李元</t>
  </si>
  <si>
    <t>江宁路1251弄2号12b</t>
  </si>
  <si>
    <t>0000100</t>
  </si>
  <si>
    <t>柴弘</t>
  </si>
  <si>
    <t>长宁区东诸安浜路103号2号楼8D室</t>
  </si>
  <si>
    <t>孙玲</t>
  </si>
  <si>
    <t>曲阳路69弄6号1201室</t>
  </si>
  <si>
    <t>已测量，可以买单了</t>
  </si>
  <si>
    <t>贾伟</t>
  </si>
  <si>
    <t>浦东新区巨峰路176弄18号401室</t>
  </si>
  <si>
    <t>刚选材，还未能安排测量</t>
  </si>
  <si>
    <t>0000834</t>
  </si>
  <si>
    <t>王旌</t>
  </si>
  <si>
    <t>古宜路99弄1号1703室</t>
  </si>
  <si>
    <t>0003222</t>
  </si>
  <si>
    <t>郭冬锦</t>
  </si>
  <si>
    <t>上海市闵行区东兰路307弄92号203室</t>
  </si>
  <si>
    <t>杨军</t>
  </si>
  <si>
    <t>上海市碧云路199弄1号1001室</t>
  </si>
  <si>
    <t>陈跃鸣</t>
  </si>
  <si>
    <t>上海虹口区临平路333弄6号1901室</t>
  </si>
  <si>
    <t>潘杜鹃</t>
  </si>
  <si>
    <t>张杨北路4555弄30号802室</t>
  </si>
  <si>
    <t>肖鸣</t>
  </si>
  <si>
    <t>万航渡后路77弄1号楼301</t>
  </si>
  <si>
    <t>0000515</t>
  </si>
  <si>
    <t>周紫馨</t>
  </si>
  <si>
    <t>闵行区浦中路1288弄113号402</t>
  </si>
  <si>
    <t>路晶莹</t>
  </si>
  <si>
    <t>长宁区芙蓉江路555弄3号楼202室</t>
  </si>
  <si>
    <t>0002365</t>
  </si>
  <si>
    <t>冯健生</t>
  </si>
  <si>
    <t>止园路288弄3号202</t>
  </si>
  <si>
    <t>0003398</t>
  </si>
  <si>
    <t>崇明区揽海路164弄101号</t>
  </si>
  <si>
    <t>姚国斌</t>
  </si>
  <si>
    <t>青浦区崧建路339弄4号1501室</t>
  </si>
  <si>
    <t>0000958</t>
  </si>
  <si>
    <t>庞世一</t>
  </si>
  <si>
    <t>兰谷路2955弄4号301室</t>
  </si>
  <si>
    <t>徐秀秀</t>
  </si>
  <si>
    <t>菊太路1399弄39号202</t>
  </si>
  <si>
    <t>0000516</t>
  </si>
  <si>
    <t>汤喆</t>
  </si>
  <si>
    <t>上海市闵行区疏影路1188弄5号901室</t>
  </si>
  <si>
    <t>叶家荣</t>
  </si>
  <si>
    <t>金山区枫泾镇泾波路桃源路名庭4号302</t>
  </si>
  <si>
    <t>洪振涛</t>
  </si>
  <si>
    <t>静安区平型关路2199弄25号1402室</t>
  </si>
  <si>
    <t>0003304</t>
  </si>
  <si>
    <t>张明</t>
  </si>
  <si>
    <t>虹口区吴家湾路52弄65号601室</t>
  </si>
  <si>
    <t>0000023</t>
  </si>
  <si>
    <t>樊学艺</t>
  </si>
  <si>
    <t>闵行区虹井路120弄1-A幢311室</t>
  </si>
  <si>
    <t>刘谷欲</t>
  </si>
  <si>
    <t>金山区临潮三村5号203</t>
  </si>
  <si>
    <t>尚品宅配</t>
  </si>
  <si>
    <t>黄银龙</t>
  </si>
  <si>
    <t>上海尚方规划建筑设计有限公司</t>
  </si>
  <si>
    <t>上海市杨浦区四平路1063号1208</t>
  </si>
  <si>
    <t>陈蓉</t>
  </si>
  <si>
    <t>德淳路99弄23号1401</t>
  </si>
  <si>
    <t>周晓宇</t>
  </si>
  <si>
    <t>中山南一路500弄2号1504室</t>
  </si>
  <si>
    <t>0003713</t>
  </si>
  <si>
    <t>刘长发</t>
  </si>
  <si>
    <t>上海市长宁区汇川路88弄6号3608室</t>
  </si>
  <si>
    <t>顾俊蓉</t>
  </si>
  <si>
    <t>宝山区渡江新村13-102</t>
  </si>
  <si>
    <t>张云</t>
  </si>
  <si>
    <t>崇明区长兴镇金淼路鹭岛华庭东苑177号601</t>
  </si>
  <si>
    <t>李雯艳</t>
  </si>
  <si>
    <t>浦东碧云路199弄16号1801</t>
  </si>
  <si>
    <t>刘娟</t>
  </si>
  <si>
    <t>闵行区畹町路99弄242号101室</t>
  </si>
  <si>
    <t>0000960</t>
  </si>
  <si>
    <t>邹佳树</t>
  </si>
  <si>
    <t>浦东新区上丰路1483号93号602</t>
  </si>
  <si>
    <t>朱丽敏</t>
  </si>
  <si>
    <t>中海万锦城7号201室</t>
  </si>
  <si>
    <t>余德彩</t>
  </si>
  <si>
    <t>昆山市淀山湖镇新乐路1188弄24号2单元103室</t>
  </si>
  <si>
    <t>张念</t>
  </si>
  <si>
    <t>青浦区业文路189弄150号301室</t>
  </si>
  <si>
    <t>0000652</t>
  </si>
  <si>
    <t>朱晓光</t>
  </si>
  <si>
    <t>项泾西街58弄15号502</t>
  </si>
  <si>
    <t>0000853</t>
  </si>
  <si>
    <t>罗洁</t>
  </si>
  <si>
    <t>石湾路7弄15号701室</t>
  </si>
  <si>
    <t>乐天派</t>
  </si>
  <si>
    <t>花木街道梅花路768弄27号</t>
  </si>
  <si>
    <t>0004472</t>
  </si>
  <si>
    <t>张鹏翔</t>
  </si>
  <si>
    <t>上海市闵行区浦涛路751弄水语人家南苑25号502</t>
  </si>
  <si>
    <t>0001422</t>
  </si>
  <si>
    <t>毛红彬</t>
  </si>
  <si>
    <t>莲花路310弄14号602室</t>
  </si>
  <si>
    <t>单俊</t>
  </si>
  <si>
    <t>宝林路50弄22号301室</t>
  </si>
  <si>
    <t>0000306</t>
  </si>
  <si>
    <t>董斐斐</t>
  </si>
  <si>
    <t>宝山十村38号402室</t>
  </si>
  <si>
    <t>0000575</t>
  </si>
  <si>
    <t>王蓓华</t>
  </si>
  <si>
    <t>宛平南路300弄4号902室</t>
  </si>
  <si>
    <t>徐梦斐</t>
  </si>
  <si>
    <t>浦东新区德淳路99弄23号1101室</t>
  </si>
  <si>
    <t>戚家城</t>
  </si>
  <si>
    <t>13901889795</t>
  </si>
  <si>
    <t>金山区枫泾正荣185号602</t>
  </si>
  <si>
    <t>崔君</t>
  </si>
  <si>
    <t>普陀区交通西路188弄3-1204室</t>
  </si>
  <si>
    <t>高艳</t>
  </si>
  <si>
    <t>松江区华润佘山九里29-2-401</t>
  </si>
  <si>
    <t>黄立</t>
  </si>
  <si>
    <t>联航路1399-33-1102</t>
  </si>
  <si>
    <t>沈亚川</t>
  </si>
  <si>
    <t>嘉定区恒荣路589弄37-4号</t>
  </si>
  <si>
    <t>王建华</t>
  </si>
  <si>
    <t>沙浦路311弄207号</t>
  </si>
  <si>
    <t>李政道</t>
  </si>
  <si>
    <t>浦东周家渡街道昌里东路320弄新昌里公寓21号302室</t>
  </si>
  <si>
    <t>张怡</t>
  </si>
  <si>
    <t>闵行区腾冲路50弄30号102室</t>
  </si>
  <si>
    <t>上海隍成皮革有限公司</t>
  </si>
  <si>
    <t>青城山路180-4-607</t>
  </si>
  <si>
    <t>顾志浩</t>
  </si>
  <si>
    <t>浦东海松路398弄27号502室</t>
  </si>
  <si>
    <t>黄华</t>
  </si>
  <si>
    <t>长江路406弄1号202室</t>
  </si>
  <si>
    <t>马高山</t>
  </si>
  <si>
    <t>浦东张扬北路4555弄35号901</t>
  </si>
  <si>
    <t>潘琪峻</t>
  </si>
  <si>
    <t>浦东临沂8村81弄30弄204室</t>
  </si>
  <si>
    <t>裴羚伶</t>
  </si>
  <si>
    <t>桃林路299弄27号2301室</t>
  </si>
  <si>
    <t>沈富清</t>
  </si>
  <si>
    <t>嘉定区胜竹路2600弄95号302室</t>
  </si>
  <si>
    <t>仇寻</t>
  </si>
  <si>
    <t>长宁区法华镇路150弄9号204</t>
  </si>
  <si>
    <t>黄辰</t>
  </si>
  <si>
    <t>南丹东路223弄2号1302室</t>
  </si>
  <si>
    <t>施怡佳</t>
  </si>
  <si>
    <t>上海市徐汇区寿昌坊46号102室</t>
  </si>
  <si>
    <t>尹文瑾</t>
  </si>
  <si>
    <t>内江路16弄1号楼1808室</t>
  </si>
  <si>
    <t>李梅花</t>
  </si>
  <si>
    <t>奉贤区九华新园国顺路369弄84号</t>
  </si>
  <si>
    <t>王磊</t>
  </si>
  <si>
    <t>徐汇区钦州路211号A东606室</t>
  </si>
  <si>
    <t>沈俊华</t>
  </si>
  <si>
    <t>中山南一路247弄22号303（黄浦区）</t>
  </si>
  <si>
    <t>张斌</t>
  </si>
  <si>
    <t>宝山区美艾路198弄6号401</t>
  </si>
  <si>
    <t>百安居沪太店</t>
  </si>
  <si>
    <t>陶天一</t>
  </si>
  <si>
    <t>西康路339弄3号2203</t>
  </si>
  <si>
    <t>彭信华</t>
  </si>
  <si>
    <t>青浦区首创二期1号801</t>
  </si>
  <si>
    <t>宋佳瑛</t>
  </si>
  <si>
    <t>徐汇区陕西南路888-3-2206</t>
  </si>
  <si>
    <t>浦东新区孙耀路111弄2号1601室</t>
  </si>
  <si>
    <t>余佩芬</t>
  </si>
  <si>
    <t>胶东路855弄20号201室</t>
  </si>
  <si>
    <t>干仕淋</t>
  </si>
  <si>
    <t>松江泗泾江川一路46号101</t>
  </si>
  <si>
    <t>刘震龙</t>
  </si>
  <si>
    <t>闵行区宜山路2328弄23号602室</t>
  </si>
  <si>
    <t>杨晓旭</t>
  </si>
  <si>
    <t>静安区广中西路999弄30号3A</t>
  </si>
  <si>
    <t>丁超</t>
  </si>
  <si>
    <t>金都路1000弄88支弄151号</t>
  </si>
  <si>
    <t>杨帆</t>
  </si>
  <si>
    <t>普陀区黄陵路151弄25号203室</t>
  </si>
  <si>
    <t>严春华</t>
  </si>
  <si>
    <t>浦东新区御云路100弄12号502室</t>
  </si>
  <si>
    <t>肖苏</t>
  </si>
  <si>
    <t>杨浦区唐山路1188弄4号1001室</t>
  </si>
  <si>
    <t>刘苏宁</t>
  </si>
  <si>
    <t>航春路169弄瑞馨苑8号1301室</t>
  </si>
  <si>
    <t>仲敏</t>
  </si>
  <si>
    <t>青浦区徐泾明珠路555弄11号701</t>
  </si>
  <si>
    <t>丁安</t>
  </si>
  <si>
    <t>徐汇区罗城路651路47号201室</t>
  </si>
  <si>
    <t>乔家君</t>
  </si>
  <si>
    <t>长宁区芙蓉江路388弄18号1801</t>
  </si>
  <si>
    <t>曹敏睿</t>
  </si>
  <si>
    <t>沪南路2688弄220号402室</t>
  </si>
  <si>
    <t>黄惠忠</t>
  </si>
  <si>
    <t>浦东新区上峰路1483号金融家二期401室</t>
  </si>
  <si>
    <t>胡宗耀</t>
  </si>
  <si>
    <t>虹口区虹湾路31弄34号2402室</t>
  </si>
  <si>
    <t>李振翔</t>
  </si>
  <si>
    <t>静安区武定西路1388号16层F室</t>
  </si>
  <si>
    <t>胡兆春</t>
  </si>
  <si>
    <t>呼玛三村呼玛路599-204-102</t>
  </si>
  <si>
    <t>余四松</t>
  </si>
  <si>
    <t>浦东新区德淳路99弄36号802</t>
  </si>
  <si>
    <t>郭晶麟</t>
  </si>
  <si>
    <t>延长中路561弄2号1505室</t>
  </si>
  <si>
    <t>胡亦佳</t>
  </si>
  <si>
    <t>普陀区昌化路765弄3号17C</t>
  </si>
  <si>
    <t>朱正宇</t>
  </si>
  <si>
    <t>闵行区景谷中路58弄58号</t>
  </si>
  <si>
    <t>白杨路360弄8号102室</t>
  </si>
  <si>
    <t>姚维孝</t>
  </si>
  <si>
    <t>拱海路79弄31号903室</t>
  </si>
  <si>
    <t>崔先生</t>
  </si>
  <si>
    <t>松江区文翔名苑732号</t>
  </si>
  <si>
    <t>丁英丽</t>
  </si>
  <si>
    <t>顾戴路1199弄105号301室</t>
  </si>
  <si>
    <t>杨美玲</t>
  </si>
  <si>
    <t>浦东新区双桥路180弄8号501</t>
  </si>
  <si>
    <t>林漳茵</t>
  </si>
  <si>
    <t>13917128892/18116272057</t>
  </si>
  <si>
    <t>古北国际花园9号801</t>
  </si>
  <si>
    <t>燕峰</t>
  </si>
  <si>
    <t>春申路1581弄49号402</t>
  </si>
  <si>
    <t>张恋建</t>
  </si>
  <si>
    <t>长宁区金浜路101弄A幢20室</t>
  </si>
  <si>
    <t>陈广伟</t>
  </si>
  <si>
    <t>国和二村60号403室</t>
  </si>
  <si>
    <t>陈伟卿</t>
  </si>
  <si>
    <t>海鹏路301弄6号503室</t>
  </si>
  <si>
    <t>孙一凤</t>
  </si>
  <si>
    <t>希望路260弄11号201室</t>
  </si>
  <si>
    <t>萧琼</t>
  </si>
  <si>
    <t>松江人民北路2908弄216号</t>
  </si>
  <si>
    <t>孙亚凤</t>
  </si>
  <si>
    <t>宝山区高平路809弄14号301室</t>
  </si>
  <si>
    <t>张晓辉</t>
  </si>
  <si>
    <t>闵行区龙茗路1458-148-201</t>
  </si>
  <si>
    <t>李鑫辰</t>
  </si>
  <si>
    <t>135246378961/18917139123</t>
  </si>
  <si>
    <t>上海徐汇区龙吴路288弄7号602</t>
  </si>
  <si>
    <t>张迪</t>
  </si>
  <si>
    <t>整单退</t>
  </si>
  <si>
    <t>张蓓伟</t>
  </si>
  <si>
    <t>长寿路长安花园27-6A</t>
  </si>
  <si>
    <t>赵丽莉/彭建伟</t>
  </si>
  <si>
    <t>嘉定区立新路80弄91号101室</t>
  </si>
  <si>
    <t>朱林欢</t>
  </si>
  <si>
    <t>浦东杨南路1899弄博学家园96号101室</t>
  </si>
  <si>
    <t>苏旭芳</t>
  </si>
  <si>
    <t>万科海上传奇29号1001室</t>
  </si>
  <si>
    <t>戴祥梅</t>
  </si>
  <si>
    <t>京陆路1268弄52号403室</t>
  </si>
  <si>
    <t>郑金晶</t>
  </si>
  <si>
    <t>松江道悦路55弄8号903</t>
  </si>
  <si>
    <t>唐思青</t>
  </si>
  <si>
    <t>泸定路555弄雅戈尔长风8号5号楼</t>
  </si>
  <si>
    <t>胡攀</t>
  </si>
  <si>
    <t>杨浦区齐齐哈尔路598弄32号201室</t>
  </si>
  <si>
    <t>张海玲</t>
  </si>
  <si>
    <t>静安区大宁路883弄32号503室</t>
  </si>
  <si>
    <t>王毅</t>
  </si>
  <si>
    <t>石门一路333路5号1803室</t>
  </si>
  <si>
    <t>沈寅峰</t>
  </si>
  <si>
    <t>安顺路389号3号楼1102室</t>
  </si>
  <si>
    <t>姜萍</t>
  </si>
  <si>
    <t>长宁区金钟路428弄10号504</t>
  </si>
  <si>
    <t>沈峰</t>
  </si>
  <si>
    <t>广富林路1188弄164号1503室</t>
  </si>
  <si>
    <t>赵卫明</t>
  </si>
  <si>
    <t>闵行区普洱路88弄17号702室</t>
  </si>
  <si>
    <t>徐振华</t>
  </si>
  <si>
    <t>中山北路899弄28号3102室</t>
  </si>
  <si>
    <t>刘元元</t>
  </si>
  <si>
    <t>保利西子湾82-503</t>
  </si>
  <si>
    <t>谢彬</t>
  </si>
  <si>
    <t>闵行区顾戴路1100弄101号302室</t>
  </si>
  <si>
    <t>李蓓君</t>
  </si>
  <si>
    <t>市光三村107号102室</t>
  </si>
  <si>
    <t>翟素梅</t>
  </si>
  <si>
    <t>崇明区揽海路2500弄222号</t>
  </si>
  <si>
    <t>韩梦瑶</t>
  </si>
  <si>
    <t>浦东城山路248弄65号502室</t>
  </si>
  <si>
    <t>宋崇旭</t>
  </si>
  <si>
    <t>周磊</t>
  </si>
  <si>
    <t>昆山市金旺路88弄92号202</t>
  </si>
  <si>
    <t>汤小燕</t>
  </si>
  <si>
    <t>虹口区临平路133弄9号2203室</t>
  </si>
  <si>
    <t>房思远</t>
  </si>
  <si>
    <t>宝山区水产路2700弄10号501室</t>
  </si>
  <si>
    <t>潘福康</t>
  </si>
  <si>
    <t>周家嘴路3158弄2号1001室</t>
  </si>
  <si>
    <t>余应田</t>
  </si>
  <si>
    <t>新镇路1060弄32号606室</t>
  </si>
  <si>
    <t>方涛</t>
  </si>
  <si>
    <t>杨浦区控江路1505弄49号1102室</t>
  </si>
  <si>
    <t>陈琦</t>
  </si>
  <si>
    <t>石泉东路168弄23号1001室</t>
  </si>
  <si>
    <t>束艳</t>
  </si>
  <si>
    <t>桂林路70弄102号602室</t>
  </si>
  <si>
    <t>陈均</t>
  </si>
  <si>
    <t>新金桥路225-417</t>
  </si>
  <si>
    <t>广富林路1599弄三湘21号901</t>
  </si>
  <si>
    <t>梁存铭</t>
  </si>
  <si>
    <t>徐汇区医学院路15号6E</t>
  </si>
  <si>
    <t>林宏俊</t>
  </si>
  <si>
    <t>上海市桂平路123弄1号楼405室</t>
  </si>
  <si>
    <t>张晓雯</t>
  </si>
  <si>
    <t>虹口区广中路633弄海叶新苑17弄1301</t>
  </si>
  <si>
    <t>赵吉</t>
  </si>
  <si>
    <t>北艾路1765弄14号502室</t>
  </si>
  <si>
    <t>何震亚</t>
  </si>
  <si>
    <t>浦东东方路1663弄2号702室</t>
  </si>
  <si>
    <t>邱王俊</t>
  </si>
  <si>
    <t>上海金山区金瀚园38号1802</t>
  </si>
  <si>
    <t>黄红一</t>
  </si>
  <si>
    <t>古北路1398弄4号301</t>
  </si>
  <si>
    <t>赵红亮</t>
  </si>
  <si>
    <t>北艾路862弄金恒小区29号304室</t>
  </si>
  <si>
    <t>宋超</t>
  </si>
  <si>
    <t>沪南公路2688弄240号102室</t>
  </si>
  <si>
    <t>徐军贤</t>
  </si>
  <si>
    <t>青浦区西藏南路1717-3-901</t>
  </si>
  <si>
    <t>海阳路865弄9号201室</t>
  </si>
  <si>
    <t>李云</t>
  </si>
  <si>
    <t>13818126614/13818126664</t>
  </si>
  <si>
    <t>宁夏路353弄14号202室</t>
  </si>
  <si>
    <t>陈凤杰</t>
  </si>
  <si>
    <t>上海市浦东新区鹤沙路699号16东301</t>
  </si>
  <si>
    <t>金峰</t>
  </si>
  <si>
    <t>浦东新区银峰路676弄12号1702室</t>
  </si>
  <si>
    <t>米井</t>
  </si>
  <si>
    <t>河南南路555弄20号2303</t>
  </si>
  <si>
    <t>印雯华</t>
  </si>
  <si>
    <t>嘉定区临夏路1000弄10号301</t>
  </si>
  <si>
    <t>仲奕</t>
  </si>
  <si>
    <t>嘉定区南翔祥华新村火车站路118弄72号402室</t>
  </si>
  <si>
    <t>颜洽东</t>
  </si>
  <si>
    <t>徐汇区漕宝路77弄14号402室</t>
  </si>
  <si>
    <t>余丽</t>
  </si>
  <si>
    <t>江桅路350弄127号1102室</t>
  </si>
  <si>
    <t>孟皓</t>
  </si>
  <si>
    <t>闵行区罗阳路750弄41号601室</t>
  </si>
  <si>
    <t>金莹莹</t>
  </si>
  <si>
    <t>上海市嘉定区南翔镇古园路600弄17号401</t>
  </si>
  <si>
    <t>蒋晓红</t>
  </si>
  <si>
    <t>闵行区罗秀路955弄18-303</t>
  </si>
  <si>
    <t>陆骑</t>
  </si>
  <si>
    <t>13061736976/18521520181</t>
  </si>
  <si>
    <t>闵行区海莲花苑13幢501室</t>
  </si>
  <si>
    <t>刘玥含</t>
  </si>
  <si>
    <t>城丰路130弄9号102室</t>
  </si>
  <si>
    <t>史坡</t>
  </si>
  <si>
    <t>上海闵行区保乐路666弄18号301室</t>
  </si>
  <si>
    <t>欧蔡伟</t>
  </si>
  <si>
    <t>浦东新区沪南公路2688号5号601室</t>
  </si>
  <si>
    <t>张利平</t>
  </si>
  <si>
    <t>浦东新区羽山路308弄42号1001室</t>
  </si>
  <si>
    <t>虞琦</t>
  </si>
  <si>
    <t>靖宇东路85弄3号301室</t>
  </si>
  <si>
    <t>张虹瑛</t>
  </si>
  <si>
    <t>江川南路25弄30号701室</t>
  </si>
  <si>
    <t>顾永明</t>
  </si>
  <si>
    <t>曙光路2050弄610号</t>
  </si>
  <si>
    <t>庄利华</t>
  </si>
  <si>
    <t>嘉定区柳洞路88弄903室</t>
  </si>
  <si>
    <t>繁郁路199弄17/502</t>
  </si>
  <si>
    <t>费少凡</t>
  </si>
  <si>
    <t>浦东锦绣路1650弄13号2701室</t>
  </si>
  <si>
    <t>熊延平</t>
  </si>
  <si>
    <t>长宁区安顺路389弄1号603室</t>
  </si>
  <si>
    <t>杨汝成</t>
  </si>
  <si>
    <t>桃林路25号3203室</t>
  </si>
  <si>
    <t>肖晶</t>
  </si>
  <si>
    <t>浦东新区东方路573弄5号708室</t>
  </si>
  <si>
    <t>乔奇</t>
  </si>
  <si>
    <t>徐汇区漕东支路258弄宏润花园5号1701室</t>
  </si>
  <si>
    <t>岳嘉妮</t>
  </si>
  <si>
    <t>虹口区东大名路1062弄1号607</t>
  </si>
  <si>
    <t>纪莉</t>
  </si>
  <si>
    <t>浦东新区上钢新村街道西营路170弄8号601</t>
  </si>
  <si>
    <t>王一雷</t>
  </si>
  <si>
    <t>浦东新区东熙路90弄8号1201室</t>
  </si>
  <si>
    <t>朱爱华</t>
  </si>
  <si>
    <t>崧文轩1号102室</t>
  </si>
  <si>
    <t>顾建明</t>
  </si>
  <si>
    <t>虹口周家嘴路981弄11号1603室</t>
  </si>
  <si>
    <t>蔡畅</t>
  </si>
  <si>
    <t>黄浦区阳光翠竹苑3号2901室</t>
  </si>
  <si>
    <t>虞斌/李小姐</t>
  </si>
  <si>
    <t>浦东御青路228弄10号301</t>
  </si>
  <si>
    <t>俞小丽</t>
  </si>
  <si>
    <t>杨浦世界路15弄31号902</t>
  </si>
  <si>
    <t>邵小玉</t>
  </si>
  <si>
    <t>13482819919/13795277606</t>
  </si>
  <si>
    <t>虹口区东体育会路1000号丙单元303室</t>
  </si>
  <si>
    <t>钱奕君</t>
  </si>
  <si>
    <t>沪南公路3601弄15号201</t>
  </si>
  <si>
    <t>袁嘉婕</t>
  </si>
  <si>
    <t>上丰路1483弄106号302室</t>
  </si>
  <si>
    <t>冯权</t>
  </si>
  <si>
    <t>棕榈湾50号701</t>
  </si>
  <si>
    <t>汪晓雯</t>
  </si>
  <si>
    <t>闵行区马桥镇银春路1799弄41号601室</t>
  </si>
  <si>
    <t>史文娟</t>
  </si>
  <si>
    <t>竹柏路758弄50号202</t>
  </si>
  <si>
    <t>吴清芳</t>
  </si>
  <si>
    <t>嘉定宝安公路3636-16#6号1702</t>
  </si>
  <si>
    <t>徐珊珊</t>
  </si>
  <si>
    <t>国权北路828弄51号701</t>
  </si>
  <si>
    <t>柏雨洲</t>
  </si>
  <si>
    <t>长宁区芙蓉江路555弄4号801室</t>
  </si>
  <si>
    <t>傅炯</t>
  </si>
  <si>
    <t>仙霞路1388弄43号C室</t>
  </si>
  <si>
    <t>张奕莹</t>
  </si>
  <si>
    <t>上海市浦东新区北艾路1660弄48号301室</t>
  </si>
  <si>
    <t>任鑫森</t>
  </si>
  <si>
    <t>东兰路1111弄65号501室</t>
  </si>
  <si>
    <t>严总</t>
  </si>
  <si>
    <t>大卫路钮恩特工厂</t>
  </si>
  <si>
    <t>叶孙富</t>
  </si>
  <si>
    <t>徐伟炜</t>
  </si>
  <si>
    <t>沪青平公路1489弄37号302室</t>
  </si>
  <si>
    <t>马向前</t>
  </si>
  <si>
    <t>沪太路883弄10号201室</t>
  </si>
  <si>
    <t>朱强</t>
  </si>
  <si>
    <t>宝山区通南路28弄14号402室</t>
  </si>
  <si>
    <t>张静</t>
  </si>
  <si>
    <t>安亭博园路8155弄33号2402</t>
  </si>
  <si>
    <t>贺瑀</t>
  </si>
  <si>
    <t>闵行区伊犁南路32弄22号502</t>
  </si>
  <si>
    <t>何玉凤</t>
  </si>
  <si>
    <t>浦东新区滴水湖竹柏路500弄48号</t>
  </si>
  <si>
    <t>钟真</t>
  </si>
  <si>
    <t>闵行区沁春路1366弄13号602室</t>
  </si>
  <si>
    <t>王文灿</t>
  </si>
  <si>
    <t>上海市浦东新区御林路1679弄万科海上传奇4期28号楼403室</t>
  </si>
  <si>
    <t>徐婉芬</t>
  </si>
  <si>
    <t>闵行区闵城路199弄10楼402室</t>
  </si>
  <si>
    <t>廖海原</t>
  </si>
  <si>
    <t>尚博路799弄3号403室</t>
  </si>
  <si>
    <t>朱静丽</t>
  </si>
  <si>
    <t>黄浦区黄泥搂路287弄首创喜悦翠庭8号602室</t>
  </si>
  <si>
    <t>陈渊</t>
  </si>
  <si>
    <t>黄浦区鲁班路168弄9号1003室</t>
  </si>
  <si>
    <t>丁金华</t>
  </si>
  <si>
    <t>长宁区威宁路511弄42号702</t>
  </si>
  <si>
    <t>浦东区羽山路1446弄12号601室</t>
  </si>
  <si>
    <t>陈爱英</t>
  </si>
  <si>
    <t>鼓楼公路659弄30-1-401</t>
  </si>
  <si>
    <t>奚诚</t>
  </si>
  <si>
    <t>金山区龙轩路869弄15幢28号1602</t>
  </si>
  <si>
    <t>达式强</t>
  </si>
  <si>
    <t>闵行区都市路3588弄298号</t>
  </si>
  <si>
    <t>李文博</t>
  </si>
  <si>
    <t>黄埔区西藏南路1421弄5号603室</t>
  </si>
  <si>
    <t>李赟</t>
  </si>
  <si>
    <t>成山路2222-8-802</t>
  </si>
  <si>
    <t>0004302</t>
  </si>
  <si>
    <t>邬恩铭</t>
  </si>
  <si>
    <t>浦东新区城区张扬路1050弄7号2202室</t>
  </si>
  <si>
    <t>0004306</t>
  </si>
  <si>
    <t>赵林</t>
  </si>
  <si>
    <t>锦绣路333弄86号601</t>
  </si>
  <si>
    <t>0004304</t>
  </si>
  <si>
    <t>刘炜</t>
  </si>
  <si>
    <t>普陀区真金路457弄8号1704室</t>
  </si>
  <si>
    <t>0000819</t>
  </si>
  <si>
    <t>浦莹萍</t>
  </si>
  <si>
    <t>静安区永光路258弄兴业广场3号1606室</t>
  </si>
  <si>
    <t>0004309</t>
  </si>
  <si>
    <t>龚逸伟</t>
  </si>
  <si>
    <t>浦东新区东书房路560弄54号1504</t>
  </si>
  <si>
    <t>0004310</t>
  </si>
  <si>
    <t>陈静涛</t>
  </si>
  <si>
    <t>杨浦区长阳路1658弄海尚佳园23号503室</t>
  </si>
  <si>
    <t>0004314</t>
  </si>
  <si>
    <t>丁伟杰</t>
  </si>
  <si>
    <t>浦东新区拱鸣路60弄12号1504</t>
  </si>
  <si>
    <t>0000574</t>
  </si>
  <si>
    <t>浦东新区祝潘公路301弄69号1202室</t>
  </si>
  <si>
    <t>0003223</t>
  </si>
  <si>
    <t>马华平</t>
  </si>
  <si>
    <t>九亭镇涞坊路1033弄14号402室</t>
  </si>
  <si>
    <t>0001073</t>
  </si>
  <si>
    <t>吴张庙</t>
  </si>
  <si>
    <t>闵行区都市路4633弄四季花苑29号603</t>
  </si>
  <si>
    <t>0003140</t>
  </si>
  <si>
    <t>王立芸</t>
  </si>
  <si>
    <t>松江区九亭镇九松路505弄21号202室</t>
  </si>
  <si>
    <t>胡迪</t>
  </si>
  <si>
    <t>松江区沪亭北路338弄贝尚湾136号201室</t>
  </si>
  <si>
    <t>王立超</t>
  </si>
  <si>
    <t>青浦区外青松公路6666弄5号902</t>
  </si>
  <si>
    <t>翟黎明</t>
  </si>
  <si>
    <t>上海北苏州路400号710室</t>
  </si>
  <si>
    <t>黄女士</t>
  </si>
  <si>
    <t>崇明建设镇浜乐村865号</t>
  </si>
  <si>
    <t>黄吉兴</t>
  </si>
  <si>
    <t>静安区共和新路2999弄明园森林都市8号3206室</t>
  </si>
  <si>
    <t>0003716</t>
  </si>
  <si>
    <t>赵楠</t>
  </si>
  <si>
    <t>嘉定白银时代二期4-602</t>
  </si>
  <si>
    <t>022592</t>
  </si>
  <si>
    <t>朱文婷</t>
  </si>
  <si>
    <t>真金路250弄22号601室</t>
  </si>
  <si>
    <t>刘利国</t>
  </si>
  <si>
    <t>徐汇区华泾路880弄42号601室</t>
  </si>
  <si>
    <t>高民</t>
  </si>
  <si>
    <t>行知路381弄19号401</t>
  </si>
  <si>
    <t>李星舟</t>
  </si>
  <si>
    <t>松江洞塔路728弄135号</t>
  </si>
  <si>
    <t>裘丽萍</t>
  </si>
  <si>
    <t>上海市浦东新区灵山路701弄27号602</t>
  </si>
  <si>
    <t>0003259</t>
  </si>
  <si>
    <t>房立青</t>
  </si>
  <si>
    <t>高境路78号101</t>
  </si>
  <si>
    <t>0003216</t>
  </si>
  <si>
    <t>黄博</t>
  </si>
  <si>
    <t>康桔路386弄御中环一期12号902室</t>
  </si>
  <si>
    <t>王东强</t>
  </si>
  <si>
    <t>桃园宛庭17号804</t>
  </si>
  <si>
    <t>施丽琴</t>
  </si>
  <si>
    <t>朱泾名园9号1201室</t>
  </si>
  <si>
    <t>孙晓维</t>
  </si>
  <si>
    <t>凤城二村83号101室</t>
  </si>
  <si>
    <t>0000025</t>
  </si>
  <si>
    <t>陈佳丽</t>
  </si>
  <si>
    <t>嘉定新城绕富路900弄4号2402</t>
  </si>
  <si>
    <t>黄天流</t>
  </si>
  <si>
    <t>闵行区沪闵路6666弄27号901</t>
  </si>
  <si>
    <t>许擎镭</t>
  </si>
  <si>
    <t>静安区共和新路2999弄8号3206室</t>
  </si>
  <si>
    <t>0001425</t>
  </si>
  <si>
    <t>钟子琪</t>
  </si>
  <si>
    <t>浦东新区花木街道1650弄3号1702室</t>
  </si>
  <si>
    <t>吴汤臣</t>
  </si>
  <si>
    <t>凉城路139弄4号301室</t>
  </si>
  <si>
    <t>0001424</t>
  </si>
  <si>
    <t>黄舒洁</t>
  </si>
  <si>
    <t>长宁伊犁路134弄3号401</t>
  </si>
  <si>
    <t>0003400</t>
  </si>
  <si>
    <t>唐飞军</t>
  </si>
  <si>
    <t>南翔镇中佳路29弄9号204</t>
  </si>
  <si>
    <t>马薇</t>
  </si>
  <si>
    <t>樾山明月286号402室</t>
  </si>
  <si>
    <t>虞均</t>
  </si>
  <si>
    <t>金山区博海路118弄25号201室</t>
  </si>
  <si>
    <t>王晓青</t>
  </si>
  <si>
    <t>闵行区鹤庆路358弄57号501室</t>
  </si>
  <si>
    <t>刘小舟</t>
  </si>
  <si>
    <t>红墅1858别墅145号</t>
  </si>
  <si>
    <t>陈斐</t>
  </si>
  <si>
    <t>南京西路1213弄150号403室</t>
  </si>
  <si>
    <t>静安西康路339弄3号2203室</t>
  </si>
  <si>
    <t>胡佳玲</t>
  </si>
  <si>
    <t>浦东东婧路669弄3号701室</t>
  </si>
  <si>
    <t>施海霞</t>
  </si>
  <si>
    <t>陈春公路677弄338</t>
  </si>
  <si>
    <t>张宗伟</t>
  </si>
  <si>
    <t>莱阳路1443弄1号1601室</t>
  </si>
  <si>
    <t>倪皎皎</t>
  </si>
  <si>
    <t>徐汇区天钥桥南路1249弄9号401</t>
  </si>
  <si>
    <t>房书卉</t>
  </si>
  <si>
    <t>上海市闵行区莲花南路1111弄42号1505室</t>
  </si>
  <si>
    <t>0003720</t>
  </si>
  <si>
    <t>范中飞</t>
  </si>
  <si>
    <t>铜川路1422弄绿洲公寓37号1807室</t>
  </si>
  <si>
    <t>孙潇达</t>
  </si>
  <si>
    <t>静安区武定路801号静安枫景苑10号楼16D室</t>
  </si>
  <si>
    <t>刘佩佩</t>
  </si>
  <si>
    <t>闵行先新路1058弄35号1301室</t>
  </si>
  <si>
    <t>8月底开工</t>
  </si>
  <si>
    <t>朱雨翔</t>
  </si>
  <si>
    <t>徐汇区中山西路2366弄3号904室</t>
  </si>
  <si>
    <t>0003618</t>
  </si>
  <si>
    <t>陈彦斐</t>
  </si>
  <si>
    <t>志丹路97弄8号1104室</t>
  </si>
  <si>
    <t>0000055</t>
  </si>
  <si>
    <t>李恩宝</t>
  </si>
  <si>
    <t>一品漫城198号502</t>
  </si>
  <si>
    <t>退订单/价格</t>
  </si>
  <si>
    <t>0000043</t>
  </si>
  <si>
    <t>王缔罡</t>
  </si>
  <si>
    <t>徐汇区零陵路751弄电影华苑3号2807室</t>
  </si>
  <si>
    <t>0003619</t>
  </si>
  <si>
    <t>薛勤</t>
  </si>
  <si>
    <t>梅岭北路1001弄梅北小区11号501室</t>
  </si>
  <si>
    <t>韩海根</t>
  </si>
  <si>
    <t>利津路729弄7号403室</t>
  </si>
  <si>
    <t>000339</t>
  </si>
  <si>
    <t>李成根</t>
  </si>
  <si>
    <t>长逸路301弄18号902室</t>
  </si>
  <si>
    <t>严潇</t>
  </si>
  <si>
    <t>阳城世家苑8-402</t>
  </si>
  <si>
    <t>许吉</t>
  </si>
  <si>
    <t>松江区谷阳北路1066弄祥和花苑228号302室</t>
  </si>
  <si>
    <t>俞正达</t>
  </si>
  <si>
    <t>闵行区虹莘路2448弄153号402室</t>
  </si>
  <si>
    <t>0003620</t>
  </si>
  <si>
    <t>葛燕萍</t>
  </si>
  <si>
    <t>安顺路139弄5号802室凯旋公寓</t>
  </si>
  <si>
    <t>0000529</t>
  </si>
  <si>
    <t>0000528</t>
  </si>
  <si>
    <t>金俊杰</t>
  </si>
  <si>
    <t>浦东新区莲园路77弄8号501</t>
  </si>
  <si>
    <t>王妙春</t>
  </si>
  <si>
    <t>梅陇一村193号202室</t>
  </si>
  <si>
    <t>李英瑜</t>
  </si>
  <si>
    <t>徐汇区白色路汇成五村28号103室</t>
  </si>
  <si>
    <t>张生</t>
  </si>
  <si>
    <t>万航渡路1579弄8号801室</t>
  </si>
  <si>
    <t>0000521</t>
  </si>
  <si>
    <t>邵未来</t>
  </si>
  <si>
    <t>闵行浦驰路188弄76号703室</t>
  </si>
  <si>
    <t>0000524</t>
  </si>
  <si>
    <t>曾燕妮</t>
  </si>
  <si>
    <t>浦东新区苗圃路400弄12号302室</t>
  </si>
  <si>
    <t>0000522</t>
  </si>
  <si>
    <t>鲍恩民</t>
  </si>
  <si>
    <t>浦东新区孙环路177弄9号102</t>
  </si>
  <si>
    <t>0003335</t>
  </si>
  <si>
    <t>徐翱祺</t>
  </si>
  <si>
    <t>徐汇区漕河泾街道石龙路980弄37号502</t>
  </si>
  <si>
    <t>已退款</t>
  </si>
  <si>
    <t>孙国强</t>
  </si>
  <si>
    <t>浦东新区牡丹路186弄13号103室</t>
  </si>
  <si>
    <t>0003334</t>
  </si>
  <si>
    <t>林姗</t>
  </si>
  <si>
    <t>黄浦区丽园路333弄9号704黄浦新苑</t>
  </si>
  <si>
    <t>0001925</t>
  </si>
  <si>
    <t>周颖</t>
  </si>
  <si>
    <t>徐汇区龙瑞路128弄中海瀛台7号1601室</t>
  </si>
  <si>
    <t>预测量</t>
  </si>
  <si>
    <t>0004315</t>
  </si>
  <si>
    <t>蒋维郓</t>
  </si>
  <si>
    <t>嘉定南翔嘉程东路69弄华谊逸品澜湾3号1702室</t>
  </si>
  <si>
    <t>高阳</t>
  </si>
  <si>
    <t>浦东德平路100弄102室302室</t>
  </si>
  <si>
    <t>可约测量</t>
  </si>
  <si>
    <t>尹山</t>
  </si>
  <si>
    <t>浦东益江路299弄52号201室</t>
  </si>
  <si>
    <t>刘志惠</t>
  </si>
  <si>
    <t>环林东路799弄104号502</t>
  </si>
  <si>
    <t>0004316</t>
  </si>
  <si>
    <t>陈倩倩</t>
  </si>
  <si>
    <t>黄浦区半淞园路国货路370弄惠国公寓303室</t>
  </si>
  <si>
    <t>0004317</t>
  </si>
  <si>
    <t>程妍妮</t>
  </si>
  <si>
    <t>浦东晨晖路825弄14号302</t>
  </si>
  <si>
    <t>0004359</t>
  </si>
  <si>
    <t>李昂</t>
  </si>
  <si>
    <t>浦江镇一品漫城5期194栋1102</t>
  </si>
  <si>
    <t>0004475</t>
  </si>
  <si>
    <t>刘鹏</t>
  </si>
  <si>
    <t>一品漫城五期185-802</t>
  </si>
  <si>
    <t>0004474</t>
  </si>
  <si>
    <t>朱帮健</t>
  </si>
  <si>
    <t>闵行永德路228弄46号102</t>
  </si>
  <si>
    <t>贾蓉</t>
  </si>
  <si>
    <t>延长路131弄16号605室</t>
  </si>
  <si>
    <t>段西超</t>
  </si>
  <si>
    <t>东靖路247弄东沟七村25号601</t>
  </si>
  <si>
    <t>余欣雨</t>
  </si>
  <si>
    <t>浦东新区利津路1111弄27号502室</t>
  </si>
  <si>
    <t>沈贝</t>
  </si>
  <si>
    <t>浦东I型年轻东方路2880弄4号2201</t>
  </si>
  <si>
    <t>朱队</t>
  </si>
  <si>
    <t>闵行古美路1458弄14号402室中友嘉园</t>
  </si>
  <si>
    <t>0003336</t>
  </si>
  <si>
    <t>邓翔</t>
  </si>
  <si>
    <t>静安区江宁路街道昌平路428弄8号1406</t>
  </si>
  <si>
    <t>卢珊珊</t>
  </si>
  <si>
    <t>陕西南路888弄3号20F</t>
  </si>
  <si>
    <t>0003401</t>
  </si>
  <si>
    <t>张顺亮</t>
  </si>
  <si>
    <t>浦东新区惠南拱乐路2400弄4号1604</t>
  </si>
  <si>
    <t>0000312</t>
  </si>
  <si>
    <t>姚定</t>
  </si>
  <si>
    <t>闵行区高兴路666弄江南名邸39号702室</t>
  </si>
  <si>
    <t>0000311</t>
  </si>
  <si>
    <t>钟灵</t>
  </si>
  <si>
    <t>闵行区漕宝路1467弄静安新城五区14号601室</t>
  </si>
  <si>
    <t>0003621</t>
  </si>
  <si>
    <t>王嘉豪</t>
  </si>
  <si>
    <t>长宁区仙霞路1225弄33号201仙霞大郡</t>
  </si>
  <si>
    <t>雷木法</t>
  </si>
  <si>
    <t>丁香路1599弄26号602室仁恒河滨</t>
  </si>
  <si>
    <t>0001075</t>
  </si>
  <si>
    <t>吴艳艳</t>
  </si>
  <si>
    <t>徐汇区龙吴路1717弄2号302室徐汇新城</t>
  </si>
  <si>
    <t>包英英</t>
  </si>
  <si>
    <t>龙湾1号25号</t>
  </si>
  <si>
    <t>0000028</t>
  </si>
  <si>
    <t>方佳</t>
  </si>
  <si>
    <t>普陀双山路131弄9号201双山小区</t>
  </si>
  <si>
    <t>毛云飞</t>
  </si>
  <si>
    <t>江桥三村靖远路487弄19号502室</t>
  </si>
  <si>
    <t>曹彬</t>
  </si>
  <si>
    <t>宝山区江杨北路1568弄68号2004室万邺紫辰苑</t>
  </si>
  <si>
    <t>0003719</t>
  </si>
  <si>
    <t>安宏宇</t>
  </si>
  <si>
    <t>古镇路450弄45号501金莲坊</t>
  </si>
  <si>
    <t>0003402</t>
  </si>
  <si>
    <t>黄瑞</t>
  </si>
  <si>
    <t>嘉定区裕民路1000弄</t>
  </si>
  <si>
    <t>0003403</t>
  </si>
  <si>
    <t>臧晨</t>
  </si>
  <si>
    <t>恒耀路66弄63号202</t>
  </si>
  <si>
    <t>董学名</t>
  </si>
  <si>
    <t>松江泽悦路325弄24号1403室</t>
  </si>
  <si>
    <t>0003305</t>
  </si>
  <si>
    <t>邓晓晖</t>
  </si>
  <si>
    <t>德都路35弄15号401室</t>
  </si>
  <si>
    <t>张和雅</t>
  </si>
  <si>
    <t>嘉程东路69弄5号101室华谊逸品澜湾</t>
  </si>
  <si>
    <t>0001434</t>
  </si>
  <si>
    <t>唐锐</t>
  </si>
  <si>
    <t>闵行区富国路39弄19号楼1603室</t>
  </si>
  <si>
    <t>0000902</t>
  </si>
  <si>
    <t>刘成亮</t>
  </si>
  <si>
    <t>李恒了378弄182弄502室</t>
  </si>
  <si>
    <t>朱永其</t>
  </si>
  <si>
    <t>闵行区莘砖公路399弄296号</t>
  </si>
  <si>
    <t>贺佳晔</t>
  </si>
  <si>
    <t>宝山区共康五村112号401室</t>
  </si>
  <si>
    <t>0003195</t>
  </si>
  <si>
    <t>芮操真</t>
  </si>
  <si>
    <t>奉贤南桥望园豪庭解放东路8号101室</t>
  </si>
  <si>
    <t>0001433</t>
  </si>
  <si>
    <t>翁天遨</t>
  </si>
  <si>
    <t>长宁区武夷路555/34/1102</t>
  </si>
  <si>
    <t>茅一磊</t>
  </si>
  <si>
    <t>西藏南路555弄6号904室</t>
  </si>
  <si>
    <t>陈晖</t>
  </si>
  <si>
    <t>浦东新区牡丹路258弄9号楼301</t>
  </si>
  <si>
    <t>陆洁箐</t>
  </si>
  <si>
    <t>枣庄路500弄18号401</t>
  </si>
  <si>
    <t>0004318</t>
  </si>
  <si>
    <t>周爱娟</t>
  </si>
  <si>
    <t>宝山区杨泰路55弄237号904室绿地海域生晖</t>
  </si>
  <si>
    <t>熊欣</t>
  </si>
  <si>
    <t>浦东新区紫薇路7弄10号502</t>
  </si>
  <si>
    <t>刘翠萍</t>
  </si>
  <si>
    <t>徐乎其罗秀路1095弄1号102室</t>
  </si>
  <si>
    <t>0000517</t>
  </si>
  <si>
    <t>潘靓</t>
  </si>
  <si>
    <t>普陀区曹杨五村139号302室南阳园小区</t>
  </si>
  <si>
    <t>0000564</t>
  </si>
  <si>
    <t>刘春阳</t>
  </si>
  <si>
    <t>德淳路99弄紫金九号30号901室</t>
  </si>
  <si>
    <t>0000556</t>
  </si>
  <si>
    <t>潘欣毅</t>
  </si>
  <si>
    <t>浦东新区利津路1313弄13号1102证大家园</t>
  </si>
  <si>
    <t>王仰雪</t>
  </si>
  <si>
    <t>浦东新区康达路118弄8号701</t>
  </si>
  <si>
    <t>汪硕</t>
  </si>
  <si>
    <t>徐乎其天钥桥路191弄南天大楼1号楼1603室</t>
  </si>
  <si>
    <t>0000566</t>
  </si>
  <si>
    <t>朱亮韬</t>
  </si>
  <si>
    <t>虹莘路1700弄38号502室</t>
  </si>
  <si>
    <t>0001218</t>
  </si>
  <si>
    <t>邵欣月</t>
  </si>
  <si>
    <t>浦东鹤沙路226弄2号701</t>
  </si>
  <si>
    <t>0001889</t>
  </si>
  <si>
    <t>丛雅明</t>
  </si>
  <si>
    <t>业文路189弄108号101室</t>
  </si>
  <si>
    <t>7月27</t>
  </si>
  <si>
    <t>潘华</t>
  </si>
  <si>
    <t>板泉路1201弄16号204室</t>
  </si>
  <si>
    <t>陈龙海</t>
  </si>
  <si>
    <t>18701993185/18105298756</t>
  </si>
  <si>
    <t>永跃路555弄馨宁康苑40号1303</t>
  </si>
  <si>
    <t>李音</t>
  </si>
  <si>
    <t>唐*路118弄9号302室</t>
  </si>
  <si>
    <t>欧阳径舟</t>
  </si>
  <si>
    <t>奉贤区兰博璐1189弄222号绿地小米公社</t>
  </si>
  <si>
    <t>刘大能</t>
  </si>
  <si>
    <t>奉贤区港阳路333弄4号901室海港瑞和家园</t>
  </si>
  <si>
    <t>廖薇</t>
  </si>
  <si>
    <t>虹桥路1024弄1-304</t>
  </si>
  <si>
    <t>解晓瑞</t>
  </si>
  <si>
    <t>宛平南路华侨新村东区20号502室</t>
  </si>
  <si>
    <t>马当路588号5号楼1704</t>
  </si>
  <si>
    <t>莽丽</t>
  </si>
  <si>
    <t>双阳路288弄123号201室</t>
  </si>
  <si>
    <t>赵晶晶</t>
  </si>
  <si>
    <t>上海金山区红星负一楼</t>
  </si>
  <si>
    <t>陈晓华</t>
  </si>
  <si>
    <t>青浦区盈清路155弄18号902室</t>
  </si>
  <si>
    <t>王昊博</t>
  </si>
  <si>
    <t>13933614369/15303359388</t>
  </si>
  <si>
    <t>普陀区东新支路90/8/2402</t>
  </si>
  <si>
    <t>须晓青</t>
  </si>
  <si>
    <t>宝山区苏家浜路388弄73号</t>
  </si>
  <si>
    <t>张元心</t>
  </si>
  <si>
    <t>浦东新区上丰路1843金融家92号601室</t>
  </si>
  <si>
    <t>陆行舟</t>
  </si>
  <si>
    <t>云山路1039弄4号301室</t>
  </si>
  <si>
    <t>王天齐</t>
  </si>
  <si>
    <t>闵行区莲花路528弄39号201</t>
  </si>
  <si>
    <t>陈晓峰</t>
  </si>
  <si>
    <t>御桥路288弄51号302</t>
  </si>
  <si>
    <t>上海焓机电设备有限公司</t>
  </si>
  <si>
    <t>国安路789弄8号1102室</t>
  </si>
  <si>
    <t>吴平</t>
  </si>
  <si>
    <t>徐汇区虹漕南路225弄上师大科技园100号101室</t>
  </si>
  <si>
    <t>任翔</t>
  </si>
  <si>
    <t>浦东杨南路689弄10号501室</t>
  </si>
  <si>
    <t>李明振</t>
  </si>
  <si>
    <t>浦东周市路148弄70号301室</t>
  </si>
  <si>
    <t>汪晹</t>
  </si>
  <si>
    <t>浦东太华锦绣十八街区17号601室</t>
  </si>
  <si>
    <t>刘燕</t>
  </si>
  <si>
    <t>浦东昌里东路80弄34号404室</t>
  </si>
  <si>
    <t>0000840</t>
  </si>
  <si>
    <t>嘉定区云谷路1233弄5号203室</t>
  </si>
  <si>
    <t>0000836</t>
  </si>
  <si>
    <t>闵行区顾戴路1199弄129号202室</t>
  </si>
  <si>
    <t>0000838</t>
  </si>
  <si>
    <t>王先生/陈非凡</t>
  </si>
  <si>
    <t>松江区润峰苑571号102室</t>
  </si>
  <si>
    <t>0000835</t>
  </si>
  <si>
    <t>唐照波</t>
  </si>
  <si>
    <t>浦明路233弄9号1501室</t>
  </si>
  <si>
    <t>普陀区白丽路99弄118号501室</t>
  </si>
  <si>
    <t>任凭</t>
  </si>
  <si>
    <t>18301755626/18917566593</t>
  </si>
  <si>
    <t>嘉定区秋竹路802弄29号1101</t>
  </si>
  <si>
    <t>退订单/接受不了价格，选择了佳禾</t>
  </si>
  <si>
    <t>史定毅</t>
  </si>
  <si>
    <t>浦东三旋路506弄17号1402</t>
  </si>
  <si>
    <t>胡舒意</t>
  </si>
  <si>
    <t>长宁东诸安浜路103弄（金桥花）</t>
  </si>
  <si>
    <t>0000536</t>
  </si>
  <si>
    <t>黄孝英</t>
  </si>
  <si>
    <t>18818213500/18561282577</t>
  </si>
  <si>
    <t>浦东新区张杨路1338号1305室</t>
  </si>
  <si>
    <t>0000539</t>
  </si>
  <si>
    <t>王剑青</t>
  </si>
  <si>
    <t>北江燕路68弄48号301</t>
  </si>
  <si>
    <t>吴华贵</t>
  </si>
  <si>
    <t>紫云西路28弄7号1601室</t>
  </si>
  <si>
    <t>0000837</t>
  </si>
  <si>
    <t>闫晨昊</t>
  </si>
  <si>
    <t>福泉路233弄44号405室淞虹公寓</t>
  </si>
  <si>
    <t>0000839</t>
  </si>
  <si>
    <t>张撷诚</t>
  </si>
  <si>
    <t>松江佘山刘家山路1088弄26号804室</t>
  </si>
  <si>
    <t>孟广辉</t>
  </si>
  <si>
    <t>普陀区西乡路91弄18号606南泉苑</t>
  </si>
  <si>
    <t>0000538</t>
  </si>
  <si>
    <t>闵行区东兰路751弄21号801室</t>
  </si>
  <si>
    <t>韩小明</t>
  </si>
  <si>
    <t>闵行区吴宝路139弄7号202汇宝公寓</t>
  </si>
  <si>
    <t>0000558</t>
  </si>
  <si>
    <t>董冠男</t>
  </si>
  <si>
    <t>浦东I型年轻繁锦路688弄3号楼1201室中冶尚城</t>
  </si>
  <si>
    <t>张凉</t>
  </si>
  <si>
    <t>绿地天呈93号301室</t>
  </si>
  <si>
    <t>0001931</t>
  </si>
  <si>
    <t>周彦</t>
  </si>
  <si>
    <t>香逸尚城13号1802室</t>
  </si>
  <si>
    <t>0004319</t>
  </si>
  <si>
    <t>刘冬</t>
  </si>
  <si>
    <t>浦东新区周家渡街道上南八村16号603室</t>
  </si>
  <si>
    <t>宝山区电台路229弄32号401室</t>
  </si>
  <si>
    <t>张敏生</t>
  </si>
  <si>
    <t>闵行宜山路2328弄44号201室</t>
  </si>
  <si>
    <t>0000057</t>
  </si>
  <si>
    <t>张腾飞</t>
  </si>
  <si>
    <t>闵行区景谷中路58弄12号1602室</t>
  </si>
  <si>
    <t>浦发绿城2079弄48号301室</t>
  </si>
  <si>
    <t>王刚</t>
  </si>
  <si>
    <t>浦东I型年轻和炯路601弄4号1706</t>
  </si>
  <si>
    <t>0004478</t>
  </si>
  <si>
    <t>蔡广辉</t>
  </si>
  <si>
    <t>闵行区城区平南四村17号101室</t>
  </si>
  <si>
    <t>0000557</t>
  </si>
  <si>
    <t>周晓俊</t>
  </si>
  <si>
    <t>南江燕路229弄31号401室</t>
  </si>
  <si>
    <t>0001423</t>
  </si>
  <si>
    <t>祖令敏</t>
  </si>
  <si>
    <t>浦东新区栖霞路296号604室</t>
  </si>
  <si>
    <t>0000520</t>
  </si>
  <si>
    <t>刘东旭</t>
  </si>
  <si>
    <t>13918683218/13564360265</t>
  </si>
  <si>
    <t>闵行区沧源路755弄104号402</t>
  </si>
  <si>
    <t>赵秋霞</t>
  </si>
  <si>
    <t>浦东黄杨路18号凤凰大厦2303B</t>
  </si>
  <si>
    <t>陆剑斐</t>
  </si>
  <si>
    <t>芳甸路77弄5号702</t>
  </si>
  <si>
    <t>0003405</t>
  </si>
  <si>
    <t>耿浩蕾</t>
  </si>
  <si>
    <t>宝山海滨新村110号202</t>
  </si>
  <si>
    <t>0003303</t>
  </si>
  <si>
    <t>房先生</t>
  </si>
  <si>
    <t>闵行区航华三村172号501室</t>
  </si>
  <si>
    <t>黄宇菲</t>
  </si>
  <si>
    <t>浦连路388弄8号602室</t>
  </si>
  <si>
    <t>严国妹</t>
  </si>
  <si>
    <t>安波路265弄30号202室</t>
  </si>
  <si>
    <t>赵荣香</t>
  </si>
  <si>
    <t>普陀区交通路2107弄23号702室</t>
  </si>
  <si>
    <t>云屏路1028弄5-201</t>
  </si>
  <si>
    <t>陆小林</t>
  </si>
  <si>
    <t>金山区亭林丽水嘉园72号1301</t>
  </si>
  <si>
    <t>金骏杰</t>
  </si>
  <si>
    <t>黄栌</t>
  </si>
  <si>
    <t>浦驰路1659弄24号</t>
  </si>
  <si>
    <t>奉贤区金水和璟园5期北区9号1201</t>
  </si>
  <si>
    <t>赵捷</t>
  </si>
  <si>
    <t>普陀区岚皋路2003弄80号2003室</t>
  </si>
  <si>
    <t>徐晶津</t>
  </si>
  <si>
    <t>上海市浦东新区周浦镇周秀路168弄4-903</t>
  </si>
  <si>
    <t>宋玉萍</t>
  </si>
  <si>
    <t>七莘路3333弄9区18号402室</t>
  </si>
  <si>
    <t>林严</t>
  </si>
  <si>
    <t>浦秀路1536弄74号802室</t>
  </si>
  <si>
    <t>蒋昕</t>
  </si>
  <si>
    <t>商城路108弄1号3303室</t>
  </si>
  <si>
    <t>陈健晖</t>
  </si>
  <si>
    <t>高境一村202号1603室</t>
  </si>
  <si>
    <t>魏献慧</t>
  </si>
  <si>
    <t>上海浦东新区洋泾街道黄山路708弄5号803室</t>
  </si>
  <si>
    <t>朱丽萍</t>
  </si>
  <si>
    <t>徐航镇启谭路1000弄10号901室</t>
  </si>
  <si>
    <t>高跞</t>
  </si>
  <si>
    <t>安智路2078弄39号</t>
  </si>
  <si>
    <t>刘学义</t>
  </si>
  <si>
    <t>15255358868</t>
  </si>
  <si>
    <t>东方路1881弄东方城市花园二期42号2303室</t>
  </si>
  <si>
    <t>李祥鹏</t>
  </si>
  <si>
    <t>长宁区北新泾街道金钟路68弄26号1002</t>
  </si>
  <si>
    <t>0000034</t>
  </si>
  <si>
    <t>姜磊</t>
  </si>
  <si>
    <t>天山路209弄4号1001室</t>
  </si>
  <si>
    <t>汤梁伟</t>
  </si>
  <si>
    <t>闵行区莲花南路155弄世纪苑801室</t>
  </si>
  <si>
    <t>邦蓝 徐队</t>
  </si>
  <si>
    <t>殷高路149弄7号302室</t>
  </si>
  <si>
    <t>0000314</t>
  </si>
  <si>
    <t>徐先生</t>
  </si>
  <si>
    <t>闵行区罗锦路888弄3支弄14号302室</t>
  </si>
  <si>
    <t>徐英</t>
  </si>
  <si>
    <t>伴亭路象屿虹桥悦府11#1003</t>
  </si>
  <si>
    <t>0000026</t>
  </si>
  <si>
    <t>王萍</t>
  </si>
  <si>
    <t>康丰路201弄7号204</t>
  </si>
  <si>
    <t>美多邦刘工</t>
  </si>
  <si>
    <t>乐惠路801弄11号楼2403室</t>
  </si>
  <si>
    <t>沈佳冰</t>
  </si>
  <si>
    <t>浦东樱花路469弄11号601室</t>
  </si>
  <si>
    <t>王勤巨</t>
  </si>
  <si>
    <t>静安区大宁路883弄歌林春天49号202室</t>
  </si>
  <si>
    <t>徐博</t>
  </si>
  <si>
    <t>上海黄浦区男藏南路688弄老西门新苑4号楼1801室</t>
  </si>
  <si>
    <t>杨燕飞</t>
  </si>
  <si>
    <t>高台路353弄16号1503室</t>
  </si>
  <si>
    <t>0003224</t>
  </si>
  <si>
    <t>徐春华</t>
  </si>
  <si>
    <t>徐泾镇盈港东路2068弄29号楼601</t>
  </si>
  <si>
    <t>0004479</t>
  </si>
  <si>
    <t>杜自来</t>
  </si>
  <si>
    <t>浦江镇西城路177弄28号102室</t>
  </si>
  <si>
    <t>0000315</t>
  </si>
  <si>
    <t>史兴华</t>
  </si>
  <si>
    <t>顾戴路2000弄87号404室</t>
  </si>
  <si>
    <t>曹琛</t>
  </si>
  <si>
    <t>闵行区富国路199弄26号1402室</t>
  </si>
  <si>
    <t>姚仁杰</t>
  </si>
  <si>
    <t>浦东新区川沙镇周路8828弄87号601室</t>
  </si>
  <si>
    <t>费洪秀</t>
  </si>
  <si>
    <t>浦东新区锦绣路666弄17号603</t>
  </si>
  <si>
    <t>罗勇伟</t>
  </si>
  <si>
    <t>黄金城道2591弄4号801</t>
  </si>
  <si>
    <t>刘春霞</t>
  </si>
  <si>
    <t>杨南路826弄20号201室</t>
  </si>
  <si>
    <t>葛向平</t>
  </si>
  <si>
    <t>乾溪路201弄13号103</t>
  </si>
  <si>
    <t>翟江</t>
  </si>
  <si>
    <t>上海嘉定区江桥镇曹安公路2795号148号</t>
  </si>
  <si>
    <t>林先丽</t>
  </si>
  <si>
    <t>松江区洞坤路168弄42号1-3室</t>
  </si>
  <si>
    <t>黄逊</t>
  </si>
  <si>
    <t>丁香路999弄12号2302室</t>
  </si>
  <si>
    <t>沈敏捷</t>
  </si>
  <si>
    <t>红松路85弄50号501室龙梅四村</t>
  </si>
  <si>
    <t>杨臻</t>
  </si>
  <si>
    <t>田东路258弄15号702</t>
  </si>
  <si>
    <t>黄玉婷</t>
  </si>
  <si>
    <t>沈梅东路300弄19号1802室</t>
  </si>
  <si>
    <t>梁宗琴</t>
  </si>
  <si>
    <t>浦东南路东园三村335号1105室</t>
  </si>
  <si>
    <t>邵华/葛韵华</t>
  </si>
  <si>
    <t>长宁区安西路500弄4号1402室</t>
  </si>
  <si>
    <t>孙兵</t>
  </si>
  <si>
    <t>闵行区莘南花苑一村140号301室</t>
  </si>
  <si>
    <t>徐玮</t>
  </si>
  <si>
    <t>浦东新区佳京路455弄2号</t>
  </si>
  <si>
    <t>胡月娥</t>
  </si>
  <si>
    <t>灵山路1415弄6号502室</t>
  </si>
  <si>
    <t>赵文玲</t>
  </si>
  <si>
    <t>顾戴路200弄1期70号1303</t>
  </si>
  <si>
    <t>李忠明</t>
  </si>
  <si>
    <t>古美西路628弄39号302室</t>
  </si>
  <si>
    <t>陆海蓉</t>
  </si>
  <si>
    <t>杨浦区翔殷路500弄34号801</t>
  </si>
  <si>
    <t>杨健</t>
  </si>
  <si>
    <t>大连路鸿旭豪苑15楼1501室</t>
  </si>
  <si>
    <t>0003027</t>
  </si>
  <si>
    <t>杨岚</t>
  </si>
  <si>
    <t>长宁区中山西路1030弄9号204室（虹一小区）</t>
  </si>
  <si>
    <t>0001722</t>
  </si>
  <si>
    <t>王一伟</t>
  </si>
  <si>
    <t>柏澜晶舍7#101</t>
  </si>
  <si>
    <t>泗泾路99号鑫苑鑫都江2-2008</t>
  </si>
  <si>
    <t>张振亚</t>
  </si>
  <si>
    <t>松江区泗泾镇泗凯路415弄3号102室</t>
  </si>
  <si>
    <t>0003406</t>
  </si>
  <si>
    <t>毛连友</t>
  </si>
  <si>
    <t>黄浦区复兴东路701弄8号1501</t>
  </si>
  <si>
    <t>浦东惠南听潮豪园43号802室</t>
  </si>
  <si>
    <t>闵建川</t>
  </si>
  <si>
    <t>泗泾镇德宁路89弄17号604室</t>
  </si>
  <si>
    <t>李泽云</t>
  </si>
  <si>
    <t>奉贤区扶兰路18弄171弄1604</t>
  </si>
  <si>
    <t>汪剑文</t>
  </si>
  <si>
    <t>浦东新区张杨北路4555弄33号1003室</t>
  </si>
  <si>
    <t>赵明</t>
  </si>
  <si>
    <t>浦东新区银霄路39号10楼2501室</t>
  </si>
  <si>
    <t>郑绿绿</t>
  </si>
  <si>
    <t>政立路1588弄4号101室</t>
  </si>
  <si>
    <t>杨益诚</t>
  </si>
  <si>
    <t>上海宝山区长江路366弄8号1002室</t>
  </si>
  <si>
    <t>0003718</t>
  </si>
  <si>
    <t>陆伟</t>
  </si>
  <si>
    <t>上海市大渡河路1332弄17号301室</t>
  </si>
  <si>
    <t>兴明店</t>
  </si>
  <si>
    <t>陆小燕</t>
  </si>
  <si>
    <t>胡娟</t>
  </si>
  <si>
    <t>利津路729-14-801</t>
  </si>
  <si>
    <t>朱斌</t>
  </si>
  <si>
    <t>浦东周东路902弄圣鑫苑17号801室</t>
  </si>
  <si>
    <t>0000568</t>
  </si>
  <si>
    <t>顾天华</t>
  </si>
  <si>
    <t>黄家路88弄6号103室</t>
  </si>
  <si>
    <t>0003025</t>
  </si>
  <si>
    <t>曹胜冲</t>
  </si>
  <si>
    <t>水城路47弄38号602室</t>
  </si>
  <si>
    <t>0003026</t>
  </si>
  <si>
    <t>普陀区岚皋路166弄55号401室</t>
  </si>
  <si>
    <t>0000271</t>
  </si>
  <si>
    <t>延长西路555弄6号1101室</t>
  </si>
  <si>
    <t>0000058</t>
  </si>
  <si>
    <t>陈雪瑾</t>
  </si>
  <si>
    <t>普陀区石泉东路168弄102号303</t>
  </si>
  <si>
    <t>0000054</t>
  </si>
  <si>
    <t>叶月霞</t>
  </si>
  <si>
    <t>嘉定金耀南路300弄11号602室</t>
  </si>
  <si>
    <t>王春峰</t>
  </si>
  <si>
    <t>旭辉府81号701室</t>
  </si>
  <si>
    <t>许隽捷</t>
  </si>
  <si>
    <t>13524734894/13162104032</t>
  </si>
  <si>
    <t>上海市青浦区绿湖路799弄95号102室</t>
  </si>
  <si>
    <t>0003407</t>
  </si>
  <si>
    <t>叶来阳</t>
  </si>
  <si>
    <t>虹口区天宝路181弄5号楼2203室</t>
  </si>
  <si>
    <t>张章</t>
  </si>
  <si>
    <t>浦东新区通济路616弄13号1301室</t>
  </si>
  <si>
    <t>杜钢萍</t>
  </si>
  <si>
    <t>杨浦区佳木斯路321弄3号1102室</t>
  </si>
  <si>
    <t>顾煜祺</t>
  </si>
  <si>
    <t>徐汇区宾阳路50弄2号2306室</t>
  </si>
  <si>
    <t>方振宇</t>
  </si>
  <si>
    <t>浦东新区高青路2878弄38号401室</t>
  </si>
  <si>
    <t>黄元元</t>
  </si>
  <si>
    <t>湖堤路399弄8号1402号</t>
  </si>
  <si>
    <t>徐世兵</t>
  </si>
  <si>
    <t>钱桥新苑7号302</t>
  </si>
  <si>
    <t>林日晓</t>
  </si>
  <si>
    <t>青浦区清河湾路699弄10号401</t>
  </si>
  <si>
    <t>朱红</t>
  </si>
  <si>
    <t>佘山珑塬417号</t>
  </si>
  <si>
    <t>张瑞</t>
  </si>
  <si>
    <t>长宁区平武路150弄24号楼303室</t>
  </si>
  <si>
    <t>徐汇区南宁路501弄25号901室</t>
  </si>
  <si>
    <t>利津路385弄64-601室</t>
  </si>
  <si>
    <t>金葵路945弄22号601室</t>
  </si>
  <si>
    <t>宝安公路3636弄6号2001</t>
  </si>
  <si>
    <t>崂山路645弄16号103室</t>
  </si>
  <si>
    <t>昆山长泰淀湖观园133栋305</t>
  </si>
  <si>
    <t>颜玉锋</t>
  </si>
  <si>
    <t>翔川路458弄13号202室</t>
  </si>
  <si>
    <t>陆凯西</t>
  </si>
  <si>
    <t>上海杨浦区长阳路1650号1号303海尚佳园</t>
  </si>
  <si>
    <t>胡柱龙</t>
  </si>
  <si>
    <t>胜竹路1828弄22号402室</t>
  </si>
  <si>
    <t>0056020</t>
  </si>
  <si>
    <t>王晓晓</t>
  </si>
  <si>
    <t>奉贤区奉城镇花屿湾</t>
  </si>
  <si>
    <t>0002378</t>
  </si>
  <si>
    <t>杨立夫</t>
  </si>
  <si>
    <t>杨浦区国伟路138弄26号1102</t>
  </si>
  <si>
    <t>陈瓀玟</t>
  </si>
  <si>
    <t>上海市普陀区水泉路88弄7号1202室</t>
  </si>
  <si>
    <t>0002868</t>
  </si>
  <si>
    <t>白丽丽</t>
  </si>
  <si>
    <t>浦东新区陆家嘴街道福山路1-34号梅园二街坊3号楼502</t>
  </si>
  <si>
    <t>0056019</t>
  </si>
  <si>
    <t>秦陵</t>
  </si>
  <si>
    <t>奉贤区尚东10号701</t>
  </si>
  <si>
    <t>0003408</t>
  </si>
  <si>
    <t>曹伟忠</t>
  </si>
  <si>
    <t>上海市普陀区真金路577弄48号402室</t>
  </si>
  <si>
    <t>0000576</t>
  </si>
  <si>
    <t>黄诚</t>
  </si>
  <si>
    <t>静安区虬江路1110号602室</t>
  </si>
  <si>
    <t>0000272</t>
  </si>
  <si>
    <t>吴顺</t>
  </si>
  <si>
    <t>杨浦区青浦路375弄18号602室</t>
  </si>
  <si>
    <t>0000317</t>
  </si>
  <si>
    <t>孔琴</t>
  </si>
  <si>
    <t>上海徐汇田林东路414弄4号603室</t>
  </si>
  <si>
    <t>王培</t>
  </si>
  <si>
    <t>宝山区场北路669弄中环国际三期13号402</t>
  </si>
  <si>
    <t>徐雯彦</t>
  </si>
  <si>
    <t>肖华勇</t>
  </si>
  <si>
    <t>青泰路500弄5号901</t>
  </si>
  <si>
    <t>张超</t>
  </si>
  <si>
    <t>奉贤区南桥镇沪杭公路32弄13幢45#501</t>
  </si>
  <si>
    <t>阿鹏老师</t>
  </si>
  <si>
    <t>奉贤区鼎金路168号</t>
  </si>
  <si>
    <t>张越兰</t>
  </si>
  <si>
    <t>上海市希望路1333弄3号901室</t>
  </si>
  <si>
    <t>董琪</t>
  </si>
  <si>
    <t>闵行区金汇南路301弄3号801</t>
  </si>
  <si>
    <t>朱碧磊</t>
  </si>
  <si>
    <t>上海闵行虹梅路2899弄34号201室</t>
  </si>
  <si>
    <t>蔡喜明</t>
  </si>
  <si>
    <t>松江区东峰路158弄49号102室</t>
  </si>
  <si>
    <t>董善挺</t>
  </si>
  <si>
    <t>15221262669/13641679848</t>
  </si>
  <si>
    <t>政和路999弄32号1001室</t>
  </si>
  <si>
    <t>黄炳舜</t>
  </si>
  <si>
    <t>荣华东道119弄6号1001室</t>
  </si>
  <si>
    <t>0003262</t>
  </si>
  <si>
    <t>征爱红</t>
  </si>
  <si>
    <t>杨浦区四平路2065弄24号204</t>
  </si>
  <si>
    <t>0003138</t>
  </si>
  <si>
    <t>向梅</t>
  </si>
  <si>
    <t>佘山院子122</t>
  </si>
  <si>
    <t>0006857</t>
  </si>
  <si>
    <t>张娜</t>
  </si>
  <si>
    <t>盈港路民乐苑区13号302室</t>
  </si>
  <si>
    <t>明月路199弄61号402</t>
  </si>
  <si>
    <t>0003028</t>
  </si>
  <si>
    <t>王冠</t>
  </si>
  <si>
    <t>商城路东圆三村331号2406室</t>
  </si>
  <si>
    <t>0001441</t>
  </si>
  <si>
    <t>沈郭冬</t>
  </si>
  <si>
    <t>桃浦镇金鼎路1600弄12号302室</t>
  </si>
  <si>
    <t>童炜</t>
  </si>
  <si>
    <t>行知路381弄31号901室</t>
  </si>
  <si>
    <t>石超毅</t>
  </si>
  <si>
    <t>上海市浦东新区成山路648弄28号401室</t>
  </si>
  <si>
    <t>闻珏</t>
  </si>
  <si>
    <t>浦东御山路347弄60号105</t>
  </si>
  <si>
    <t>0004360</t>
  </si>
  <si>
    <t>庞菁涵</t>
  </si>
  <si>
    <t>北江燕路68弄世博家园四街坊9号401</t>
  </si>
  <si>
    <t>陶祺</t>
  </si>
  <si>
    <t>虹口区曲阳路630弄2号1434室</t>
  </si>
  <si>
    <t>0004356</t>
  </si>
  <si>
    <t>李欢欢</t>
  </si>
  <si>
    <t>闵行区富国路67号701室</t>
  </si>
  <si>
    <t>0001443</t>
  </si>
  <si>
    <t>曹明坤</t>
  </si>
  <si>
    <t>华秋路666号9栋27号1801室</t>
  </si>
  <si>
    <t>梁戎</t>
  </si>
  <si>
    <t>浦东新区张杨北路555弄42号602室</t>
  </si>
  <si>
    <t>乐国鸿</t>
  </si>
  <si>
    <t>普善路177弄1#504</t>
  </si>
  <si>
    <t>0003226</t>
  </si>
  <si>
    <t>张岩</t>
  </si>
  <si>
    <t>九亭镇莱寅路106弄76号1301室</t>
  </si>
  <si>
    <t>0003411</t>
  </si>
  <si>
    <t>延长中路727弄5号2203</t>
  </si>
  <si>
    <t>0001515</t>
  </si>
  <si>
    <t>王蕊</t>
  </si>
  <si>
    <t>松江区鼓楼公路1198弄287号701</t>
  </si>
  <si>
    <t>0003412</t>
  </si>
  <si>
    <t>李真</t>
  </si>
  <si>
    <t>芝川路138弄72号501</t>
  </si>
  <si>
    <t>0003410</t>
  </si>
  <si>
    <t>袁晓怡</t>
  </si>
  <si>
    <t>辽源西路338弄3号402</t>
  </si>
  <si>
    <t>刘斌斌</t>
  </si>
  <si>
    <t>浦东新区申江南路7677弄11号1703</t>
  </si>
  <si>
    <t>0000321</t>
  </si>
  <si>
    <t>董舟滨</t>
  </si>
  <si>
    <t>浦东新区东育路95弄9号101室</t>
  </si>
  <si>
    <t>0000569</t>
  </si>
  <si>
    <t>焦康健</t>
  </si>
  <si>
    <t>长宁区法华镇路20弄2号1201室</t>
  </si>
  <si>
    <t>0000316</t>
  </si>
  <si>
    <t>江润红</t>
  </si>
  <si>
    <t>安波路567弄5号702室</t>
  </si>
  <si>
    <t>宝山区同泰路135弄宝辰怡秀园2号1301</t>
  </si>
  <si>
    <t>闵行区航北路38弄5号403室</t>
  </si>
  <si>
    <t>付莉</t>
  </si>
  <si>
    <t>常熟尚湖翡翠湾10栋1204室</t>
  </si>
  <si>
    <t>潘国庆</t>
  </si>
  <si>
    <t>浦东云台路1101弄7号501室</t>
  </si>
  <si>
    <t>范红双</t>
  </si>
  <si>
    <t>浦明路江月天下15号楼2404</t>
  </si>
  <si>
    <t>赵国伟</t>
  </si>
  <si>
    <t>闵行区都会路3199弄22号1201室</t>
  </si>
  <si>
    <t>钮麟</t>
  </si>
  <si>
    <t>罗秀路1095弄46号401</t>
  </si>
  <si>
    <t>刘桂茹</t>
  </si>
  <si>
    <t>秀山路7弄8号201室</t>
  </si>
  <si>
    <t>0003703</t>
  </si>
  <si>
    <t>宝山潘新路558弄28号701室</t>
  </si>
  <si>
    <t>0003622</t>
  </si>
  <si>
    <t>0003306</t>
  </si>
  <si>
    <t>曹志杰</t>
  </si>
  <si>
    <t>宝山区淞南镇一二八纪念路55年52号101室</t>
  </si>
  <si>
    <t>0001445</t>
  </si>
  <si>
    <t>长宁区天山路177年13号202</t>
  </si>
  <si>
    <t>庞冬琼</t>
  </si>
  <si>
    <t>红枫路358弄3号901室</t>
  </si>
  <si>
    <t>0000327</t>
  </si>
  <si>
    <t>丁洁瑞</t>
  </si>
  <si>
    <t>长宁区新华路街道华山路1635号1004</t>
  </si>
  <si>
    <t>张婷</t>
  </si>
  <si>
    <t>浦东滨浦八村37号301室</t>
  </si>
  <si>
    <t>孙晓玲</t>
  </si>
  <si>
    <t>闵行区富国路1999弄禹州府15-1602</t>
  </si>
  <si>
    <t>0001432</t>
  </si>
  <si>
    <t>何彬睫</t>
  </si>
  <si>
    <t>长宁区虹井路888弄嘉利豪园9号1501室</t>
  </si>
  <si>
    <t>朱圣良</t>
  </si>
  <si>
    <t>临沂路81弄16号204室</t>
  </si>
  <si>
    <t>马晓洁</t>
  </si>
  <si>
    <t>新疆路445号1807室</t>
  </si>
  <si>
    <t>0001431</t>
  </si>
  <si>
    <t>马玉圣</t>
  </si>
  <si>
    <t>嘉定区铜川路2288弄10号103</t>
  </si>
  <si>
    <t>0000329</t>
  </si>
  <si>
    <t>孙靖雅</t>
  </si>
  <si>
    <t>18601729001/18721313652</t>
  </si>
  <si>
    <t>银都路3118弄21号601室</t>
  </si>
  <si>
    <t>0003625</t>
  </si>
  <si>
    <t>张燕</t>
  </si>
  <si>
    <t>嘉定区丰庄二村30号102室</t>
  </si>
  <si>
    <t>0001081</t>
  </si>
  <si>
    <t>王嘉良</t>
  </si>
  <si>
    <t>13916169946/13651935108</t>
  </si>
  <si>
    <t>平型关路2199弄32号2601室</t>
  </si>
  <si>
    <t>0001444</t>
  </si>
  <si>
    <t>田涛</t>
  </si>
  <si>
    <t>浦东新区东建路228弄20号601室</t>
  </si>
  <si>
    <t>0000324</t>
  </si>
  <si>
    <t>施玉婷</t>
  </si>
  <si>
    <t>虹梅路2669弄11号503室</t>
  </si>
  <si>
    <t>0000320</t>
  </si>
  <si>
    <t>孙锦涛</t>
  </si>
  <si>
    <t>田林十三村25号601室</t>
  </si>
  <si>
    <t>0003194</t>
  </si>
  <si>
    <t>徐汇区冠生园路科苑新村35号101室</t>
  </si>
  <si>
    <t>0003197</t>
  </si>
  <si>
    <t>凌萍</t>
  </si>
  <si>
    <t>周家嘴路3118弄43号102</t>
  </si>
  <si>
    <t>0001442</t>
  </si>
  <si>
    <t>孙巧霞</t>
  </si>
  <si>
    <t>闵行区申长北路185弄25号501室</t>
  </si>
  <si>
    <t>0000319</t>
  </si>
  <si>
    <t>管秀菊</t>
  </si>
  <si>
    <t>乳山路160弄9号401室</t>
  </si>
  <si>
    <t>0000323</t>
  </si>
  <si>
    <t>高洋</t>
  </si>
  <si>
    <t>宝山区松兰路1169弄22号202室</t>
  </si>
  <si>
    <t>0003227</t>
  </si>
  <si>
    <t>卢超</t>
  </si>
  <si>
    <t>奉贤区万顺路2968弄8号1902室</t>
  </si>
  <si>
    <t>邵女士</t>
  </si>
  <si>
    <t>崇明长兴岛</t>
  </si>
  <si>
    <t>长宁区虹桥机场新村107号502室</t>
  </si>
  <si>
    <t>0002381</t>
  </si>
  <si>
    <t>杨芳</t>
  </si>
  <si>
    <t>松江区九新公路33弄5号1301室</t>
  </si>
  <si>
    <t>0000322</t>
  </si>
  <si>
    <t>孙中奎</t>
  </si>
  <si>
    <t>七莘路2628弄33号202室</t>
  </si>
  <si>
    <t>0003225</t>
  </si>
  <si>
    <t>林蓓婷</t>
  </si>
  <si>
    <t>上海市松江区九湾镇公寓333弄14号502室</t>
  </si>
  <si>
    <t>0003228</t>
  </si>
  <si>
    <t>孟海涛</t>
  </si>
  <si>
    <t>松江九亭绿加尚城18-803</t>
  </si>
  <si>
    <t>巢莹</t>
  </si>
  <si>
    <t>延吉中路118弄20号802室</t>
  </si>
  <si>
    <t>0000832</t>
  </si>
  <si>
    <t>青浦区业文路189弄150号301</t>
  </si>
  <si>
    <t>叶兰</t>
  </si>
  <si>
    <t>昆山淀山湖琼湖大道1号</t>
  </si>
  <si>
    <t>张秀青</t>
  </si>
  <si>
    <t>松江区伴亭路855弄25号1403</t>
  </si>
  <si>
    <t>王玥</t>
  </si>
  <si>
    <t>九杜路505弄9号902室</t>
  </si>
  <si>
    <t>长桥四村38号501室</t>
  </si>
  <si>
    <t>沈立佳</t>
  </si>
  <si>
    <t>漕宝路1800-340-401室</t>
  </si>
  <si>
    <t>0003193</t>
  </si>
  <si>
    <t>陶丽芹</t>
  </si>
  <si>
    <t>杨浦区内江路16弄15号1001室</t>
  </si>
  <si>
    <t>陆杰</t>
  </si>
  <si>
    <t>云台路1101-26-101室</t>
  </si>
  <si>
    <t>0000343</t>
  </si>
  <si>
    <t>章莉莉</t>
  </si>
  <si>
    <t>浦东吴岳路229弄234号401</t>
  </si>
  <si>
    <t>0002246</t>
  </si>
  <si>
    <t>陈炎夏</t>
  </si>
  <si>
    <t>闵行区虹井路629弄29号501</t>
  </si>
  <si>
    <t>0000045</t>
  </si>
  <si>
    <t>徐汇龙美路1343弄22号2305室</t>
  </si>
  <si>
    <t>陈志刚</t>
  </si>
  <si>
    <t>新园路436弄9号</t>
  </si>
  <si>
    <t>杜文博</t>
  </si>
  <si>
    <t>青城山路159弄19号301</t>
  </si>
  <si>
    <t>彭润泽</t>
  </si>
  <si>
    <t>浦东新区柳埠路196弄5号402</t>
  </si>
  <si>
    <t>杜良宝</t>
  </si>
  <si>
    <t>青城山路159弄19号302</t>
  </si>
  <si>
    <t>朱振民</t>
  </si>
  <si>
    <t>大华路988弄95-401</t>
  </si>
  <si>
    <t>陈有鸿</t>
  </si>
  <si>
    <t>虹口区虹湾路313弄26号2003室</t>
  </si>
  <si>
    <t>黄茵茵</t>
  </si>
  <si>
    <t>浦东新区南方公路399弄223号801室</t>
  </si>
  <si>
    <t>0001516</t>
  </si>
  <si>
    <t>姚琦</t>
  </si>
  <si>
    <t>新松江路1399侬9号302</t>
  </si>
  <si>
    <t>顾金花</t>
  </si>
  <si>
    <t>金山区朱泾镇东林苑10号101</t>
  </si>
  <si>
    <t>赵金花</t>
  </si>
  <si>
    <t>浦东蓝村路55弄4号402</t>
  </si>
  <si>
    <t>沈乙斌</t>
  </si>
  <si>
    <t>海景一号15号803室</t>
  </si>
  <si>
    <t>0001799</t>
  </si>
  <si>
    <t>郭然</t>
  </si>
  <si>
    <t>航亭环路399弄16-101</t>
  </si>
  <si>
    <t>孙永明</t>
  </si>
  <si>
    <t>山鑫阳光城41/602</t>
  </si>
  <si>
    <t>2019.08.16</t>
  </si>
  <si>
    <t>周芸</t>
  </si>
  <si>
    <t>香须湾东区21号602</t>
  </si>
  <si>
    <t>黄悦</t>
  </si>
  <si>
    <t>上海市园和路500弄8号602</t>
  </si>
  <si>
    <t>0003337</t>
  </si>
  <si>
    <t>尹玖力</t>
  </si>
  <si>
    <t>闵行区罗秀路1955弄3号803室</t>
  </si>
  <si>
    <t>0003624</t>
  </si>
  <si>
    <t>束万佳</t>
  </si>
  <si>
    <t>南昌路555号1号1501室</t>
  </si>
  <si>
    <t>范菊发</t>
  </si>
  <si>
    <t>徐汇区宛平南路255弄8号301室</t>
  </si>
  <si>
    <t>0003424</t>
  </si>
  <si>
    <t>潘陈</t>
  </si>
  <si>
    <t>顾武路1266弄123号202室</t>
  </si>
  <si>
    <t>吴智华</t>
  </si>
  <si>
    <t>武乡南路230弄4号2202</t>
  </si>
  <si>
    <t>0003423</t>
  </si>
  <si>
    <t>陈一怡</t>
  </si>
  <si>
    <t>虹口区四平路283弄5号楼2单元1304室</t>
  </si>
  <si>
    <t>施雷</t>
  </si>
  <si>
    <t>东陆路429弄35号501室</t>
  </si>
  <si>
    <t>田一兵</t>
  </si>
  <si>
    <t>航北路35弄22号302室</t>
  </si>
  <si>
    <t>陈麒</t>
  </si>
  <si>
    <t>徐汇区森陇家园1号401室</t>
  </si>
  <si>
    <t>章俊彦</t>
  </si>
  <si>
    <t>长宁路1188号11号楼2302室</t>
  </si>
  <si>
    <t>施毓伟</t>
  </si>
  <si>
    <t>虹口区车站北路24弄21号502室</t>
  </si>
  <si>
    <t>倪梅华</t>
  </si>
  <si>
    <t>泉口路225弄12号602室</t>
  </si>
  <si>
    <t>钱飞帆</t>
  </si>
  <si>
    <t>青浦区朱家角阁游路258弄86号</t>
  </si>
  <si>
    <t>宜山路2328弄37号301室</t>
  </si>
  <si>
    <t>王莹寅</t>
  </si>
  <si>
    <t>巨峰路997弄31号201</t>
  </si>
  <si>
    <t>吴小蒙</t>
  </si>
  <si>
    <t>闵行区罗秀路1980弄95号301</t>
  </si>
  <si>
    <t>黄盼</t>
  </si>
  <si>
    <t>惠南镇观海路1588弄21号504</t>
  </si>
  <si>
    <t>陆海波</t>
  </si>
  <si>
    <t>浦江镇浦雪南路206弄19-1303</t>
  </si>
  <si>
    <t>吴生平</t>
  </si>
  <si>
    <t>闵行区古美西路899弄46号501</t>
  </si>
  <si>
    <t>0000246</t>
  </si>
  <si>
    <t>张志鹏</t>
  </si>
  <si>
    <t>上海浦东新区汇新城镇竹柏路758弄111号401室</t>
  </si>
  <si>
    <t>宋瑞艳</t>
  </si>
  <si>
    <t>金山康德路358号紫迪兰庭5号201室</t>
  </si>
  <si>
    <t>奚仁莲</t>
  </si>
  <si>
    <t>金山区朱泾镇民主村东方红1组9057号</t>
  </si>
  <si>
    <t>蔡斌</t>
  </si>
  <si>
    <t>顾村苏家浜路388弄159号401室</t>
  </si>
  <si>
    <t>0002243</t>
  </si>
  <si>
    <t>闵行区东兰路1111弄121号602室</t>
  </si>
  <si>
    <t>许薇薇</t>
  </si>
  <si>
    <t>龙泽园6期1701</t>
  </si>
  <si>
    <t>2019.7.31</t>
  </si>
  <si>
    <t>周勇</t>
  </si>
  <si>
    <t>江宁路1415弄88号603</t>
  </si>
  <si>
    <t>0001721</t>
  </si>
  <si>
    <t>朱佳亮</t>
  </si>
  <si>
    <t>沪青平公路180弄1号301室</t>
  </si>
  <si>
    <t>0000046</t>
  </si>
  <si>
    <t>黄燕</t>
  </si>
  <si>
    <t>虹口区北外滩东汉阳路309弄6-301</t>
  </si>
  <si>
    <t>浦东新区碧山路1188号3号501室</t>
  </si>
  <si>
    <t>杨志华</t>
  </si>
  <si>
    <t>浦东顺凌路49弄8号1001室</t>
  </si>
  <si>
    <t>史一</t>
  </si>
  <si>
    <t>虹口区密云路665弄密云花苑小区1号601室</t>
  </si>
  <si>
    <t>0001062</t>
  </si>
  <si>
    <t>孙培德</t>
  </si>
  <si>
    <t>虹梅南路2288弄89/302</t>
  </si>
  <si>
    <t>0003230</t>
  </si>
  <si>
    <t>董巧颜</t>
  </si>
  <si>
    <t>嘉兴市海宁市海昌南湾长丰路工联红郡9幢2单元103室</t>
  </si>
  <si>
    <t>0002247</t>
  </si>
  <si>
    <t>闵行区虹许路788弄8号802室</t>
  </si>
  <si>
    <t>0001384</t>
  </si>
  <si>
    <t>单力</t>
  </si>
  <si>
    <t>浦东秀康路518弄91号</t>
  </si>
  <si>
    <t>王春雨</t>
  </si>
  <si>
    <t>松江区王家库路55弄3号1204</t>
  </si>
  <si>
    <t>郑彦霞</t>
  </si>
  <si>
    <t>上丰路1483弄63号601</t>
  </si>
  <si>
    <t>张雅萍</t>
  </si>
  <si>
    <t>长岛路1560弄15号402</t>
  </si>
  <si>
    <t>夏保卫</t>
  </si>
  <si>
    <t>香颂湾3幢31-1502</t>
  </si>
  <si>
    <t>龚浩</t>
  </si>
  <si>
    <t>闵行区芦恒路378弄181号801室</t>
  </si>
  <si>
    <t>闵行区普星公路一品漫城一期9号1302室</t>
  </si>
  <si>
    <t>闵行天和路39弄10号1601室</t>
  </si>
  <si>
    <t>0003422</t>
  </si>
  <si>
    <t>任平波</t>
  </si>
  <si>
    <t>龙东大道1号北二区G1-401</t>
  </si>
  <si>
    <t>0000931</t>
  </si>
  <si>
    <t>赵仁玮</t>
  </si>
  <si>
    <t>漕宝路1467弄33号502室</t>
  </si>
  <si>
    <t>吕文彬</t>
  </si>
  <si>
    <t>嘉定区宝安公路3136弄6号201室</t>
  </si>
  <si>
    <t>0000885</t>
  </si>
  <si>
    <t>吴金贵</t>
  </si>
  <si>
    <t>青浦朱家角黄泥梦路287弄12号701</t>
  </si>
  <si>
    <t>0001082</t>
  </si>
  <si>
    <t>龙玉枝</t>
  </si>
  <si>
    <t>宝山七村24号102室</t>
  </si>
  <si>
    <t>0002384</t>
  </si>
  <si>
    <t>乔丽思</t>
  </si>
  <si>
    <t>佳东路77弄7号702室</t>
  </si>
  <si>
    <t>0000328</t>
  </si>
  <si>
    <t>王天</t>
  </si>
  <si>
    <t>东兰路121弄10号102室</t>
  </si>
  <si>
    <t>0000325</t>
  </si>
  <si>
    <t>徐洁</t>
  </si>
  <si>
    <t>浦东金葵路1115弄31号1001室</t>
  </si>
  <si>
    <t>秦丽华</t>
  </si>
  <si>
    <t>普陀区新村路1759弄41号402</t>
  </si>
  <si>
    <t>鱼莎莎</t>
  </si>
  <si>
    <t>浦东新区东育路前汉金海景一号6号楼801</t>
  </si>
  <si>
    <t>芳草路153弄13号401室</t>
  </si>
  <si>
    <t>翁浩</t>
  </si>
  <si>
    <t>上海市浦东新区银樽路58弄17号502室</t>
  </si>
  <si>
    <t>镧妥彦</t>
  </si>
  <si>
    <t>上海市青浦区西油埻义港路177弄8号801室</t>
  </si>
  <si>
    <t>富莉娜</t>
  </si>
  <si>
    <t>松江区涞坊路1199弄208号</t>
  </si>
  <si>
    <t>宋朝</t>
  </si>
  <si>
    <t>浦东新区杨高中路1898号704</t>
  </si>
  <si>
    <t>张乙南</t>
  </si>
  <si>
    <t>浦东白杨路199弄2号102室</t>
  </si>
  <si>
    <t>0000482</t>
  </si>
  <si>
    <t>浦东园康路868弄85号602</t>
  </si>
  <si>
    <t>曹琦龙</t>
  </si>
  <si>
    <t>御山路360弄2号901室</t>
  </si>
  <si>
    <t>唐刚</t>
  </si>
  <si>
    <t>上海市浦东新区古棕路555弄16号102</t>
  </si>
  <si>
    <t>0002386</t>
  </si>
  <si>
    <t>朱琦</t>
  </si>
  <si>
    <t>晨晖路828弄13号801室</t>
  </si>
  <si>
    <t>0002385</t>
  </si>
  <si>
    <t>下单了</t>
  </si>
  <si>
    <t>罗莉玲</t>
  </si>
  <si>
    <t>博兴路760弄3号902室</t>
  </si>
  <si>
    <t>0000883</t>
  </si>
  <si>
    <t>杨波</t>
  </si>
  <si>
    <t>松江区长水街277弄8栋12单元703</t>
  </si>
  <si>
    <t>单珉</t>
  </si>
  <si>
    <t>瞿溪路120弄30号401-1室</t>
  </si>
  <si>
    <t>葛桢林</t>
  </si>
  <si>
    <t>上大路178弄9号402室</t>
  </si>
  <si>
    <t>0004480</t>
  </si>
  <si>
    <t>童行来</t>
  </si>
  <si>
    <t>上海闵行区景谷中路58弄13号701室</t>
  </si>
  <si>
    <t>徐军</t>
  </si>
  <si>
    <t>东靖路393弄24号1202</t>
  </si>
  <si>
    <t>北京西路1065号204室</t>
  </si>
  <si>
    <t>0001229</t>
  </si>
  <si>
    <t>马克</t>
  </si>
  <si>
    <t>徐汇肇家浜路201弄24号601</t>
  </si>
  <si>
    <t>吴杰</t>
  </si>
  <si>
    <t>杨浦区平凉路1782弄36号303室</t>
  </si>
  <si>
    <t>0003623</t>
  </si>
  <si>
    <t>许亦韬</t>
  </si>
  <si>
    <t>昆山市周庄镇天润尚院</t>
  </si>
  <si>
    <t>薛佳玲</t>
  </si>
  <si>
    <t>上海市杨浦控江一村20号502室</t>
  </si>
  <si>
    <t>0003425</t>
  </si>
  <si>
    <t>马兰</t>
  </si>
  <si>
    <t>黄金城道500弄1号801</t>
  </si>
  <si>
    <t>徐彬</t>
  </si>
  <si>
    <t>上海浦东新区福山路100弄</t>
  </si>
  <si>
    <t>还没能测量</t>
  </si>
  <si>
    <t>薛志艳</t>
  </si>
  <si>
    <t>上海市杨浦区营口路600弄64号401室</t>
  </si>
  <si>
    <t>局部翻新，未能测量</t>
  </si>
  <si>
    <t>王秀丽</t>
  </si>
  <si>
    <t>双阳支路38弄2号102室</t>
  </si>
  <si>
    <t>刚做水电</t>
  </si>
  <si>
    <t>邦蓝 王队</t>
  </si>
  <si>
    <t>虹湾路313弄7号2801室</t>
  </si>
  <si>
    <t>潘睿珺</t>
  </si>
  <si>
    <t>北艾路1660弄14号401</t>
  </si>
  <si>
    <t>陶柏英</t>
  </si>
  <si>
    <t>普陀区沙田新苑19号1801室</t>
  </si>
  <si>
    <t>刘娟娟</t>
  </si>
  <si>
    <t>徐汇区龙华西路591弄11号202室</t>
  </si>
  <si>
    <t>尤昊白</t>
  </si>
  <si>
    <t>长宁区天山河畔6号2203</t>
  </si>
  <si>
    <t>李力</t>
  </si>
  <si>
    <t>静安区山西北路88弄苏河湾华侨城T3-6201</t>
  </si>
  <si>
    <t>王吉炜</t>
  </si>
  <si>
    <t>广中西路99弄55号1802室</t>
  </si>
  <si>
    <t>燕春</t>
  </si>
  <si>
    <t>普陀区远景路97弄44号82室</t>
  </si>
  <si>
    <t>孙月华</t>
  </si>
  <si>
    <t>普陀区西康路1518弄4号1704室</t>
  </si>
  <si>
    <t>蒋莉</t>
  </si>
  <si>
    <t>真光路962弄72号1001室</t>
  </si>
  <si>
    <t>唐涛</t>
  </si>
  <si>
    <t>奉贤区金海社区金齐路348弄金水新苑102室102室604</t>
  </si>
  <si>
    <t>张爱军</t>
  </si>
  <si>
    <t>金山区亭林镇松隐金明村一组314</t>
  </si>
  <si>
    <t>闵行区闵城路199弄20-203</t>
  </si>
  <si>
    <t>严黎</t>
  </si>
  <si>
    <t>宝山区美安路215弄6号1401室</t>
  </si>
  <si>
    <t>陈书记</t>
  </si>
  <si>
    <t>上海南林路584弄2号502</t>
  </si>
  <si>
    <t>宁静</t>
  </si>
  <si>
    <t>浦东新区松林路333弄香榭丽花园</t>
  </si>
  <si>
    <t>惠女士</t>
  </si>
  <si>
    <t>徐汇区襄阳南路228号B座5楼</t>
  </si>
  <si>
    <t>0000107</t>
  </si>
  <si>
    <t>陈金雄</t>
  </si>
  <si>
    <t>平凉路杨州路588弄3号808室</t>
  </si>
  <si>
    <t>马佩丽</t>
  </si>
  <si>
    <t>杨浦区四平路街道鞍山四村58号4室</t>
  </si>
  <si>
    <t>石翠萍</t>
  </si>
  <si>
    <t>浦东新区云端路1565号60号1601</t>
  </si>
  <si>
    <t>杨洋</t>
  </si>
  <si>
    <t>国权东路99弄19号201</t>
  </si>
  <si>
    <t>0001610</t>
  </si>
  <si>
    <t>窦拥梅</t>
  </si>
  <si>
    <t>梅川路111弄24号201室</t>
  </si>
  <si>
    <t>谢浩</t>
  </si>
  <si>
    <t>15021997550</t>
  </si>
  <si>
    <t>七莘路3885弄茂盛花苑2-202</t>
  </si>
  <si>
    <t>朱云绮</t>
  </si>
  <si>
    <t>潍坊路375弄31号303</t>
  </si>
  <si>
    <t>0001265</t>
  </si>
  <si>
    <t>吴晓娟</t>
  </si>
  <si>
    <t>长宁区仙霞路415弄4号203室</t>
  </si>
  <si>
    <t>0001264</t>
  </si>
  <si>
    <t>陆明渊</t>
  </si>
  <si>
    <t>嘉定区真新街道丰庄西路460弄12号403室</t>
  </si>
  <si>
    <t>顾乐宾</t>
  </si>
  <si>
    <t>虹口区虹湾路313弄25号2102室</t>
  </si>
  <si>
    <t>笪凯</t>
  </si>
  <si>
    <t>未来派6#1401</t>
  </si>
  <si>
    <t>0001447</t>
  </si>
  <si>
    <t>俞宏杰</t>
  </si>
  <si>
    <t>南翔镇明圣东街27弄14号501</t>
  </si>
  <si>
    <t>钱珍艳</t>
  </si>
  <si>
    <t>杨浦区殷行路850弄40号101室</t>
  </si>
  <si>
    <t>0003393</t>
  </si>
  <si>
    <t>顾盈文</t>
  </si>
  <si>
    <t>大学路186弄10号602室</t>
  </si>
  <si>
    <t>徐志悦</t>
  </si>
  <si>
    <t>航华一村一街168号602室</t>
  </si>
  <si>
    <t>江杨北路1568弄70号502室</t>
  </si>
  <si>
    <t>宋嘉</t>
  </si>
  <si>
    <t>上海市杨浦区四平路1028弄9号302</t>
  </si>
  <si>
    <t>徐伟军</t>
  </si>
  <si>
    <t>卫夏北路清风30号</t>
  </si>
  <si>
    <t>0001440</t>
  </si>
  <si>
    <t>岳影慧</t>
  </si>
  <si>
    <t>闵行区上中西路1285弄58号901室</t>
  </si>
  <si>
    <t>原平路183弄2号802室</t>
  </si>
  <si>
    <t>全瑩潔</t>
  </si>
  <si>
    <t>上海市闵行区汇臻路815弄瑞和城2-702</t>
  </si>
  <si>
    <t>上海市闵行区汇臻路815弄瑞和城25-1602</t>
  </si>
  <si>
    <t>徐秋静</t>
  </si>
  <si>
    <t>巨峰路399弄56号402</t>
  </si>
  <si>
    <t>江龙</t>
  </si>
  <si>
    <t>御云路100弄1002室</t>
  </si>
  <si>
    <t>傅文杰</t>
  </si>
  <si>
    <t>北翟路2000弄51支弄42号102</t>
  </si>
  <si>
    <t>刘德丰</t>
  </si>
  <si>
    <t>浦东秋岚路58-34-701</t>
  </si>
  <si>
    <t>松江区日台路555弄319号101室</t>
  </si>
  <si>
    <t>韩清</t>
  </si>
  <si>
    <t>静安区彭浦新村街道共康四村119号602室</t>
  </si>
  <si>
    <t>冯绮然</t>
  </si>
  <si>
    <t>金山区龙湾一号345号</t>
  </si>
  <si>
    <t>奚天翔</t>
  </si>
  <si>
    <t>宝山区宝荻路500弄28号1102</t>
  </si>
  <si>
    <t>张艳</t>
  </si>
  <si>
    <t>鲁班路168弄7号1504市</t>
  </si>
  <si>
    <t>史黎明</t>
  </si>
  <si>
    <t>上半路1483弄106号301室</t>
  </si>
  <si>
    <t>路志波</t>
  </si>
  <si>
    <t>浦东上丰路1483弄51号802室</t>
  </si>
  <si>
    <t>章丽君</t>
  </si>
  <si>
    <t>上海室虹口区逸仙路458弄6号906室</t>
  </si>
  <si>
    <t>胡国勋</t>
  </si>
  <si>
    <t>徐汇区南丹东路33弄7号704室</t>
  </si>
  <si>
    <t>龚玉雯</t>
  </si>
  <si>
    <t>浦东新区诞筱路287弄10号602室</t>
  </si>
  <si>
    <t>陆顾</t>
  </si>
  <si>
    <t>上海闵行区浦江镇秀馨苑50号楼</t>
  </si>
  <si>
    <t>0000113</t>
  </si>
  <si>
    <t>何文华</t>
  </si>
  <si>
    <t>杨浦区仁德路100弄2号602室</t>
  </si>
  <si>
    <t>0003332</t>
  </si>
  <si>
    <t>曾德文</t>
  </si>
  <si>
    <t>金山区海丰路128弄286号501室</t>
  </si>
  <si>
    <t>0001052</t>
  </si>
  <si>
    <t>梅道静</t>
  </si>
  <si>
    <t>普陀区真光路962弄333号501</t>
  </si>
  <si>
    <t>刘虔英</t>
  </si>
  <si>
    <t>上海杨浦区三门路318弄9号502室</t>
  </si>
  <si>
    <t>0000660</t>
  </si>
  <si>
    <t>王子麵</t>
  </si>
  <si>
    <t>闵行区新镇路603弄70号103</t>
  </si>
  <si>
    <t>0003413</t>
  </si>
  <si>
    <t>赵万江</t>
  </si>
  <si>
    <t>延长中路727年13号101室</t>
  </si>
  <si>
    <t>杨国宇</t>
  </si>
  <si>
    <t>宝山区杨行镇友谊路1869弄海尚明城31号楼1801</t>
  </si>
  <si>
    <t>蒋颀</t>
  </si>
  <si>
    <t>黄浦区瞿溪路301弄3号2203室</t>
  </si>
  <si>
    <t>傅宏秋</t>
  </si>
  <si>
    <t>大沽路186弄2号2201室</t>
  </si>
  <si>
    <t>0004486</t>
  </si>
  <si>
    <t>胡志华</t>
  </si>
  <si>
    <t>松江区春九路188弄198号</t>
  </si>
  <si>
    <t>0004488</t>
  </si>
  <si>
    <t>松江区九里亭街道涞坊路1033弄16号201室</t>
  </si>
  <si>
    <t>沈郭圣</t>
  </si>
  <si>
    <t>普陀区金鼎路1600弄12号302室</t>
  </si>
  <si>
    <t>0000579</t>
  </si>
  <si>
    <t>许苏晋</t>
  </si>
  <si>
    <t>龙茗路69弄5-301</t>
  </si>
  <si>
    <t>0000580</t>
  </si>
  <si>
    <t>谢先生</t>
  </si>
  <si>
    <t>0000586</t>
  </si>
  <si>
    <t>史永康</t>
  </si>
  <si>
    <t>凤蓉路455弄10号801</t>
  </si>
  <si>
    <t>0002249</t>
  </si>
  <si>
    <t>蒋秋萍</t>
  </si>
  <si>
    <t>闵行区古美一村70号501室</t>
  </si>
  <si>
    <t>0002250</t>
  </si>
  <si>
    <t>陈向明</t>
  </si>
  <si>
    <t>长宁区水城路883弄14号2102室</t>
  </si>
  <si>
    <t>0002314</t>
  </si>
  <si>
    <t>丁颖</t>
  </si>
  <si>
    <t>真金路1039弄110号</t>
  </si>
  <si>
    <t>0002315</t>
  </si>
  <si>
    <t>宋洋</t>
  </si>
  <si>
    <t>田林三村13号502</t>
  </si>
  <si>
    <t>0003307</t>
  </si>
  <si>
    <t>邵晨</t>
  </si>
  <si>
    <t>嘉定区马陆镇沈徐路129弄11号1603室</t>
  </si>
  <si>
    <t>0000275</t>
  </si>
  <si>
    <t>华远</t>
  </si>
  <si>
    <t>宝山区阳曲路1111弄36号302</t>
  </si>
  <si>
    <t>马熙</t>
  </si>
  <si>
    <t>浦东新区杨南路826弄12号504室</t>
  </si>
  <si>
    <t>0003626</t>
  </si>
  <si>
    <t>李冕</t>
  </si>
  <si>
    <t>普陀区富平路737弄17号802巴黎之春小区</t>
  </si>
  <si>
    <t>龚晖</t>
  </si>
  <si>
    <t>杨浦区长阳路1315弄3号2007室申通公寓小区</t>
  </si>
  <si>
    <t>曹忠伟</t>
  </si>
  <si>
    <t>浦东新区南码头路1288弄1号404室逸翠公馆小区</t>
  </si>
  <si>
    <t>崧建路339弄35号301</t>
  </si>
  <si>
    <t>0002209</t>
  </si>
  <si>
    <t>王尹哲</t>
  </si>
  <si>
    <t>长宁区紫云路118弄8号2313</t>
  </si>
  <si>
    <t>0001267</t>
  </si>
  <si>
    <t>杨正浩</t>
  </si>
  <si>
    <t>长宁区仙霞新村街道茅台路270弄74号502室</t>
  </si>
  <si>
    <t>康达路118弄7-101</t>
  </si>
  <si>
    <t>倪祯莺</t>
  </si>
  <si>
    <t>康达路118弄10-1102</t>
  </si>
  <si>
    <t>郑理芳</t>
  </si>
  <si>
    <t>康达路118弄5-301</t>
  </si>
  <si>
    <t>许红阳</t>
  </si>
  <si>
    <t>康达路118弄4-901</t>
  </si>
  <si>
    <t>康达路118弄9-402</t>
  </si>
  <si>
    <t>亓学芹</t>
  </si>
  <si>
    <t>康达路118弄11-1001</t>
  </si>
  <si>
    <t>王志强</t>
  </si>
  <si>
    <t>康达路118弄10-302</t>
  </si>
  <si>
    <t>董培雯</t>
  </si>
  <si>
    <t>康达路118弄8-602</t>
  </si>
  <si>
    <t>陈思</t>
  </si>
  <si>
    <t>康达路118弄5-701</t>
  </si>
  <si>
    <t>周海燕</t>
  </si>
  <si>
    <t>康达路118弄8-102</t>
  </si>
  <si>
    <t>张煜</t>
  </si>
  <si>
    <t>康达路118弄5-302</t>
  </si>
  <si>
    <t>梁爽</t>
  </si>
  <si>
    <t>康达路118弄5-702</t>
  </si>
  <si>
    <t>lzhjxlily</t>
  </si>
  <si>
    <t>康达路118弄5-1002</t>
  </si>
  <si>
    <t>刘硕</t>
  </si>
  <si>
    <t>康达路118弄9-901</t>
  </si>
  <si>
    <t>唐惠红</t>
  </si>
  <si>
    <t>康达路118弄6-601</t>
  </si>
  <si>
    <t>陈超群</t>
  </si>
  <si>
    <t>康达路118弄8-701</t>
  </si>
  <si>
    <t>黄佳菁</t>
  </si>
  <si>
    <t>康达路118弄11-502</t>
  </si>
  <si>
    <t>金洁</t>
  </si>
  <si>
    <t>康达路118弄10-902</t>
  </si>
  <si>
    <t>刘豪</t>
  </si>
  <si>
    <t>潘雯</t>
  </si>
  <si>
    <t>康达路118弄9-601</t>
  </si>
  <si>
    <t>陈一佳</t>
  </si>
  <si>
    <t>康达路118弄8-1102</t>
  </si>
  <si>
    <t>莫国民</t>
  </si>
  <si>
    <t>康达路118弄6-901</t>
  </si>
  <si>
    <t>彭颖</t>
  </si>
  <si>
    <t>康达路118弄11-701</t>
  </si>
  <si>
    <t>於婧扬</t>
  </si>
  <si>
    <t>康达路118弄8-901</t>
  </si>
  <si>
    <t>任烜</t>
  </si>
  <si>
    <t>康达路118弄5-601</t>
  </si>
  <si>
    <t>周志敏</t>
  </si>
  <si>
    <t>康达路118弄11-1202</t>
  </si>
  <si>
    <t>陆轶丹</t>
  </si>
  <si>
    <t>柏澜晶舍11-602</t>
  </si>
  <si>
    <t>柯小城</t>
  </si>
  <si>
    <t>康达路118弄9-902</t>
  </si>
  <si>
    <t>田苗</t>
  </si>
  <si>
    <t>康达路118弄8-402</t>
  </si>
  <si>
    <t>封华</t>
  </si>
  <si>
    <t>康达路118弄8-401</t>
  </si>
  <si>
    <t>康达路118弄9-602</t>
  </si>
  <si>
    <t>阚小姐</t>
  </si>
  <si>
    <t>康达路118弄10-502</t>
  </si>
  <si>
    <t>何冬梅</t>
  </si>
  <si>
    <t>康达路118弄7-502</t>
  </si>
  <si>
    <t>杨楠</t>
  </si>
  <si>
    <t>康达路118弄3-402</t>
  </si>
  <si>
    <t>余慧瑶</t>
  </si>
  <si>
    <t>康达路118弄9-1001</t>
  </si>
  <si>
    <t>邱峰</t>
  </si>
  <si>
    <t>康达路118弄6-701</t>
  </si>
  <si>
    <t>钱雨霁</t>
  </si>
  <si>
    <t>康达路118弄9-1101</t>
  </si>
  <si>
    <t>康达路118弄8-501</t>
  </si>
  <si>
    <t>张文俊</t>
  </si>
  <si>
    <t>康达路118弄7-901</t>
  </si>
  <si>
    <t>姚舜</t>
  </si>
  <si>
    <t>康达路118弄11-1201</t>
  </si>
  <si>
    <t>赵国壁</t>
  </si>
  <si>
    <t>康达路118弄6-302</t>
  </si>
  <si>
    <t>林琦竣</t>
  </si>
  <si>
    <t>康达路118弄10-701</t>
  </si>
  <si>
    <t>曹文豪</t>
  </si>
  <si>
    <t>康达路118弄5-801</t>
  </si>
  <si>
    <t>由健</t>
  </si>
  <si>
    <t>康达路118弄6-402</t>
  </si>
  <si>
    <t>康达路118弄11-702</t>
  </si>
  <si>
    <t>康达路118弄10-601</t>
  </si>
  <si>
    <t>周大平</t>
  </si>
  <si>
    <t>康达路118弄5-1001</t>
  </si>
  <si>
    <t>姜啸宇</t>
  </si>
  <si>
    <t>康达路118弄11-802</t>
  </si>
  <si>
    <t>朱天人</t>
  </si>
  <si>
    <t>康达路118弄10-1001</t>
  </si>
  <si>
    <t>王超</t>
  </si>
  <si>
    <t>康达路118弄10-501</t>
  </si>
  <si>
    <t>田衢</t>
  </si>
  <si>
    <t>康达路118弄5-901</t>
  </si>
  <si>
    <t>孙慧慧</t>
  </si>
  <si>
    <t>康达路118弄10-1201</t>
  </si>
  <si>
    <t>卢昌鹏</t>
  </si>
  <si>
    <t>康达路118弄4-402</t>
  </si>
  <si>
    <t>罗龙婵</t>
  </si>
  <si>
    <t>昆山新乐路555号淀山花城412栋101</t>
  </si>
  <si>
    <t>0003426</t>
  </si>
  <si>
    <t>杜玉芬</t>
  </si>
  <si>
    <t>闵行区富国路199弄35号801室</t>
  </si>
  <si>
    <t>0000151</t>
  </si>
  <si>
    <t>孙博伟</t>
  </si>
  <si>
    <t>松江区沪松公路2288弄44号楼517室</t>
  </si>
  <si>
    <t>王子俊</t>
  </si>
  <si>
    <t>宁国路438弄12号401室</t>
  </si>
  <si>
    <t>桑乃华</t>
  </si>
  <si>
    <t>工农四村113号602</t>
  </si>
  <si>
    <t>杨婷</t>
  </si>
  <si>
    <t>浦东利津路1111弄12号402</t>
  </si>
  <si>
    <t>0003198</t>
  </si>
  <si>
    <t>丁雯</t>
  </si>
  <si>
    <t>虹湾路313弄15号1004室</t>
  </si>
  <si>
    <t>0000120</t>
  </si>
  <si>
    <t>倪宏杰</t>
  </si>
  <si>
    <t>虹口区车站北路732弄54号603室</t>
  </si>
  <si>
    <t>昆山市淀山湖环湖大道1号329-103淀山湖一号</t>
  </si>
  <si>
    <t>余敏霞</t>
  </si>
  <si>
    <t>上海市虹口区虹湾路313弄18号304</t>
  </si>
  <si>
    <t>0000488</t>
  </si>
  <si>
    <t>浦东新区银富路39号10楼2501室</t>
  </si>
  <si>
    <t>李文涛</t>
  </si>
  <si>
    <t>徐汇区罗秀路930弄62号501室</t>
  </si>
  <si>
    <t>李健</t>
  </si>
  <si>
    <t>富国路199弄25号901</t>
  </si>
  <si>
    <t>张彬</t>
  </si>
  <si>
    <t>杜鹃路58弄2号901室</t>
  </si>
  <si>
    <t>0001385</t>
  </si>
  <si>
    <t>陈根娣</t>
  </si>
  <si>
    <t>浦东新区永泰路1960弄5号401室</t>
  </si>
  <si>
    <t>0000584</t>
  </si>
  <si>
    <t>刘恋</t>
  </si>
  <si>
    <t>延安西路501号</t>
  </si>
  <si>
    <t>潘袁</t>
  </si>
  <si>
    <t>羽山路998弄17号1102室</t>
  </si>
  <si>
    <t>0000577</t>
  </si>
  <si>
    <t>季鹰</t>
  </si>
  <si>
    <t>上海市徐汇区钦州南路768弄3号402室</t>
  </si>
  <si>
    <t>方玉阁</t>
  </si>
  <si>
    <t>康弘路428弄玉城锦园</t>
  </si>
  <si>
    <t>韩慧颖</t>
  </si>
  <si>
    <t>浦东新区成山路963弄</t>
  </si>
  <si>
    <t>8月底交房</t>
  </si>
  <si>
    <t>0000578</t>
  </si>
  <si>
    <t>吴雨萍</t>
  </si>
  <si>
    <t>白牛路1068弄66号102室</t>
  </si>
  <si>
    <t>0000062</t>
  </si>
  <si>
    <t>王亚平</t>
  </si>
  <si>
    <t>锦宕东路280弄34号301室</t>
  </si>
  <si>
    <t>沈莘颖</t>
  </si>
  <si>
    <t>长宁区哈密路1999弄1号1102室</t>
  </si>
  <si>
    <t>退订单/客户家里房子卖了</t>
  </si>
  <si>
    <t>0000581</t>
  </si>
  <si>
    <t>左瑶</t>
  </si>
  <si>
    <t>真华路1800弄29号202室</t>
  </si>
  <si>
    <t>梁峰</t>
  </si>
  <si>
    <t>闵行区富国路199弄29号604室</t>
  </si>
  <si>
    <t>0000483</t>
  </si>
  <si>
    <t>程亚庭</t>
  </si>
  <si>
    <t>浦东沪南路3468弄153号301室</t>
  </si>
  <si>
    <t>0000485</t>
  </si>
  <si>
    <t>许瑞芳</t>
  </si>
  <si>
    <t>芳华路136弄10号102室</t>
  </si>
  <si>
    <t>0000484</t>
  </si>
  <si>
    <t>李冬琴</t>
  </si>
  <si>
    <t>浦东杨新路197弄17号203室</t>
  </si>
  <si>
    <t>沪南路3468弄</t>
  </si>
  <si>
    <t>0000486</t>
  </si>
  <si>
    <t>郭慧芳</t>
  </si>
  <si>
    <t>张扬路兰园小区310弄44号401</t>
  </si>
  <si>
    <t>屈晓阳</t>
  </si>
  <si>
    <t>杨浦区翔殷路873弄6号1001室</t>
  </si>
  <si>
    <t>0001059</t>
  </si>
  <si>
    <t>林立钧</t>
  </si>
  <si>
    <t>上海市徐汇区华东花苑38号302</t>
  </si>
  <si>
    <t>0001386</t>
  </si>
  <si>
    <t>王英</t>
  </si>
  <si>
    <t>闵行区联航路2165弄19号301室世博家园十一街坊</t>
  </si>
  <si>
    <t>吕费</t>
  </si>
  <si>
    <t>嘉定区嘉年路750弄5号1803室</t>
  </si>
  <si>
    <t>赵铁</t>
  </si>
  <si>
    <t>珠城路118弄11号1001室</t>
  </si>
  <si>
    <t>0000585</t>
  </si>
  <si>
    <t>201910/25</t>
  </si>
  <si>
    <t>宋茜</t>
  </si>
  <si>
    <t>泗凤公路758弄132号</t>
  </si>
  <si>
    <t>高小姐</t>
  </si>
  <si>
    <t>上海黄金城道688弄17号</t>
  </si>
  <si>
    <t>任艳萍</t>
  </si>
  <si>
    <t>虹口大连西路159号602室</t>
  </si>
  <si>
    <t>0001268</t>
  </si>
  <si>
    <t>义国兵</t>
  </si>
  <si>
    <t>浦东新区德淳路99弄36栋601室</t>
  </si>
  <si>
    <t>0001269</t>
  </si>
  <si>
    <t>忻俊彦</t>
  </si>
  <si>
    <t>浦东秀沿路836弄3号楼1603室</t>
  </si>
  <si>
    <t>0000276</t>
  </si>
  <si>
    <t>蒋力</t>
  </si>
  <si>
    <t>新沪路405弄4号202室</t>
  </si>
  <si>
    <t>0000273</t>
  </si>
  <si>
    <t>齐爽</t>
  </si>
  <si>
    <t>宝山区牡丹江路1242弄27号201室</t>
  </si>
  <si>
    <t>敖旭琴</t>
  </si>
  <si>
    <t>松江区九亭镇九亭家园二期</t>
  </si>
  <si>
    <t>施宏</t>
  </si>
  <si>
    <t>绿地天呈81幢1803</t>
  </si>
  <si>
    <t>王兰芳</t>
  </si>
  <si>
    <t>天港虹盛路250弄53号602室</t>
  </si>
  <si>
    <t>杨迪奇</t>
  </si>
  <si>
    <t>松江区华莹路450弄31号1004</t>
  </si>
  <si>
    <t>秦建华</t>
  </si>
  <si>
    <t>青浦朱家角张家圩路299弄7幢85号</t>
  </si>
  <si>
    <t>崧文南路55弄11号102</t>
  </si>
  <si>
    <t>0000280</t>
  </si>
  <si>
    <t>蒋铭</t>
  </si>
  <si>
    <t>上海市宝山区美秀路558弄21号804</t>
  </si>
  <si>
    <t>0000279</t>
  </si>
  <si>
    <t>高俊洋</t>
  </si>
  <si>
    <t>杨思路860弄95号903室</t>
  </si>
  <si>
    <t>0000281</t>
  </si>
  <si>
    <t>袁沁</t>
  </si>
  <si>
    <t>宝山区金地艺境市台路585弄61号402</t>
  </si>
  <si>
    <t>0000282</t>
  </si>
  <si>
    <t>李芳麟</t>
  </si>
  <si>
    <t>真华路1801弄34号702</t>
  </si>
  <si>
    <t>0000277</t>
  </si>
  <si>
    <t>王豪</t>
  </si>
  <si>
    <t>宝山区菊联路262弄176号1101室</t>
  </si>
  <si>
    <t>0004491</t>
  </si>
  <si>
    <t>曲银燕</t>
  </si>
  <si>
    <t>上海东园一村139栋1108室</t>
  </si>
  <si>
    <t>0004489</t>
  </si>
  <si>
    <t>顾爱萍</t>
  </si>
  <si>
    <t>闵行区景各中路58弄13号602</t>
  </si>
  <si>
    <t>0004492</t>
  </si>
  <si>
    <t>孙婷</t>
  </si>
  <si>
    <t>徐汇区田东路258弄宏润国际花园5号楼1801室</t>
  </si>
  <si>
    <t>0004490</t>
  </si>
  <si>
    <t>王兴</t>
  </si>
  <si>
    <t>浦申路200弄58号201</t>
  </si>
  <si>
    <t>0001387</t>
  </si>
  <si>
    <t>郝小姐</t>
  </si>
  <si>
    <t>浦东巨里路482弄9号101室</t>
  </si>
  <si>
    <t>0000278</t>
  </si>
  <si>
    <t>钱前</t>
  </si>
  <si>
    <t>上海市虹口区江湾镇文仟路38弄7号1202室</t>
  </si>
  <si>
    <t>漕宝路1565弄22号302室</t>
  </si>
  <si>
    <t>退订单/觉得贵</t>
  </si>
  <si>
    <t>刘云</t>
  </si>
  <si>
    <t>浦东新区栖山路401弄2号2408室</t>
  </si>
  <si>
    <t>茅小姐</t>
  </si>
  <si>
    <t>黄浦区徐家汇135弄永业公寓17号2901</t>
  </si>
  <si>
    <t>翁海钗</t>
  </si>
  <si>
    <t>静安区平型关路801弄6号601室</t>
  </si>
  <si>
    <t>俞浩</t>
  </si>
  <si>
    <t>台儿庄路666弄13号402室</t>
  </si>
  <si>
    <t>杨勇辉</t>
  </si>
  <si>
    <t>浦东凌河路618弄65弄402室</t>
  </si>
  <si>
    <t>吕长琴</t>
  </si>
  <si>
    <t>闵行高洲府富国路199弄1606室</t>
  </si>
  <si>
    <t>0001517</t>
  </si>
  <si>
    <t>贺晓岚</t>
  </si>
  <si>
    <t>佘山里85号</t>
  </si>
  <si>
    <t>2019.9.28</t>
  </si>
  <si>
    <t>000114</t>
  </si>
  <si>
    <t>黄海霞</t>
  </si>
  <si>
    <t>佘山区朱泾镇公安佘玉豪庭5号801室</t>
  </si>
  <si>
    <t>0056024</t>
  </si>
  <si>
    <t>陈冰</t>
  </si>
  <si>
    <t>奉贤区中建公园各邸兰博路84号</t>
  </si>
  <si>
    <t>徐人欢</t>
  </si>
  <si>
    <t>上海金山区御景龙庭185号304</t>
  </si>
  <si>
    <t>李前伟</t>
  </si>
  <si>
    <t>浦东新区大名城紫金九号</t>
  </si>
  <si>
    <t>何月华</t>
  </si>
  <si>
    <t>上海金山区朱泾镇朱泾明月28号602</t>
  </si>
  <si>
    <t>0000587</t>
  </si>
  <si>
    <t>张如花</t>
  </si>
  <si>
    <t>松江区洞泾镇长兴路98弄84号604室</t>
  </si>
  <si>
    <t>东波路325弄61号302室</t>
  </si>
  <si>
    <t>利津路385弄67号402室</t>
  </si>
  <si>
    <t>付家林</t>
  </si>
  <si>
    <t>浦东新区唐镇上丰路1483弄63号702室</t>
  </si>
  <si>
    <t>0001271</t>
  </si>
  <si>
    <t>张梦婉</t>
  </si>
  <si>
    <t>静安区新明路1068弄5号801</t>
  </si>
  <si>
    <t>秋月朗庭77幢</t>
  </si>
  <si>
    <t>黄卿竹</t>
  </si>
  <si>
    <t>奉贤区西渡街道板兰路18弄136号101</t>
  </si>
  <si>
    <t>帅黎静</t>
  </si>
  <si>
    <t>东源丽港18号301室</t>
  </si>
  <si>
    <t>王志刚</t>
  </si>
  <si>
    <t>杨浦区长阳路1980号307室</t>
  </si>
  <si>
    <t>顾爱娣</t>
  </si>
  <si>
    <t>新闸路1335弄6号304室</t>
  </si>
  <si>
    <t>彭敏晖</t>
  </si>
  <si>
    <t>赤峰路525号808室</t>
  </si>
  <si>
    <t>徐汇区长桥三村121号202室</t>
  </si>
  <si>
    <t>钟女士</t>
  </si>
  <si>
    <t>塔城路800弄39-401</t>
  </si>
  <si>
    <t>0000027</t>
  </si>
  <si>
    <t>金永福</t>
  </si>
  <si>
    <t>宝山区年吉路100弄4号楼1803室</t>
  </si>
  <si>
    <t>0000024</t>
  </si>
  <si>
    <t>李昕</t>
  </si>
  <si>
    <t>金沙江路2299弄金沙雅苑四期12-204</t>
  </si>
  <si>
    <t>退订单/装修公司包了</t>
  </si>
  <si>
    <t>0003060</t>
  </si>
  <si>
    <t>朱梦蝶</t>
  </si>
  <si>
    <t>闵行区吴中路511弄122号702</t>
  </si>
  <si>
    <t>宝山区上大路1288弄33号102室</t>
  </si>
  <si>
    <t>高菡</t>
  </si>
  <si>
    <t>上钢八村43号601</t>
  </si>
  <si>
    <t>邢先生</t>
  </si>
  <si>
    <t>瑞金南路333弄16号101</t>
  </si>
  <si>
    <t>奉贤区环城南路1128弄15号1002室</t>
  </si>
  <si>
    <t>奉贤区正阳名仕苑</t>
  </si>
  <si>
    <t>李海军</t>
  </si>
  <si>
    <t>嘉定区沪宜公路2857号1503室</t>
  </si>
  <si>
    <t>罗莉羚</t>
  </si>
  <si>
    <t>阮征</t>
  </si>
  <si>
    <t>青浦区业文路189弄157号101室</t>
  </si>
  <si>
    <t>浦东新区博山路11弄27号907室</t>
  </si>
  <si>
    <t>浦东新区商城路108弄3号2103室</t>
  </si>
  <si>
    <t>张志华</t>
  </si>
  <si>
    <t>青浦区业辉路199弄臻水岸苑42号</t>
  </si>
  <si>
    <t>黄浦区瞿溪路501-3-2803</t>
  </si>
  <si>
    <t>卫晓明</t>
  </si>
  <si>
    <t>昌鑫花园258号101室</t>
  </si>
  <si>
    <t>东兰路1111弄27号1101室</t>
  </si>
  <si>
    <t>黄丽萍</t>
  </si>
  <si>
    <t>徐汇区凯宾路19弄12号2801</t>
  </si>
  <si>
    <t>王俊</t>
  </si>
  <si>
    <t>宝山区行知路251弄1号103室</t>
  </si>
  <si>
    <t>曹艳梅</t>
  </si>
  <si>
    <t>虹口区广中路680弄8号1201室</t>
  </si>
  <si>
    <t>李佳晨</t>
  </si>
  <si>
    <t>闵行区古龙路66弄68号1001</t>
  </si>
  <si>
    <t>凤光磊</t>
  </si>
  <si>
    <t>浦东新区东靖路669弄10号303室</t>
  </si>
  <si>
    <t>何欢</t>
  </si>
  <si>
    <t>浦东建中路126弄6栋501室</t>
  </si>
  <si>
    <t>钱枫叶</t>
  </si>
  <si>
    <t>松江区谷阳北路2399弄5号601</t>
  </si>
  <si>
    <t>上海市浦东新区唐镇金融家51号202</t>
  </si>
  <si>
    <t>吴瑶瑶</t>
  </si>
  <si>
    <t>上海普陀区顺义路100弄22号902室</t>
  </si>
  <si>
    <t>吴忧</t>
  </si>
  <si>
    <t>康弘路580弄86号102室</t>
  </si>
  <si>
    <t>耀华路579弄66号301室</t>
  </si>
  <si>
    <t>0000805</t>
  </si>
  <si>
    <t>严志明</t>
  </si>
  <si>
    <t>延吉中路555弄9号802室</t>
  </si>
  <si>
    <t>0002319</t>
  </si>
  <si>
    <t>谢明瑜</t>
  </si>
  <si>
    <t>浦晓路112弄2号201室</t>
  </si>
  <si>
    <t>0001450</t>
  </si>
  <si>
    <t>张航</t>
  </si>
  <si>
    <t>上海市嘉定区乐惠路801弄瑞和云庭壹街3号301</t>
  </si>
  <si>
    <t>0003414</t>
  </si>
  <si>
    <t>朱亭竹</t>
  </si>
  <si>
    <t>洛川中路777弄7号2004室</t>
  </si>
  <si>
    <t>杨道海</t>
  </si>
  <si>
    <t>上海市奉贤区杨林镇联业路859弄105号402室</t>
  </si>
  <si>
    <t>0001731</t>
  </si>
  <si>
    <t>岳婷婷</t>
  </si>
  <si>
    <t>上海市虹口区虹湾路313弄37号2301室</t>
  </si>
  <si>
    <t>冷尧</t>
  </si>
  <si>
    <t>车站北路715弄14号101室</t>
  </si>
  <si>
    <t>0000283</t>
  </si>
  <si>
    <t>陈锦洋</t>
  </si>
  <si>
    <t>嘉定区兹竹路836弄11号1704室</t>
  </si>
  <si>
    <t>上海奉贤西渡扶兰路9弄36号302</t>
  </si>
  <si>
    <t>吴燕萍</t>
  </si>
  <si>
    <t>水岸雅苑17-801</t>
  </si>
  <si>
    <t>0003342</t>
  </si>
  <si>
    <t>詹岚</t>
  </si>
  <si>
    <t>罗阳一村121号101室</t>
  </si>
  <si>
    <t>0002318</t>
  </si>
  <si>
    <t>中潭路100弄158弄802室</t>
  </si>
  <si>
    <t>朱建群</t>
  </si>
  <si>
    <t>周林东路100弄51号902</t>
  </si>
  <si>
    <t>0002320</t>
  </si>
  <si>
    <t>马原飞</t>
  </si>
  <si>
    <t>建国西路91弄3号1502</t>
  </si>
  <si>
    <t>杨玲玲</t>
  </si>
  <si>
    <t>惠南镇城馨苑听和路65弄12号1101室</t>
  </si>
  <si>
    <t>0001274</t>
  </si>
  <si>
    <t>贡献力</t>
  </si>
  <si>
    <t>法华镇路101弄10号402</t>
  </si>
  <si>
    <t>0000109</t>
  </si>
  <si>
    <t>周明</t>
  </si>
  <si>
    <t>浦东新区北新园路460弄32号502室</t>
  </si>
  <si>
    <t>9月中旬测量</t>
  </si>
  <si>
    <t>0000102</t>
  </si>
  <si>
    <t>冯英</t>
  </si>
  <si>
    <t>栖山路1555弄18号102室</t>
  </si>
  <si>
    <t>0001273</t>
  </si>
  <si>
    <t>章雅琴</t>
  </si>
  <si>
    <t>长宁区协和路239弄14号904室</t>
  </si>
  <si>
    <t>0000108</t>
  </si>
  <si>
    <t>周伟丹</t>
  </si>
  <si>
    <t>周东南路777弄8号701室</t>
  </si>
  <si>
    <t>8.18预付大订</t>
  </si>
  <si>
    <t>0001388</t>
  </si>
  <si>
    <t>胡苏阳</t>
  </si>
  <si>
    <t>张杨路1348号2106室</t>
  </si>
  <si>
    <t>0003627</t>
  </si>
  <si>
    <t>朱蓓芳</t>
  </si>
  <si>
    <t>徐汇区柳州路374弄1号502</t>
  </si>
  <si>
    <t>0003200</t>
  </si>
  <si>
    <t>北道路28弄10号1302室</t>
  </si>
  <si>
    <t>0003201</t>
  </si>
  <si>
    <t>符先生</t>
  </si>
  <si>
    <t>虹梅路2159弄3号2101室</t>
  </si>
  <si>
    <t>郑伟</t>
  </si>
  <si>
    <t>青浦区秀峰路225弄2号1101</t>
  </si>
  <si>
    <t>樊啸宇</t>
  </si>
  <si>
    <t>宝山聚丰园路388弄8号301室</t>
  </si>
  <si>
    <t>0001061</t>
  </si>
  <si>
    <t>徐佳靓</t>
  </si>
  <si>
    <t>徐汇景谷中路58弄10号1301室</t>
  </si>
  <si>
    <t>0001518</t>
  </si>
  <si>
    <t>史继承</t>
  </si>
  <si>
    <t>文宇路88弄73号401室</t>
  </si>
  <si>
    <t>0002317</t>
  </si>
  <si>
    <t>靳琼</t>
  </si>
  <si>
    <t>闵行区莲花路平南一村76号302</t>
  </si>
  <si>
    <t>0003231</t>
  </si>
  <si>
    <t>吴承越</t>
  </si>
  <si>
    <t>联民路88弄207号201室</t>
  </si>
  <si>
    <t>8月底</t>
  </si>
  <si>
    <t>0004481</t>
  </si>
  <si>
    <t>胡长沙</t>
  </si>
  <si>
    <t>江汉路99弄24号501室</t>
  </si>
  <si>
    <t>舒晓蕾/谢鑫</t>
  </si>
  <si>
    <t>通河九村112号502室</t>
  </si>
  <si>
    <t>陈幼敏</t>
  </si>
  <si>
    <t>天山五村68号302</t>
  </si>
  <si>
    <t>刘宜蹯</t>
  </si>
  <si>
    <t>安远路899弄65-503室</t>
  </si>
  <si>
    <t>王冉</t>
  </si>
  <si>
    <t>聚丰园路628弄116号301</t>
  </si>
  <si>
    <t>罗云芳</t>
  </si>
  <si>
    <t>昌平路399号203</t>
  </si>
  <si>
    <t>退订单/装小蜜客户，去了其他门店</t>
  </si>
  <si>
    <t>0000069</t>
  </si>
  <si>
    <t>邵子圆</t>
  </si>
  <si>
    <t>浦东凌兆路586龙53号302室</t>
  </si>
  <si>
    <t>浦东新区牌楼东路528弄193号703</t>
  </si>
  <si>
    <t>朱春花</t>
  </si>
  <si>
    <t>浦东新区御云路100弄11号802</t>
  </si>
  <si>
    <t>0001083</t>
  </si>
  <si>
    <t>沈莹</t>
  </si>
  <si>
    <t>共富路共富一村268号502室</t>
  </si>
  <si>
    <t>0001084</t>
  </si>
  <si>
    <t>苏昊</t>
  </si>
  <si>
    <t>15921708797/15821377596</t>
  </si>
  <si>
    <t>云西路219弄2号304</t>
  </si>
  <si>
    <t>0001276</t>
  </si>
  <si>
    <t>林冠斌</t>
  </si>
  <si>
    <t xml:space="preserve"> 闵行区富国路199弄15号601</t>
  </si>
  <si>
    <t>徐映弘</t>
  </si>
  <si>
    <t>19921602102/59492300</t>
  </si>
  <si>
    <t>崇明区竖新镇响哃镇606号</t>
  </si>
  <si>
    <t>刘小姐/陈庆</t>
  </si>
  <si>
    <t>兰谷路2955弄39号401室</t>
  </si>
  <si>
    <t>张志豪</t>
  </si>
  <si>
    <t>杨浦区政通路242弄20号1102室</t>
  </si>
  <si>
    <t>可以测量了</t>
  </si>
  <si>
    <t>高寅</t>
  </si>
  <si>
    <t>杨浦区民活路12弄1号503室</t>
  </si>
  <si>
    <t>杨力怡/曾先生</t>
  </si>
  <si>
    <t>虹口区辉沙路40弄2号604</t>
  </si>
  <si>
    <t>情况有变，待定</t>
  </si>
  <si>
    <t>0000491</t>
  </si>
  <si>
    <t>甘瑶娜</t>
  </si>
  <si>
    <t>锦绣路2885弄26号601室</t>
  </si>
  <si>
    <t>0000490</t>
  </si>
  <si>
    <t>张卫</t>
  </si>
  <si>
    <t>黄浦区淮海中路494弄17号2F</t>
  </si>
  <si>
    <t>0000493</t>
  </si>
  <si>
    <t>李平</t>
  </si>
  <si>
    <t>浦东新区惠南镇沈海路1588弄远洋方和四季B栋22号1902室</t>
  </si>
  <si>
    <t>0000489</t>
  </si>
  <si>
    <t>浦东新区南汇新城镇雪绒花路369弄21号602室</t>
  </si>
  <si>
    <t>蔡敏敏</t>
  </si>
  <si>
    <t>绿地天呈56号501室</t>
  </si>
  <si>
    <t>吴吉</t>
  </si>
  <si>
    <t>运城路620弄6号202室</t>
  </si>
  <si>
    <t>0002321</t>
  </si>
  <si>
    <t>王兰/葛经理</t>
  </si>
  <si>
    <t>18500688106/13636645578</t>
  </si>
  <si>
    <t>浦东新区栖山路1636弄17号楼601</t>
  </si>
  <si>
    <t>0000351</t>
  </si>
  <si>
    <t>高万超</t>
  </si>
  <si>
    <t>杨浦区政和路999弄合生汇湾采哇小区56号301室</t>
  </si>
  <si>
    <t>0001086</t>
  </si>
  <si>
    <t>王晓红</t>
  </si>
  <si>
    <t>杨浦区双阳北路395弄46号番阁丽苑102</t>
  </si>
  <si>
    <t>0003308</t>
  </si>
  <si>
    <t>许乐兰</t>
  </si>
  <si>
    <t>大场镇锦绣路1588弄33号1303</t>
  </si>
  <si>
    <t>0001391</t>
  </si>
  <si>
    <t>张梅芳</t>
  </si>
  <si>
    <t>浦东民区路26弄7号902室</t>
  </si>
  <si>
    <t>黄睿鎏</t>
  </si>
  <si>
    <t>松江区泗祥路518弄8号802室</t>
  </si>
  <si>
    <t>魏波</t>
  </si>
  <si>
    <t>金山区潘风别墅188号</t>
  </si>
  <si>
    <t>李进玥</t>
  </si>
  <si>
    <t>15121185895/13636616311</t>
  </si>
  <si>
    <t>希悦路325弄19号1401室</t>
  </si>
  <si>
    <t>0001520</t>
  </si>
  <si>
    <t>谢潜伟</t>
  </si>
  <si>
    <t>松江区崇南公路499弄499号403室</t>
  </si>
  <si>
    <t>徐泾北</t>
  </si>
  <si>
    <t>青浦乐爱路333弄1号1604</t>
  </si>
  <si>
    <t>2019.8.24</t>
  </si>
  <si>
    <t>0001394</t>
  </si>
  <si>
    <t>贺嘉琦</t>
  </si>
  <si>
    <t>上海市杨思路855弄36号201室</t>
  </si>
  <si>
    <t>闵行区虹莘路1518弄28支弄31号102</t>
  </si>
  <si>
    <t>0003417</t>
  </si>
  <si>
    <t>华文俊</t>
  </si>
  <si>
    <t>闵行区银春路1800弄9号101</t>
  </si>
  <si>
    <t>吴忠芳</t>
  </si>
  <si>
    <t>古北荣华东道48号雅典花苑B座1302室</t>
  </si>
  <si>
    <t>史敏捷</t>
  </si>
  <si>
    <t>上中路483弄55号601室</t>
  </si>
  <si>
    <t>王毓男</t>
  </si>
  <si>
    <t>杨浦区大连路1288弄和平花苑7号3103</t>
  </si>
  <si>
    <t>0000936</t>
  </si>
  <si>
    <t>张鸿晔</t>
  </si>
  <si>
    <t>三江路88弄21号501</t>
  </si>
  <si>
    <t>徐春</t>
  </si>
  <si>
    <t>松江区民益路201号16幢5号</t>
  </si>
  <si>
    <t>0001278</t>
  </si>
  <si>
    <t>沈宇峰</t>
  </si>
  <si>
    <t>沁春路168弄50号602室</t>
  </si>
  <si>
    <t>0000590</t>
  </si>
  <si>
    <t>李嘉贤</t>
  </si>
  <si>
    <t>长宁区福泉路550弄3号301</t>
  </si>
  <si>
    <t>万新笑</t>
  </si>
  <si>
    <t>秀淳路277弄8号101</t>
  </si>
  <si>
    <t>朱学时</t>
  </si>
  <si>
    <t>临沂路81弄47号601室</t>
  </si>
  <si>
    <t>赵萍</t>
  </si>
  <si>
    <t>杨浦区国权东路99弄40号1002室</t>
  </si>
  <si>
    <t>史滢</t>
  </si>
  <si>
    <t>莱顿小城35-402</t>
  </si>
  <si>
    <t>姚宏</t>
  </si>
  <si>
    <t>浦东新区繁荣路266号繁荣华庭27号901室</t>
  </si>
  <si>
    <t>张梦頔</t>
  </si>
  <si>
    <t>静安区新闸路1068弄5号801室</t>
  </si>
  <si>
    <t>李赫龙</t>
  </si>
  <si>
    <t>丹巴路368弄16号201室</t>
  </si>
  <si>
    <t>王志谦</t>
  </si>
  <si>
    <t>虹桥路666弄9号1502室</t>
  </si>
  <si>
    <t>黄春霞</t>
  </si>
  <si>
    <t>外青松公路6666弄295号</t>
  </si>
  <si>
    <t>秀沿西路258弄285号1501室</t>
  </si>
  <si>
    <t>冯倚然</t>
  </si>
  <si>
    <t>御青路328弄115号302室</t>
  </si>
  <si>
    <t>樊紫天</t>
  </si>
  <si>
    <t>森兰名轩2期39号601</t>
  </si>
  <si>
    <t>奚雯丽</t>
  </si>
  <si>
    <t>上海潍坊西路2弄15号7号楼45B</t>
  </si>
  <si>
    <t>欧阳兴灵</t>
  </si>
  <si>
    <t>宝山区申浦路288弄34号202室</t>
  </si>
  <si>
    <t>林阳</t>
  </si>
  <si>
    <t>虹口区横浜路158弄1号501室</t>
  </si>
  <si>
    <t>黄浦区人民路777弄5号2602室</t>
  </si>
  <si>
    <t>前哨路198弄24号501</t>
  </si>
  <si>
    <t>袁建华</t>
  </si>
  <si>
    <t>浦东龙东大道3800弄12号</t>
  </si>
  <si>
    <t>闵行区莲花南路155弄801室</t>
  </si>
  <si>
    <t>董建忠</t>
  </si>
  <si>
    <t>打浦路90弄1号楼103室</t>
  </si>
  <si>
    <t>朱小忠</t>
  </si>
  <si>
    <t>东泰路200弄2号2902</t>
  </si>
  <si>
    <t>闵行区浦驰路188弄76号703室</t>
  </si>
  <si>
    <t>霍山路288-1608室</t>
  </si>
  <si>
    <t>浦东蒲驰璐1336弄18号301室新浦江城</t>
  </si>
  <si>
    <t>王臻</t>
  </si>
  <si>
    <t>松江区佘北家园丽雅苑19号501室</t>
  </si>
  <si>
    <t>王蔚</t>
  </si>
  <si>
    <t>延安西路1328弄8号17A</t>
  </si>
  <si>
    <t>普陀区怒江路651弄45号501室</t>
  </si>
  <si>
    <t>宝山区牡丹江路1298弄62号202</t>
  </si>
  <si>
    <t>俞铮</t>
  </si>
  <si>
    <t>东源丽湾8-19幢302室</t>
  </si>
  <si>
    <t>杜文琦</t>
  </si>
  <si>
    <t>肇家浜路9弄6号1602室</t>
  </si>
  <si>
    <t>0001177</t>
  </si>
  <si>
    <t>刘菲</t>
  </si>
  <si>
    <t>奉贤区尚东朗庭尚东区7号702</t>
  </si>
  <si>
    <t>0001221</t>
  </si>
  <si>
    <t>朱杰</t>
  </si>
  <si>
    <t>华发路368弄23号1404</t>
  </si>
  <si>
    <t>0001220</t>
  </si>
  <si>
    <t>曹梅懿</t>
  </si>
  <si>
    <t>华泾路880弄3号402室</t>
  </si>
  <si>
    <t>王菲</t>
  </si>
  <si>
    <t>樱花路801弄9号1102室</t>
  </si>
  <si>
    <t>0000494</t>
  </si>
  <si>
    <t>王瑾琼</t>
  </si>
  <si>
    <t>黄浦区国货路333弄1号2702</t>
  </si>
  <si>
    <t>0000823</t>
  </si>
  <si>
    <t>金震玮</t>
  </si>
  <si>
    <t>殷高路21弄71号601室</t>
  </si>
  <si>
    <t>0001452</t>
  </si>
  <si>
    <t>张楠</t>
  </si>
  <si>
    <t>康佳路38弄20号101</t>
  </si>
  <si>
    <t>沈晨</t>
  </si>
  <si>
    <t>长岛路1477弄6号101室</t>
  </si>
  <si>
    <t>0004484</t>
  </si>
  <si>
    <t>彭小英</t>
  </si>
  <si>
    <t>华宁路1399弄144号502室</t>
  </si>
  <si>
    <t>仲珍</t>
  </si>
  <si>
    <t>东兰路1111弄135号501室</t>
  </si>
  <si>
    <t>0001454</t>
  </si>
  <si>
    <t>曹阳路609弄2号1805室</t>
  </si>
  <si>
    <t>0001277</t>
  </si>
  <si>
    <t>徐亦飞</t>
  </si>
  <si>
    <t>春都路358弄9号1003室</t>
  </si>
  <si>
    <t>0001453</t>
  </si>
  <si>
    <t>周成</t>
  </si>
  <si>
    <t>长宁区威宁路458弄天山华庭17号403室</t>
  </si>
  <si>
    <t>0003312</t>
  </si>
  <si>
    <t>陈冬妮</t>
  </si>
  <si>
    <t>上海市嘉定区汇源路218弄2号904</t>
  </si>
  <si>
    <t>0003311</t>
  </si>
  <si>
    <t>肖暘</t>
  </si>
  <si>
    <t>淞发路25弄81号302室</t>
  </si>
  <si>
    <t>0000286</t>
  </si>
  <si>
    <t>葛嘉炜</t>
  </si>
  <si>
    <t>徐汇区三江路88弄17号1303室</t>
  </si>
  <si>
    <t>0003628</t>
  </si>
  <si>
    <t>郭文翔</t>
  </si>
  <si>
    <t>普陀区中山北路3751弄10号1006室</t>
  </si>
  <si>
    <t>0001279</t>
  </si>
  <si>
    <t>雷晓峰</t>
  </si>
  <si>
    <t>普陀区梅川路1333弄22号101</t>
  </si>
  <si>
    <t>0001455</t>
  </si>
  <si>
    <t>牛亮亮</t>
  </si>
  <si>
    <t>上海市浦江镇浦秀路499弄47号202室</t>
  </si>
  <si>
    <t>0000591</t>
  </si>
  <si>
    <t>楼辰</t>
  </si>
  <si>
    <t>黄浦区中山南一路1109弄1号1407</t>
  </si>
  <si>
    <t>刘烨</t>
  </si>
  <si>
    <t>青浦区港俞路555弄39号202室</t>
  </si>
  <si>
    <t>董海佳</t>
  </si>
  <si>
    <t>茅台路900弄22号901室</t>
  </si>
  <si>
    <t>0000589</t>
  </si>
  <si>
    <t>张志刚</t>
  </si>
  <si>
    <t>天山路789号2号楼3003室</t>
  </si>
  <si>
    <t>陈巧蝶</t>
  </si>
  <si>
    <t>上海市松江区泗陈公路518弄636号</t>
  </si>
  <si>
    <t>0001280</t>
  </si>
  <si>
    <t>王克</t>
  </si>
  <si>
    <t>罗秀路1701弄14号501室</t>
  </si>
  <si>
    <t>郑岩</t>
  </si>
  <si>
    <t>中原路158弄6号602室</t>
  </si>
  <si>
    <t>尹俊</t>
  </si>
  <si>
    <t>丁香路910弄1号1602室</t>
  </si>
  <si>
    <t>芳芯路363弄1号601室</t>
  </si>
  <si>
    <t>光富林路799弄月星家居</t>
  </si>
  <si>
    <t>王华雪</t>
  </si>
  <si>
    <t>新郁路199弄44号801</t>
  </si>
  <si>
    <t>傅洁</t>
  </si>
  <si>
    <t>抚远路1288弄97号201室</t>
  </si>
  <si>
    <t>郭奕</t>
  </si>
  <si>
    <t>宝山区红林路58弄4号402室</t>
  </si>
  <si>
    <t>孙浩翔</t>
  </si>
  <si>
    <t>杨浦区政悦路500弄49号1102室</t>
  </si>
  <si>
    <t>高磊</t>
  </si>
  <si>
    <t>浦东西营南路67弄18号601室</t>
  </si>
  <si>
    <t>齐俊</t>
  </si>
  <si>
    <t>芳华路580弄5号202室</t>
  </si>
  <si>
    <t>张璇</t>
  </si>
  <si>
    <t>竹柏路758弄11号302室</t>
  </si>
  <si>
    <t>李明祥</t>
  </si>
  <si>
    <t>昌里东路190弄3号1904室</t>
  </si>
  <si>
    <t>邢军</t>
  </si>
  <si>
    <t>飞虹路600弄5号1702室</t>
  </si>
  <si>
    <t>0001282</t>
  </si>
  <si>
    <t>章凯元</t>
  </si>
  <si>
    <t>普陀区中山北路2410号106-7</t>
  </si>
  <si>
    <t>高琪</t>
  </si>
  <si>
    <t>安亭镇和静路1188弄6号102室</t>
  </si>
  <si>
    <t>0000071</t>
  </si>
  <si>
    <t>杨超</t>
  </si>
  <si>
    <t>上海市闵行区富国路199弄26弄201</t>
  </si>
  <si>
    <t>0001064</t>
  </si>
  <si>
    <t>何行捷</t>
  </si>
  <si>
    <t>静安区万航渡路623弄81号403</t>
  </si>
  <si>
    <t>王玲</t>
  </si>
  <si>
    <t>上海金山区朱泾镇朱泾名园9-1501</t>
  </si>
  <si>
    <t>孙女士</t>
  </si>
  <si>
    <t>宝山区临江三村东河沿50弄2号101室</t>
  </si>
  <si>
    <t>0000288</t>
  </si>
  <si>
    <t>瞿宏骏</t>
  </si>
  <si>
    <t>杨浦区周家嘴路2188弄3号1001</t>
  </si>
  <si>
    <t>金山区金山北路高尔夫2123号1502</t>
  </si>
  <si>
    <t>0003264</t>
  </si>
  <si>
    <t>龚辉</t>
  </si>
  <si>
    <t>东长治路665弄10号1002室</t>
  </si>
  <si>
    <t>康陈禄</t>
  </si>
  <si>
    <t>沪闵路6988弄39号</t>
  </si>
  <si>
    <t>吴熙</t>
  </si>
  <si>
    <t>浦东新区竹柏路756弄72号402室</t>
  </si>
  <si>
    <t>姚立陵</t>
  </si>
  <si>
    <t>杨柳青路29弄81号1006室</t>
  </si>
  <si>
    <t>孙文燕</t>
  </si>
  <si>
    <t>报春路488号新梅花苑24号404室</t>
  </si>
  <si>
    <t>闵行区浦江镇浦晓路112弄2号201室</t>
  </si>
  <si>
    <t>许利明</t>
  </si>
  <si>
    <t>黄浦区中华路168弄2号1702</t>
  </si>
  <si>
    <t>康沈路3001弄12号1401室</t>
  </si>
  <si>
    <t>上海市虹口区天潼路508号2205室-1号</t>
  </si>
  <si>
    <t>上海市虹口天潼路508号2205室</t>
  </si>
  <si>
    <t>张江镇益丰新村35号102室</t>
  </si>
  <si>
    <t>贾菁</t>
  </si>
  <si>
    <t>古美西路440弄11号201室</t>
  </si>
  <si>
    <t>顾蓉</t>
  </si>
  <si>
    <t>广粤路150弄3号1001室</t>
  </si>
  <si>
    <t>邓幼君</t>
  </si>
  <si>
    <t>闵行区新龙路1111-39-102室</t>
  </si>
  <si>
    <t>于鹏飞</t>
  </si>
  <si>
    <t>扶兰路18弄8号173单元1202室</t>
  </si>
  <si>
    <t>黄磊</t>
  </si>
  <si>
    <t>朱家角路588弄2号302室</t>
  </si>
  <si>
    <t>0002210</t>
  </si>
  <si>
    <t>周晴</t>
  </si>
  <si>
    <t>浦东新区沙新镇川环南路806弄11号302室</t>
  </si>
  <si>
    <t>0001284</t>
  </si>
  <si>
    <t>施昕</t>
  </si>
  <si>
    <t>虹口区祥德路274弄25号602</t>
  </si>
  <si>
    <t>退订单/客户选了其他品牌</t>
  </si>
  <si>
    <t>0000050</t>
  </si>
  <si>
    <t>全雨佳</t>
  </si>
  <si>
    <t>上海市塔城路718弄64号</t>
  </si>
  <si>
    <t>张玉玲</t>
  </si>
  <si>
    <t>静安区万荣路166弄4号1404室</t>
  </si>
  <si>
    <t>0003314</t>
  </si>
  <si>
    <t>项工</t>
  </si>
  <si>
    <t>宝山区松兰路1169弄36号601室</t>
  </si>
  <si>
    <t>沈俊博</t>
  </si>
  <si>
    <t>菊太路1198弄8号1102室</t>
  </si>
  <si>
    <t>0055906</t>
  </si>
  <si>
    <t>张军</t>
  </si>
  <si>
    <t>奉贤区佳兆业8号229-901</t>
  </si>
  <si>
    <t>张峰</t>
  </si>
  <si>
    <t>奉贤区佳兆业8号229-601</t>
  </si>
  <si>
    <t>0001287</t>
  </si>
  <si>
    <t>蔡钦</t>
  </si>
  <si>
    <t>钦州路300弄3号楼2201室</t>
  </si>
  <si>
    <t>0002326</t>
  </si>
  <si>
    <t>马宁</t>
  </si>
  <si>
    <t>茅台路455弄2号1301室</t>
  </si>
  <si>
    <t>0003206</t>
  </si>
  <si>
    <t>平阳路1515弄6号202室</t>
  </si>
  <si>
    <t>金志雄</t>
  </si>
  <si>
    <t>闵行区金汇南路60弄15号602室</t>
  </si>
  <si>
    <t>高洁</t>
  </si>
  <si>
    <t>古北路555弄2号2103</t>
  </si>
  <si>
    <t>徐振民</t>
  </si>
  <si>
    <t>阳城路101弄53号101室</t>
  </si>
  <si>
    <t>内江路16弄1号楼1802室</t>
  </si>
  <si>
    <t>池磊</t>
  </si>
  <si>
    <t>谢卫路518号78号102室</t>
  </si>
  <si>
    <t>0000001</t>
  </si>
  <si>
    <t>喻瑞琼</t>
  </si>
  <si>
    <t>浦东新区临沂路8弄光鸿苑小区36号302室</t>
  </si>
  <si>
    <t>0001281</t>
  </si>
  <si>
    <t>刘九龙</t>
  </si>
  <si>
    <t>闵行区富国路199号28#701</t>
  </si>
  <si>
    <t>0002001</t>
  </si>
  <si>
    <t>苏勤</t>
  </si>
  <si>
    <t>松江区文翔路3088弄文翔名苑87号101室</t>
  </si>
  <si>
    <t>0001289</t>
  </si>
  <si>
    <t>孙红仙</t>
  </si>
  <si>
    <t>嘉定区临夏路1000弄76号301</t>
  </si>
  <si>
    <t>0001457</t>
  </si>
  <si>
    <t>周瑾</t>
  </si>
  <si>
    <t>宝山区茗盛路50弄79号101室</t>
  </si>
  <si>
    <t>0000944</t>
  </si>
  <si>
    <t>秦莉萍</t>
  </si>
  <si>
    <t>闵行区南江燕路229弄24号403室</t>
  </si>
  <si>
    <t>0001456</t>
  </si>
  <si>
    <t>吉翔</t>
  </si>
  <si>
    <t>松江区新农河路500弄35幢61号</t>
  </si>
  <si>
    <t>0001065</t>
  </si>
  <si>
    <t>孙全平</t>
  </si>
  <si>
    <t>上海青浦区业文路189弄155#301</t>
  </si>
  <si>
    <t>0000595</t>
  </si>
  <si>
    <t>章珺</t>
  </si>
  <si>
    <t>零陵路789弄17号2705室</t>
  </si>
  <si>
    <t>时吴敏</t>
  </si>
  <si>
    <t>赤峰路610号604室</t>
  </si>
  <si>
    <t>0000594</t>
  </si>
  <si>
    <t>许峰</t>
  </si>
  <si>
    <t>徐汇区陕西南路888弄6号21C2室</t>
  </si>
  <si>
    <t>0000002</t>
  </si>
  <si>
    <t>张育文</t>
  </si>
  <si>
    <t>浦东区浦三路741弄六里二村29号501</t>
  </si>
  <si>
    <t>0003415</t>
  </si>
  <si>
    <t>黄建良</t>
  </si>
  <si>
    <t>静安区延平路123弄4号19B</t>
  </si>
  <si>
    <t>0000003</t>
  </si>
  <si>
    <t>周玲</t>
  </si>
  <si>
    <t>浦东区上丰路1483弄金融家小区90号201室</t>
  </si>
  <si>
    <t>0001395</t>
  </si>
  <si>
    <t>诗歌装饰</t>
  </si>
  <si>
    <t>乐爱路333弄8号704</t>
  </si>
  <si>
    <t>0001826</t>
  </si>
  <si>
    <t>郭东清</t>
  </si>
  <si>
    <t>爱特路333弄1号701室</t>
  </si>
  <si>
    <t>8月8号</t>
  </si>
  <si>
    <t>魏俊燕</t>
  </si>
  <si>
    <t>罗店镇抚远路993弄宫园23筑103</t>
  </si>
  <si>
    <t>0003265</t>
  </si>
  <si>
    <t>陈莹</t>
  </si>
  <si>
    <t>政和路999弄22号303</t>
  </si>
  <si>
    <t>崔鹤</t>
  </si>
  <si>
    <t>苏州吴江区江陵东路599弄4-805</t>
  </si>
  <si>
    <t>吴浩</t>
  </si>
  <si>
    <t>上海九亭镇亭北路99弄7号W1008-1009复2008-2009</t>
  </si>
  <si>
    <t>李长军</t>
  </si>
  <si>
    <t>浩泽家园103-101</t>
  </si>
  <si>
    <t>吴兵</t>
  </si>
  <si>
    <t>娄山关路988弄虹桥新城28号802室</t>
  </si>
  <si>
    <t>静安区平型关路801弄6号楼601室</t>
  </si>
  <si>
    <t>上海市普陀区中山北路2584弄2号611室</t>
  </si>
  <si>
    <t>郝成</t>
  </si>
  <si>
    <t>杨浦区长海三村3号301室</t>
  </si>
  <si>
    <t>赵正德</t>
  </si>
  <si>
    <t>虹口区株洲路399弄5号2202室</t>
  </si>
  <si>
    <t>顾再冉</t>
  </si>
  <si>
    <t>常德路1185弄14号302室</t>
  </si>
  <si>
    <t>李菁</t>
  </si>
  <si>
    <t>苏家浜路388弄168弄702室</t>
  </si>
  <si>
    <t>江卫君</t>
  </si>
  <si>
    <t>闵行卢恒路378弄192号701室</t>
  </si>
  <si>
    <t>袁哲勤</t>
  </si>
  <si>
    <t>市光二村101号204室</t>
  </si>
  <si>
    <t>黄霞</t>
  </si>
  <si>
    <t>上海市松江区佘山镇千新公路1200弄111号601室</t>
  </si>
  <si>
    <t>0002000</t>
  </si>
  <si>
    <t>芦晗</t>
  </si>
  <si>
    <t>浦东新区孙耀路111弄53号702室</t>
  </si>
  <si>
    <t>张贞</t>
  </si>
  <si>
    <t>华灵路1210弄65号502室</t>
  </si>
  <si>
    <t>0000004</t>
  </si>
  <si>
    <t>车锦国</t>
  </si>
  <si>
    <t>金高路1617弄23号</t>
  </si>
  <si>
    <t>0003232</t>
  </si>
  <si>
    <t>曹东斌</t>
  </si>
  <si>
    <t>宜达小区209号4楼402</t>
  </si>
  <si>
    <t>张琖</t>
  </si>
  <si>
    <t>威宁路458弄15号1403室</t>
  </si>
  <si>
    <t>0001262</t>
  </si>
  <si>
    <t>刘亚琼</t>
  </si>
  <si>
    <t>浦东区苗圃路112弄洋泾花园城2号602室</t>
  </si>
  <si>
    <t>娄佩琍</t>
  </si>
  <si>
    <t>东方路1800弄11号402室</t>
  </si>
  <si>
    <t>0001157</t>
  </si>
  <si>
    <t>李冰如</t>
  </si>
  <si>
    <t>浦东御桥路1679号30号1203室</t>
  </si>
  <si>
    <t>0001154</t>
  </si>
  <si>
    <t>高而葳</t>
  </si>
  <si>
    <t>雍贤府104号301</t>
  </si>
  <si>
    <t>汤海峰</t>
  </si>
  <si>
    <t>顾仲敏</t>
  </si>
  <si>
    <t>重庆北路198弄2号楼504室</t>
  </si>
  <si>
    <t>0000598</t>
  </si>
  <si>
    <t>唐杰</t>
  </si>
  <si>
    <t>中山北路899弄35号301室</t>
  </si>
  <si>
    <t>蒋立虹</t>
  </si>
  <si>
    <t>闵行区浦锦街道浦寿路765弄1号301</t>
  </si>
  <si>
    <t>马国伟</t>
  </si>
  <si>
    <t>普陀区甘泉路62号501室</t>
  </si>
  <si>
    <t>0000349</t>
  </si>
  <si>
    <t>苏江涛</t>
  </si>
  <si>
    <t>上海市闵行区江协路51弄畔景园西区58号1101室</t>
  </si>
  <si>
    <t>0000348</t>
  </si>
  <si>
    <t>盛美华</t>
  </si>
  <si>
    <t>徐汇区东山路25弄乐山大楼1号2306</t>
  </si>
  <si>
    <t>0001172</t>
  </si>
  <si>
    <t>魏勤</t>
  </si>
  <si>
    <t>杨浦区国年路99弄7号202</t>
  </si>
  <si>
    <t>郑雅谷</t>
  </si>
  <si>
    <t>黄埔区丽园路333弄10号2903室</t>
  </si>
  <si>
    <t>0001233</t>
  </si>
  <si>
    <t>李筱陆</t>
  </si>
  <si>
    <t>徐汇区华泾路599弄5号10单元2301室</t>
  </si>
  <si>
    <t>鹤永路750-6-704</t>
  </si>
  <si>
    <t>张品娟</t>
  </si>
  <si>
    <t>嘉定南翔宝翔路188弄51号101</t>
  </si>
  <si>
    <t>保利西子湾96号102室</t>
  </si>
  <si>
    <t>扬州路588弄3-808室</t>
  </si>
  <si>
    <t>闵行区罗秀路1980弄75号301室</t>
  </si>
  <si>
    <t>控江路128弄32号1301</t>
  </si>
  <si>
    <t>黄艳</t>
  </si>
  <si>
    <t>虹许路555弄199号</t>
  </si>
  <si>
    <t>周而全</t>
  </si>
  <si>
    <t>上海静安区中华新路588弄3号2905室</t>
  </si>
  <si>
    <t>严凤法</t>
  </si>
  <si>
    <t>公安路1323弄20号502室</t>
  </si>
  <si>
    <t>0001981</t>
  </si>
  <si>
    <t>邹董</t>
  </si>
  <si>
    <t>新凯城三期银杏苑城鸿路222号22号9楼</t>
  </si>
  <si>
    <t>孙磊</t>
  </si>
  <si>
    <t>闵行区珠城路99弄13号1003</t>
  </si>
  <si>
    <t>0000596</t>
  </si>
  <si>
    <t>魏丹</t>
  </si>
  <si>
    <t>广灵四路建机新村14号楼403室</t>
  </si>
  <si>
    <t>陈滢滢</t>
  </si>
  <si>
    <t>凤城路51弄6号204室</t>
  </si>
  <si>
    <t>开工</t>
  </si>
  <si>
    <t>0000020</t>
  </si>
  <si>
    <t>汤岩</t>
  </si>
  <si>
    <t>浦东新区巨峰路667弄证大家园小区126号901室</t>
  </si>
  <si>
    <t>孙静秀</t>
  </si>
  <si>
    <t>镇宁路55号东方剑桥2号楼1101室</t>
  </si>
  <si>
    <t>0001088</t>
  </si>
  <si>
    <t>景胜仁</t>
  </si>
  <si>
    <t>虬江路1368弄1号504室</t>
  </si>
  <si>
    <t>贾骏</t>
  </si>
  <si>
    <t>上海市虹口区腾克路76弄7号1601室</t>
  </si>
  <si>
    <t>0000385</t>
  </si>
  <si>
    <t>刘虎承</t>
  </si>
  <si>
    <t>海阳西路500弄4号101室</t>
  </si>
  <si>
    <t>找地坪</t>
  </si>
  <si>
    <t>0001400</t>
  </si>
  <si>
    <t>郭振</t>
  </si>
  <si>
    <t>徐汇区龙吴路1343弄6号1204室</t>
  </si>
  <si>
    <t>0003315</t>
  </si>
  <si>
    <t>上海市宝山区蕴川路1623弄4号904</t>
  </si>
  <si>
    <t>0001066</t>
  </si>
  <si>
    <t>莫凡</t>
  </si>
  <si>
    <t>徐汇区龙吴路2588弄14号802</t>
  </si>
  <si>
    <t>0002322</t>
  </si>
  <si>
    <t>袁莫莉</t>
  </si>
  <si>
    <t>浦东耀平路87弄26号502室</t>
  </si>
  <si>
    <t>张敏</t>
  </si>
  <si>
    <t>上海市松江区九亭文亭路文浦苑9号楼502室</t>
  </si>
  <si>
    <t>易和平</t>
  </si>
  <si>
    <t>金山名苑232号</t>
  </si>
  <si>
    <t>徐泽程</t>
  </si>
  <si>
    <t>青浦区谢卫路158弄康红园107号501室</t>
  </si>
  <si>
    <t>0002330</t>
  </si>
  <si>
    <t>于晖</t>
  </si>
  <si>
    <t>上海市卢湾区曹班路738弄3号502室</t>
  </si>
  <si>
    <t>沈裕风</t>
  </si>
  <si>
    <t>浦东新区锦绣路1650弄4号1701</t>
  </si>
  <si>
    <t>2019.9.3</t>
  </si>
  <si>
    <t>0001171</t>
  </si>
  <si>
    <t>符彦军</t>
  </si>
  <si>
    <t>宝山区华灵路1681弄大华公园世家56号501室</t>
  </si>
  <si>
    <t>退订单/8.18当天客户来店里闹，巩梦娟已退给客户</t>
  </si>
  <si>
    <t>顾李青</t>
  </si>
  <si>
    <t>浦东新区上南二村75号103室</t>
  </si>
  <si>
    <t>葳冠</t>
  </si>
  <si>
    <t>闵行区都会路3199弄3号1101室</t>
  </si>
  <si>
    <t>高女士</t>
  </si>
  <si>
    <t>逸仙路458弄1号1503室</t>
  </si>
  <si>
    <t>2019.8.19</t>
  </si>
  <si>
    <t>0003317</t>
  </si>
  <si>
    <t>姚士婕</t>
  </si>
  <si>
    <t>罗南路368弄5号504室</t>
  </si>
  <si>
    <t>0000112</t>
  </si>
  <si>
    <t>花润</t>
  </si>
  <si>
    <t>浦东新区大道站94弄256号602室</t>
  </si>
  <si>
    <t>0003235</t>
  </si>
  <si>
    <t>杨仲雁</t>
  </si>
  <si>
    <t>闵行区七莘路2855弄21号102室</t>
  </si>
  <si>
    <t>0002331</t>
  </si>
  <si>
    <t>陆海燕</t>
  </si>
  <si>
    <t>真光路798弄13号1102室</t>
  </si>
  <si>
    <t>0000946</t>
  </si>
  <si>
    <t>宋楚堂</t>
  </si>
  <si>
    <t>徐汇区浦北路948弄紫竹园7号601室</t>
  </si>
  <si>
    <t>赵文明</t>
  </si>
  <si>
    <t>中山南路1358-4-701</t>
  </si>
  <si>
    <t>0003204</t>
  </si>
  <si>
    <t>孟祥海</t>
  </si>
  <si>
    <t>杨浦区华新路184弄14号204室</t>
  </si>
  <si>
    <t>丰庄北路151弄46号504室</t>
  </si>
  <si>
    <t>0003432</t>
  </si>
  <si>
    <t>吴慧星</t>
  </si>
  <si>
    <t>香水湾130号</t>
  </si>
  <si>
    <t>0003205</t>
  </si>
  <si>
    <t>郑志毅</t>
  </si>
  <si>
    <t>虹湾路313弄15号2201室</t>
  </si>
  <si>
    <t>候培明</t>
  </si>
  <si>
    <t>中山北路805弄15号201室</t>
  </si>
  <si>
    <t>0001984</t>
  </si>
  <si>
    <t>范亮彬</t>
  </si>
  <si>
    <t>上海市徐汇区龙吴路1323弄华滨家园18号3004</t>
  </si>
  <si>
    <t>匡丽琴</t>
  </si>
  <si>
    <t>嘉定区嘉浦路88弄24号1201</t>
  </si>
  <si>
    <t>孙洪茹</t>
  </si>
  <si>
    <t>白银路399弄1125</t>
  </si>
  <si>
    <t>徐汇区凯滨路19弄12号2801室</t>
  </si>
  <si>
    <t>毛舒拉</t>
  </si>
  <si>
    <t>中山西路189弄4号1403室</t>
  </si>
  <si>
    <t>黄豪岚</t>
  </si>
  <si>
    <t>马秋英</t>
  </si>
  <si>
    <t>金字圩路108弄蟠龙馨苑138号101室</t>
  </si>
  <si>
    <t>浦东新区南汇新城镇竹柏路758弄111号401室</t>
  </si>
  <si>
    <t>刘晓婷</t>
  </si>
  <si>
    <t>梅川北路1101弄8号101室</t>
  </si>
  <si>
    <t>傅利民</t>
  </si>
  <si>
    <t>浦东新区周浦周东路458弄7号402室</t>
  </si>
  <si>
    <t>徐松波</t>
  </si>
  <si>
    <t>02162824713</t>
  </si>
  <si>
    <t>安顺路58弄7号801室</t>
  </si>
  <si>
    <t>戴逸帆</t>
  </si>
  <si>
    <t>虹口区水电路300号8栋1单元202室</t>
  </si>
  <si>
    <t>应雯清</t>
  </si>
  <si>
    <t>杨浦区周权东路99弄30号701室</t>
  </si>
  <si>
    <t>浦东区枣庄路212弄黄山始佳苑小区27号102室</t>
  </si>
  <si>
    <t>谢斌</t>
  </si>
  <si>
    <t>虹口区东宝兴路258弄3红1304室</t>
  </si>
  <si>
    <t>0003629</t>
  </si>
  <si>
    <t>李健兴</t>
  </si>
  <si>
    <t>鹤露路555弄64号304</t>
  </si>
  <si>
    <t>丁晓娜</t>
  </si>
  <si>
    <t>闵行区高兴路666弄19号1002</t>
  </si>
  <si>
    <t>王猛</t>
  </si>
  <si>
    <t>浦东区张杨路1050弄张杨小区2号1606室</t>
  </si>
  <si>
    <t>周云峰</t>
  </si>
  <si>
    <t>浦东区张杨北路4555弄尼德兰二期31号301室</t>
  </si>
  <si>
    <t>0001173</t>
  </si>
  <si>
    <t>王丽丽</t>
  </si>
  <si>
    <t>共和新路2999弄15号1001室</t>
  </si>
  <si>
    <t>0003630</t>
  </si>
  <si>
    <t>孙剑忠</t>
  </si>
  <si>
    <t>嘉定区梅川路1725弄41号302室</t>
  </si>
  <si>
    <t>0001093</t>
  </si>
  <si>
    <t>周明杰</t>
  </si>
  <si>
    <t>杨浦区逸仙路655弄文化花园明珠苑16号601室</t>
  </si>
  <si>
    <t>0001094</t>
  </si>
  <si>
    <t>顾斌</t>
  </si>
  <si>
    <t>水产西路489弄92号601</t>
  </si>
  <si>
    <t>0003428</t>
  </si>
  <si>
    <t>张纯兰</t>
  </si>
  <si>
    <t>中华路868弄32号1203室</t>
  </si>
  <si>
    <t>陈静</t>
  </si>
  <si>
    <t>文智路2078弄86号</t>
  </si>
  <si>
    <t>年底拿房</t>
  </si>
  <si>
    <t>杨婉宏</t>
  </si>
  <si>
    <t>昆山淀山湖关苑B区11号606室</t>
  </si>
  <si>
    <t>0003343</t>
  </si>
  <si>
    <t>郑黎</t>
  </si>
  <si>
    <t>浦东南路2244弄15号301室</t>
  </si>
  <si>
    <t>0003344</t>
  </si>
  <si>
    <t>上海市宝山区月辉路108弄10单元1503室</t>
  </si>
  <si>
    <t>0003345</t>
  </si>
  <si>
    <t>陈含</t>
  </si>
  <si>
    <t>环海北路600弄42号302</t>
  </si>
  <si>
    <t>夏栋</t>
  </si>
  <si>
    <t>控江路1505弄51号1102室</t>
  </si>
  <si>
    <t>0003318</t>
  </si>
  <si>
    <t>段亚娥</t>
  </si>
  <si>
    <t>上海市青浦区赵重公路2588弄56号502</t>
  </si>
  <si>
    <t>0004299</t>
  </si>
  <si>
    <t>姜云弟</t>
  </si>
  <si>
    <t>南林路734弄34号201室</t>
  </si>
  <si>
    <t>0003319</t>
  </si>
  <si>
    <t>林方兴</t>
  </si>
  <si>
    <t>杨浦区嫩江路长海二村4号401室</t>
  </si>
  <si>
    <t>王佳</t>
  </si>
  <si>
    <t>上海市聚丰园路105弄33号301室</t>
  </si>
  <si>
    <t>0002329</t>
  </si>
  <si>
    <t>朱莉敏</t>
  </si>
  <si>
    <t>顾戴路35弄51号601室</t>
  </si>
  <si>
    <t>0000789</t>
  </si>
  <si>
    <t>葛静</t>
  </si>
  <si>
    <t>巨野路60弄9号306室</t>
  </si>
  <si>
    <t>0002323</t>
  </si>
  <si>
    <t>易柯</t>
  </si>
  <si>
    <t>长宁区新华路726号12号楼102室</t>
  </si>
  <si>
    <t>0000599</t>
  </si>
  <si>
    <t>曹颖卿</t>
  </si>
  <si>
    <t>长宁区新华路街道延安西路1236弄7号504</t>
  </si>
  <si>
    <t>曹小燕</t>
  </si>
  <si>
    <t>绿地天呈90-1301</t>
  </si>
  <si>
    <t>0001320</t>
  </si>
  <si>
    <t>刘力</t>
  </si>
  <si>
    <t>苏州湾景苑13幢3单元3505室</t>
  </si>
  <si>
    <t>0000597</t>
  </si>
  <si>
    <t>马骧越</t>
  </si>
  <si>
    <t>闵行区富国路199弄28号1901室</t>
  </si>
  <si>
    <t>0001318</t>
  </si>
  <si>
    <t>漕宝路静安新城8区34号302室</t>
  </si>
  <si>
    <t>0000993</t>
  </si>
  <si>
    <t>松江区联阳路12弄联阳小区4号201室</t>
  </si>
  <si>
    <t>0000352</t>
  </si>
  <si>
    <t>单思远</t>
  </si>
  <si>
    <t>黄浦区陆家浜路305弄阳光小区3号701</t>
  </si>
  <si>
    <t>0001319</t>
  </si>
  <si>
    <t>王文童</t>
  </si>
  <si>
    <t>徐汇区钦州路475号51号</t>
  </si>
  <si>
    <t>华雨</t>
  </si>
  <si>
    <t>控江三村57号20室</t>
  </si>
  <si>
    <t>冉昕</t>
  </si>
  <si>
    <t>13002165917/18117354751</t>
  </si>
  <si>
    <t>浦东新区俱进路90弄7号2003</t>
  </si>
  <si>
    <t>0001095</t>
  </si>
  <si>
    <t>沈金财</t>
  </si>
  <si>
    <t>郁江苑路245号902室</t>
  </si>
  <si>
    <t>0003429</t>
  </si>
  <si>
    <t>松江沪亭北路1080-60-301</t>
  </si>
  <si>
    <t>0003430</t>
  </si>
  <si>
    <t>宋剑柳</t>
  </si>
  <si>
    <t>中华路868-30-2403</t>
  </si>
  <si>
    <t>0003431</t>
  </si>
  <si>
    <t>徐芸</t>
  </si>
  <si>
    <t>沂南路35号508室</t>
  </si>
  <si>
    <t>0001827</t>
  </si>
  <si>
    <t>徐浩</t>
  </si>
  <si>
    <t>青浦区清河湾路1699弄葛洲坝93#501</t>
  </si>
  <si>
    <t>0003436</t>
  </si>
  <si>
    <t>吉芳</t>
  </si>
  <si>
    <t>石川春晓3号2202室</t>
  </si>
  <si>
    <t>梁照恒</t>
  </si>
  <si>
    <t>宝山杨泰路2158弄63号701室</t>
  </si>
  <si>
    <t>0000295</t>
  </si>
  <si>
    <t>蒋蓉</t>
  </si>
  <si>
    <t>唐山路1188弄5号2303</t>
  </si>
  <si>
    <t>0000294</t>
  </si>
  <si>
    <t>万正浩</t>
  </si>
  <si>
    <t>浦东新区莱阳路880弄48号601室</t>
  </si>
  <si>
    <t>0000292</t>
  </si>
  <si>
    <t>王文豹</t>
  </si>
  <si>
    <t>钦州路108弄5幢704</t>
  </si>
  <si>
    <t>0000291</t>
  </si>
  <si>
    <t>张利民</t>
  </si>
  <si>
    <t>普陀区交通西路108弄104室</t>
  </si>
  <si>
    <t>0000289</t>
  </si>
  <si>
    <t>邱斌</t>
  </si>
  <si>
    <t>上海浦东新区秋亭路88弄27号202</t>
  </si>
  <si>
    <t>0000290</t>
  </si>
  <si>
    <t>王浩宇</t>
  </si>
  <si>
    <t>静安区海防路58弄14号703</t>
  </si>
  <si>
    <t>0000293</t>
  </si>
  <si>
    <t>查源晨</t>
  </si>
  <si>
    <t>胶川路1155弄11号702</t>
  </si>
  <si>
    <t>0001175</t>
  </si>
  <si>
    <t>孙敬祎</t>
  </si>
  <si>
    <t>宝山区华灵路1788弄枫庭丽苑10号201室</t>
  </si>
  <si>
    <t>张文宇</t>
  </si>
  <si>
    <t>殷高路21弄42号503</t>
  </si>
  <si>
    <t>0001943</t>
  </si>
  <si>
    <t>徐振山</t>
  </si>
  <si>
    <t>嘉定区德富路900弄9号2501室</t>
  </si>
  <si>
    <t>左虹</t>
  </si>
  <si>
    <t>松江区江川路25弄82号302</t>
  </si>
  <si>
    <t>朱婉晖</t>
  </si>
  <si>
    <t>杨浦区中原路10弄7号502室</t>
  </si>
  <si>
    <t>张达汉</t>
  </si>
  <si>
    <t>航定路568弄5号1903室</t>
  </si>
  <si>
    <t>高明</t>
  </si>
  <si>
    <t>浦东鹤永路600弄14号501</t>
  </si>
  <si>
    <t>祁东炜</t>
  </si>
  <si>
    <t>浦东新区德爱路450弄622室</t>
  </si>
  <si>
    <t>0003266</t>
  </si>
  <si>
    <t>须惠华</t>
  </si>
  <si>
    <t>民宴路537弄5号401室</t>
  </si>
  <si>
    <t>0001396</t>
  </si>
  <si>
    <t>耀华路331弄3-302</t>
  </si>
  <si>
    <t>0000297</t>
  </si>
  <si>
    <t>蔡之月</t>
  </si>
  <si>
    <t>宛平南路255弄34号501</t>
  </si>
  <si>
    <t>退订单/客户家背景墙做不了</t>
  </si>
  <si>
    <t>0002313</t>
  </si>
  <si>
    <t>王莉芳</t>
  </si>
  <si>
    <t>桂江路77弄24号301室</t>
  </si>
  <si>
    <t>沈国强</t>
  </si>
  <si>
    <t>成山路1488弄22号801</t>
  </si>
  <si>
    <t>朱小雨</t>
  </si>
  <si>
    <t>桂林路567弄44号202室</t>
  </si>
  <si>
    <t>0001174</t>
  </si>
  <si>
    <t>吴晓明</t>
  </si>
  <si>
    <t>延长路152弄14小区504室</t>
  </si>
  <si>
    <t>郑慧</t>
  </si>
  <si>
    <t>黄浦区重抚南路205</t>
  </si>
  <si>
    <t>董晓旭</t>
  </si>
  <si>
    <t>金耀南路300弄28号901室</t>
  </si>
  <si>
    <t>黄伟浩</t>
  </si>
  <si>
    <t>闵行区山花路108弄30红302室</t>
  </si>
  <si>
    <t>黄晓斐</t>
  </si>
  <si>
    <t>闵行区莲花南路1288弄88号1001室</t>
  </si>
  <si>
    <t>杜鹏旭</t>
  </si>
  <si>
    <t>康桥路1558弄17号502室</t>
  </si>
  <si>
    <t>顾小姐</t>
  </si>
  <si>
    <t>宝山海江新村13号102室</t>
  </si>
  <si>
    <t>杨永全</t>
  </si>
  <si>
    <t>嘉定区云谷路1233弄5号803室</t>
  </si>
  <si>
    <t>张新</t>
  </si>
  <si>
    <t>徐汇区康健路363弄3号203室</t>
  </si>
  <si>
    <t>申纪军</t>
  </si>
  <si>
    <t>临平路333弄2号楼2705室</t>
  </si>
  <si>
    <t>刘頔</t>
  </si>
  <si>
    <t>嘉定区于塘南路82弄可业海和二期9号楼1302</t>
  </si>
  <si>
    <t>0001113</t>
  </si>
  <si>
    <t>林红君</t>
  </si>
  <si>
    <t>浦东新区御桥路1978弄地杰一期8号601室</t>
  </si>
  <si>
    <t>000116</t>
  </si>
  <si>
    <t>浦东新区上丰路1483弄107号202室</t>
  </si>
  <si>
    <t>0001245</t>
  </si>
  <si>
    <t>范小姐</t>
  </si>
  <si>
    <t>长宁路1818弄17号1101室</t>
  </si>
  <si>
    <t>0001301</t>
  </si>
  <si>
    <t>李雳</t>
  </si>
  <si>
    <t>浦东新区杨高南路4501弄合苑小区29号601室</t>
  </si>
  <si>
    <t>0001302</t>
  </si>
  <si>
    <t>普陀区凯旋北路1555弄大华清水苑3号1802</t>
  </si>
  <si>
    <t>许旭</t>
  </si>
  <si>
    <t>徐汇区大木路485弄航建小区4号402室</t>
  </si>
  <si>
    <t>丁香路910弄3号102室</t>
  </si>
  <si>
    <t>0001397</t>
  </si>
  <si>
    <t>陈琼宇</t>
  </si>
  <si>
    <t>徐汇区贡嘎山路525弄7号1404室</t>
  </si>
  <si>
    <t>延长路152弄14号504室</t>
  </si>
  <si>
    <t>燕攀登</t>
  </si>
  <si>
    <t>青浦区崧漪一路55弄崧泽华城佳福雅苑小区17号楼1001室</t>
  </si>
  <si>
    <t>003313</t>
  </si>
  <si>
    <t>廖爱萍</t>
  </si>
  <si>
    <t>新城郡尚海香悦花园5号1605室</t>
  </si>
  <si>
    <t>高嵩</t>
  </si>
  <si>
    <t>浦东新区康弘路508弄202室</t>
  </si>
  <si>
    <t>周碧华</t>
  </si>
  <si>
    <t>梅川路1333弄47号902室</t>
  </si>
  <si>
    <t>杨振宇</t>
  </si>
  <si>
    <t>浦东新区居耀路227弄21号401室</t>
  </si>
  <si>
    <t>0000298</t>
  </si>
  <si>
    <t>黄麒麟</t>
  </si>
  <si>
    <t>长宁区东诸安浜路103号2号楼5A室</t>
  </si>
  <si>
    <t>0000358</t>
  </si>
  <si>
    <t>金卫东</t>
  </si>
  <si>
    <t>宝山区苏家浜路134号</t>
  </si>
  <si>
    <t>0000346</t>
  </si>
  <si>
    <t>程万里</t>
  </si>
  <si>
    <t>长宁区平塘路456弄12号501室</t>
  </si>
  <si>
    <t>0002042</t>
  </si>
  <si>
    <t>张青</t>
  </si>
  <si>
    <t>浦申路633弄49-302</t>
  </si>
  <si>
    <t>0002308</t>
  </si>
  <si>
    <t>沈春芳</t>
  </si>
  <si>
    <t>沪亭路888弄36号1402室</t>
  </si>
  <si>
    <t>万方园</t>
  </si>
  <si>
    <t>浦东新区新德西路508弄11号602室</t>
  </si>
  <si>
    <t>汪哲名</t>
  </si>
  <si>
    <t>闵行区名都路58弄9号401室</t>
  </si>
  <si>
    <t>李凌波</t>
  </si>
  <si>
    <t>伴亭路象屿虹桥悦府855弄24号404</t>
  </si>
  <si>
    <t>0001067</t>
  </si>
  <si>
    <t>刘峰</t>
  </si>
  <si>
    <t>汇成二村32号501室</t>
  </si>
  <si>
    <t>0001275</t>
  </si>
  <si>
    <t>董慧颖</t>
  </si>
  <si>
    <t>奉贤区扶兰路18弄香榭小区1号704室</t>
  </si>
  <si>
    <t>闵行区景谷中路58弄凤凰城小区10号602室</t>
  </si>
  <si>
    <t>虞德立</t>
  </si>
  <si>
    <t>虹口区童心路1045弄15号101室</t>
  </si>
  <si>
    <t>0001428</t>
  </si>
  <si>
    <t>谷美佳</t>
  </si>
  <si>
    <t>闵行区繁兴路1000弄27号楼1003室</t>
  </si>
  <si>
    <t>徐晓杰</t>
  </si>
  <si>
    <t>年吉路100弄24号1401室</t>
  </si>
  <si>
    <t>许敏</t>
  </si>
  <si>
    <t>杨浦区兰州路1100弄3号608室</t>
  </si>
  <si>
    <t>退订单/坏了的老门修好了</t>
  </si>
  <si>
    <t>0001521</t>
  </si>
  <si>
    <t>宋美凤</t>
  </si>
  <si>
    <t>松江区文诚路888弄5号109室</t>
  </si>
  <si>
    <t>0003320</t>
  </si>
  <si>
    <t>顾征虹</t>
  </si>
  <si>
    <t>桃浦路300弄39号501室</t>
  </si>
  <si>
    <t>李春梅</t>
  </si>
  <si>
    <t>黄杨路18号503室</t>
  </si>
  <si>
    <t>陈文超</t>
  </si>
  <si>
    <t>嘉塘公路169弄94号301室</t>
  </si>
  <si>
    <t>0001401</t>
  </si>
  <si>
    <t>0000355</t>
  </si>
  <si>
    <t>陈璇宇</t>
  </si>
  <si>
    <t>沪闵路9669弄13号202室</t>
  </si>
  <si>
    <t>韩军</t>
  </si>
  <si>
    <t>浦东新区博山东路811弄50号502室</t>
  </si>
  <si>
    <t>丁丁</t>
  </si>
  <si>
    <t>杨浦区长向二村143号305室</t>
  </si>
  <si>
    <t>0000009</t>
  </si>
  <si>
    <t>浦东新区峨山路504室</t>
  </si>
  <si>
    <t>路敏</t>
  </si>
  <si>
    <t>杨浦区国顺东路900弄30号801室</t>
  </si>
  <si>
    <t>于亮亮</t>
  </si>
  <si>
    <t>涵青路100弄116号602室</t>
  </si>
  <si>
    <t>吕蔚</t>
  </si>
  <si>
    <t>金沙江路2823弄33号203室</t>
  </si>
  <si>
    <t>宝山区保德路1316弄4号301室</t>
  </si>
  <si>
    <t>宜山路2328弄38号401室</t>
  </si>
  <si>
    <t>李皎如</t>
  </si>
  <si>
    <t>松江区刘香山路1088弄11号701室</t>
  </si>
  <si>
    <t>0001298</t>
  </si>
  <si>
    <t>刘睿</t>
  </si>
  <si>
    <t>杨浦区政立路80弄6号502室</t>
  </si>
  <si>
    <t>0003435</t>
  </si>
  <si>
    <t>徐汇区百花街345-107-602</t>
  </si>
  <si>
    <t>胡国华</t>
  </si>
  <si>
    <t>万航渡路661弄3号楼1608室</t>
  </si>
  <si>
    <t>0001001</t>
  </si>
  <si>
    <t>张文琦</t>
  </si>
  <si>
    <t>浦东新区梅花路768弄19号301室</t>
  </si>
  <si>
    <t>0000498</t>
  </si>
  <si>
    <t>常婧婧</t>
  </si>
  <si>
    <t>碧云路777弄15号801</t>
  </si>
  <si>
    <t>张明芳</t>
  </si>
  <si>
    <t>惠南迎燕路215弄6号402</t>
  </si>
  <si>
    <t>0000496</t>
  </si>
  <si>
    <t>谢芳</t>
  </si>
  <si>
    <t>浦东芳华路411弄14号602室</t>
  </si>
  <si>
    <t>史美岗</t>
  </si>
  <si>
    <t>金晓天</t>
  </si>
  <si>
    <t>闵行区平吉路新时代小区99号202室</t>
  </si>
  <si>
    <t>王箭</t>
  </si>
  <si>
    <t>浦东新区鹤韵路549弄25-1402室</t>
  </si>
  <si>
    <t>杨玲</t>
  </si>
  <si>
    <t>杨高南路4501弄56号302室</t>
  </si>
  <si>
    <t>0000331</t>
  </si>
  <si>
    <t>吴芸</t>
  </si>
  <si>
    <t>松江区九亭大街403弄502室</t>
  </si>
  <si>
    <t>0001408</t>
  </si>
  <si>
    <t>宋富城</t>
  </si>
  <si>
    <t>连海涛</t>
  </si>
  <si>
    <t>闵行区虹梅路1111弄7号502室</t>
  </si>
  <si>
    <t>0001006</t>
  </si>
  <si>
    <t>吴文琴</t>
  </si>
  <si>
    <t>江苏省太仓市景湖花苑1区78号</t>
  </si>
  <si>
    <t>退单8.21</t>
  </si>
  <si>
    <t>0000884</t>
  </si>
  <si>
    <t>蔡瑞林</t>
  </si>
  <si>
    <t>青浦区新青浦花苑一区4号109</t>
  </si>
  <si>
    <t>雷宇</t>
  </si>
  <si>
    <t>松江区思竖路465弄明丰公寓69号501室</t>
  </si>
  <si>
    <t>沈国梅</t>
  </si>
  <si>
    <t>长宁区茅径路597弄水霞小区10号603室</t>
  </si>
  <si>
    <t>宋捷</t>
  </si>
  <si>
    <t>浦东新区泥城镇云帆佳苑22号602室</t>
  </si>
  <si>
    <t>李小君</t>
  </si>
  <si>
    <t>江场西路1366弄26号803</t>
  </si>
  <si>
    <t>杨昭华</t>
  </si>
  <si>
    <t>浦东新区德淳路99弄31号501室</t>
  </si>
  <si>
    <t>0002332</t>
  </si>
  <si>
    <t>徐骥彬</t>
  </si>
  <si>
    <t>上海闵行区浦江镇南汇路969弄62号501室</t>
  </si>
  <si>
    <t>潘霞芬</t>
  </si>
  <si>
    <t>浦东区北艾路1765弄大华城8号201室</t>
  </si>
  <si>
    <t>0001990</t>
  </si>
  <si>
    <t>金頲</t>
  </si>
  <si>
    <t>宝山区镇泰路111弄90号</t>
  </si>
  <si>
    <t>虹口区水电路818弄29号303室</t>
  </si>
  <si>
    <t>0001003</t>
  </si>
  <si>
    <t>梁莉/陈玉平</t>
  </si>
  <si>
    <t>松江区新农河路500弄254号102室</t>
  </si>
  <si>
    <t>0000332</t>
  </si>
  <si>
    <t>张珍</t>
  </si>
  <si>
    <t>闵行区金汇路588弄金汇华光城7号701</t>
  </si>
  <si>
    <t>0001988</t>
  </si>
  <si>
    <t>管昳昳</t>
  </si>
  <si>
    <t>18800237802/15851235983</t>
  </si>
  <si>
    <t>松江区泗泾镇鼓楼公路同润山河城348号801室</t>
  </si>
  <si>
    <t>崔德阳</t>
  </si>
  <si>
    <t>希望路260弄海上公元1号楼1103室</t>
  </si>
  <si>
    <t>0003427</t>
  </si>
  <si>
    <t>盛炯</t>
  </si>
  <si>
    <t>东新路99弄25号楼2902</t>
  </si>
  <si>
    <t>0003321</t>
  </si>
  <si>
    <t>张小月</t>
  </si>
  <si>
    <t>嘉定柳注路55弄1号</t>
  </si>
  <si>
    <t>0003444</t>
  </si>
  <si>
    <t>顾丹</t>
  </si>
  <si>
    <t>杨浦区内江路16弄13号401室</t>
  </si>
  <si>
    <t>冯蕾新</t>
  </si>
  <si>
    <t>延安西路649弄80号403室</t>
  </si>
  <si>
    <t>陈昱江</t>
  </si>
  <si>
    <t>崧泉路750弄6号1704室</t>
  </si>
  <si>
    <t>程程</t>
  </si>
  <si>
    <t>崧润路1176弄秀景苑1期13号楼701</t>
  </si>
  <si>
    <t>刘颜明</t>
  </si>
  <si>
    <t>崧建路339弄45号1102</t>
  </si>
  <si>
    <t>松江区上坤美墅16号</t>
  </si>
  <si>
    <t>锦绣路十八街区17号601室</t>
  </si>
  <si>
    <t>18930167209/13585532355</t>
  </si>
  <si>
    <t>王少华</t>
  </si>
  <si>
    <t>铃兰路508弄127号301室</t>
  </si>
  <si>
    <t>陈颖/朱颖</t>
  </si>
  <si>
    <t>水清路1028弄35号</t>
  </si>
  <si>
    <t>叶文德</t>
  </si>
  <si>
    <t>13611864804/13916090452</t>
  </si>
  <si>
    <t>崇明区新崇西路25号103室</t>
  </si>
  <si>
    <t>T0000026</t>
  </si>
  <si>
    <t>航定路568号长泰公馆21号204室</t>
  </si>
  <si>
    <t>可能要退</t>
  </si>
  <si>
    <t>巩红晓</t>
  </si>
  <si>
    <t>昆山周庄全旺路88号100号202</t>
  </si>
  <si>
    <t>停工了</t>
  </si>
  <si>
    <t>明年开工</t>
  </si>
  <si>
    <t>管晔</t>
  </si>
  <si>
    <t>天山路88弄9号1102室</t>
  </si>
  <si>
    <t>黄亮</t>
  </si>
  <si>
    <t>浦东张江香楠路65弄19号502室</t>
  </si>
  <si>
    <t>费永华</t>
  </si>
  <si>
    <t>浦东御山路347弄3号402室</t>
  </si>
  <si>
    <t>0001300</t>
  </si>
  <si>
    <t>李晓慧</t>
  </si>
  <si>
    <t>杨浦区政和路538弄中建大公馆226号502室</t>
  </si>
  <si>
    <t>0001297</t>
  </si>
  <si>
    <t>陈黎菁</t>
  </si>
  <si>
    <t>杨浦区鞍山五村52号301室</t>
  </si>
  <si>
    <t>沈凌云</t>
  </si>
  <si>
    <t>杨浦区佳木斯路315弄45号101</t>
  </si>
  <si>
    <t>0001306</t>
  </si>
  <si>
    <t>杨建云</t>
  </si>
  <si>
    <t>浦东区源深路600弄2支弄1号201室</t>
  </si>
  <si>
    <t>0000010</t>
  </si>
  <si>
    <t>钟一星</t>
  </si>
  <si>
    <t>浦东区海霞路493弄弄盛泰家园27号602室</t>
  </si>
  <si>
    <t>贾彩叶</t>
  </si>
  <si>
    <t>宝山区共康六村41号602室</t>
  </si>
  <si>
    <t>洪勇吉</t>
  </si>
  <si>
    <t>浦东新区博兴路616弄博二小区24号604室</t>
  </si>
  <si>
    <t>0001112</t>
  </si>
  <si>
    <t>徐桦</t>
  </si>
  <si>
    <t>普陀区长寿路28弄秋水云庐21号401室</t>
  </si>
  <si>
    <t>0001117</t>
  </si>
  <si>
    <t>谢霞</t>
  </si>
  <si>
    <t>浦东新区金桥路899弄34号502室</t>
  </si>
  <si>
    <t>张清</t>
  </si>
  <si>
    <t>闵行区古美路377弄18号100室</t>
  </si>
  <si>
    <t>0000788</t>
  </si>
  <si>
    <t>胡蓓</t>
  </si>
  <si>
    <t>青浦区乐爱路268弄18号1104室</t>
  </si>
  <si>
    <t>0001828</t>
  </si>
  <si>
    <t>池翠萍</t>
  </si>
  <si>
    <t>青浦区华青南路99弄25号202室</t>
  </si>
  <si>
    <t>2019.10.14</t>
  </si>
  <si>
    <t>汤英杰</t>
  </si>
  <si>
    <t>盘安路1000弄196号</t>
  </si>
  <si>
    <t>0000013</t>
  </si>
  <si>
    <t>浦东区灵山路1415弄69号401室</t>
  </si>
  <si>
    <t>史惠莉</t>
  </si>
  <si>
    <t>临汾路99弄2号701</t>
  </si>
  <si>
    <t>0003322</t>
  </si>
  <si>
    <t>吕思思</t>
  </si>
  <si>
    <t>上海市宝山区金地云墅54号</t>
  </si>
  <si>
    <t>0003338</t>
  </si>
  <si>
    <t>崔婷</t>
  </si>
  <si>
    <t>松江区陆家嘴路168弄中海悦庭135号302室</t>
  </si>
  <si>
    <t>罗先生</t>
  </si>
  <si>
    <t>凯德新视界2期2号1404室</t>
  </si>
  <si>
    <t>刘薇</t>
  </si>
  <si>
    <t>业辉路600弄175号</t>
  </si>
  <si>
    <t>东汉阳路309弄6号301室</t>
  </si>
  <si>
    <t>恒业路365弄16号101室</t>
  </si>
  <si>
    <t>0001410</t>
  </si>
  <si>
    <t>宋巧燕</t>
  </si>
  <si>
    <t>洞塔路728弄10幢250-101</t>
  </si>
  <si>
    <t>0001404</t>
  </si>
  <si>
    <t>郑云浩</t>
  </si>
  <si>
    <t>陕西北路1155弄6号1008室</t>
  </si>
  <si>
    <t>张荣樑</t>
  </si>
  <si>
    <t>上海市长宁区晋愚路293弄120号505</t>
  </si>
  <si>
    <t>王双本</t>
  </si>
  <si>
    <t>15692113897/15618912350</t>
  </si>
  <si>
    <t>嘉松中路6788弄龙湖滟澜山一期183栋301室</t>
  </si>
  <si>
    <t>王慧霞</t>
  </si>
  <si>
    <t>徐汇区汇成苑一村42号603室</t>
  </si>
  <si>
    <t>0001304</t>
  </si>
  <si>
    <t>杨万山</t>
  </si>
  <si>
    <t>浦东新区中科路2500弄70号101室</t>
  </si>
  <si>
    <t>许文俊</t>
  </si>
  <si>
    <t>宝山区新二路淞南十村221号501室</t>
  </si>
  <si>
    <t>0000006</t>
  </si>
  <si>
    <t>林晓莉</t>
  </si>
  <si>
    <t>退订单/觉得价格贵，选了其他品牌</t>
  </si>
  <si>
    <t>曹伟</t>
  </si>
  <si>
    <t>浦东区羽山路100弄盛世年华小区9号1401室</t>
  </si>
  <si>
    <t>0003325</t>
  </si>
  <si>
    <t>迟前进</t>
  </si>
  <si>
    <t>长寿路西康路1518弄16号2002</t>
  </si>
  <si>
    <t>任彬</t>
  </si>
  <si>
    <t>闵行区虹莘路1701弄13号301</t>
  </si>
  <si>
    <t>闵行区景谷中路58弄凤凰城小区10号402室</t>
  </si>
  <si>
    <t>陈财宝</t>
  </si>
  <si>
    <t>13651910258/18601606782</t>
  </si>
  <si>
    <t>杜鹃路58弄1号601室</t>
  </si>
  <si>
    <t>蔡雅红</t>
  </si>
  <si>
    <t>龙华西路285号9号601室</t>
  </si>
  <si>
    <t>0003348</t>
  </si>
  <si>
    <t>陆嘉诚</t>
  </si>
  <si>
    <t>闵行区景谷中路58弄凤凰城小区10号1201室</t>
  </si>
  <si>
    <t>0003220</t>
  </si>
  <si>
    <t>冯丽霞</t>
  </si>
  <si>
    <t>华志路859弄9号</t>
  </si>
  <si>
    <t>0001405</t>
  </si>
  <si>
    <t>朱慧敏</t>
  </si>
  <si>
    <t>南江燕路69弄57号603室</t>
  </si>
  <si>
    <t>于绪均</t>
  </si>
  <si>
    <t>政悦路500弄36号501室</t>
  </si>
  <si>
    <t>0003324</t>
  </si>
  <si>
    <t>陈芳</t>
  </si>
  <si>
    <t>宝山区春雷路354弄21号502室</t>
  </si>
  <si>
    <t>上海浦东新区浦东大道2554弄2号1501</t>
  </si>
  <si>
    <t>陈黎</t>
  </si>
  <si>
    <t>金山区金瀚园35号1502</t>
  </si>
  <si>
    <t>吴志红</t>
  </si>
  <si>
    <t>古美西路399弄21号103室</t>
  </si>
  <si>
    <t>何建国</t>
  </si>
  <si>
    <t>奉贤区正阳领郡237号</t>
  </si>
  <si>
    <t>刘雅莉</t>
  </si>
  <si>
    <t>浦东新区惠南镇海苑北苑1单元502</t>
  </si>
  <si>
    <t>王荣宝</t>
  </si>
  <si>
    <t>松江区鼓楼公路659弄19-1-301室</t>
  </si>
  <si>
    <t>郑如杰</t>
  </si>
  <si>
    <t>浦东新区龙东大道3500弄5号</t>
  </si>
  <si>
    <t>泸定路568弄12号101室</t>
  </si>
  <si>
    <t>藿香路238弄39号601</t>
  </si>
  <si>
    <t>0003440</t>
  </si>
  <si>
    <t>闵行区富国路199弄29号204室</t>
  </si>
  <si>
    <t>0003439</t>
  </si>
  <si>
    <t>戚敏华</t>
  </si>
  <si>
    <t>浦星公路568弄17号301室</t>
  </si>
  <si>
    <t>王丽</t>
  </si>
  <si>
    <r>
      <rPr>
        <sz val="9"/>
        <rFont val="宋体"/>
        <charset val="134"/>
        <scheme val="minor"/>
      </rPr>
      <t>黄浦区中华路8</t>
    </r>
    <r>
      <rPr>
        <sz val="9"/>
        <rFont val="宋体"/>
        <charset val="134"/>
        <scheme val="minor"/>
      </rPr>
      <t>8弄遥远花苑小区1号1901室</t>
    </r>
  </si>
  <si>
    <t>0000335</t>
  </si>
  <si>
    <t>静安新城8区34号302室</t>
  </si>
  <si>
    <t>归次</t>
  </si>
  <si>
    <r>
      <rPr>
        <sz val="9"/>
        <rFont val="宋体"/>
        <charset val="134"/>
        <scheme val="minor"/>
      </rPr>
      <t>宁川路1</t>
    </r>
    <r>
      <rPr>
        <sz val="9"/>
        <rFont val="宋体"/>
        <charset val="134"/>
        <scheme val="minor"/>
      </rPr>
      <t>39弄中兴华庭9号楼1101室</t>
    </r>
  </si>
  <si>
    <t>0001141</t>
  </si>
  <si>
    <t>董彦如</t>
  </si>
  <si>
    <r>
      <rPr>
        <sz val="9"/>
        <rFont val="宋体"/>
        <charset val="134"/>
        <scheme val="minor"/>
      </rPr>
      <t>崇明区揽海路东汉花园1</t>
    </r>
    <r>
      <rPr>
        <sz val="9"/>
        <rFont val="宋体"/>
        <charset val="134"/>
        <scheme val="minor"/>
      </rPr>
      <t>380室</t>
    </r>
  </si>
  <si>
    <t>0000334</t>
  </si>
  <si>
    <t>包伊雯</t>
  </si>
  <si>
    <r>
      <rPr>
        <sz val="9"/>
        <rFont val="宋体"/>
        <charset val="134"/>
        <scheme val="minor"/>
      </rPr>
      <t>浦东新区春晖路6</t>
    </r>
    <r>
      <rPr>
        <sz val="9"/>
        <rFont val="宋体"/>
        <charset val="134"/>
        <scheme val="minor"/>
      </rPr>
      <t>28弄风信景苑小区20号102室</t>
    </r>
  </si>
  <si>
    <t>033216</t>
  </si>
  <si>
    <t>刘嘉</t>
  </si>
  <si>
    <r>
      <rPr>
        <sz val="9"/>
        <rFont val="宋体"/>
        <charset val="134"/>
        <scheme val="minor"/>
      </rPr>
      <t>东高友路7</t>
    </r>
    <r>
      <rPr>
        <sz val="9"/>
        <rFont val="宋体"/>
        <charset val="134"/>
        <scheme val="minor"/>
      </rPr>
      <t>66弄15号203室</t>
    </r>
  </si>
  <si>
    <t>黄强</t>
  </si>
  <si>
    <r>
      <rPr>
        <sz val="9"/>
        <rFont val="宋体"/>
        <charset val="134"/>
        <scheme val="minor"/>
      </rPr>
      <t>上海市宝山区采江路9弄</t>
    </r>
    <r>
      <rPr>
        <sz val="9"/>
        <rFont val="宋体"/>
        <charset val="134"/>
        <scheme val="minor"/>
      </rPr>
      <t>18号2001室</t>
    </r>
  </si>
  <si>
    <t>尤健伟</t>
  </si>
  <si>
    <t>松江区文翔路3088弄117号102</t>
  </si>
  <si>
    <t>陈丽云</t>
  </si>
  <si>
    <t>浦驰路1335弄105室902</t>
  </si>
  <si>
    <t>0003438</t>
  </si>
  <si>
    <t>杨晓权</t>
  </si>
  <si>
    <t>浦东新区瑞福路196弄10号903室</t>
  </si>
  <si>
    <t>0001399</t>
  </si>
  <si>
    <t>董雯</t>
  </si>
  <si>
    <t>新华路64弄12号603室</t>
  </si>
  <si>
    <t>0003991</t>
  </si>
  <si>
    <t>陈井华</t>
  </si>
  <si>
    <t>上海市崧建路339号兆佳业56号101室</t>
  </si>
  <si>
    <t>0003992</t>
  </si>
  <si>
    <t>潘颖</t>
  </si>
  <si>
    <t>繁兴路300弄97号302闵行九韵城</t>
  </si>
  <si>
    <t>翁晓东</t>
  </si>
  <si>
    <t>闵行区新源路3122弄1号701室</t>
  </si>
  <si>
    <t>陈辉</t>
  </si>
  <si>
    <t>青浦祥凝浜路383弄角里祥和坊5栋306室、106室</t>
  </si>
  <si>
    <t>0003327</t>
  </si>
  <si>
    <t>陈娴</t>
  </si>
  <si>
    <t>大城郡小区</t>
  </si>
  <si>
    <t>上海市徐汇区龙华路2518弄32号701室</t>
  </si>
  <si>
    <t>石健</t>
  </si>
  <si>
    <t>虹口区东大名路白玉兰广场58F-501室</t>
  </si>
  <si>
    <t>北艾路1077弄66号602室</t>
  </si>
  <si>
    <t>傅瑞清</t>
  </si>
  <si>
    <t>樱花路1515弄2号301室</t>
  </si>
  <si>
    <t>胡俭</t>
  </si>
  <si>
    <t>御青路328弄135号504室</t>
  </si>
  <si>
    <t>张勤</t>
  </si>
  <si>
    <t>林根来</t>
  </si>
  <si>
    <t>中春路8889弄120支弄10号1101室</t>
  </si>
  <si>
    <t>御桥路1679弄万科海上传奇4期28号楼2403室</t>
  </si>
  <si>
    <t>张夕如</t>
  </si>
  <si>
    <t>普陀区灵石路1669弄14号1001</t>
  </si>
  <si>
    <t>金瀚35号1502</t>
  </si>
  <si>
    <t>钱婷</t>
  </si>
  <si>
    <t>朱泾镇明珠新苑73号401室</t>
  </si>
  <si>
    <t>朱建文</t>
  </si>
  <si>
    <t>朱泾新农温河村新明三组1037号</t>
  </si>
  <si>
    <t>冯克松</t>
  </si>
  <si>
    <t>金山区红树林170号302</t>
  </si>
  <si>
    <t>0001224</t>
  </si>
  <si>
    <t>李永超</t>
  </si>
  <si>
    <t>徐汇区华容路111弄1号501室</t>
  </si>
  <si>
    <t>0001953</t>
  </si>
  <si>
    <t>杨奕</t>
  </si>
  <si>
    <t>天宝路466弄15号1902室</t>
  </si>
  <si>
    <t>沈国樑</t>
  </si>
  <si>
    <t>凤城王村87号103室</t>
  </si>
  <si>
    <t>0003267</t>
  </si>
  <si>
    <t>祁庆宏</t>
  </si>
  <si>
    <t>松花江路337号505室立益公寓</t>
  </si>
  <si>
    <t>0001250</t>
  </si>
  <si>
    <t>徐宇峰</t>
  </si>
  <si>
    <t>镇坪路177弄27号1801室</t>
  </si>
  <si>
    <t>李红梅</t>
  </si>
  <si>
    <t>柴旭峰</t>
  </si>
  <si>
    <t>松江九亭英伦风尚124号202室</t>
  </si>
  <si>
    <t>0000337</t>
  </si>
  <si>
    <t>赵云翰</t>
  </si>
  <si>
    <t>打浦路299弄</t>
  </si>
  <si>
    <t>徐健强</t>
  </si>
  <si>
    <t>恒高路128弄8号1601室</t>
  </si>
  <si>
    <t>江毅鹏</t>
  </si>
  <si>
    <t>长宁区福泉路255弄75号502室</t>
  </si>
  <si>
    <t>戴丽娜</t>
  </si>
  <si>
    <t>浦东区杨南路694弄绿茵苑小区9号302室</t>
  </si>
  <si>
    <t>0001951</t>
  </si>
  <si>
    <t>孙时敏</t>
  </si>
  <si>
    <t>浦东新区菏泽路825弄56号502室</t>
  </si>
  <si>
    <t>0001312</t>
  </si>
  <si>
    <t>孙怡婷</t>
  </si>
  <si>
    <t>浦东区银山路342弄2号504室</t>
  </si>
  <si>
    <t>范燕群</t>
  </si>
  <si>
    <t>淞沪路1888弄8号101</t>
  </si>
  <si>
    <t>堵俊杰</t>
  </si>
  <si>
    <t>浦东区锦绣路3338弄94号802室</t>
  </si>
  <si>
    <t>000005</t>
  </si>
  <si>
    <t>薛尧奇</t>
  </si>
  <si>
    <t>浦东新区东平路56弄荷三小区75号602室</t>
  </si>
  <si>
    <t>0001142</t>
  </si>
  <si>
    <t>仇东华</t>
  </si>
  <si>
    <t>虹口区凉城路357弄中虹花园小区19号702室</t>
  </si>
  <si>
    <t>童欣</t>
  </si>
  <si>
    <t>闵行区沧源路755弄16号202</t>
  </si>
  <si>
    <t>0001176</t>
  </si>
  <si>
    <t>肖尧</t>
  </si>
  <si>
    <t>宝山区长江西路2322弄兴康七寸小区194号502室</t>
  </si>
  <si>
    <t>0003268</t>
  </si>
  <si>
    <t>郑林胜</t>
  </si>
  <si>
    <t>环境北路1118弄5号602</t>
  </si>
  <si>
    <t>王长连</t>
  </si>
  <si>
    <t>吴阳路2100号1608室</t>
  </si>
  <si>
    <t>蔡轩</t>
  </si>
  <si>
    <t>阳曲江浦路2089弄6号楼401室</t>
  </si>
  <si>
    <t>0002615</t>
  </si>
  <si>
    <t>金建立</t>
  </si>
  <si>
    <t>闵行区富国路199弄禹州府15号702</t>
  </si>
  <si>
    <t>0000790</t>
  </si>
  <si>
    <t>陈岑</t>
  </si>
  <si>
    <t>浦东新区菏泽路58弄15号302室</t>
  </si>
  <si>
    <t>吴卫林</t>
  </si>
  <si>
    <t>宝山区顾北东路155弄157号201</t>
  </si>
  <si>
    <t>退订单/不接受门套密度板</t>
  </si>
  <si>
    <t>陈丽霞</t>
  </si>
  <si>
    <t>小木桥路101弄8号602</t>
  </si>
  <si>
    <t>程文源</t>
  </si>
  <si>
    <t>闵行经济开发区绿春路289号</t>
  </si>
  <si>
    <t>楼菊芳</t>
  </si>
  <si>
    <t>黄浦区面筋弄13号201室</t>
  </si>
  <si>
    <t>漕宝路2999弄金泰公寓13号101室</t>
  </si>
  <si>
    <t>13816302418/13795285510</t>
  </si>
  <si>
    <t>虹井路629弄29号501</t>
  </si>
  <si>
    <t>嘉定区泰富路236弄10号楼1504室</t>
  </si>
  <si>
    <t>姚美芬</t>
  </si>
  <si>
    <t>宝山区美平路1060弄11号1304</t>
  </si>
  <si>
    <t>韩珍逢</t>
  </si>
  <si>
    <t>国货路333弄1号1401室</t>
  </si>
  <si>
    <t>廖青云</t>
  </si>
  <si>
    <t>浦东新区宏龙世家1号1401</t>
  </si>
  <si>
    <t>王文</t>
  </si>
  <si>
    <t>江杨北路1568弄69号2901室</t>
  </si>
  <si>
    <t>0002046</t>
  </si>
  <si>
    <t>刘翠柏</t>
  </si>
  <si>
    <t>浦秀路765弄43号701</t>
  </si>
  <si>
    <r>
      <rPr>
        <sz val="9"/>
        <rFont val="宋体"/>
        <charset val="134"/>
      </rPr>
      <t>朱鳌</t>
    </r>
    <r>
      <rPr>
        <sz val="10"/>
        <color rgb="FF000000"/>
        <rFont val="微软雅黑"/>
        <charset val="134"/>
      </rPr>
      <t>春</t>
    </r>
  </si>
  <si>
    <t>杨浦区515弄36号小区304室</t>
  </si>
  <si>
    <t>马沂</t>
  </si>
  <si>
    <t>云屏路518弄14号2102</t>
  </si>
  <si>
    <t>0003442</t>
  </si>
  <si>
    <t>王阳</t>
  </si>
  <si>
    <t>浦东环林西路529-14-705</t>
  </si>
  <si>
    <t>0003445</t>
  </si>
  <si>
    <t>芦恒路378弄207号1302室</t>
  </si>
  <si>
    <t>0001253</t>
  </si>
  <si>
    <t>宋淑媛</t>
  </si>
  <si>
    <t>安顺路351弄20号202室</t>
  </si>
  <si>
    <t>0001222</t>
  </si>
  <si>
    <t>徐珺</t>
  </si>
  <si>
    <t>上海普陀区长征清浴路258弄29号501室</t>
  </si>
  <si>
    <t>笪洲海</t>
  </si>
  <si>
    <t>济州路1118弄9号102室</t>
  </si>
  <si>
    <t>0000153</t>
  </si>
  <si>
    <t>汪旭勇</t>
  </si>
  <si>
    <t>柳州路181弄15号901室</t>
  </si>
  <si>
    <t>叶子博</t>
  </si>
  <si>
    <t>静安区中华新路588弄1号楼1105室</t>
  </si>
  <si>
    <t>李龙</t>
  </si>
  <si>
    <t>上海浦东新区环林西路613弄2号701室</t>
  </si>
  <si>
    <t>陈妍婕</t>
  </si>
  <si>
    <t>静安区华联关路2199弄13-1502</t>
  </si>
  <si>
    <t>0002616</t>
  </si>
  <si>
    <t>姚漪君</t>
  </si>
  <si>
    <t>闵行区瑞丽路528弄9号801室</t>
  </si>
  <si>
    <t>张嫩</t>
  </si>
  <si>
    <t>维坊四村402-204室</t>
  </si>
  <si>
    <t>0003441</t>
  </si>
  <si>
    <t>杨莹</t>
  </si>
  <si>
    <t>巨峰路568号2号楼</t>
  </si>
  <si>
    <t>沪闵路8390号3号楼501室</t>
  </si>
  <si>
    <t>0003209</t>
  </si>
  <si>
    <t>程广宏</t>
  </si>
  <si>
    <t>闵行辛一村102号202室</t>
  </si>
  <si>
    <t>0002043</t>
  </si>
  <si>
    <t>陈昆</t>
  </si>
  <si>
    <t>闵行区瑞盛路135弄73号601室</t>
  </si>
  <si>
    <t>0002045</t>
  </si>
  <si>
    <t>张均超</t>
  </si>
  <si>
    <t>芦恒路378弄185号1203</t>
  </si>
  <si>
    <t>0001149</t>
  </si>
  <si>
    <t>刘国勇</t>
  </si>
  <si>
    <t>15800578525/13761122295</t>
  </si>
  <si>
    <t>嘉定区博乐路李司二村小区129号301室</t>
  </si>
  <si>
    <t>肖卫华</t>
  </si>
  <si>
    <t>密云路454弄1号202</t>
  </si>
  <si>
    <t>陆玉平</t>
  </si>
  <si>
    <t>浦东新区环林东路270弄樱桃苑小区9号702室</t>
  </si>
  <si>
    <t>司飞</t>
  </si>
  <si>
    <t>宝山区杨水路669弄19号401室</t>
  </si>
  <si>
    <t>0001178</t>
  </si>
  <si>
    <t>刘晓菲</t>
  </si>
  <si>
    <t>静安区长临路380弄共康四村小区129号403室</t>
  </si>
  <si>
    <t>寿争艳</t>
  </si>
  <si>
    <t>宝山区真大路358弄欧百花郡小区60号1102室</t>
  </si>
  <si>
    <t>瞿斌</t>
  </si>
  <si>
    <t>静安区平关路377弄嘉利明珠球小区5号602室</t>
  </si>
  <si>
    <t>0001201</t>
  </si>
  <si>
    <t>翁远帆</t>
  </si>
  <si>
    <t>浦东新区旭林路299弄尚海丽景小区39号1401室</t>
  </si>
  <si>
    <t>江震</t>
  </si>
  <si>
    <t>普陀区梅川路祥和小区15号1101室</t>
  </si>
  <si>
    <t>0001207</t>
  </si>
  <si>
    <t>曹炯</t>
  </si>
  <si>
    <t>协和路239弄</t>
  </si>
  <si>
    <t>0000345</t>
  </si>
  <si>
    <t>松柏七村45号401室</t>
  </si>
  <si>
    <t>陈翔</t>
  </si>
  <si>
    <t>上海市闵行区安宁路777弄16号1401</t>
  </si>
  <si>
    <t>朱恩荣</t>
  </si>
  <si>
    <t>共和新路1725弄2号603室</t>
  </si>
  <si>
    <t>共和新路1873弄1号401室</t>
  </si>
  <si>
    <t>0000339</t>
  </si>
  <si>
    <t>章珈铭</t>
  </si>
  <si>
    <t>宝山区松南村路72号101室</t>
  </si>
  <si>
    <t>0001146</t>
  </si>
  <si>
    <t>杨钊</t>
  </si>
  <si>
    <t>虹口区大连西路玉新村10弄13号303室</t>
  </si>
  <si>
    <t>0000182</t>
  </si>
  <si>
    <t>施仲毅</t>
  </si>
  <si>
    <t>淞虹路805弄36号604室</t>
  </si>
  <si>
    <t>郑秋凤</t>
  </si>
  <si>
    <t>丰关路2199弄101号2101室</t>
  </si>
  <si>
    <t>0001179</t>
  </si>
  <si>
    <r>
      <rPr>
        <sz val="9"/>
        <rFont val="宋体"/>
        <charset val="134"/>
      </rPr>
      <t>俞文</t>
    </r>
    <r>
      <rPr>
        <sz val="10"/>
        <color indexed="8"/>
        <rFont val="微软雅黑"/>
        <charset val="134"/>
      </rPr>
      <t>杰</t>
    </r>
  </si>
  <si>
    <t>宝山区菊太路1198弄保和小区9号404室</t>
  </si>
  <si>
    <t>0001144</t>
  </si>
  <si>
    <t>郑奕</t>
  </si>
  <si>
    <t>静安区海川中路777弄悠和家园小区3号1001室</t>
  </si>
  <si>
    <t>0003269</t>
  </si>
  <si>
    <t>管爱娣</t>
  </si>
  <si>
    <t>民东路568弄3号202室</t>
  </si>
  <si>
    <t>000081</t>
  </si>
  <si>
    <t>徐前芹</t>
  </si>
  <si>
    <t>浦东祝桥镇千汇苑三村50号702室</t>
  </si>
  <si>
    <t>0003270</t>
  </si>
  <si>
    <t>赵宝彤</t>
  </si>
  <si>
    <t>翔殷路871弄8号102室</t>
  </si>
  <si>
    <t>李凤喜</t>
  </si>
  <si>
    <t>共和新路1895弄5号302室</t>
  </si>
  <si>
    <t>0003996</t>
  </si>
  <si>
    <t>廖先龙</t>
  </si>
  <si>
    <t>佳兆业14单元1402</t>
  </si>
  <si>
    <t>0003997</t>
  </si>
  <si>
    <t>孙惠左</t>
  </si>
  <si>
    <t>嘉松中路6688弄265号</t>
  </si>
  <si>
    <t>0000105</t>
  </si>
  <si>
    <t>汪传兵</t>
  </si>
  <si>
    <t>御桥路1978弄25号</t>
  </si>
  <si>
    <t>0001409</t>
  </si>
  <si>
    <t>左克民</t>
  </si>
  <si>
    <t>微山路248弄57号501</t>
  </si>
  <si>
    <t>0001180</t>
  </si>
  <si>
    <t>邵金晶</t>
  </si>
  <si>
    <t>杨浦区图仙路10弄1号707室</t>
  </si>
  <si>
    <t>蔡烨怡</t>
  </si>
  <si>
    <t>徐汇区浦北路948弄15号502室</t>
  </si>
  <si>
    <t>陈心界</t>
  </si>
  <si>
    <t>杨浦区延吉四村20号楼601</t>
  </si>
  <si>
    <t>沈伟民</t>
  </si>
  <si>
    <t>钦州路860号2906室</t>
  </si>
  <si>
    <t>0000901</t>
  </si>
  <si>
    <t>朱文</t>
  </si>
  <si>
    <t>浦东区龚华路425弄龚华苑小区47号502室</t>
  </si>
  <si>
    <t>0001315</t>
  </si>
  <si>
    <t>赵源</t>
  </si>
  <si>
    <t>浦东新区秋霞路1188弄阳光花园小区2号305室</t>
  </si>
  <si>
    <t>0001096</t>
  </si>
  <si>
    <t>杜凤春</t>
  </si>
  <si>
    <t>欧阳路318号2406室</t>
  </si>
  <si>
    <t>曹雪明</t>
  </si>
  <si>
    <t>徐汇区凯旋一村19号602室</t>
  </si>
  <si>
    <t>0001830</t>
  </si>
  <si>
    <t>周靖雯</t>
  </si>
  <si>
    <t>清河湾路850弄9号1601室</t>
  </si>
  <si>
    <t>陆梅华</t>
  </si>
  <si>
    <t>浦东新区光泽路120弄59号402室</t>
  </si>
  <si>
    <t>蒋立云</t>
  </si>
  <si>
    <t>牡丹路89弄14号502室</t>
  </si>
  <si>
    <t>0000791</t>
  </si>
  <si>
    <t>吴洁</t>
  </si>
  <si>
    <t>巨峰路399弄43号901</t>
  </si>
  <si>
    <t>0000792</t>
  </si>
  <si>
    <t>茵圃路600弄2号802室</t>
  </si>
  <si>
    <t>9月底测量</t>
  </si>
  <si>
    <t>欧阳一剑</t>
  </si>
  <si>
    <t>普陀区棕榈路301弄33号202</t>
  </si>
  <si>
    <t>0001956</t>
  </si>
  <si>
    <t>陈宏</t>
  </si>
  <si>
    <t>上海锦安东路88弄11号1602</t>
  </si>
  <si>
    <t>何卫</t>
  </si>
  <si>
    <t>建国西路358弄7号504</t>
  </si>
  <si>
    <t>金杨路308弄五街坊小区42号104室</t>
  </si>
  <si>
    <t>0001735</t>
  </si>
  <si>
    <t>郭随时</t>
  </si>
  <si>
    <t>嘉定皇家花园998弄龙湖天粪</t>
  </si>
  <si>
    <t>朱永华</t>
  </si>
  <si>
    <t>方竹路333弄滴水湖美苑湖182号802</t>
  </si>
  <si>
    <t>杨丽阳</t>
  </si>
  <si>
    <t>浦东塘桥临忻北路东南华庭1150弄3号1905室</t>
  </si>
  <si>
    <t>0001733</t>
  </si>
  <si>
    <t>周燕华</t>
  </si>
  <si>
    <t>周泽镇伞家港路366弄欣周花苑1501室</t>
  </si>
  <si>
    <t>0001525</t>
  </si>
  <si>
    <t>戴惠婷</t>
  </si>
  <si>
    <t>谷阳北路1007弄72号801室</t>
  </si>
  <si>
    <t>0001523</t>
  </si>
  <si>
    <t>闵行区浦江镇晓路298弄79号201室</t>
  </si>
  <si>
    <t>0001524</t>
  </si>
  <si>
    <t>郁乐</t>
  </si>
  <si>
    <t>上海市松江区新松江路1777弄13号</t>
  </si>
  <si>
    <t>0001734</t>
  </si>
  <si>
    <t>徐剑波</t>
  </si>
  <si>
    <t>运盐河路近川周公路</t>
  </si>
  <si>
    <t>0000085</t>
  </si>
  <si>
    <t>何睿柳</t>
  </si>
  <si>
    <t>浦东新区丁香路910弄20号402</t>
  </si>
  <si>
    <t>0000083</t>
  </si>
  <si>
    <t>赵美丽</t>
  </si>
  <si>
    <t>芳华路310弄1号201室</t>
  </si>
  <si>
    <t>8.30测量</t>
  </si>
  <si>
    <t>0000015</t>
  </si>
  <si>
    <t>张福英</t>
  </si>
  <si>
    <t>浦东区东陆路2000弄金桥小区2号1102室</t>
  </si>
  <si>
    <t>杨栩炜</t>
  </si>
  <si>
    <t>浦东新区浦煌新村13号401</t>
  </si>
  <si>
    <t>0001957</t>
  </si>
  <si>
    <t>朱赟翔</t>
  </si>
  <si>
    <t>临平路333弄6号1301室</t>
  </si>
  <si>
    <t>0000086</t>
  </si>
  <si>
    <t>金亚伦</t>
  </si>
  <si>
    <t>闵行区顾戴路1325弄49号601室</t>
  </si>
  <si>
    <t>0000905</t>
  </si>
  <si>
    <t>卢力弘</t>
  </si>
  <si>
    <t>浦东区高车二路47弄1小区44号504室</t>
  </si>
  <si>
    <t>陈頠</t>
  </si>
  <si>
    <t>上海市浦东新区上南一村103号104室</t>
  </si>
  <si>
    <t>陈桂娥</t>
  </si>
  <si>
    <t>高攀路149弄15号602室</t>
  </si>
  <si>
    <t>0000794</t>
  </si>
  <si>
    <t>单女士</t>
  </si>
  <si>
    <t>丁香路1599弄11号2601室</t>
  </si>
  <si>
    <t>0001736</t>
  </si>
  <si>
    <t>卫蓝</t>
  </si>
  <si>
    <t>召楼洒厂革新村</t>
  </si>
  <si>
    <t>0001522</t>
  </si>
  <si>
    <t>杨蕾</t>
  </si>
  <si>
    <t>18116295500/17721040911</t>
  </si>
  <si>
    <t>颛兴路748弄14号301室</t>
  </si>
  <si>
    <t>郁丛林</t>
  </si>
  <si>
    <t>15216823479/18949825651</t>
  </si>
  <si>
    <t>中潭路99弄215号2402室</t>
  </si>
  <si>
    <t>林珊</t>
  </si>
  <si>
    <t>黄埔区丽园路333弄9号704</t>
  </si>
  <si>
    <t>王钰雰</t>
  </si>
  <si>
    <t>场中路2850弄16号102室</t>
  </si>
  <si>
    <t>白瑶</t>
  </si>
  <si>
    <t>嘉定区吴杨东路333弄城市岸泊248号501室</t>
  </si>
  <si>
    <t>毛思洋</t>
  </si>
  <si>
    <t>浦明路1269弄4号501</t>
  </si>
  <si>
    <t>赵文龙</t>
  </si>
  <si>
    <t>七莘路3333弄25</t>
  </si>
  <si>
    <t>王珠</t>
  </si>
  <si>
    <t>宝山罗店美兰湖年吉路100弄27号493室</t>
  </si>
  <si>
    <t>宋玉</t>
  </si>
  <si>
    <t>泗泾路99-2-2008</t>
  </si>
  <si>
    <t>鲍筱晔</t>
  </si>
  <si>
    <t>洞塔路728弄127号</t>
  </si>
  <si>
    <t>龙华西路591-11-202</t>
  </si>
  <si>
    <t>王皘</t>
  </si>
  <si>
    <t>青浦区首创喜悦7-501</t>
  </si>
  <si>
    <t>张文利</t>
  </si>
  <si>
    <t>徐汇区华泾路599弄4栋7号楼802室</t>
  </si>
  <si>
    <t>程静</t>
  </si>
  <si>
    <t>浦东杨思路860弄72号201室</t>
  </si>
  <si>
    <t>于永帅</t>
  </si>
  <si>
    <t>昆山室淀山湖镇新乐路1188号26号2单元1004</t>
  </si>
  <si>
    <t>倪培人</t>
  </si>
  <si>
    <t>徐汇区复兴西路203号802室</t>
  </si>
  <si>
    <t>0001930</t>
  </si>
  <si>
    <t>邵晓磊</t>
  </si>
  <si>
    <t>嘉定区启源路900弄1号楼601室</t>
  </si>
  <si>
    <t>唐正超</t>
  </si>
  <si>
    <t>杨浦区民府小区32号楼602室</t>
  </si>
  <si>
    <t>0000497</t>
  </si>
  <si>
    <t>吴园园</t>
  </si>
  <si>
    <t>东方路1881弄60号901室</t>
  </si>
  <si>
    <t>0003998</t>
  </si>
  <si>
    <t>孟阳</t>
  </si>
  <si>
    <t>重固镇夏阳金城二区96号</t>
  </si>
  <si>
    <t>0000793</t>
  </si>
  <si>
    <t>曹文松</t>
  </si>
  <si>
    <t>浦东新区竹柏路75号102</t>
  </si>
  <si>
    <t>上海市浦城路366弄10号1201</t>
  </si>
  <si>
    <t>0001217</t>
  </si>
  <si>
    <t>舒畅</t>
  </si>
  <si>
    <t>黄浦区中山南二路200弄1号2201室</t>
  </si>
  <si>
    <t>0001946</t>
  </si>
  <si>
    <t>8月20</t>
  </si>
  <si>
    <t>邹家宝</t>
  </si>
  <si>
    <t>立新村841号</t>
  </si>
  <si>
    <t>0001947</t>
  </si>
  <si>
    <t>杨舟</t>
  </si>
  <si>
    <t>嘉定梦之月8号702</t>
  </si>
  <si>
    <t>0001945</t>
  </si>
  <si>
    <t>陶凯</t>
  </si>
  <si>
    <t>红石路699弄60号602</t>
  </si>
  <si>
    <t>浦东区芳甸路333弄水清木华小区16号602</t>
  </si>
  <si>
    <t>0004000</t>
  </si>
  <si>
    <t>赵天增</t>
  </si>
  <si>
    <t>郑和东路</t>
  </si>
  <si>
    <t>0001182</t>
  </si>
  <si>
    <t>仇晓亮</t>
  </si>
  <si>
    <t>闵行区古龙路1065弄新时代小区53号402室</t>
  </si>
  <si>
    <t>0002025</t>
  </si>
  <si>
    <t>刘晓利</t>
  </si>
  <si>
    <t>闵行区富国路199弄9-901</t>
  </si>
  <si>
    <t>0001495</t>
  </si>
  <si>
    <t>钟英</t>
  </si>
  <si>
    <t>嘉定区南翔镇嘉程东路69弄</t>
  </si>
  <si>
    <t>蔡女士</t>
  </si>
  <si>
    <t>钦州北路300弄3号楼2201室</t>
  </si>
  <si>
    <t>冯华</t>
  </si>
  <si>
    <t>武定西路1288号1507室</t>
  </si>
  <si>
    <t>0001488</t>
  </si>
  <si>
    <t>嘉定区双单路1509弄251号602室</t>
  </si>
  <si>
    <t>0001489</t>
  </si>
  <si>
    <t>钱永芳</t>
  </si>
  <si>
    <t>上海市虹口区虹湾路313弄29号1102室</t>
  </si>
  <si>
    <t>0004002</t>
  </si>
  <si>
    <t>郭翔</t>
  </si>
  <si>
    <t>三林镇</t>
  </si>
  <si>
    <t>0001490</t>
  </si>
  <si>
    <t>廖娥</t>
  </si>
  <si>
    <t>虹口区虹湾路313弄29号1101室</t>
  </si>
  <si>
    <t>付腾腾</t>
  </si>
  <si>
    <t>宝山区菊盛路馨佳园851弄23号302室</t>
  </si>
  <si>
    <t>0001152</t>
  </si>
  <si>
    <t>蒋红维</t>
  </si>
  <si>
    <t>学府阳光98号1102室</t>
  </si>
  <si>
    <t>周玮华</t>
  </si>
  <si>
    <t>浦东区桃林路尚海阳光36号1301室</t>
  </si>
  <si>
    <t>0001216</t>
  </si>
  <si>
    <t>谢冠</t>
  </si>
  <si>
    <t>浦东新区东三星桥路211弄5号101室</t>
  </si>
  <si>
    <t>0001493</t>
  </si>
  <si>
    <t>蔡璐</t>
  </si>
  <si>
    <t>芳林路1357弄270号</t>
  </si>
  <si>
    <t>0001252</t>
  </si>
  <si>
    <t>张盈</t>
  </si>
  <si>
    <t>天平路179弄7号楼609室</t>
  </si>
  <si>
    <t>0003446</t>
  </si>
  <si>
    <t>周全明</t>
  </si>
  <si>
    <t>杨高南路4501弄40号602室</t>
  </si>
  <si>
    <t>许艺颖</t>
  </si>
  <si>
    <t>黄浦区陆家浜路688弄6号902室</t>
  </si>
  <si>
    <t>周琪</t>
  </si>
  <si>
    <t>徐汇区华山路800弄18号402室</t>
  </si>
  <si>
    <t>杜国强</t>
  </si>
  <si>
    <t>浦东新区金海华城华康佳苑银峰路676弄19号903室</t>
  </si>
  <si>
    <t>0003447</t>
  </si>
  <si>
    <t>曾莉梅</t>
  </si>
  <si>
    <t>欣阳路289弄17号501室</t>
  </si>
  <si>
    <t>0001214</t>
  </si>
  <si>
    <t>杨保平</t>
  </si>
  <si>
    <t>翟溪路1199弄3号1101室</t>
  </si>
  <si>
    <t>宋晓玲</t>
  </si>
  <si>
    <t>影佳路333弄15幢91号</t>
  </si>
  <si>
    <t>0001150</t>
  </si>
  <si>
    <t>赵澄宇</t>
  </si>
  <si>
    <t>海防路58弄11号801室</t>
  </si>
  <si>
    <t>杭峥伟</t>
  </si>
  <si>
    <t>金沙江路2788弄28号201室</t>
  </si>
  <si>
    <t>李卓平</t>
  </si>
  <si>
    <t>冠生园路403弄12号1604室</t>
  </si>
  <si>
    <t>陆平</t>
  </si>
  <si>
    <t>黄浦区中山南一路1040号601室</t>
  </si>
  <si>
    <t>孙军</t>
  </si>
  <si>
    <t>宝山区梅林路866弄6号1003室</t>
  </si>
  <si>
    <t>0000959</t>
  </si>
  <si>
    <t>卜晓林</t>
  </si>
  <si>
    <t>闵行区青衫路169弄1号402</t>
  </si>
  <si>
    <t>0003443</t>
  </si>
  <si>
    <t>戚昕</t>
  </si>
  <si>
    <t>天目中路780号1102室</t>
  </si>
  <si>
    <t>0003210</t>
  </si>
  <si>
    <t>蒋卓尔</t>
  </si>
  <si>
    <t>135545746250</t>
  </si>
  <si>
    <t>普陀区祁安路368弄174号609</t>
  </si>
  <si>
    <t>戴庆宇</t>
  </si>
  <si>
    <t>上海市永兴路58弄1号1804室</t>
  </si>
  <si>
    <t>0003240</t>
  </si>
  <si>
    <t>陈小莉</t>
  </si>
  <si>
    <t>闵行区航华一村二街坊534号606室</t>
  </si>
  <si>
    <t>0003239</t>
  </si>
  <si>
    <t>钟燕英</t>
  </si>
  <si>
    <t>松江区泗凯路299弄锦晨苑15号1001</t>
  </si>
  <si>
    <t>0001486</t>
  </si>
  <si>
    <t>刘晓云</t>
  </si>
  <si>
    <t>普陀区长寿路街道</t>
  </si>
  <si>
    <t>0001487</t>
  </si>
  <si>
    <t>牛莉芸</t>
  </si>
  <si>
    <t>平塘路456弄26号201室</t>
  </si>
  <si>
    <t>俞自强</t>
  </si>
  <si>
    <t>洞塔路728弄87号</t>
  </si>
  <si>
    <t>李康凯/刘阳</t>
  </si>
  <si>
    <t>梁女士</t>
  </si>
  <si>
    <t>逸仙华庭1228弄46号8010</t>
  </si>
  <si>
    <t>秦鹤</t>
  </si>
  <si>
    <t>上海市嘉定区江桥镇张掖路255弄19号102</t>
  </si>
  <si>
    <t>0001426</t>
  </si>
  <si>
    <t>普陀区中潭路99弄215号2402</t>
  </si>
  <si>
    <t>陆瑾</t>
  </si>
  <si>
    <t>宝山区场北路669弄37号302室</t>
  </si>
  <si>
    <t>0000213</t>
  </si>
  <si>
    <t>张威浩</t>
  </si>
  <si>
    <t>闵行区石源路400弄29号501</t>
  </si>
  <si>
    <t>罗城路700弄36号102室</t>
  </si>
  <si>
    <t>0000155</t>
  </si>
  <si>
    <t>朱猛</t>
  </si>
  <si>
    <t>松江区明兴路428弄23号</t>
  </si>
  <si>
    <t>0000600</t>
  </si>
  <si>
    <t>杜逸</t>
  </si>
  <si>
    <t>徐汇区零陵北路9弄4号</t>
  </si>
  <si>
    <t>0000500</t>
  </si>
  <si>
    <t>段俊华</t>
  </si>
  <si>
    <t>柳埠路99弄3号楼01室</t>
  </si>
  <si>
    <t>0000501</t>
  </si>
  <si>
    <t>何丽辉</t>
  </si>
  <si>
    <t>浦东御云路100弄10号302室</t>
  </si>
  <si>
    <t>杜一能</t>
  </si>
  <si>
    <t>闵行区报春路218弄东苑佳佳花园34号501室</t>
  </si>
  <si>
    <t>任牧寒</t>
  </si>
  <si>
    <t>普陀区棕榈路300弄海棠苑小区61号302室</t>
  </si>
  <si>
    <t>吴虹霞</t>
  </si>
  <si>
    <t>徐汇区清真路58弄5号302</t>
  </si>
  <si>
    <t>田雪梅</t>
  </si>
  <si>
    <t>闵行区芦恒路378弄193号801</t>
  </si>
  <si>
    <t>0001484</t>
  </si>
  <si>
    <t>曹蔚洁</t>
  </si>
  <si>
    <t>中春路8888弄349号502室</t>
  </si>
  <si>
    <t>仲弘</t>
  </si>
  <si>
    <t>浙江中路188弄7号202室</t>
  </si>
  <si>
    <t>0001185</t>
  </si>
  <si>
    <t>廖海波</t>
  </si>
  <si>
    <t>宝山区黄泉路55弄皙清佳苑28号503室</t>
  </si>
  <si>
    <t>0000183</t>
  </si>
  <si>
    <t>唐坤</t>
  </si>
  <si>
    <t>嘉定区嘉涛路60弄5号</t>
  </si>
  <si>
    <t>0001191</t>
  </si>
  <si>
    <t>阮毅德</t>
  </si>
  <si>
    <t>宝山区凇南三村17号303室</t>
  </si>
  <si>
    <t>朱怡婷</t>
  </si>
  <si>
    <t>长宁区天山西路450弄61号403室</t>
  </si>
  <si>
    <t>张金冉</t>
  </si>
  <si>
    <t>闵行区仓丙路588弄68号1304</t>
  </si>
  <si>
    <t>0001458</t>
  </si>
  <si>
    <t>柏森</t>
  </si>
  <si>
    <t>南翔民主街495弄4号103室</t>
  </si>
  <si>
    <t>0001993</t>
  </si>
  <si>
    <t>张玺恒</t>
  </si>
  <si>
    <t>芦恒路378弄204号701室</t>
  </si>
  <si>
    <t>邹维</t>
  </si>
  <si>
    <t>浦东区五建路1728弄证大家园二期44号401室</t>
  </si>
  <si>
    <t>王莹</t>
  </si>
  <si>
    <t>杨高中路2168弄47号501室</t>
  </si>
  <si>
    <t>0001492</t>
  </si>
  <si>
    <t>周煌</t>
  </si>
  <si>
    <t>浦东新区新环西路1000弄9号801</t>
  </si>
  <si>
    <t>0001156</t>
  </si>
  <si>
    <t>刘小晶</t>
  </si>
  <si>
    <t>嘉定区高台路353弄保利家园三期16号1502</t>
  </si>
  <si>
    <t>0000833</t>
  </si>
  <si>
    <t>丁梅英</t>
  </si>
  <si>
    <t>杨浦区国顺东路900弄23号1301室</t>
  </si>
  <si>
    <t>0001219</t>
  </si>
  <si>
    <t>陈明然</t>
  </si>
  <si>
    <t>宝山区宝补雅苑北区7号104室</t>
  </si>
  <si>
    <t>0001193</t>
  </si>
  <si>
    <t>宝山区韶山路245弄47号1101室</t>
  </si>
  <si>
    <t>0003330</t>
  </si>
  <si>
    <t>江淇</t>
  </si>
  <si>
    <t>复兴东路701弄3号503室</t>
  </si>
  <si>
    <t>0000419</t>
  </si>
  <si>
    <t>郭睿</t>
  </si>
  <si>
    <t>嘉定区黄家花园998弄龙湖天漠小区40号802</t>
  </si>
  <si>
    <t>0000417</t>
  </si>
  <si>
    <t>黄家花园路998弄46号1602</t>
  </si>
  <si>
    <t>0000413</t>
  </si>
  <si>
    <t>朱欣燕</t>
  </si>
  <si>
    <t>龙湖二期37号1501</t>
  </si>
  <si>
    <t>0000340</t>
  </si>
  <si>
    <t>马丽英</t>
  </si>
  <si>
    <t>虹桥路953弄新顺小区6号402</t>
  </si>
  <si>
    <t>0001186</t>
  </si>
  <si>
    <t>宝山区华秋路666号滨江公园一期42号</t>
  </si>
  <si>
    <t>0001183</t>
  </si>
  <si>
    <t>陈奕霖</t>
  </si>
  <si>
    <t>虹口区欧阳路561弄D号C室</t>
  </si>
  <si>
    <t>孙亚伟</t>
  </si>
  <si>
    <t>张杨路1619弄7号501</t>
  </si>
  <si>
    <t>0002051</t>
  </si>
  <si>
    <t>贾一博</t>
  </si>
  <si>
    <t>静安区海防路58弄D号1302室</t>
  </si>
  <si>
    <t>0004495</t>
  </si>
  <si>
    <t>谭志国</t>
  </si>
  <si>
    <t>莲花南路1108弄25号1101室</t>
  </si>
  <si>
    <t>张靑杨</t>
  </si>
  <si>
    <t>阜新路284弄6号501</t>
  </si>
  <si>
    <t>0000219</t>
  </si>
  <si>
    <t>薛立新</t>
  </si>
  <si>
    <t>浦东新区城南路550弄12号101室</t>
  </si>
  <si>
    <t>0000216</t>
  </si>
  <si>
    <t>金丽华</t>
  </si>
  <si>
    <t>浦东新区新环西路998弄龙湖天瑛小区39号</t>
  </si>
  <si>
    <t>0000333</t>
  </si>
  <si>
    <t>宝山区场北路39弄40号301室</t>
  </si>
  <si>
    <t>0000418</t>
  </si>
  <si>
    <t>卢少华</t>
  </si>
  <si>
    <t>15710108116</t>
  </si>
  <si>
    <t>龙湖天瑛12-40-602</t>
  </si>
  <si>
    <t>0000414</t>
  </si>
  <si>
    <t>陈晓阳</t>
  </si>
  <si>
    <t>嘉定区黄家花园998弄龙湖天瑛小区44号1601</t>
  </si>
  <si>
    <t>邵苗苗</t>
  </si>
  <si>
    <t>鲁班路509弄卢湾都市花园8号1102室</t>
  </si>
  <si>
    <t>0002049</t>
  </si>
  <si>
    <t>王继峰</t>
  </si>
  <si>
    <t>浦东杨思路1121弄54号1103室</t>
  </si>
  <si>
    <t>余洪亮</t>
  </si>
  <si>
    <t>宝山区真北路4333弄64号501室</t>
  </si>
  <si>
    <t>0000420</t>
  </si>
  <si>
    <t>朱家云</t>
  </si>
  <si>
    <t>嘉定区黄家花园998弄龙湖天瑛小区45号902</t>
  </si>
  <si>
    <t>0000415</t>
  </si>
  <si>
    <t>王燕</t>
  </si>
  <si>
    <t>嘉定区黄家花园998弄龙湖天瑛小区43号302</t>
  </si>
  <si>
    <t>赵欣</t>
  </si>
  <si>
    <t>浦东南路14496号807</t>
  </si>
  <si>
    <t>张俊华</t>
  </si>
  <si>
    <t>内江路15弄15号602室</t>
  </si>
  <si>
    <t>郑旭凤</t>
  </si>
  <si>
    <t>嘉定区黄家花园998弄龙湖天瑛小区41号1201</t>
  </si>
  <si>
    <t>0000354</t>
  </si>
  <si>
    <t>刘冯想</t>
  </si>
  <si>
    <t>等拿陪小区</t>
  </si>
  <si>
    <t>0001223</t>
  </si>
  <si>
    <t>张小强</t>
  </si>
  <si>
    <t>普陀区丹巴路368弄16号1002室</t>
  </si>
  <si>
    <t>退订单/全包</t>
  </si>
  <si>
    <t>0001255</t>
  </si>
  <si>
    <t>张雅琴</t>
  </si>
  <si>
    <t>上海长宁区协和路239弄14号904室</t>
  </si>
  <si>
    <t>0000214</t>
  </si>
  <si>
    <t>何晓平</t>
  </si>
  <si>
    <t>静安区阳城路283弄大华阳城花园41号101室</t>
  </si>
  <si>
    <t>孔令花</t>
  </si>
  <si>
    <t>浦东新区浦城路299弄3号2901</t>
  </si>
  <si>
    <t>0001259</t>
  </si>
  <si>
    <t>姜丽华</t>
  </si>
  <si>
    <t>长宁区淞虹路828弄8号202室</t>
  </si>
  <si>
    <t>温华</t>
  </si>
  <si>
    <t>嘉定区安亭镇和静路1585弄1号601</t>
  </si>
  <si>
    <t>0000411</t>
  </si>
  <si>
    <t>王雷雷</t>
  </si>
  <si>
    <t>闵行区沪松公路565弄88号602室</t>
  </si>
  <si>
    <t>鲍丽萍</t>
  </si>
  <si>
    <t>静安区大宁路667弄47号203室</t>
  </si>
  <si>
    <t>0001195</t>
  </si>
  <si>
    <t>王蕾</t>
  </si>
  <si>
    <t>杨浦东路一村71号502室</t>
  </si>
  <si>
    <t>0001497</t>
  </si>
  <si>
    <t>周兰芝</t>
  </si>
  <si>
    <t>梅川路43弄37号502</t>
  </si>
  <si>
    <t>0000412</t>
  </si>
  <si>
    <t>仲德喜</t>
  </si>
  <si>
    <t>新玩西路9号</t>
  </si>
  <si>
    <t>0003389</t>
  </si>
  <si>
    <t>许燕燕</t>
  </si>
  <si>
    <t>浦东新区张家浜路37弄2号1002室</t>
  </si>
  <si>
    <t>张雯</t>
  </si>
  <si>
    <t>嘉定黄庆路88弄8号</t>
  </si>
  <si>
    <t>郑世君</t>
  </si>
  <si>
    <t>丹山市岱山县衡山镇人民路353号</t>
  </si>
  <si>
    <t>0004001</t>
  </si>
  <si>
    <t>付珍</t>
  </si>
  <si>
    <t>浦东新区周浦镇小周公路4058弄51号902室</t>
  </si>
  <si>
    <t>0000154</t>
  </si>
  <si>
    <t>黄冠峰</t>
  </si>
  <si>
    <t>139616463437</t>
  </si>
  <si>
    <t>徐汇区东江路151弄19号2206</t>
  </si>
  <si>
    <t>0000157</t>
  </si>
  <si>
    <t>马宏峰</t>
  </si>
  <si>
    <t>徐汇区罗秀三村72号101室</t>
  </si>
  <si>
    <t>0000502</t>
  </si>
  <si>
    <t>卫旭栋</t>
  </si>
  <si>
    <t>长清路773弄14号601室</t>
  </si>
  <si>
    <t>0000503</t>
  </si>
  <si>
    <t>陈秋雁</t>
  </si>
  <si>
    <t>宝山区丰国路628-170-902</t>
  </si>
  <si>
    <t>史文超</t>
  </si>
  <si>
    <t>汇源路778弄115号</t>
  </si>
  <si>
    <t>程婷</t>
  </si>
  <si>
    <t>武定路1128弄3号1104室</t>
  </si>
  <si>
    <t>0001232</t>
  </si>
  <si>
    <t>贺晓芳</t>
  </si>
  <si>
    <t>15821029962</t>
  </si>
  <si>
    <t>黄浦区五国桥210弄3号401</t>
  </si>
  <si>
    <t>0001208</t>
  </si>
  <si>
    <t>吴嘉华</t>
  </si>
  <si>
    <t>崇明区城桥镇</t>
  </si>
  <si>
    <t>0002618</t>
  </si>
  <si>
    <t>孙意欣</t>
  </si>
  <si>
    <t>浦东新区康衫路386弄6号402</t>
  </si>
  <si>
    <t>毛丽丽</t>
  </si>
  <si>
    <t>金辉路万科兰乔圣菲59号</t>
  </si>
  <si>
    <t>0001491</t>
  </si>
  <si>
    <t>刘冠群</t>
  </si>
  <si>
    <t>保乐路666弄83号202</t>
  </si>
  <si>
    <t>田捷</t>
  </si>
  <si>
    <t>嘉定区双单路1509弄龙湖丽城257号2001</t>
  </si>
  <si>
    <t>吴菲俊</t>
  </si>
  <si>
    <t>闵行区莲花南路155弄154号901</t>
  </si>
  <si>
    <t>0001260</t>
  </si>
  <si>
    <t>陆玉莲</t>
  </si>
  <si>
    <t>普陀区西康路1288弄2号1201</t>
  </si>
  <si>
    <t>陈琳</t>
  </si>
  <si>
    <t>松江区城南公路599弄100号</t>
  </si>
  <si>
    <t>0000184</t>
  </si>
  <si>
    <t>赵景黎</t>
  </si>
  <si>
    <t>静安区宜川路810弄27号303室</t>
  </si>
  <si>
    <t>0000088</t>
  </si>
  <si>
    <t>叶俊淳</t>
  </si>
  <si>
    <t>浦东牡丹路399弄22号401</t>
  </si>
  <si>
    <t>0001210</t>
  </si>
  <si>
    <t>施东</t>
  </si>
  <si>
    <t>普陀区水泉路99弄达安之声小区9号402室</t>
  </si>
  <si>
    <t>徐小姐</t>
  </si>
  <si>
    <t>上海杨浦江浦路666弄20号101室</t>
  </si>
  <si>
    <t>王亭</t>
  </si>
  <si>
    <t>康桥路1633弄39号604</t>
  </si>
  <si>
    <t>张弘</t>
  </si>
  <si>
    <t>华山路765弄海斯大厦2号7C座</t>
  </si>
  <si>
    <t>0000830</t>
  </si>
  <si>
    <t>王宇</t>
  </si>
  <si>
    <t>同济华城8号402</t>
  </si>
  <si>
    <t>还未能测量</t>
  </si>
  <si>
    <t>0001196</t>
  </si>
  <si>
    <t>嘉定区依玛路410弄4号301</t>
  </si>
  <si>
    <t>唐奕玲</t>
  </si>
  <si>
    <t>长宁区仙霞新村街道虹桥路1765弄13号202室</t>
  </si>
  <si>
    <t>师文慧</t>
  </si>
  <si>
    <t>王喆</t>
  </si>
  <si>
    <t>闵行区江川路街道金平路都城假日景苑123号302室</t>
  </si>
  <si>
    <t>肖耀南</t>
  </si>
  <si>
    <t>嘉定区艾特路89弄9号楼1104</t>
  </si>
  <si>
    <t>0000407</t>
  </si>
  <si>
    <t>王龙文</t>
  </si>
  <si>
    <t>静安区沪太路651弄20号401室</t>
  </si>
  <si>
    <t>0000410</t>
  </si>
  <si>
    <t>张晓娅</t>
  </si>
  <si>
    <t>嘉定区黄家花园998弄龙湖天璞小区14号</t>
  </si>
  <si>
    <t>郭微润</t>
  </si>
  <si>
    <t>九亭象屿虹桥9号楼1603</t>
  </si>
  <si>
    <t>0001143</t>
  </si>
  <si>
    <t>陈文捷</t>
  </si>
  <si>
    <t>嘉定区慈行路836弄11号1704</t>
  </si>
  <si>
    <t>0001498</t>
  </si>
  <si>
    <t>朱珏</t>
  </si>
  <si>
    <t>嘉定区马陆镇云屏路388弄9号703室</t>
  </si>
  <si>
    <t>长宁区古北路555弄2号2103</t>
  </si>
  <si>
    <t>刘高</t>
  </si>
  <si>
    <t>松江区伴亭路855弄14号1002</t>
  </si>
  <si>
    <t>荣琦</t>
  </si>
  <si>
    <t>伴亭路855弄38号403</t>
  </si>
  <si>
    <t>袁铭谱</t>
  </si>
  <si>
    <t>丁路遥</t>
  </si>
  <si>
    <t>松江区伴亭路855弄38号202</t>
  </si>
  <si>
    <t>张叶秦</t>
  </si>
  <si>
    <t>永平南路198弄8号1303室</t>
  </si>
  <si>
    <t>20219-8-18</t>
  </si>
  <si>
    <t>陆薪源</t>
  </si>
  <si>
    <t>青浦区崧建路339弄18号36单元1202室</t>
  </si>
  <si>
    <t>赵渊</t>
  </si>
  <si>
    <t>九亭象屿虹桥10号楼1003</t>
  </si>
  <si>
    <t>窦鹏</t>
  </si>
  <si>
    <t>九亭象屿虹桥悦府25号304室</t>
  </si>
  <si>
    <t>窦总</t>
  </si>
  <si>
    <t>和山</t>
  </si>
  <si>
    <t>南浦飞秀湾277栋6号101</t>
  </si>
  <si>
    <t>0001485</t>
  </si>
  <si>
    <t>叶晓</t>
  </si>
  <si>
    <t>龙吴路585栋26号</t>
  </si>
  <si>
    <t>浦东高青路2878弄53号901室</t>
  </si>
  <si>
    <t>0000406</t>
  </si>
  <si>
    <t>孔瑞康/张元平</t>
  </si>
  <si>
    <t>欧阳路377弄3号605室</t>
  </si>
  <si>
    <t>0001158</t>
  </si>
  <si>
    <t>虹口区虹湾路86弄17号102</t>
  </si>
  <si>
    <t>退订单/设计师包了</t>
  </si>
  <si>
    <t>杨浦区国和二村56号201</t>
  </si>
  <si>
    <t>刚开始</t>
  </si>
  <si>
    <t>张茎</t>
  </si>
  <si>
    <t>杨浦区固定路505弄21号402室</t>
  </si>
  <si>
    <t>张丙俊</t>
  </si>
  <si>
    <t>西郊锦庐75号101室</t>
  </si>
  <si>
    <t>郝建辉</t>
  </si>
  <si>
    <t>青浦崧子浦路55弄3号1202室</t>
  </si>
  <si>
    <t>邹向博</t>
  </si>
  <si>
    <t>杨浦区凤城路104弄10-601室</t>
  </si>
  <si>
    <t>余东霞</t>
  </si>
  <si>
    <t>石岚二村35号607室</t>
  </si>
  <si>
    <t>泗泾洞纬路650弄13号901室</t>
  </si>
  <si>
    <t>潘家唯</t>
  </si>
  <si>
    <t>张杨北路4555弄42号1002室</t>
  </si>
  <si>
    <t>浦东民益路201号16幢5号</t>
  </si>
  <si>
    <t>王辉</t>
  </si>
  <si>
    <t>松江区新桥镇民兴路528弄82号</t>
  </si>
  <si>
    <t>普陀区交通西路188弄504</t>
  </si>
  <si>
    <t>闵行区虹莘路1518弄17号110</t>
  </si>
  <si>
    <t>浦东新区上浦路201弄2号602室</t>
  </si>
  <si>
    <t>上海金山区三鑫阳光城47号202</t>
  </si>
  <si>
    <t>普陀区水泉路88弄3号1003室</t>
  </si>
  <si>
    <t>杨开凯</t>
  </si>
  <si>
    <t>浦东新区御云路100弄10号502室</t>
  </si>
  <si>
    <t>周军</t>
  </si>
  <si>
    <t>南昌路555-4-3501</t>
  </si>
  <si>
    <t>0000075</t>
  </si>
  <si>
    <t>陈丽</t>
  </si>
  <si>
    <t>虹桥悦府13号楼602室</t>
  </si>
  <si>
    <t>盛阿金</t>
  </si>
  <si>
    <t>上海市杨浦区市光源86弄2号</t>
  </si>
  <si>
    <t>曹海鸥</t>
  </si>
  <si>
    <t>139172169491</t>
  </si>
  <si>
    <t>徐汇区上中路51弄书香虎居11号303室</t>
  </si>
  <si>
    <t>0003999</t>
  </si>
  <si>
    <t>屈伟</t>
  </si>
  <si>
    <t>宁此帐路31号102</t>
  </si>
  <si>
    <t>0004008</t>
  </si>
  <si>
    <t>蔡玉燕</t>
  </si>
  <si>
    <t>松江区象屿虹桥悦府36-402</t>
  </si>
  <si>
    <t>松江区象屿虹桥悦府36-401</t>
  </si>
  <si>
    <t>0003995</t>
  </si>
  <si>
    <t>韩卓伟</t>
  </si>
  <si>
    <t>虹桥悦府13号1102</t>
  </si>
  <si>
    <t>0004007</t>
  </si>
  <si>
    <t>黄攀</t>
  </si>
  <si>
    <t>松江区九亭镇伟容路泉虹桥北路</t>
  </si>
  <si>
    <t>0004005</t>
  </si>
  <si>
    <t>宋壹春</t>
  </si>
  <si>
    <t>伴亭路象屿虹桥悦府2号-702</t>
  </si>
  <si>
    <t>卞辰飞</t>
  </si>
  <si>
    <t>浦东新区永泰路595弄48号1302室</t>
  </si>
  <si>
    <t>陈泽宇</t>
  </si>
  <si>
    <t>象屿虹桥悦府14-11-1102</t>
  </si>
  <si>
    <t>0000082</t>
  </si>
  <si>
    <t>孙先清</t>
  </si>
  <si>
    <t>周浦镇瑞浦路287弄55号901室</t>
  </si>
  <si>
    <t>阮明玉</t>
  </si>
  <si>
    <t>伴亭路855弄1号1004</t>
  </si>
  <si>
    <t>曹洁喻</t>
  </si>
  <si>
    <t>象屿虹桥悦府37号楼</t>
  </si>
  <si>
    <t>0002299</t>
  </si>
  <si>
    <t>吕浩</t>
  </si>
  <si>
    <t>周浦镇双秀西园A区94号901</t>
  </si>
  <si>
    <t>0000907</t>
  </si>
  <si>
    <t>吴燕雯</t>
  </si>
  <si>
    <t>浦东新区南丰路983弄2号201室</t>
  </si>
  <si>
    <t>徐汇区漕河泾街道南宁路501弄6号102</t>
  </si>
  <si>
    <t>0001164</t>
  </si>
  <si>
    <t>邢敏</t>
  </si>
  <si>
    <t>新村25号102室</t>
  </si>
  <si>
    <t>0055930</t>
  </si>
  <si>
    <t>童伟莲</t>
  </si>
  <si>
    <t>奉贤区海马路绿地香颂8号</t>
  </si>
  <si>
    <t>0001482</t>
  </si>
  <si>
    <t>姚传珉</t>
  </si>
  <si>
    <t>泉口路109弄31号301室</t>
  </si>
  <si>
    <t>0001471</t>
  </si>
  <si>
    <t>胡惠琴</t>
  </si>
  <si>
    <t>铜川路1780弄113号401</t>
  </si>
  <si>
    <t>0001499</t>
  </si>
  <si>
    <t>米玉珍</t>
  </si>
  <si>
    <t>中山南路398弄7号501室</t>
  </si>
  <si>
    <t>周婷</t>
  </si>
  <si>
    <t>铜川路1780弄118号401室</t>
  </si>
  <si>
    <t>王敉</t>
  </si>
  <si>
    <t>华茂路100弄3号101室</t>
  </si>
  <si>
    <t>韩佳芮</t>
  </si>
  <si>
    <t>浦东新区御桥路1679弄31号1104室</t>
  </si>
  <si>
    <t>闰瑞华</t>
  </si>
  <si>
    <t>浦东林康乃馨路148弄63号406室</t>
  </si>
  <si>
    <t>静安区西康路501弄7号2603室</t>
  </si>
  <si>
    <t>满大力</t>
  </si>
  <si>
    <t>松江洞塔路728弄284号</t>
  </si>
  <si>
    <t>梁昆</t>
  </si>
  <si>
    <t>青浦区赵巷业辉路86弄82号</t>
  </si>
  <si>
    <t>李二鹏</t>
  </si>
  <si>
    <t>古楼公路1858弄194号601室</t>
  </si>
  <si>
    <t>0000353</t>
  </si>
  <si>
    <t>王桃</t>
  </si>
  <si>
    <t>徐汇区合宝路18号519室</t>
  </si>
  <si>
    <t>0000422</t>
  </si>
  <si>
    <t>李宏远</t>
  </si>
  <si>
    <t>长宁区长宁路380弄10号501室</t>
  </si>
  <si>
    <t>骆杰</t>
  </si>
  <si>
    <t>九亭象屿虹桥悦府15栋2号1004</t>
  </si>
  <si>
    <t>0003994</t>
  </si>
  <si>
    <t>户晖</t>
  </si>
  <si>
    <t>虹桥悦府11号36-601</t>
  </si>
  <si>
    <t>吴正西</t>
  </si>
  <si>
    <t>象屿虹桥悦府41号301</t>
  </si>
  <si>
    <t>吕志芳</t>
  </si>
  <si>
    <t>上海市金山区万达华府东区16-3501</t>
  </si>
  <si>
    <t>蒋材华</t>
  </si>
  <si>
    <t>金山翁园70号1402室</t>
  </si>
  <si>
    <t>宋丰胜</t>
  </si>
  <si>
    <t>东临路289弄10号101区</t>
  </si>
  <si>
    <t>0001483</t>
  </si>
  <si>
    <t>孙新祥</t>
  </si>
  <si>
    <t>长宁区金钟路428弄3号402</t>
  </si>
  <si>
    <t>0001198</t>
  </si>
  <si>
    <t>庞钦钦</t>
  </si>
  <si>
    <t>宝山区共康五村112号303室</t>
  </si>
  <si>
    <t>谢晓华</t>
  </si>
  <si>
    <t>德雷路900弄6号1102室</t>
  </si>
  <si>
    <t>陈俊炜</t>
  </si>
  <si>
    <t>138183781377</t>
  </si>
  <si>
    <t>浦东新区灵岩南路801弄3号1403室</t>
  </si>
  <si>
    <t>付婧</t>
  </si>
  <si>
    <t>栖山路1899弄22号402</t>
  </si>
  <si>
    <t>邓盼</t>
  </si>
  <si>
    <t>沪亭北路889弄15栋1301室</t>
  </si>
  <si>
    <t>180019346036</t>
  </si>
  <si>
    <t>大连西路253弄2号2307室</t>
  </si>
  <si>
    <t>李吉</t>
  </si>
  <si>
    <t>松江洞塔路728弄36栋9号上坤美墅</t>
  </si>
  <si>
    <t>0000404</t>
  </si>
  <si>
    <t>刘丽丽</t>
  </si>
  <si>
    <t>松江区泗泾公路758号金地玺华村130号</t>
  </si>
  <si>
    <t>0000504</t>
  </si>
  <si>
    <t>张志</t>
  </si>
  <si>
    <t>龙阳路1880弄47号1002室</t>
  </si>
  <si>
    <t>0001097</t>
  </si>
  <si>
    <t>顾永凤</t>
  </si>
  <si>
    <t>宝山区月辉路108弄9-701</t>
  </si>
  <si>
    <t>谭美红</t>
  </si>
  <si>
    <t>宝山区永乐路宝山二村101号601室</t>
  </si>
  <si>
    <t>退订单/客户觉得贵了</t>
  </si>
  <si>
    <t>0000390</t>
  </si>
  <si>
    <t>顾敏</t>
  </si>
  <si>
    <t>杨浦区平凉路558弄民家园26号102室</t>
  </si>
  <si>
    <t>徐琪</t>
  </si>
  <si>
    <t>浦东御桥路269弄121号1302室</t>
  </si>
  <si>
    <t>庄文霞</t>
  </si>
  <si>
    <t>桃林路299弄尚海郦景39号1602</t>
  </si>
  <si>
    <t>马万里</t>
  </si>
  <si>
    <t>青浦区赵巷镇业文路189弄保利西郊锦庐112号301</t>
  </si>
  <si>
    <t>张际虹</t>
  </si>
  <si>
    <t>松江区新桥镇陈春路677弄279号</t>
  </si>
  <si>
    <t>要测量</t>
  </si>
  <si>
    <t>何佳丽</t>
  </si>
  <si>
    <t>闵行区繁兴路1000弄14号801室</t>
  </si>
  <si>
    <t>董乐兴</t>
  </si>
  <si>
    <t>番颂湾7号802室</t>
  </si>
  <si>
    <t>向韬</t>
  </si>
  <si>
    <t>宝山区市台路555弄69号1601室</t>
  </si>
  <si>
    <t>贺蕴宇</t>
  </si>
  <si>
    <t>大宁城30号2002室</t>
  </si>
  <si>
    <t>刘赛</t>
  </si>
  <si>
    <t>长岛路800弄12号201</t>
  </si>
  <si>
    <t>陈雨</t>
  </si>
  <si>
    <t>香楠路399弄19号</t>
  </si>
  <si>
    <t>宝山区富平路299弄6号502</t>
  </si>
  <si>
    <t>张志荣</t>
  </si>
  <si>
    <t>芳华路229-12-302</t>
  </si>
  <si>
    <t>付宏秋</t>
  </si>
  <si>
    <t>胡晔薇</t>
  </si>
  <si>
    <t>181121220106</t>
  </si>
  <si>
    <t>徐汇区虹漕南路99弄1号21</t>
  </si>
  <si>
    <t>0000356</t>
  </si>
  <si>
    <t>钱从舟</t>
  </si>
  <si>
    <t>徐汇区陆家浜路1141弄1402室</t>
  </si>
  <si>
    <t>0001159</t>
  </si>
  <si>
    <t>陈清富</t>
  </si>
  <si>
    <t>杨浦区国伟路138弄城市庭园小区29号203室</t>
  </si>
  <si>
    <t>0000223</t>
  </si>
  <si>
    <t>施业新</t>
  </si>
  <si>
    <t>嘉定区黄家花园998弄龙湖天璞区38号301室</t>
  </si>
  <si>
    <t>鲁颖渲</t>
  </si>
  <si>
    <t>湖畔123号</t>
  </si>
  <si>
    <t>蔡馨</t>
  </si>
  <si>
    <t>湖畔270号</t>
  </si>
  <si>
    <t>0001200</t>
  </si>
  <si>
    <t>林一</t>
  </si>
  <si>
    <t>宝山区红林路158弄7号502室</t>
  </si>
  <si>
    <t>0002623</t>
  </si>
  <si>
    <t>胡晓尧</t>
  </si>
  <si>
    <t>浦东新区惠南镇拱此路289弄17栋1501</t>
  </si>
  <si>
    <t>0001199</t>
  </si>
  <si>
    <t>王炜</t>
  </si>
  <si>
    <t>黄浦区雨戴南路1739弄强江花园2号2702室</t>
  </si>
  <si>
    <t>曹棋晴</t>
  </si>
  <si>
    <t>0002054</t>
  </si>
  <si>
    <t>杜振勇</t>
  </si>
  <si>
    <t>奉贤海马路5888弄29号</t>
  </si>
  <si>
    <t>0000226</t>
  </si>
  <si>
    <t>章雪</t>
  </si>
  <si>
    <t>静安区延长中路451弄9号604室</t>
  </si>
  <si>
    <t>苏娟</t>
  </si>
  <si>
    <t>颛桥镇灯辉路601弄30号202室</t>
  </si>
  <si>
    <t>颜永祥</t>
  </si>
  <si>
    <t>浦东新区临沂路115弄2号702室</t>
  </si>
  <si>
    <t>叶保权</t>
  </si>
  <si>
    <t>徐汇区天等路259弄23号302</t>
  </si>
  <si>
    <t>0000505</t>
  </si>
  <si>
    <t>王旭栋</t>
  </si>
  <si>
    <t>杨思路855弄12号502室</t>
  </si>
  <si>
    <t>0000224</t>
  </si>
  <si>
    <t>周冬梅</t>
  </si>
  <si>
    <t>长宁区虹桥路1889弄西郊华庭小区80号202室</t>
  </si>
  <si>
    <t>闵行区吴宝路580弄16号401室</t>
  </si>
  <si>
    <t>徐琦</t>
  </si>
  <si>
    <t>上海浦东御桥路269弄121号1302室</t>
  </si>
  <si>
    <t>植丹红</t>
  </si>
  <si>
    <t>宏雅路18号87号701室</t>
  </si>
  <si>
    <t>牛红/柯炳金</t>
  </si>
  <si>
    <t>控江路1500弄33号</t>
  </si>
  <si>
    <t>陆晨骏</t>
  </si>
  <si>
    <t>浦东新区御桥路1679弄34号2103</t>
  </si>
  <si>
    <t>陈英良</t>
  </si>
  <si>
    <t>浦瑞路369弄13号102</t>
  </si>
  <si>
    <t>丁山勇</t>
  </si>
  <si>
    <t>青海路138-25B</t>
  </si>
  <si>
    <t>苏家滨路388弄169号302</t>
  </si>
  <si>
    <t>田宇</t>
  </si>
  <si>
    <t>宝山区苏家滨路388弄141号501</t>
  </si>
  <si>
    <t>史海俊</t>
  </si>
  <si>
    <t>御桥路1949号万科海上传奇29号1001室</t>
  </si>
  <si>
    <t>南彦</t>
  </si>
  <si>
    <t>杨南路1899弄99号1002室</t>
  </si>
  <si>
    <t>场北路669弄25号601室</t>
  </si>
  <si>
    <t>周培蒙</t>
  </si>
  <si>
    <t>徐和路165弄虹桥正荣府28号101室</t>
  </si>
  <si>
    <t>费思豪</t>
  </si>
  <si>
    <t>闵行区都市路3588弄210号</t>
  </si>
  <si>
    <t>航春路169弄12号701室</t>
  </si>
  <si>
    <t>伊犁园路134弄3号401室</t>
  </si>
  <si>
    <t>刘敏</t>
  </si>
  <si>
    <t>奉贤区奉金路168号</t>
  </si>
  <si>
    <t>0004378</t>
  </si>
  <si>
    <t>奉贤区南桥镇沪杭公路32弄鸿宝一村16区13幢45#501</t>
  </si>
  <si>
    <t>上海九亭镇亭北路199弄7号</t>
  </si>
  <si>
    <t>0000994</t>
  </si>
  <si>
    <t>毛嫣嫣</t>
  </si>
  <si>
    <t>浦东新区雪绒花路369弄50号502室</t>
  </si>
  <si>
    <t>0000347</t>
  </si>
  <si>
    <t>方成</t>
  </si>
  <si>
    <t>徐汇区天钥桥路500弄1102室</t>
  </si>
  <si>
    <t>0001243</t>
  </si>
  <si>
    <t>祁磊</t>
  </si>
  <si>
    <t>曹溪路222弄1号902室</t>
  </si>
  <si>
    <t>路女士</t>
  </si>
  <si>
    <t>杨浦区周顺车路900弄30小气851室</t>
  </si>
  <si>
    <t>马跃明</t>
  </si>
  <si>
    <t>太仓海域天境67号402室</t>
  </si>
  <si>
    <t>0001293</t>
  </si>
  <si>
    <t>吴国祥</t>
  </si>
  <si>
    <t>虹口区四平路755弄2号202室</t>
  </si>
  <si>
    <t>严俊</t>
  </si>
  <si>
    <t>汇浦路100弄15号1301室</t>
  </si>
  <si>
    <t>沈颖</t>
  </si>
  <si>
    <t>戴宇庆</t>
  </si>
  <si>
    <t>周博洋</t>
  </si>
  <si>
    <t>13613882909/18616096243</t>
  </si>
  <si>
    <t>虹口区临平北路89弄22号楼403</t>
  </si>
  <si>
    <t>2019.8.25</t>
  </si>
  <si>
    <t>贾小姐</t>
  </si>
  <si>
    <t>昆山张浦无盛路68号</t>
  </si>
  <si>
    <t>0003448</t>
  </si>
  <si>
    <t>赵雨辰</t>
  </si>
  <si>
    <t>家山区华顾四村小区402</t>
  </si>
  <si>
    <t>鄢震</t>
  </si>
  <si>
    <t>环湖西二路水松路艾森公馆2-1001室</t>
  </si>
  <si>
    <t>0000225</t>
  </si>
  <si>
    <t>杨潇潇/张哲</t>
  </si>
  <si>
    <t>浦东新区临沂路39号504室</t>
  </si>
  <si>
    <t>汤小强</t>
  </si>
  <si>
    <t>普陀区百玉路669弄水岸象庭小区21号1601室</t>
  </si>
  <si>
    <t>0000423</t>
  </si>
  <si>
    <t>陈鸣华</t>
  </si>
  <si>
    <t>玉兰花苑2号楼2402徐汇区</t>
  </si>
  <si>
    <t>徐逸伦</t>
  </si>
  <si>
    <t>中信泰富三期二号303</t>
  </si>
  <si>
    <t>0000903</t>
  </si>
  <si>
    <t>张昱鸿</t>
  </si>
  <si>
    <t>浦东区德平路100弄罗山广村小区72号103室</t>
  </si>
  <si>
    <t>0002582</t>
  </si>
  <si>
    <t>瞿敏捷</t>
  </si>
  <si>
    <t>嘉定区博园路8200弄7号1201室</t>
  </si>
  <si>
    <t>王智刚</t>
  </si>
  <si>
    <t>汶水路649弄50号102室</t>
  </si>
  <si>
    <t>闻元凯</t>
  </si>
  <si>
    <t>13916543695/13916817120</t>
  </si>
  <si>
    <t>汇成一村12号101室</t>
  </si>
  <si>
    <t>0004257</t>
  </si>
  <si>
    <t>吴成冬</t>
  </si>
  <si>
    <t>博兴路616弄39号101室</t>
  </si>
  <si>
    <t>0000424</t>
  </si>
  <si>
    <t>李伟</t>
  </si>
  <si>
    <t>青木路555弄1号1601室</t>
  </si>
  <si>
    <t>徐旻书</t>
  </si>
  <si>
    <t>浦东博小乐路555弄14号202室</t>
  </si>
  <si>
    <t>0003902</t>
  </si>
  <si>
    <t>贡孜瑶</t>
  </si>
  <si>
    <t>松江路1545弄2号2609室</t>
  </si>
  <si>
    <t>0004258</t>
  </si>
  <si>
    <t>杨冰雪</t>
  </si>
  <si>
    <t>杨浦区国伟路138弄88号1106室</t>
  </si>
  <si>
    <t>0001225</t>
  </si>
  <si>
    <t>刘婧文</t>
  </si>
  <si>
    <t>普陀区真北路2087弄52弄13号602</t>
  </si>
  <si>
    <t>周二下午测</t>
  </si>
  <si>
    <t>0001960</t>
  </si>
  <si>
    <t>罗平</t>
  </si>
  <si>
    <t>漕宝路3158弄三号1103室</t>
  </si>
  <si>
    <t>石伟</t>
  </si>
  <si>
    <t>金山区博海路118弄25号304室</t>
  </si>
  <si>
    <t>0001228</t>
  </si>
  <si>
    <t>李佳佳</t>
  </si>
  <si>
    <t>闵行区都市路2899弄6号601室</t>
  </si>
  <si>
    <t>0003934</t>
  </si>
  <si>
    <t>刘海霞</t>
  </si>
  <si>
    <t>浦东新春晖路25弄金伟苑23号101</t>
  </si>
  <si>
    <t>费宏达</t>
  </si>
  <si>
    <t>凉城路589弄20号402室</t>
  </si>
  <si>
    <t>0000030</t>
  </si>
  <si>
    <t>贾磊君</t>
  </si>
  <si>
    <t>杨浦区控江路629弄控江绿苑小区36号102室</t>
  </si>
  <si>
    <t>朱佳</t>
  </si>
  <si>
    <t>闵行区青都路358弄8号701号</t>
  </si>
  <si>
    <t>0000954</t>
  </si>
  <si>
    <t>马军</t>
  </si>
  <si>
    <t>闵行区景络路58弄57号701</t>
  </si>
  <si>
    <t>高湘君</t>
  </si>
  <si>
    <t>浦东新区晨晖路825弄32号302室</t>
  </si>
  <si>
    <t>0003904</t>
  </si>
  <si>
    <t>陈京津</t>
  </si>
  <si>
    <t>上海浦东浦电路331弄2号301</t>
  </si>
  <si>
    <t>郭潇</t>
  </si>
  <si>
    <t>淮海中路1500弄3号290</t>
  </si>
  <si>
    <t>景琳</t>
  </si>
  <si>
    <t>巨峰路399弄82号501</t>
  </si>
  <si>
    <t>顾晓燕</t>
  </si>
  <si>
    <t>亚南镇新城三期迎董215弄</t>
  </si>
  <si>
    <t>0003903</t>
  </si>
  <si>
    <t>姚美芳</t>
  </si>
  <si>
    <t>上海市七宝镇华路260弄21号1001</t>
  </si>
  <si>
    <t>刘秀</t>
  </si>
  <si>
    <t>金山区未来派3号601</t>
  </si>
  <si>
    <t>何桂林</t>
  </si>
  <si>
    <t>金山区未来派15单元404号</t>
  </si>
  <si>
    <t>秦家宏</t>
  </si>
  <si>
    <t>沐亭南路888弄玉盛欧景小区271号601室</t>
  </si>
  <si>
    <t>黄杨</t>
  </si>
  <si>
    <t>桃林路299弄39号802室</t>
  </si>
  <si>
    <t>姚司栋</t>
  </si>
  <si>
    <t>曲阳路621号2101</t>
  </si>
  <si>
    <t>王宴</t>
  </si>
  <si>
    <t>浦东区南大公路99弄20小区36号</t>
  </si>
  <si>
    <t>0003936</t>
  </si>
  <si>
    <t>孙晨浩</t>
  </si>
  <si>
    <t>浦东新区川沙镇华戴路599弄4号1501</t>
  </si>
  <si>
    <t>0000222</t>
  </si>
  <si>
    <t>陆晓燕</t>
  </si>
  <si>
    <t>嘉定区平城路388弄32号</t>
  </si>
  <si>
    <t>退订单/选择了实木门</t>
  </si>
  <si>
    <t>0000106</t>
  </si>
  <si>
    <r>
      <rPr>
        <sz val="9"/>
        <rFont val="宋体"/>
        <charset val="134"/>
        <scheme val="minor"/>
      </rPr>
      <t>沈</t>
    </r>
    <r>
      <rPr>
        <sz val="9"/>
        <color indexed="8"/>
        <rFont val="微软雅黑"/>
        <charset val="134"/>
      </rPr>
      <t>毅</t>
    </r>
  </si>
  <si>
    <t>北中路354弄32号401</t>
  </si>
  <si>
    <t>0003935</t>
  </si>
  <si>
    <r>
      <rPr>
        <sz val="9"/>
        <rFont val="宋体"/>
        <charset val="134"/>
        <scheme val="minor"/>
      </rPr>
      <t>凌</t>
    </r>
    <r>
      <rPr>
        <sz val="9"/>
        <color indexed="8"/>
        <rFont val="微软雅黑"/>
        <charset val="134"/>
      </rPr>
      <t>绮</t>
    </r>
  </si>
  <si>
    <t>浦东新区川沙镇华戴路599弄4号1201</t>
  </si>
  <si>
    <r>
      <rPr>
        <sz val="9"/>
        <rFont val="宋体"/>
        <charset val="134"/>
        <scheme val="minor"/>
      </rPr>
      <t>宋</t>
    </r>
    <r>
      <rPr>
        <sz val="9"/>
        <color indexed="8"/>
        <rFont val="微软雅黑"/>
        <charset val="134"/>
      </rPr>
      <t>渌芊</t>
    </r>
  </si>
  <si>
    <t>杨浦区控江路129弄33号302室</t>
  </si>
  <si>
    <t>徐晶</t>
  </si>
  <si>
    <t>上南路1551弄上南九村7号楼907</t>
  </si>
  <si>
    <t>0002630</t>
  </si>
  <si>
    <t>李芳芳</t>
  </si>
  <si>
    <t>浦东新区周浦镇周秀路168弄11号605室</t>
  </si>
  <si>
    <t>万若尘/谢兵</t>
  </si>
  <si>
    <t>陈中文</t>
  </si>
  <si>
    <t>浦东银山路342弄2号1604室</t>
  </si>
  <si>
    <t>郑琦</t>
  </si>
  <si>
    <t>宝山区呼玛五村14号503室</t>
  </si>
  <si>
    <r>
      <rPr>
        <sz val="9"/>
        <rFont val="Arial"/>
        <charset val="134"/>
      </rPr>
      <t>10</t>
    </r>
    <r>
      <rPr>
        <sz val="9"/>
        <rFont val="宋体"/>
        <charset val="134"/>
      </rPr>
      <t>月开工</t>
    </r>
  </si>
  <si>
    <t>李功萍</t>
  </si>
  <si>
    <t>宝山区月浦镇月浦九村79号101室</t>
  </si>
  <si>
    <t>黄伟东</t>
  </si>
  <si>
    <t>浦东东三里桥路211弄1号101</t>
  </si>
  <si>
    <t>0000186</t>
  </si>
  <si>
    <t>何伟佳</t>
  </si>
  <si>
    <t>嘉定区吴楠东路333弄24号501室</t>
  </si>
  <si>
    <t>0000912</t>
  </si>
  <si>
    <t>陈淳</t>
  </si>
  <si>
    <t>兰谷路2955弄3号701室</t>
  </si>
  <si>
    <t>童月娥</t>
  </si>
  <si>
    <t>杨浦区营口路789弄68号701室</t>
  </si>
  <si>
    <t>刘超然</t>
  </si>
  <si>
    <t>北艾路1660弄4号1604</t>
  </si>
  <si>
    <t>黄伟豪</t>
  </si>
  <si>
    <t>静安区洪江路1368弄长城苑小区2号706室</t>
  </si>
  <si>
    <t>浦东新区方竹路88弄7号801室</t>
  </si>
  <si>
    <t>徐小林</t>
  </si>
  <si>
    <t>普陀区真金路250弄49号602</t>
  </si>
  <si>
    <t>0004013</t>
  </si>
  <si>
    <t>张驰</t>
  </si>
  <si>
    <t>虹桥悦府</t>
  </si>
  <si>
    <t>沈迎春</t>
  </si>
  <si>
    <t>杨南路1899弄92号302</t>
  </si>
  <si>
    <t>戴怿雯</t>
  </si>
  <si>
    <t>汶水东路55弄20号102室</t>
  </si>
  <si>
    <t>熊俊</t>
  </si>
  <si>
    <t>静安区新闸路1990号1甲403室</t>
  </si>
  <si>
    <t>杨浦区长阳路1650号1号303</t>
  </si>
  <si>
    <t>周静</t>
  </si>
  <si>
    <t>静安区余姚路500弄1号404室</t>
  </si>
  <si>
    <t>胡熔</t>
  </si>
  <si>
    <t>嘉定区马陆镇立新村841号</t>
  </si>
  <si>
    <t>李宙雷</t>
  </si>
  <si>
    <t>闵行区宝城路500弄9号402室</t>
  </si>
  <si>
    <t>缪聪</t>
  </si>
  <si>
    <t>宝山区抚远路1288弄36号401室</t>
  </si>
  <si>
    <t>陈伟</t>
  </si>
  <si>
    <t>浦东上南一村103号104室</t>
  </si>
  <si>
    <t>纪亚琴</t>
  </si>
  <si>
    <t>钦州路917弄29号501室</t>
  </si>
  <si>
    <t>段超喆</t>
  </si>
  <si>
    <t>龙阳路1880弄72-1202</t>
  </si>
  <si>
    <t>甘橘彬</t>
  </si>
  <si>
    <t>武威路1019弄556号1栋</t>
  </si>
  <si>
    <t>青浦区朱家角黄泥娄路287弄12-701</t>
  </si>
  <si>
    <t>李令颐</t>
  </si>
  <si>
    <t>襄阳南路550弄1号1602</t>
  </si>
  <si>
    <t>邵琼</t>
  </si>
  <si>
    <t>虹口区虹湾路55弄14号2702室</t>
  </si>
  <si>
    <t>朱霁成</t>
  </si>
  <si>
    <t>丁香路999弄11号1501室</t>
  </si>
  <si>
    <t>汤瑜艳</t>
  </si>
  <si>
    <t>嘉松中路6999弄180号101</t>
  </si>
  <si>
    <t>金珲</t>
  </si>
  <si>
    <t>上海市闵行区漕宝路1508弄31号602室</t>
  </si>
  <si>
    <t>浦东御山路347弄60号105室</t>
  </si>
  <si>
    <t>宋雨蔚</t>
  </si>
  <si>
    <t>抚远路1211弄493号</t>
  </si>
  <si>
    <t>樊岳标</t>
  </si>
  <si>
    <t>浦东新区周浦横桥路69弄</t>
  </si>
  <si>
    <t>孙明新</t>
  </si>
  <si>
    <t>番颂湾西区26号101室</t>
  </si>
  <si>
    <t>0001226</t>
  </si>
  <si>
    <t>邹宏</t>
  </si>
  <si>
    <t>浦东新区康涵路58弄世贸云国小区10号701室</t>
  </si>
  <si>
    <t>0003937</t>
  </si>
  <si>
    <t>江旺喜</t>
  </si>
  <si>
    <t>上海映西北路1588弄2102室</t>
  </si>
  <si>
    <t>王珂</t>
  </si>
  <si>
    <t>淞江区明兴路18弄金地小区56号101室</t>
  </si>
  <si>
    <t>0000236</t>
  </si>
  <si>
    <t>徐中浏</t>
  </si>
  <si>
    <t>闵行区曲清路张瑰公馆小区19号702室</t>
  </si>
  <si>
    <t>李汶宴</t>
  </si>
  <si>
    <t>宝山区真大路399弄5号702室</t>
  </si>
  <si>
    <t>0000232</t>
  </si>
  <si>
    <t>周晓蓉</t>
  </si>
  <si>
    <t>虹口区凉城路357弄中虹花园小区7号701室</t>
  </si>
  <si>
    <t>0000233</t>
  </si>
  <si>
    <t>朱有军</t>
  </si>
  <si>
    <t>闵行区江航路378弄浦江后都小区34号903室</t>
  </si>
  <si>
    <t>0000189</t>
  </si>
  <si>
    <t>王周婷</t>
  </si>
  <si>
    <t>普陀区祁连山南路999弄42号302</t>
  </si>
  <si>
    <t>0000188</t>
  </si>
  <si>
    <t>宋弘</t>
  </si>
  <si>
    <t>普陀区延长西路633弄26号601室</t>
  </si>
  <si>
    <t>0001948</t>
  </si>
  <si>
    <r>
      <rPr>
        <sz val="9"/>
        <rFont val="宋体"/>
        <charset val="134"/>
      </rPr>
      <t>傅</t>
    </r>
    <r>
      <rPr>
        <sz val="9"/>
        <color rgb="FF000000"/>
        <rFont val="宋体"/>
        <charset val="134"/>
      </rPr>
      <t>宸彬</t>
    </r>
  </si>
  <si>
    <t>龙华西路315弄33号</t>
  </si>
  <si>
    <t>沈苏</t>
  </si>
  <si>
    <t>嘉峪关路379弄4号1401</t>
  </si>
  <si>
    <t>0000425</t>
  </si>
  <si>
    <t>上海市闵行区航北路123弄6号401</t>
  </si>
  <si>
    <t>0004259</t>
  </si>
  <si>
    <t>张颖炜</t>
  </si>
  <si>
    <t>高东镇高宝路229弄19号501室</t>
  </si>
  <si>
    <t>0001227</t>
  </si>
  <si>
    <t>陈海燕</t>
  </si>
  <si>
    <t>虹口区曲阳路118弄东方飘花园1号1101</t>
  </si>
  <si>
    <t>邓嘉</t>
  </si>
  <si>
    <t>上海市浦东新区花路500弄花木苑61号602</t>
  </si>
  <si>
    <t>0002632</t>
  </si>
  <si>
    <t>丁康</t>
  </si>
  <si>
    <t>天钥桥南路1199弄24号501室</t>
  </si>
  <si>
    <t>郭涛</t>
  </si>
  <si>
    <t>澳门路288弄24号603室</t>
  </si>
  <si>
    <t>唐瑞阳</t>
  </si>
  <si>
    <t>嘉定区塔城路718弄4号101</t>
  </si>
  <si>
    <t>付菲菲</t>
  </si>
  <si>
    <t>嘉定区菊园新区嘉康路</t>
  </si>
  <si>
    <t>虹口区四平路780弄森地带小区1号401室</t>
  </si>
  <si>
    <t>0000185</t>
  </si>
  <si>
    <t>北潼路28弄7号402室</t>
  </si>
  <si>
    <t>0000603</t>
  </si>
  <si>
    <t>何代东</t>
  </si>
  <si>
    <t>益江路299弄72号201室</t>
  </si>
  <si>
    <t>0000604</t>
  </si>
  <si>
    <t>任欣荣</t>
  </si>
  <si>
    <t>上海市浦东新区高斯路1296弄62号401室</t>
  </si>
  <si>
    <t>杨浩</t>
  </si>
  <si>
    <t>浦东御桥路269弄92号402室</t>
  </si>
  <si>
    <t>0000601</t>
  </si>
  <si>
    <t>邹建伟</t>
  </si>
  <si>
    <t>瑞安路211弄36号602</t>
  </si>
  <si>
    <t>0000602</t>
  </si>
  <si>
    <t>王洪阳</t>
  </si>
  <si>
    <t>荣科路500号208室</t>
  </si>
  <si>
    <t>王宇佳</t>
  </si>
  <si>
    <t>普陀区清潮路68弄47号503</t>
  </si>
  <si>
    <t>0003933</t>
  </si>
  <si>
    <t>周莺</t>
  </si>
  <si>
    <t>上海市长宁区程桥二村42号202室</t>
  </si>
  <si>
    <t>0000427</t>
  </si>
  <si>
    <t>王沙</t>
  </si>
  <si>
    <t>青浦区青潮路973弄16号502室</t>
  </si>
  <si>
    <t>0001965</t>
  </si>
  <si>
    <t>张君懿</t>
  </si>
  <si>
    <t>上海市闵行区漕宝路1467弄11区71号602</t>
  </si>
  <si>
    <t>谢蕾</t>
  </si>
  <si>
    <t>辛荆路81弄7号1903室</t>
  </si>
  <si>
    <t>0003617</t>
  </si>
  <si>
    <t>刘秉政</t>
  </si>
  <si>
    <t>嘉定区铜川路2395弄45号202室</t>
  </si>
  <si>
    <t>杨豆琪</t>
  </si>
  <si>
    <t>伴序路855弄38单元1402</t>
  </si>
  <si>
    <t>陈峭</t>
  </si>
  <si>
    <t>莘松路958弄山林道85号802室</t>
  </si>
  <si>
    <t>陈曼芸</t>
  </si>
  <si>
    <t>上海市罗平路399-205</t>
  </si>
  <si>
    <t>崔倩</t>
  </si>
  <si>
    <t>徐汇区华济路2弄3号402室</t>
  </si>
  <si>
    <t>郭妍宏</t>
  </si>
  <si>
    <t>古镇路450普陀区27号302</t>
  </si>
  <si>
    <t>贾曼曼</t>
  </si>
  <si>
    <t>嘉定江强爱特路185弄12号楼402室</t>
  </si>
  <si>
    <t>0000228</t>
  </si>
  <si>
    <t>刘贻善</t>
  </si>
  <si>
    <t>18121364647/17321218318</t>
  </si>
  <si>
    <t>徐汇区钦州南路杜鹃园小区33号102室</t>
  </si>
  <si>
    <t>王清伟</t>
  </si>
  <si>
    <t>普陀区梅岭北路1258弄12号302室</t>
  </si>
  <si>
    <t>0000913</t>
  </si>
  <si>
    <t>姜佳妮</t>
  </si>
  <si>
    <t>长宁区威宁路511弄30号1002室</t>
  </si>
  <si>
    <t>0004009</t>
  </si>
  <si>
    <t>青浦朱松建路339弄29号102</t>
  </si>
  <si>
    <t>0004010</t>
  </si>
  <si>
    <t>吴维祺</t>
  </si>
  <si>
    <t>徐汇区华展路55弄华候苑502</t>
  </si>
  <si>
    <t>0004011</t>
  </si>
  <si>
    <t>周兰芬</t>
  </si>
  <si>
    <t>绿中海明苑58号301室</t>
  </si>
  <si>
    <t>0001161</t>
  </si>
  <si>
    <t>邱景诚</t>
  </si>
  <si>
    <t>宝山区华灵路881弄4号504室</t>
  </si>
  <si>
    <t>马洪</t>
  </si>
  <si>
    <t>金山区学府路811-3-102室</t>
  </si>
  <si>
    <t>0003449</t>
  </si>
  <si>
    <t>长阳路28弄5号2302室</t>
  </si>
  <si>
    <t>王亚男</t>
  </si>
  <si>
    <t>木家路88弄4号902室</t>
  </si>
  <si>
    <t>施志仁</t>
  </si>
  <si>
    <t>138019929296</t>
  </si>
  <si>
    <t>川路778弄8号803室</t>
  </si>
  <si>
    <t>0000956</t>
  </si>
  <si>
    <t>杨赛漠</t>
  </si>
  <si>
    <t>华发路406弄5号904室</t>
  </si>
  <si>
    <t>0001162</t>
  </si>
  <si>
    <t>王轶娜</t>
  </si>
  <si>
    <t>静安区新闸路1335弄海关二村8号楼402</t>
  </si>
  <si>
    <t>0001189</t>
  </si>
  <si>
    <t>周顺</t>
  </si>
  <si>
    <t>普陀区育平路299弄中浩云花园小区1号603室</t>
  </si>
  <si>
    <t>赵晓菲</t>
  </si>
  <si>
    <t>上海市闵行区浦申路1288弄5-301</t>
  </si>
  <si>
    <t>0003939</t>
  </si>
  <si>
    <t>李旭明</t>
  </si>
  <si>
    <t>航北路180弄34号302</t>
  </si>
  <si>
    <t>王晟伟</t>
  </si>
  <si>
    <t>静安区西庭路264弄西康公寓小区1号301室</t>
  </si>
  <si>
    <t>于女士</t>
  </si>
  <si>
    <t>杨浦区世界路15弄34号601室</t>
  </si>
  <si>
    <t>宝山逸仙路1238弄46号801室</t>
  </si>
  <si>
    <t>章艺航</t>
  </si>
  <si>
    <t>于墨林</t>
  </si>
  <si>
    <t>浦东芳华路573弄26号502室</t>
  </si>
  <si>
    <t>杨永明</t>
  </si>
  <si>
    <t>虎山路2399弄85号1002室</t>
  </si>
  <si>
    <t>王子骏</t>
  </si>
  <si>
    <t>沪闵路8390弄3号楼501室</t>
  </si>
  <si>
    <t>王延明</t>
  </si>
  <si>
    <t>木越别墅101号</t>
  </si>
  <si>
    <t>浦东樱花路801弄9号1102室</t>
  </si>
  <si>
    <t>九新公路33弄3号306</t>
  </si>
  <si>
    <t>美墅284号</t>
  </si>
  <si>
    <t>刘小方</t>
  </si>
  <si>
    <t>青浦区赵巷业辉路199弄臻水岸22号</t>
  </si>
  <si>
    <t>徐汇区上中路51弄书香逸居11号303</t>
  </si>
  <si>
    <t>肖萌</t>
  </si>
  <si>
    <t>老沪太路199弄8号904室</t>
  </si>
  <si>
    <t>徐汇区虹漕南路255弄100号101室</t>
  </si>
  <si>
    <t>静安区平型关路2199弄13号1502室</t>
  </si>
  <si>
    <t>骆艺</t>
  </si>
  <si>
    <t>凤城五村9号301室</t>
  </si>
  <si>
    <t>刘宽</t>
  </si>
  <si>
    <t>普陀区江宁路1306-17-2102</t>
  </si>
  <si>
    <t>曹安公路2795弄148号</t>
  </si>
  <si>
    <t>0000605</t>
  </si>
  <si>
    <t>陈湘兰</t>
  </si>
  <si>
    <t>崇明区揽海路7弄1152渝东花园</t>
  </si>
  <si>
    <t>0000402</t>
  </si>
  <si>
    <t>王蓓珺</t>
  </si>
  <si>
    <t>真华路1800弄梧桐城邦小区</t>
  </si>
  <si>
    <t>0001618</t>
  </si>
  <si>
    <t>白玉华</t>
  </si>
  <si>
    <t>宝山区恒高路128弄3号1003室</t>
  </si>
  <si>
    <t>钱晶</t>
  </si>
  <si>
    <t>18521300983/18964515921</t>
  </si>
  <si>
    <t>浦东新区永泰路630弄74号301室</t>
  </si>
  <si>
    <t>胡奎</t>
  </si>
  <si>
    <t>徐汇区田林东路100弄26号201室</t>
  </si>
  <si>
    <t>0003944</t>
  </si>
  <si>
    <t>苗妮</t>
  </si>
  <si>
    <t>宝山区空城二村43号302</t>
  </si>
  <si>
    <t>退订单/先退后面让她老公去选</t>
  </si>
  <si>
    <t>司云飞</t>
  </si>
  <si>
    <t>东桥路1558弄37号1502号</t>
  </si>
  <si>
    <t>0000401</t>
  </si>
  <si>
    <t>吴黛霓</t>
  </si>
  <si>
    <t>宝山区杨北路669弄中环国际小区15号401室</t>
  </si>
  <si>
    <t>0000399</t>
  </si>
  <si>
    <t>韩世龙</t>
  </si>
  <si>
    <t>青浦区联茂路68弄29号102室</t>
  </si>
  <si>
    <t>松江区九亭镇伴宁路855弄36号1401</t>
  </si>
  <si>
    <t>0003942</t>
  </si>
  <si>
    <t>钱亚麟</t>
  </si>
  <si>
    <t>长潘路1717弄25号601</t>
  </si>
  <si>
    <t>0003938</t>
  </si>
  <si>
    <r>
      <rPr>
        <sz val="9"/>
        <rFont val="宋体"/>
        <charset val="134"/>
      </rPr>
      <t>卞</t>
    </r>
    <r>
      <rPr>
        <sz val="9.75"/>
        <color indexed="8"/>
        <rFont val="微软雅黑"/>
        <charset val="134"/>
      </rPr>
      <t>竹</t>
    </r>
    <r>
      <rPr>
        <sz val="9.75"/>
        <color indexed="8"/>
        <rFont val="微软雅黑"/>
        <charset val="134"/>
      </rPr>
      <t>君</t>
    </r>
  </si>
  <si>
    <t>昭山路245弄20号1404室</t>
  </si>
  <si>
    <t>康玉宵</t>
  </si>
  <si>
    <t>楼俐立</t>
  </si>
  <si>
    <t>闵行区七宝镇青年路267弄14号602室</t>
  </si>
  <si>
    <t>黄凤霞</t>
  </si>
  <si>
    <t>花木镇樱花路802弄24号1001</t>
  </si>
  <si>
    <t>王培芬</t>
  </si>
  <si>
    <t>上海市浦东新区300弄8号801室</t>
  </si>
  <si>
    <t>顾濯</t>
  </si>
  <si>
    <t>浦东新区康桥路1633弄绿洲康城11号402室</t>
  </si>
  <si>
    <t>黄剑斌</t>
  </si>
  <si>
    <t>奉贤区汤臣臻园18号-902</t>
  </si>
  <si>
    <t>王雷</t>
  </si>
  <si>
    <t>杨浦区殷行一村71号502室</t>
  </si>
  <si>
    <t>吴长鑫</t>
  </si>
  <si>
    <t>李嫣婧</t>
  </si>
  <si>
    <t>阜新路20弄1号1901</t>
  </si>
  <si>
    <t>陈旭阳</t>
  </si>
  <si>
    <t>宝山高境二村69号601</t>
  </si>
  <si>
    <t>嘉程东路69弄5号101室</t>
  </si>
  <si>
    <t>浦东新区周康路869弄266号1602室</t>
  </si>
  <si>
    <t>金彩华</t>
  </si>
  <si>
    <t>胜竹路2600弄10号401室</t>
  </si>
  <si>
    <t>盘古路19弄18号101室</t>
  </si>
  <si>
    <t>真金路250弄31号201室</t>
  </si>
  <si>
    <t>嘉定区宝安公路3636-16#6号1702室</t>
  </si>
  <si>
    <t>章宇清</t>
  </si>
  <si>
    <t>上海市松江区华亭路855弄25号204</t>
  </si>
  <si>
    <t>0000906</t>
  </si>
  <si>
    <t>邢桐</t>
  </si>
  <si>
    <t>中春路5839弄5号301</t>
  </si>
  <si>
    <t>0003945</t>
  </si>
  <si>
    <t>高悦</t>
  </si>
  <si>
    <t>浦东板泉路2000弄98号202</t>
  </si>
  <si>
    <t>黄雄</t>
  </si>
  <si>
    <t>仙霞西路888弄20号102室</t>
  </si>
  <si>
    <t>刘纯</t>
  </si>
  <si>
    <t>淞沪路98号2402室</t>
  </si>
  <si>
    <t>0003941</t>
  </si>
  <si>
    <t>温廉</t>
  </si>
  <si>
    <t>上海市奉贤区南桥镇褚家路100弄13号201室</t>
  </si>
  <si>
    <t>0055978</t>
  </si>
  <si>
    <t>陈忠良</t>
  </si>
  <si>
    <t>金永苑49号1001</t>
  </si>
  <si>
    <t>0055977</t>
  </si>
  <si>
    <t>葛成宜</t>
  </si>
  <si>
    <t>新南守园11楼302</t>
  </si>
  <si>
    <t>张玮</t>
  </si>
  <si>
    <t>绿地无双9-201</t>
  </si>
  <si>
    <t>0055976</t>
  </si>
  <si>
    <t>马英俊</t>
  </si>
  <si>
    <t>尚东区5号301</t>
  </si>
  <si>
    <t>祁顺路1388弄19号</t>
  </si>
  <si>
    <t>朱凡</t>
  </si>
  <si>
    <t>徐汇区陈家浜路1141弄1808室</t>
  </si>
  <si>
    <t>0002002</t>
  </si>
  <si>
    <t>张辰翔</t>
  </si>
  <si>
    <t>泗泾镇洞凤路758弄4栋180号101室</t>
  </si>
  <si>
    <t>0000397</t>
  </si>
  <si>
    <t>邵晓青</t>
  </si>
  <si>
    <t>长宁区虹桥路1060弄虹桥小区2号1102室</t>
  </si>
  <si>
    <t>陈晟斌</t>
  </si>
  <si>
    <t>浦东杨南路1899弄2号302</t>
  </si>
  <si>
    <t>0003901</t>
  </si>
  <si>
    <t>袁翔翔</t>
  </si>
  <si>
    <t>杨浦区江浦路2089弄14号901室</t>
  </si>
  <si>
    <t>0001477</t>
  </si>
  <si>
    <t>聂选奎</t>
  </si>
  <si>
    <t>临夏路98弄26号201室</t>
  </si>
  <si>
    <t>曾威</t>
  </si>
  <si>
    <t>严中路140弄44号202室</t>
  </si>
  <si>
    <t>李运翔</t>
  </si>
  <si>
    <t>闵行区航北路228弄116号501室</t>
  </si>
  <si>
    <t>宗磊</t>
  </si>
  <si>
    <t>武威东路479弄31号402</t>
  </si>
  <si>
    <t>房新耀</t>
  </si>
  <si>
    <t>航华三村172号501室</t>
  </si>
  <si>
    <t>高杰</t>
  </si>
  <si>
    <t>顾戴路1266弄87号902室</t>
  </si>
  <si>
    <t>闵行区沪闵路6666弄40号1102室</t>
  </si>
  <si>
    <t>曹杨四村121号801室</t>
  </si>
  <si>
    <t>鲁康路555弄26号704</t>
  </si>
  <si>
    <t>青浦区夏阳街道华青南路99弄10号602</t>
  </si>
  <si>
    <t>郑娟</t>
  </si>
  <si>
    <t>松江区洞泾镇长兴东路1288弄321号</t>
  </si>
  <si>
    <t>海信花苑B栋1902室</t>
  </si>
  <si>
    <t>湖畔三期12号</t>
  </si>
  <si>
    <t>王漪佳</t>
  </si>
  <si>
    <t>普陀区枣阳路185弄19号502室</t>
  </si>
  <si>
    <t>闵行区繁兴路300弄97号302</t>
  </si>
  <si>
    <t>0000409</t>
  </si>
  <si>
    <t>0002007</t>
  </si>
  <si>
    <t>宝山区抚远路993弄9栋10号301室</t>
  </si>
  <si>
    <t>0000398</t>
  </si>
  <si>
    <t>桑杨</t>
  </si>
  <si>
    <t>长沙区仙霞路579弄水霞小区35号1001室</t>
  </si>
  <si>
    <t>王啸天</t>
  </si>
  <si>
    <t>静安区常德路500弄1号27B室</t>
  </si>
  <si>
    <t>徐莉琼</t>
  </si>
  <si>
    <t>上海市浦东新区荡湾新村125号401室</t>
  </si>
  <si>
    <t>徐阳</t>
  </si>
  <si>
    <t>宝山区一二八纪念路55弄盛达家园小区9号501室</t>
  </si>
  <si>
    <t>黄玮峰</t>
  </si>
  <si>
    <t>西藏南路1090弄2号1814室</t>
  </si>
  <si>
    <t>潘浩轩</t>
  </si>
  <si>
    <t>长宁区安顺路351弄30号401室</t>
  </si>
  <si>
    <t>普陀区宁夏路353弄3号楼2303</t>
  </si>
  <si>
    <t>0001989</t>
  </si>
  <si>
    <t>王小涵</t>
  </si>
  <si>
    <t>浦连路99弄浦航新城21号楼302室</t>
  </si>
  <si>
    <t>林女士</t>
  </si>
  <si>
    <t>浦城路868弄18号2102室</t>
  </si>
  <si>
    <t>朱利星</t>
  </si>
  <si>
    <t>青浦区鲁班路388弄3号2102室</t>
  </si>
  <si>
    <t>曹艳文</t>
  </si>
  <si>
    <t>宝山区华和路255弄9号201室</t>
  </si>
  <si>
    <t>孙克明</t>
  </si>
  <si>
    <t>黄浦区鲁班路388弄9号1503</t>
  </si>
  <si>
    <t>漕溪北路99弄2号楼10c</t>
  </si>
  <si>
    <t>魏光辉</t>
  </si>
  <si>
    <t>高科西路3030弄16号601室</t>
  </si>
  <si>
    <t>昆山全旺路88弄127号107室</t>
  </si>
  <si>
    <t>御桥路288弄5号602室</t>
  </si>
  <si>
    <t>虹口区车站南路406弄302室</t>
  </si>
  <si>
    <t>夏芸</t>
  </si>
  <si>
    <t>漕浦路188号35栋601室</t>
  </si>
  <si>
    <t>陈曦</t>
  </si>
  <si>
    <t>浦东新区唐兴路373弄保利御樽苑8号202</t>
  </si>
  <si>
    <t>静安区延长中路727弄13号101室</t>
  </si>
  <si>
    <t>奉贤区西渡扶兰路9弄36号302室</t>
  </si>
  <si>
    <t>王跃进</t>
  </si>
  <si>
    <t>宛平南路420-2-1601</t>
  </si>
  <si>
    <t>吉镇路450弄45号501室</t>
  </si>
  <si>
    <t>柯炳金</t>
  </si>
  <si>
    <t>东方路2880弄2号1802室</t>
  </si>
  <si>
    <t>0001211</t>
  </si>
  <si>
    <t>吴君</t>
  </si>
  <si>
    <t>徐汇区香山路7弄东山小区3号201室</t>
  </si>
  <si>
    <t>0001476</t>
  </si>
  <si>
    <t>盛桂通</t>
  </si>
  <si>
    <t>天山河畔18号1503</t>
  </si>
  <si>
    <t>0001474</t>
  </si>
  <si>
    <t>兰溪溪</t>
  </si>
  <si>
    <t>上海市浦东新区新金桥路255号946室</t>
  </si>
  <si>
    <t>0001472</t>
  </si>
  <si>
    <t>虞胜</t>
  </si>
  <si>
    <t>虹湾路313弄11号1801</t>
  </si>
  <si>
    <t>0001473</t>
  </si>
  <si>
    <t>谢丽</t>
  </si>
  <si>
    <t>浦东新区红枫路108弄4号1608</t>
  </si>
  <si>
    <t>0001475</t>
  </si>
  <si>
    <t>林桂英</t>
  </si>
  <si>
    <t>宝山公路3636弄6号1701室</t>
  </si>
  <si>
    <t>0001478</t>
  </si>
  <si>
    <t>贾亚童</t>
  </si>
  <si>
    <t>普陀区清涧路68弄中鼎家园7号楼1001</t>
  </si>
  <si>
    <t>新桥镇明兴路18弄73号302室</t>
  </si>
  <si>
    <t>贾黛</t>
  </si>
  <si>
    <t>上海市浦东新区康桥路386弄</t>
  </si>
  <si>
    <t>2019.9.1</t>
  </si>
  <si>
    <r>
      <rPr>
        <sz val="9"/>
        <rFont val="宋体"/>
        <charset val="134"/>
      </rPr>
      <t>林</t>
    </r>
    <r>
      <rPr>
        <sz val="9.75"/>
        <color rgb="FF000000"/>
        <rFont val="微软雅黑"/>
        <charset val="134"/>
      </rPr>
      <t>隽琦</t>
    </r>
  </si>
  <si>
    <t>闵行区航北路180弄38号201</t>
  </si>
  <si>
    <t>0000396</t>
  </si>
  <si>
    <t>沈雅芳</t>
  </si>
  <si>
    <t>徐汇区漕溪北路1000号1301室</t>
  </si>
  <si>
    <t>0003717</t>
  </si>
  <si>
    <t>徐荣华</t>
  </si>
  <si>
    <t>北石路440弄24号902室</t>
  </si>
  <si>
    <t>0000915</t>
  </si>
  <si>
    <t>浦东区兰陵路23弄1号603室</t>
  </si>
  <si>
    <t>刘恒君</t>
  </si>
  <si>
    <t>闵行区七宝镇漕宝路1467弄四区30号楼102室</t>
  </si>
  <si>
    <t>李东亭</t>
  </si>
  <si>
    <t>浦东区兰孝路2955弄8号201室</t>
  </si>
  <si>
    <t>冯晋利</t>
  </si>
  <si>
    <t>松江区古楼公路659弄23-1号</t>
  </si>
  <si>
    <t>张立波</t>
  </si>
  <si>
    <t>13918426465</t>
  </si>
  <si>
    <t>御桥路2066弄2号503室</t>
  </si>
  <si>
    <t>0000395</t>
  </si>
  <si>
    <t>顾民</t>
  </si>
  <si>
    <t>宝山区长白山路633弄菊晨苑小区30号601室</t>
  </si>
  <si>
    <t>0000394</t>
  </si>
  <si>
    <t>顾军</t>
  </si>
  <si>
    <t>宝山区长白山路633弄菊晨苑小区18号601室</t>
  </si>
  <si>
    <t>0000917</t>
  </si>
  <si>
    <t>姚威</t>
  </si>
  <si>
    <t>浦东新区浦明路99弄仁恒滨江小区28号2203室</t>
  </si>
  <si>
    <t>0002008</t>
  </si>
  <si>
    <t>马晓慷</t>
  </si>
  <si>
    <t>南江燕路229弄31号201室</t>
  </si>
  <si>
    <t>于斌</t>
  </si>
  <si>
    <t>瑞建路88弄42号</t>
  </si>
  <si>
    <t>张文</t>
  </si>
  <si>
    <t>浦东益丰路55弄50号101室</t>
  </si>
  <si>
    <t>张尧</t>
  </si>
  <si>
    <t>上海崇明陈佳镇裕政路725弄90号201</t>
  </si>
  <si>
    <t>杨惠卿</t>
  </si>
  <si>
    <t>漕宝路1558弄11区6号</t>
  </si>
  <si>
    <t>唐阿姨（俞勇）</t>
  </si>
  <si>
    <t>浦东新区唐镇壹号20号1501</t>
  </si>
  <si>
    <t>谈石磊</t>
  </si>
  <si>
    <t>顺平路1260弄3号504室</t>
  </si>
  <si>
    <t>黄鲲</t>
  </si>
  <si>
    <t>长宁区虹桥路1776弄东潮小区16号202室</t>
  </si>
  <si>
    <t>张霆</t>
  </si>
  <si>
    <t>武宁路300弄21号903室</t>
  </si>
  <si>
    <t>王旻</t>
  </si>
  <si>
    <t>浦东区南六公路99弄20支弄36号</t>
  </si>
  <si>
    <t>潘文彦</t>
  </si>
  <si>
    <t>浦秀馨苑47号42</t>
  </si>
  <si>
    <t>王化雪</t>
  </si>
  <si>
    <t>梅群艳</t>
  </si>
  <si>
    <t>宝山松兰路1166弄72号501室</t>
  </si>
  <si>
    <t>李冬梅</t>
  </si>
  <si>
    <t>云台路1101弄14号301室</t>
  </si>
  <si>
    <t>安春燕</t>
  </si>
  <si>
    <t>静安新城四区39号601</t>
  </si>
  <si>
    <t>福州路299弄7号702室</t>
  </si>
  <si>
    <t>普陀区曹杨五村139号302室</t>
  </si>
  <si>
    <t>朴龙哲</t>
  </si>
  <si>
    <t>上丰路1483弄93号601室</t>
  </si>
  <si>
    <t>13061616156</t>
  </si>
  <si>
    <t xml:space="preserve">闵行区畸路99弄315号102 </t>
  </si>
  <si>
    <t>陈培贞</t>
  </si>
  <si>
    <t>浦东证大家园2期五莲路1728弄35号301室</t>
  </si>
  <si>
    <t>史种秀</t>
  </si>
  <si>
    <t>控江路广远新都50号102室</t>
  </si>
  <si>
    <t>0001085</t>
  </si>
  <si>
    <t>常晖</t>
  </si>
  <si>
    <t>上丰路1483弄2期117号101室</t>
  </si>
  <si>
    <t>0001238</t>
  </si>
  <si>
    <t>姜晨惠</t>
  </si>
  <si>
    <t>浦东新区博山路51弄47号602</t>
  </si>
  <si>
    <t>0001007</t>
  </si>
  <si>
    <t>青浦区嘉松中路6888弄265室</t>
  </si>
  <si>
    <t>0001296</t>
  </si>
  <si>
    <t>徐中传</t>
  </si>
  <si>
    <t>场中路288弄13号102室</t>
  </si>
  <si>
    <t>0000999</t>
  </si>
  <si>
    <t>成曹英</t>
  </si>
  <si>
    <t>宝山区场北路669弄49号601室</t>
  </si>
  <si>
    <t>竹林风</t>
  </si>
  <si>
    <t>洪山路180弄1号408</t>
  </si>
  <si>
    <t>姚翔</t>
  </si>
  <si>
    <t>静安区共和新路沪太路655弄2号2304室</t>
  </si>
  <si>
    <t>0000299</t>
  </si>
  <si>
    <t>恒盛苑姚虹西路299弄8号1402</t>
  </si>
  <si>
    <t>0000300</t>
  </si>
  <si>
    <t>嘉定区马陆镇云屏路388弄</t>
  </si>
  <si>
    <t>金戈</t>
  </si>
  <si>
    <t>上海市苏家滨路388弄134号</t>
  </si>
  <si>
    <t>0001160</t>
  </si>
  <si>
    <t>王立业</t>
  </si>
  <si>
    <t>恩园路67弄201小区</t>
  </si>
  <si>
    <t>0004012</t>
  </si>
  <si>
    <t>李远翔</t>
  </si>
  <si>
    <t>闵行区航北路228弄丹桂花园116号501</t>
  </si>
  <si>
    <t>陈美玲/周新潮</t>
  </si>
  <si>
    <t>林国维</t>
  </si>
  <si>
    <t>闵行区浦江镇鹤霞路55弄49号401室</t>
  </si>
  <si>
    <t>0001966</t>
  </si>
  <si>
    <t>王奇雯</t>
  </si>
  <si>
    <t>上海市徐汇区龙华西路398弄10号2102室</t>
  </si>
  <si>
    <t>0001962</t>
  </si>
  <si>
    <t>邱少娟</t>
  </si>
  <si>
    <t>虹桥路666弄5号1301室</t>
  </si>
  <si>
    <t>退订单/客户没看上我们的色板</t>
  </si>
  <si>
    <t>潘磊</t>
  </si>
  <si>
    <t>吴旭光</t>
  </si>
  <si>
    <t>13917474371/15951059762</t>
  </si>
  <si>
    <t>闵行区鹤庆路136弄94号603室</t>
  </si>
  <si>
    <t>王媛</t>
  </si>
  <si>
    <t>闵行区闵驰一路302弄26号202室</t>
  </si>
  <si>
    <t>李园园</t>
  </si>
  <si>
    <t>嘉定区嘉峪关路280弄嘉海雅苑2号楼20室</t>
  </si>
  <si>
    <t>何瑾</t>
  </si>
  <si>
    <t>徐汇区东安路180弄6号201</t>
  </si>
  <si>
    <t>杨建娣</t>
  </si>
  <si>
    <t>虹口区同鸣路172号</t>
  </si>
  <si>
    <t>岳宇</t>
  </si>
  <si>
    <t>宝山区华滨新村5号103</t>
  </si>
  <si>
    <t>马强</t>
  </si>
  <si>
    <t>浦东新区南汇新城镇竹柏路366弄150号402室</t>
  </si>
  <si>
    <t>王尚力</t>
  </si>
  <si>
    <t>浦东新区成山路2008弄大华锦绣华路18街区16栋1101室</t>
  </si>
  <si>
    <t>奉贤区锦港佳苑三期5号1801</t>
  </si>
  <si>
    <t>周蓉</t>
  </si>
  <si>
    <t>18601713270队长</t>
  </si>
  <si>
    <t>浦东新区长青路103弄7号401室</t>
  </si>
  <si>
    <t>陈捷</t>
  </si>
  <si>
    <t>浦东新区高青路2861号123号1001室</t>
  </si>
  <si>
    <t>完工</t>
  </si>
  <si>
    <t>李劫</t>
  </si>
  <si>
    <t>徐汇区天等路259弄27号1602室</t>
  </si>
  <si>
    <t>胡华</t>
  </si>
  <si>
    <t>浦东新区西营南路68弄10号502室</t>
  </si>
  <si>
    <t>刘赫</t>
  </si>
  <si>
    <t>庄海防</t>
  </si>
  <si>
    <t>13918386662队长13373693975</t>
  </si>
  <si>
    <t>闵行区申贵路1799弄12号502室</t>
  </si>
  <si>
    <t>许梦巍</t>
  </si>
  <si>
    <t>18964740928队长18604466424</t>
  </si>
  <si>
    <t>普陀区真北路277弄14号602室</t>
  </si>
  <si>
    <t>孙丽新</t>
  </si>
  <si>
    <t>13918289325队长13524336508</t>
  </si>
  <si>
    <t>徐汇区龙昊路9弄5号605室</t>
  </si>
  <si>
    <t>吕秀荣</t>
  </si>
  <si>
    <t>浦东新区孙桥路238弄11号楼502室</t>
  </si>
  <si>
    <t>青浦区崧建路33弄佳兆业君汇上品8号101室</t>
  </si>
  <si>
    <t>毕雅洁</t>
  </si>
  <si>
    <t>13501781632队长13524336508</t>
  </si>
  <si>
    <t>闵行区海申花园27号304室</t>
  </si>
  <si>
    <t>詹兆瑞</t>
  </si>
  <si>
    <t>黄浦区柳市路1弄10号3003</t>
  </si>
  <si>
    <t>郑建科</t>
  </si>
  <si>
    <t>松江区沪亭南路九亭家园29号402</t>
  </si>
  <si>
    <t>杨丽娟</t>
  </si>
  <si>
    <t>明中路1777弄20号1604室新弘国际城</t>
  </si>
  <si>
    <t>17317870835队长18721563608</t>
  </si>
  <si>
    <t>虹口区赤峰路626弄22号601室</t>
  </si>
  <si>
    <t>程谷成</t>
  </si>
  <si>
    <t>虹口区华昌路68弄2号501室</t>
  </si>
  <si>
    <t>陈伟杨</t>
  </si>
  <si>
    <t>13621930716队长15951059762</t>
  </si>
  <si>
    <t>上海黄浦区重庆北路235号901室</t>
  </si>
  <si>
    <t>郭少敏</t>
  </si>
  <si>
    <t>13701690989队长18516692571</t>
  </si>
  <si>
    <t>嘉定区芳林路1357弄湖畔天下三期329号1101室</t>
  </si>
  <si>
    <t>普陀区真光路798-79-801室</t>
  </si>
  <si>
    <t>0002048</t>
  </si>
  <si>
    <t>倪鹏途</t>
  </si>
  <si>
    <t>浦东新区武山路2008弄15号1001室</t>
  </si>
  <si>
    <t>0000753</t>
  </si>
  <si>
    <t>徐刀中环1号501室</t>
  </si>
  <si>
    <t>6号开始动工</t>
  </si>
  <si>
    <t>0000751</t>
  </si>
  <si>
    <t>杜承丞</t>
  </si>
  <si>
    <t>御中环18号201室</t>
  </si>
  <si>
    <t>0000752</t>
  </si>
  <si>
    <t>黄春勇</t>
  </si>
  <si>
    <t>御中环13号902室</t>
  </si>
  <si>
    <t>0000754</t>
  </si>
  <si>
    <t>御中环13号702室</t>
  </si>
  <si>
    <t>0000755</t>
  </si>
  <si>
    <t>糜晓琳</t>
  </si>
  <si>
    <t>御中环5号402</t>
  </si>
  <si>
    <t>退订单/小区是精装 ，本来打算参加团购换门，现在暂时不换，定金需要退</t>
  </si>
  <si>
    <t>0000756</t>
  </si>
  <si>
    <t>秦梓善</t>
  </si>
  <si>
    <t>御中环9号1002室</t>
  </si>
  <si>
    <t>0000757</t>
  </si>
  <si>
    <t xml:space="preserve">孙萍萍 </t>
  </si>
  <si>
    <t>御中环9号201室</t>
  </si>
  <si>
    <t>0000758</t>
  </si>
  <si>
    <t>王少辉</t>
  </si>
  <si>
    <t>御中环6号202</t>
  </si>
  <si>
    <t>0000759</t>
  </si>
  <si>
    <t>吴红爱</t>
  </si>
  <si>
    <t>御中环13号802室</t>
  </si>
  <si>
    <t>0000919</t>
  </si>
  <si>
    <t>程女士</t>
  </si>
  <si>
    <t>浦东区三林镇西泰林路750弄5号601室</t>
  </si>
  <si>
    <t>李航</t>
  </si>
  <si>
    <t>御中环9号502</t>
  </si>
  <si>
    <t>0000761</t>
  </si>
  <si>
    <t>肖研</t>
  </si>
  <si>
    <t>御中环3号302室</t>
  </si>
  <si>
    <t>0000763</t>
  </si>
  <si>
    <t>张先国</t>
  </si>
  <si>
    <t>御中环别墅43号</t>
  </si>
  <si>
    <t>00000765</t>
  </si>
  <si>
    <t>张欣欣</t>
  </si>
  <si>
    <t>御中环9号102室</t>
  </si>
  <si>
    <t>0000766</t>
  </si>
  <si>
    <t>赵梓淇</t>
  </si>
  <si>
    <t>御中环3号502室</t>
  </si>
  <si>
    <t>退订单/精装房，暂时不换门</t>
  </si>
  <si>
    <t>0000767</t>
  </si>
  <si>
    <t>周灵晨</t>
  </si>
  <si>
    <t>御中环7号102</t>
  </si>
  <si>
    <t xml:space="preserve">杨浦区断行路850弄46号302室 </t>
  </si>
  <si>
    <t>王艳堂</t>
  </si>
  <si>
    <t>闵行区富国路199弄9号402室</t>
  </si>
  <si>
    <t>0003349</t>
  </si>
  <si>
    <t>徐汇区龙吟路500弄12号102室</t>
  </si>
  <si>
    <t>应南萍</t>
  </si>
  <si>
    <t>华杨路999弄131号</t>
  </si>
  <si>
    <t>董斌</t>
  </si>
  <si>
    <t>嘉定区陈家山路明光伯爵天地2-1804</t>
  </si>
  <si>
    <t>封周路368弄7号1402室</t>
  </si>
  <si>
    <t>王梦颖</t>
  </si>
  <si>
    <t>大华路693弄13号502室</t>
  </si>
  <si>
    <t>翟先生</t>
  </si>
  <si>
    <t>沪闵路5600弄885弄38号1001室</t>
  </si>
  <si>
    <t>张瑛</t>
  </si>
  <si>
    <t>闵行区银廉路76弄24号1601室</t>
  </si>
  <si>
    <t>郑城</t>
  </si>
  <si>
    <t>保德路1316弄84号603室</t>
  </si>
  <si>
    <t>徐玲艳</t>
  </si>
  <si>
    <t>上海市青浦区赵巷镇</t>
  </si>
  <si>
    <t>方国辉</t>
  </si>
  <si>
    <t>上海市青浦区徐泾北城乐191弄30号1004室</t>
  </si>
  <si>
    <t>周飞</t>
  </si>
  <si>
    <t>上海市松江区文翔路3088弄337号102室</t>
  </si>
  <si>
    <t>郭力希</t>
  </si>
  <si>
    <t>浦东新区晨晖路825弄11号305</t>
  </si>
  <si>
    <r>
      <rPr>
        <sz val="9"/>
        <rFont val="宋体"/>
        <charset val="134"/>
      </rPr>
      <t>姜雯</t>
    </r>
    <r>
      <rPr>
        <sz val="9.75"/>
        <color indexed="8"/>
        <rFont val="微软雅黑"/>
        <charset val="134"/>
      </rPr>
      <t>铱</t>
    </r>
  </si>
  <si>
    <t>139168940621/13564395680</t>
  </si>
  <si>
    <t>上海市普陀区棕路301弄36号501室</t>
  </si>
  <si>
    <r>
      <rPr>
        <sz val="9"/>
        <rFont val="宋体"/>
        <charset val="134"/>
      </rPr>
      <t>邱</t>
    </r>
    <r>
      <rPr>
        <sz val="10"/>
        <color indexed="8"/>
        <rFont val="微软雅黑"/>
        <charset val="134"/>
      </rPr>
      <t>珺</t>
    </r>
  </si>
  <si>
    <t>杨浦区四平路1145弄29号802室</t>
  </si>
  <si>
    <t>0001323</t>
  </si>
  <si>
    <t>方姐</t>
  </si>
  <si>
    <t>信义嘉庭3栋4号1502室</t>
  </si>
  <si>
    <t>0001406</t>
  </si>
  <si>
    <t>邵鑫</t>
  </si>
  <si>
    <t>浦东桃林路299号9号楼2002室</t>
  </si>
  <si>
    <r>
      <rPr>
        <sz val="9"/>
        <rFont val="宋体"/>
        <charset val="134"/>
      </rPr>
      <t>薛</t>
    </r>
    <r>
      <rPr>
        <sz val="9.75"/>
        <color indexed="8"/>
        <rFont val="微软雅黑"/>
        <charset val="134"/>
      </rPr>
      <t>建</t>
    </r>
  </si>
  <si>
    <t>嘉定绿地天呈85号101室</t>
  </si>
  <si>
    <t>0000924</t>
  </si>
  <si>
    <t>中山南路398弄6号2501室</t>
  </si>
  <si>
    <t>0000388</t>
  </si>
  <si>
    <t>许洁</t>
  </si>
  <si>
    <t>芦恒路378弄185号601室</t>
  </si>
  <si>
    <t>王志敏</t>
  </si>
  <si>
    <t>浦东新区东陆路2000弄9号901室</t>
  </si>
  <si>
    <t>陈果</t>
  </si>
  <si>
    <t>浦东新区四季雅苑61号</t>
  </si>
  <si>
    <t>李智伟</t>
  </si>
  <si>
    <t>18201763663</t>
  </si>
  <si>
    <t>浦东新区康杉路386弄1-301</t>
  </si>
  <si>
    <t>退订单/客户不换门了</t>
  </si>
  <si>
    <t>浦东区巨峰路667弄证大家园</t>
  </si>
  <si>
    <t>徐开元</t>
  </si>
  <si>
    <t>浦东新区民区路260弄曹路佳苑小区15号801室</t>
  </si>
  <si>
    <t>0000921</t>
  </si>
  <si>
    <t>郭萌萌</t>
  </si>
  <si>
    <t>浦东新区上丰路1483弄金融家52号2002</t>
  </si>
  <si>
    <t>0002633</t>
  </si>
  <si>
    <t>王非非</t>
  </si>
  <si>
    <t>康杉路御中环6号301</t>
  </si>
  <si>
    <t>2019.9.2</t>
  </si>
  <si>
    <t>门畅</t>
  </si>
  <si>
    <t>杨浦区铁岭路110弄9号407</t>
  </si>
  <si>
    <t>张晶</t>
  </si>
  <si>
    <t>杨浦区靖京东路58弄20号103室</t>
  </si>
  <si>
    <t>朱蓓蕾</t>
  </si>
  <si>
    <t>杨浦区松花江路311弄907室</t>
  </si>
  <si>
    <t>王征宇</t>
  </si>
  <si>
    <t>平凉路1899弄22号1003室</t>
  </si>
  <si>
    <t>伍力澜</t>
  </si>
  <si>
    <t>浦东区东方路1881弄42号303室</t>
  </si>
  <si>
    <t>邹家俊</t>
  </si>
  <si>
    <t>秀沿西路258/281/1201</t>
  </si>
  <si>
    <t>邹赖</t>
  </si>
  <si>
    <t>13817545722/13764530536</t>
  </si>
  <si>
    <t>长宁区天山路202弄28号501</t>
  </si>
  <si>
    <t>沈蓓</t>
  </si>
  <si>
    <t>杨浦区三门路158弄西1101室</t>
  </si>
  <si>
    <t>虹桥悦府12号1304室</t>
  </si>
  <si>
    <t>高庆文</t>
  </si>
  <si>
    <t>虹口区柳营路45弄18号1803室</t>
  </si>
  <si>
    <t>陈宣</t>
  </si>
  <si>
    <t>嘉定区陵德路333弄196号1303室</t>
  </si>
  <si>
    <r>
      <rPr>
        <sz val="9"/>
        <rFont val="宋体"/>
        <charset val="134"/>
      </rPr>
      <t>费</t>
    </r>
    <r>
      <rPr>
        <sz val="9.75"/>
        <color indexed="8"/>
        <rFont val="微软雅黑"/>
        <charset val="134"/>
      </rPr>
      <t>正</t>
    </r>
    <r>
      <rPr>
        <sz val="9.75"/>
        <color indexed="8"/>
        <rFont val="微软雅黑"/>
        <charset val="134"/>
      </rPr>
      <t>富</t>
    </r>
  </si>
  <si>
    <t>180017758557</t>
  </si>
  <si>
    <t>上丰路1483弄53号102室</t>
  </si>
  <si>
    <t>高晴</t>
  </si>
  <si>
    <t>松江路259弄14号1001室</t>
  </si>
  <si>
    <t>高丽丽</t>
  </si>
  <si>
    <t>上海市肖塘乐康苑54号401</t>
  </si>
  <si>
    <t>0055933</t>
  </si>
  <si>
    <t>陆辰</t>
  </si>
  <si>
    <t>尚东区17号302室</t>
  </si>
  <si>
    <t>陈勇</t>
  </si>
  <si>
    <t>套陵路299号</t>
  </si>
  <si>
    <t>王宏微</t>
  </si>
  <si>
    <t>浦明路133弄1号2503室</t>
  </si>
  <si>
    <t>浦东新区巨峰路399弄80号502室</t>
  </si>
  <si>
    <t>汤晓骏</t>
  </si>
  <si>
    <t>辽源一村1号401室</t>
  </si>
  <si>
    <t>孙杰</t>
  </si>
  <si>
    <t>宝山临江三村东河沿50弄2号101室</t>
  </si>
  <si>
    <t>杰克</t>
  </si>
  <si>
    <t>德园路1509弄10号1302号</t>
  </si>
  <si>
    <t>王光磊</t>
  </si>
  <si>
    <t>灵山路600弄43号301室</t>
  </si>
  <si>
    <t>郑方遵</t>
  </si>
  <si>
    <t>151210818164</t>
  </si>
  <si>
    <t>虹井路888弄7号801室</t>
  </si>
  <si>
    <t>钱师傅</t>
  </si>
  <si>
    <t>江文路125弄6号1102室</t>
  </si>
  <si>
    <t>沙建荣</t>
  </si>
  <si>
    <t>江杨北路1568弄47号2303室</t>
  </si>
  <si>
    <t>单晓强</t>
  </si>
  <si>
    <t>新世纪名苑18号401室</t>
  </si>
  <si>
    <t>陈涛</t>
  </si>
  <si>
    <t>营口路789弄68号701室</t>
  </si>
  <si>
    <t>倪建华</t>
  </si>
  <si>
    <t>徐汇区大木桥路968弄5号1904室</t>
  </si>
  <si>
    <t>单晓瑜</t>
  </si>
  <si>
    <t>桂平之路35弄67号601室</t>
  </si>
  <si>
    <t>于旭均</t>
  </si>
  <si>
    <t>郑悦路500弄36号501室</t>
  </si>
  <si>
    <t>徐队</t>
  </si>
  <si>
    <t>东靖路669弄39号702室</t>
  </si>
  <si>
    <t>江呈泉/马才干</t>
  </si>
  <si>
    <t>虹湾路313弄26号2003室</t>
  </si>
  <si>
    <t>浦东德平路100弄102室303室</t>
  </si>
  <si>
    <t>卢芹</t>
  </si>
  <si>
    <t>陆锦平</t>
  </si>
  <si>
    <t>北渔路28弄29号901室</t>
  </si>
  <si>
    <t>国霞路55弄1号1102室</t>
  </si>
  <si>
    <t>水电新区55号602</t>
  </si>
  <si>
    <t>13564360265/13918683218</t>
  </si>
  <si>
    <t>书院镇塘北村509号</t>
  </si>
  <si>
    <t>青浦区青浦街道朱家角路306弄7号1005室</t>
  </si>
  <si>
    <t>嘉定区泽普路588弄49号1801室</t>
  </si>
  <si>
    <t>朱鳌春</t>
  </si>
  <si>
    <t>杨浦区眉州路515弄36号304室</t>
  </si>
  <si>
    <t>于琪瑞</t>
  </si>
  <si>
    <t>上海虹许路788弄17号606室</t>
  </si>
  <si>
    <t>林浩楠</t>
  </si>
  <si>
    <t>崇明区陈北公路1568弄425号</t>
  </si>
  <si>
    <t>零陵路789弄17号3101</t>
  </si>
  <si>
    <t>刘凤英</t>
  </si>
  <si>
    <t>普陀区真光路1433弄37号502室</t>
  </si>
  <si>
    <t>邵丽珍</t>
  </si>
  <si>
    <t>浦驰路188弄75号603室</t>
  </si>
  <si>
    <t>李婷婷</t>
  </si>
  <si>
    <t>松江区新家园路128弄94号102</t>
  </si>
  <si>
    <t>孙晓卿</t>
  </si>
  <si>
    <t>浦秀路1139弄61号302</t>
  </si>
  <si>
    <t>潘峰妹</t>
  </si>
  <si>
    <t>金山区香颂湾26号1102</t>
  </si>
  <si>
    <t>张妮娜</t>
  </si>
  <si>
    <t>宝山区华能时代花园18号401</t>
  </si>
  <si>
    <t>消晓琼</t>
  </si>
  <si>
    <t>晨晖路377弄170号202室</t>
  </si>
  <si>
    <t>陆一</t>
  </si>
  <si>
    <t>静安区草沃路66弄13号2102室</t>
  </si>
  <si>
    <t>000076</t>
  </si>
  <si>
    <t>傅家锐</t>
  </si>
  <si>
    <t>龙东大道415弄311号401室</t>
  </si>
  <si>
    <t>0001165</t>
  </si>
  <si>
    <t xml:space="preserve">宝山区菊象路55弄馨清佳苑小区11号102室 </t>
  </si>
  <si>
    <t>宋女士/陈慧</t>
  </si>
  <si>
    <t>13151076269/13764681106</t>
  </si>
  <si>
    <t>闵行区紫龙路500弄37号601室</t>
  </si>
  <si>
    <t>李航祺</t>
  </si>
  <si>
    <t>闵行区古美路1458弄中夜小区2号1406室</t>
  </si>
  <si>
    <t>0000187</t>
  </si>
  <si>
    <t>范珍妮</t>
  </si>
  <si>
    <t>嘉定南翔芳林路819弄262号6025</t>
  </si>
  <si>
    <t>丁宝荣</t>
  </si>
  <si>
    <t>长宁路1277弄中山公寓22号1402室</t>
  </si>
  <si>
    <t>阮音铭</t>
  </si>
  <si>
    <t>徐汇区徐家汇街道乐山路10弄23号702室</t>
  </si>
  <si>
    <t>周龙</t>
  </si>
  <si>
    <t>康桥路386弄18号702室</t>
  </si>
  <si>
    <t>0000769</t>
  </si>
  <si>
    <t>潍坊路335弄2支弄15号501室</t>
  </si>
  <si>
    <t>周建峰</t>
  </si>
  <si>
    <t>未来派10号404</t>
  </si>
  <si>
    <t>庞瑶奕</t>
  </si>
  <si>
    <t>虹口区革城北路500弄17号301</t>
  </si>
  <si>
    <t>陆女士</t>
  </si>
  <si>
    <t>浦东桃林路299弄12号402室</t>
  </si>
  <si>
    <t>0000160</t>
  </si>
  <si>
    <t>汪女士</t>
  </si>
  <si>
    <t>徐汇区平耕路81弄10号702室</t>
  </si>
  <si>
    <t>0003906</t>
  </si>
  <si>
    <t>李慧</t>
  </si>
  <si>
    <t>内江路168弄安居花苑1号501室</t>
  </si>
  <si>
    <t>齐女士</t>
  </si>
  <si>
    <t>嘉松中路6633弄245号</t>
  </si>
  <si>
    <t>李雪霁/徐晓健</t>
  </si>
  <si>
    <t>杨浦区松花江路977弄控江四村40号2室</t>
  </si>
  <si>
    <t>李绮</t>
  </si>
  <si>
    <t>宜山路655弄6号618室</t>
  </si>
  <si>
    <t>高伟</t>
  </si>
  <si>
    <t>西森林路850弄46号501</t>
  </si>
  <si>
    <t>王宏嘉</t>
  </si>
  <si>
    <t>嘉善路239弄18号402</t>
  </si>
  <si>
    <t>沈艳芳</t>
  </si>
  <si>
    <t>静安区静安豪泰小区6号2003室</t>
  </si>
  <si>
    <t>董其皓</t>
  </si>
  <si>
    <t>静安区北京西路758弄国际丽都小区4号2002室</t>
  </si>
  <si>
    <t>松江区九亭镇九亭寿园二期</t>
  </si>
  <si>
    <t>胡桂秀</t>
  </si>
  <si>
    <t>虹口区周家嘴路981弄11号1804室</t>
  </si>
  <si>
    <t>李彦</t>
  </si>
  <si>
    <t>杨浦区凉城路430弄8号603室</t>
  </si>
  <si>
    <t>昆山长泰淀山湖观园133栋305</t>
  </si>
  <si>
    <t>项目徐队</t>
  </si>
  <si>
    <t>浦东牡丹路258弄14号601室</t>
  </si>
  <si>
    <t>云台路1101弄10号-501室</t>
  </si>
  <si>
    <t>杨思路1121弄54号1103</t>
  </si>
  <si>
    <t>肇嘉滨路201弄24-601室</t>
  </si>
  <si>
    <t>蔡峰</t>
  </si>
  <si>
    <t>松江二村2号601室</t>
  </si>
  <si>
    <t>张亚英</t>
  </si>
  <si>
    <t>杨浦区同济新村546号5室</t>
  </si>
  <si>
    <t>0002636</t>
  </si>
  <si>
    <t>朱翀</t>
  </si>
  <si>
    <t>康衫路386弄御中环</t>
  </si>
  <si>
    <t>0000925</t>
  </si>
  <si>
    <t>黄历阅</t>
  </si>
  <si>
    <t>浦东区张扬路1515弄国际华城小区18号2101室</t>
  </si>
  <si>
    <t>李敏</t>
  </si>
  <si>
    <t>文宝路288弄5号1102室</t>
  </si>
  <si>
    <t>王斯加</t>
  </si>
  <si>
    <t>宝山区杨泰路2158弄远洋悦庭小区33号1103室</t>
  </si>
  <si>
    <t>张茗源</t>
  </si>
  <si>
    <t>宝山区海路333弄272号802室</t>
  </si>
  <si>
    <t>盛辉秋</t>
  </si>
  <si>
    <t>龙胜东路789弄47号1604室</t>
  </si>
  <si>
    <t>杨晶</t>
  </si>
  <si>
    <t>雪秀路1459弄5号1302</t>
  </si>
  <si>
    <t>陈以樑</t>
  </si>
  <si>
    <t>大统路1088弄4栋602</t>
  </si>
  <si>
    <t>张玥琪</t>
  </si>
  <si>
    <t>云山路1045弄金桥二御南35号704室</t>
  </si>
  <si>
    <t>韩燕</t>
  </si>
  <si>
    <t>成山路2008弄17号1604室</t>
  </si>
  <si>
    <t>0000384</t>
  </si>
  <si>
    <t>张晋</t>
  </si>
  <si>
    <t>静安区1859弄109号1202室</t>
  </si>
  <si>
    <t>0000606</t>
  </si>
  <si>
    <t>周琳</t>
  </si>
  <si>
    <t>明兴路428弄139号</t>
  </si>
  <si>
    <t>0000393</t>
  </si>
  <si>
    <t>顾昊</t>
  </si>
  <si>
    <t>浦东区环老路259弄6号1202室</t>
  </si>
  <si>
    <t>朱春波</t>
  </si>
  <si>
    <t>虹口区通州路188弄香港丽园小区7号403室</t>
  </si>
  <si>
    <t>贾薇</t>
  </si>
  <si>
    <t>许昌路1128弄7号802</t>
  </si>
  <si>
    <t>0000387</t>
  </si>
  <si>
    <t>朱姝</t>
  </si>
  <si>
    <t>宝山区纬地路88弄纪伟阳光小区93号302室</t>
  </si>
  <si>
    <t>0001197</t>
  </si>
  <si>
    <t>宋琤</t>
  </si>
  <si>
    <t>静安区江宁区599弄3号902室</t>
  </si>
  <si>
    <t>张微</t>
  </si>
  <si>
    <t>杨浦区双阳北路378弄42号101室</t>
  </si>
  <si>
    <t>石长平</t>
  </si>
  <si>
    <t>浦东新区新雅东路51弄18号402室</t>
  </si>
  <si>
    <t>0001069</t>
  </si>
  <si>
    <t>谈贤超</t>
  </si>
  <si>
    <t>宝山区华灵路460弄大华一村小区20号302室</t>
  </si>
  <si>
    <t>谢新科</t>
  </si>
  <si>
    <t>宝山区长临路1318弄九英小区42号702室</t>
  </si>
  <si>
    <t>张凯</t>
  </si>
  <si>
    <t>密云路611弄10号501室</t>
  </si>
  <si>
    <t>0002026</t>
  </si>
  <si>
    <t>黄飞</t>
  </si>
  <si>
    <t>静安区晋元路310弄2号801</t>
  </si>
  <si>
    <t>张海丽</t>
  </si>
  <si>
    <t>15921164564/13671963577</t>
  </si>
  <si>
    <t>橘高南路3340弄23号303室</t>
  </si>
  <si>
    <t>0001070</t>
  </si>
  <si>
    <t>施亲舍</t>
  </si>
  <si>
    <t>淀山湖88号2层26</t>
  </si>
  <si>
    <t>樊莉</t>
  </si>
  <si>
    <t>闵行区贵都路209弄16号102室</t>
  </si>
  <si>
    <t>杨金玲</t>
  </si>
  <si>
    <t>青浦区华新镇金瑞苑北苑21号楼1502室</t>
  </si>
  <si>
    <t>杜自强</t>
  </si>
  <si>
    <t xml:space="preserve">虹口区车站北路716弄11号501 </t>
  </si>
  <si>
    <t>陆潇逸</t>
  </si>
  <si>
    <t>浦东喜区惠南镇空黄公路2585弄37号302</t>
  </si>
  <si>
    <t>朱定成</t>
  </si>
  <si>
    <t>宝山区竹韵路259弄9号1401室</t>
  </si>
  <si>
    <t>翔殷路梅花村13号304室</t>
  </si>
  <si>
    <t>刘璐璐</t>
  </si>
  <si>
    <t>龙吴路2388弄106号402室</t>
  </si>
  <si>
    <t>浦东古棕路555弄16号102</t>
  </si>
  <si>
    <t>顾方晓</t>
  </si>
  <si>
    <t>浦东张江香楠路408弄108号</t>
  </si>
  <si>
    <t>张海琴/尹玖力</t>
  </si>
  <si>
    <t>13701759827/13321867277</t>
  </si>
  <si>
    <t>罗秀路1955弄3号803室</t>
  </si>
  <si>
    <t>颜强</t>
  </si>
  <si>
    <t>普陀区沪定路568弄12号102室</t>
  </si>
  <si>
    <t>宝山区一二八纪念路55弄501室</t>
  </si>
  <si>
    <t>顾丁</t>
  </si>
  <si>
    <t>场北路669-45-1502室</t>
  </si>
  <si>
    <t>古美西路440-11-201</t>
  </si>
  <si>
    <t>浦东严杨路116弄14号301室</t>
  </si>
  <si>
    <t>闵行区浦江镇浦晓路298弄79号201室</t>
  </si>
  <si>
    <t>浦东新区上丰路金融家52号202室</t>
  </si>
  <si>
    <t>张扬北路4555弄30号802室</t>
  </si>
  <si>
    <t>枣庄路212弄27号102</t>
  </si>
  <si>
    <t>刘红涛</t>
  </si>
  <si>
    <t>嘉定区瑞林路800弄62号</t>
  </si>
  <si>
    <t>肖文婷</t>
  </si>
  <si>
    <t>明中路1588弄沿海丽水馨苑232号102</t>
  </si>
  <si>
    <t>包幸福</t>
  </si>
  <si>
    <t>嘉松中路6688弄98栋90号102</t>
  </si>
  <si>
    <t>黄嘉彭</t>
  </si>
  <si>
    <t>南汇区国驰二路58弄6号201室</t>
  </si>
  <si>
    <t>0003352</t>
  </si>
  <si>
    <t>何国圣</t>
  </si>
  <si>
    <t>曼城路700弄21号201室</t>
  </si>
  <si>
    <t>0002641</t>
  </si>
  <si>
    <t>马书超</t>
  </si>
  <si>
    <t>象屿虹桥悦府37号504</t>
  </si>
  <si>
    <t>樊晶</t>
  </si>
  <si>
    <t>宝山区鹿行镇场北路58弄2号401室</t>
  </si>
  <si>
    <t>丁梁</t>
  </si>
  <si>
    <t>马塘路1228弄17号1302室</t>
  </si>
  <si>
    <t>0004022</t>
  </si>
  <si>
    <t>茆志春</t>
  </si>
  <si>
    <t>青浦教文路55弄11号202</t>
  </si>
  <si>
    <t>阮昊</t>
  </si>
  <si>
    <t>徐汇区龙吴路288弄3号902室</t>
  </si>
  <si>
    <t>0002643</t>
  </si>
  <si>
    <t>瞿少尉</t>
  </si>
  <si>
    <t>浦东灵岩南路499弄3号502室</t>
  </si>
  <si>
    <t>栗巧燕</t>
  </si>
  <si>
    <t>上海市金山区余海岸花园12-502</t>
  </si>
  <si>
    <t>郭锦蓉</t>
  </si>
  <si>
    <t>徐泾诸光路899弄37号802室</t>
  </si>
  <si>
    <t>0003907</t>
  </si>
  <si>
    <t>杨日照</t>
  </si>
  <si>
    <t>浦东张杨路2850弄2号301</t>
  </si>
  <si>
    <t>象屿虹桥2号204</t>
  </si>
  <si>
    <t>顾慧怡</t>
  </si>
  <si>
    <t>静安区新马路193号303室</t>
  </si>
  <si>
    <t>真北路4333弄58号501</t>
  </si>
  <si>
    <t>高丽美</t>
  </si>
  <si>
    <t>奉贤区正环路888弄正阳世纪星城3号302室</t>
  </si>
  <si>
    <t>冯向维</t>
  </si>
  <si>
    <t>报春路817弄42号201</t>
  </si>
  <si>
    <t>闵行金汇南路60弄62号401室</t>
  </si>
  <si>
    <t>虹口区大连西路玉田新村10弄13号303室</t>
  </si>
  <si>
    <t>姚兴</t>
  </si>
  <si>
    <t>湖畔3期7号</t>
  </si>
  <si>
    <t>黄翼洺</t>
  </si>
  <si>
    <t>长宁区江苏路502弄40支弄6号202室</t>
  </si>
  <si>
    <t>孙华</t>
  </si>
  <si>
    <t>上海市恒业路388-12-103</t>
  </si>
  <si>
    <t>0001325</t>
  </si>
  <si>
    <t>魏金稳</t>
  </si>
  <si>
    <t>和政路228弄30号301室</t>
  </si>
  <si>
    <t>0001326</t>
  </si>
  <si>
    <t>0000770</t>
  </si>
  <si>
    <t>栾丽</t>
  </si>
  <si>
    <t>御中环7号1002室</t>
  </si>
  <si>
    <t xml:space="preserve">九亭镇涞泾路328弄13号601室 </t>
  </si>
  <si>
    <t>梁琳</t>
  </si>
  <si>
    <t>浦东新区唐镇上丰路1483弄63号</t>
  </si>
  <si>
    <t>邱海涛</t>
  </si>
  <si>
    <t>闵行区沪闵路7580弄111支弄30号901室</t>
  </si>
  <si>
    <t>蒋燕</t>
  </si>
  <si>
    <t>亭南路599号爱伦坡359栋</t>
  </si>
  <si>
    <t>外青松公路666弄295号</t>
  </si>
  <si>
    <t>浦东新区东方路1663弄9号901室</t>
  </si>
  <si>
    <t>林雨立</t>
  </si>
  <si>
    <t>嘉定区嘉涛路60弄8号601室</t>
  </si>
  <si>
    <t>李灿</t>
  </si>
  <si>
    <t>杨浦区开鲁路320弄32号301室</t>
  </si>
  <si>
    <t>乔媛媛</t>
  </si>
  <si>
    <t>浦东新区博华路930弄19号201室</t>
  </si>
  <si>
    <t>沈添鸿</t>
  </si>
  <si>
    <t>杨浦区政和路388弄8号102室</t>
  </si>
  <si>
    <t>0003481</t>
  </si>
  <si>
    <t>顾佳佳</t>
  </si>
  <si>
    <t>静安区共和新路1302号2107室</t>
  </si>
  <si>
    <t>0001100</t>
  </si>
  <si>
    <t>马俊磊</t>
  </si>
  <si>
    <t>虹湾路313弄7号1202室</t>
  </si>
  <si>
    <t>0001167</t>
  </si>
  <si>
    <t>叶萍</t>
  </si>
  <si>
    <t>绿地天号小区2号501室</t>
  </si>
  <si>
    <t>沈意涵</t>
  </si>
  <si>
    <t>上海市西藏南路748号710室</t>
  </si>
  <si>
    <t>0004037</t>
  </si>
  <si>
    <t>平公路7655号</t>
  </si>
  <si>
    <t>张兰峰</t>
  </si>
  <si>
    <t>松江区泗凤公路1500弄22号103室</t>
  </si>
  <si>
    <t>高应晓</t>
  </si>
  <si>
    <t>宝山区真大路333弄11号502室</t>
  </si>
  <si>
    <t>0001324</t>
  </si>
  <si>
    <t>施佳华</t>
  </si>
  <si>
    <t>花园里3-2602</t>
  </si>
  <si>
    <t>0000774</t>
  </si>
  <si>
    <t>韩晓璇</t>
  </si>
  <si>
    <t>御中环6号401</t>
  </si>
  <si>
    <t>陈伟伟</t>
  </si>
  <si>
    <t>御中环7号601</t>
  </si>
  <si>
    <t>0000772</t>
  </si>
  <si>
    <t>腾玲</t>
  </si>
  <si>
    <t>御中环18号601</t>
  </si>
  <si>
    <t>浦东新区二村小区8号202室</t>
  </si>
  <si>
    <t>0001971</t>
  </si>
  <si>
    <t>韩琳</t>
  </si>
  <si>
    <t>徐汇区斜土路2200弄15号501</t>
  </si>
  <si>
    <t>0000775</t>
  </si>
  <si>
    <t>胡长桂</t>
  </si>
  <si>
    <t>黄浦区徐家汇1弄2号208室</t>
  </si>
  <si>
    <t>周星言</t>
  </si>
  <si>
    <t>长宁区黄金城258弄2号305室</t>
  </si>
  <si>
    <t>刘漠烟</t>
  </si>
  <si>
    <t>衡水路89弄4号2502室</t>
  </si>
  <si>
    <t>张瑛婕</t>
  </si>
  <si>
    <t>东绣路99弄陆家嘴中央公寓1号1601</t>
  </si>
  <si>
    <t>赵阳洋</t>
  </si>
  <si>
    <t>青浦五浦汇崧子浦路55弄c区901室</t>
  </si>
  <si>
    <t>赵智</t>
  </si>
  <si>
    <t>沪松公路1110号上海奥利匹克花园123号302室</t>
  </si>
  <si>
    <t>汤云苏</t>
  </si>
  <si>
    <t>徐汇区天钥桥南路1188弄2号802室</t>
  </si>
  <si>
    <t>徐红珍</t>
  </si>
  <si>
    <t>陆家滨路521弄3号3101室</t>
  </si>
  <si>
    <t>周波</t>
  </si>
  <si>
    <t>闵行区莘庄镇珠城路99弄33号701中祥哥德堡</t>
  </si>
  <si>
    <t>金山区旭辉府81号701号</t>
  </si>
  <si>
    <t>王桂茹</t>
  </si>
  <si>
    <t>中山西路2330弄2号9号楼1702室</t>
  </si>
  <si>
    <t>0000776</t>
  </si>
  <si>
    <t>尤小姐</t>
  </si>
  <si>
    <t>御中环17#102</t>
  </si>
  <si>
    <t>0002644</t>
  </si>
  <si>
    <t>方琳琳</t>
  </si>
  <si>
    <t>御中环13#702</t>
  </si>
  <si>
    <t>许光明</t>
  </si>
  <si>
    <t>临平路333号瑞虹新城一期1座3003室</t>
  </si>
  <si>
    <t>黄佳杰</t>
  </si>
  <si>
    <t>宝山区宝林九村26号103室</t>
  </si>
  <si>
    <t>徐吟川</t>
  </si>
  <si>
    <t>龙柏四季花园2号701室</t>
  </si>
  <si>
    <t>梅红</t>
  </si>
  <si>
    <t>田林十一村54号603室</t>
  </si>
  <si>
    <t>0001101</t>
  </si>
  <si>
    <t>朱怡</t>
  </si>
  <si>
    <t>宝山去长白山路633弄42号1201室</t>
  </si>
  <si>
    <t>0001327</t>
  </si>
  <si>
    <t>李群英</t>
  </si>
  <si>
    <t>清河路453弄18号403室</t>
  </si>
  <si>
    <t>梅心</t>
  </si>
  <si>
    <t>闵行区新龙路558弄30号702</t>
  </si>
  <si>
    <t>0000778</t>
  </si>
  <si>
    <t>牟其明</t>
  </si>
  <si>
    <t>利津路729弄29号801室</t>
  </si>
  <si>
    <t>钟诚</t>
  </si>
  <si>
    <t>贡夏山路525弄6号1204室</t>
  </si>
  <si>
    <t>周国庆</t>
  </si>
  <si>
    <t>黄浦区市光路98弄8号102室</t>
  </si>
  <si>
    <t>赵伯乘</t>
  </si>
  <si>
    <t>虹口区新市南路515弄1号805室</t>
  </si>
  <si>
    <t>刘先生</t>
  </si>
  <si>
    <t>台儿庄路363弄98号402室</t>
  </si>
  <si>
    <t>陆颖</t>
  </si>
  <si>
    <t>宝山去瑞丰路456弄2号楼1401室</t>
  </si>
  <si>
    <t>0003141</t>
  </si>
  <si>
    <t>宋乐</t>
  </si>
  <si>
    <t>谷阳北路2558弄新壹城5号402</t>
  </si>
  <si>
    <t>0002376</t>
  </si>
  <si>
    <t>施晓琴</t>
  </si>
  <si>
    <t>练塘镇章练塘路958弄41号701室</t>
  </si>
  <si>
    <t>已退单10月22</t>
  </si>
  <si>
    <t>0002671</t>
  </si>
  <si>
    <t>张海星</t>
  </si>
  <si>
    <t>浦东新区康杉路386弄16号501室</t>
  </si>
  <si>
    <t>王彬</t>
  </si>
  <si>
    <t>奉贤区金耀路1859弄21号802室</t>
  </si>
  <si>
    <t>浦东康桥康彬路386弄16号201室</t>
  </si>
  <si>
    <t>0000192</t>
  </si>
  <si>
    <t>周武杰</t>
  </si>
  <si>
    <t>长宁区愚园路888弄5号2501室</t>
  </si>
  <si>
    <t>王建亮</t>
  </si>
  <si>
    <t>宝山区联秦路158弄13号402室</t>
  </si>
  <si>
    <t>0004496</t>
  </si>
  <si>
    <t>穆美君</t>
  </si>
  <si>
    <t>浦连路789弄12号803室</t>
  </si>
  <si>
    <t>曹蕾</t>
  </si>
  <si>
    <t>中潭路99弄85号1103室</t>
  </si>
  <si>
    <t>浦东新区丁香路1599弄8号1403</t>
  </si>
  <si>
    <t>聚丰园路628弄50号202室</t>
  </si>
  <si>
    <t>0000614</t>
  </si>
  <si>
    <t>王洪</t>
  </si>
  <si>
    <t>锦和路99弄56单元1102室</t>
  </si>
  <si>
    <t>0000616</t>
  </si>
  <si>
    <t>毛宸</t>
  </si>
  <si>
    <t>18521507704/13808148423</t>
  </si>
  <si>
    <t>静安区海防路58弄514号康鑫家园11栋603室</t>
  </si>
  <si>
    <t>0000191</t>
  </si>
  <si>
    <t>王长根</t>
  </si>
  <si>
    <t>星怡苑69弄2号603室</t>
  </si>
  <si>
    <t>0000780</t>
  </si>
  <si>
    <t>孙于皓</t>
  </si>
  <si>
    <t>上海浦东新区曹路镇金晓璐353弄24号1704室</t>
  </si>
  <si>
    <t>上海市青浦区中型关路68弄10号402室</t>
  </si>
  <si>
    <t>杨乃红</t>
  </si>
  <si>
    <t>碧波路49弄4号1101室</t>
  </si>
  <si>
    <t>0004025</t>
  </si>
  <si>
    <t>冯嘉文</t>
  </si>
  <si>
    <t>虹口临平北路60弄8号603室</t>
  </si>
  <si>
    <t>冯娇娟</t>
  </si>
  <si>
    <t>龙吴路2888弄7号2403</t>
  </si>
  <si>
    <t>0004015</t>
  </si>
  <si>
    <t>沈俊</t>
  </si>
  <si>
    <t>西郊锦店38恒108号102室</t>
  </si>
  <si>
    <t>李康</t>
  </si>
  <si>
    <t>13916626220/13816157747</t>
  </si>
  <si>
    <t>虹口区临平路333弄11号3102室</t>
  </si>
  <si>
    <t>0001977</t>
  </si>
  <si>
    <t>高千千</t>
  </si>
  <si>
    <t>普陀区孔泉路700弄高尚领域北区12号楼4106</t>
  </si>
  <si>
    <t>陆宏</t>
  </si>
  <si>
    <t>徐汇区田林东路100弄爱建国小区27号202室</t>
  </si>
  <si>
    <t>0001103</t>
  </si>
  <si>
    <t>0001102</t>
  </si>
  <si>
    <t>刘明媛</t>
  </si>
  <si>
    <t>虹口区广灵田路28号1403室</t>
  </si>
  <si>
    <t>0000161</t>
  </si>
  <si>
    <t>徐汇区龙吟路501弄15号402室</t>
  </si>
  <si>
    <t>0004026</t>
  </si>
  <si>
    <t>袁铭满</t>
  </si>
  <si>
    <t>吴俊</t>
  </si>
  <si>
    <t>青浦区嘉松中路699号101</t>
  </si>
  <si>
    <t>0000607</t>
  </si>
  <si>
    <t>朱唯韦</t>
  </si>
  <si>
    <t>浦东泥城镇彩云路717弄25号302室</t>
  </si>
  <si>
    <t>0000615</t>
  </si>
  <si>
    <t>张美达</t>
  </si>
  <si>
    <t>浦东新区峨山路187弄4号401室</t>
  </si>
  <si>
    <t>0000617</t>
  </si>
  <si>
    <t>吴文娇</t>
  </si>
  <si>
    <t>浦东灵山路1396弄4号401</t>
  </si>
  <si>
    <t>0002673</t>
  </si>
  <si>
    <t>137617142118</t>
  </si>
  <si>
    <t>沪南路3468弄23号502室</t>
  </si>
  <si>
    <t>金佳丽</t>
  </si>
  <si>
    <t>浦东新区东秀路599弄6号1803室</t>
  </si>
  <si>
    <t>0001230</t>
  </si>
  <si>
    <t>江俊锋</t>
  </si>
  <si>
    <t>控江路649号305</t>
  </si>
  <si>
    <t>0001738</t>
  </si>
  <si>
    <t>王宇晟</t>
  </si>
  <si>
    <t>林展路267弄10号2101室</t>
  </si>
  <si>
    <t>宦嘉权</t>
  </si>
  <si>
    <t>闵行区古龙路300弄2号1102室</t>
  </si>
  <si>
    <t>纪巧云</t>
  </si>
  <si>
    <t>宝山区常宝山路633弄29号301室</t>
  </si>
  <si>
    <t>徐璐</t>
  </si>
  <si>
    <t>浦东新区桃林路825弄4号601室</t>
  </si>
  <si>
    <t>0003908</t>
  </si>
  <si>
    <t>靖亭东路58弄20号103室</t>
  </si>
  <si>
    <t>刘晓荣</t>
  </si>
  <si>
    <t>东方路1881弄80号102室</t>
  </si>
  <si>
    <t>王智</t>
  </si>
  <si>
    <t>18019081828</t>
  </si>
  <si>
    <t>普陀区铜川路259弄49小气49号402室</t>
  </si>
  <si>
    <t>王晓明</t>
  </si>
  <si>
    <t>奉贤区阳兴园26号402</t>
  </si>
  <si>
    <t>0000194</t>
  </si>
  <si>
    <t>张庆达</t>
  </si>
  <si>
    <t>漕宝路1911弄23号502室</t>
  </si>
  <si>
    <t>陈钧</t>
  </si>
  <si>
    <t>羽山路600弄27号302室</t>
  </si>
  <si>
    <t>于春合</t>
  </si>
  <si>
    <t>浦东新区杨角路694弄44号301</t>
  </si>
  <si>
    <t>0000195</t>
  </si>
  <si>
    <t>姜岚</t>
  </si>
  <si>
    <t>铜川路2060弄122号301室</t>
  </si>
  <si>
    <t>梅秋霞</t>
  </si>
  <si>
    <t>103弄34号402</t>
  </si>
  <si>
    <t>舒亚君</t>
  </si>
  <si>
    <t>平型关路2199弄8号402室</t>
  </si>
  <si>
    <t>0000914</t>
  </si>
  <si>
    <t>盛建平</t>
  </si>
  <si>
    <t>桂林西路街358弄35号A座</t>
  </si>
  <si>
    <t>李晖</t>
  </si>
  <si>
    <t>瑞金南路333弄20号301</t>
  </si>
  <si>
    <t>周志林</t>
  </si>
  <si>
    <t>徐汇区永嘉路415弄302室</t>
  </si>
  <si>
    <t>蒋颖轶</t>
  </si>
  <si>
    <t>昌化路765弄-3-16</t>
  </si>
  <si>
    <t>0000431</t>
  </si>
  <si>
    <t>翁海云</t>
  </si>
  <si>
    <t>闵行区金丰路121弄9号501室</t>
  </si>
  <si>
    <t>顾翠英</t>
  </si>
  <si>
    <t>奉贤区阳光家园26号701室</t>
  </si>
  <si>
    <t>徐玲慧</t>
  </si>
  <si>
    <t>上海市青浦区赵巷镇崧一路46弄7号1502</t>
  </si>
  <si>
    <t>黄亚男</t>
  </si>
  <si>
    <t>宝山区盘古路226弄宝城二村4号101室</t>
  </si>
  <si>
    <t>袁翊翔</t>
  </si>
  <si>
    <t>江浦路2089弄14号901室</t>
  </si>
  <si>
    <t>廖聪</t>
  </si>
  <si>
    <t>上海宝山区抚远路1288弄36号401室</t>
  </si>
  <si>
    <t>宝山区江杨北路1568弄68号2004室</t>
  </si>
  <si>
    <t>邱珺</t>
  </si>
  <si>
    <t>杨浦区四平路115弄29号802室</t>
  </si>
  <si>
    <t>芦恒路378弄182号302</t>
  </si>
  <si>
    <t>0000613</t>
  </si>
  <si>
    <t>许诺</t>
  </si>
  <si>
    <t>浦东新区三村路1300弄38号</t>
  </si>
  <si>
    <t>0002672</t>
  </si>
  <si>
    <t>张冬伟</t>
  </si>
  <si>
    <t>浦东繁锦路688弄49号401室</t>
  </si>
  <si>
    <t>0001053</t>
  </si>
  <si>
    <t>庞熙祥</t>
  </si>
  <si>
    <t>虹口区江小路719弄10号1403室</t>
  </si>
  <si>
    <t>0000374</t>
  </si>
  <si>
    <t>程颖玲</t>
  </si>
  <si>
    <t>松江区伴亭路855弄24号901室</t>
  </si>
  <si>
    <t>包乐庭</t>
  </si>
  <si>
    <t>宝山区华灵路1180弄18号502室</t>
  </si>
  <si>
    <t>0000369</t>
  </si>
  <si>
    <r>
      <rPr>
        <sz val="9"/>
        <rFont val="宋体"/>
        <charset val="134"/>
      </rPr>
      <t>徐</t>
    </r>
    <r>
      <rPr>
        <sz val="9"/>
        <color indexed="8"/>
        <rFont val="微软雅黑"/>
        <charset val="134"/>
      </rPr>
      <t>禕澍</t>
    </r>
  </si>
  <si>
    <t>虹桥路977号236室</t>
  </si>
  <si>
    <t>费雯婷</t>
  </si>
  <si>
    <t>18516591106/18017137125</t>
  </si>
  <si>
    <t>徐汇区龙吴路1323弄华滨家园小区25号1804室</t>
  </si>
  <si>
    <t>张先生/谢小权</t>
  </si>
  <si>
    <t>云鹃路833弄3栋7号1102室</t>
  </si>
  <si>
    <t>0002637</t>
  </si>
  <si>
    <t>陆飞</t>
  </si>
  <si>
    <t>386弄13号302</t>
  </si>
  <si>
    <t>沈文军</t>
  </si>
  <si>
    <t>崇明区陈家镇揽海路7弄989号</t>
  </si>
  <si>
    <t>乐玲玲</t>
  </si>
  <si>
    <t>上海徐汇区乌鲁木齐中路261弄1号2006</t>
  </si>
  <si>
    <t>大成都7-1304</t>
  </si>
  <si>
    <t>18101741626/13585707508</t>
  </si>
  <si>
    <t>宝山区真华路1615弄申泉花苑小区12号401室</t>
  </si>
  <si>
    <t>林洁</t>
  </si>
  <si>
    <t>虹口区虹湾路313弄小区42号2703室</t>
  </si>
  <si>
    <t>0004038</t>
  </si>
  <si>
    <t>陈宇航</t>
  </si>
  <si>
    <t>青浦沙运丰路300弄101室</t>
  </si>
  <si>
    <t>0003353</t>
  </si>
  <si>
    <t>吴文俊</t>
  </si>
  <si>
    <t>1564666963/18101740877</t>
  </si>
  <si>
    <t>闵行区金汇路460弄26号1002</t>
  </si>
  <si>
    <t>0001051</t>
  </si>
  <si>
    <t>戴云霞</t>
  </si>
  <si>
    <t>宝山区真华路1030弄68号301室</t>
  </si>
  <si>
    <t>0000507</t>
  </si>
  <si>
    <t>张新发</t>
  </si>
  <si>
    <t>浦东新区孙建路665弄2号303室</t>
  </si>
  <si>
    <t>0000618</t>
  </si>
  <si>
    <t>浦东樱花路801弄18号302</t>
  </si>
  <si>
    <t>沈宏斌</t>
  </si>
  <si>
    <t>闵行区丰顺路500弄11号302室</t>
  </si>
  <si>
    <t>徐莹莹</t>
  </si>
  <si>
    <t>松浦区翔殷路250弄36号1001室</t>
  </si>
  <si>
    <t>0002028</t>
  </si>
  <si>
    <t>王浩</t>
  </si>
  <si>
    <t>芦恒路378弄199号902</t>
  </si>
  <si>
    <t>蒋志慧</t>
  </si>
  <si>
    <t>松江区沪亭北路618弄九城湖滨95号1604室</t>
  </si>
  <si>
    <t>戚丹权</t>
  </si>
  <si>
    <t>上海市金山区绿地21号901</t>
  </si>
  <si>
    <t>刘兴萍</t>
  </si>
  <si>
    <t>浦东新区鹏岳路152弄7号1601室</t>
  </si>
  <si>
    <t>0001056</t>
  </si>
  <si>
    <t>杨政</t>
  </si>
  <si>
    <t>517弄滨江公园</t>
  </si>
  <si>
    <t>0001058</t>
  </si>
  <si>
    <t>徐洪</t>
  </si>
  <si>
    <t>静安区延安中路849弄2205室</t>
  </si>
  <si>
    <t>浦东区铃兰路508弄134号302室</t>
  </si>
  <si>
    <t>施敏捷</t>
  </si>
  <si>
    <t>黄浦区重庆北路198弄1号405</t>
  </si>
  <si>
    <t>0000162</t>
  </si>
  <si>
    <t>高璐</t>
  </si>
  <si>
    <t>徐汇区龙川路450弄51号402室</t>
  </si>
  <si>
    <t>0000366</t>
  </si>
  <si>
    <t>姜姐</t>
  </si>
  <si>
    <t>华灵路1188弄26号501室</t>
  </si>
  <si>
    <t>0002029</t>
  </si>
  <si>
    <t>方艳</t>
  </si>
  <si>
    <t>浦江镇浦涛路505弄39号101</t>
  </si>
  <si>
    <t>屈师傅/屈洪章</t>
  </si>
  <si>
    <t>普陀区志丹路155号卢森堡1层B室</t>
  </si>
  <si>
    <t>黄敦亮</t>
  </si>
  <si>
    <t>浦东新区东泰路200弄小区7号3701室</t>
  </si>
  <si>
    <t>0001074</t>
  </si>
  <si>
    <t>庄志勤</t>
  </si>
  <si>
    <t>浦东新区惠南镇区拱乐路2100弄9号1001室</t>
  </si>
  <si>
    <r>
      <rPr>
        <sz val="9"/>
        <rFont val="宋体"/>
        <charset val="134"/>
      </rPr>
      <t>翟</t>
    </r>
    <r>
      <rPr>
        <sz val="9.75"/>
        <color indexed="8"/>
        <rFont val="微软雅黑"/>
        <charset val="134"/>
      </rPr>
      <t>文杰</t>
    </r>
  </si>
  <si>
    <t>沪闵公路5600弄邻里苑38号1001室</t>
  </si>
  <si>
    <t>0000371</t>
  </si>
  <si>
    <t>倪锴</t>
  </si>
  <si>
    <t>建亮路111弄32号301室</t>
  </si>
  <si>
    <t>姚维佳</t>
  </si>
  <si>
    <t>宝山路268弄1号1701室</t>
  </si>
  <si>
    <t>杜娟</t>
  </si>
  <si>
    <t>福泉路123弄30号801室</t>
  </si>
  <si>
    <t>曾荣发</t>
  </si>
  <si>
    <t>金山区未来派九江路1885号7号1203</t>
  </si>
  <si>
    <t>0000432</t>
  </si>
  <si>
    <t>杨宝兴</t>
  </si>
  <si>
    <t>赵巷金葫芦小区14区27号</t>
  </si>
  <si>
    <t>普陀区光新路250-1-406</t>
  </si>
  <si>
    <t>徐崔伟</t>
  </si>
  <si>
    <t>仙霞路430弄9号505室</t>
  </si>
  <si>
    <t>张蔚</t>
  </si>
  <si>
    <t>闵行区富国路199-15-1401</t>
  </si>
  <si>
    <t>0000927</t>
  </si>
  <si>
    <t>白卉</t>
  </si>
  <si>
    <t>浦东区利津路729弄丽都成品小区21号503室</t>
  </si>
  <si>
    <t>0001025</t>
  </si>
  <si>
    <t>赵晨</t>
  </si>
  <si>
    <t>静安区沪纺大厦</t>
  </si>
  <si>
    <t>万树兰</t>
  </si>
  <si>
    <t>长宁区北新泾哈密路100弄1号502室</t>
  </si>
  <si>
    <t>周杨</t>
  </si>
  <si>
    <t>长宁区城区长顺路26号202室</t>
  </si>
  <si>
    <t>0001024</t>
  </si>
  <si>
    <t>徐孟知</t>
  </si>
  <si>
    <t>闵行区金汇路515弄3号101室</t>
  </si>
  <si>
    <t>0001022</t>
  </si>
  <si>
    <t>徐建华</t>
  </si>
  <si>
    <t>虹口区四川北路街道欧阳路28弄5号102室</t>
  </si>
  <si>
    <t>0001527</t>
  </si>
  <si>
    <t>朱攀峰</t>
  </si>
  <si>
    <t>广富林路1599弄93号102室</t>
  </si>
  <si>
    <t>马冲</t>
  </si>
  <si>
    <t>长宁区程家桥街道剑河路2337弄51号楼102室</t>
  </si>
  <si>
    <t>0000934</t>
  </si>
  <si>
    <t>徐元杰</t>
  </si>
  <si>
    <t>浦东区金钻路398弄金群苑11号1602室</t>
  </si>
  <si>
    <t>潘明华</t>
  </si>
  <si>
    <t>浦东大道691弄11号102室</t>
  </si>
  <si>
    <t>0000158</t>
  </si>
  <si>
    <t>戴坚</t>
  </si>
  <si>
    <t>闵行区华吉路88弄29号1402室</t>
  </si>
  <si>
    <t>0001104</t>
  </si>
  <si>
    <t>陆磊</t>
  </si>
  <si>
    <t>国伟路138弄30号802室</t>
  </si>
  <si>
    <t>高巍</t>
  </si>
  <si>
    <t>吴中路405弄100支弄41号501室</t>
  </si>
  <si>
    <t>李圣</t>
  </si>
  <si>
    <t>闵行区万源路580弄22号1204</t>
  </si>
  <si>
    <t>0000871</t>
  </si>
  <si>
    <t>杨慧丽</t>
  </si>
  <si>
    <t>长宁区仙震西路888弄新泾北苑小区27号302室</t>
  </si>
  <si>
    <t>张佩婧</t>
  </si>
  <si>
    <t>一村75号208室</t>
  </si>
  <si>
    <t>0000365</t>
  </si>
  <si>
    <t>梅思乐</t>
  </si>
  <si>
    <t>打浦路38弄4号27F</t>
  </si>
  <si>
    <t>0002702</t>
  </si>
  <si>
    <t>徐汇区南宁路501弄18号301室</t>
  </si>
  <si>
    <t>0000364</t>
  </si>
  <si>
    <t>马振东</t>
  </si>
  <si>
    <t>1916909986/13818598432</t>
  </si>
  <si>
    <t>沪南路3105弄1号304室</t>
  </si>
  <si>
    <t>0002954</t>
  </si>
  <si>
    <t>陈女士</t>
  </si>
  <si>
    <t>上海市宝山区大场镇行知路50弄复星花园26号302室</t>
  </si>
  <si>
    <t>秦明敏</t>
  </si>
  <si>
    <t>绿地玲珑24号203室</t>
  </si>
  <si>
    <t>卢悦</t>
  </si>
  <si>
    <t>长记利西路43号1009室</t>
  </si>
  <si>
    <t>张连霞</t>
  </si>
  <si>
    <t>长宁区虹桥路1980弄29号301室</t>
  </si>
  <si>
    <t>王瑛</t>
  </si>
  <si>
    <t>浦东新区惠南镇一方新城50号301室</t>
  </si>
  <si>
    <t>李曦</t>
  </si>
  <si>
    <t>仙霞路737弄7号1002室</t>
  </si>
  <si>
    <t>宣宝生</t>
  </si>
  <si>
    <t>宝山区高跃路133弄15号1701室</t>
  </si>
  <si>
    <t>蒋燕斌</t>
  </si>
  <si>
    <t>松江区莘松路999弄186号</t>
  </si>
  <si>
    <t>朱丹</t>
  </si>
  <si>
    <t>浦东新区高行镇秋岚路251弄15号302室</t>
  </si>
  <si>
    <t>蔡惠龙</t>
  </si>
  <si>
    <t>徐汇区三江路88弄13号501室</t>
  </si>
  <si>
    <t>张欢</t>
  </si>
  <si>
    <t>13918317067/13701731853</t>
  </si>
  <si>
    <t>嘉定区北安德路255弄116号</t>
  </si>
  <si>
    <t>朱丽</t>
  </si>
  <si>
    <t>梅川路1333弄26号</t>
  </si>
  <si>
    <t>陈朝</t>
  </si>
  <si>
    <t>普陀区光复西路133弄1号3101</t>
  </si>
  <si>
    <t>0000691</t>
  </si>
  <si>
    <t>祝豪杰</t>
  </si>
  <si>
    <t>宝山区云西路219弄20号1601</t>
  </si>
  <si>
    <t>张舒</t>
  </si>
  <si>
    <t>浦东御九路150弄17号1002</t>
  </si>
  <si>
    <t>石燕</t>
  </si>
  <si>
    <t>浦东晨晖路825弄17号301</t>
  </si>
  <si>
    <t>黄家祚</t>
  </si>
  <si>
    <t>宝山区场北路669弄19号202</t>
  </si>
  <si>
    <t>诸葛华</t>
  </si>
  <si>
    <t>翔殷路590号202</t>
  </si>
  <si>
    <t>董娟</t>
  </si>
  <si>
    <t>大连路吴家浜小区854弄12号104-105</t>
  </si>
  <si>
    <t>张冰默</t>
  </si>
  <si>
    <t>浦东新区丁香路1599弄8号1501</t>
  </si>
  <si>
    <t>陆阳</t>
  </si>
  <si>
    <t>长宁区安顺路2389弄3号301</t>
  </si>
  <si>
    <t>迟国峰</t>
  </si>
  <si>
    <t>金耀路555弄3号101</t>
  </si>
  <si>
    <t>顾志红</t>
  </si>
  <si>
    <t>闵行区沪闵路7580弄111支弄4号501</t>
  </si>
  <si>
    <t>汪炎根</t>
  </si>
  <si>
    <t>永跃路782弄12号1603</t>
  </si>
  <si>
    <t>上海师范大学</t>
  </si>
  <si>
    <t>桂林路100弄9号309</t>
  </si>
  <si>
    <t>黄珂</t>
  </si>
  <si>
    <t>德国路955弄3号1202</t>
  </si>
  <si>
    <t>赵京华</t>
  </si>
  <si>
    <t>松江区九亭镇文浦路56弄24号702</t>
  </si>
  <si>
    <t>陶钟颀</t>
  </si>
  <si>
    <t>徐汇区医学院路110弄15号103</t>
  </si>
  <si>
    <t>陈宝肋</t>
  </si>
  <si>
    <t>杨浦区平凉路1299号2006室</t>
  </si>
  <si>
    <t>宝山区顾北东路39弄27号1201室</t>
  </si>
  <si>
    <t>邢玉婧</t>
  </si>
  <si>
    <t>御中环3号902</t>
  </si>
  <si>
    <t>刘梦晗</t>
  </si>
  <si>
    <t>浦东新区张扬北路2899弄25号1001</t>
  </si>
  <si>
    <t>王莼瑜</t>
  </si>
  <si>
    <t>横沙岛东海二村2组223号</t>
  </si>
  <si>
    <t>尹彦斌</t>
  </si>
  <si>
    <t>昆山市花桥镇苑鑫都汇1号楼1单元1004</t>
  </si>
  <si>
    <t>金路勇</t>
  </si>
  <si>
    <t>思普路15弄7号402</t>
  </si>
  <si>
    <t>丁辰</t>
  </si>
  <si>
    <t>浦东洪山路1889弄10号201室</t>
  </si>
  <si>
    <t>徐海萍</t>
  </si>
  <si>
    <t>华茂路100-11-201</t>
  </si>
  <si>
    <t>郭兴华</t>
  </si>
  <si>
    <t>浦东新区浦城路366弄10号1201室</t>
  </si>
  <si>
    <t>闵行区浦申路1288弄113号402室</t>
  </si>
  <si>
    <t>王正辉</t>
  </si>
  <si>
    <t>建国东路328弄5号401室</t>
  </si>
  <si>
    <t>赵奕</t>
  </si>
  <si>
    <t>奉贤区香榭国际170号1702</t>
  </si>
  <si>
    <t>瞿峥</t>
  </si>
  <si>
    <t>松江佘山镇刘家山路27号403室</t>
  </si>
  <si>
    <t>莫文</t>
  </si>
  <si>
    <t>樾山明月洞坤路168弄257号</t>
  </si>
  <si>
    <t>齐鲁</t>
  </si>
  <si>
    <t>芦恒路378弄182号902</t>
  </si>
  <si>
    <t>翁海娣</t>
  </si>
  <si>
    <t>景联路111-272</t>
  </si>
  <si>
    <t>赵岚</t>
  </si>
  <si>
    <t>阳城路100弄15号202室</t>
  </si>
  <si>
    <t>谢琦</t>
  </si>
  <si>
    <t>哈密路1955弄67号601室</t>
  </si>
  <si>
    <t>奚岚</t>
  </si>
  <si>
    <t>铁岭路28弄11号1501室</t>
  </si>
  <si>
    <t>吴海迪</t>
  </si>
  <si>
    <t>沪亭北路338弄12号1601室</t>
  </si>
  <si>
    <t>浦东新区南洋泾路287弄10号602室</t>
  </si>
  <si>
    <t>莘城路199弄6栋503室</t>
  </si>
  <si>
    <t>嘉松中路6888弄265号</t>
  </si>
  <si>
    <t>新沪路1099弄62号502</t>
  </si>
  <si>
    <t>朱钊</t>
  </si>
  <si>
    <t>莱亭北路99弄26号302室</t>
  </si>
  <si>
    <t>张家芋路299弄7栋85号</t>
  </si>
  <si>
    <t>徐釜</t>
  </si>
  <si>
    <t>王蓓芬</t>
  </si>
  <si>
    <t>上海市浦东新区锦绣路300弄8号801室</t>
  </si>
  <si>
    <t>浦东长岛路800弄12号501</t>
  </si>
  <si>
    <t>杨南路797弄31号501</t>
  </si>
  <si>
    <t>闵行区高兴路666弄19号1002室</t>
  </si>
  <si>
    <t>车站南路406弄10号101室</t>
  </si>
  <si>
    <t>蔡红平</t>
  </si>
  <si>
    <t>新府中路1558弄宝龙二期50号</t>
  </si>
  <si>
    <t>郜菲</t>
  </si>
  <si>
    <t>杨高中路18弄13号301</t>
  </si>
  <si>
    <t>临汾路99弄2号701室</t>
  </si>
  <si>
    <t>宝山区真大路358弄60号1102室</t>
  </si>
  <si>
    <t>斜土路118-13-1708室</t>
  </si>
  <si>
    <t>青浦区徐泾镇虹桥明珠花园15号601室</t>
  </si>
  <si>
    <t>黄家路88弄6号1003室</t>
  </si>
  <si>
    <t>王尊龙</t>
  </si>
  <si>
    <t>浦东西营南路67弄9号401室</t>
  </si>
  <si>
    <t>港机新村57号401</t>
  </si>
  <si>
    <t>闵行区景联路1111弄449号</t>
  </si>
  <si>
    <t>甘榴彬</t>
  </si>
  <si>
    <t>梅川北路1001弄11号501室梅川小区</t>
  </si>
  <si>
    <t>普陀区古浪路108弄509号</t>
  </si>
  <si>
    <t>真华路99弄39号302室</t>
  </si>
  <si>
    <t>曹安公路1775号兆地A座1207室</t>
  </si>
  <si>
    <t>都成刚</t>
  </si>
  <si>
    <t>闵行区景谷路冯凰城16号401</t>
  </si>
  <si>
    <t>金沙江路2208弄62号701室</t>
  </si>
  <si>
    <t>安顺路139弄15号701室</t>
  </si>
  <si>
    <t>嘉定区红石路730弄26号1803室</t>
  </si>
  <si>
    <t>汤克友</t>
  </si>
  <si>
    <t>长宁区镇宁路545弄7号1104室</t>
  </si>
  <si>
    <t>0000692</t>
  </si>
  <si>
    <t>陈勤芳</t>
  </si>
  <si>
    <t>宝山区大康路1079弄11号1302室</t>
  </si>
  <si>
    <t>0002941</t>
  </si>
  <si>
    <t>杨浦区伟成路188弄7号1001室</t>
  </si>
  <si>
    <t>陈钰/顾涌</t>
  </si>
  <si>
    <t>13501735431/13917192940</t>
  </si>
  <si>
    <t>北京西路355弄2号2503</t>
  </si>
  <si>
    <t>0002848</t>
  </si>
  <si>
    <t>孙晨杰</t>
  </si>
  <si>
    <t>云台路1000弄22号1002室</t>
  </si>
  <si>
    <t>虞蕾</t>
  </si>
  <si>
    <t>金汇路460弄7号602室</t>
  </si>
  <si>
    <t>李慧娴</t>
  </si>
  <si>
    <t>斜土路2200弄47号1106室</t>
  </si>
  <si>
    <t>虞海兵</t>
  </si>
  <si>
    <t>国家儒路1299弄15号902室</t>
  </si>
  <si>
    <t>0001105</t>
  </si>
  <si>
    <t>王莉萍</t>
  </si>
  <si>
    <t>长阳路1318号59号702室</t>
  </si>
  <si>
    <t>姜奇</t>
  </si>
  <si>
    <t>闵行区永德路360弄70号902</t>
  </si>
  <si>
    <t>黄坚钢</t>
  </si>
  <si>
    <t>浦东区巨峰路455弄1小区2号301室</t>
  </si>
  <si>
    <t>0002705</t>
  </si>
  <si>
    <t>张法磊</t>
  </si>
  <si>
    <t>阳城路288弄35号302室</t>
  </si>
  <si>
    <t>王钰琦</t>
  </si>
  <si>
    <t>包头路1150弄29号704室</t>
  </si>
  <si>
    <t>0002707</t>
  </si>
  <si>
    <t>伦鹏</t>
  </si>
  <si>
    <t>静安区和田路451弄3号604室</t>
  </si>
  <si>
    <t>金富强</t>
  </si>
  <si>
    <t>普陀区中山北路1655弄29支弄14号2501室</t>
  </si>
  <si>
    <t>0000196</t>
  </si>
  <si>
    <t>孟先生</t>
  </si>
  <si>
    <t>长宁区仙霞路1118弄2号102室</t>
  </si>
  <si>
    <t>0001967</t>
  </si>
  <si>
    <t>张思凡</t>
  </si>
  <si>
    <t>黄浦区桃源路111弄5号301室  淮海晶华苑</t>
  </si>
  <si>
    <t>0001106</t>
  </si>
  <si>
    <t>沈黄荣</t>
  </si>
  <si>
    <t>宝林一村122号401室</t>
  </si>
  <si>
    <t>董政宇</t>
  </si>
  <si>
    <t>虹口区同丰路666弄17号802室</t>
  </si>
  <si>
    <t>戴虹</t>
  </si>
  <si>
    <t>颌江路28弄12号202室</t>
  </si>
  <si>
    <t>姚伟旭</t>
  </si>
  <si>
    <t>浦东区金高路1068弄华高新苑小区7号401室</t>
  </si>
  <si>
    <t>刘志达</t>
  </si>
  <si>
    <t>上海市杨浦区江浦路1188弄2321</t>
  </si>
  <si>
    <t>段靖江</t>
  </si>
  <si>
    <t>浦东新区冒里路340弄64号202室</t>
  </si>
  <si>
    <t>0001023</t>
  </si>
  <si>
    <t>唐小燕</t>
  </si>
  <si>
    <t>杨浦区同权东路99弄文化佳园31号401室</t>
  </si>
  <si>
    <t>何桂培</t>
  </si>
  <si>
    <t>15000633808/15601629151</t>
  </si>
  <si>
    <t>闵行区莲花南路111弄景城一期46号楼1402室</t>
  </si>
  <si>
    <t>何毅锐</t>
  </si>
  <si>
    <t>上海市西营南路17弄17号402室</t>
  </si>
  <si>
    <t>0055954</t>
  </si>
  <si>
    <t>吴岩</t>
  </si>
  <si>
    <t>奉贤区大叶公路天河9-1号</t>
  </si>
  <si>
    <t>0001039</t>
  </si>
  <si>
    <t>徐程</t>
  </si>
  <si>
    <t>闵行区浦秀路765弄浦秀苑小区81号601室</t>
  </si>
  <si>
    <t>刘欢</t>
  </si>
  <si>
    <t>桃林路299弄12号502室</t>
  </si>
  <si>
    <t>0000876</t>
  </si>
  <si>
    <t>伍月霞</t>
  </si>
  <si>
    <t>浦东区御云路100弄18号402室</t>
  </si>
  <si>
    <t>0000877</t>
  </si>
  <si>
    <t>程红星</t>
  </si>
  <si>
    <t>青浦区清河湾706弄9号1001室</t>
  </si>
  <si>
    <t>胡乔仪</t>
  </si>
  <si>
    <t>上海市浦明路99弄32号1904室</t>
  </si>
  <si>
    <t>徐雪冬</t>
  </si>
  <si>
    <t>嘉定区江桥镇张家村1615号</t>
  </si>
  <si>
    <t>刘畅</t>
  </si>
  <si>
    <t>闵行区梅陇镇莲花南路里阳三村36号402</t>
  </si>
  <si>
    <t>11月18号</t>
  </si>
  <si>
    <t>曹杨路2155弄2号1502室</t>
  </si>
  <si>
    <t>蔡准</t>
  </si>
  <si>
    <t>长宁区新华路街道延安西路1328弄2号14A</t>
  </si>
  <si>
    <t>徐凯华</t>
  </si>
  <si>
    <t>嘉定区宝安公路3636弄6号1003</t>
  </si>
  <si>
    <t>周美萱</t>
  </si>
  <si>
    <t xml:space="preserve">黄浦区中山南一路247弄19号301室 </t>
  </si>
  <si>
    <t>华山路1038弄5号楼2902室</t>
  </si>
  <si>
    <t>陈青华</t>
  </si>
  <si>
    <t>浦东区周浦镇周吴路500弄33号1101</t>
  </si>
  <si>
    <t>郑超</t>
  </si>
  <si>
    <t>虹口区雅育会路657弄东体小区38号401室</t>
  </si>
  <si>
    <t>浦东新区峨山路187弄26号502室</t>
  </si>
  <si>
    <t>周月皓</t>
  </si>
  <si>
    <t>上海市黄浦区新昌路182号1栋902</t>
  </si>
  <si>
    <t>潘亚涛</t>
  </si>
  <si>
    <t>黄浦区江阴街401弄（兼进大兴街）</t>
  </si>
  <si>
    <t>0000434</t>
  </si>
  <si>
    <t>康峭</t>
  </si>
  <si>
    <t>上海市青浦区赵巷镇秀治煌338弄4号1301室</t>
  </si>
  <si>
    <t>徐素成</t>
  </si>
  <si>
    <t>13913990195/17621839239</t>
  </si>
  <si>
    <t>一品五期205-1101</t>
  </si>
  <si>
    <t>董文杰</t>
  </si>
  <si>
    <t>控江路1525弄7号501</t>
  </si>
  <si>
    <t>王弘毅</t>
  </si>
  <si>
    <t>浦东新区青桐路618弄城市经典小区20号801室</t>
  </si>
  <si>
    <t>0002846</t>
  </si>
  <si>
    <t>张之光</t>
  </si>
  <si>
    <t>周家嘴路3118弄31-501室</t>
  </si>
  <si>
    <t>0001026</t>
  </si>
  <si>
    <t>嵇建琪</t>
  </si>
  <si>
    <t>闵行区沧源路588弄3号1301室</t>
  </si>
  <si>
    <t>德路99弄29号1302</t>
  </si>
  <si>
    <t>姜玉琳</t>
  </si>
  <si>
    <t>上海市浦东新区板泉路951号19号1004室</t>
  </si>
  <si>
    <t>0003489</t>
  </si>
  <si>
    <t>张辰元</t>
  </si>
  <si>
    <t>虹口区虹湾路313弄25号3302室</t>
  </si>
  <si>
    <t>0000198</t>
  </si>
  <si>
    <t>梅川路1493弄59号101</t>
  </si>
  <si>
    <t>0001042</t>
  </si>
  <si>
    <t>曹亦潇</t>
  </si>
  <si>
    <t>揽海路水岸小区169弄26号101号</t>
  </si>
  <si>
    <t>0000799</t>
  </si>
  <si>
    <t>张昊宇</t>
  </si>
  <si>
    <t>徐汇区衡山路41号t1-7b</t>
  </si>
  <si>
    <t>俞峰</t>
  </si>
  <si>
    <t>建国东路489弄2号502室</t>
  </si>
  <si>
    <t>0000797</t>
  </si>
  <si>
    <t>晨晖路828弄4号301室</t>
  </si>
  <si>
    <t>孙建欣</t>
  </si>
  <si>
    <t>徐汇区宾阳路28弄1号902室</t>
  </si>
  <si>
    <t>崔青华</t>
  </si>
  <si>
    <t>浦东新区博兴路462弄77号102室</t>
  </si>
  <si>
    <t>朱雪云</t>
  </si>
  <si>
    <t>长宁区平博路408弄26号103室</t>
  </si>
  <si>
    <t>0002956</t>
  </si>
  <si>
    <t>张强</t>
  </si>
  <si>
    <t>桃殷三村38弄501室</t>
  </si>
  <si>
    <t>曹中平</t>
  </si>
  <si>
    <t>西藏南路1739弄6-2402室</t>
  </si>
  <si>
    <t>0002957</t>
  </si>
  <si>
    <t>李昊林</t>
  </si>
  <si>
    <t>上海市浦东新区金口路53弄12号501室</t>
  </si>
  <si>
    <t>0000879</t>
  </si>
  <si>
    <t>杨萌</t>
  </si>
  <si>
    <t>浦东新区金口路155弄24号401室</t>
  </si>
  <si>
    <t>0004039</t>
  </si>
  <si>
    <t>沈洪吉</t>
  </si>
  <si>
    <t>上海市徐汇区龙华西路21弄3号204室</t>
  </si>
  <si>
    <t>0004029</t>
  </si>
  <si>
    <t>张飞</t>
  </si>
  <si>
    <t>象屿虹桥1号902</t>
  </si>
  <si>
    <t>0000930</t>
  </si>
  <si>
    <t>袁建军</t>
  </si>
  <si>
    <t>崇明区揽海路7弄1608号</t>
  </si>
  <si>
    <t>董洪勤</t>
  </si>
  <si>
    <t>大宁路505弄7号1603号</t>
  </si>
  <si>
    <t>王维莉</t>
  </si>
  <si>
    <t>上海市青浦区西油埻义港路173弄3号202室</t>
  </si>
  <si>
    <t>杜敏</t>
  </si>
  <si>
    <t>德华路79弄3号201</t>
  </si>
  <si>
    <t>0002709</t>
  </si>
  <si>
    <t>黄昊</t>
  </si>
  <si>
    <t>上海市宝山区上大路178弄21号301</t>
  </si>
  <si>
    <t>吴筱菊</t>
  </si>
  <si>
    <t>浦东区丁香路1299弄仁恒河源小区13号2002室</t>
  </si>
  <si>
    <t>徐莉莉</t>
  </si>
  <si>
    <t>浦东新区江文路201弄9号1801室</t>
  </si>
  <si>
    <t>陶文凯</t>
  </si>
  <si>
    <t>桂平路67弄45号301室</t>
  </si>
  <si>
    <t>赵亚锋</t>
  </si>
  <si>
    <t>浦东新区云端路1565弄60号102</t>
  </si>
  <si>
    <t>季诚东</t>
  </si>
  <si>
    <t>浦东区上丰路1483弄金融家小区63号802室</t>
  </si>
  <si>
    <t>成露</t>
  </si>
  <si>
    <t>浦东新区利津路729弄30号1101室</t>
  </si>
  <si>
    <t>0000922</t>
  </si>
  <si>
    <t>王晓光</t>
  </si>
  <si>
    <t>武德路678弄20号202室</t>
  </si>
  <si>
    <t>汪洋</t>
  </si>
  <si>
    <t>上海浦东新区上南路3339弄31号502室</t>
  </si>
  <si>
    <t>松江区佘山镇佘山里85号</t>
  </si>
  <si>
    <t>王宝明</t>
  </si>
  <si>
    <t>新市南路280弄13号101室</t>
  </si>
  <si>
    <t>翁凯骅</t>
  </si>
  <si>
    <t>浦明路99弄16号8bc</t>
  </si>
  <si>
    <t>邢艳梅</t>
  </si>
  <si>
    <t>富国路199弄15号1301室</t>
  </si>
  <si>
    <t>徐艳婷</t>
  </si>
  <si>
    <t>734弄33号201室</t>
  </si>
  <si>
    <t>葛蓓青</t>
  </si>
  <si>
    <t>宝山区密山路500弄66号501室</t>
  </si>
  <si>
    <t>张钱江</t>
  </si>
  <si>
    <t>徐汇区龙吟路501弄22号401</t>
  </si>
  <si>
    <t>夏佳清</t>
  </si>
  <si>
    <t>徐汇区漕溪北路750号906室</t>
  </si>
  <si>
    <t>徐伦琪</t>
  </si>
  <si>
    <t>闵行区芦恒路398弄一品漫城小区182号1101室</t>
  </si>
  <si>
    <t>欧以平</t>
  </si>
  <si>
    <t>13816688013</t>
  </si>
  <si>
    <t>徐汇区苑平南路388弄5号1701室</t>
  </si>
  <si>
    <t>张亦欣</t>
  </si>
  <si>
    <t>普陀区梅岭南路380弄2号1004室</t>
  </si>
  <si>
    <t>0000199</t>
  </si>
  <si>
    <t>张迪峰</t>
  </si>
  <si>
    <t>真光路962弄116号702室</t>
  </si>
  <si>
    <t>徐伟成</t>
  </si>
  <si>
    <t>顾戴路1100弄174号701室</t>
  </si>
  <si>
    <t>脱宁</t>
  </si>
  <si>
    <t>上海徐汇区广元路33号501室</t>
  </si>
  <si>
    <t>郑文婷</t>
  </si>
  <si>
    <t>顺平路60弄4号1803室</t>
  </si>
  <si>
    <t>何宇杰</t>
  </si>
  <si>
    <t>松江区新桥镇明兰路18弄</t>
  </si>
  <si>
    <t>岳驰</t>
  </si>
  <si>
    <t>浦东西营南路17弄64号501</t>
  </si>
  <si>
    <t>周自强</t>
  </si>
  <si>
    <t>徐汇区普陀南路790弄58号501</t>
  </si>
  <si>
    <t>刘彦婷</t>
  </si>
  <si>
    <t>杨浦区民星路400弄6号202室</t>
  </si>
  <si>
    <t>谭思敏</t>
  </si>
  <si>
    <t>杨浦区政悦路588弄14号802室</t>
  </si>
  <si>
    <t>0055955</t>
  </si>
  <si>
    <t>柳德君</t>
  </si>
  <si>
    <t>奉贤区秋月朗庭尚东区9号701</t>
  </si>
  <si>
    <t>0055959</t>
  </si>
  <si>
    <t>吴春美</t>
  </si>
  <si>
    <t>闵行区安宁路458弄41号102</t>
  </si>
  <si>
    <t>胡女士</t>
  </si>
  <si>
    <t>浦东区金高路1058弄15号102室</t>
  </si>
  <si>
    <t>李健仔</t>
  </si>
  <si>
    <t>沪南卢2727弄845号</t>
  </si>
  <si>
    <t>胡晓光</t>
  </si>
  <si>
    <t>惠南镇怪北路289弄17栋1501室</t>
  </si>
  <si>
    <t>0002843</t>
  </si>
  <si>
    <t>黄益娣</t>
  </si>
  <si>
    <t>延长中路500弄7号602室</t>
  </si>
  <si>
    <t>刘秦侠</t>
  </si>
  <si>
    <t>浦东新区东昌路东园一村小区102号501室</t>
  </si>
  <si>
    <t>文洁</t>
  </si>
  <si>
    <t>高宏路379弄35号1202室</t>
  </si>
  <si>
    <t>0000695</t>
  </si>
  <si>
    <t>王富顺</t>
  </si>
  <si>
    <t>虹口区天宝路66弄1号1301室</t>
  </si>
  <si>
    <t>0001078</t>
  </si>
  <si>
    <t>朱敏</t>
  </si>
  <si>
    <t>杨浦区国顺路81弄49号301室</t>
  </si>
  <si>
    <t>雷光荣</t>
  </si>
  <si>
    <t>凯旋一村4号301室</t>
  </si>
  <si>
    <t>0000452</t>
  </si>
  <si>
    <t>松江区沪亭北路618弄83号1204室</t>
  </si>
  <si>
    <t>刘兆翔</t>
  </si>
  <si>
    <t>塔城路718弄24号101室</t>
  </si>
  <si>
    <t>0003490</t>
  </si>
  <si>
    <t>宋建</t>
  </si>
  <si>
    <t>元宝路600弄1支弄7高104室</t>
  </si>
  <si>
    <t>宋丹青</t>
  </si>
  <si>
    <t>唐抄路386弄</t>
  </si>
  <si>
    <t>0002647</t>
  </si>
  <si>
    <t>蒋峰</t>
  </si>
  <si>
    <t>伴亭路855号36-1002</t>
  </si>
  <si>
    <t>黄婷</t>
  </si>
  <si>
    <t>浦东新区林展路411弄16号2605室</t>
  </si>
  <si>
    <t>邵长水</t>
  </si>
  <si>
    <t>浦东崂山路571弄3号907室</t>
  </si>
  <si>
    <t>0004016</t>
  </si>
  <si>
    <t>施俊群</t>
  </si>
  <si>
    <t>象屿虹桥悦府1号703</t>
  </si>
  <si>
    <t>侯权权</t>
  </si>
  <si>
    <t>松江区伴亭建路855弄象屿小区38号1601室</t>
  </si>
  <si>
    <t>朱新宇</t>
  </si>
  <si>
    <t>松江区伴亭路855弄象屿虹桥小区24号1501室</t>
  </si>
  <si>
    <t>0002648</t>
  </si>
  <si>
    <t>南码头路1136弄29号601</t>
  </si>
  <si>
    <t>0000453</t>
  </si>
  <si>
    <t>王鹏程</t>
  </si>
  <si>
    <t>宝山区丰皓路633弄招商中环小区58号101室</t>
  </si>
  <si>
    <t>0002677</t>
  </si>
  <si>
    <t>许诗林</t>
  </si>
  <si>
    <t>上海市松江区伴亭路855弄25号1604</t>
  </si>
  <si>
    <t>0000032</t>
  </si>
  <si>
    <t>浦东新区展凌路236弄6号701室</t>
  </si>
  <si>
    <t>赵秦</t>
  </si>
  <si>
    <t>徐汇区虹梅路街道钦州路888弄18号402室</t>
  </si>
  <si>
    <t>邹云</t>
  </si>
  <si>
    <t>13817602785</t>
  </si>
  <si>
    <t>泗泾洞伟路655弄1号1504</t>
  </si>
  <si>
    <t>陈国栋</t>
  </si>
  <si>
    <t>松江区伴亭路655弄12栋1101室</t>
  </si>
  <si>
    <t>0002640</t>
  </si>
  <si>
    <t>龚亮</t>
  </si>
  <si>
    <t>锦绣路800弄35号1703室</t>
  </si>
  <si>
    <t>0000212</t>
  </si>
  <si>
    <t>陈咏珉</t>
  </si>
  <si>
    <t>古龙路67号1001室</t>
  </si>
  <si>
    <t>沈整鸣</t>
  </si>
  <si>
    <t>钦州北路485号2709室</t>
  </si>
  <si>
    <t>0000801</t>
  </si>
  <si>
    <t>陈丽佳</t>
  </si>
  <si>
    <t>枣庄路810弄6号402室</t>
  </si>
  <si>
    <t>0001047</t>
  </si>
  <si>
    <t>章涵</t>
  </si>
  <si>
    <t>长宁区娄山美路999弄68号1002室</t>
  </si>
  <si>
    <t>0000037</t>
  </si>
  <si>
    <t>吴正风</t>
  </si>
  <si>
    <t>公元149号102室</t>
  </si>
  <si>
    <t>0001027</t>
  </si>
  <si>
    <t>楼云芳</t>
  </si>
  <si>
    <t>杨浦区飞虹路600弄海上海小区3号1902室</t>
  </si>
  <si>
    <t>姚张华/梅秋霞</t>
  </si>
  <si>
    <t>浦东区长岛路1203弄34号401室</t>
  </si>
  <si>
    <t>0001021</t>
  </si>
  <si>
    <t>黄浦区建国路328弄22号2802室</t>
  </si>
  <si>
    <t>候佳卿</t>
  </si>
  <si>
    <t>东新路88弄12号301室</t>
  </si>
  <si>
    <t>何智慧</t>
  </si>
  <si>
    <t>上海市闵行区马桥镇路3071室</t>
  </si>
  <si>
    <t>0001501</t>
  </si>
  <si>
    <t>张毅然</t>
  </si>
  <si>
    <t>闵行区北江燕路88弄浦江世博小区83号202室</t>
  </si>
  <si>
    <t>倪其龙</t>
  </si>
  <si>
    <t>闵行区宝乐路666弄7号402室</t>
  </si>
  <si>
    <t>0001503</t>
  </si>
  <si>
    <t>封少军</t>
  </si>
  <si>
    <t>奉贤区扶兰路18弄167号1001室</t>
  </si>
  <si>
    <t>0000802</t>
  </si>
  <si>
    <r>
      <rPr>
        <sz val="9"/>
        <rFont val="宋体"/>
        <charset val="134"/>
      </rPr>
      <t>毛</t>
    </r>
    <r>
      <rPr>
        <sz val="9"/>
        <color indexed="8"/>
        <rFont val="微软雅黑"/>
        <charset val="134"/>
      </rPr>
      <t>翊超</t>
    </r>
  </si>
  <si>
    <t>海桥路236号1705室</t>
  </si>
  <si>
    <t>宝山区纬北路99弄纪伟王期小区19号301室</t>
  </si>
  <si>
    <r>
      <rPr>
        <sz val="9"/>
        <rFont val="宋体"/>
        <charset val="134"/>
      </rPr>
      <t>卞</t>
    </r>
    <r>
      <rPr>
        <sz val="9"/>
        <color indexed="8"/>
        <rFont val="微软雅黑"/>
        <charset val="134"/>
      </rPr>
      <t>嘉</t>
    </r>
    <r>
      <rPr>
        <sz val="9"/>
        <color indexed="8"/>
        <rFont val="微软雅黑"/>
        <charset val="134"/>
      </rPr>
      <t>俊</t>
    </r>
  </si>
  <si>
    <t>中华路868弄3号1303室</t>
  </si>
  <si>
    <t>杨敏</t>
  </si>
  <si>
    <t>浦东新区杨高南路2306弄1号1403室</t>
  </si>
  <si>
    <t>胡静</t>
  </si>
  <si>
    <t>嘉善路555弄16号202室</t>
  </si>
  <si>
    <t>孟云强</t>
  </si>
  <si>
    <t>欧阳路289弄8号203室</t>
  </si>
  <si>
    <r>
      <rPr>
        <sz val="9"/>
        <rFont val="宋体"/>
        <charset val="134"/>
      </rPr>
      <t>于</t>
    </r>
    <r>
      <rPr>
        <sz val="9"/>
        <color indexed="8"/>
        <rFont val="微软雅黑"/>
        <charset val="134"/>
      </rPr>
      <t>昱</t>
    </r>
  </si>
  <si>
    <t>浦东灌坊西路1弄1号51d</t>
  </si>
  <si>
    <t>上海盛赢家业有限公司</t>
  </si>
  <si>
    <t>0002959</t>
  </si>
  <si>
    <t>朱易天</t>
  </si>
  <si>
    <t>鲁班路277弄5号1501室</t>
  </si>
  <si>
    <t>0002958</t>
  </si>
  <si>
    <t>唐人杰</t>
  </si>
  <si>
    <t>宝山区云西路219弄17号901室</t>
  </si>
  <si>
    <t>0000723</t>
  </si>
  <si>
    <t>潘国梁</t>
  </si>
  <si>
    <t>宝山区宝山林小区101号602室</t>
  </si>
  <si>
    <t>夏步刚</t>
  </si>
  <si>
    <t>汤臣豪园36号901室</t>
  </si>
  <si>
    <t>0002849</t>
  </si>
  <si>
    <t>任文捷</t>
  </si>
  <si>
    <t>浦东绿林路50弄23号201室</t>
  </si>
  <si>
    <t>诸葛萦</t>
  </si>
  <si>
    <t>沪太路903弄1号楼1501室</t>
  </si>
  <si>
    <t>姚蓝</t>
  </si>
  <si>
    <t>天山西路351弄11号501</t>
  </si>
  <si>
    <t>孔健</t>
  </si>
  <si>
    <t>浦连路598弄70号502室</t>
  </si>
  <si>
    <t>戚维琴</t>
  </si>
  <si>
    <t>长宁区镇宁路465弄7号106室</t>
  </si>
  <si>
    <t>黄智云</t>
  </si>
  <si>
    <t>闵行区绿莲路100弄43号601室</t>
  </si>
  <si>
    <t>谭尤峰</t>
  </si>
  <si>
    <t>盈港东路3188弄10-101</t>
  </si>
  <si>
    <t>乐恺</t>
  </si>
  <si>
    <t>杨浦区康山路1188弄宝地东花园3号1702室</t>
  </si>
  <si>
    <t>兰杰</t>
  </si>
  <si>
    <t>梦泽路825弄孟泽苑小区62号42室</t>
  </si>
  <si>
    <t>0001044</t>
  </si>
  <si>
    <t>周博烨</t>
  </si>
  <si>
    <t>长宁区971弄8号501室</t>
  </si>
  <si>
    <t>0002943</t>
  </si>
  <si>
    <t>张旭琴</t>
  </si>
  <si>
    <t>宝山区怡华苑路188弄23号</t>
  </si>
  <si>
    <t>于澜</t>
  </si>
  <si>
    <t>嘉定区铜川路2655弄25号501</t>
  </si>
  <si>
    <t>0000694</t>
  </si>
  <si>
    <t>吕琼</t>
  </si>
  <si>
    <t>虹口区海俊路88弄8号901室</t>
  </si>
  <si>
    <t>0002650</t>
  </si>
  <si>
    <t>金燕</t>
  </si>
  <si>
    <t>811号35号401室</t>
  </si>
  <si>
    <r>
      <rPr>
        <sz val="9"/>
        <rFont val="宋体"/>
        <charset val="134"/>
      </rPr>
      <t>巩</t>
    </r>
    <r>
      <rPr>
        <sz val="9"/>
        <color indexed="8"/>
        <rFont val="微软雅黑"/>
        <charset val="134"/>
      </rPr>
      <t>子君</t>
    </r>
  </si>
  <si>
    <t>象屿虹桥悦府</t>
  </si>
  <si>
    <t>0002019</t>
  </si>
  <si>
    <t>郑解新</t>
  </si>
  <si>
    <t>奉贤区万顺路2918弄23号2001</t>
  </si>
  <si>
    <t>卢永坚</t>
  </si>
  <si>
    <t>上海浦东金桥东路180弄4号301</t>
  </si>
  <si>
    <t>刘淑辉</t>
  </si>
  <si>
    <t>伴亭路855弄1号楼1404室</t>
  </si>
  <si>
    <t>0000435</t>
  </si>
  <si>
    <t>李小领</t>
  </si>
  <si>
    <t>黄浦区沪青平拱乐路1481号</t>
  </si>
  <si>
    <t>0002711</t>
  </si>
  <si>
    <t>赵秋鸣</t>
  </si>
  <si>
    <t>万荣路166弄1号楼1205室</t>
  </si>
  <si>
    <t>马路悦</t>
  </si>
  <si>
    <t>伴亭路855弄25号</t>
  </si>
  <si>
    <t>0002651</t>
  </si>
  <si>
    <t>王汝颖</t>
  </si>
  <si>
    <t>上海市浦东新区德淳路99弄22号1501</t>
  </si>
  <si>
    <t>龚龙妹</t>
  </si>
  <si>
    <t>浦东俱进路505弄48号901室</t>
  </si>
  <si>
    <t>曹勇</t>
  </si>
  <si>
    <t>黄浦区柳市路1弄2号2501室</t>
  </si>
  <si>
    <t>秀沿西路218弄158号402室</t>
  </si>
  <si>
    <t>亢祖直</t>
  </si>
  <si>
    <t>浦东国公路8682弄7号902室</t>
  </si>
  <si>
    <t>李玉东</t>
  </si>
  <si>
    <t>虹井路618弄31号301室</t>
  </si>
  <si>
    <t>0000619</t>
  </si>
  <si>
    <t>项卿</t>
  </si>
  <si>
    <t>万邦都市花园84号1001室</t>
  </si>
  <si>
    <t>陈国忠</t>
  </si>
  <si>
    <t>闵行区红松路175弄39号301室</t>
  </si>
  <si>
    <t>0000510</t>
  </si>
  <si>
    <t>周建平</t>
  </si>
  <si>
    <t>浦东康彬路386弄18号302</t>
  </si>
  <si>
    <t>乐雄</t>
  </si>
  <si>
    <t>浦东上浦路201弄7号502室</t>
  </si>
  <si>
    <t>00003491</t>
  </si>
  <si>
    <t>俞成斌</t>
  </si>
  <si>
    <t>闵行区金鹤路333号兰桥42号</t>
  </si>
  <si>
    <t>陆洁</t>
  </si>
  <si>
    <t>恒飞路233弄2号801室</t>
  </si>
  <si>
    <t>陈仕峰</t>
  </si>
  <si>
    <t>王婷</t>
  </si>
  <si>
    <t>浦东新区南泉路1111弄8号301</t>
  </si>
  <si>
    <t>陈坚维</t>
  </si>
  <si>
    <t>淞发路500弄23号801室</t>
  </si>
  <si>
    <t>王照琨</t>
  </si>
  <si>
    <t>奉贤区江海新村253号602室</t>
  </si>
  <si>
    <t>牛宝林</t>
  </si>
  <si>
    <t>漕溪路2999弄58号101</t>
  </si>
  <si>
    <t>顾志英</t>
  </si>
  <si>
    <t>郑华</t>
  </si>
  <si>
    <t>上海市闵行区顾戴路2000弄101号705</t>
  </si>
  <si>
    <t>金跃</t>
  </si>
  <si>
    <t>北涿路3386弄44号</t>
  </si>
  <si>
    <t>吴婷婷</t>
  </si>
  <si>
    <t>浦晓路298弄84号501室</t>
  </si>
  <si>
    <t>浦东新区创新路199弄46号301</t>
  </si>
  <si>
    <t>逸仙路655弄16号601室</t>
  </si>
  <si>
    <t>浦东新区上丰路金融家92号601室</t>
  </si>
  <si>
    <t>卢小林</t>
  </si>
  <si>
    <t>东波路585弄108号602室</t>
  </si>
  <si>
    <t>浦东川周公路2828弄31号302室</t>
  </si>
  <si>
    <t>浦东御元路100弄10号302</t>
  </si>
  <si>
    <t>浦东新区杨高中路1898号704室</t>
  </si>
  <si>
    <t>海波路3号127-3-1101</t>
  </si>
  <si>
    <t>昆山西源一号胜山西路1999弄17号602室</t>
  </si>
  <si>
    <t>五莲路1728弄35号301</t>
  </si>
  <si>
    <t>钦州北路885弄25号502</t>
  </si>
  <si>
    <t>延长中路4561-28-603室</t>
  </si>
  <si>
    <t>查际权</t>
  </si>
  <si>
    <t>浦东新区芳甸路333弄水清木华16号602室</t>
  </si>
  <si>
    <t>陈晓枫</t>
  </si>
  <si>
    <t>漕溪北路737弄2号3302</t>
  </si>
  <si>
    <t>枣庄路500弄18号401室</t>
  </si>
  <si>
    <t>襄阳南路550弄1-1602</t>
  </si>
  <si>
    <t>李婷</t>
  </si>
  <si>
    <t>宝山区昭山路245弄47号1101室</t>
  </si>
  <si>
    <t>浦东新区周浦镇横桥路69弄20号503室</t>
  </si>
  <si>
    <t>0001970</t>
  </si>
  <si>
    <t>漕俊婷</t>
  </si>
  <si>
    <t>塘路220弄塘江南苑173</t>
  </si>
  <si>
    <t>青浦祥凝浜路383弄南星祥和坊5栋306</t>
  </si>
  <si>
    <t>0001048</t>
  </si>
  <si>
    <t>董霞</t>
  </si>
  <si>
    <t>宝山区真华路999弄水岸蓝桥小区22号601室</t>
  </si>
  <si>
    <t>董湘丽</t>
  </si>
  <si>
    <t>浦城路377号江临天下12号1801</t>
  </si>
  <si>
    <t>郑民华</t>
  </si>
  <si>
    <t>黄浦区打浦路25号1202</t>
  </si>
  <si>
    <t>0002387</t>
  </si>
  <si>
    <t>倪咏</t>
  </si>
  <si>
    <t>御中环5号602</t>
  </si>
  <si>
    <t>陈钰</t>
  </si>
  <si>
    <t>杨浦区顺平路60弄1号701室</t>
  </si>
  <si>
    <t>0001529</t>
  </si>
  <si>
    <t>庞有为</t>
  </si>
  <si>
    <t>长水街277号10号1501室</t>
  </si>
  <si>
    <t>苏军福</t>
  </si>
  <si>
    <t>静安区海防路58弄11号401室</t>
  </si>
  <si>
    <t>唐一鸣</t>
  </si>
  <si>
    <t>宝山区菊联路233弄65号603</t>
  </si>
  <si>
    <t>浦东新区张江蕾香路238弄69号101室</t>
  </si>
  <si>
    <t>黄浦区鲁班路509弄1号2301室</t>
  </si>
  <si>
    <t xml:space="preserve">新桥镇明兴路18弄73号302室 </t>
  </si>
  <si>
    <t>贺女士</t>
  </si>
  <si>
    <t>吕罡</t>
  </si>
  <si>
    <t>哈密路1719弄3号402室</t>
  </si>
  <si>
    <t>大王</t>
  </si>
  <si>
    <t>东方逸城42号</t>
  </si>
  <si>
    <t>王帆程</t>
  </si>
  <si>
    <t>静安区海防路58弄康鑫小区12号1701室</t>
  </si>
  <si>
    <t>丁国平</t>
  </si>
  <si>
    <t>临潮二村26号201室</t>
  </si>
  <si>
    <t>季晓燕</t>
  </si>
  <si>
    <t>浦东永泰路133-55号1301</t>
  </si>
  <si>
    <t>乔伊</t>
  </si>
  <si>
    <t>浦东区康衫路386弄3号802室</t>
  </si>
  <si>
    <t>杨歆</t>
  </si>
  <si>
    <t>虹桥悦府1号楼1703</t>
  </si>
  <si>
    <t>杨文龙</t>
  </si>
  <si>
    <t>浦东新区乔弓路3465弄1号9-105室</t>
  </si>
  <si>
    <t>0001108</t>
  </si>
  <si>
    <t>孙燕萍</t>
  </si>
  <si>
    <t>宝山八村29号302</t>
  </si>
  <si>
    <t>赵晓蕾</t>
  </si>
  <si>
    <t>茂名南路9弄1号1705</t>
  </si>
  <si>
    <t>0000888</t>
  </si>
  <si>
    <t>曹利军</t>
  </si>
  <si>
    <t>汉中路333号6-102室</t>
  </si>
  <si>
    <t>虹口区临平北路2号金陵苑1号楼2206室</t>
  </si>
  <si>
    <t>韩毅</t>
  </si>
  <si>
    <t>虹桥街道虹桥路1163-2-802</t>
  </si>
  <si>
    <t>陶爱萍</t>
  </si>
  <si>
    <t>上海市金山区枫泾镇正荣璟园175号</t>
  </si>
  <si>
    <t>陆向文</t>
  </si>
  <si>
    <t>延安西路1782弄4号604室</t>
  </si>
  <si>
    <t>刘玮</t>
  </si>
  <si>
    <t>浦东区拱川路411弄2号1703室</t>
  </si>
  <si>
    <t>于海英</t>
  </si>
  <si>
    <t>泗砖南路1500号长泰西郊别墅559号</t>
  </si>
  <si>
    <t>御中环13号802</t>
  </si>
  <si>
    <t>中兴路1258弄5号1001</t>
  </si>
  <si>
    <t>古北花园5号1101室</t>
  </si>
  <si>
    <t>杨浦区国伟路138弄28号1106室</t>
  </si>
  <si>
    <t>顾漠卫</t>
  </si>
  <si>
    <t>松江刘家山路1088弄</t>
  </si>
  <si>
    <t>黎瀚文</t>
  </si>
  <si>
    <t>18801970316/13122799758</t>
  </si>
  <si>
    <t>东体育金路75号601室</t>
  </si>
  <si>
    <t>任臻宇</t>
  </si>
  <si>
    <t>嘉定区江桥镇嘉峪关路379弄2号1301</t>
  </si>
  <si>
    <t>0003492</t>
  </si>
  <si>
    <t>金甫玟</t>
  </si>
  <si>
    <t>伴亭路855弄25号404</t>
  </si>
  <si>
    <t>0003909</t>
  </si>
  <si>
    <t>陈东林</t>
  </si>
  <si>
    <t>青浦区华新镇风马铺路205弄23号501</t>
  </si>
  <si>
    <t>6105053·</t>
  </si>
  <si>
    <t>彭元豪</t>
  </si>
  <si>
    <t>大成都3期8号2102室</t>
  </si>
  <si>
    <t>0000036</t>
  </si>
  <si>
    <t>王伟康</t>
  </si>
  <si>
    <t>杨浦区辽源西路230弄7号2701室</t>
  </si>
  <si>
    <t>0000436</t>
  </si>
  <si>
    <t>殷优祥</t>
  </si>
  <si>
    <t>杨浦区周家嘴路1683弄32号1804</t>
  </si>
  <si>
    <t>邱先生</t>
  </si>
  <si>
    <t>长宁区定西路1277号1102室</t>
  </si>
  <si>
    <t>潘辉</t>
  </si>
  <si>
    <t>殷行路850弄49号302室</t>
  </si>
  <si>
    <t>金石路14b号101</t>
  </si>
  <si>
    <t>朱律</t>
  </si>
  <si>
    <t>青浦大发融悦12号602室</t>
  </si>
  <si>
    <t>吴文婷</t>
  </si>
  <si>
    <t>灵山路1396弄4-401</t>
  </si>
  <si>
    <t>威海路333弄20号501室/601室</t>
  </si>
  <si>
    <t>东陆路2000弄2号1302</t>
  </si>
  <si>
    <t>展俊杰</t>
  </si>
  <si>
    <t>青浦区盈浦街道朱家角路158弄7号701室</t>
  </si>
  <si>
    <t>嘉定区瑞林路800弄62号6781</t>
  </si>
  <si>
    <t>宝山区南大路6弄29号403室</t>
  </si>
  <si>
    <t>姜丽萍</t>
  </si>
  <si>
    <t>淞虹路828弄8号202室</t>
  </si>
  <si>
    <t>0002946</t>
  </si>
  <si>
    <t>莫瑾/刘宣岳</t>
  </si>
  <si>
    <t>静安府西区1楼</t>
  </si>
  <si>
    <t>静安府西区3楼</t>
  </si>
  <si>
    <t>刘宣岳</t>
  </si>
  <si>
    <t>静安府西区</t>
  </si>
  <si>
    <t>倪林生</t>
  </si>
  <si>
    <t>徐汇区宜山路518弄4号1606室</t>
  </si>
  <si>
    <t>范毅</t>
  </si>
  <si>
    <t>青浦区盛誉世家17号501室</t>
  </si>
  <si>
    <t>0000923</t>
  </si>
  <si>
    <t>金英</t>
  </si>
  <si>
    <t>长宁区虹桥路1038弄1303室</t>
  </si>
  <si>
    <t>0000890</t>
  </si>
  <si>
    <t>王军</t>
  </si>
  <si>
    <t>徐汇区罗秀路930弄38号401室</t>
  </si>
  <si>
    <t>浦城路366弄11号402室</t>
  </si>
  <si>
    <t>姜小平</t>
  </si>
  <si>
    <t>昆山开发区前进东路233号</t>
  </si>
  <si>
    <t>夏初</t>
  </si>
  <si>
    <t>鹤韵路549弄4号403室</t>
  </si>
  <si>
    <t>0003143</t>
  </si>
  <si>
    <t>余水火</t>
  </si>
  <si>
    <t>松江区泗陈公路2118弄135号102室</t>
  </si>
  <si>
    <t>0003142</t>
  </si>
  <si>
    <t>金秉心</t>
  </si>
  <si>
    <t>广富林路1518弄177号</t>
  </si>
  <si>
    <t>闵佳伟</t>
  </si>
  <si>
    <t>国顺路80弄30号302室</t>
  </si>
  <si>
    <t>0001739</t>
  </si>
  <si>
    <t>顾俊</t>
  </si>
  <si>
    <t>沪南路3968弄9号301室</t>
  </si>
  <si>
    <t>0001528</t>
  </si>
  <si>
    <t>王建平</t>
  </si>
  <si>
    <t>松江车墩影佳路333弄180号1202室</t>
  </si>
  <si>
    <t>浦东新区乳山路130弄梅园三街28号502室</t>
  </si>
  <si>
    <t>浦东新区江文路201弄29号401室</t>
  </si>
  <si>
    <t>高亮</t>
  </si>
  <si>
    <t>春申路2728弄126号</t>
  </si>
  <si>
    <t>0002948</t>
  </si>
  <si>
    <t>吴征瑜</t>
  </si>
  <si>
    <t>海防路538弄14号703室</t>
  </si>
  <si>
    <t>0002715</t>
  </si>
  <si>
    <t>宝山区金地天地云墅1楼</t>
  </si>
  <si>
    <t>宝山区金地天地云墅3楼</t>
  </si>
  <si>
    <t>罗爱平</t>
  </si>
  <si>
    <t>新桥镇华松绿嘉园10栋802</t>
  </si>
  <si>
    <t>0002693</t>
  </si>
  <si>
    <t>陈光耀</t>
  </si>
  <si>
    <t>松江区伴亭路855弄12号1002室</t>
  </si>
  <si>
    <t>李永根</t>
  </si>
  <si>
    <t>浦东万祥镇严木桥路168弄28号601</t>
  </si>
  <si>
    <t>钮敏</t>
  </si>
  <si>
    <t>闵行区浦锦路1181弄浦江坤庭小区6号1301室</t>
  </si>
  <si>
    <t>0000438</t>
  </si>
  <si>
    <t>沈萌</t>
  </si>
  <si>
    <t>七莘路3333号6区28号201</t>
  </si>
  <si>
    <t>0002840</t>
  </si>
  <si>
    <t>张晓晗</t>
  </si>
  <si>
    <t>浦东新区铃兰路508弄31号202</t>
  </si>
  <si>
    <t>0002838</t>
  </si>
  <si>
    <t>任成才</t>
  </si>
  <si>
    <t>徐汇区徐家汇街道南丹路368弄2-1704</t>
  </si>
  <si>
    <t>倪全林</t>
  </si>
  <si>
    <t>青浦区新胜路1777弄友爱小区33号</t>
  </si>
  <si>
    <t>000080</t>
  </si>
  <si>
    <t>芮轶瑾</t>
  </si>
  <si>
    <t>长窗路1338弄16号201室</t>
  </si>
  <si>
    <t>顾乃一</t>
  </si>
  <si>
    <t>金口路471弄9号103室</t>
  </si>
  <si>
    <t>付吉堂</t>
  </si>
  <si>
    <t>17300671668/13801729508</t>
  </si>
  <si>
    <t>浦东区莱阳路817弄莱金佳园15号301室</t>
  </si>
  <si>
    <t>0000437</t>
  </si>
  <si>
    <t>秦岭</t>
  </si>
  <si>
    <t>青城山路69弄51号401室</t>
  </si>
  <si>
    <t>0004497</t>
  </si>
  <si>
    <t>朱亦斌</t>
  </si>
  <si>
    <t>奉贤区广丰路676弄101铜南美霖</t>
  </si>
  <si>
    <t>王马军</t>
  </si>
  <si>
    <t>静安区长兴路168弄7号1902室</t>
  </si>
  <si>
    <t>周子君</t>
  </si>
  <si>
    <t>景秀路176弄58号101室</t>
  </si>
  <si>
    <t>0003354</t>
  </si>
  <si>
    <t>王菱华</t>
  </si>
  <si>
    <t>静安区南京西路1539弄2号1304室</t>
  </si>
  <si>
    <t>赵蓓娜</t>
  </si>
  <si>
    <t>虹口区天宝路558弄1号302室</t>
  </si>
  <si>
    <t>0000202</t>
  </si>
  <si>
    <t>韩振红</t>
  </si>
  <si>
    <t>闵行区七宝镇佳宝四村37号503室</t>
  </si>
  <si>
    <t>0002695</t>
  </si>
  <si>
    <t>张翔</t>
  </si>
  <si>
    <t>川周公路2880弄14号501室</t>
  </si>
  <si>
    <t>李晓明</t>
  </si>
  <si>
    <t>徐汇区淮海西路343号1201室</t>
  </si>
  <si>
    <t>0001110</t>
  </si>
  <si>
    <t>张慧</t>
  </si>
  <si>
    <t>宝山区海滨二村38号501室</t>
  </si>
  <si>
    <t>贾雪梅</t>
  </si>
  <si>
    <t>浦东新区海鸣路98弄16号1203室</t>
  </si>
  <si>
    <t>翁兴喆</t>
  </si>
  <si>
    <t>浦东新区张扬路1619弄4号402室</t>
  </si>
  <si>
    <t>季保亮</t>
  </si>
  <si>
    <t>嘉定区金园一路1118弄双佳翠庭95号601室</t>
  </si>
  <si>
    <t>王瑀</t>
  </si>
  <si>
    <t>松江区九亭北路618弄36号1401室</t>
  </si>
  <si>
    <t>俞庆斌</t>
  </si>
  <si>
    <t>闵行区金辉路333弄42号</t>
  </si>
  <si>
    <t>黄浦区中华路88弄滨江名人苑1号1901室</t>
  </si>
  <si>
    <t>上海市松江区虹桥江路1777弄66号</t>
  </si>
  <si>
    <t>浦东南林路734弄34号201室</t>
  </si>
  <si>
    <t>浦东新区金睦路353弄24号1704</t>
  </si>
  <si>
    <t>普陀区百丽路99弄118号501室</t>
  </si>
  <si>
    <t>夏静</t>
  </si>
  <si>
    <t>松江区涞演路1200弄88号1101室</t>
  </si>
  <si>
    <t>李志艳</t>
  </si>
  <si>
    <t>普陀区真北路18弄45号705室</t>
  </si>
  <si>
    <t>周怡</t>
  </si>
  <si>
    <t>徐汇区斜土路2200弄2号803室</t>
  </si>
  <si>
    <t>李志英</t>
  </si>
  <si>
    <t>普陀区真北路1817弄45号905室</t>
  </si>
  <si>
    <t>0000362</t>
  </si>
  <si>
    <t>何晶</t>
  </si>
  <si>
    <t>浦东区桃林路299弄10号502室</t>
  </si>
  <si>
    <t>0002696</t>
  </si>
  <si>
    <t>郑慧峰</t>
  </si>
  <si>
    <t>上海市浦东区柳路99弄25号1102室</t>
  </si>
  <si>
    <t>0000696</t>
  </si>
  <si>
    <t>刘本玉</t>
  </si>
  <si>
    <t>杨浦区大连西路4弄9号204室</t>
  </si>
  <si>
    <t>0002949</t>
  </si>
  <si>
    <t>朱静/成伟</t>
  </si>
  <si>
    <t>广中路525弄6号301室</t>
  </si>
  <si>
    <t>0000662</t>
  </si>
  <si>
    <t>徐候华</t>
  </si>
  <si>
    <t>黄浦区中华路88弄4号1301室</t>
  </si>
  <si>
    <t>顾会珍</t>
  </si>
  <si>
    <t>常兴家园62号601</t>
  </si>
  <si>
    <t>鞠和平</t>
  </si>
  <si>
    <t>嘉定区1399弄3-201</t>
  </si>
  <si>
    <t>储女士</t>
  </si>
  <si>
    <t>浦东新区北莲路1765弄48号</t>
  </si>
  <si>
    <t>0002912</t>
  </si>
  <si>
    <t>严绍萍</t>
  </si>
  <si>
    <t>宝山区1568弄</t>
  </si>
  <si>
    <t>0002020</t>
  </si>
  <si>
    <t>王冠雄</t>
  </si>
  <si>
    <t>报春路558弄41号601</t>
  </si>
  <si>
    <t>刘颖</t>
  </si>
  <si>
    <t>徐汇区梅陇十一村63号402</t>
  </si>
  <si>
    <t>0002950</t>
  </si>
  <si>
    <t>周润元</t>
  </si>
  <si>
    <t>普陀区武威东路479弄25号201室</t>
  </si>
  <si>
    <t>何珍</t>
  </si>
  <si>
    <t>普陀区富平路727弄5号1002室</t>
  </si>
  <si>
    <t>鲁玉芳</t>
  </si>
  <si>
    <t>天钥新村122号504室</t>
  </si>
  <si>
    <t>施懿</t>
  </si>
  <si>
    <t>康衫路386弄5楼</t>
  </si>
  <si>
    <t>陈杰</t>
  </si>
  <si>
    <t>徐汇区虹梅南路126弄22号楼301室</t>
  </si>
  <si>
    <t>冯平</t>
  </si>
  <si>
    <t>奉贤区西渡街道7-170-1604</t>
  </si>
  <si>
    <t>张晓逸</t>
  </si>
  <si>
    <t>安顺路351弄30号602</t>
  </si>
  <si>
    <t>0001050</t>
  </si>
  <si>
    <t>董晓梅</t>
  </si>
  <si>
    <t>青浦区业煌路128弄19号102室</t>
  </si>
  <si>
    <t>王正慷</t>
  </si>
  <si>
    <t>未来派7-703</t>
  </si>
  <si>
    <t>张宏伟</t>
  </si>
  <si>
    <t>淞虹路650弄32号302室</t>
  </si>
  <si>
    <t>盛佳丽</t>
  </si>
  <si>
    <t>徐汇区龙吴路1343弄14号402室</t>
  </si>
  <si>
    <t>0001740</t>
  </si>
  <si>
    <t>程奎</t>
  </si>
  <si>
    <t>松江区小昆山镇沪南公路499弄499号1304室</t>
  </si>
  <si>
    <t>朱其昌</t>
  </si>
  <si>
    <t>惠南镇布鲁斯小镇4期42号1702</t>
  </si>
  <si>
    <t>0003144</t>
  </si>
  <si>
    <t>任磊</t>
  </si>
  <si>
    <t>上海市松江区阳北路2388弄九龙公馆100-304</t>
  </si>
  <si>
    <t>朱昊东</t>
  </si>
  <si>
    <t>虹美路466弄8号2703</t>
  </si>
  <si>
    <t>刘海超</t>
  </si>
  <si>
    <t>王苏</t>
  </si>
  <si>
    <t>田林三村40号602</t>
  </si>
  <si>
    <t>戴一兵</t>
  </si>
  <si>
    <t>9弄8号2202室</t>
  </si>
  <si>
    <t>0003781</t>
  </si>
  <si>
    <t>朱晓蕾</t>
  </si>
  <si>
    <t>武宁南路320弄1802室</t>
  </si>
  <si>
    <t>荆璐瑜</t>
  </si>
  <si>
    <t>浦东川沙路1666-85-901</t>
  </si>
  <si>
    <t>0000181</t>
  </si>
  <si>
    <t>于美</t>
  </si>
  <si>
    <t>黄浦区10号3003室</t>
  </si>
  <si>
    <t>0002971</t>
  </si>
  <si>
    <t>陈雯颖</t>
  </si>
  <si>
    <t>上海市虹口区凉城路847弄12号202室</t>
  </si>
  <si>
    <t>郝延燕</t>
  </si>
  <si>
    <t>浦东观海路1118弄31号902室</t>
  </si>
  <si>
    <t>苏旻昊</t>
  </si>
  <si>
    <t>三林路788弄23号501室</t>
  </si>
  <si>
    <t>北渔路28弄7号402室</t>
  </si>
  <si>
    <r>
      <rPr>
        <sz val="9"/>
        <rFont val="宋体"/>
        <charset val="134"/>
      </rPr>
      <t>陈</t>
    </r>
    <r>
      <rPr>
        <sz val="9"/>
        <color indexed="8"/>
        <rFont val="微软雅黑"/>
        <charset val="134"/>
      </rPr>
      <t>岑</t>
    </r>
  </si>
  <si>
    <t>闵行区都市路3566弄283号</t>
  </si>
  <si>
    <t>芳甸路77弄5号702室</t>
  </si>
  <si>
    <t>张原</t>
  </si>
  <si>
    <t>鲁班路778弄53号601</t>
  </si>
  <si>
    <t>许婷</t>
  </si>
  <si>
    <t>松江区刘宋山路1088弄31号203室</t>
  </si>
  <si>
    <t>0000454</t>
  </si>
  <si>
    <t>陈佳超</t>
  </si>
  <si>
    <t>静安区灵石路963弄42号502室</t>
  </si>
  <si>
    <t>候骏</t>
  </si>
  <si>
    <t>香楼18475弄12号402室</t>
  </si>
  <si>
    <t>王战江</t>
  </si>
  <si>
    <t>徐汇区冠林园411弄4号202室</t>
  </si>
  <si>
    <t>0000663</t>
  </si>
  <si>
    <t>刘兰香</t>
  </si>
  <si>
    <t>闵行区荣潼路108弄东方花园3号601室</t>
  </si>
  <si>
    <t>0001109</t>
  </si>
  <si>
    <t>陶青</t>
  </si>
  <si>
    <t>场北路669弄38号902室</t>
  </si>
  <si>
    <t>0000205</t>
  </si>
  <si>
    <t>梁文超</t>
  </si>
  <si>
    <t>宝菊路133弄289栋1102室</t>
  </si>
  <si>
    <t>霍元芳</t>
  </si>
  <si>
    <t>浦东区333弄11号302室</t>
  </si>
  <si>
    <t>王金保</t>
  </si>
  <si>
    <t>浦东区利津路215弄12号602室</t>
  </si>
  <si>
    <t>绿地天吴100号704</t>
  </si>
  <si>
    <t>洪满</t>
  </si>
  <si>
    <t>嘉定区云屏路1286弄1号1601室</t>
  </si>
  <si>
    <t>龙娥</t>
  </si>
  <si>
    <t>云樱路199弄16号403室</t>
  </si>
  <si>
    <t>蔚文新/沈海青</t>
  </si>
  <si>
    <t>381弄御中环5号801</t>
  </si>
  <si>
    <t>0000622</t>
  </si>
  <si>
    <t>杜惠敬</t>
  </si>
  <si>
    <t>莲园路18弄15号203室</t>
  </si>
  <si>
    <t>0000623</t>
  </si>
  <si>
    <t>高佳</t>
  </si>
  <si>
    <t>浦东林展路267-8-2504</t>
  </si>
  <si>
    <t>0000621</t>
  </si>
  <si>
    <t>江丽荣</t>
  </si>
  <si>
    <t>张杨路1698弄15号501室</t>
  </si>
  <si>
    <t>0000620</t>
  </si>
  <si>
    <t>孙加春</t>
  </si>
  <si>
    <t>长宁区古北路530弄70号604室</t>
  </si>
  <si>
    <t>0004499</t>
  </si>
  <si>
    <t>顾小明</t>
  </si>
  <si>
    <t>汇臻路815弄25号602室</t>
  </si>
  <si>
    <t>0004498</t>
  </si>
  <si>
    <t>朱志敏</t>
  </si>
  <si>
    <t>徐溪泉</t>
  </si>
  <si>
    <t>上海市闵行区东兰路307弄12号202</t>
  </si>
  <si>
    <t>0001328</t>
  </si>
  <si>
    <t>田智源</t>
  </si>
  <si>
    <t>临泽路189弄13号601</t>
  </si>
  <si>
    <t>0002718</t>
  </si>
  <si>
    <t>张浩</t>
  </si>
  <si>
    <t>江桥镇鹤旋路555弄水岸秀苑107号302室</t>
  </si>
  <si>
    <t>殷心平</t>
  </si>
  <si>
    <t>徐汇区长桥村75号503室</t>
  </si>
  <si>
    <t>孟臣</t>
  </si>
  <si>
    <t>青浦区业文路与嘉松南路西郊102室</t>
  </si>
  <si>
    <t>0002951</t>
  </si>
  <si>
    <t>曹霞</t>
  </si>
  <si>
    <t>宝山区德班路269弄32号101室</t>
  </si>
  <si>
    <t>李正虎</t>
  </si>
  <si>
    <t>浦东新区新场镇新环北路1080弄17-1202室</t>
  </si>
  <si>
    <t>0004017</t>
  </si>
  <si>
    <t>陆朋</t>
  </si>
  <si>
    <t>友情路50弄15号1101</t>
  </si>
  <si>
    <t>0004018</t>
  </si>
  <si>
    <t>蔡霞</t>
  </si>
  <si>
    <t>沪南公路1655号新虹桥西州花园</t>
  </si>
  <si>
    <t>吴品杰</t>
  </si>
  <si>
    <t>上海市闵行富国路199弄35号501</t>
  </si>
  <si>
    <t>0002022</t>
  </si>
  <si>
    <t>闵行区航华三村四街坊265号201</t>
  </si>
  <si>
    <t>严洁</t>
  </si>
  <si>
    <t>丰海路500弄12号1101室</t>
  </si>
  <si>
    <t>0002717</t>
  </si>
  <si>
    <t>顾荣荣</t>
  </si>
  <si>
    <t>纬北路99号30号4021室</t>
  </si>
  <si>
    <t>上海市宝山区800弄</t>
  </si>
  <si>
    <t>黄鳝</t>
  </si>
  <si>
    <t>13917780883</t>
  </si>
  <si>
    <t>长宁区虹桥路16号202室</t>
  </si>
  <si>
    <t>0002974</t>
  </si>
  <si>
    <t>陈刘亭</t>
  </si>
  <si>
    <t>原平路383弄26-402</t>
  </si>
  <si>
    <t>0000665</t>
  </si>
  <si>
    <t>马丽玲</t>
  </si>
  <si>
    <t>闵行区莲花路755弄万永成小区10号1501</t>
  </si>
  <si>
    <t>0000201</t>
  </si>
  <si>
    <t>孟蛟</t>
  </si>
  <si>
    <t>松江区涞坊路333弄42号902</t>
  </si>
  <si>
    <t>浦东新区峨山路500弄南泉公寓504室</t>
  </si>
  <si>
    <t>陈红艳</t>
  </si>
  <si>
    <t>沪青平公路6101弄47号602室</t>
  </si>
  <si>
    <t>杨瑞君</t>
  </si>
  <si>
    <t>芦恒路378弄193号1201</t>
  </si>
  <si>
    <t>13816966578/13816863765</t>
  </si>
  <si>
    <t>新村路2080弄8号301室</t>
  </si>
  <si>
    <t>桃林路299弄39号1602室</t>
  </si>
  <si>
    <t>浦东新区浦明路99弄仁恒滨江28号2203</t>
  </si>
  <si>
    <t>五莲路1769弄7号801</t>
  </si>
  <si>
    <t>浦晓路298弄42号401</t>
  </si>
  <si>
    <t>何保庆</t>
  </si>
  <si>
    <t>唐丰路881弄79号</t>
  </si>
  <si>
    <t>张健</t>
  </si>
  <si>
    <t>漕宝路1467弄5区70号202室</t>
  </si>
  <si>
    <t>0002024</t>
  </si>
  <si>
    <t>许萍</t>
  </si>
  <si>
    <t>15102138486/18502189890</t>
  </si>
  <si>
    <t>浦航路718号浦润苑6号304</t>
  </si>
  <si>
    <t>0002023</t>
  </si>
  <si>
    <t>葛沛言</t>
  </si>
  <si>
    <t>松江区泗泾镇泗陈公路155弄28号 钰丰商都售楼处</t>
  </si>
  <si>
    <t>0002055</t>
  </si>
  <si>
    <t>黄林</t>
  </si>
  <si>
    <t>报春路816弄20号202</t>
  </si>
  <si>
    <t>0003493</t>
  </si>
  <si>
    <t>金楷淳</t>
  </si>
  <si>
    <t>虹口区新市路251弄5号1602</t>
  </si>
  <si>
    <t>李长俊</t>
  </si>
  <si>
    <t>青桐路409弄20号503室</t>
  </si>
  <si>
    <t>0002719</t>
  </si>
  <si>
    <t>夏爱米</t>
  </si>
  <si>
    <t>江宁路1220弄6号楼1204室</t>
  </si>
  <si>
    <t>李逸飞</t>
  </si>
  <si>
    <t>公路3656弄6-114</t>
  </si>
  <si>
    <t>0001049</t>
  </si>
  <si>
    <t>包晗</t>
  </si>
  <si>
    <t>嘉定店丰庄西路551弄9号502室</t>
  </si>
  <si>
    <t>郑美霞</t>
  </si>
  <si>
    <t>唐晓春</t>
  </si>
  <si>
    <t>黄浦区五里桥路260弄3号</t>
  </si>
  <si>
    <t>苏洪路388弄160号501</t>
  </si>
  <si>
    <t>秦海宾</t>
  </si>
  <si>
    <t>长宁区安顺路358弄17号601室</t>
  </si>
  <si>
    <t>江雪微</t>
  </si>
  <si>
    <t>佘山桃园路688弄568号201室</t>
  </si>
  <si>
    <t>王媛媛</t>
  </si>
  <si>
    <t>宝山区月罗路102号</t>
  </si>
  <si>
    <t>蒋时敏/许旭</t>
  </si>
  <si>
    <t>新沪路197弄103号202室</t>
  </si>
  <si>
    <t>蕾依娜</t>
  </si>
  <si>
    <t>淞南五村107号301室</t>
  </si>
  <si>
    <t>青浦区诸光路1056弄久事西郊花园518</t>
  </si>
  <si>
    <t>陶言敏</t>
  </si>
  <si>
    <t>同悦湾华庭北区266号（航城路）288弄200</t>
  </si>
  <si>
    <t>苏建生</t>
  </si>
  <si>
    <t>德立路99弄25号</t>
  </si>
  <si>
    <t>闵行区莘沥路188弄10号201室</t>
  </si>
  <si>
    <t>高台路10号601室</t>
  </si>
  <si>
    <t>0002704</t>
  </si>
  <si>
    <t>高艳艳</t>
  </si>
  <si>
    <t>涵青路398弄33号301</t>
  </si>
  <si>
    <t>曹赟璐</t>
  </si>
  <si>
    <t>虹桥路168弄8号楼1701室</t>
  </si>
  <si>
    <t>0001077</t>
  </si>
  <si>
    <t>郑冰</t>
  </si>
  <si>
    <t>宝山区红林路99弄6小区62号803室</t>
  </si>
  <si>
    <t>姚亚杰</t>
  </si>
  <si>
    <t>象屿小区1号1704室</t>
  </si>
  <si>
    <t>0002712</t>
  </si>
  <si>
    <t>李春玲</t>
  </si>
  <si>
    <t>真金路250弄55号</t>
  </si>
  <si>
    <t>朱晓艳</t>
  </si>
  <si>
    <t>汾阳路77号B101室</t>
  </si>
  <si>
    <t>0002031</t>
  </si>
  <si>
    <t>王文君</t>
  </si>
  <si>
    <t>宝东路888弄8号102室</t>
  </si>
  <si>
    <t>0002032</t>
  </si>
  <si>
    <t>陈锡晶</t>
  </si>
  <si>
    <t>杨浦区大连西路30弄5号405</t>
  </si>
  <si>
    <t>耿直</t>
  </si>
  <si>
    <t>上海市嘉定区复华路28弄7号2001</t>
  </si>
  <si>
    <t>还没拿房</t>
  </si>
  <si>
    <t>0002035</t>
  </si>
  <si>
    <t>耿沐熹</t>
  </si>
  <si>
    <t>浦东书房路390弄78号301</t>
  </si>
  <si>
    <t>范玮为</t>
  </si>
  <si>
    <t>叶联路699弄南山雨果52号楼1101室</t>
  </si>
  <si>
    <t>范亚青</t>
  </si>
  <si>
    <t>红蜓南路1660弄40号602</t>
  </si>
  <si>
    <t>王爱君</t>
  </si>
  <si>
    <t>世界路43弄4号101室</t>
  </si>
  <si>
    <t>0000951</t>
  </si>
  <si>
    <t>王帅</t>
  </si>
  <si>
    <t>瑞福路196弄3号202室</t>
  </si>
  <si>
    <t>虞嘉珺</t>
  </si>
  <si>
    <t>龙华路2518弄73号1701室</t>
  </si>
  <si>
    <t>何七红</t>
  </si>
  <si>
    <t>斜土路2455弄2号402室</t>
  </si>
  <si>
    <t>徐汇区瑞安南路485弄2号2902室</t>
  </si>
  <si>
    <t>程美丽</t>
  </si>
  <si>
    <t>东方路573弄3号1503室</t>
  </si>
  <si>
    <t>万德路67弄23号</t>
  </si>
  <si>
    <t>都丽</t>
  </si>
  <si>
    <t>虹梅南路1660弄61号502室</t>
  </si>
  <si>
    <t>胡妍君</t>
  </si>
  <si>
    <t>徐汇区华泾镇333弄20-102</t>
  </si>
  <si>
    <t>姜玉坤</t>
  </si>
  <si>
    <t>商场路1025弄15号401</t>
  </si>
  <si>
    <t>王文婷</t>
  </si>
  <si>
    <t>龚华路425弄</t>
  </si>
  <si>
    <t>0000664</t>
  </si>
  <si>
    <t>夏丁</t>
  </si>
  <si>
    <t>徐汇区桂林街道99弄24号101室</t>
  </si>
  <si>
    <t>陈驰</t>
  </si>
  <si>
    <t>杨浦区军工路400弄28号507室</t>
  </si>
  <si>
    <t>刘清清</t>
  </si>
  <si>
    <t>闵行区金平路328弄31号402室</t>
  </si>
  <si>
    <t>周武其</t>
  </si>
  <si>
    <t>上海市金山区香颂湾东区33-701</t>
  </si>
  <si>
    <t>吴绪越</t>
  </si>
  <si>
    <t>苗圃路600弄11号101室</t>
  </si>
  <si>
    <t>王丽莉</t>
  </si>
  <si>
    <t>政本路280弄8号501室</t>
  </si>
  <si>
    <t>梅陇七村9号204室</t>
  </si>
  <si>
    <t>赵静丽</t>
  </si>
  <si>
    <t>闵行区道悦路55弄10号804室</t>
  </si>
  <si>
    <t>年吉路100弄4号1803室</t>
  </si>
  <si>
    <t>武威东路479弄31号402室</t>
  </si>
  <si>
    <t>牡丹路89弄4号502室</t>
  </si>
  <si>
    <t>上海市闵行区莲花南路1111弄春申景城1期46-1402</t>
  </si>
  <si>
    <t>钱灵艳</t>
  </si>
  <si>
    <t>西康路1518弄15号902室</t>
  </si>
  <si>
    <t>0000440</t>
  </si>
  <si>
    <t>黄旭临</t>
  </si>
  <si>
    <t>上海市松江区九亭镇伴亭路855弄38号1204室</t>
  </si>
  <si>
    <t>0002916</t>
  </si>
  <si>
    <t>杨盛</t>
  </si>
  <si>
    <t>闵行区虹桥镇名都城40-703</t>
  </si>
  <si>
    <t>0002915</t>
  </si>
  <si>
    <t>殷琼</t>
  </si>
  <si>
    <t>龙茗路1458弄161号302</t>
  </si>
  <si>
    <t>0003494</t>
  </si>
  <si>
    <t>杨纯</t>
  </si>
  <si>
    <t>松江青城山路439弄10号601室</t>
  </si>
  <si>
    <t>0003910</t>
  </si>
  <si>
    <t>赵新雯</t>
  </si>
  <si>
    <t>包头路1150弄33号1103室</t>
  </si>
  <si>
    <t>0003912</t>
  </si>
  <si>
    <t>闪林娣</t>
  </si>
  <si>
    <t>殷行路530弄22号103室</t>
  </si>
  <si>
    <t>刘威杨</t>
  </si>
  <si>
    <t>上海市 长宁区32号2204室</t>
  </si>
  <si>
    <t>景飞翔</t>
  </si>
  <si>
    <t>浦东新区御云路100弄18号201</t>
  </si>
  <si>
    <t>0004031</t>
  </si>
  <si>
    <t>王子龍</t>
  </si>
  <si>
    <t>松江区泗陈公路2118弄2号102室</t>
  </si>
  <si>
    <t>阮小姐</t>
  </si>
  <si>
    <t>泽悦路211弄6号1404室</t>
  </si>
  <si>
    <t>杨新明</t>
  </si>
  <si>
    <t>周浦镇129弄40号601</t>
  </si>
  <si>
    <t>预退</t>
  </si>
  <si>
    <t>赵亚平</t>
  </si>
  <si>
    <t>浦东杨浦区新龙居路1号1403室</t>
  </si>
  <si>
    <t>王筱贇</t>
  </si>
  <si>
    <t>徐汇区乌鲁木齐南路298号501室</t>
  </si>
  <si>
    <t>宝通路518弄1号403室</t>
  </si>
  <si>
    <t>王寅</t>
  </si>
  <si>
    <t>杨高南路秀沿西路218弄绿地别墅48号</t>
  </si>
  <si>
    <t>范军</t>
  </si>
  <si>
    <t>欧阳路218-1-1503</t>
  </si>
  <si>
    <t>宝山区海笛可以333弄272号802室</t>
  </si>
  <si>
    <t>闵行新龙路558弄30号702室</t>
  </si>
  <si>
    <t>浦东杨南路694弄绿茵苑9号302室</t>
  </si>
  <si>
    <t>莘松路958弄7号102室</t>
  </si>
  <si>
    <t>张捷</t>
  </si>
  <si>
    <t>普陀区梅川路1333弄22号101室</t>
  </si>
  <si>
    <t>丛国庆</t>
  </si>
  <si>
    <t>虹口区新市路251弄6号203室</t>
  </si>
  <si>
    <t>顾敏敏</t>
  </si>
  <si>
    <t>嘉定区胜竹路2600弄35号501室</t>
  </si>
  <si>
    <t>张笑达</t>
  </si>
  <si>
    <t>峨山路187弄4-401</t>
  </si>
  <si>
    <t>0002973</t>
  </si>
  <si>
    <t>王玳玳</t>
  </si>
  <si>
    <t>888弄2号3302室</t>
  </si>
  <si>
    <t>袁虹</t>
  </si>
  <si>
    <t>滨路9弄19号1202室</t>
  </si>
  <si>
    <t>袁伟</t>
  </si>
  <si>
    <t>太仓市宝龙花园上海东路288号35栋104室</t>
  </si>
  <si>
    <t>0003542</t>
  </si>
  <si>
    <t>薛一鸣</t>
  </si>
  <si>
    <t>清宁路218弄22号1701室</t>
  </si>
  <si>
    <t>七莘路2315弄13号401室</t>
  </si>
  <si>
    <t>沈叶敏</t>
  </si>
  <si>
    <t>延吉东路5弄19号504室</t>
  </si>
  <si>
    <t>盛晓方</t>
  </si>
  <si>
    <t>宝山区517弄50号904室</t>
  </si>
  <si>
    <t>曹毅</t>
  </si>
  <si>
    <t>奉贤区秀韵路105弄101室</t>
  </si>
  <si>
    <t>王守兵</t>
  </si>
  <si>
    <t>龙洲南路58弄13号403室</t>
  </si>
  <si>
    <t>何丽敏</t>
  </si>
  <si>
    <t>密云路528弄1号1207室</t>
  </si>
  <si>
    <t>张晓忠</t>
  </si>
  <si>
    <t>12号602室</t>
  </si>
  <si>
    <t>宝山区525弄23号402室</t>
  </si>
  <si>
    <t>龚滔</t>
  </si>
  <si>
    <t>顾北东路39弄26号502室</t>
  </si>
  <si>
    <t>嵇先生（甘泉）</t>
  </si>
  <si>
    <t>宝山区菊泉街15号1604室</t>
  </si>
  <si>
    <t>顾村路菊泉街1280弄32号1402</t>
  </si>
  <si>
    <t>李晓东</t>
  </si>
  <si>
    <t>花桥镇运国11号楼2404室</t>
  </si>
  <si>
    <t>邹颖</t>
  </si>
  <si>
    <t>上海市长宁区天山路202弄28号501室</t>
  </si>
  <si>
    <t>史丽</t>
  </si>
  <si>
    <t>菊泉街547弄16号401室</t>
  </si>
  <si>
    <t>松江区明新路428弄23号西南路</t>
  </si>
  <si>
    <t>丁香路1599弄26号602</t>
  </si>
  <si>
    <t>兰崇璐360弄16号902室</t>
  </si>
  <si>
    <t>宝山区虎林路99弄40号201室</t>
  </si>
  <si>
    <t>徐汇区红漕南路225弄100号101室</t>
  </si>
  <si>
    <t>巷居路99号251号102室</t>
  </si>
  <si>
    <t>罗阳三村107号102室</t>
  </si>
  <si>
    <t>张苗</t>
  </si>
  <si>
    <t>金山区朱泾镇公园路129弄15号702室</t>
  </si>
  <si>
    <t>吴臻治</t>
  </si>
  <si>
    <t>虹莘路3800弄11号1002</t>
  </si>
  <si>
    <t>0001526</t>
  </si>
  <si>
    <t>2019.9.12</t>
  </si>
  <si>
    <t>13916473488/15821005676</t>
  </si>
  <si>
    <t>九亭镇朱泾路328弄13号601室</t>
  </si>
  <si>
    <t>0002722</t>
  </si>
  <si>
    <t>金艳</t>
  </si>
  <si>
    <t>宝山区华秋路666号1101室</t>
  </si>
  <si>
    <t>王妤凤</t>
  </si>
  <si>
    <t>康衫路386弄11号402室</t>
  </si>
  <si>
    <t>0004032</t>
  </si>
  <si>
    <t>王迎春</t>
  </si>
  <si>
    <t>绿中海明花43</t>
  </si>
  <si>
    <t>0004033</t>
  </si>
  <si>
    <t>宫兆晶</t>
  </si>
  <si>
    <t>松江区九亭镇沪亭北路618弄101号301</t>
  </si>
  <si>
    <t>0000697</t>
  </si>
  <si>
    <t>虹口区水电路191弄14号301室</t>
  </si>
  <si>
    <t>杨登峰</t>
  </si>
  <si>
    <t>浦东新区诚利路298弄15号801室</t>
  </si>
  <si>
    <t>0003355</t>
  </si>
  <si>
    <t>吴军</t>
  </si>
  <si>
    <t>徐汇区桂林街9弄46号301室</t>
  </si>
  <si>
    <t>徐新伟</t>
  </si>
  <si>
    <t>闵行区863弄45号403室</t>
  </si>
  <si>
    <t>叶翠微</t>
  </si>
  <si>
    <t>闵行区顾戴路1199弄12号302室</t>
  </si>
  <si>
    <t>吴振辉</t>
  </si>
  <si>
    <t>浦东新区508弄31号301</t>
  </si>
  <si>
    <t>0003495</t>
  </si>
  <si>
    <t>田立卿</t>
  </si>
  <si>
    <t>东南新村53号101室</t>
  </si>
  <si>
    <t>0003783</t>
  </si>
  <si>
    <t>范松韵</t>
  </si>
  <si>
    <t>打浦路398弄3号1401室</t>
  </si>
  <si>
    <t>0003784</t>
  </si>
  <si>
    <t>姜嵘</t>
  </si>
  <si>
    <t>思南路88弄5号2702室</t>
  </si>
  <si>
    <t>0003785</t>
  </si>
  <si>
    <t>黄新冲</t>
  </si>
  <si>
    <t>上海市闵行区古北路1700弄6号901</t>
  </si>
  <si>
    <t>王镇</t>
  </si>
  <si>
    <t>浦东区811弄96号701室</t>
  </si>
  <si>
    <t>廖丽</t>
  </si>
  <si>
    <t>浦东新区博兴路616弄17号304室</t>
  </si>
  <si>
    <t>0003786</t>
  </si>
  <si>
    <t>陈浩健</t>
  </si>
  <si>
    <t>欧阳路351-3-601</t>
  </si>
  <si>
    <t>张莹</t>
  </si>
  <si>
    <t>景明花园15号202室</t>
  </si>
  <si>
    <t>刘晖</t>
  </si>
  <si>
    <t>徐汇区龙吴路1343弄14号1402</t>
  </si>
  <si>
    <t>雷元芳</t>
  </si>
  <si>
    <t>浦东新区方面路333弄水清木华11号303室</t>
  </si>
  <si>
    <t>张振华</t>
  </si>
  <si>
    <t>闵行区闵驰路302弄34号203</t>
  </si>
  <si>
    <t>陈西林</t>
  </si>
  <si>
    <t>浦东锦绣路666弄17号602</t>
  </si>
  <si>
    <t>闵行曙光路1758弄16号</t>
  </si>
  <si>
    <t>龙瑞路128弄7号1601</t>
  </si>
  <si>
    <t>0002964</t>
  </si>
  <si>
    <t>郭霙皘</t>
  </si>
  <si>
    <t>虹口区国心路649弄6号101室</t>
  </si>
  <si>
    <t>蒋建华</t>
  </si>
  <si>
    <t>上海市山西北路222弄1号101室</t>
  </si>
  <si>
    <t>0002976</t>
  </si>
  <si>
    <r>
      <rPr>
        <sz val="9"/>
        <rFont val="宋体"/>
        <charset val="134"/>
      </rPr>
      <t>郁</t>
    </r>
    <r>
      <rPr>
        <sz val="9.75"/>
        <color indexed="8"/>
        <rFont val="微软雅黑"/>
        <charset val="134"/>
      </rPr>
      <t>贇茜</t>
    </r>
  </si>
  <si>
    <t>普陀区白丽路185弄10号701室</t>
  </si>
  <si>
    <t>金明祥</t>
  </si>
  <si>
    <t>桃林路299弄52号-1501室</t>
  </si>
  <si>
    <t>陈凝泽</t>
  </si>
  <si>
    <t>康彬路3号701室</t>
  </si>
  <si>
    <t>王慧中</t>
  </si>
  <si>
    <t>虹桥了路1163弄5号301</t>
  </si>
  <si>
    <t>0002723</t>
  </si>
  <si>
    <t>朱文青</t>
  </si>
  <si>
    <t>营口路600弄70号1101</t>
  </si>
  <si>
    <r>
      <rPr>
        <sz val="9"/>
        <rFont val="宋体"/>
        <charset val="134"/>
      </rPr>
      <t>翟</t>
    </r>
    <r>
      <rPr>
        <sz val="9"/>
        <color rgb="FF000000"/>
        <rFont val="宋体"/>
        <charset val="134"/>
      </rPr>
      <t>德会</t>
    </r>
  </si>
  <si>
    <t>佘山恒大首府13号101</t>
  </si>
  <si>
    <t>傅梓琪</t>
  </si>
  <si>
    <t>杨浦区五角场镇世界路15弄40号1102</t>
  </si>
  <si>
    <t>陈文杰</t>
  </si>
  <si>
    <t>营口路600弄58号1703室</t>
  </si>
  <si>
    <t>陈醇</t>
  </si>
  <si>
    <t>御中环17号601</t>
  </si>
  <si>
    <t>朱省光</t>
  </si>
  <si>
    <t>锦和路99弄上海绿城8单元</t>
  </si>
  <si>
    <t>丁诗婕</t>
  </si>
  <si>
    <t>明头路18弄105-102</t>
  </si>
  <si>
    <t>0001831</t>
  </si>
  <si>
    <t>郑源</t>
  </si>
  <si>
    <t>淀山湖大道866号东渡悦来城10号403室</t>
  </si>
  <si>
    <t>蔡玉婷</t>
  </si>
  <si>
    <t>梅陇二村147号602</t>
  </si>
  <si>
    <t>0002721</t>
  </si>
  <si>
    <t>陆边</t>
  </si>
  <si>
    <t>长宁区周家桥街道水城路88弄26号404室</t>
  </si>
  <si>
    <t>韩君</t>
  </si>
  <si>
    <t>徐汇区百色路汇成四村3号601</t>
  </si>
  <si>
    <t>0002726</t>
  </si>
  <si>
    <t>潘丽莉</t>
  </si>
  <si>
    <t>虹口区施顺路199弄3号702室</t>
  </si>
  <si>
    <t>曾丽璇</t>
  </si>
  <si>
    <t>双军路999弄38号</t>
  </si>
  <si>
    <t>高攀</t>
  </si>
  <si>
    <t>13816581800/13764769347</t>
  </si>
  <si>
    <t>静安区新丰路568弄梅山大楼小区5号2504室</t>
  </si>
  <si>
    <t>徐晓娟</t>
  </si>
  <si>
    <t>虹口区东汉阳路309弄701室</t>
  </si>
  <si>
    <t>马文斌</t>
  </si>
  <si>
    <t>松江区体婷路855弄25号1603室</t>
  </si>
  <si>
    <t>肖正林/王永</t>
  </si>
  <si>
    <t>延安西路1003-42-802</t>
  </si>
  <si>
    <t>0002390</t>
  </si>
  <si>
    <t>田从军</t>
  </si>
  <si>
    <t>浦东新区钰心路383弄19号701室</t>
  </si>
  <si>
    <t>谢华清</t>
  </si>
  <si>
    <t>康桥东路清水湾108弄（老房子）</t>
  </si>
  <si>
    <t>李荣博</t>
  </si>
  <si>
    <t>浦东新区永泰路1129弄44号301室</t>
  </si>
  <si>
    <t>方燕</t>
  </si>
  <si>
    <t>鲍嘉浩</t>
  </si>
  <si>
    <t>上海市金山区海皓馨苑109号101</t>
  </si>
  <si>
    <t>王旭</t>
  </si>
  <si>
    <t>闵行区古龙路1065弄52号1101</t>
  </si>
  <si>
    <t>朱雅静</t>
  </si>
  <si>
    <t>18221519659/13606911007</t>
  </si>
  <si>
    <t>嘉定区芳林路1357弄湖畔天下小区325号</t>
  </si>
  <si>
    <t>长宁区黄金坊大道259号南区6号1002室</t>
  </si>
  <si>
    <t>孙言午</t>
  </si>
  <si>
    <t>华茂路32弄14-402</t>
  </si>
  <si>
    <t>吴华</t>
  </si>
  <si>
    <t>人民路777弄1号1501室</t>
  </si>
  <si>
    <t>程勇</t>
  </si>
  <si>
    <t>浦东区高东二路47弄30号602室</t>
  </si>
  <si>
    <t>0002917</t>
  </si>
  <si>
    <t>陈刚</t>
  </si>
  <si>
    <t>河南南路1001弄8号2602室</t>
  </si>
  <si>
    <t>0002654</t>
  </si>
  <si>
    <t>全红燕</t>
  </si>
  <si>
    <t>浦东新区临沂路81弄33号504</t>
  </si>
  <si>
    <t>0002918</t>
  </si>
  <si>
    <t>徐缨</t>
  </si>
  <si>
    <t>普陀区兰溪路90弄12号603室</t>
  </si>
  <si>
    <t>0002919</t>
  </si>
  <si>
    <t>孙家庚</t>
  </si>
  <si>
    <t>徐汇区百花街345弄丁香阁63号402室</t>
  </si>
  <si>
    <t>施莉莉</t>
  </si>
  <si>
    <t>静安区余姚路402弄9号201室</t>
  </si>
  <si>
    <t>范立奇</t>
  </si>
  <si>
    <t>青浦区乐天路208弄16号901</t>
  </si>
  <si>
    <t>钱先生</t>
  </si>
  <si>
    <t>桃林路299弄9号楼1702</t>
  </si>
  <si>
    <t>陆芸</t>
  </si>
  <si>
    <t>刘洁云</t>
  </si>
  <si>
    <t>腾冲路50弄39号201室</t>
  </si>
  <si>
    <t>杨爱英</t>
  </si>
  <si>
    <t>青浦区华新镇新凤中路899弄28号1604</t>
  </si>
  <si>
    <t>上海番禹路900弄1102室</t>
  </si>
  <si>
    <t>殷菊兰</t>
  </si>
  <si>
    <t>浦东新区栏学路328弄40号</t>
  </si>
  <si>
    <t>王桂斌</t>
  </si>
  <si>
    <t>零陵北路9-1-2403室</t>
  </si>
  <si>
    <t>黄浦区桃源路111弄5号301室</t>
  </si>
  <si>
    <t>姚国栋</t>
  </si>
  <si>
    <t>曲美路621弄2101</t>
  </si>
  <si>
    <t>陶治源</t>
  </si>
  <si>
    <t>浦东新区东绣路1085弄7号401室</t>
  </si>
  <si>
    <t>符以威</t>
  </si>
  <si>
    <t>红梅露露2159弄3号2101室</t>
  </si>
  <si>
    <t>张彦权</t>
  </si>
  <si>
    <t>安远路胶州路宝华名邸3号2302</t>
  </si>
  <si>
    <t>王厚才（康女士）</t>
  </si>
  <si>
    <t>上海市青浦区崧建路339弄29号1101室</t>
  </si>
  <si>
    <t>徐宁</t>
  </si>
  <si>
    <t>长宁路269弄1号2203室</t>
  </si>
  <si>
    <t>晨晖路828弄301室</t>
  </si>
  <si>
    <t>13818636763/13482725188</t>
  </si>
  <si>
    <t>徐汇区爱建国32号201室</t>
  </si>
  <si>
    <t>胡铁成</t>
  </si>
  <si>
    <t>中潭路100弄156号802室</t>
  </si>
  <si>
    <t>森兰名轩39号1001</t>
  </si>
  <si>
    <t>闵行区航北路229弄469号601室</t>
  </si>
  <si>
    <t>华秋路666号9栋27单元1801室</t>
  </si>
  <si>
    <t>抚远路993弄102号701室</t>
  </si>
  <si>
    <t>原平路</t>
  </si>
  <si>
    <t>延吉东路131弄16号605室</t>
  </si>
  <si>
    <t>都市路2899-152-401室</t>
  </si>
  <si>
    <t>浦东锦和路99弄56单元1102室</t>
  </si>
  <si>
    <t>0000897</t>
  </si>
  <si>
    <t>庄文湧</t>
  </si>
  <si>
    <t>银都路3536弄215号102室</t>
  </si>
  <si>
    <t>韩非子</t>
  </si>
  <si>
    <t>桂林西街358弄65号</t>
  </si>
  <si>
    <t>李樱</t>
  </si>
  <si>
    <t>徐家汇路135号5栋203</t>
  </si>
  <si>
    <t>0001561</t>
  </si>
  <si>
    <t>崇明区堡镇路419号</t>
  </si>
  <si>
    <t>王金波</t>
  </si>
  <si>
    <t>长宁区英蓉江路555弄3号楼1502</t>
  </si>
  <si>
    <t>武小姐</t>
  </si>
  <si>
    <t>德富路900弄6-1401</t>
  </si>
  <si>
    <t>0001090</t>
  </si>
  <si>
    <t>袁益华</t>
  </si>
  <si>
    <t>浦东区武山路488弄18号903室</t>
  </si>
  <si>
    <t>0000898</t>
  </si>
  <si>
    <t>胡鹏伟</t>
  </si>
  <si>
    <t>浦东区航春路169弄10号1004室</t>
  </si>
  <si>
    <t>颜小姐</t>
  </si>
  <si>
    <t>北京东路431-15号楼21e</t>
  </si>
  <si>
    <t>曹志康</t>
  </si>
  <si>
    <t>宝山区宝菊路22弄宝利66号703室</t>
  </si>
  <si>
    <t>0000625</t>
  </si>
  <si>
    <t>戴先生</t>
  </si>
  <si>
    <t>浦东新区470弄25号102室</t>
  </si>
  <si>
    <t>0002393</t>
  </si>
  <si>
    <t>浦东新区高乐二路47弄30号602</t>
  </si>
  <si>
    <t>0000190</t>
  </si>
  <si>
    <t>朱捷</t>
  </si>
  <si>
    <t>速航路168号浦东机场货运站</t>
  </si>
  <si>
    <t>史纪元</t>
  </si>
  <si>
    <t>徐汇区丰台路225弄3号401室</t>
  </si>
  <si>
    <t>0003787</t>
  </si>
  <si>
    <t>宋旭慧</t>
  </si>
  <si>
    <t>松江区龙吴路433弄86号302室</t>
  </si>
  <si>
    <t>罗寿荣</t>
  </si>
  <si>
    <t>沪亭北路318弄18号1502室</t>
  </si>
  <si>
    <t>0002869</t>
  </si>
  <si>
    <t>胡春晖</t>
  </si>
  <si>
    <t>闵行区金雨路88弄53号102室</t>
  </si>
  <si>
    <t>钱建荣</t>
  </si>
  <si>
    <t>梅园村沙北930号</t>
  </si>
  <si>
    <t>潘金花</t>
  </si>
  <si>
    <t>浦东新区晨晖路825弄</t>
  </si>
  <si>
    <t>徐培</t>
  </si>
  <si>
    <t>上海市浦东新区南汇新城233弄135号104</t>
  </si>
  <si>
    <t>0001562</t>
  </si>
  <si>
    <t>肖经理</t>
  </si>
  <si>
    <t>威海路333弄26号7201室</t>
  </si>
  <si>
    <t>郭燕</t>
  </si>
  <si>
    <t>安邦113-802</t>
  </si>
  <si>
    <t>0000455</t>
  </si>
  <si>
    <t>凌北箐</t>
  </si>
  <si>
    <t>宝山区年吉路100弄17号1601室</t>
  </si>
  <si>
    <t>0003788</t>
  </si>
  <si>
    <t>李叽</t>
  </si>
  <si>
    <t>广元西路108号</t>
  </si>
  <si>
    <t>王谊荣</t>
  </si>
  <si>
    <t>汇舒路119弄24号1404室</t>
  </si>
  <si>
    <t>曾晓薇</t>
  </si>
  <si>
    <t>松江伴亭路855弄15号1004室</t>
  </si>
  <si>
    <t>00015363</t>
  </si>
  <si>
    <t>潘警文</t>
  </si>
  <si>
    <t>杨浦国顺路179弄402</t>
  </si>
  <si>
    <t>吴丽</t>
  </si>
  <si>
    <t>山鑫阳光城112号401</t>
  </si>
  <si>
    <t>卢晓冬</t>
  </si>
  <si>
    <t>金山区朱泾名园2号1001</t>
  </si>
  <si>
    <t>0000666</t>
  </si>
  <si>
    <t>李爱华</t>
  </si>
  <si>
    <t>徐汇区桂林西街14弄22号608室</t>
  </si>
  <si>
    <t>徐汇区梅陇路龙州路交叉口</t>
  </si>
  <si>
    <t>0004041</t>
  </si>
  <si>
    <t>朱志成</t>
  </si>
  <si>
    <t>沪青平公路天花园1105室</t>
  </si>
  <si>
    <t>0002921</t>
  </si>
  <si>
    <t>许女士</t>
  </si>
  <si>
    <t>打浦路210弄2号102室</t>
  </si>
  <si>
    <t>康定路460弄2号4b</t>
  </si>
  <si>
    <t>0002923</t>
  </si>
  <si>
    <t>尹万峰</t>
  </si>
  <si>
    <t>顾戴路1325弄27-301室</t>
  </si>
  <si>
    <t>时安平</t>
  </si>
  <si>
    <t>393-1-10d室</t>
  </si>
  <si>
    <t>0003790</t>
  </si>
  <si>
    <t>陈杭兴</t>
  </si>
  <si>
    <t>闵行区秀路98-1-701室</t>
  </si>
  <si>
    <t>刘明</t>
  </si>
  <si>
    <t>松江区洞泾镇长兴路98弄84号601</t>
  </si>
  <si>
    <t>王佳怡</t>
  </si>
  <si>
    <t>打浦路375弄36号203室</t>
  </si>
  <si>
    <r>
      <rPr>
        <sz val="9"/>
        <rFont val="宋体"/>
        <charset val="134"/>
      </rPr>
      <t>潘汶</t>
    </r>
    <r>
      <rPr>
        <sz val="9.75"/>
        <color indexed="8"/>
        <rFont val="微软雅黑"/>
        <charset val="134"/>
      </rPr>
      <t>钐</t>
    </r>
  </si>
  <si>
    <t>浦东区金山路1498弄9号302室</t>
  </si>
  <si>
    <t>朱海</t>
  </si>
  <si>
    <t>宝山区月浦镇钱潘村13号</t>
  </si>
  <si>
    <t>郑谐维</t>
  </si>
  <si>
    <t>徐汇区桂林路70弄110号702室</t>
  </si>
  <si>
    <t>崔海</t>
  </si>
  <si>
    <t>金山区115号404室</t>
  </si>
  <si>
    <t>刘淇</t>
  </si>
  <si>
    <t>嘉定区皇家庄园998弄50号1001</t>
  </si>
  <si>
    <t>魏小姐</t>
  </si>
  <si>
    <t>双阳北路368弄304室</t>
  </si>
  <si>
    <t>吴纪杨</t>
  </si>
  <si>
    <t>崇明红星农场1-402</t>
  </si>
  <si>
    <t>周大福</t>
  </si>
  <si>
    <t>徐汇区桂华路218弄112号</t>
  </si>
  <si>
    <t>0000627</t>
  </si>
  <si>
    <t>大唐三期樱花路11号401室</t>
  </si>
  <si>
    <t>0002382</t>
  </si>
  <si>
    <t>卢英豪</t>
  </si>
  <si>
    <t>杨德华</t>
  </si>
  <si>
    <t>昆山长泰133号202室</t>
  </si>
  <si>
    <t>杨建鹏</t>
  </si>
  <si>
    <t>宝山区16号</t>
  </si>
  <si>
    <t>0000626</t>
  </si>
  <si>
    <t>叶女士</t>
  </si>
  <si>
    <t>牡丹路340弄101号103室</t>
  </si>
  <si>
    <t>鞠老师</t>
  </si>
  <si>
    <t>嘉定爱特路68弄33号1103室</t>
  </si>
  <si>
    <t>钱政柯</t>
  </si>
  <si>
    <t>闵行区剑川路2915号</t>
  </si>
  <si>
    <t>沪松公路1110号</t>
  </si>
  <si>
    <t>刘祎</t>
  </si>
  <si>
    <t>0004500</t>
  </si>
  <si>
    <t>杨丹峰</t>
  </si>
  <si>
    <t>一品谭城182-601</t>
  </si>
  <si>
    <t>奉贤区金碧路1959弄5号102</t>
  </si>
  <si>
    <t>0000203</t>
  </si>
  <si>
    <t>陈国峰</t>
  </si>
  <si>
    <t>普陀梅川路1333弄302号302室</t>
  </si>
  <si>
    <t>0000204</t>
  </si>
  <si>
    <t>戈海东</t>
  </si>
  <si>
    <t>淞江北路1555弄24号1202室</t>
  </si>
  <si>
    <t>0001089</t>
  </si>
  <si>
    <t>潘丽芬</t>
  </si>
  <si>
    <t>静安区交城路229弄32号</t>
  </si>
  <si>
    <t>0002730</t>
  </si>
  <si>
    <t>沈菲</t>
  </si>
  <si>
    <t>瑞丰路456弄7号602室</t>
  </si>
  <si>
    <t>0002725</t>
  </si>
  <si>
    <t>沈利</t>
  </si>
  <si>
    <t>西康路556弄1号1205</t>
  </si>
  <si>
    <t>0001567</t>
  </si>
  <si>
    <t>魏新沪</t>
  </si>
  <si>
    <t>浦东区羽山路1950弄2号701室</t>
  </si>
  <si>
    <t>0000667</t>
  </si>
  <si>
    <t>郑凌燕</t>
  </si>
  <si>
    <t>徐汇区漕溪路125弄12号201室</t>
  </si>
  <si>
    <t>黄风</t>
  </si>
  <si>
    <t>学府路818弄185号1502</t>
  </si>
  <si>
    <t>李周结</t>
  </si>
  <si>
    <t>徐汇区凯旋一村19号105室</t>
  </si>
  <si>
    <t>顾雅萍</t>
  </si>
  <si>
    <t>上海杨浦松花江路101室</t>
  </si>
  <si>
    <t>谢博宇</t>
  </si>
  <si>
    <t>康达路118弄11-101</t>
  </si>
  <si>
    <t>杜书林</t>
  </si>
  <si>
    <t>胜竹路2600弄54号501室</t>
  </si>
  <si>
    <t>汪文兵</t>
  </si>
  <si>
    <t>三彩路166弄9号304室</t>
  </si>
  <si>
    <t>陈继猛</t>
  </si>
  <si>
    <t>南美四村31号402室</t>
  </si>
  <si>
    <t>0000193</t>
  </si>
  <si>
    <t>高烨</t>
  </si>
  <si>
    <t>浦东区桂林路82弄88号</t>
  </si>
  <si>
    <t>洪洁</t>
  </si>
  <si>
    <t>长宁区仙霞路1225弄仙霞大郡小区53号202室</t>
  </si>
  <si>
    <t>陈雅君</t>
  </si>
  <si>
    <t>浦东区17号402室</t>
  </si>
  <si>
    <t>0001534</t>
  </si>
  <si>
    <t>刘宁</t>
  </si>
  <si>
    <t>浦东新区御桥路288弄未来城小区16号402室</t>
  </si>
  <si>
    <t>0001531</t>
  </si>
  <si>
    <t>蔡斐然</t>
  </si>
  <si>
    <t>虹口区株洲路300弄11号601室</t>
  </si>
  <si>
    <t>姜德民</t>
  </si>
  <si>
    <t>王志萍</t>
  </si>
  <si>
    <t>栖山路1899弄36弄601室</t>
  </si>
  <si>
    <t>0002981</t>
  </si>
  <si>
    <t>顾丽亚</t>
  </si>
  <si>
    <t>上海灵石路1509弄4号1402室</t>
  </si>
  <si>
    <t>虞增庆</t>
  </si>
  <si>
    <t>临平路133弄3号楼1101室</t>
  </si>
  <si>
    <t>唐玮</t>
  </si>
  <si>
    <t>纬北路88弄93号802室</t>
  </si>
  <si>
    <t>0003794</t>
  </si>
  <si>
    <t>徐圣翔</t>
  </si>
  <si>
    <t>南路797弄21号201室</t>
  </si>
  <si>
    <t>顾毅清</t>
  </si>
  <si>
    <t>徐汇区龙吴路1343-1-701</t>
  </si>
  <si>
    <t>0003793</t>
  </si>
  <si>
    <t>胡慧芳</t>
  </si>
  <si>
    <t>华发路368弄11号402室</t>
  </si>
  <si>
    <t>0000208</t>
  </si>
  <si>
    <t>倪亚琼</t>
  </si>
  <si>
    <t>静安区明丰世纪苑10号102室</t>
  </si>
  <si>
    <t>褚华</t>
  </si>
  <si>
    <t>丁香路910弄15号501</t>
  </si>
  <si>
    <t>项程</t>
  </si>
  <si>
    <t>绿地天呈17号302室</t>
  </si>
  <si>
    <t>周宝兴</t>
  </si>
  <si>
    <t>嘉兴公路668弄80号</t>
  </si>
  <si>
    <t>邱建玉</t>
  </si>
  <si>
    <t>青浦区菘润路1176弄21号905室</t>
  </si>
  <si>
    <t>张恩平</t>
  </si>
  <si>
    <t>浦东新区泥城镇彩云路50弄73号401室</t>
  </si>
  <si>
    <t>陈长</t>
  </si>
  <si>
    <t>铜川路1781弄100号601室</t>
  </si>
  <si>
    <t>姚雯</t>
  </si>
  <si>
    <t>闵行区禹州府23幢1501室</t>
  </si>
  <si>
    <t>戚雅琴</t>
  </si>
  <si>
    <t>静安区延平路123弄13号402</t>
  </si>
  <si>
    <t>唐丽媛</t>
  </si>
  <si>
    <t>上海浦东凌曹苑734弄1号302室</t>
  </si>
  <si>
    <t>0000629</t>
  </si>
  <si>
    <t>江卫平</t>
  </si>
  <si>
    <t>浦东虹盛路160弄2号</t>
  </si>
  <si>
    <t>0000630</t>
  </si>
  <si>
    <t>李江</t>
  </si>
  <si>
    <t>江柳路889弄149号</t>
  </si>
  <si>
    <t>0000209</t>
  </si>
  <si>
    <t>昆山花桥滨江裕花园二期13号二单元1208</t>
  </si>
  <si>
    <t>王姝</t>
  </si>
  <si>
    <t>浦东新区菏泽路828弄60好402室</t>
  </si>
  <si>
    <t>冯江涛</t>
  </si>
  <si>
    <t>浦涛路505弄39号101</t>
  </si>
  <si>
    <t>邓金勋</t>
  </si>
  <si>
    <t>玉莲路30弄9号502室</t>
  </si>
  <si>
    <t>龙柏一村51号302室</t>
  </si>
  <si>
    <t>王德明</t>
  </si>
  <si>
    <t>闵行区虹桥镇龙柏一村57号101室</t>
  </si>
  <si>
    <t>0000443</t>
  </si>
  <si>
    <t>李远超</t>
  </si>
  <si>
    <t>上海市松江区沪松公路2516弄50号404</t>
  </si>
  <si>
    <t>0000442</t>
  </si>
  <si>
    <t>王木冉</t>
  </si>
  <si>
    <t>青浦区大发融悦21号401室</t>
  </si>
  <si>
    <t>刘钰</t>
  </si>
  <si>
    <t>闵行区天山西路4178弄爱博五村80号601</t>
  </si>
  <si>
    <t>0002978</t>
  </si>
  <si>
    <t>许唯佳</t>
  </si>
  <si>
    <t>杨浦区松花江路977弄控江四村111号201</t>
  </si>
  <si>
    <t>0001565</t>
  </si>
  <si>
    <t>蒋正华</t>
  </si>
  <si>
    <t>闵行区沪闵路6259弄银霄大厦A号806室</t>
  </si>
  <si>
    <t>0000207</t>
  </si>
  <si>
    <t>陈天瑶</t>
  </si>
  <si>
    <t>虹口区广灵四路866弄6号601</t>
  </si>
  <si>
    <t>0002966</t>
  </si>
  <si>
    <t>徐静</t>
  </si>
  <si>
    <t>上海市延平路38号嘉创明珠城9号1704</t>
  </si>
  <si>
    <t>0002979</t>
  </si>
  <si>
    <t>周玮</t>
  </si>
  <si>
    <t>宝山区纬地路99弄30号502</t>
  </si>
  <si>
    <t>金玉言</t>
  </si>
  <si>
    <t>奉贤区金汇镇金闸公路225弄205</t>
  </si>
  <si>
    <t>李凌</t>
  </si>
  <si>
    <t>闵行区古龙路1065弄53号702</t>
  </si>
  <si>
    <t>金沙江路1066弄18支弄2号501</t>
  </si>
  <si>
    <t>0001801</t>
  </si>
  <si>
    <t>何葵</t>
  </si>
  <si>
    <t>闵行区浦驰路1336弄4号401</t>
  </si>
  <si>
    <t>高妍婕</t>
  </si>
  <si>
    <t>浦东新区德淳路99弄31号1301</t>
  </si>
  <si>
    <t>张平平</t>
  </si>
  <si>
    <t>康杉路386弄16号202</t>
  </si>
  <si>
    <t>0003791</t>
  </si>
  <si>
    <t>丁孙华</t>
  </si>
  <si>
    <t>宝山区竹韵路58弄14号801</t>
  </si>
  <si>
    <t>张晓欣</t>
  </si>
  <si>
    <t>成山路2222弄13号102</t>
  </si>
  <si>
    <t>浦东长岛路1203弄34号401</t>
  </si>
  <si>
    <t>文先生</t>
  </si>
  <si>
    <t>浦东区浦电路305弄淮坊八村9号601</t>
  </si>
  <si>
    <t>上海市松江区伴亭路象屿虹桥2号楼</t>
  </si>
  <si>
    <t>0002064</t>
  </si>
  <si>
    <t>王金妹</t>
  </si>
  <si>
    <t>龙水南路385弄6号201室</t>
  </si>
  <si>
    <t>0002980</t>
  </si>
  <si>
    <t>司长明</t>
  </si>
  <si>
    <t>松江区泗凯路61弄9号102</t>
  </si>
  <si>
    <t>李国伟</t>
  </si>
  <si>
    <t>常发豪郡23-1108</t>
  </si>
  <si>
    <t>0002729</t>
  </si>
  <si>
    <t>刘玉莲</t>
  </si>
  <si>
    <t>凉城路589弄13号601室</t>
  </si>
  <si>
    <t>0002728</t>
  </si>
  <si>
    <t>陈伟俊</t>
  </si>
  <si>
    <t>虹口区车站南路460弄1号308</t>
  </si>
  <si>
    <t>0002924</t>
  </si>
  <si>
    <t>周康博</t>
  </si>
  <si>
    <t>菘建路339弄48号1201</t>
  </si>
  <si>
    <t>李阳</t>
  </si>
  <si>
    <t>金山区山岛龙洲苑53号1101</t>
  </si>
  <si>
    <t>0003544</t>
  </si>
  <si>
    <t>秦朕</t>
  </si>
  <si>
    <t>虹古路207弄3号202</t>
  </si>
  <si>
    <t>浦东新区白桦路266弄12号102</t>
  </si>
  <si>
    <t>夏建翔</t>
  </si>
  <si>
    <t>五莲路759弄32号402</t>
  </si>
  <si>
    <t>红松路175弄2/1102</t>
  </si>
  <si>
    <t>0001575</t>
  </si>
  <si>
    <t>马俊</t>
  </si>
  <si>
    <t>浦东区御桥路1928弄地杰国际27号801</t>
  </si>
  <si>
    <t>0001566</t>
  </si>
  <si>
    <t>周剑英</t>
  </si>
  <si>
    <t>浦东区成山路1728弄50号903</t>
  </si>
  <si>
    <t>0001747</t>
  </si>
  <si>
    <t>任洪梅</t>
  </si>
  <si>
    <t>闵行区宁虹路爱博一村17号101</t>
  </si>
  <si>
    <t>王丽琴</t>
  </si>
  <si>
    <t>宝山区顾村镇长白山路633弄17号1202</t>
  </si>
  <si>
    <t>叶雯琼</t>
  </si>
  <si>
    <t>杨浦区双阳路</t>
  </si>
  <si>
    <t>黄晓霞</t>
  </si>
  <si>
    <t>浦东新区丽正路99弄东方颐城27号601</t>
  </si>
  <si>
    <t>钱进</t>
  </si>
  <si>
    <t>松江区泗陈路2118弄晶典嘉苑105号102</t>
  </si>
  <si>
    <t>侯佩玉</t>
  </si>
  <si>
    <t>青浦区城中西路448弄西部花苑一区9号107</t>
  </si>
  <si>
    <t>0001746</t>
  </si>
  <si>
    <t>洪金蓉</t>
  </si>
  <si>
    <t>松江区金地玺湾8号302</t>
  </si>
  <si>
    <t>0000670</t>
  </si>
  <si>
    <t>任莉莉</t>
  </si>
  <si>
    <t>闵行区富国路199弄12号501</t>
  </si>
  <si>
    <t>0002663</t>
  </si>
  <si>
    <t>易静蓉</t>
  </si>
  <si>
    <t>昆晖路377弄47号</t>
  </si>
  <si>
    <t>陆敏</t>
  </si>
  <si>
    <t>闵行区宝城路155弄12号1002</t>
  </si>
  <si>
    <t>0000210</t>
  </si>
  <si>
    <t>卢国跃</t>
  </si>
  <si>
    <t>中泽路100弄68号2902</t>
  </si>
  <si>
    <t>庄桂宝</t>
  </si>
  <si>
    <t>虹桥象屿1#1103</t>
  </si>
  <si>
    <t>雷宇虹</t>
  </si>
  <si>
    <t>浦东区巨野路197弄1号1104</t>
  </si>
  <si>
    <t>0001569</t>
  </si>
  <si>
    <t>张留根</t>
  </si>
  <si>
    <t>嘉定区云谷路599弄2号2202</t>
  </si>
  <si>
    <t>0002982</t>
  </si>
  <si>
    <t>顾海波</t>
  </si>
  <si>
    <t>宝山区宝山八村15号501</t>
  </si>
  <si>
    <t>郑辉东</t>
  </si>
  <si>
    <t>松江区金地玺湾1号1203</t>
  </si>
  <si>
    <t>汪秧</t>
  </si>
  <si>
    <t>静安区镇宁路98弄爱俪轩98号2308</t>
  </si>
  <si>
    <t>翁文慧</t>
  </si>
  <si>
    <t>闵行区莘朱路698弄21号1601</t>
  </si>
  <si>
    <t>黄浦区陆家滨路688弄1号1203</t>
  </si>
  <si>
    <t>钱女士</t>
  </si>
  <si>
    <t>普陀区清峪路368弄202</t>
  </si>
  <si>
    <t>朱兆宇</t>
  </si>
  <si>
    <t>浦东新区桃林路49号1702</t>
  </si>
  <si>
    <t>郑文丽</t>
  </si>
  <si>
    <t>宝山区莲花山路517弄99号1102</t>
  </si>
  <si>
    <t>浦东新区航城三路288弄106</t>
  </si>
  <si>
    <t>呼美琳</t>
  </si>
  <si>
    <t>丰庄路301弄12号502</t>
  </si>
  <si>
    <t>戴志强</t>
  </si>
  <si>
    <t>黄浦区合肥路289号1#1705</t>
  </si>
  <si>
    <t>陈然</t>
  </si>
  <si>
    <t>桃林路299弄9号2801</t>
  </si>
  <si>
    <t>0002661</t>
  </si>
  <si>
    <t>林晓</t>
  </si>
  <si>
    <t>静安区通阁路150号1406</t>
  </si>
  <si>
    <t>0001590</t>
  </si>
  <si>
    <t>范娟</t>
  </si>
  <si>
    <t>浦东区永春路2079弄38号203</t>
  </si>
  <si>
    <t>0001576</t>
  </si>
  <si>
    <t>杨浦区开鲁六村84号602室</t>
  </si>
  <si>
    <t>胡小妹</t>
  </si>
  <si>
    <t>羽山路1980-14-503</t>
  </si>
  <si>
    <t>0002967</t>
  </si>
  <si>
    <t>雷融</t>
  </si>
  <si>
    <t>双桥路220弄34号502</t>
  </si>
  <si>
    <t>0002983</t>
  </si>
  <si>
    <t>沈伟峰</t>
  </si>
  <si>
    <t>城桥镇威尼斯三期20号602</t>
  </si>
  <si>
    <t>0000728</t>
  </si>
  <si>
    <t>长宁区长宁路1120弄9号长宁路1188弄圣约翰名邸8号404</t>
  </si>
  <si>
    <t>0003496</t>
  </si>
  <si>
    <t>朱小姐</t>
  </si>
  <si>
    <t>杨浦区河间路827弄35号1502</t>
  </si>
  <si>
    <t>0003145</t>
  </si>
  <si>
    <t>潘振喜</t>
  </si>
  <si>
    <t>松江区九亭镇文浦苑17#601</t>
  </si>
  <si>
    <t>蒋姐</t>
  </si>
  <si>
    <t>奉贤区金昊雅苑4号301室</t>
  </si>
  <si>
    <t>铃兰路508弄63号302室</t>
  </si>
  <si>
    <t>杨卫耀</t>
  </si>
  <si>
    <t>青浦新园路509弄30号301室</t>
  </si>
  <si>
    <t>卢恒荣</t>
  </si>
  <si>
    <t>七星路2315弄13号401室</t>
  </si>
  <si>
    <t>陈丹凤</t>
  </si>
  <si>
    <t>奉贤区阳光四季园48号101室</t>
  </si>
  <si>
    <t>彭艳涛</t>
  </si>
  <si>
    <t>宁国路313号1楼801室</t>
  </si>
  <si>
    <r>
      <rPr>
        <sz val="9"/>
        <rFont val="宋体"/>
        <charset val="134"/>
      </rPr>
      <t>陈</t>
    </r>
    <r>
      <rPr>
        <sz val="9.75"/>
        <color indexed="8"/>
        <rFont val="微软雅黑"/>
        <charset val="134"/>
      </rPr>
      <t>琛</t>
    </r>
  </si>
  <si>
    <t>闵行区名都新城一三期10弄8号101室</t>
  </si>
  <si>
    <t>张桂蓉</t>
  </si>
  <si>
    <t>斜土路1286号1307室</t>
  </si>
  <si>
    <t>袁辉</t>
  </si>
  <si>
    <t>沪青平公路1481弄305号201</t>
  </si>
  <si>
    <t>蒋生</t>
  </si>
  <si>
    <t>松江区明中路999弄95号101室</t>
  </si>
  <si>
    <t>陈春华</t>
  </si>
  <si>
    <t>浦东周浦镇周星路500弄33号1101</t>
  </si>
  <si>
    <t>顾成华</t>
  </si>
  <si>
    <t>嘉寿路60弄5号1102室</t>
  </si>
  <si>
    <t>高志远</t>
  </si>
  <si>
    <t>浦东新场镇公安路879弄10号102室</t>
  </si>
  <si>
    <t>虹梅南路2555弄40号301室</t>
  </si>
  <si>
    <t>周麒麟</t>
  </si>
  <si>
    <t>共和兴路3616弄6号1005室</t>
  </si>
  <si>
    <t>林佳英</t>
  </si>
  <si>
    <t>宝安公路3636-6-1701</t>
  </si>
  <si>
    <t>季兴</t>
  </si>
  <si>
    <t>奉贤区桐楠</t>
  </si>
  <si>
    <t>李孙超</t>
  </si>
  <si>
    <t>奉贤区禹州</t>
  </si>
  <si>
    <t>彭照珍</t>
  </si>
  <si>
    <t>浦东新区银山路342弄4号504</t>
  </si>
  <si>
    <t>钟黄英</t>
  </si>
  <si>
    <t>松江区祥汇路299弄15-1001</t>
  </si>
  <si>
    <t>姜先生</t>
  </si>
  <si>
    <t>铜川路2060弄122-301</t>
  </si>
  <si>
    <t>杨金毛</t>
  </si>
  <si>
    <t>浦东新区栖山路1489弄21号302</t>
  </si>
  <si>
    <t>张杨路1662弄8号602</t>
  </si>
  <si>
    <t>秦女士</t>
  </si>
  <si>
    <t>徐家汇路378弄2202</t>
  </si>
  <si>
    <t>虹口区逸仙路458弄6号906室</t>
  </si>
  <si>
    <t>连俊文</t>
  </si>
  <si>
    <t>法华镇581弄5号502室</t>
  </si>
  <si>
    <t>葛佳豪</t>
  </si>
  <si>
    <t>齐河路267弄45号502室</t>
  </si>
  <si>
    <t>白雅静</t>
  </si>
  <si>
    <t>闵行区名都路58弄9号401</t>
  </si>
  <si>
    <t>浦东新区五莲路1728弄证大家园二期44号401室</t>
  </si>
  <si>
    <t>137743198898</t>
  </si>
  <si>
    <t>上海市闵行区浦江镇南汇路969弄62号501室</t>
  </si>
  <si>
    <t>浦东灵山路708弄4号1003</t>
  </si>
  <si>
    <t>长宁区哈密路1800弄1号303</t>
  </si>
  <si>
    <t>溪路222弄1号911</t>
  </si>
  <si>
    <t>惠南镇布鲁镇4期42号1702</t>
  </si>
  <si>
    <t>顾戴路1266弄123号202室</t>
  </si>
  <si>
    <t>松江思贤路465弄69号501</t>
  </si>
  <si>
    <t>都市路4580弄8号803室</t>
  </si>
  <si>
    <t>浦东晨晖路828弄13-801室</t>
  </si>
  <si>
    <t>钱珍燕</t>
  </si>
  <si>
    <t>刘敏/阿鹏老师</t>
  </si>
  <si>
    <t>顾永珍</t>
  </si>
  <si>
    <t>静安区武定路1128弄3号1104室</t>
  </si>
  <si>
    <r>
      <rPr>
        <sz val="9"/>
        <rFont val="宋体"/>
        <charset val="134"/>
      </rPr>
      <t>瞿</t>
    </r>
    <r>
      <rPr>
        <sz val="9.75"/>
        <color indexed="8"/>
        <rFont val="微软雅黑"/>
        <charset val="134"/>
      </rPr>
      <t>敏</t>
    </r>
    <r>
      <rPr>
        <sz val="9.75"/>
        <color indexed="8"/>
        <rFont val="微软雅黑"/>
        <charset val="134"/>
      </rPr>
      <t>捷</t>
    </r>
  </si>
  <si>
    <t>常熟市翡翠湾10栋1204室</t>
  </si>
  <si>
    <t>长宁区仙霞路1225弄33号201室</t>
  </si>
  <si>
    <t>宝山区韶山路245弄47号1101</t>
  </si>
  <si>
    <t>闵行区景谷中路13号701</t>
  </si>
  <si>
    <t>金鼎路2588弄19号1201室</t>
  </si>
  <si>
    <t>杨浦区控江一村20号502</t>
  </si>
  <si>
    <t>珠城路99弄13号1001</t>
  </si>
  <si>
    <t>蒯文卿</t>
  </si>
  <si>
    <t>嘉定区海波路850弄28号602</t>
  </si>
  <si>
    <t>吴江萍</t>
  </si>
  <si>
    <t>浦东新区环龙路259弄6号302</t>
  </si>
  <si>
    <t>王春英</t>
  </si>
  <si>
    <t>杨浦区鞍山四川71号3</t>
  </si>
  <si>
    <t>李晶白</t>
  </si>
  <si>
    <t>159019889203</t>
  </si>
  <si>
    <t>杨浦区伟德路10弄5号804室</t>
  </si>
  <si>
    <t>张宛旭</t>
  </si>
  <si>
    <t>彰武路72号</t>
  </si>
  <si>
    <t>施国强</t>
  </si>
  <si>
    <t>虹口区大连西路145弄11号503</t>
  </si>
  <si>
    <t>0004388</t>
  </si>
  <si>
    <t>潘徐杰</t>
  </si>
  <si>
    <t>浦东妙川路111弄32号1502</t>
  </si>
  <si>
    <t>0004386</t>
  </si>
  <si>
    <t>王燕军</t>
  </si>
  <si>
    <t>惠南镇丰海路500弄16号1102</t>
  </si>
  <si>
    <t>0004387</t>
  </si>
  <si>
    <t>东方路1800弄37号601</t>
  </si>
  <si>
    <t>无凭证</t>
  </si>
  <si>
    <t>葛争荣</t>
  </si>
  <si>
    <t>姜逸慧</t>
  </si>
  <si>
    <t>浦东新区凌河路618弄88号501</t>
  </si>
  <si>
    <t>马亮泽</t>
  </si>
  <si>
    <t>150833265777</t>
  </si>
  <si>
    <t>浦东区方竹路333弄8号201</t>
  </si>
  <si>
    <t>姜辰雄</t>
  </si>
  <si>
    <t>闵行区罗阳路756弄华宝小区96号1201</t>
  </si>
  <si>
    <t>0002855</t>
  </si>
  <si>
    <t>王国强</t>
  </si>
  <si>
    <t>普陀区祁连山南路2727弄阳光威尼斯68号1901</t>
  </si>
  <si>
    <t>方小姐</t>
  </si>
  <si>
    <t>浦东区东方路1800弄22号502</t>
  </si>
  <si>
    <t>李彤</t>
  </si>
  <si>
    <t>浦东区南城路东园四村428号501</t>
  </si>
  <si>
    <t>0002984</t>
  </si>
  <si>
    <t>张红萍</t>
  </si>
  <si>
    <t>徐汇区宛平南路255弄21号801</t>
  </si>
  <si>
    <t>浦东新区龙阳路1880弄万邦都市花园73号902</t>
  </si>
  <si>
    <t>0004382</t>
  </si>
  <si>
    <t>临平路133弄2号602</t>
  </si>
  <si>
    <t>0004381</t>
  </si>
  <si>
    <t>虞晓坤</t>
  </si>
  <si>
    <t>尚博路569弄24号201</t>
  </si>
  <si>
    <t>0004385</t>
  </si>
  <si>
    <t>祁辉</t>
  </si>
  <si>
    <t>浦东益江路286弄38号402</t>
  </si>
  <si>
    <t xml:space="preserve">梁淑萍 </t>
  </si>
  <si>
    <t>肖志彬</t>
  </si>
  <si>
    <t>浦东益江路126弄71号501</t>
  </si>
  <si>
    <t>0002666</t>
  </si>
  <si>
    <t>吴赛颖</t>
  </si>
  <si>
    <t>浦东新区宜桥镇三灶五星村486号</t>
  </si>
  <si>
    <t>薛君</t>
  </si>
  <si>
    <t>杨浦区四平路街道鞍山八村8号105</t>
  </si>
  <si>
    <t>陆渊</t>
  </si>
  <si>
    <t>闸北区中山北路899弄23号1803</t>
  </si>
  <si>
    <t>程涛</t>
  </si>
  <si>
    <t>青浦区崧漪路46弄华中苑13号403</t>
  </si>
  <si>
    <t>0002968</t>
  </si>
  <si>
    <t>桂奕菲</t>
  </si>
  <si>
    <t>景凤路521弄23号304</t>
  </si>
  <si>
    <t>曹莉</t>
  </si>
  <si>
    <t>御桥路1978弄34号1503</t>
  </si>
  <si>
    <t>0000669</t>
  </si>
  <si>
    <t>窦怀赞</t>
  </si>
  <si>
    <t>闵行区古美路1458弄28号901</t>
  </si>
  <si>
    <t>0002925</t>
  </si>
  <si>
    <t>郑卉</t>
  </si>
  <si>
    <t>宝山区长白山路377弄41号</t>
  </si>
  <si>
    <t>朱蕾</t>
  </si>
  <si>
    <t>宝山区真大路420弄中环一号8号602</t>
  </si>
  <si>
    <t>段自群</t>
  </si>
  <si>
    <t>浦东新区新浦路251弄10号1504</t>
  </si>
  <si>
    <t>李瀚鹏</t>
  </si>
  <si>
    <t>裕德路45弄21号108</t>
  </si>
  <si>
    <t>0002975</t>
  </si>
  <si>
    <t>刘明林</t>
  </si>
  <si>
    <t>东明路355弄5号502</t>
  </si>
  <si>
    <t>刘迎春</t>
  </si>
  <si>
    <t>嘉定区丰庄路455弄83号102</t>
  </si>
  <si>
    <t>杨杨</t>
  </si>
  <si>
    <t>创新中路593弄8-804</t>
  </si>
  <si>
    <t>0001551</t>
  </si>
  <si>
    <t>王晓怡</t>
  </si>
  <si>
    <t>航东路255弄5号302</t>
  </si>
  <si>
    <t>陆彩萍</t>
  </si>
  <si>
    <t>浦东新区崮山路251弄9号101</t>
  </si>
  <si>
    <t>邢德</t>
  </si>
  <si>
    <t>松江区泗泾路金地玺湾16号1403</t>
  </si>
  <si>
    <t>张静芝</t>
  </si>
  <si>
    <t>徐汇区龙华路3208弄4号502</t>
  </si>
  <si>
    <t>孔繁波</t>
  </si>
  <si>
    <t>青浦区徐泾路88弄76号302</t>
  </si>
  <si>
    <t>富伟</t>
  </si>
  <si>
    <t>松江区新松路111号阳光翠庭44号1602</t>
  </si>
  <si>
    <t>钱文震</t>
  </si>
  <si>
    <t>小昆山镇华原街880弄</t>
  </si>
  <si>
    <t>000854</t>
  </si>
  <si>
    <t>高卓鹏</t>
  </si>
  <si>
    <t>闵行区中春路3455弄南郊别墅133号301</t>
  </si>
  <si>
    <t>刘金松</t>
  </si>
  <si>
    <t>高宝路68弄9号702</t>
  </si>
  <si>
    <t>丁羽</t>
  </si>
  <si>
    <t>杨浦区翔殷路258弄8号102</t>
  </si>
  <si>
    <t>叶凌</t>
  </si>
  <si>
    <t>新华路776弄15号1601</t>
  </si>
  <si>
    <t>陈永康</t>
  </si>
  <si>
    <t>昆山市祖冲云南路556号18幢201</t>
  </si>
  <si>
    <t>0002865</t>
  </si>
  <si>
    <t>陈严生</t>
  </si>
  <si>
    <t>虹口区东长治路665弄8号802</t>
  </si>
  <si>
    <t>李建兵</t>
  </si>
  <si>
    <t>莘松路95813号203</t>
  </si>
  <si>
    <t>马岩</t>
  </si>
  <si>
    <t>长宁区华山路1520弄55号109</t>
  </si>
  <si>
    <t>张翠珍</t>
  </si>
  <si>
    <t>梁玲丽</t>
  </si>
  <si>
    <t>长宁区虹古路208弄虹景小区29号601</t>
  </si>
  <si>
    <t>茅亚梅</t>
  </si>
  <si>
    <t>闵行区草朱路1924弄朱行四村18号602</t>
  </si>
  <si>
    <t>曹黄杰</t>
  </si>
  <si>
    <t>通州路188号8号C508</t>
  </si>
  <si>
    <t>祝红英</t>
  </si>
  <si>
    <t>闵行区莲花南路988弄20号502</t>
  </si>
  <si>
    <t>普陀区真北路2500号1号1214</t>
  </si>
  <si>
    <t>吕永佳</t>
  </si>
  <si>
    <t>闵行区沁春路355弄17号1002</t>
  </si>
  <si>
    <t>樊海英</t>
  </si>
  <si>
    <t>上南路7992弄2号501</t>
  </si>
  <si>
    <t>蒋春茶</t>
  </si>
  <si>
    <t>闵行区银都路4358弄346</t>
  </si>
  <si>
    <t>黄亦荣</t>
  </si>
  <si>
    <t>繁锦路688弄45号401</t>
  </si>
  <si>
    <t>王玢</t>
  </si>
  <si>
    <t>闵行区顾戴路1199弄72号201</t>
  </si>
  <si>
    <t>张春花</t>
  </si>
  <si>
    <t>青浦区秀沁路崧泽华城和瑞苑7号403</t>
  </si>
  <si>
    <t>0002864</t>
  </si>
  <si>
    <t>吴宁</t>
  </si>
  <si>
    <t>徐汇区江安路58弄桂花园2号404</t>
  </si>
  <si>
    <t>曾唯兴</t>
  </si>
  <si>
    <t>徐汇区华富小区33号201</t>
  </si>
  <si>
    <t>黄喻文</t>
  </si>
  <si>
    <t>金山区朱泾镇五一村八组1048</t>
  </si>
  <si>
    <t>0002395</t>
  </si>
  <si>
    <t>徐琼</t>
  </si>
  <si>
    <t>海鸣路98弄5号504</t>
  </si>
  <si>
    <t>徐嘉晨</t>
  </si>
  <si>
    <t>浦东区航城路288弄同悦湾158号</t>
  </si>
  <si>
    <t>喻远鹏</t>
  </si>
  <si>
    <t>昆山市花桥镇都城怡园12号602</t>
  </si>
  <si>
    <t>0000727</t>
  </si>
  <si>
    <t>余红</t>
  </si>
  <si>
    <t>嘉定区德富路900弄6号1701</t>
  </si>
  <si>
    <t>顾林军</t>
  </si>
  <si>
    <t>申滨路1051弄81号1101</t>
  </si>
  <si>
    <t>0002679</t>
  </si>
  <si>
    <t>张兰馨</t>
  </si>
  <si>
    <t>浦东长岛路1280弄11号102</t>
  </si>
  <si>
    <t>邵海峰</t>
  </si>
  <si>
    <t>闵行区七宝镇青平路241号201</t>
  </si>
  <si>
    <t>赵忆慈</t>
  </si>
  <si>
    <t>浦东区锦绣路335弄41号701</t>
  </si>
  <si>
    <t>卞尔保</t>
  </si>
  <si>
    <t>嘉定区安亭镇和静路1585弄4-501</t>
  </si>
  <si>
    <t>徐俊华</t>
  </si>
  <si>
    <t>黄埔区中华路88弄4号1301</t>
  </si>
  <si>
    <t>李劼</t>
  </si>
  <si>
    <t>徐汇区天等路259弄27号1602</t>
  </si>
  <si>
    <t>浦东崇溪路111弄318号1401室</t>
  </si>
  <si>
    <t>牡丹江路1242-27-201</t>
  </si>
  <si>
    <t>卢工装饰公司</t>
  </si>
  <si>
    <t>朱贞子</t>
  </si>
  <si>
    <t>金山区金瀚园37号1701</t>
  </si>
  <si>
    <t>普陀区雪松路393弄280号602室</t>
  </si>
  <si>
    <t>宝山塘祁路517弄50-904室</t>
  </si>
  <si>
    <t>林钦</t>
  </si>
  <si>
    <t>浦东御中环45号</t>
  </si>
  <si>
    <t>龚天平</t>
  </si>
  <si>
    <t>浦东新区康达路118弄6号401</t>
  </si>
  <si>
    <t>何宏林</t>
  </si>
  <si>
    <t>闵行区南方商城报春路388弄10号502</t>
  </si>
  <si>
    <t>施林燕</t>
  </si>
  <si>
    <t>杨高中路2168弄47号601</t>
  </si>
  <si>
    <t>赫阳</t>
  </si>
  <si>
    <t>浦东新区锦绣路3336弄39号101</t>
  </si>
  <si>
    <t>0002583</t>
  </si>
  <si>
    <t>沈晓英</t>
  </si>
  <si>
    <t>沪太路1329弄11号1501</t>
  </si>
  <si>
    <t>徐群</t>
  </si>
  <si>
    <t>斜土路251弄2号2006</t>
  </si>
  <si>
    <t>0003798</t>
  </si>
  <si>
    <t>唐伟国</t>
  </si>
  <si>
    <t>肇嘉浜路20弄20号601</t>
  </si>
  <si>
    <t>陈荣国</t>
  </si>
  <si>
    <t>西林家宅路111弄3号1203</t>
  </si>
  <si>
    <t>江杨北路1568弄67号3201</t>
  </si>
  <si>
    <t>0002146</t>
  </si>
  <si>
    <t>丁腾飞</t>
  </si>
  <si>
    <t>富国路199弄33号1401室</t>
  </si>
  <si>
    <t>0000858</t>
  </si>
  <si>
    <t>瞿勤</t>
  </si>
  <si>
    <t>长宁区凯旋路88弄笠园小区6号602</t>
  </si>
  <si>
    <t>高艾</t>
  </si>
  <si>
    <t>沪闵路6918弄10号401</t>
  </si>
  <si>
    <t>子仪</t>
  </si>
  <si>
    <t>朱泾镇金石北路6800弄2086号</t>
  </si>
  <si>
    <t>0001091</t>
  </si>
  <si>
    <t>静安区胶州路433弄隆安公寓2003</t>
  </si>
  <si>
    <t>李少俊</t>
  </si>
  <si>
    <t>浦东新区齐河路259弄上南花苑17号501</t>
  </si>
  <si>
    <t>已预测量</t>
  </si>
  <si>
    <t>0001092</t>
  </si>
  <si>
    <t>潘湧</t>
  </si>
  <si>
    <t>普陀区志丹路181弄5号201</t>
  </si>
  <si>
    <t>0002151</t>
  </si>
  <si>
    <t>薛叶雯</t>
  </si>
  <si>
    <t>浦东新区沪南路388弄</t>
  </si>
  <si>
    <t>0004578</t>
  </si>
  <si>
    <t>付红波</t>
  </si>
  <si>
    <t>真北路4333弄54号501</t>
  </si>
  <si>
    <t>0001579</t>
  </si>
  <si>
    <t>吴娜娜</t>
  </si>
  <si>
    <t>宝山区上大路1288弄上大聚丰园96号501</t>
  </si>
  <si>
    <t>0002931</t>
  </si>
  <si>
    <t>王淑琴</t>
  </si>
  <si>
    <t>桃林路299弄45号1401</t>
  </si>
  <si>
    <t>孙云飞</t>
  </si>
  <si>
    <t>龙吴路1343弄1号2003</t>
  </si>
  <si>
    <t>亢春龙</t>
  </si>
  <si>
    <t>闵行区鹤坡南路55弄25号302</t>
  </si>
  <si>
    <t>熊伟杰</t>
  </si>
  <si>
    <t>秀浦路绿地上海之期20号1003</t>
  </si>
  <si>
    <t>徐晨晨</t>
  </si>
  <si>
    <t>金山区蒙山路65号1602</t>
  </si>
  <si>
    <t>倪兴妹</t>
  </si>
  <si>
    <t>嘉美路1050弄1号102</t>
  </si>
  <si>
    <t>陆蕾</t>
  </si>
  <si>
    <t>普陀区靖边路199弄36号1005</t>
  </si>
  <si>
    <t>0000699</t>
  </si>
  <si>
    <t>李五</t>
  </si>
  <si>
    <t>龙湖天瑛46号1102</t>
  </si>
  <si>
    <t>喜林</t>
  </si>
  <si>
    <t>杨浦区江湾城88弄4号701</t>
  </si>
  <si>
    <t>余健</t>
  </si>
  <si>
    <t>浦东高城路1317弄4号401</t>
  </si>
  <si>
    <t>0003802</t>
  </si>
  <si>
    <t>黄舒君</t>
  </si>
  <si>
    <t>沪亭北路618弄75号1102</t>
  </si>
  <si>
    <t>0002581</t>
  </si>
  <si>
    <t>邵懿慧</t>
  </si>
  <si>
    <t>志丹路155号马德里阁1A室</t>
  </si>
  <si>
    <t>王伟斌</t>
  </si>
  <si>
    <t>航梅路526弄95号1103</t>
  </si>
  <si>
    <t>北虹路1185号12楼03室</t>
  </si>
  <si>
    <t>136019369763</t>
  </si>
  <si>
    <t>天河路39弄</t>
  </si>
  <si>
    <t>0002986</t>
  </si>
  <si>
    <t>李嘉慧</t>
  </si>
  <si>
    <t>静安区广中西路99弄30号802</t>
  </si>
  <si>
    <t>黄莉</t>
  </si>
  <si>
    <t>铜川路1897弄18号1102</t>
  </si>
  <si>
    <t>0003546</t>
  </si>
  <si>
    <t>浦东新区沈梅东路300号55号301</t>
  </si>
  <si>
    <t>刘健</t>
  </si>
  <si>
    <t>黄浦区青岛路66弄6号1302</t>
  </si>
  <si>
    <t>樊治涛</t>
  </si>
  <si>
    <t>徐汇区龙山新村110号502</t>
  </si>
  <si>
    <t>0002056</t>
  </si>
  <si>
    <t>王黎</t>
  </si>
  <si>
    <t>闵行区都市路2899弄众众德尚世嘉102别墅</t>
  </si>
  <si>
    <t>潘玥</t>
  </si>
  <si>
    <t>长寿路999弄10号11D</t>
  </si>
  <si>
    <t>李源</t>
  </si>
  <si>
    <t>嘉定区众任南路海伦堡爱MF城市</t>
  </si>
  <si>
    <t>高老师</t>
  </si>
  <si>
    <t>普陀区白玉路669弄8号1701</t>
  </si>
  <si>
    <t>李之超</t>
  </si>
  <si>
    <t>沈蓓明</t>
  </si>
  <si>
    <t>嘉翔苑3号201</t>
  </si>
  <si>
    <t>0000200</t>
  </si>
  <si>
    <t>闫先生</t>
  </si>
  <si>
    <t>浦东区金高路2131弄10号201</t>
  </si>
  <si>
    <t>樊珍尔</t>
  </si>
  <si>
    <t>长亭路999弄63号1704</t>
  </si>
  <si>
    <t>0001536</t>
  </si>
  <si>
    <t>袁佳倩</t>
  </si>
  <si>
    <t>闵行区龙茗路518弄95支弄1号801</t>
  </si>
  <si>
    <t>顾晓莉</t>
  </si>
  <si>
    <t>东方路1800弄28号801</t>
  </si>
  <si>
    <t>陈丽蓉</t>
  </si>
  <si>
    <t>西江湾路168弄9号1002</t>
  </si>
  <si>
    <t>夏梓秋</t>
  </si>
  <si>
    <t>钦州南路8弄20号203</t>
  </si>
  <si>
    <t>范戈</t>
  </si>
  <si>
    <t>徐汇区宋园路128弄12号902</t>
  </si>
  <si>
    <t>0003357</t>
  </si>
  <si>
    <t>胡丽娟/于小维</t>
  </si>
  <si>
    <t>浦东莲园路100弄20号301</t>
  </si>
  <si>
    <t>王海鸥</t>
  </si>
  <si>
    <t>长宁区虹古路377弄30支弄9号301</t>
  </si>
  <si>
    <t>朱洁</t>
  </si>
  <si>
    <t>徐汇区龙漕路66弄2号403</t>
  </si>
  <si>
    <t>马静</t>
  </si>
  <si>
    <t>闵行区古美西路631弄94号301</t>
  </si>
  <si>
    <t>0001041</t>
  </si>
  <si>
    <t>石俊</t>
  </si>
  <si>
    <t>松江区沪亭北路618弄105号904</t>
  </si>
  <si>
    <t>浦东新区上浦路355弄8号502</t>
  </si>
  <si>
    <t>陈春娟</t>
  </si>
  <si>
    <t>闵行区都市路3151弄金都路16号402</t>
  </si>
  <si>
    <t>刘艳丽</t>
  </si>
  <si>
    <t>13585583349</t>
  </si>
  <si>
    <t>松江思贤路465弄48号402</t>
  </si>
  <si>
    <t>金深深</t>
  </si>
  <si>
    <t>新松江路1288弄143号602</t>
  </si>
  <si>
    <t>切墙</t>
  </si>
  <si>
    <t>王伯伯</t>
  </si>
  <si>
    <t>花园路118弄13号101</t>
  </si>
  <si>
    <t>0002942</t>
  </si>
  <si>
    <t>顾春花</t>
  </si>
  <si>
    <t>浦东新区康杉路386弄御中环21</t>
  </si>
  <si>
    <t>0000444</t>
  </si>
  <si>
    <t>刘真</t>
  </si>
  <si>
    <t>青浦区秀泽路339弄5号1404</t>
  </si>
  <si>
    <t>裴李</t>
  </si>
  <si>
    <t>奉贤区雍贤府151号1304</t>
  </si>
  <si>
    <t>王志仁</t>
  </si>
  <si>
    <t>贺桥公寓9号303</t>
  </si>
  <si>
    <t>嘉定区宝塔路399弄2号502</t>
  </si>
  <si>
    <t>陈詠珉</t>
  </si>
  <si>
    <t>闵行区古美路古龙路66弄67号1001室</t>
  </si>
  <si>
    <t>徐汇区龙吴路1717弄2号302室</t>
  </si>
  <si>
    <t>浦东新区银山路342弄2号504</t>
  </si>
  <si>
    <t>徐汇区东兰路151弄19号2206室</t>
  </si>
  <si>
    <t>严琼</t>
  </si>
  <si>
    <t>普陀区秦山三村15号1204</t>
  </si>
  <si>
    <t>庄琦</t>
  </si>
  <si>
    <t>普陀区延川路299弄13号301</t>
  </si>
  <si>
    <t>0002932</t>
  </si>
  <si>
    <t>高韵</t>
  </si>
  <si>
    <t>红枫路108弄8号908</t>
  </si>
  <si>
    <t>钱楠</t>
  </si>
  <si>
    <t>静安区老沪太路101弄延长小区8号501</t>
  </si>
  <si>
    <t>芳姐</t>
  </si>
  <si>
    <t>桃林路尚海小区9号2401</t>
  </si>
  <si>
    <t>董红静</t>
  </si>
  <si>
    <t>浦东新区峨山路485弄1号202</t>
  </si>
  <si>
    <t>宋利</t>
  </si>
  <si>
    <t>松江区上坤樾山小区9号201</t>
  </si>
  <si>
    <t>王雪莹</t>
  </si>
  <si>
    <t>闵行区浦驰路1336弄21号302</t>
  </si>
  <si>
    <t>来月强</t>
  </si>
  <si>
    <t>中山西路669弄2号1506</t>
  </si>
  <si>
    <t>0002584</t>
  </si>
  <si>
    <t>江南</t>
  </si>
  <si>
    <t>浦东尚博路569弄17号302</t>
  </si>
  <si>
    <t>JT0005692</t>
  </si>
  <si>
    <t>顾秋琴</t>
  </si>
  <si>
    <t>水电路1013弄2号1008</t>
  </si>
  <si>
    <t>0002589</t>
  </si>
  <si>
    <t>武慧娟</t>
  </si>
  <si>
    <t>龙阳路1880弄44号1303</t>
  </si>
  <si>
    <t>0002587</t>
  </si>
  <si>
    <t>万颖颖</t>
  </si>
  <si>
    <t>河南南路555弄8号602</t>
  </si>
  <si>
    <t>0002585</t>
  </si>
  <si>
    <t>傅敏</t>
  </si>
  <si>
    <t>曹杨路2155弄10号101</t>
  </si>
  <si>
    <t>0002602</t>
  </si>
  <si>
    <t>陈进元</t>
  </si>
  <si>
    <t>浦东新区永泰路595弄52号602</t>
  </si>
  <si>
    <t>0001513</t>
  </si>
  <si>
    <t>姚志兰</t>
  </si>
  <si>
    <t>松江区莘松路1500弄荣盛名邸1002</t>
  </si>
  <si>
    <t>0002396</t>
  </si>
  <si>
    <t>顾艳</t>
  </si>
  <si>
    <t>金葵路1315弄15号1801</t>
  </si>
  <si>
    <t>王斌晓</t>
  </si>
  <si>
    <t>嘉定区北大街280弄44号401</t>
  </si>
  <si>
    <t>黄世峰</t>
  </si>
  <si>
    <t>徐汇区华展路55弄55号602</t>
  </si>
  <si>
    <t>俞建琴</t>
  </si>
  <si>
    <t>桃林路299弄27号1103</t>
  </si>
  <si>
    <t>王重晨</t>
  </si>
  <si>
    <t>三林路1662弄90号401</t>
  </si>
  <si>
    <t>0001581</t>
  </si>
  <si>
    <t>花陈祥</t>
  </si>
  <si>
    <t>普陀区武威东路439弄126号103</t>
  </si>
  <si>
    <t>0000445</t>
  </si>
  <si>
    <t>谢晶</t>
  </si>
  <si>
    <t>松江区龙源路1028弄山水果苑83单元602</t>
  </si>
  <si>
    <t>0000446</t>
  </si>
  <si>
    <t>孙成吉</t>
  </si>
  <si>
    <t>航北路123弄1号302</t>
  </si>
  <si>
    <t>董军</t>
  </si>
  <si>
    <t>嘉定区黄家花园998弄13号48单元1202</t>
  </si>
  <si>
    <t>0000726</t>
  </si>
  <si>
    <t>杨文磊</t>
  </si>
  <si>
    <t>闵行区沪闵路7948弄32号</t>
  </si>
  <si>
    <t>001564</t>
  </si>
  <si>
    <t>井佳欣</t>
  </si>
  <si>
    <t>杨浦区殷行路850弄时代花园4号402</t>
  </si>
  <si>
    <t>0000698</t>
  </si>
  <si>
    <t>张正纲</t>
  </si>
  <si>
    <t>宝山区华灵路1781弄康花苑8号302</t>
  </si>
  <si>
    <t>0002160</t>
  </si>
  <si>
    <t>李国杰</t>
  </si>
  <si>
    <t>缜淳路99弄31号202</t>
  </si>
  <si>
    <t>范露露</t>
  </si>
  <si>
    <t>金都路3019弄16号102</t>
  </si>
  <si>
    <t>许长凤</t>
  </si>
  <si>
    <t>浦东海阳路860弄37号201</t>
  </si>
  <si>
    <t>狄赤</t>
  </si>
  <si>
    <t>长宁区古北路1398弄14号602</t>
  </si>
  <si>
    <t>0000668</t>
  </si>
  <si>
    <t>徐祯祥</t>
  </si>
  <si>
    <t>龙水南路358弄4号1801</t>
  </si>
  <si>
    <t>0002152</t>
  </si>
  <si>
    <t>葛惠勤</t>
  </si>
  <si>
    <t>徐汇区宛平南路255弄28号1101</t>
  </si>
  <si>
    <t>顾博韬</t>
  </si>
  <si>
    <t>浦东新区海阳路681弄9号815</t>
  </si>
  <si>
    <t>0001514</t>
  </si>
  <si>
    <t>王爽</t>
  </si>
  <si>
    <t>18801785293</t>
  </si>
  <si>
    <t>芦恒路378弄181号702</t>
  </si>
  <si>
    <t>金山区朱泾名园15号1601</t>
  </si>
  <si>
    <t>0055971</t>
  </si>
  <si>
    <t>忠卫国</t>
  </si>
  <si>
    <t>绿地香信206</t>
  </si>
  <si>
    <t>盛磊丽</t>
  </si>
  <si>
    <t>金山区金银岛92号603</t>
  </si>
  <si>
    <t>林宗宽</t>
  </si>
  <si>
    <t>浦东新区康杉路386弄8号802</t>
  </si>
  <si>
    <t>李楠</t>
  </si>
  <si>
    <t>浦东新区南六公路399弄32号602</t>
  </si>
  <si>
    <t>乔月明</t>
  </si>
  <si>
    <t>惠南镇拱北路289弄11号801</t>
  </si>
  <si>
    <t>郝玉锦</t>
  </si>
  <si>
    <t>南丹路368弄2号1502</t>
  </si>
  <si>
    <t>青浦区999弄鸿玺郡252号</t>
  </si>
  <si>
    <t>张晨静</t>
  </si>
  <si>
    <t>象屿小区11号1101</t>
  </si>
  <si>
    <t>浦文琼</t>
  </si>
  <si>
    <t>闵行区上中西路1011弄52号102</t>
  </si>
  <si>
    <t>0002065</t>
  </si>
  <si>
    <t>谢丽美</t>
  </si>
  <si>
    <t>奉贤区银河丽湾14栋401</t>
  </si>
  <si>
    <t>戴文斌</t>
  </si>
  <si>
    <t>浦东新区枣庄路210弄54号602</t>
  </si>
  <si>
    <t>袁门君</t>
  </si>
  <si>
    <t>嘉定区嘉庚公路169弄5号401</t>
  </si>
  <si>
    <t>王梅林</t>
  </si>
  <si>
    <t>黄埔区陕西南路307弄2号1901</t>
  </si>
  <si>
    <t>王奕昕</t>
  </si>
  <si>
    <t>0002397</t>
  </si>
  <si>
    <t>严瑾</t>
  </si>
  <si>
    <t>张杨路2999弄3号302</t>
  </si>
  <si>
    <t>0000701</t>
  </si>
  <si>
    <t>胡先生</t>
  </si>
  <si>
    <t>华夷路1788弄10号301</t>
  </si>
  <si>
    <t>张昊静</t>
  </si>
  <si>
    <t>松江区659弄26号2-101</t>
  </si>
  <si>
    <t>俞琼</t>
  </si>
  <si>
    <t>昆山花桥金中路家屿都城7号2703</t>
  </si>
  <si>
    <t>0001570</t>
  </si>
  <si>
    <t>朱丽加</t>
  </si>
  <si>
    <t>杨浦区内江路222弄13号503</t>
  </si>
  <si>
    <t>李思齐</t>
  </si>
  <si>
    <t>陈虹</t>
  </si>
  <si>
    <t>松江区兴仓路239弄32号104</t>
  </si>
  <si>
    <t>奉贤区中粮一期20号401</t>
  </si>
  <si>
    <t>彭侃</t>
  </si>
  <si>
    <t>普陀区铜川路999弄23号401</t>
  </si>
  <si>
    <t>陈素娟</t>
  </si>
  <si>
    <t>闵行区都市路3151弄16号402</t>
  </si>
  <si>
    <t>张寅</t>
  </si>
  <si>
    <t>徐汇区南园三村46号401</t>
  </si>
  <si>
    <t>虹口区水电路1344弄9号404</t>
  </si>
  <si>
    <t>王人劼</t>
  </si>
  <si>
    <t>巨峰路667弄121号401</t>
  </si>
  <si>
    <t>戴晨琼</t>
  </si>
  <si>
    <t>普陀区梅岭北路400弄20号1805</t>
  </si>
  <si>
    <t>北渔路28弄10号1302室</t>
  </si>
  <si>
    <t>徐汇区钦州南路33号102室</t>
  </si>
  <si>
    <t>博山东路440-12-602室</t>
  </si>
  <si>
    <t>刘振</t>
  </si>
  <si>
    <t>浦东新区铃兰路508弄36号102室</t>
  </si>
  <si>
    <t>李栋</t>
  </si>
  <si>
    <t>场北路669弄8号101</t>
  </si>
  <si>
    <t>宋潮</t>
  </si>
  <si>
    <t>杨高中路1898号704室</t>
  </si>
  <si>
    <t>奉贤区新南家园11号301室</t>
  </si>
  <si>
    <t>李仁园</t>
  </si>
  <si>
    <t>宝山区纬地路88弄53号501</t>
  </si>
  <si>
    <t>宝山区场北路669弄51号1301</t>
  </si>
  <si>
    <t>张妙</t>
  </si>
  <si>
    <t>长宁区天屏南路113弄24号</t>
  </si>
  <si>
    <t>松江区伴亭路858号</t>
  </si>
  <si>
    <t>天屏南伴亭路855弄15号1104</t>
  </si>
  <si>
    <t>0000865</t>
  </si>
  <si>
    <t>张嫣</t>
  </si>
  <si>
    <t>徐汇区肇嘉浜路201弄17号102</t>
  </si>
  <si>
    <t>0002681</t>
  </si>
  <si>
    <t>蒋铜娟</t>
  </si>
  <si>
    <t>惠南镇人民东路2729弄28#1202</t>
  </si>
  <si>
    <t>汤沁芳</t>
  </si>
  <si>
    <t>闵行区龙茗路1458弄96号201</t>
  </si>
  <si>
    <t>0002601</t>
  </si>
  <si>
    <t>颜丹</t>
  </si>
  <si>
    <t>松江区谷阳北路2399弄12号402</t>
  </si>
  <si>
    <t>杨小姐</t>
  </si>
  <si>
    <t>三芳路1835号300</t>
  </si>
  <si>
    <t>0003806</t>
  </si>
  <si>
    <t>薛东</t>
  </si>
  <si>
    <t>水城南路35号709</t>
  </si>
  <si>
    <t>0002597</t>
  </si>
  <si>
    <t>游沁怡</t>
  </si>
  <si>
    <t>虹江路1368弄1号26A</t>
  </si>
  <si>
    <t>王琦</t>
  </si>
  <si>
    <t>禹州路雍贤府45#302</t>
  </si>
  <si>
    <t>0002594</t>
  </si>
  <si>
    <t>陈欣儿</t>
  </si>
  <si>
    <t>浦东南路4950弄6号101</t>
  </si>
  <si>
    <t>李文娟</t>
  </si>
  <si>
    <t>虹口区凉城路539弄秀苑小区33号204</t>
  </si>
  <si>
    <t>0002592</t>
  </si>
  <si>
    <t>陈琪</t>
  </si>
  <si>
    <t>普乐路333弄17号201</t>
  </si>
  <si>
    <t>温泽宏</t>
  </si>
  <si>
    <t>徐汇区枣陵北路7-5-1901</t>
  </si>
  <si>
    <t>邬何晶</t>
  </si>
  <si>
    <t>宝山区宝菊路133弄290号201</t>
  </si>
  <si>
    <t>0002598</t>
  </si>
  <si>
    <t>周建进</t>
  </si>
  <si>
    <t>浦东新区1028弄25弄83号861</t>
  </si>
  <si>
    <t>陈慧珍</t>
  </si>
  <si>
    <t>控江路2075号1704</t>
  </si>
  <si>
    <t>0003805</t>
  </si>
  <si>
    <t>孙浩</t>
  </si>
  <si>
    <t>西藏南路1108弄1号1303</t>
  </si>
  <si>
    <t>刘美香</t>
  </si>
  <si>
    <t>闵行区珠城路99弄26号1301</t>
  </si>
  <si>
    <t>0002593</t>
  </si>
  <si>
    <t>浦东罗山路1502弄6号501</t>
  </si>
  <si>
    <t>0002600</t>
  </si>
  <si>
    <t>秦思捷</t>
  </si>
  <si>
    <t>浦秀路1139-16-602</t>
  </si>
  <si>
    <t>丁先生</t>
  </si>
  <si>
    <t>国权北路46号802</t>
  </si>
  <si>
    <t>王昭夏</t>
  </si>
  <si>
    <t>虹口区赤峰路372弄东四小区5号1202</t>
  </si>
  <si>
    <t>徐立申</t>
  </si>
  <si>
    <t>松江区伴亭路855弄25号1803</t>
  </si>
  <si>
    <t>0000447</t>
  </si>
  <si>
    <t>吴锋</t>
  </si>
  <si>
    <t>松江区九亭镇贝上湾10号901</t>
  </si>
  <si>
    <t>华蓉</t>
  </si>
  <si>
    <t>芦恒路378弄191号602</t>
  </si>
  <si>
    <t>郑少勋</t>
  </si>
  <si>
    <t>御桥路1978弄9号502</t>
  </si>
  <si>
    <t>禹曼曼</t>
  </si>
  <si>
    <t>铜川路2288弄22号203</t>
  </si>
  <si>
    <t>薛开</t>
  </si>
  <si>
    <t>浦东新区南大公路399弄217-1202</t>
  </si>
  <si>
    <t>黄加保</t>
  </si>
  <si>
    <t>浦东新区196弄6号1201</t>
  </si>
  <si>
    <t>黄鼎</t>
  </si>
  <si>
    <t>向城路29号C栋2902</t>
  </si>
  <si>
    <t>0004389</t>
  </si>
  <si>
    <t>李建忠</t>
  </si>
  <si>
    <t>崇明长兴岛渔乐路500弄66号802</t>
  </si>
  <si>
    <t>0004390</t>
  </si>
  <si>
    <t>浦东云鹃路833弄1栋2单元702</t>
  </si>
  <si>
    <t>张杨</t>
  </si>
  <si>
    <t>浦东崂山路644弄27号603</t>
  </si>
  <si>
    <t>施城磊</t>
  </si>
  <si>
    <t>闵行区万源路986弄26号1201</t>
  </si>
  <si>
    <t>岳俊</t>
  </si>
  <si>
    <t>上南路1251弄上南四村13号401</t>
  </si>
  <si>
    <t>西藏南路1566弄7号102</t>
  </si>
  <si>
    <t>谢柳英</t>
  </si>
  <si>
    <t>浦东新区桃林路299弄39号601</t>
  </si>
  <si>
    <t>0004391</t>
  </si>
  <si>
    <t>康宏博</t>
  </si>
  <si>
    <t>浦东芳草路36弄10号502</t>
  </si>
  <si>
    <t>0004392</t>
  </si>
  <si>
    <t>刘红斌</t>
  </si>
  <si>
    <t>上河苑12号602</t>
  </si>
  <si>
    <t>黄浦区斜土东路333弄8号1701</t>
  </si>
  <si>
    <t>石润兰</t>
  </si>
  <si>
    <t>浦东新区荣成路41弄10号704</t>
  </si>
  <si>
    <t>潘佳瑛</t>
  </si>
  <si>
    <t>中潭路99弄237号2402室</t>
  </si>
  <si>
    <t>0002938</t>
  </si>
  <si>
    <t>于晴颐</t>
  </si>
  <si>
    <t>闵行区中谊路888弄99号202</t>
  </si>
  <si>
    <t>0002159</t>
  </si>
  <si>
    <t>陈惠玲</t>
  </si>
  <si>
    <t>春申路3355弄39号102</t>
  </si>
  <si>
    <t>0002934</t>
  </si>
  <si>
    <t>钱工</t>
  </si>
  <si>
    <t>东方润园7-2-1101</t>
  </si>
  <si>
    <t>杭勤勤</t>
  </si>
  <si>
    <t>杨浦区政立路687弄15号601</t>
  </si>
  <si>
    <t>0002933</t>
  </si>
  <si>
    <t>钱海晨</t>
  </si>
  <si>
    <t>金张公路238号美溪里75号</t>
  </si>
  <si>
    <t>杨珺</t>
  </si>
  <si>
    <t>长宁区芙蓉江路555弄7号301</t>
  </si>
  <si>
    <t>曾先生</t>
  </si>
  <si>
    <t>闵行区珠城路118弄10号201</t>
  </si>
  <si>
    <t>曹辉</t>
  </si>
  <si>
    <t>海上汭湜116号</t>
  </si>
  <si>
    <t>0003549</t>
  </si>
  <si>
    <t>沈道兴</t>
  </si>
  <si>
    <t>青浦区徐泾镇诸陆西路2265弄4号401</t>
  </si>
  <si>
    <t>张斌波</t>
  </si>
  <si>
    <t>金城蔚蓝16号802</t>
  </si>
  <si>
    <t>段椿怡</t>
  </si>
  <si>
    <t>御澜雅苑10#102</t>
  </si>
  <si>
    <t>0003149</t>
  </si>
  <si>
    <t>陈晓平</t>
  </si>
  <si>
    <t>九亭镇涞径路328弄13号801</t>
  </si>
  <si>
    <t>0003147</t>
  </si>
  <si>
    <t>程青</t>
  </si>
  <si>
    <t>松江区龙马路433弄90-101</t>
  </si>
  <si>
    <t>马帅</t>
  </si>
  <si>
    <t>松江区广富林路1188弄152-404</t>
  </si>
  <si>
    <t>刘锦圣</t>
  </si>
  <si>
    <t>松江区广富林路1188弄84号101</t>
  </si>
  <si>
    <t>0003146</t>
  </si>
  <si>
    <t>马晓龙</t>
  </si>
  <si>
    <t>九亭镇涞径路328弄20号601</t>
  </si>
  <si>
    <t>松江区广富林路1588弄144号202</t>
  </si>
  <si>
    <t>陈萍</t>
  </si>
  <si>
    <t>新凯香樟苑199弄7号1203</t>
  </si>
  <si>
    <t>0056689</t>
  </si>
  <si>
    <t>周总</t>
  </si>
  <si>
    <t>钱桥镇南法中心513</t>
  </si>
  <si>
    <t>0056688</t>
  </si>
  <si>
    <t>颜廷扣</t>
  </si>
  <si>
    <t>雍贤府129号1001</t>
  </si>
  <si>
    <t>0003547</t>
  </si>
  <si>
    <t>黄怡莉</t>
  </si>
  <si>
    <t>桂林西街111弄6号204</t>
  </si>
  <si>
    <t>马骥</t>
  </si>
  <si>
    <t>惠南镇77弄49号501</t>
  </si>
  <si>
    <t>邵震寰</t>
  </si>
  <si>
    <t>绿地柏澜晶舍8#902</t>
  </si>
  <si>
    <t>华羽卿</t>
  </si>
  <si>
    <t>真光路798弄46号601</t>
  </si>
  <si>
    <t>0055937</t>
  </si>
  <si>
    <t>高旭</t>
  </si>
  <si>
    <t>奉贤区逸贤雅苑13-501</t>
  </si>
  <si>
    <t>张金龙</t>
  </si>
  <si>
    <t>绿地天呈81号1704</t>
  </si>
  <si>
    <t>0055972</t>
  </si>
  <si>
    <t>吴利民</t>
  </si>
  <si>
    <t>褚家路100#8号701</t>
  </si>
  <si>
    <t>聂女士</t>
  </si>
  <si>
    <t>绿地中心一期5#317</t>
  </si>
  <si>
    <t>李文超</t>
  </si>
  <si>
    <t>梅川路43弄37号401</t>
  </si>
  <si>
    <t>肖乃秀</t>
  </si>
  <si>
    <t>徐汇区徐虹北路5弄10号701</t>
  </si>
  <si>
    <t>赵伟</t>
  </si>
  <si>
    <t>闵行区莲花南路1288弄51号301</t>
  </si>
  <si>
    <t>0001725</t>
  </si>
  <si>
    <t>施晓莉</t>
  </si>
  <si>
    <t>松江区58弄嘉和阳光城2号2503</t>
  </si>
  <si>
    <t>0001724</t>
  </si>
  <si>
    <t>孟令伟</t>
  </si>
  <si>
    <t>青浦区6161弄10号502</t>
  </si>
  <si>
    <t>黎奕然</t>
  </si>
  <si>
    <t>七莘路1728弄24号1楼</t>
  </si>
  <si>
    <t>陈泽民</t>
  </si>
  <si>
    <t>宝山区年吉路100弄年吉苑28号1503</t>
  </si>
  <si>
    <t>陈翠凤</t>
  </si>
  <si>
    <t>龙马路433弄89号902</t>
  </si>
  <si>
    <t>张尹潇</t>
  </si>
  <si>
    <t>松江区558弄11号1102</t>
  </si>
  <si>
    <t>赵总</t>
  </si>
  <si>
    <t>金山区张垠镇403号</t>
  </si>
  <si>
    <t>朱利</t>
  </si>
  <si>
    <t>静安区沪太路909世纪花苑1104</t>
  </si>
  <si>
    <t>欧阳</t>
  </si>
  <si>
    <t>宝山区共富路183弄共富一村143号601</t>
  </si>
  <si>
    <t>晏蒙霞</t>
  </si>
  <si>
    <t>宝山区纬地路99弄经纬五期19号302</t>
  </si>
  <si>
    <t>普陀区交通西路大洋小区36号403</t>
  </si>
  <si>
    <t>姚东</t>
  </si>
  <si>
    <t>宝山区菊太路999弄好日子小区142号201</t>
  </si>
  <si>
    <t>同济晶萃63#</t>
  </si>
  <si>
    <t>0000462</t>
  </si>
  <si>
    <t>张卓立</t>
  </si>
  <si>
    <t>沪太路1329弄7号1001</t>
  </si>
  <si>
    <t>王鸣玮</t>
  </si>
  <si>
    <t>杨浦区三门路48弄21号03</t>
  </si>
  <si>
    <t>施惠周</t>
  </si>
  <si>
    <t>闵行区东兰路和嘉公寓19号101</t>
  </si>
  <si>
    <t>周庆华</t>
  </si>
  <si>
    <t>浦东新区惠南镇43号401</t>
  </si>
  <si>
    <t>0000449</t>
  </si>
  <si>
    <t>姜锦好</t>
  </si>
  <si>
    <t>王家库路55弄8号1201</t>
  </si>
  <si>
    <t>沈光临</t>
  </si>
  <si>
    <t>顾戴路1325弄55号401</t>
  </si>
  <si>
    <t>普洱路99弄20号1201</t>
  </si>
  <si>
    <t>寿光路76弄17号802</t>
  </si>
  <si>
    <t>0002059</t>
  </si>
  <si>
    <t>姜卫春</t>
  </si>
  <si>
    <t>经纬三期1#701</t>
  </si>
  <si>
    <t>郭志刚</t>
  </si>
  <si>
    <t>德富路900-4-1501</t>
  </si>
  <si>
    <t>0002058</t>
  </si>
  <si>
    <t>黄嘉华</t>
  </si>
  <si>
    <t>一品漫城185号302</t>
  </si>
  <si>
    <t>丁萍</t>
  </si>
  <si>
    <t>宁夏路353弄63号802</t>
  </si>
  <si>
    <t>00003963</t>
  </si>
  <si>
    <t>陈万东</t>
  </si>
  <si>
    <t>杨浦区政立路505弄12号601室</t>
  </si>
  <si>
    <t>0004396</t>
  </si>
  <si>
    <t>郑俊</t>
  </si>
  <si>
    <t>黄浦区四川南路44弄12号401</t>
  </si>
  <si>
    <t>时雷</t>
  </si>
  <si>
    <t>浦东张杨路1811弄14-101</t>
  </si>
  <si>
    <t>范丽莉</t>
  </si>
  <si>
    <t>闵行区浦江镇鲁惠汇汇臻路815弄11-702</t>
  </si>
  <si>
    <t>钱泱帆</t>
  </si>
  <si>
    <t>185016911216</t>
  </si>
  <si>
    <t>淮坊路355弄17号402</t>
  </si>
  <si>
    <t>王凝宁</t>
  </si>
  <si>
    <t>竹柏路758弄77-401</t>
  </si>
  <si>
    <t>彭莉莉</t>
  </si>
  <si>
    <t>巨峰399弄21号502</t>
  </si>
  <si>
    <t>沈倩倩</t>
  </si>
  <si>
    <t>富国路45号502</t>
  </si>
  <si>
    <t>0002057</t>
  </si>
  <si>
    <t>李海英</t>
  </si>
  <si>
    <t>芦恒路306弄177号902</t>
  </si>
  <si>
    <t>0003550</t>
  </si>
  <si>
    <t>王奥仑</t>
  </si>
  <si>
    <t>伴亭路855弄38-1102</t>
  </si>
  <si>
    <t>刘凯</t>
  </si>
  <si>
    <t>月罗公路2333弄18号402</t>
  </si>
  <si>
    <t>杨铭</t>
  </si>
  <si>
    <t>宝山区抚远路1288弄10号462室</t>
  </si>
  <si>
    <t>李文妍</t>
  </si>
  <si>
    <t>徐汇区龙华路3208弄9号502室</t>
  </si>
  <si>
    <t>徐红艳</t>
  </si>
  <si>
    <t>徐汇区虹梅路1035弄2号401室</t>
  </si>
  <si>
    <t>朱总</t>
  </si>
  <si>
    <t>黄晓庆</t>
  </si>
  <si>
    <t>长宁区仙霞路780弄38号601室</t>
  </si>
  <si>
    <t>陆新源</t>
  </si>
  <si>
    <t>陆宇</t>
  </si>
  <si>
    <t>闵行区平吉路88弄39号502</t>
  </si>
  <si>
    <t>136614663993</t>
  </si>
  <si>
    <t>昆山花桥滨江裕花园13号二单元1208</t>
  </si>
  <si>
    <t>阮虹超</t>
  </si>
  <si>
    <t>罗山路1700弄6号503</t>
  </si>
  <si>
    <t>余晓玲</t>
  </si>
  <si>
    <t>150004505111</t>
  </si>
  <si>
    <t>朱家角中骏雍景湾二期A区26号</t>
  </si>
  <si>
    <t>王燕君</t>
  </si>
  <si>
    <t>惠南镇丰海路500弄16-1102</t>
  </si>
  <si>
    <t>夏添</t>
  </si>
  <si>
    <t>邹仕立</t>
  </si>
  <si>
    <t>利津路385弄42-202</t>
  </si>
  <si>
    <t>吴鸿飞</t>
  </si>
  <si>
    <t>东方路1881弄53号402</t>
  </si>
  <si>
    <t>杨鹏</t>
  </si>
  <si>
    <t>商城路108弄2号2301</t>
  </si>
  <si>
    <t>冯建宇</t>
  </si>
  <si>
    <t>锦绣路300弄24号1503</t>
  </si>
  <si>
    <t>宋爱娟</t>
  </si>
  <si>
    <t>伴亭路855-2-1303</t>
  </si>
  <si>
    <t>杨秀生</t>
  </si>
  <si>
    <t>177618100424</t>
  </si>
  <si>
    <t>罗锦路888弄6支弄14-602</t>
  </si>
  <si>
    <t>墅沟路69弄7号1302</t>
  </si>
  <si>
    <t>包健娃</t>
  </si>
  <si>
    <t>北艾路1077弄45号101</t>
  </si>
  <si>
    <t>罗惠君</t>
  </si>
  <si>
    <t>虹口区东体育会路657弄34号402室</t>
  </si>
  <si>
    <t>俞靓婧</t>
  </si>
  <si>
    <t>崇明水岸花园41号701</t>
  </si>
  <si>
    <t>田进</t>
  </si>
  <si>
    <t>青浦区白鹤镇启航城12号902室</t>
  </si>
  <si>
    <t>徐蓉</t>
  </si>
  <si>
    <t>牡丹江路1298弄72号1102</t>
  </si>
  <si>
    <t>陶国华</t>
  </si>
  <si>
    <t>虹口区欧阳路677弄6号204</t>
  </si>
  <si>
    <t>黄中平</t>
  </si>
  <si>
    <t>浦东新场硅谷商墅800弄87-88</t>
  </si>
  <si>
    <t>蒋老师</t>
  </si>
  <si>
    <t>金山区金瀚园70号1402</t>
  </si>
  <si>
    <t>倪龙珠</t>
  </si>
  <si>
    <t>外冈佳苑32-502</t>
  </si>
  <si>
    <t>徐汇区龙州路450弄51号402室</t>
  </si>
  <si>
    <t>沪亭北路338号18号1502室</t>
  </si>
  <si>
    <t>云西路219弄20号1601室</t>
  </si>
  <si>
    <t>中山南路1358-4-701室</t>
  </si>
  <si>
    <t>场北路669弄40号1302室</t>
  </si>
  <si>
    <t>陶治</t>
  </si>
  <si>
    <t>郑诚</t>
  </si>
  <si>
    <t>保德路1316弄84-603室</t>
  </si>
  <si>
    <t>候俊</t>
  </si>
  <si>
    <t>香樟路475弄12号402室</t>
  </si>
  <si>
    <t>13641754562</t>
  </si>
  <si>
    <t>虹口区曲阳路385弄2号506室</t>
  </si>
  <si>
    <t>宋佳青城山路69弄51号401室</t>
  </si>
  <si>
    <t>金山区金瀚园36号1502</t>
  </si>
  <si>
    <t>夏雪晴</t>
  </si>
  <si>
    <t>浦东新区兰城路108弄49号401</t>
  </si>
  <si>
    <t>0000867</t>
  </si>
  <si>
    <t>管卫华</t>
  </si>
  <si>
    <t>浦东新区淮坊四村405号202</t>
  </si>
  <si>
    <t>米小姐</t>
  </si>
  <si>
    <t>闵行区199弄禹州府8号901</t>
  </si>
  <si>
    <t>0000466</t>
  </si>
  <si>
    <t>广灵四路881弄45号1102</t>
  </si>
  <si>
    <t>0001587</t>
  </si>
  <si>
    <t>陈亚明</t>
  </si>
  <si>
    <t>青浦区嘉松中路6888弄63号101</t>
  </si>
  <si>
    <t>0000197</t>
  </si>
  <si>
    <t>吴翔</t>
  </si>
  <si>
    <t>杨浦区30弄34-301</t>
  </si>
  <si>
    <t>蒋铭成</t>
  </si>
  <si>
    <t>静安区江宁路401弄3号910</t>
  </si>
  <si>
    <t>虞家辉</t>
  </si>
  <si>
    <t>隆昌路641弄2-403</t>
  </si>
  <si>
    <t>莲花南路1108弄21号102</t>
  </si>
  <si>
    <t>何先生</t>
  </si>
  <si>
    <t>崇溪路1单元111弄313</t>
  </si>
  <si>
    <t>何纬文</t>
  </si>
  <si>
    <t>松江区涞寅路106弄奥林库克64号904</t>
  </si>
  <si>
    <t>0000467</t>
  </si>
  <si>
    <t>康晔钰</t>
  </si>
  <si>
    <t>虹口区场中路32弄48号601</t>
  </si>
  <si>
    <t>浦东东陆路1018弄43号602</t>
  </si>
  <si>
    <t>吴晶晶</t>
  </si>
  <si>
    <t>闵行区龙溪路5530弄90号501</t>
  </si>
  <si>
    <t>田庆龙</t>
  </si>
  <si>
    <t>双辽新村15号503室</t>
  </si>
  <si>
    <t>张哲妫</t>
  </si>
  <si>
    <t>浦东新区德平路76弄14号102室</t>
  </si>
  <si>
    <t>曹荣</t>
  </si>
  <si>
    <t>闵行区虹梅路2555弄85号202室</t>
  </si>
  <si>
    <t>沈忱皓</t>
  </si>
  <si>
    <t>支北路1700弄27号1001室</t>
  </si>
  <si>
    <t>天玥桥路180弄38号1403室</t>
  </si>
  <si>
    <t>祁笑天</t>
  </si>
  <si>
    <t>浦东区德州路380弄3号601</t>
  </si>
  <si>
    <t>许锦成</t>
  </si>
  <si>
    <t>南昌路555号D幢2803</t>
  </si>
  <si>
    <t>王巧红</t>
  </si>
  <si>
    <t>鹤恒路600弄1号802</t>
  </si>
  <si>
    <t>上南路1251弄38号503</t>
  </si>
  <si>
    <t>魏俊霞</t>
  </si>
  <si>
    <t>罗贤魁</t>
  </si>
  <si>
    <t>闵行区古美路1455弄7号301</t>
  </si>
  <si>
    <t>嵇爱峰</t>
  </si>
  <si>
    <t>菊泉街55弄15号1604</t>
  </si>
  <si>
    <t>周冲</t>
  </si>
  <si>
    <t>宝山区宝荻路535弄23号402</t>
  </si>
  <si>
    <t>赵淑梅</t>
  </si>
  <si>
    <t>仙霞路1118弄41号101</t>
  </si>
  <si>
    <t>张福经</t>
  </si>
  <si>
    <t>北翟路900弄22号501</t>
  </si>
  <si>
    <t>戚幸华</t>
  </si>
  <si>
    <t>长宁区芙蓉江路150弄34号201</t>
  </si>
  <si>
    <t>崔唏培</t>
  </si>
  <si>
    <t>静安区临汾路135弄53号202</t>
  </si>
  <si>
    <t>刘善佳</t>
  </si>
  <si>
    <t>浦东新区银峰路549弄6号502</t>
  </si>
  <si>
    <t>车先生</t>
  </si>
  <si>
    <t>浦东新区东明路383弄34号1506</t>
  </si>
  <si>
    <t>范立君</t>
  </si>
  <si>
    <t>奉贤区天河浅滩32号1501</t>
  </si>
  <si>
    <t>黄嘉懿</t>
  </si>
  <si>
    <t>闵行区闵驰二路56弄6号701室（欣佳宝纸）</t>
  </si>
  <si>
    <t>瑞福路196弄10号903室</t>
  </si>
  <si>
    <t>湖畔天下三期59号</t>
  </si>
  <si>
    <t>松江区新家园路128弄148号701室</t>
  </si>
  <si>
    <t>蒋忠玲</t>
  </si>
  <si>
    <t>徐汇区漕河泾宾南路19弄16号301</t>
  </si>
  <si>
    <t>杨浦区长白二村143号305室</t>
  </si>
  <si>
    <t>南江燕路229弄24号403室</t>
  </si>
  <si>
    <t>鹤望路365弄13号402室</t>
  </si>
  <si>
    <t>闵行区吴宝路139弄7号202</t>
  </si>
  <si>
    <t>陈家镇安通东路630弄59号702</t>
  </si>
  <si>
    <t>方正候</t>
  </si>
  <si>
    <t>虹口区虹湾路313弄15号401</t>
  </si>
  <si>
    <t>徐姝婧</t>
  </si>
  <si>
    <t>五莲路758弄18号102</t>
  </si>
  <si>
    <t>刘懿</t>
  </si>
  <si>
    <t>浦东新区罗山路108弄13号20</t>
  </si>
  <si>
    <t>董凌云</t>
  </si>
  <si>
    <t>金山区金山新城卫零北路800弄58号201</t>
  </si>
  <si>
    <t>闵宏亮</t>
  </si>
  <si>
    <t>普陀区真金路457弄8号601</t>
  </si>
  <si>
    <t>万云云</t>
  </si>
  <si>
    <t>浦东新区616弄柳博19号101</t>
  </si>
  <si>
    <t>张衡</t>
  </si>
  <si>
    <t>周浦镇瑞和路555弄18号403</t>
  </si>
  <si>
    <t>0002400</t>
  </si>
  <si>
    <t>利津路385弄42号202</t>
  </si>
  <si>
    <t>0002399</t>
  </si>
  <si>
    <t>0002398</t>
  </si>
  <si>
    <t>东才路1881弄53号402</t>
  </si>
  <si>
    <t>邓忠良</t>
  </si>
  <si>
    <t>松江区新桥镇明中路1777弄16号604</t>
  </si>
  <si>
    <t>陈晶</t>
  </si>
  <si>
    <t>御云路100弄12号302</t>
  </si>
  <si>
    <t>黄老师</t>
  </si>
  <si>
    <t>现代缘墅53号</t>
  </si>
  <si>
    <t>张辰建</t>
  </si>
  <si>
    <t>白桦路266弄12号102</t>
  </si>
  <si>
    <t>刘丽华</t>
  </si>
  <si>
    <t>浦东新区铃兰路508弄37号801</t>
  </si>
  <si>
    <t>潘宵</t>
  </si>
  <si>
    <t>古北国际富贵东路229弄5号1601</t>
  </si>
  <si>
    <t>威山路1728弄47号2004室</t>
  </si>
  <si>
    <t>沧源路588弄68号1304</t>
  </si>
  <si>
    <t>顾戴路1100弄82号301</t>
  </si>
  <si>
    <t>影佳路333弄15栋91号</t>
  </si>
  <si>
    <t>丁香路899弄11号1501室</t>
  </si>
  <si>
    <t>徐汇区钦州北路485号2709室</t>
  </si>
  <si>
    <t>华茂路32弄14号402室</t>
  </si>
  <si>
    <t>乐文杰</t>
  </si>
  <si>
    <t>静安区镇宁路200号西楼14A</t>
  </si>
  <si>
    <t>丁天宇</t>
  </si>
  <si>
    <t>浦东区东明路410弄25号501</t>
  </si>
  <si>
    <t>何昳雯</t>
  </si>
  <si>
    <t>沪太路1170弄34号503</t>
  </si>
  <si>
    <t>0001833</t>
  </si>
  <si>
    <t>汤天军</t>
  </si>
  <si>
    <t>金地西湾16#701</t>
  </si>
  <si>
    <t>杨建其</t>
  </si>
  <si>
    <t>金汇路4600弄26号701</t>
  </si>
  <si>
    <t>0002499</t>
  </si>
  <si>
    <t>尹立</t>
  </si>
  <si>
    <t>闵行区芦恒路378弄一品漫城194号602</t>
  </si>
  <si>
    <t>薛兵</t>
  </si>
  <si>
    <t>长宁路405弄1号1401</t>
  </si>
  <si>
    <t>金捷</t>
  </si>
  <si>
    <t>市京一村52号103室</t>
  </si>
  <si>
    <t>王礼频</t>
  </si>
  <si>
    <t>汶水东路77弄2号308</t>
  </si>
  <si>
    <t>钱春燕</t>
  </si>
  <si>
    <t>莲花南路1111弄43号1702</t>
  </si>
  <si>
    <t>陈潮</t>
  </si>
  <si>
    <t>普陀光复西路133弄3101</t>
  </si>
  <si>
    <t>戴路</t>
  </si>
  <si>
    <t>海防路58弄12号801</t>
  </si>
  <si>
    <t>顾连云</t>
  </si>
  <si>
    <t>青浦区崧润路1028弄2号501</t>
  </si>
  <si>
    <t>张江松</t>
  </si>
  <si>
    <t>康定路1268弄1号3302</t>
  </si>
  <si>
    <t>卞嘉骏</t>
  </si>
  <si>
    <t>中华路868弄31号1303</t>
  </si>
  <si>
    <t>张杨路1050弄2号1606</t>
  </si>
  <si>
    <t>金地格林春岸城24-101</t>
  </si>
  <si>
    <t>浙江嘉兴海宁市海昌南路长丰路工联红郡9幢二单元103室</t>
  </si>
  <si>
    <t>许奕韬</t>
  </si>
  <si>
    <t>昆山市周庄镇田润尚院3期153-105</t>
  </si>
  <si>
    <t>嘉松中路6788弄龙湖</t>
  </si>
  <si>
    <t>泗凯路219弄锦昌苑15号1001</t>
  </si>
  <si>
    <t>王春辉</t>
  </si>
  <si>
    <t>宝山区顾村镇苏家浜路388弄166号301</t>
  </si>
  <si>
    <t>0000469</t>
  </si>
  <si>
    <t>寇俊晖</t>
  </si>
  <si>
    <t>青浦区诸光路288弄英庭明墅小区266号201室</t>
  </si>
  <si>
    <t>0002060</t>
  </si>
  <si>
    <t>李俊峰</t>
  </si>
  <si>
    <t>闵行区浦瑞路369弄6号501</t>
  </si>
  <si>
    <t>0000868</t>
  </si>
  <si>
    <t>姜邴</t>
  </si>
  <si>
    <t>松江区青秀苑小区29号201室</t>
  </si>
  <si>
    <t>袁静</t>
  </si>
  <si>
    <t>虹桥路168号2906室</t>
  </si>
  <si>
    <t>郭梅尼</t>
  </si>
  <si>
    <t>闵行区龙柏二村49号201室</t>
  </si>
  <si>
    <t>徐红宝</t>
  </si>
  <si>
    <t>延吉东路137弄23号605</t>
  </si>
  <si>
    <t>陈韶筠</t>
  </si>
  <si>
    <t>志丹路260弄5号206</t>
  </si>
  <si>
    <t>0000847</t>
  </si>
  <si>
    <t>刘杨</t>
  </si>
  <si>
    <t>闵行区虹许路788弄名都城小区17号205室</t>
  </si>
  <si>
    <t>蒋嫣婷</t>
  </si>
  <si>
    <t>13482520097/13501821588</t>
  </si>
  <si>
    <t>闵行区东川路865弄13号501室</t>
  </si>
  <si>
    <t>谢志民</t>
  </si>
  <si>
    <t>浦东区浦明路233弄7号202室</t>
  </si>
  <si>
    <t>0002686</t>
  </si>
  <si>
    <t>刘荫</t>
  </si>
  <si>
    <t>晨哗路825弄17号1601</t>
  </si>
  <si>
    <t>0002687</t>
  </si>
  <si>
    <t>冯晓晨</t>
  </si>
  <si>
    <t>南东路418弄16号301室</t>
  </si>
  <si>
    <t>张晓艳</t>
  </si>
  <si>
    <t>闵行区鹤庆路351弄51弄小区102号</t>
  </si>
  <si>
    <t>0000707</t>
  </si>
  <si>
    <t>范天骥</t>
  </si>
  <si>
    <t>宝山区真金路1039弄91号501室</t>
  </si>
  <si>
    <t>11/23已买单</t>
  </si>
  <si>
    <t>顾惠惠</t>
  </si>
  <si>
    <t>虹口区虹湾路313弄</t>
  </si>
  <si>
    <t>0001332</t>
  </si>
  <si>
    <t>汪政</t>
  </si>
  <si>
    <t>陶海磊</t>
  </si>
  <si>
    <t>澄海中路2500弄61号1303室</t>
  </si>
  <si>
    <t>0002607</t>
  </si>
  <si>
    <t>珠路1483弄106号402室</t>
  </si>
  <si>
    <t>松江区455弄331小区402室</t>
  </si>
  <si>
    <t>0000391</t>
  </si>
  <si>
    <t>诸浩宇</t>
  </si>
  <si>
    <t>马当路350弄5号小区707室</t>
  </si>
  <si>
    <t>俞倩</t>
  </si>
  <si>
    <t>浦东新区高桥镇609弄37号1102室</t>
  </si>
  <si>
    <t>0001292</t>
  </si>
  <si>
    <t>马力</t>
  </si>
  <si>
    <t>3688-155-301</t>
  </si>
  <si>
    <t>0002606</t>
  </si>
  <si>
    <t>陈建敏</t>
  </si>
  <si>
    <t>莘朱路879弄112号302-303</t>
  </si>
  <si>
    <t>洪女士</t>
  </si>
  <si>
    <t>浦东区漕溪路550弄35号302室</t>
  </si>
  <si>
    <t>0002989</t>
  </si>
  <si>
    <t>李宇翔</t>
  </si>
  <si>
    <t>上海市555弄67号3103</t>
  </si>
  <si>
    <t>朱恬雨</t>
  </si>
  <si>
    <t>浦东新区益丰路55弄春港丽园小区142号401</t>
  </si>
  <si>
    <t>周群敏</t>
  </si>
  <si>
    <t>愚园路1240号1901</t>
  </si>
  <si>
    <t>0002608</t>
  </si>
  <si>
    <t>赵敏慧</t>
  </si>
  <si>
    <t>杨浦区平凉路1749弄3号302室</t>
  </si>
  <si>
    <t>0002610</t>
  </si>
  <si>
    <t>1099弄20号102室</t>
  </si>
  <si>
    <t>0003810</t>
  </si>
  <si>
    <t>董秀军</t>
  </si>
  <si>
    <t>朱家角1号2期125号102</t>
  </si>
  <si>
    <t>郭宏</t>
  </si>
  <si>
    <t>闵行区99弄240号602室</t>
  </si>
  <si>
    <t>李昭</t>
  </si>
  <si>
    <t>松江区泗宝路458弄17号704</t>
  </si>
  <si>
    <t>廖伟宏</t>
  </si>
  <si>
    <t>浦东善波路518弄7号1302</t>
  </si>
  <si>
    <t>陈燕妮</t>
  </si>
  <si>
    <t>宝山区97弄101小区</t>
  </si>
  <si>
    <t>张婉</t>
  </si>
  <si>
    <t>灵山路1000弄1号1802</t>
  </si>
  <si>
    <t>徐娟</t>
  </si>
  <si>
    <t>奉贤区钜庭路佳兆业211号601室</t>
  </si>
  <si>
    <t>嘉定爱特路89弄9-1104室</t>
  </si>
  <si>
    <t>五里街210弄3号401室</t>
  </si>
  <si>
    <t>宝山区场北路58弄2号401</t>
  </si>
  <si>
    <t>浦东北艾路1765弄大华锦绣华城8号201室</t>
  </si>
  <si>
    <t>上海市松江区莘松东路399弄2期16号</t>
  </si>
  <si>
    <t>上海市嘉定区嘉唐公路169弄94号301</t>
  </si>
  <si>
    <t>虞熹珺</t>
  </si>
  <si>
    <t>长宁区虹桥路1720弄美丽华花园10号绿杨阁4楼G座</t>
  </si>
  <si>
    <t>0000733</t>
  </si>
  <si>
    <t>吴一宾</t>
  </si>
  <si>
    <t>静安区泰州路228弄2号1202</t>
  </si>
  <si>
    <t>0003497</t>
  </si>
  <si>
    <t>仙霞路620弄34号1408</t>
  </si>
  <si>
    <t>陈联杰</t>
  </si>
  <si>
    <t>虹口区广灵四路866弄21号702</t>
  </si>
  <si>
    <t>刘敏捷</t>
  </si>
  <si>
    <t>鹤庆路136弄126号301</t>
  </si>
  <si>
    <t>刘深渊</t>
  </si>
  <si>
    <t>桃林路299弄10号1801</t>
  </si>
  <si>
    <t>0002552</t>
  </si>
  <si>
    <t>刘魏</t>
  </si>
  <si>
    <t>徐汇区望月路909弄23号1503</t>
  </si>
  <si>
    <t>黄鸿钧</t>
  </si>
  <si>
    <t>闵行区黎安一村37号202</t>
  </si>
  <si>
    <t>张涵寅</t>
  </si>
  <si>
    <t>西陵路190弄17号204</t>
  </si>
  <si>
    <t>景鹏飞</t>
  </si>
  <si>
    <t>浦东锦绣路1650弄12号1802</t>
  </si>
  <si>
    <t>张洵</t>
  </si>
  <si>
    <t>宝山纬地路88弄32号802</t>
  </si>
  <si>
    <t>俞秀峰</t>
  </si>
  <si>
    <t>闵行区西环一村23号602</t>
  </si>
  <si>
    <t>易先生</t>
  </si>
  <si>
    <t>长宁区定西路1310弄16号3B</t>
  </si>
  <si>
    <t>沈斐</t>
  </si>
  <si>
    <t>闵行区顾戴路2199弄184号</t>
  </si>
  <si>
    <t>0001728</t>
  </si>
  <si>
    <t>陆婷婷</t>
  </si>
  <si>
    <t>青浦区8299弄顺驰蓝湾66号</t>
  </si>
  <si>
    <t>2019.12.25</t>
  </si>
  <si>
    <t>吕志路</t>
  </si>
  <si>
    <t>闵行区8888弄万科小区357号402</t>
  </si>
  <si>
    <t>王晓林</t>
  </si>
  <si>
    <t>浦东新区东绣路99弄16号402</t>
  </si>
  <si>
    <t>王丽平</t>
  </si>
  <si>
    <t>徐汇区龙华路2518弄71号801</t>
  </si>
  <si>
    <t>盛静</t>
  </si>
  <si>
    <t>青浦区新凤中路899弄42号1704</t>
  </si>
  <si>
    <t>0000091</t>
  </si>
  <si>
    <t>浦东区张杨路3083弄广洋苑13号902</t>
  </si>
  <si>
    <t>张霞佳</t>
  </si>
  <si>
    <t>通河路129弄7号102</t>
  </si>
  <si>
    <t>冯小宾</t>
  </si>
  <si>
    <t>浦东新区鹤恒路600弄4号1103</t>
  </si>
  <si>
    <t>张天乐</t>
  </si>
  <si>
    <t>祁华路300路汇枫景苑26号1104</t>
  </si>
  <si>
    <t>顾筠</t>
  </si>
  <si>
    <t>宝山区苏家浜路388弄14号602</t>
  </si>
  <si>
    <t>0000470</t>
  </si>
  <si>
    <t>卢炼</t>
  </si>
  <si>
    <t>浦东区502弄金浦小区11号501</t>
  </si>
  <si>
    <t>0002551</t>
  </si>
  <si>
    <t>蒋建英</t>
  </si>
  <si>
    <t>奉贤区青村镇路北塘新苑24幢54号101</t>
  </si>
  <si>
    <t>0002553</t>
  </si>
  <si>
    <t>顾晓谕</t>
  </si>
  <si>
    <t>徐汇区湖南路100弄2号204</t>
  </si>
  <si>
    <t>周宋梅</t>
  </si>
  <si>
    <t>东靖路297弄3号502室</t>
  </si>
  <si>
    <t>孙亚南</t>
  </si>
  <si>
    <t>李艳玲</t>
  </si>
  <si>
    <t>浦东区桃林路1141弄4号1503</t>
  </si>
  <si>
    <t>0002882</t>
  </si>
  <si>
    <t>张宏燕</t>
  </si>
  <si>
    <t>浦东区白萱路99弄31号1101</t>
  </si>
  <si>
    <t>陶愈蓝</t>
  </si>
  <si>
    <t>淮海西路288弄2号1901</t>
  </si>
  <si>
    <t>赵之雄</t>
  </si>
  <si>
    <t>虹莘路2288弄127号601</t>
  </si>
  <si>
    <t>孙策</t>
  </si>
  <si>
    <t>嘉定区德华路79弄6号204</t>
  </si>
  <si>
    <t>奉贤区恒盛89弄108号</t>
  </si>
  <si>
    <t>蒋林华</t>
  </si>
  <si>
    <t>闵行区航华三村四街坊265号201室</t>
  </si>
  <si>
    <t>栖山路1899弄36号601</t>
  </si>
  <si>
    <t>崇明陈桥镇亚通水岸41号701</t>
  </si>
  <si>
    <t>富国路199弄八单元1202室</t>
  </si>
  <si>
    <t>罗爱军</t>
  </si>
  <si>
    <t>松江区莘松绿嘉园新中街10栋802室</t>
  </si>
  <si>
    <t>张乾江</t>
  </si>
  <si>
    <t>龙吟路501弄22号401室</t>
  </si>
  <si>
    <t>洞伟路655弄1号1504</t>
  </si>
  <si>
    <t>浦东新区红枫路300弄2号901室</t>
  </si>
  <si>
    <t>金建平</t>
  </si>
  <si>
    <t>闵行区富国路199弄15号702</t>
  </si>
  <si>
    <t>虹梅南路路126弄22号301室</t>
  </si>
  <si>
    <t>复兴东路701弄3号803</t>
  </si>
  <si>
    <t>中华路868弄32号-1203室</t>
  </si>
  <si>
    <t>杨树浦路1177弄16-1206室</t>
  </si>
  <si>
    <t>0004262</t>
  </si>
  <si>
    <t>宋毅</t>
  </si>
  <si>
    <t>苗圃路112弄3号401室</t>
  </si>
  <si>
    <t>0003916</t>
  </si>
  <si>
    <t>腾维明</t>
  </si>
  <si>
    <t>宝山区菊大路1198弄27号1603室</t>
  </si>
  <si>
    <t>胡意舟</t>
  </si>
  <si>
    <t>徐汇区龙吴路2388弄2号302室</t>
  </si>
  <si>
    <t>0002554</t>
  </si>
  <si>
    <t>莲花南路1288弄32号701室</t>
  </si>
  <si>
    <t>孙敏</t>
  </si>
  <si>
    <t>宝山区宝山十寸64号102室</t>
  </si>
  <si>
    <t>东方路1800弄42栋小区1402室</t>
  </si>
  <si>
    <t>南泉北路1040弄2号604室</t>
  </si>
  <si>
    <t>应力</t>
  </si>
  <si>
    <t>长寿路1118号悦达国际大厦B座7F</t>
  </si>
  <si>
    <t>0055942</t>
  </si>
  <si>
    <t>江峰</t>
  </si>
  <si>
    <t>桐南13栋8号501室</t>
  </si>
  <si>
    <t>夏宝印</t>
  </si>
  <si>
    <t>洪山路1889弄15号楼1002</t>
  </si>
  <si>
    <t>陈虹艳</t>
  </si>
  <si>
    <t>爱和大厦2611室</t>
  </si>
  <si>
    <t>长宁区利西路43号1009室</t>
  </si>
  <si>
    <t>0055943</t>
  </si>
  <si>
    <t>倪总</t>
  </si>
  <si>
    <t>银河丽湾8号1901</t>
  </si>
  <si>
    <t>雷蕾</t>
  </si>
  <si>
    <t>徐汇区零陵路189弄17号2004</t>
  </si>
  <si>
    <t>0055944</t>
  </si>
  <si>
    <t>陈沪燕</t>
  </si>
  <si>
    <t>奉贤区锦莘家园33号</t>
  </si>
  <si>
    <t>0001834</t>
  </si>
  <si>
    <t>董女士</t>
  </si>
  <si>
    <t>新城一期27号502室</t>
  </si>
  <si>
    <t>0002904</t>
  </si>
  <si>
    <t>陈妍</t>
  </si>
  <si>
    <t>黄浦区制造路365弄1号</t>
  </si>
  <si>
    <t>李丹阳</t>
  </si>
  <si>
    <t>罗阳路568弄57号501</t>
  </si>
  <si>
    <t>张丞瑜</t>
  </si>
  <si>
    <t>徐汇区中漕南路699弄15号802室</t>
  </si>
  <si>
    <t>邵刚</t>
  </si>
  <si>
    <t>浙江路277弄3号2808室</t>
  </si>
  <si>
    <t>徐红梅</t>
  </si>
  <si>
    <t>奉贤区中粮东区3栋12号1603</t>
  </si>
  <si>
    <t>郭武彪</t>
  </si>
  <si>
    <t>浦东新区东绣路1389弄1号1304室</t>
  </si>
  <si>
    <t>张樱</t>
  </si>
  <si>
    <t>普陀区香樟路195弄70号</t>
  </si>
  <si>
    <t>奉贤区钱桥镇南张中心513号</t>
  </si>
  <si>
    <t>华阳路298弄5号楼310</t>
  </si>
  <si>
    <t>静安区江宁路1220弄6号楼1204室</t>
  </si>
  <si>
    <t>临夏路1000弄76号301室</t>
  </si>
  <si>
    <t>金耀路555弄3号101室</t>
  </si>
  <si>
    <t>东体育会路75号601室</t>
  </si>
  <si>
    <t>沈春路168弄50号602室</t>
  </si>
  <si>
    <t>徐汇区老沪闵路790弄58号501室</t>
  </si>
  <si>
    <t>徐汇区华理苑38号302室</t>
  </si>
  <si>
    <t>静安区扮西路88弄31号1104室</t>
  </si>
  <si>
    <t>浦东新区青铜路618弄20号801</t>
  </si>
  <si>
    <t>宝山区月辉路108弄10单元1503</t>
  </si>
  <si>
    <t>浦东新区利津路1313弄13号1102室</t>
  </si>
  <si>
    <t>奉贤区秋月朗庭尚东区7号702室</t>
  </si>
  <si>
    <t>云屏路1286弄1601</t>
  </si>
  <si>
    <t>唐智磊</t>
  </si>
  <si>
    <t>0000093</t>
  </si>
  <si>
    <t>韩丽雅</t>
  </si>
  <si>
    <t>杨浦区控江路控江五村23号404</t>
  </si>
  <si>
    <t>0002556</t>
  </si>
  <si>
    <t>殷怡</t>
  </si>
  <si>
    <t>嘉定区陈翔路2400弄1号1101</t>
  </si>
  <si>
    <t>0002555</t>
  </si>
  <si>
    <t>李琳</t>
  </si>
  <si>
    <t>宝山区真华路1600弄16号702</t>
  </si>
  <si>
    <t>丁光明</t>
  </si>
  <si>
    <t>浦明路99弄27号1702</t>
  </si>
  <si>
    <t>0000709</t>
  </si>
  <si>
    <t>朱俊</t>
  </si>
  <si>
    <t>静安区平型关路121弄7号2901</t>
  </si>
  <si>
    <t>0000708</t>
  </si>
  <si>
    <t>虹口区华昌路79号1702</t>
  </si>
  <si>
    <t>0004399</t>
  </si>
  <si>
    <t>杨高南路3340弄24号502</t>
  </si>
  <si>
    <t>0004398</t>
  </si>
  <si>
    <t>周宸</t>
  </si>
  <si>
    <t>局门路88弄1号1002单元</t>
  </si>
  <si>
    <t>0001802</t>
  </si>
  <si>
    <t>陈晓瑜</t>
  </si>
  <si>
    <t>浦东新区东书房路560弄54号704</t>
  </si>
  <si>
    <t>0002896</t>
  </si>
  <si>
    <t>陆枝红</t>
  </si>
  <si>
    <t>闵行区莲花南路1388弄8号1501</t>
  </si>
  <si>
    <t>谢小乐</t>
  </si>
  <si>
    <t>陆家浜路468-48-2102</t>
  </si>
  <si>
    <t>沈杰</t>
  </si>
  <si>
    <t>金山区廊溪路河泾小区248号</t>
  </si>
  <si>
    <t>张初</t>
  </si>
  <si>
    <t>金山枫泾正荣119号</t>
  </si>
  <si>
    <t>嘉定区江桥爱特路333弄1号701</t>
  </si>
  <si>
    <t>高妹英</t>
  </si>
  <si>
    <t>束必杰</t>
  </si>
  <si>
    <t>闵行区虹中路335弄32号3楼F</t>
  </si>
  <si>
    <t>贾勤安</t>
  </si>
  <si>
    <t>南码头路1521弄1号401</t>
  </si>
  <si>
    <t>蒋红芳</t>
  </si>
  <si>
    <t>奉贤区胡凉公路1299号2幢</t>
  </si>
  <si>
    <t>浦东苗圃路600弄11号101</t>
  </si>
  <si>
    <t>松江区陆家圈路168弄135号302室</t>
  </si>
  <si>
    <t>浦东南阳径路287弄4号201</t>
  </si>
  <si>
    <t>朱家角古镇古北香172号</t>
  </si>
  <si>
    <t>吉浦路375弄36号203</t>
  </si>
  <si>
    <t>东新路99弄25号楼2902室</t>
  </si>
  <si>
    <t>高一峰</t>
  </si>
  <si>
    <t>漕宝路1555弄大上海国际花园1区6号401</t>
  </si>
  <si>
    <t>王泽伟</t>
  </si>
  <si>
    <t>虹口区4号2202</t>
  </si>
  <si>
    <t>任建忠</t>
  </si>
  <si>
    <t>金山区梅州新村129号301</t>
  </si>
  <si>
    <t>0000472</t>
  </si>
  <si>
    <t>孙瑶</t>
  </si>
  <si>
    <t>宝山区阴曲路1111弄77号201</t>
  </si>
  <si>
    <t>0002908</t>
  </si>
  <si>
    <t>付长刚</t>
  </si>
  <si>
    <t>新德西路508弄舒馨北苑26号202</t>
  </si>
  <si>
    <t>0002501</t>
  </si>
  <si>
    <t>李海</t>
  </si>
  <si>
    <t>闵行区山花路108弄44号502</t>
  </si>
  <si>
    <t>0001333</t>
  </si>
  <si>
    <t>汪海刚</t>
  </si>
  <si>
    <t>绿地天呈6号301</t>
  </si>
  <si>
    <t>陆仁杰</t>
  </si>
  <si>
    <t>永豪路775弄97号102</t>
  </si>
  <si>
    <t>徐汇区凯旋路1688弄1号2902</t>
  </si>
  <si>
    <t>王芸芸</t>
  </si>
  <si>
    <t>杨浦区中原路160弄24号201</t>
  </si>
  <si>
    <t>左娜</t>
  </si>
  <si>
    <t>浦东新区康达路118弄9-401</t>
  </si>
  <si>
    <t>陈玉</t>
  </si>
  <si>
    <t>惠南镇宝业万华城27号101</t>
  </si>
  <si>
    <t>钱蒙辉</t>
  </si>
  <si>
    <t>富坤时代公馆2号1803</t>
  </si>
  <si>
    <t>青浦区和瑞东苑4号1304</t>
  </si>
  <si>
    <t>杨立</t>
  </si>
  <si>
    <t>梅陇四村91号1402</t>
  </si>
  <si>
    <t>王晓洁</t>
  </si>
  <si>
    <t>浦东新区东方路1663弄9号502</t>
  </si>
  <si>
    <t>丁士超</t>
  </si>
  <si>
    <t>殷行路451弄11号402</t>
  </si>
  <si>
    <t>浦东新区浦煤新村13号401</t>
  </si>
  <si>
    <t>黄翠连</t>
  </si>
  <si>
    <t>蔷薇九里467号</t>
  </si>
  <si>
    <t>江中杰</t>
  </si>
  <si>
    <t>杨浦区河间路827弄23号302</t>
  </si>
  <si>
    <t>清真路58弄5号302室</t>
  </si>
  <si>
    <t>万源路400弄29号501室</t>
  </si>
  <si>
    <t>周文萍</t>
  </si>
  <si>
    <t>古北荣华东道48号雅典1302室</t>
  </si>
  <si>
    <t>七宝青年路369弄14号101室</t>
  </si>
  <si>
    <t>普陀区清涧路68弄47号503室</t>
  </si>
  <si>
    <t>宝山区菊太路1198弄27号1603室</t>
  </si>
  <si>
    <t>0000474</t>
  </si>
  <si>
    <t>潘红</t>
  </si>
  <si>
    <t>陆翔路1018弄6号楼1222室</t>
  </si>
  <si>
    <t>0000095</t>
  </si>
  <si>
    <t>宋世军</t>
  </si>
  <si>
    <t>碧波路49号4号402</t>
  </si>
  <si>
    <t>吴爱萍</t>
  </si>
  <si>
    <t>龙安佳苑七号楼一单元201</t>
  </si>
  <si>
    <t>秦瑛</t>
  </si>
  <si>
    <t>江浦路740弄5号401</t>
  </si>
  <si>
    <t>李易凡</t>
  </si>
  <si>
    <t>嘉定区叶城路505弄63号302</t>
  </si>
  <si>
    <t>0004043</t>
  </si>
  <si>
    <t>陆亮</t>
  </si>
  <si>
    <t>月台路555弄62号</t>
  </si>
  <si>
    <t>0002909</t>
  </si>
  <si>
    <t>永泰路208弄21号1101</t>
  </si>
  <si>
    <t>00002558</t>
  </si>
  <si>
    <t>王林</t>
  </si>
  <si>
    <t>长宁区协和路239弄12号1102</t>
  </si>
  <si>
    <t>张晓音</t>
  </si>
  <si>
    <t>宝山区淞南三村178号301</t>
  </si>
  <si>
    <t>白冰洋</t>
  </si>
  <si>
    <t>商城路108弄汇豪天下7号1602</t>
  </si>
  <si>
    <t>0000710</t>
  </si>
  <si>
    <t>宝山区阳曲路1388弄25号401</t>
  </si>
  <si>
    <t>0002562</t>
  </si>
  <si>
    <t>陈深森</t>
  </si>
  <si>
    <t>场北路39弄40号301</t>
  </si>
  <si>
    <t>0000711</t>
  </si>
  <si>
    <t>松江区泗宝路458弄3号1202</t>
  </si>
  <si>
    <t>0000473</t>
  </si>
  <si>
    <t>周逸杰</t>
  </si>
  <si>
    <t>187214016498</t>
  </si>
  <si>
    <t>宝山区宝南路22弄133号901</t>
  </si>
  <si>
    <t>0002559</t>
  </si>
  <si>
    <t>金良省</t>
  </si>
  <si>
    <t>浦东区商城路21号1902</t>
  </si>
  <si>
    <t>0001578</t>
  </si>
  <si>
    <t>边宝华</t>
  </si>
  <si>
    <t>普陀区100弄88号1701</t>
  </si>
  <si>
    <t>康晨</t>
  </si>
  <si>
    <t>浦东区川周公路4293弄29号302</t>
  </si>
  <si>
    <t>0002563</t>
  </si>
  <si>
    <t>成琳</t>
  </si>
  <si>
    <t>长宁区长宁路1666弄5号1401</t>
  </si>
  <si>
    <t>0003809</t>
  </si>
  <si>
    <t>静安区宝昌路659弄1号501</t>
  </si>
  <si>
    <t>0002561</t>
  </si>
  <si>
    <t>沈光</t>
  </si>
  <si>
    <t>闵行区颖兴路345弄59号502</t>
  </si>
  <si>
    <t>张建东</t>
  </si>
  <si>
    <t>静安区浦宝路44弄17号301</t>
  </si>
  <si>
    <t>0000468</t>
  </si>
  <si>
    <t>许菁</t>
  </si>
  <si>
    <t>杨浦区营口路789弄26号101</t>
  </si>
  <si>
    <t>0000098</t>
  </si>
  <si>
    <t>叶彤</t>
  </si>
  <si>
    <t>浦东新区海鸣路98弄30号104</t>
  </si>
  <si>
    <t>徐拯</t>
  </si>
  <si>
    <t>杨浦区政道路240弄29号101</t>
  </si>
  <si>
    <t>钱其江</t>
  </si>
  <si>
    <t>长宁区定西路1310弄18号1702</t>
  </si>
  <si>
    <t>徐雯君</t>
  </si>
  <si>
    <t>虹口区赤峰路365弄密三小区17号602</t>
  </si>
  <si>
    <t>高圣巍</t>
  </si>
  <si>
    <t>浦东新区沪南路3468弄139号302</t>
  </si>
  <si>
    <t>孙俊杰</t>
  </si>
  <si>
    <t>浦东新区环桥路1137弄12号1001</t>
  </si>
  <si>
    <t>冯呈楠</t>
  </si>
  <si>
    <t>松江区泗宝路458弄3号1301</t>
  </si>
  <si>
    <t>李鸣宇</t>
  </si>
  <si>
    <t>青浦区新凤中路899弄恒文星尚湾2号楼1204</t>
  </si>
  <si>
    <t>董小姐</t>
  </si>
  <si>
    <t>闵行区莘庄镇莘松路470弄莘松四村87号102</t>
  </si>
  <si>
    <t>陈晨</t>
  </si>
  <si>
    <t>长宁区380弄11-201</t>
  </si>
  <si>
    <t>0002898</t>
  </si>
  <si>
    <t>唐旻</t>
  </si>
  <si>
    <t>静安区海防路58弄11号301</t>
  </si>
  <si>
    <t>胡何涛</t>
  </si>
  <si>
    <t>浦东环林东路879弄103号201</t>
  </si>
  <si>
    <t>朱凤娟</t>
  </si>
  <si>
    <t>宝山区宝林一村2号302</t>
  </si>
  <si>
    <t>0001986</t>
  </si>
  <si>
    <t>焦晨雪</t>
  </si>
  <si>
    <t>浦东区莱阳路880弄63号402</t>
  </si>
  <si>
    <t>崇明区庙南村417号</t>
  </si>
  <si>
    <t>0002569</t>
  </si>
  <si>
    <t>罗锦娜</t>
  </si>
  <si>
    <t>杨浦区国和二村104号504</t>
  </si>
  <si>
    <t>0002564</t>
  </si>
  <si>
    <t>苏洛辉</t>
  </si>
  <si>
    <t>浦东新区桃林路299弄38号2201</t>
  </si>
  <si>
    <t>0002570</t>
  </si>
  <si>
    <t>庄迅</t>
  </si>
  <si>
    <t>闵行区罗秀路1955弄26号801</t>
  </si>
  <si>
    <t>0001559</t>
  </si>
  <si>
    <t>周蕾</t>
  </si>
  <si>
    <t>闵行区莘南花苑一村122号101</t>
  </si>
  <si>
    <t>0002009</t>
  </si>
  <si>
    <t>林杰</t>
  </si>
  <si>
    <t>浦东新区南码头路1349弄17号302</t>
  </si>
  <si>
    <t>竺佳麒</t>
  </si>
  <si>
    <t>虹口区300弄1号401</t>
  </si>
  <si>
    <t>李美燕</t>
  </si>
  <si>
    <t>昆山市花桥曹浦路188弄40号802</t>
  </si>
  <si>
    <t>0000127</t>
  </si>
  <si>
    <t>梁凌轩</t>
  </si>
  <si>
    <t>嘉定区金耀南路300弄6号1201</t>
  </si>
  <si>
    <t>0000126</t>
  </si>
  <si>
    <t>黄舒</t>
  </si>
  <si>
    <t>静安区669弄盛源家豪城19号2201</t>
  </si>
  <si>
    <t>0000910</t>
  </si>
  <si>
    <t>周箐</t>
  </si>
  <si>
    <t>闵行区都市路399弄553号</t>
  </si>
  <si>
    <t>0002503</t>
  </si>
  <si>
    <t>闵行区浦江镇永跃路550弄38号1001</t>
  </si>
  <si>
    <t>0002566</t>
  </si>
  <si>
    <t>向宇</t>
  </si>
  <si>
    <t>长宁区2088弄6号1802</t>
  </si>
  <si>
    <t>张肖菁</t>
  </si>
  <si>
    <t>涞亭北路99弄157号401</t>
  </si>
  <si>
    <t>浦东新区晨阳西路150弄26号501</t>
  </si>
  <si>
    <t>王丹</t>
  </si>
  <si>
    <t>浦东新区双桥路1108弄26号502</t>
  </si>
  <si>
    <t>周汭宁</t>
  </si>
  <si>
    <t>大田路129弄A栋16C</t>
  </si>
  <si>
    <t>张龙</t>
  </si>
  <si>
    <t>河间路827弄5号102室</t>
  </si>
  <si>
    <t>0003501</t>
  </si>
  <si>
    <t>蒋廷达</t>
  </si>
  <si>
    <t>闵行区666弄22号402</t>
  </si>
  <si>
    <t>方富安</t>
  </si>
  <si>
    <t>宝山区联泰路518弄富华苑小区320号501室</t>
  </si>
  <si>
    <t>刘刚</t>
  </si>
  <si>
    <t>闵行区万科163-1103</t>
  </si>
  <si>
    <t>张风雷</t>
  </si>
  <si>
    <t>闵行区浦江镇雪南路369弄17号101室</t>
  </si>
  <si>
    <t>金山前河路9号701</t>
  </si>
  <si>
    <t>0001835</t>
  </si>
  <si>
    <t>蔡伟虹</t>
  </si>
  <si>
    <t>上海市青浦区秀泉路551弄1号楼101室</t>
  </si>
  <si>
    <t>0003499</t>
  </si>
  <si>
    <r>
      <rPr>
        <sz val="9"/>
        <rFont val="宋体"/>
        <charset val="134"/>
      </rPr>
      <t>马</t>
    </r>
    <r>
      <rPr>
        <sz val="9"/>
        <color rgb="FF000000"/>
        <rFont val="微软雅黑"/>
        <charset val="134"/>
      </rPr>
      <t>兆义</t>
    </r>
  </si>
  <si>
    <t>松江区1401号</t>
  </si>
  <si>
    <t>0003500</t>
  </si>
  <si>
    <t>陈迪</t>
  </si>
  <si>
    <t>真北路4333弄51号902</t>
  </si>
  <si>
    <t>金汇路460弄16号201</t>
  </si>
  <si>
    <t>高娟文</t>
  </si>
  <si>
    <t>奉贤区47-302</t>
  </si>
  <si>
    <r>
      <rPr>
        <sz val="9"/>
        <rFont val="宋体"/>
        <charset val="134"/>
      </rPr>
      <t>白</t>
    </r>
    <r>
      <rPr>
        <sz val="9"/>
        <color rgb="FF000000"/>
        <rFont val="微软雅黑"/>
        <charset val="134"/>
      </rPr>
      <t>少</t>
    </r>
    <r>
      <rPr>
        <sz val="9"/>
        <color rgb="FF000000"/>
        <rFont val="微软雅黑"/>
        <charset val="134"/>
      </rPr>
      <t>卿</t>
    </r>
  </si>
  <si>
    <t>普陀区车站新村59号1601室</t>
  </si>
  <si>
    <r>
      <rPr>
        <sz val="9"/>
        <rFont val="宋体"/>
        <charset val="134"/>
      </rPr>
      <t>蒋徐</t>
    </r>
    <r>
      <rPr>
        <sz val="9"/>
        <color rgb="FF000000"/>
        <rFont val="微软雅黑"/>
        <charset val="134"/>
      </rPr>
      <t>佳</t>
    </r>
  </si>
  <si>
    <t>杨浦政府路61弄7号302室</t>
  </si>
  <si>
    <t>王光健</t>
  </si>
  <si>
    <t>宝山区宝林路377弄3号601</t>
  </si>
  <si>
    <t>闵行区报春路488弄30号403</t>
  </si>
  <si>
    <t>杨俊</t>
  </si>
  <si>
    <t>闵行区金汇路518弄5号402</t>
  </si>
  <si>
    <t>杜丽丽</t>
  </si>
  <si>
    <t>梅陇十村17号502</t>
  </si>
  <si>
    <t>汪嘉婷</t>
  </si>
  <si>
    <t>陕西南路333弄5号1803室</t>
  </si>
  <si>
    <t>松江区谷阳北路2388弄九龙仓100-304</t>
  </si>
  <si>
    <t>闵行区罗阳一村121号101室</t>
  </si>
  <si>
    <t>羽山路600弄17号901</t>
  </si>
  <si>
    <t>枣庄路810弄6号602室</t>
  </si>
  <si>
    <t>鹤韵路549弄4号403</t>
  </si>
  <si>
    <t>虹口东体青会路657弄38-401室</t>
  </si>
  <si>
    <t>徐汇区天钥桥路191弄1号楼1603室</t>
  </si>
  <si>
    <t>展凌路236号701</t>
  </si>
  <si>
    <t>宝山区场北路669弄15号401</t>
  </si>
  <si>
    <t>新场镇新环北路1080弄17号1202室</t>
  </si>
  <si>
    <t>李霞</t>
  </si>
  <si>
    <t>静安区华山路1038弄6号2902室</t>
  </si>
  <si>
    <t>胡艳</t>
  </si>
  <si>
    <t>绿地天呈79号101室</t>
  </si>
  <si>
    <t>九亭镇伴亭路855弄2号1104</t>
  </si>
  <si>
    <t>长宁区平塘路408弄26号103</t>
  </si>
  <si>
    <t>前哨路288弄39号601</t>
  </si>
  <si>
    <r>
      <rPr>
        <sz val="9"/>
        <rFont val="宋体"/>
        <charset val="134"/>
      </rPr>
      <t>郭</t>
    </r>
    <r>
      <rPr>
        <sz val="14.25"/>
        <color indexed="8"/>
        <rFont val="微软雅黑"/>
        <charset val="134"/>
      </rPr>
      <t>霙皘</t>
    </r>
  </si>
  <si>
    <t>虹口区同心路649弄6号101室</t>
  </si>
  <si>
    <t>浦东临夏路8弄36号302</t>
  </si>
  <si>
    <t>嘉定南翔芳林路1357号90号</t>
  </si>
  <si>
    <t>浦东环龙路259弄6号1202室</t>
  </si>
  <si>
    <t>徐汇区柳州路600弄4号807</t>
  </si>
  <si>
    <t>汶水路77弄2号308</t>
  </si>
  <si>
    <t>徐汇区漕溪路125弄12号201</t>
  </si>
  <si>
    <t>倪进</t>
  </si>
  <si>
    <t>黄浦区河南南路398弄3号207室</t>
  </si>
  <si>
    <t>0004404</t>
  </si>
  <si>
    <t>杜京坤</t>
  </si>
  <si>
    <t>张杨路1050-3-107</t>
  </si>
  <si>
    <t>0004405</t>
  </si>
  <si>
    <t>王安</t>
  </si>
  <si>
    <t>浦东灵山路1390弄1号502</t>
  </si>
  <si>
    <t>0004402</t>
  </si>
  <si>
    <t>张玉洁</t>
  </si>
  <si>
    <t>徐汇区宛南四村52301</t>
  </si>
  <si>
    <t>杨琛刚</t>
  </si>
  <si>
    <t>闵行区富国路199弄26-401</t>
  </si>
  <si>
    <t>李弘毅</t>
  </si>
  <si>
    <t>长宁区威宁路458弄天山华庭9号1004</t>
  </si>
  <si>
    <t>0002116</t>
  </si>
  <si>
    <t>杨文</t>
  </si>
  <si>
    <t>浦东新区柏澜晶舍10号402</t>
  </si>
  <si>
    <t>唐晴</t>
  </si>
  <si>
    <t>贺桥公寓10楼201</t>
  </si>
  <si>
    <t>浦东新区严木桥路198弄6号602</t>
  </si>
  <si>
    <t>0000714</t>
  </si>
  <si>
    <t>钱芳</t>
  </si>
  <si>
    <t>长宁区长宁路1188弄8号3580</t>
  </si>
  <si>
    <t>彭刚</t>
  </si>
  <si>
    <t>丁香路1299弄8号1301</t>
  </si>
  <si>
    <t>0002391</t>
  </si>
  <si>
    <t>青浦区大发融悦12号602室</t>
  </si>
  <si>
    <t>沪青平公路6101弄47号602</t>
  </si>
  <si>
    <t>0002389</t>
  </si>
  <si>
    <t>0002388</t>
  </si>
  <si>
    <t>0004045</t>
  </si>
  <si>
    <t>张水仙</t>
  </si>
  <si>
    <t>松建路339弄34号201</t>
  </si>
  <si>
    <t>杜沉雁</t>
  </si>
  <si>
    <t>闵行区松江东路2899弄6号701</t>
  </si>
  <si>
    <t>丁凯</t>
  </si>
  <si>
    <t>浦东周星路500弄31号103</t>
  </si>
  <si>
    <t>徐知皓</t>
  </si>
  <si>
    <t>东安一村34号401</t>
  </si>
  <si>
    <t>朱晨</t>
  </si>
  <si>
    <t>闵行区汇臻路815弄27号1702</t>
  </si>
  <si>
    <t>唐思炜</t>
  </si>
  <si>
    <t>长兴路168弄8号7802</t>
  </si>
  <si>
    <t>俞言</t>
  </si>
  <si>
    <t>虹梅路3333号Ａ21-6</t>
  </si>
  <si>
    <t>奉贤区富竹路39弄70号102室</t>
  </si>
  <si>
    <t>肖堂如</t>
  </si>
  <si>
    <t>宝山区长临路1318弄42号702</t>
  </si>
  <si>
    <t>闵行区顾戴路1199弄72-201</t>
  </si>
  <si>
    <t>宝山区宝山九村26号103室</t>
  </si>
  <si>
    <t>黄杰</t>
  </si>
  <si>
    <t>保利御尊苑92号</t>
  </si>
  <si>
    <t>柳埠路196弄5号402</t>
  </si>
  <si>
    <t>杨高南路3340弄23号303室</t>
  </si>
  <si>
    <t>浦东牡丹路399弄22号401室</t>
  </si>
  <si>
    <t>虹桥路168弄8号1701室</t>
  </si>
  <si>
    <t>虹口区临平北路60弄8号603</t>
  </si>
  <si>
    <t>佳小姐</t>
  </si>
  <si>
    <t>东汉花园1869号</t>
  </si>
  <si>
    <t>董旦旦</t>
  </si>
  <si>
    <t>东体育会路100弄2号506室</t>
  </si>
  <si>
    <t>周凌峰</t>
  </si>
  <si>
    <t>南汇区先新路1058弄15号602室</t>
  </si>
  <si>
    <t>11月20号</t>
  </si>
  <si>
    <t>0001580</t>
  </si>
  <si>
    <t>张国香</t>
  </si>
  <si>
    <t>杨浦区国和路30号201室</t>
  </si>
  <si>
    <t>0000477</t>
  </si>
  <si>
    <t>张萍</t>
  </si>
  <si>
    <t>崇明区7号101室</t>
  </si>
  <si>
    <t>0000125</t>
  </si>
  <si>
    <t>孙琳琳</t>
  </si>
  <si>
    <t>钱晓明</t>
  </si>
  <si>
    <t>普陀区金沙江路177号601室</t>
  </si>
  <si>
    <t>0000476</t>
  </si>
  <si>
    <t>陈倩</t>
  </si>
  <si>
    <t>杨浦区延吉一楼13号501室</t>
  </si>
  <si>
    <t>0000478</t>
  </si>
  <si>
    <t>钟坚</t>
  </si>
  <si>
    <t>宝山区恒高路83弄99号104室</t>
  </si>
  <si>
    <t>徐玉鲲</t>
  </si>
  <si>
    <t>闵行区山花路65弄34号101室</t>
  </si>
  <si>
    <t>王凯波</t>
  </si>
  <si>
    <t>宝山区通河九村78号301</t>
  </si>
  <si>
    <t>施明</t>
  </si>
  <si>
    <t>崇明区909</t>
  </si>
  <si>
    <t>杨科</t>
  </si>
  <si>
    <t>嘉定区德富路900弄4号301室</t>
  </si>
  <si>
    <t>朱庆宏</t>
  </si>
  <si>
    <t>文定路168弄东方曼哈顿3号3502室</t>
  </si>
  <si>
    <t>御云路100弄18号1602室</t>
  </si>
  <si>
    <t>汤翔</t>
  </si>
  <si>
    <t>松江区伴亭路855弄1号1604室</t>
  </si>
  <si>
    <t>湖畔三期33号</t>
  </si>
  <si>
    <t>松江区新桥镇明中路1777弄16号604室</t>
  </si>
  <si>
    <t>徐汇区冠生园路411弄4号202室</t>
  </si>
  <si>
    <t>水泉路99弄9号402室</t>
  </si>
  <si>
    <t>光复西路133弄7号2201室</t>
  </si>
  <si>
    <t>王晓敏</t>
  </si>
  <si>
    <t>虹口区宝山路888弄-1-1205</t>
  </si>
  <si>
    <t>0000130</t>
  </si>
  <si>
    <t>骆振娅</t>
  </si>
  <si>
    <t>浦东区青桐路18弄8号101</t>
  </si>
  <si>
    <t>0000128</t>
  </si>
  <si>
    <t>高海波</t>
  </si>
  <si>
    <t>长宁区凯旋路88弄2号101</t>
  </si>
  <si>
    <t>胡志娟</t>
  </si>
  <si>
    <t>田林四村5号705</t>
  </si>
  <si>
    <t>0002576</t>
  </si>
  <si>
    <t>黄仕依</t>
  </si>
  <si>
    <t>中潭路100弄238号2003</t>
  </si>
  <si>
    <t>0000099</t>
  </si>
  <si>
    <t>普陀区中江路1067弄8号601</t>
  </si>
  <si>
    <t>0000123</t>
  </si>
  <si>
    <t>杨莲</t>
  </si>
  <si>
    <t>长宁区128弄12号402</t>
  </si>
  <si>
    <t>0001582</t>
  </si>
  <si>
    <t>贺安</t>
  </si>
  <si>
    <t>虹口区祥德路500弄4号502</t>
  </si>
  <si>
    <t>0000122</t>
  </si>
  <si>
    <t>汤衣菁</t>
  </si>
  <si>
    <t>长阳路1400弄4号602</t>
  </si>
  <si>
    <t>朱爱勤</t>
  </si>
  <si>
    <t>虹口区凉城路465弄49号601</t>
  </si>
  <si>
    <t>余倩文</t>
  </si>
  <si>
    <t>浦东区海阳路693弄9号913</t>
  </si>
  <si>
    <t>沈国君</t>
  </si>
  <si>
    <t>莲花路1330弄31号802</t>
  </si>
  <si>
    <t>0002577</t>
  </si>
  <si>
    <t>蔡梦嘉</t>
  </si>
  <si>
    <t>嘉定区金鼎路2588弄16号802</t>
  </si>
  <si>
    <t>0002574</t>
  </si>
  <si>
    <t>柴清雄</t>
  </si>
  <si>
    <t>宝山区年吉路100弄14号403</t>
  </si>
  <si>
    <t>杨叶</t>
  </si>
  <si>
    <t>龙美路华欣家园42号601</t>
  </si>
  <si>
    <t>等通知测量</t>
  </si>
  <si>
    <t>吴迪</t>
  </si>
  <si>
    <t>浦东区东明路街道环林东路879弄86号601</t>
  </si>
  <si>
    <t>徐博云</t>
  </si>
  <si>
    <t>浦东新区浦建路1288弄27号502</t>
  </si>
  <si>
    <t>毛悦</t>
  </si>
  <si>
    <t>闵行区宁虹路1101弄92号601</t>
  </si>
  <si>
    <t>徐仲石</t>
  </si>
  <si>
    <t>靖宇东路58-16-403</t>
  </si>
  <si>
    <t>姚婷</t>
  </si>
  <si>
    <t>泗泾镇泽悦路212弄4号702</t>
  </si>
  <si>
    <t>王丽萍</t>
  </si>
  <si>
    <t>开鲁路382弄53号401</t>
  </si>
  <si>
    <t>刘德铭</t>
  </si>
  <si>
    <t>浦东浦城路99弄11号2002</t>
  </si>
  <si>
    <t>白光旭</t>
  </si>
  <si>
    <t>闵行区马桥富国路199弄11号702</t>
  </si>
  <si>
    <t>李逸君</t>
  </si>
  <si>
    <t>闵行区莘潭路588弄22号302</t>
  </si>
  <si>
    <t>范立娟</t>
  </si>
  <si>
    <t>宝山何家湾路111弄3号1607</t>
  </si>
  <si>
    <t>闵行区浦锦街道浦秀路765弄1号301</t>
  </si>
  <si>
    <t>浦东新区佳乐路77弄7号702室</t>
  </si>
  <si>
    <t>康衫路386弄5号602</t>
  </si>
  <si>
    <t>浦城路366弄11号402</t>
  </si>
  <si>
    <t>闵行区福田路199-15-1401室</t>
  </si>
  <si>
    <t>浦江镇浦连路789弄12号803室</t>
  </si>
  <si>
    <t>浦东新区惠南镇拱北路289弄17幢1501</t>
  </si>
  <si>
    <t>伴亭路855号35号401</t>
  </si>
  <si>
    <t>嘉定区北安德路255弄16号</t>
  </si>
  <si>
    <t>长寿路西康路1518-16-2002</t>
  </si>
  <si>
    <t>15921094320</t>
  </si>
  <si>
    <t>羽山路998弄17号1102</t>
  </si>
  <si>
    <t>唐燕</t>
  </si>
  <si>
    <t>杨浦区国权东路99弄31号401室</t>
  </si>
  <si>
    <t>0001863</t>
  </si>
  <si>
    <t>刘庆丰</t>
  </si>
  <si>
    <t>长乐路588弄33号602</t>
  </si>
  <si>
    <t>王娴婷</t>
  </si>
  <si>
    <t>石龙路33弄56号401</t>
  </si>
  <si>
    <t>胡美平</t>
  </si>
  <si>
    <t>闵行区银春路1799弄145号1001</t>
  </si>
  <si>
    <t>杨国涛</t>
  </si>
  <si>
    <t>闵行区富都路111弄17号202</t>
  </si>
  <si>
    <t>郑裕华</t>
  </si>
  <si>
    <t>镇宁路405弄31号1楼</t>
  </si>
  <si>
    <t>0000400</t>
  </si>
  <si>
    <t>青浦区嘉松公路6888弄63号101</t>
  </si>
  <si>
    <t>陆卫平</t>
  </si>
  <si>
    <t>宝山区真金路1039弄55号102</t>
  </si>
  <si>
    <t>0002578</t>
  </si>
  <si>
    <t>杨青沚</t>
  </si>
  <si>
    <t>普陀区真华路388弄24号2302</t>
  </si>
  <si>
    <t>刘桂林</t>
  </si>
  <si>
    <t>徐汇区灌河泾街道田东路258弄7号1002</t>
  </si>
  <si>
    <t>周二测</t>
  </si>
  <si>
    <t>0004403</t>
  </si>
  <si>
    <t>褚南轩</t>
  </si>
  <si>
    <t>霍香路238弄20号402</t>
  </si>
  <si>
    <t>0004401</t>
  </si>
  <si>
    <t>浦东樱花路515弄1号301</t>
  </si>
  <si>
    <t>0002870</t>
  </si>
  <si>
    <t>陈效</t>
  </si>
  <si>
    <t>青浦区孟将堂路188弄13号101</t>
  </si>
  <si>
    <t>0000768</t>
  </si>
  <si>
    <t>梅嘉</t>
  </si>
  <si>
    <t>黄浦区打浦路38弄1号28F</t>
  </si>
  <si>
    <t>0002392</t>
  </si>
  <si>
    <t>杜依琳</t>
  </si>
  <si>
    <t>黄雪根</t>
  </si>
  <si>
    <t>秦安公寓5期73号201</t>
  </si>
  <si>
    <t>古月</t>
  </si>
  <si>
    <t>黄浦区瑞金南路185弄3号203</t>
  </si>
  <si>
    <t>曹静</t>
  </si>
  <si>
    <t>浦东大道2346号203</t>
  </si>
  <si>
    <t>杨伟金</t>
  </si>
  <si>
    <t>军工路1701号4号402</t>
  </si>
  <si>
    <t>黄毅</t>
  </si>
  <si>
    <t>松江区明中路275弄311号</t>
  </si>
  <si>
    <t>刘春玲</t>
  </si>
  <si>
    <t>羽山路1445弄6号601</t>
  </si>
  <si>
    <t>李元奎</t>
  </si>
  <si>
    <t>龙阳路1211弄2号202</t>
  </si>
  <si>
    <t>赵梦雅</t>
  </si>
  <si>
    <t>宝山区丰皓路633弄58号102</t>
  </si>
  <si>
    <t>奉贤区绿地香颂578号</t>
  </si>
  <si>
    <t>启宁路421弄8号1804</t>
  </si>
  <si>
    <t>徐汇区宜山路518弄4号1606</t>
  </si>
  <si>
    <t>上海虹口区株洲路300弄11号601</t>
  </si>
  <si>
    <t>海鸣路98弄16号1203</t>
  </si>
  <si>
    <t>泽普路588弄49号1801</t>
  </si>
  <si>
    <t>松江颐景园陈公路518弄636号</t>
  </si>
  <si>
    <t>林士</t>
  </si>
  <si>
    <t>静安区太阳山路78弄2号2003室</t>
  </si>
  <si>
    <t>0002835</t>
  </si>
  <si>
    <t>乔千生</t>
  </si>
  <si>
    <t>闵行区春申路3355弄1号704室</t>
  </si>
  <si>
    <t>松江区伴亭路855弄2号1603室</t>
  </si>
  <si>
    <t>朱延军</t>
  </si>
  <si>
    <t>长宁区虹井路888弄1号902室</t>
  </si>
  <si>
    <t>0002508</t>
  </si>
  <si>
    <t>陈麒麟</t>
  </si>
  <si>
    <t>闵行区莘庄镇路56号101</t>
  </si>
  <si>
    <t>陆燕青</t>
  </si>
  <si>
    <t>浦东新区园二路295弄18号502室</t>
  </si>
  <si>
    <t>0002509</t>
  </si>
  <si>
    <t>窦佳妮</t>
  </si>
  <si>
    <t>闵行区疏影路711弄13号401</t>
  </si>
  <si>
    <t>虹口区旅顺路199弄4号2101</t>
  </si>
  <si>
    <t>蔡青</t>
  </si>
  <si>
    <t>浦东北艾路1077弄29号501</t>
  </si>
  <si>
    <t>0000450</t>
  </si>
  <si>
    <t>朱逵</t>
  </si>
  <si>
    <t xml:space="preserve">上海市松江区沪松公路818弄 </t>
  </si>
  <si>
    <t>吴景行/沈爱凤</t>
  </si>
  <si>
    <t>金汇路588弄19号701室</t>
  </si>
  <si>
    <t>陈楠楠</t>
  </si>
  <si>
    <t>徐汇区柳州路600弄2号307室</t>
  </si>
  <si>
    <t>陈晔婷</t>
  </si>
  <si>
    <t>浦东区云端路1565弄50号401室</t>
  </si>
  <si>
    <t>0001804</t>
  </si>
  <si>
    <t>董元佳</t>
  </si>
  <si>
    <t>浦东77弄22号701</t>
  </si>
  <si>
    <t>0001805</t>
  </si>
  <si>
    <t>陈立敏</t>
  </si>
  <si>
    <t>浦东新区航瑞路459弄12号902</t>
  </si>
  <si>
    <t>高文捷</t>
  </si>
  <si>
    <t>宝山区华灵路201弄21号101</t>
  </si>
  <si>
    <t>华顺弟</t>
  </si>
  <si>
    <t>阳光工期27号202</t>
  </si>
  <si>
    <t>倪少华</t>
  </si>
  <si>
    <t>虹口区车站北路500弄32号402室</t>
  </si>
  <si>
    <t>蒋洋</t>
  </si>
  <si>
    <t>腾冲路50弄35号201室</t>
  </si>
  <si>
    <t>阮家敏</t>
  </si>
  <si>
    <t>普陀区香泉路85弄31号502室</t>
  </si>
  <si>
    <t>0055949</t>
  </si>
  <si>
    <t>蒋莲明</t>
  </si>
  <si>
    <t>阳光家园26号1601室</t>
  </si>
  <si>
    <t>0000220</t>
  </si>
  <si>
    <t>古北尚都1302室</t>
  </si>
  <si>
    <t>嘉翔苑10-502</t>
  </si>
  <si>
    <t>钱慧</t>
  </si>
  <si>
    <t>金沙江路1698弄6-2504</t>
  </si>
  <si>
    <t>董伟</t>
  </si>
  <si>
    <t>杨浦区中原路28弄4号1202室</t>
  </si>
  <si>
    <t>彭礼豪</t>
  </si>
  <si>
    <t>上丰路1483号金融家63号601室</t>
  </si>
  <si>
    <t>江浦路1100弄15号1301室</t>
  </si>
  <si>
    <t>杨浦区长阳路1318弄59号702</t>
  </si>
  <si>
    <t>上海市闵行区汇臻路815弄瑞和城</t>
  </si>
  <si>
    <t>李华波</t>
  </si>
  <si>
    <t>马当路588弄3号1301</t>
  </si>
  <si>
    <t>浦东新区上浦路355弄8号502室</t>
  </si>
  <si>
    <t>0001806</t>
  </si>
  <si>
    <t>林孜</t>
  </si>
  <si>
    <t>宝山区顾桥镇菊盛路50号爱建国30号楼1104</t>
  </si>
  <si>
    <t>杨慧云</t>
  </si>
  <si>
    <t>江苏路54弄26号3楼</t>
  </si>
  <si>
    <t>佘超南</t>
  </si>
  <si>
    <t>长宁区万航路2525弄虹桥苑小区8号902室</t>
  </si>
  <si>
    <t>葛东宇</t>
  </si>
  <si>
    <t>沪闵路1111弄11号902室</t>
  </si>
  <si>
    <t>0002833</t>
  </si>
  <si>
    <t>杜伟</t>
  </si>
  <si>
    <t>铃兰路508弄126号101室</t>
  </si>
  <si>
    <t>张一</t>
  </si>
  <si>
    <t>松江区伴亭路855弄象屿虹桥小区24号904室</t>
  </si>
  <si>
    <t>秦淇</t>
  </si>
  <si>
    <t>乳山路200弄35号301室</t>
  </si>
  <si>
    <t>0001866</t>
  </si>
  <si>
    <t>孙晓晓</t>
  </si>
  <si>
    <t>平型关路1899弄19号401室</t>
  </si>
  <si>
    <t>其他</t>
  </si>
  <si>
    <t>庄骏</t>
  </si>
  <si>
    <t>闵行区江路500弄花桥陈二期胸前区47号402</t>
  </si>
  <si>
    <t>罗银萍</t>
  </si>
  <si>
    <t>杨新路282弄2号302</t>
  </si>
  <si>
    <t>0001864</t>
  </si>
  <si>
    <t>长宁区新华路569弄1号1503室</t>
  </si>
  <si>
    <t>0001867</t>
  </si>
  <si>
    <t>周璞</t>
  </si>
  <si>
    <t>浦东新区北园路258弄东方红星苑7号302室</t>
  </si>
  <si>
    <t>00001336</t>
  </si>
  <si>
    <t>王保红</t>
  </si>
  <si>
    <t>天悦弯碧</t>
  </si>
  <si>
    <t>2019.12.9</t>
  </si>
  <si>
    <t>00001992</t>
  </si>
  <si>
    <t>孙任东</t>
  </si>
  <si>
    <t>178弄6号801室</t>
  </si>
  <si>
    <t>没有这个客户</t>
  </si>
  <si>
    <t>沈楷翔</t>
  </si>
  <si>
    <t>松江谷阳北路2388弄16号104</t>
  </si>
  <si>
    <t>董鸣杰</t>
  </si>
  <si>
    <t>黄浦区溪路120弄114号101室</t>
  </si>
  <si>
    <t>干慧敏</t>
  </si>
  <si>
    <t>金山区2089号</t>
  </si>
  <si>
    <t>0001010</t>
  </si>
  <si>
    <t>吴剑婷</t>
  </si>
  <si>
    <t>青浦区289弄2号304室</t>
  </si>
  <si>
    <t>0001335</t>
  </si>
  <si>
    <t>姚瑞微</t>
  </si>
  <si>
    <t>420弄14号601室</t>
  </si>
  <si>
    <t>0000101</t>
  </si>
  <si>
    <t>邢雅轩</t>
  </si>
  <si>
    <t>严中路173弄7号303室</t>
  </si>
  <si>
    <t>0001837</t>
  </si>
  <si>
    <t>汪建辉</t>
  </si>
  <si>
    <t>董湾悦末城6号2303室</t>
  </si>
  <si>
    <t>李雅辉</t>
  </si>
  <si>
    <t>固定路597弄91号301室</t>
  </si>
  <si>
    <t>佘秋仙</t>
  </si>
  <si>
    <t>普陀区3725弄1118号502室</t>
  </si>
  <si>
    <t>吉彦超</t>
  </si>
  <si>
    <t>普陀区中潭路33弄7号2901室</t>
  </si>
  <si>
    <t>诸正元</t>
  </si>
  <si>
    <t>浦东惠南镇2638号6号楼101室</t>
  </si>
  <si>
    <t>0001868</t>
  </si>
  <si>
    <t>郑庆洁</t>
  </si>
  <si>
    <t>闵行区269弄20号602室</t>
  </si>
  <si>
    <t>黄崇德</t>
  </si>
  <si>
    <t>上海市中山西路644号502是</t>
  </si>
  <si>
    <t>0000771</t>
  </si>
  <si>
    <t>李华刚</t>
  </si>
  <si>
    <t>杨津区101弄7号1301室</t>
  </si>
  <si>
    <t>王明新</t>
  </si>
  <si>
    <t>118弄9号801</t>
  </si>
  <si>
    <t>亢成威</t>
  </si>
  <si>
    <t>松江区泗泾镇泗宝路458弄6号201室</t>
  </si>
  <si>
    <t>施骏</t>
  </si>
  <si>
    <t>浦东新区431号</t>
  </si>
  <si>
    <t>姚旭明</t>
  </si>
  <si>
    <t>花桥路地大道333弄347号1楼</t>
  </si>
  <si>
    <t>王廷龙</t>
  </si>
  <si>
    <t>闵行区浦驰南路38号14号201</t>
  </si>
  <si>
    <t>柯蓓蕾</t>
  </si>
  <si>
    <t>锦安东路458弄2号502</t>
  </si>
  <si>
    <t>丁铖</t>
  </si>
  <si>
    <t>花桥绿地大道333弄347号</t>
  </si>
  <si>
    <t>0002940</t>
  </si>
  <si>
    <t>候琰春</t>
  </si>
  <si>
    <t>御桥路288弄42号501室</t>
  </si>
  <si>
    <t>0001869</t>
  </si>
  <si>
    <t>叶欣</t>
  </si>
  <si>
    <t>浦东区苑丰路500弄36号602室</t>
  </si>
  <si>
    <t>赵梦姝</t>
  </si>
  <si>
    <t>浦东区901弄78号501</t>
  </si>
  <si>
    <t>朱闯</t>
  </si>
  <si>
    <t>浦东区桃林路299弄35号2602室</t>
  </si>
  <si>
    <t>丁怡雯</t>
  </si>
  <si>
    <t>金山区119号401室</t>
  </si>
  <si>
    <t>汤金辉</t>
  </si>
  <si>
    <t>松江区华莹山路450弄18号1402室</t>
  </si>
  <si>
    <t>0002579</t>
  </si>
  <si>
    <t>高捷文</t>
  </si>
  <si>
    <t>宝山区三门路485弄56号501室</t>
  </si>
  <si>
    <t>0001809</t>
  </si>
  <si>
    <t>郭丹莹</t>
  </si>
  <si>
    <t>红枫路108弄7号1503</t>
  </si>
  <si>
    <t>韩先生</t>
  </si>
  <si>
    <t>华安路368弄16小区201室</t>
  </si>
  <si>
    <t>0002120</t>
  </si>
  <si>
    <t>韩昊辰</t>
  </si>
  <si>
    <t>浦东区成山路2388弄112号2002室</t>
  </si>
  <si>
    <t>顾爱国</t>
  </si>
  <si>
    <t>御桥路2066弄6号1802室</t>
  </si>
  <si>
    <t>0000403</t>
  </si>
  <si>
    <t>李仁凤</t>
  </si>
  <si>
    <t>浦秀路1385弄88号702室</t>
  </si>
  <si>
    <t>0001838</t>
  </si>
  <si>
    <t>陶晓艳</t>
  </si>
  <si>
    <t>青浦区258弄133号</t>
  </si>
  <si>
    <t>0000134</t>
  </si>
  <si>
    <t>卢翊</t>
  </si>
  <si>
    <t>普陀区金沙江路2299弄38小区180</t>
  </si>
  <si>
    <t>王章</t>
  </si>
  <si>
    <t>土城苑19号501室</t>
  </si>
  <si>
    <t>徐感</t>
  </si>
  <si>
    <t>土城苑14号503室</t>
  </si>
  <si>
    <t>叶娜</t>
  </si>
  <si>
    <t>宝山纬地路358弄47-1001室</t>
  </si>
  <si>
    <t>陈青辰</t>
  </si>
  <si>
    <t>静安区万航渡路623弄43号101室</t>
  </si>
  <si>
    <t>庄毅光</t>
  </si>
  <si>
    <t>虹口区虹湾路313弄18号704室</t>
  </si>
  <si>
    <t>宋楚莹</t>
  </si>
  <si>
    <t>徐汇区浦北路948弄7号601室</t>
  </si>
  <si>
    <t>宝山区富联路646弄3号1201室</t>
  </si>
  <si>
    <t>宝山区宝山八村15号501室</t>
  </si>
  <si>
    <t>杨浦区延吉中路118弄20号802室</t>
  </si>
  <si>
    <t>135646777098</t>
  </si>
  <si>
    <t>香颂湾西区26号701</t>
  </si>
  <si>
    <t>漕溪北路750号906室</t>
  </si>
  <si>
    <t>青浦区乐高路191弄30号1004室</t>
  </si>
  <si>
    <t>宝山区菊太路999弄好日子142号201室</t>
  </si>
  <si>
    <t>闵行区古美西路631弄94号301室</t>
  </si>
  <si>
    <t>徐汇区宛平南路388弄5号1701室</t>
  </si>
  <si>
    <t>虹口区海伦路88弄8号901室</t>
  </si>
  <si>
    <t>徐汇区钦江路28弄12号202</t>
  </si>
  <si>
    <t>乔腊梅</t>
  </si>
  <si>
    <t>御龙名邸128弄47号</t>
  </si>
  <si>
    <t>刘业逸</t>
  </si>
  <si>
    <t>康达路118弄7号102</t>
  </si>
  <si>
    <t>王光斌</t>
  </si>
  <si>
    <t>嘉定区宝安公路3636弄7号1201</t>
  </si>
  <si>
    <t>奚祝娟</t>
  </si>
  <si>
    <t>浦东莱阳东路2328弄10号1104</t>
  </si>
  <si>
    <t>汪大鹏</t>
  </si>
  <si>
    <t>浦东新区御桥馨华苑1号401</t>
  </si>
  <si>
    <t>董倩</t>
  </si>
  <si>
    <t>漕宝路1158弄24号1002</t>
  </si>
  <si>
    <t>李钰</t>
  </si>
  <si>
    <t>奉贤</t>
  </si>
  <si>
    <t>李文斌</t>
  </si>
  <si>
    <t>金葵路1315弄32号301</t>
  </si>
  <si>
    <t>0000303</t>
  </si>
  <si>
    <t>田云玲</t>
  </si>
  <si>
    <t>静安区延平路223弄4号2202</t>
  </si>
  <si>
    <t>0003579</t>
  </si>
  <si>
    <t>易化琼</t>
  </si>
  <si>
    <t>龙漕路235弄14号603</t>
  </si>
  <si>
    <t>范女士</t>
  </si>
  <si>
    <t>浦东区58弄</t>
  </si>
  <si>
    <t>0002161</t>
  </si>
  <si>
    <t>王典荣</t>
  </si>
  <si>
    <t>浦东区</t>
  </si>
  <si>
    <t>0000702</t>
  </si>
  <si>
    <t>张晓鑫</t>
  </si>
  <si>
    <t>青浦区86弄71号</t>
  </si>
  <si>
    <t>0002830</t>
  </si>
  <si>
    <t>钱佳芯</t>
  </si>
  <si>
    <t>长宁区延安西路489弄1号605</t>
  </si>
  <si>
    <t>0002796</t>
  </si>
  <si>
    <t>程彤</t>
  </si>
  <si>
    <t>闵行区浦驰路1336弄5号201</t>
  </si>
  <si>
    <t>0002797</t>
  </si>
  <si>
    <t>王武</t>
  </si>
  <si>
    <t>闵行区浦驰路1336弄4号601</t>
  </si>
  <si>
    <t>李可舟</t>
  </si>
  <si>
    <t>浦东区博山东路553弄23号602</t>
  </si>
  <si>
    <t>0002731</t>
  </si>
  <si>
    <t>周莹莹</t>
  </si>
  <si>
    <t>松江区江川南路25弄31号1001</t>
  </si>
  <si>
    <t>冯骥维</t>
  </si>
  <si>
    <t>宝山区殷高西路194号702</t>
  </si>
  <si>
    <t>0002792</t>
  </si>
  <si>
    <t>梁铮</t>
  </si>
  <si>
    <t>普陀区中潭路99弄117号301</t>
  </si>
  <si>
    <t>0000392</t>
  </si>
  <si>
    <t>瞿建</t>
  </si>
  <si>
    <t>青浦区联民路88弄1006-50</t>
  </si>
  <si>
    <t>浦东区明月路188弄5号2303</t>
  </si>
  <si>
    <t>0000135</t>
  </si>
  <si>
    <t>项文姬</t>
  </si>
  <si>
    <t>闵行区繁兴路469弄1号401</t>
  </si>
  <si>
    <t>浦东新区淮坊三村345号301</t>
  </si>
  <si>
    <t>0004034</t>
  </si>
  <si>
    <t>周山</t>
  </si>
  <si>
    <t>伴亭路855弄1号1601</t>
  </si>
  <si>
    <t>0000672</t>
  </si>
  <si>
    <t>王国建</t>
  </si>
  <si>
    <t>闵行区疏影路111弄172号502</t>
  </si>
  <si>
    <t>0000673</t>
  </si>
  <si>
    <t>陈垭</t>
  </si>
  <si>
    <t>闵行区万源路788弄5号1001</t>
  </si>
  <si>
    <t>0002102</t>
  </si>
  <si>
    <t>胡香</t>
  </si>
  <si>
    <t>玉盘北路281弄45-504</t>
  </si>
  <si>
    <t>范宇</t>
  </si>
  <si>
    <t>浦东区台儿庄路579弄3号301</t>
  </si>
  <si>
    <t>卫珏</t>
  </si>
  <si>
    <t>曹杨路2288弄12号301</t>
  </si>
  <si>
    <t>0001810</t>
  </si>
  <si>
    <t>范芳芳</t>
  </si>
  <si>
    <t>浦东新区云娟路833弄4号202</t>
  </si>
  <si>
    <t>0001381</t>
  </si>
  <si>
    <t>袁金凤</t>
  </si>
  <si>
    <t>杨浦区鞍山八村41号206</t>
  </si>
  <si>
    <t>吴锐</t>
  </si>
  <si>
    <t>浦东新区梅园新村46号303</t>
  </si>
  <si>
    <t>张璐冰</t>
  </si>
  <si>
    <t>打浦路303弄1号701</t>
  </si>
  <si>
    <t>毛丽莹</t>
  </si>
  <si>
    <t>虹口区大连西路280弄马华大楼803</t>
  </si>
  <si>
    <t>史明珠</t>
  </si>
  <si>
    <t>银都路666弄27号602</t>
  </si>
  <si>
    <t>孙卫华</t>
  </si>
  <si>
    <t>浦东新区高博路210弄10小区3号303</t>
  </si>
  <si>
    <t>0001295</t>
  </si>
  <si>
    <t>普陀区华阴路152弄秦山二村49号304</t>
  </si>
  <si>
    <t>陕西南路271弄49号1603</t>
  </si>
  <si>
    <t>潘莉莉</t>
  </si>
  <si>
    <t>浦东区浦电路330弄71号101</t>
  </si>
  <si>
    <t>曹迪</t>
  </si>
  <si>
    <t>泽悦路212弄13号902</t>
  </si>
  <si>
    <t>李红霞</t>
  </si>
  <si>
    <t>嘉定区希望路260弄7号804</t>
  </si>
  <si>
    <t>李慧娟</t>
  </si>
  <si>
    <t>闵行区漕宝路1555弄14小区16号502</t>
  </si>
  <si>
    <t>0000132</t>
  </si>
  <si>
    <t>胡思佳</t>
  </si>
  <si>
    <t>中潭路100弄10号1004</t>
  </si>
  <si>
    <t>0003918</t>
  </si>
  <si>
    <t>张英皓</t>
  </si>
  <si>
    <t>杨浦区营口路600号67号501</t>
  </si>
  <si>
    <t>顾启敏</t>
  </si>
  <si>
    <t>普陀区双山路167弄4号楼404</t>
  </si>
  <si>
    <t>程凯</t>
  </si>
  <si>
    <t>宝山区天家路99弄12号1104</t>
  </si>
  <si>
    <t>李瑾</t>
  </si>
  <si>
    <t>平型关路121弄1号2001</t>
  </si>
  <si>
    <t>0002824</t>
  </si>
  <si>
    <t>吴英诚</t>
  </si>
  <si>
    <t>龙湖小区39号201</t>
  </si>
  <si>
    <t>0002822</t>
  </si>
  <si>
    <t>郭正国</t>
  </si>
  <si>
    <t>龙湖天瑛49号601</t>
  </si>
  <si>
    <t>0002825</t>
  </si>
  <si>
    <t>嘉定区爱德佳苑10号1201</t>
  </si>
  <si>
    <t>0002826</t>
  </si>
  <si>
    <t>敖建阳</t>
  </si>
  <si>
    <t>黄家花园998弄龙湖天璞49号1601</t>
  </si>
  <si>
    <t>0002733</t>
  </si>
  <si>
    <t>嘉定区阿克苏路63弄15号601</t>
  </si>
  <si>
    <t>郁一青</t>
  </si>
  <si>
    <t>虹口区新嘉路1弄瑞嘉苑2号2302</t>
  </si>
  <si>
    <t>钱存华</t>
  </si>
  <si>
    <t>浦东新区丁香路1059弄9号1301</t>
  </si>
  <si>
    <t>顾伟</t>
  </si>
  <si>
    <t>长宁区万航渡路2488号603</t>
  </si>
  <si>
    <t>游先生</t>
  </si>
  <si>
    <t>揽海路11号1738号</t>
  </si>
  <si>
    <t>巨峰路399弄22号702</t>
  </si>
  <si>
    <t>张菁菁</t>
  </si>
  <si>
    <t>杨浦区周家嘴路1299弄30号1102</t>
  </si>
  <si>
    <t>0002462</t>
  </si>
  <si>
    <t>王锡麟</t>
  </si>
  <si>
    <t>宝山区南北路111弄富南苑39号602</t>
  </si>
  <si>
    <t>0002823</t>
  </si>
  <si>
    <t xml:space="preserve">谢天轶 </t>
  </si>
  <si>
    <t>尼澜小区45号501</t>
  </si>
  <si>
    <t>0002993</t>
  </si>
  <si>
    <t>史女士</t>
  </si>
  <si>
    <t>黄浦区新昌路477弄1号楼2601</t>
  </si>
  <si>
    <t>卢江海</t>
  </si>
  <si>
    <t>浦东区巨峰路915弄汇园小区10号201</t>
  </si>
  <si>
    <t>朱莉梅</t>
  </si>
  <si>
    <t>新疆路500弄绿地海悦1711</t>
  </si>
  <si>
    <t>王永红</t>
  </si>
  <si>
    <t>龙吴路2888弄4号503</t>
  </si>
  <si>
    <t>朱连妹</t>
  </si>
  <si>
    <t>九亭镇伴亭路855弄25号1204</t>
  </si>
  <si>
    <t>0000715</t>
  </si>
  <si>
    <t>徐维婕</t>
  </si>
  <si>
    <t>宝山区通南路55弄宝景苑40号901</t>
  </si>
  <si>
    <t>0002122</t>
  </si>
  <si>
    <t>李乐</t>
  </si>
  <si>
    <t>浦东区柳杉路399号</t>
  </si>
  <si>
    <t>0055918</t>
  </si>
  <si>
    <t>李萍</t>
  </si>
  <si>
    <t>奉贤区雍贤府44号301</t>
  </si>
  <si>
    <t>朱雨胜</t>
  </si>
  <si>
    <t>闵行区虹许路788弄45号604</t>
  </si>
  <si>
    <t>奚东杰</t>
  </si>
  <si>
    <t>金山区张堰廊下4033号</t>
  </si>
  <si>
    <t>张芮嘉</t>
  </si>
  <si>
    <t>新城郡尚海香悦花园15号1单元102</t>
  </si>
  <si>
    <t>康丹丹</t>
  </si>
  <si>
    <t>嘉定区百安公路2699弄589号702</t>
  </si>
  <si>
    <t>倪蔚华</t>
  </si>
  <si>
    <t>老沪闵路706弄34号102</t>
  </si>
  <si>
    <t>吴龙华</t>
  </si>
  <si>
    <t>惠南镇听潮六村3-7-102</t>
  </si>
  <si>
    <t>奉贤区正阳名仕苑140-302</t>
  </si>
  <si>
    <t>小昆山镇平原街880弄玉昆小区49号102</t>
  </si>
  <si>
    <t>冯昊</t>
  </si>
  <si>
    <t>138134536737</t>
  </si>
  <si>
    <t>青浦区业辉路199弄51号</t>
  </si>
  <si>
    <t>崧建路339弄48号1201室</t>
  </si>
  <si>
    <t>黄浦区和静路1585弄1号601室</t>
  </si>
  <si>
    <t>曹伟龙</t>
  </si>
  <si>
    <t>0000121</t>
  </si>
  <si>
    <t>秦颖华</t>
  </si>
  <si>
    <t>杨浦区飞虹路600弄6号1201</t>
  </si>
  <si>
    <t>胡丽</t>
  </si>
  <si>
    <t>闵行区水清路1028弄40号</t>
  </si>
  <si>
    <t>刘莺</t>
  </si>
  <si>
    <t>普陀区定边路377弄22号901</t>
  </si>
  <si>
    <t>郑永</t>
  </si>
  <si>
    <t>南翔镇芳林路669弄137号</t>
  </si>
  <si>
    <t>逢万东</t>
  </si>
  <si>
    <t>青浦区崧建路339弄45号</t>
  </si>
  <si>
    <t>王勇</t>
  </si>
  <si>
    <t>乳山路200弄11#1101</t>
  </si>
  <si>
    <t>0000700</t>
  </si>
  <si>
    <t>叶佩华</t>
  </si>
  <si>
    <t>芳华路310弄29号602</t>
  </si>
  <si>
    <t>0001932</t>
  </si>
  <si>
    <t>10.21已买单</t>
  </si>
  <si>
    <t>闵行区东安一村34号401</t>
  </si>
  <si>
    <t>顾玲玲</t>
  </si>
  <si>
    <t>浦东长岛路588弄19号201</t>
  </si>
  <si>
    <t>0003580</t>
  </si>
  <si>
    <t>周洁媛</t>
  </si>
  <si>
    <t>139187621250</t>
  </si>
  <si>
    <t>金山区亭林镇1885弄6号1202</t>
  </si>
  <si>
    <t>韩琦</t>
  </si>
  <si>
    <t>泗凤公路2118弄36号302</t>
  </si>
  <si>
    <t>0003576</t>
  </si>
  <si>
    <t>刘黎华</t>
  </si>
  <si>
    <t>崇明区陈家镇裕展路266弄59号1101</t>
  </si>
  <si>
    <t>陈石</t>
  </si>
  <si>
    <t>昌里东路190弄22号201</t>
  </si>
  <si>
    <t>徐诺</t>
  </si>
  <si>
    <t>马当路588弄2号701</t>
  </si>
  <si>
    <t>莫志刚</t>
  </si>
  <si>
    <t>静安区山西北路9弄6号1101</t>
  </si>
  <si>
    <t>蔡蓉</t>
  </si>
  <si>
    <t>浦东利津路1313弄13号701</t>
  </si>
  <si>
    <t>0003577</t>
  </si>
  <si>
    <t>刘轩江</t>
  </si>
  <si>
    <t>虹口区赤峰路620弄2403</t>
  </si>
  <si>
    <t>众实路879弄10号102</t>
  </si>
  <si>
    <t>0000136</t>
  </si>
  <si>
    <t>宋兆祥</t>
  </si>
  <si>
    <t>普陀区远景路97弄41号502</t>
  </si>
  <si>
    <t>蒋延达</t>
  </si>
  <si>
    <t>颛兴路666弄22号402</t>
  </si>
  <si>
    <t>徐宁静</t>
  </si>
  <si>
    <t>光复西路2077弄66号501</t>
  </si>
  <si>
    <t>袁寅卿</t>
  </si>
  <si>
    <t>华灵路198弄7号402</t>
  </si>
  <si>
    <t>张巍巍</t>
  </si>
  <si>
    <t>浦东新区明月路188弄7号1101</t>
  </si>
  <si>
    <t>王苏文/梁旭</t>
  </si>
  <si>
    <t>浦东新区洋泾街道杨高中路1708弄7号302</t>
  </si>
  <si>
    <t>0000138</t>
  </si>
  <si>
    <t>顾禕</t>
  </si>
  <si>
    <t>康定路1588弄3号1502</t>
  </si>
  <si>
    <t>喻丽君</t>
  </si>
  <si>
    <t>宝山区美岸栖庭174号1302</t>
  </si>
  <si>
    <t>刘瑜玲</t>
  </si>
  <si>
    <t>宝山三村212号601</t>
  </si>
  <si>
    <t>朱伟青</t>
  </si>
  <si>
    <t>闵行区金华路558弄260号601</t>
  </si>
  <si>
    <t>0001382</t>
  </si>
  <si>
    <t>蔡洁</t>
  </si>
  <si>
    <t>普陀区新村路1717弄5号1102</t>
  </si>
  <si>
    <t>0003792</t>
  </si>
  <si>
    <t>陕西南路333弄5号1803</t>
  </si>
  <si>
    <t>王圣杰</t>
  </si>
  <si>
    <t>松江区伴亭路855弄37号1601</t>
  </si>
  <si>
    <t>鲍加兴</t>
  </si>
  <si>
    <t>龙茗路1458弄162号212</t>
  </si>
  <si>
    <t>0003512</t>
  </si>
  <si>
    <t>子君</t>
  </si>
  <si>
    <t>漕宝路1158弄5号601</t>
  </si>
  <si>
    <t>杨会会</t>
  </si>
  <si>
    <t>松江区龙马路433弄24号702</t>
  </si>
  <si>
    <t>邓琴</t>
  </si>
  <si>
    <t>松江区泗泾镇泗凯路415弄18-1702</t>
  </si>
  <si>
    <t>0000137</t>
  </si>
  <si>
    <t>应寇飞</t>
  </si>
  <si>
    <t>闵行区保乐路3号602</t>
  </si>
  <si>
    <t>龚瑜华</t>
  </si>
  <si>
    <t>环林东路879弄109号401</t>
  </si>
  <si>
    <t>陈国荣</t>
  </si>
  <si>
    <t>嘉定区芳林路1357弄98号</t>
  </si>
  <si>
    <t>倪丹平</t>
  </si>
  <si>
    <t>浦东新区桃林路815弄4号501</t>
  </si>
  <si>
    <t>余志荣</t>
  </si>
  <si>
    <t>长寿路999弄27号17A</t>
  </si>
  <si>
    <t>齐佳</t>
  </si>
  <si>
    <t>虹口区大连路159弄1号702</t>
  </si>
  <si>
    <t>叶赟</t>
  </si>
  <si>
    <t>静安区南星路70号304</t>
  </si>
  <si>
    <t>肖妍</t>
  </si>
  <si>
    <t>浦东新区康杉路386弄3号302</t>
  </si>
  <si>
    <t>李睿琪</t>
  </si>
  <si>
    <t>浦东新区三林路104号502</t>
  </si>
  <si>
    <t>王艺</t>
  </si>
  <si>
    <t>杨浦区平海路2524弄35号201</t>
  </si>
  <si>
    <t>程丹</t>
  </si>
  <si>
    <t>虹口区同心路93弄5号603</t>
  </si>
  <si>
    <t>陈栋</t>
  </si>
  <si>
    <t>鲁班路168弄3号2001</t>
  </si>
  <si>
    <t>任丽瑛</t>
  </si>
  <si>
    <t>青浦绿地中心10号1702</t>
  </si>
  <si>
    <t>李大川</t>
  </si>
  <si>
    <t>锦和路289弄289弄4号401</t>
  </si>
  <si>
    <t>昆山水月周庄92号202</t>
  </si>
  <si>
    <t>郁国钦/李丽</t>
  </si>
  <si>
    <t>沪太路555弄9号503</t>
  </si>
  <si>
    <t>庄建国</t>
  </si>
  <si>
    <t>沪亭北路901弄18号301</t>
  </si>
  <si>
    <t>宝山二村101号602室</t>
  </si>
  <si>
    <t>唐巍青</t>
  </si>
  <si>
    <t>长宁区天山路88弄8号1205</t>
  </si>
  <si>
    <t>王芬连</t>
  </si>
  <si>
    <t>张琳</t>
  </si>
  <si>
    <t>龙东大道4288弄227号</t>
  </si>
  <si>
    <t>李嘉</t>
  </si>
  <si>
    <t>松江区九里亭沪亭北路618弄69号301</t>
  </si>
  <si>
    <t>王娟</t>
  </si>
  <si>
    <t>浦东新区昆山路1390弄13号401</t>
  </si>
  <si>
    <t>钱文怡</t>
  </si>
  <si>
    <t>金沙雅苑清峪路368弄3号503</t>
  </si>
  <si>
    <t>马溱</t>
  </si>
  <si>
    <t>嘉唐公路169弄20号502室</t>
  </si>
  <si>
    <t>双单路1509-251-2001</t>
  </si>
  <si>
    <t>虹井路618弄31号301</t>
  </si>
  <si>
    <t>周一雄</t>
  </si>
  <si>
    <t>彭佳路333弄180号1202室</t>
  </si>
  <si>
    <t>南林路734弄33号201室</t>
  </si>
  <si>
    <t>嘉定区芳林路1357弄239号</t>
  </si>
  <si>
    <t>嘉定区丰庄路455弄83号102室</t>
  </si>
  <si>
    <t>徐汇区零陵路751弄3号2807室</t>
  </si>
  <si>
    <t>海防路58弄12号1701</t>
  </si>
  <si>
    <t>浦东新区德淳路99弄31号201室</t>
  </si>
  <si>
    <t>中江路1067弄8号601</t>
  </si>
  <si>
    <t>浦涛路505弄39弄</t>
  </si>
  <si>
    <t>顾洪飞</t>
  </si>
  <si>
    <t>浦东新区康弘路508弄2号202</t>
  </si>
  <si>
    <t>青浦区西油墩港路177弄3号202</t>
  </si>
  <si>
    <t>杨浦区吉浦路375弄45号401</t>
  </si>
  <si>
    <t>北京西路355弄2号2503室</t>
  </si>
  <si>
    <t>锦和路99弄8号701</t>
  </si>
  <si>
    <t>嘉定区铜川路2655弄25号501室</t>
  </si>
  <si>
    <t>0003920</t>
  </si>
  <si>
    <t>李璐晗</t>
  </si>
  <si>
    <t>江浦路1188号3号楼1207</t>
  </si>
  <si>
    <t>杨瑛</t>
  </si>
  <si>
    <t>浦东三旋路506弄22号2903</t>
  </si>
  <si>
    <t>周香香</t>
  </si>
  <si>
    <t>杨浦区惠民路1033弄6号203</t>
  </si>
  <si>
    <t>昆山市定山湖万园路35号301</t>
  </si>
  <si>
    <t>0000142</t>
  </si>
  <si>
    <t>丁晓雯</t>
  </si>
  <si>
    <t>普陀区虹莘路3800弄35号101</t>
  </si>
  <si>
    <t>武夏</t>
  </si>
  <si>
    <t>虹口区海宁路5号2009</t>
  </si>
  <si>
    <t>袁芳</t>
  </si>
  <si>
    <t>朱泾建康路395弄2号</t>
  </si>
  <si>
    <t>0000405</t>
  </si>
  <si>
    <t>王秋静</t>
  </si>
  <si>
    <t>徐汇区田林路12弄104</t>
  </si>
  <si>
    <t>茅佳伟</t>
  </si>
  <si>
    <t>浦东新区新芦苑C区朝乐路21弄4号楼401</t>
  </si>
  <si>
    <t>陈超</t>
  </si>
  <si>
    <t>浦东新区海阳路215弄3号1702</t>
  </si>
  <si>
    <t>0001963</t>
  </si>
  <si>
    <t>徐璟</t>
  </si>
  <si>
    <t>杨浦区沙岗路835弄7号202</t>
  </si>
  <si>
    <t>0002567</t>
  </si>
  <si>
    <t>黄浦区五坊园7号1103</t>
  </si>
  <si>
    <t>毛黎明</t>
  </si>
  <si>
    <t>镇乐路199弄78号</t>
  </si>
  <si>
    <t>0003514</t>
  </si>
  <si>
    <t>111-4</t>
  </si>
  <si>
    <t>严先生</t>
  </si>
  <si>
    <t>瑞建路88弄78号</t>
  </si>
  <si>
    <t>冯娟</t>
  </si>
  <si>
    <t>闵行区浦建路58弄35号201</t>
  </si>
  <si>
    <t>0000152</t>
  </si>
  <si>
    <t>韩帅</t>
  </si>
  <si>
    <t>普陀区桃浦镇503弄240号402</t>
  </si>
  <si>
    <t>李林</t>
  </si>
  <si>
    <t>普陀区石湾路7弄19号302</t>
  </si>
  <si>
    <t>薛庆</t>
  </si>
  <si>
    <t>杨浦区学府路88弄29号301</t>
  </si>
  <si>
    <t>高燕青</t>
  </si>
  <si>
    <t>嘉定区绿地天呈96号501</t>
  </si>
  <si>
    <t>0002394</t>
  </si>
  <si>
    <t>孙坚</t>
  </si>
  <si>
    <t>徐汇区小木桥路360弄304</t>
  </si>
  <si>
    <t>卢玲</t>
  </si>
  <si>
    <t>杨浦区政悦路588弄18号901</t>
  </si>
  <si>
    <t>宋媛</t>
  </si>
  <si>
    <t>嘉定区南苑二村76号603</t>
  </si>
  <si>
    <t>0001807</t>
  </si>
  <si>
    <t>御桥路2066弄12号1803</t>
  </si>
  <si>
    <t>墅沟路69弄7号1302室</t>
  </si>
  <si>
    <t>0002821</t>
  </si>
  <si>
    <t>崔成</t>
  </si>
  <si>
    <t>浦东新区芳芯路210弄28号202</t>
  </si>
  <si>
    <t>姚昆</t>
  </si>
  <si>
    <t>浦东区耀华路87弄8号502</t>
  </si>
  <si>
    <t>0002737</t>
  </si>
  <si>
    <t>王迪</t>
  </si>
  <si>
    <t>江宁路599弄3号1508</t>
  </si>
  <si>
    <t>0002736</t>
  </si>
  <si>
    <t>徐勇</t>
  </si>
  <si>
    <t>闵行区梅陇镇罗阳路258弄56号301</t>
  </si>
  <si>
    <t>0002887</t>
  </si>
  <si>
    <t>孙海燕</t>
  </si>
  <si>
    <t>普陀区宜川四村24号401</t>
  </si>
  <si>
    <t>0001773</t>
  </si>
  <si>
    <t>范翀翊</t>
  </si>
  <si>
    <t>浦东新区芳甸路77弄23号702</t>
  </si>
  <si>
    <t>浦东季景路555弄12号402</t>
  </si>
  <si>
    <t>静安区柳营路650弄26号602</t>
  </si>
  <si>
    <t>0003581</t>
  </si>
  <si>
    <t>赵云龙</t>
  </si>
  <si>
    <t>徐汇区古龙路300弄28号502</t>
  </si>
  <si>
    <t>0000703</t>
  </si>
  <si>
    <t>王一帆</t>
  </si>
  <si>
    <t>浦东东方路188弄4号302室</t>
  </si>
  <si>
    <t>万贤铭</t>
  </si>
  <si>
    <t>徐汇区钦州南路8弄8号305室</t>
  </si>
  <si>
    <t>卢书萍</t>
  </si>
  <si>
    <t>年家滨路129弄31号303</t>
  </si>
  <si>
    <t>浦东新区康石路15弄7号602室</t>
  </si>
  <si>
    <t>0002793</t>
  </si>
  <si>
    <t>吴德昌/郁祖端</t>
  </si>
  <si>
    <t>桃林路299弄10号2502室</t>
  </si>
  <si>
    <t>0000408</t>
  </si>
  <si>
    <t>鲍从如</t>
  </si>
  <si>
    <t>中潭路100弄198号2201室</t>
  </si>
  <si>
    <t>王翌</t>
  </si>
  <si>
    <t>浦东北正康桥花园</t>
  </si>
  <si>
    <t>文定路168弄3号3502室</t>
  </si>
  <si>
    <t>0002834</t>
  </si>
  <si>
    <t>黄体刚</t>
  </si>
  <si>
    <t>徐汇区东亭路888弄14栋30023单元</t>
  </si>
  <si>
    <t>傅队/马经理</t>
  </si>
  <si>
    <t>行知路381弄55号1101</t>
  </si>
  <si>
    <t>0002463</t>
  </si>
  <si>
    <t>张明明</t>
  </si>
  <si>
    <t>徐汇区浦北路21弄37号603</t>
  </si>
  <si>
    <t>张慧成</t>
  </si>
  <si>
    <t>杨浦区凤城二村89号405</t>
  </si>
  <si>
    <t>王吉鹏</t>
  </si>
  <si>
    <t>长宁区天山五村141号602</t>
  </si>
  <si>
    <t>严红梅</t>
  </si>
  <si>
    <t>莲花山路517弄115号902</t>
  </si>
  <si>
    <t>陈瑛</t>
  </si>
  <si>
    <t>宝昌路659-1-501</t>
  </si>
  <si>
    <t>阮哲伟</t>
  </si>
  <si>
    <t>静安区富民路210弄2号2楼</t>
  </si>
  <si>
    <t>龚贤民</t>
  </si>
  <si>
    <t>友谊路1869弄21号802</t>
  </si>
  <si>
    <t>李培根</t>
  </si>
  <si>
    <t>浦东新区康杉路386弄2号401</t>
  </si>
  <si>
    <t>朱嵘</t>
  </si>
  <si>
    <t>佘山九里1期25号401</t>
  </si>
  <si>
    <t>王唯/宋茜</t>
  </si>
  <si>
    <t>静安新城八区15号302</t>
  </si>
  <si>
    <t>胡筱</t>
  </si>
  <si>
    <t>临港碧云壹零113号202</t>
  </si>
  <si>
    <t>陶芸</t>
  </si>
  <si>
    <t>孙耀路111弄32号301</t>
  </si>
  <si>
    <t>陈俊伟</t>
  </si>
  <si>
    <t>何岳明</t>
  </si>
  <si>
    <t>宝山区德都路88弄2号502</t>
  </si>
  <si>
    <t>佘山樾山明月12-113</t>
  </si>
  <si>
    <t>鞠国庆</t>
  </si>
  <si>
    <t>上海璟断自动化设备有限公司</t>
  </si>
  <si>
    <t>杨浦区控四新城13-605</t>
  </si>
  <si>
    <t>袁亮</t>
  </si>
  <si>
    <t>浦东南路2178弄4号1007室</t>
  </si>
  <si>
    <t>童燕妮</t>
  </si>
  <si>
    <t>陈桥路299弄11号401</t>
  </si>
  <si>
    <t>王经理</t>
  </si>
  <si>
    <t>闵行区富国路199弄10号1601</t>
  </si>
  <si>
    <t>张杰</t>
  </si>
  <si>
    <t>奉贤区江海花园24号301</t>
  </si>
  <si>
    <t>李莉莉</t>
  </si>
  <si>
    <t>浦东龙华大道4028弄18号</t>
  </si>
  <si>
    <t>麒姐</t>
  </si>
  <si>
    <t>青浦区绿湖路888弄68号</t>
  </si>
  <si>
    <t>梅萍</t>
  </si>
  <si>
    <t>浦驰路1366弄4号202室</t>
  </si>
  <si>
    <t>浦东新区宝龙世家1号1401</t>
  </si>
  <si>
    <t>陈霏</t>
  </si>
  <si>
    <t>杨浦区长阳路1318弄81号202</t>
  </si>
  <si>
    <t>杨浦区控江一村20号502室</t>
  </si>
  <si>
    <t>寿光路76弄17号802室</t>
  </si>
  <si>
    <t>桃林路299弄39号601室</t>
  </si>
  <si>
    <t>薛经理/杨丹谰</t>
  </si>
  <si>
    <t>芦恒路378弄182号601</t>
  </si>
  <si>
    <t>吴炜</t>
  </si>
  <si>
    <t>虹口区万安路1213弄58-501</t>
  </si>
  <si>
    <t>王柏林</t>
  </si>
  <si>
    <t>宝山祁连路188-301</t>
  </si>
  <si>
    <t>汪佳</t>
  </si>
  <si>
    <t>长宁路380弄8号602</t>
  </si>
  <si>
    <t>浦东高宝路35号1202</t>
  </si>
  <si>
    <t>龙茗路1458弄96号201</t>
  </si>
  <si>
    <t>芙蓉江路555弄7号301</t>
  </si>
  <si>
    <t>印良/康胜</t>
  </si>
  <si>
    <t>0002828</t>
  </si>
  <si>
    <t>徐均</t>
  </si>
  <si>
    <t>徐汇区零陵路789弄11号402</t>
  </si>
  <si>
    <t>张稼骅</t>
  </si>
  <si>
    <t>万镇路501弄35号501</t>
  </si>
  <si>
    <t>浦东杨新路281弄49号402</t>
  </si>
  <si>
    <t>钱千春</t>
  </si>
  <si>
    <t>利津路1111弄25号101</t>
  </si>
  <si>
    <t>秦彦冲</t>
  </si>
  <si>
    <t>浦东新区锦和路99弄23号1202</t>
  </si>
  <si>
    <t>0002829</t>
  </si>
  <si>
    <t>张晓芳</t>
  </si>
  <si>
    <t>虹口区大连西路257弄3号9017</t>
  </si>
  <si>
    <t>李国艳</t>
  </si>
  <si>
    <t>徐汇区天钥桥路1121弄5号601室</t>
  </si>
  <si>
    <t>胡凌洁</t>
  </si>
  <si>
    <t>鞍山路89弄7号2610室</t>
  </si>
  <si>
    <t>孙央</t>
  </si>
  <si>
    <t>绿舟路188弄77号</t>
  </si>
  <si>
    <t>吴莹</t>
  </si>
  <si>
    <t>宝山区场北路669弄43号1801室</t>
  </si>
  <si>
    <t>秦义平</t>
  </si>
  <si>
    <t>黄山路30弄1号601室</t>
  </si>
  <si>
    <t>朱曼莉</t>
  </si>
  <si>
    <t>浦东崇溪路1101弄316号1101</t>
  </si>
  <si>
    <t>谢维佳/张琪</t>
  </si>
  <si>
    <t>枣庄路500弄7号501室</t>
  </si>
  <si>
    <t>18918561226/13162863626</t>
  </si>
  <si>
    <t>上海灵山路785弄31号302室</t>
  </si>
  <si>
    <t>畹町路99弄297号202</t>
  </si>
  <si>
    <t>汪奇</t>
  </si>
  <si>
    <t>长宁路269弄1号楼402室</t>
  </si>
  <si>
    <t>施慧燕</t>
  </si>
  <si>
    <t>静安区安远路5弄1号916室</t>
  </si>
  <si>
    <t>傅蔚</t>
  </si>
  <si>
    <t>上海嘉定区鹤轩路336弄33号802室</t>
  </si>
  <si>
    <t>吉红兰</t>
  </si>
  <si>
    <t>闵行区青杉路龙柏青榭苑12号202</t>
  </si>
  <si>
    <t>李骏</t>
  </si>
  <si>
    <t>曹杨路1222弄16号1802室</t>
  </si>
  <si>
    <t>从国庆</t>
  </si>
  <si>
    <t>虹口区新市路251弄6-203</t>
  </si>
  <si>
    <t>高平路809弄14号301室</t>
  </si>
  <si>
    <t>王军堂</t>
  </si>
  <si>
    <t>宝山区友谊路2858弄64号201</t>
  </si>
  <si>
    <t>费大忠</t>
  </si>
  <si>
    <t>浦东新区东明路355弄33号702室</t>
  </si>
  <si>
    <t>邵小玉/邵绮煜</t>
  </si>
  <si>
    <t>徐晶晶</t>
  </si>
  <si>
    <t>牡丹江路1298弄11号501</t>
  </si>
  <si>
    <t>许洪波/马顺龙</t>
  </si>
  <si>
    <t>徐虹北路5弄5号701室</t>
  </si>
  <si>
    <t>方磊</t>
  </si>
  <si>
    <t>上海市虹口区新市南路1153弄2号302室</t>
  </si>
  <si>
    <t>陈巍</t>
  </si>
  <si>
    <t>13818255156/13310030618</t>
  </si>
  <si>
    <t>闵行区莘庄水清三村17号302室</t>
  </si>
  <si>
    <t>李鹏</t>
  </si>
  <si>
    <t>虹口区东汉阳路309弄16号1601室</t>
  </si>
  <si>
    <t>吴旭枫</t>
  </si>
  <si>
    <t>浦东浦建路1086弄9号202室</t>
  </si>
  <si>
    <t>舒丽芯</t>
  </si>
  <si>
    <t>杨浦区政通路100弄12号302室</t>
  </si>
  <si>
    <t>胡佳</t>
  </si>
  <si>
    <t>鹏飞路51弄8号501室</t>
  </si>
  <si>
    <t>茹志波</t>
  </si>
  <si>
    <t>浦东上丰路1483弄51-802</t>
  </si>
  <si>
    <t>郑卫华</t>
  </si>
  <si>
    <t>兰谷路2933-3-801</t>
  </si>
  <si>
    <t>刘宪宇</t>
  </si>
  <si>
    <t>浦东新区东靖路669弄66号701室</t>
  </si>
  <si>
    <t>陈自聪</t>
  </si>
  <si>
    <t>浦东板泉路1555弄39号201</t>
  </si>
  <si>
    <t>盛志华</t>
  </si>
  <si>
    <t>外高桥春晖路628弄36号501</t>
  </si>
  <si>
    <t>刘小丽</t>
  </si>
  <si>
    <t>民春路516弄8号</t>
  </si>
  <si>
    <t>黄永峰</t>
  </si>
  <si>
    <t>浦东新区五莲路330号201</t>
  </si>
  <si>
    <t>吴丙明</t>
  </si>
  <si>
    <t>蔡晓恺</t>
  </si>
  <si>
    <t>浦东碧云路199弄13号302室</t>
  </si>
  <si>
    <t>华莉</t>
  </si>
  <si>
    <t>晨晖路825弄24号401</t>
  </si>
  <si>
    <t>月台路555/257/301</t>
  </si>
  <si>
    <t>九亭大街368弄9号1011室</t>
  </si>
  <si>
    <t>周卫东</t>
  </si>
  <si>
    <t>青浦区淞文南路宋文苑小区9号1302</t>
  </si>
  <si>
    <t>王淀丽</t>
  </si>
  <si>
    <t>青浦区首创二期9#201室</t>
  </si>
  <si>
    <t>杨磊</t>
  </si>
  <si>
    <t>上海是青浦区淀湖路666弄18号901室</t>
  </si>
  <si>
    <t>宋蓓蓓</t>
  </si>
  <si>
    <t>四平路186号1号楼1902室</t>
  </si>
  <si>
    <t>高军</t>
  </si>
  <si>
    <t>杨浦区延吉中路245弄10号1402室</t>
  </si>
  <si>
    <t>董田田</t>
  </si>
  <si>
    <t>城丰路288弄14号201室</t>
  </si>
  <si>
    <t>潘宝根/潘洪根</t>
  </si>
  <si>
    <t>淞南路长宏新苑211弄67号2021室</t>
  </si>
  <si>
    <t>丁贤忠</t>
  </si>
  <si>
    <t>玉田路466弄1号302室</t>
  </si>
  <si>
    <t>葛程敏</t>
  </si>
  <si>
    <t>车站北路500弄19号502室</t>
  </si>
  <si>
    <t>徐汇区钦州路860号2906室</t>
  </si>
  <si>
    <t>浦东创新中路593弄15号804</t>
  </si>
  <si>
    <t>朱赟</t>
  </si>
  <si>
    <t>定山区苏家湾路398弄169号101</t>
  </si>
  <si>
    <t>曾波</t>
  </si>
  <si>
    <t>成山路2399弄38号301室</t>
  </si>
  <si>
    <t>杨勇</t>
  </si>
  <si>
    <t>13218150898/13809062908</t>
  </si>
  <si>
    <t>昆山定山湖富力湾C区282</t>
  </si>
  <si>
    <t>俞瑛</t>
  </si>
  <si>
    <t>浦东东明路街道永泰路1299弄5号301室</t>
  </si>
  <si>
    <t>林建君</t>
  </si>
  <si>
    <t>黄晓兰</t>
  </si>
  <si>
    <t>宝安公路3136弄36号1002室</t>
  </si>
  <si>
    <t>钟飞英/钟女士</t>
  </si>
  <si>
    <t>卫敏菲</t>
  </si>
  <si>
    <t>新嘉路1弄5号801室</t>
  </si>
  <si>
    <t>万海滨</t>
  </si>
  <si>
    <t>天钥桥路天钥花园23号802室</t>
  </si>
  <si>
    <t>刘雪妮</t>
  </si>
  <si>
    <t>松江区江川南路25弄201室</t>
  </si>
  <si>
    <t>丁先存</t>
  </si>
  <si>
    <t>城东新村商12号楼403室</t>
  </si>
  <si>
    <t>曹香兰</t>
  </si>
  <si>
    <t>上海徐汇区望月路909号20号1101</t>
  </si>
  <si>
    <t>张晓云</t>
  </si>
  <si>
    <t>上海浦东新区锦绣路800弄33号902</t>
  </si>
  <si>
    <t>王斐斐</t>
  </si>
  <si>
    <t>真光路798弄47号603室</t>
  </si>
  <si>
    <t>黄蓉</t>
  </si>
  <si>
    <t>普陀区黄陵路201弄11号501室</t>
  </si>
  <si>
    <t>邵华</t>
  </si>
  <si>
    <t>沈怡洁</t>
  </si>
  <si>
    <t>虹口区同心路28弄8号1201室</t>
  </si>
  <si>
    <t>长宁路芙蓉江路103弄7号403室</t>
  </si>
  <si>
    <t>郭望及</t>
  </si>
  <si>
    <t>浦东北蔡镇北中路328弄14#502</t>
  </si>
  <si>
    <t>杜坤艳</t>
  </si>
  <si>
    <t>浦东新区巨峰路667/124/103</t>
  </si>
  <si>
    <t>沈君</t>
  </si>
  <si>
    <t>浦东繁锦路688弄14号102室</t>
  </si>
  <si>
    <t>张莲</t>
  </si>
  <si>
    <t>闵行区宝铭路88弄66号101室</t>
  </si>
  <si>
    <t>苏英</t>
  </si>
  <si>
    <t>虹口区新市南路1225-15-1201</t>
  </si>
  <si>
    <t>王丹洋</t>
  </si>
  <si>
    <t>罗迎路800弄26号101室</t>
  </si>
  <si>
    <t>周洁筠</t>
  </si>
  <si>
    <t>徐汇区枫林路街道269弄8号101</t>
  </si>
  <si>
    <t>卞杰伟</t>
  </si>
  <si>
    <t>13918221922/18621833725</t>
  </si>
  <si>
    <t>明兴路528弄167号</t>
  </si>
  <si>
    <t>欧瑜</t>
  </si>
  <si>
    <t>抚远路1211弄367号</t>
  </si>
  <si>
    <t>孙喜华</t>
  </si>
  <si>
    <t>新村路1388弄10号2601室</t>
  </si>
  <si>
    <t>梁炎光</t>
  </si>
  <si>
    <t>普陀区中潭路100弄250号2802室</t>
  </si>
  <si>
    <t>朱建平/刘红平</t>
  </si>
  <si>
    <t>航东路航南路78号203室</t>
  </si>
  <si>
    <t>上海黄浦区西藏南路1501弄8号1001</t>
  </si>
  <si>
    <t>王桂芬</t>
  </si>
  <si>
    <t>上海市静安区中华新路588弄中*国际公寓1-1004</t>
  </si>
  <si>
    <t>宝山区苏家浜路388弄141号501</t>
  </si>
  <si>
    <t>倪娜</t>
  </si>
  <si>
    <t>虹口区四川北路北苏州路350号</t>
  </si>
  <si>
    <t>张景萍</t>
  </si>
  <si>
    <t>东大名路888弄16号302室</t>
  </si>
  <si>
    <t>顾振堃</t>
  </si>
  <si>
    <t>柳岩路1025弄18号302室</t>
  </si>
  <si>
    <t>方莉</t>
  </si>
  <si>
    <t>宝山区苏家浜路183号301室</t>
  </si>
  <si>
    <t>王溯</t>
  </si>
  <si>
    <t>上海市远景路97弄36号204</t>
  </si>
  <si>
    <t>郭晶麟/王路路</t>
  </si>
  <si>
    <t>普陀区新村路1759弄103号302室</t>
  </si>
  <si>
    <t>须莹</t>
  </si>
  <si>
    <t>上海市宝山区北临路1318/31/1202</t>
  </si>
  <si>
    <r>
      <rPr>
        <sz val="10"/>
        <rFont val="宋体"/>
        <charset val="134"/>
      </rPr>
      <t>沈杰</t>
    </r>
    <r>
      <rPr>
        <sz val="10"/>
        <rFont val="MS Sans Serif"/>
        <charset val="0"/>
      </rPr>
      <t xml:space="preserve">  </t>
    </r>
  </si>
  <si>
    <t>宝山区红林路576弄31号901</t>
  </si>
  <si>
    <t>闸殷路195弄6号403室</t>
  </si>
  <si>
    <t>武定路650弄静安亭景6号1604室</t>
  </si>
  <si>
    <r>
      <rPr>
        <sz val="10"/>
        <rFont val="宋体"/>
        <charset val="134"/>
      </rPr>
      <t>张卓年</t>
    </r>
    <r>
      <rPr>
        <sz val="10"/>
        <rFont val="MS Sans Serif"/>
        <charset val="0"/>
      </rPr>
      <t>/</t>
    </r>
    <r>
      <rPr>
        <sz val="10"/>
        <rFont val="宋体"/>
        <charset val="134"/>
      </rPr>
      <t>张卓华</t>
    </r>
  </si>
  <si>
    <t>虹口区虹湾路313弄6号1903室</t>
  </si>
  <si>
    <t>王醒春</t>
  </si>
  <si>
    <t>龙瑞路77弄6号3103室</t>
  </si>
  <si>
    <t>余应凤</t>
  </si>
  <si>
    <t>13524409339/15821658527</t>
  </si>
  <si>
    <t>御青路328弄135号504</t>
  </si>
  <si>
    <t>黄浦丽园路333弄10号2902室</t>
  </si>
  <si>
    <t>马俊乐</t>
  </si>
  <si>
    <t>浦东新区沈梅东路355弄海棠名苑40号</t>
  </si>
  <si>
    <t>巫罡</t>
  </si>
  <si>
    <t>兰谷路2955弄16号201</t>
  </si>
  <si>
    <t>孙琰</t>
  </si>
  <si>
    <t>孟超君</t>
  </si>
  <si>
    <t>上海市徐汇区龙吴路113弄18号1005室</t>
  </si>
  <si>
    <t>郁少华</t>
  </si>
  <si>
    <t>浦江镇鲁宁路80弄22号1101室</t>
  </si>
  <si>
    <t>姜卓</t>
  </si>
  <si>
    <t>普陀区梅川路1500弄71号502</t>
  </si>
  <si>
    <t>威宁路511弄28号401室</t>
  </si>
  <si>
    <t>钟邦杰</t>
  </si>
  <si>
    <t>杨浦区殷行路881弄19号701室</t>
  </si>
  <si>
    <r>
      <rPr>
        <sz val="10"/>
        <rFont val="宋体"/>
        <charset val="134"/>
      </rPr>
      <t>张良</t>
    </r>
    <r>
      <rPr>
        <sz val="10"/>
        <rFont val="MS Sans Serif"/>
        <charset val="0"/>
      </rPr>
      <t>/</t>
    </r>
    <r>
      <rPr>
        <sz val="10"/>
        <rFont val="宋体"/>
        <charset val="134"/>
      </rPr>
      <t>曹惠芳</t>
    </r>
  </si>
  <si>
    <r>
      <rPr>
        <sz val="10"/>
        <rFont val="宋体"/>
        <charset val="134"/>
      </rPr>
      <t>廖海源</t>
    </r>
    <r>
      <rPr>
        <sz val="10"/>
        <rFont val="MS Sans Serif"/>
        <charset val="0"/>
      </rPr>
      <t>/</t>
    </r>
    <r>
      <rPr>
        <sz val="10"/>
        <rFont val="宋体"/>
        <charset val="134"/>
      </rPr>
      <t>贾昌城</t>
    </r>
  </si>
  <si>
    <t>沈昊</t>
  </si>
  <si>
    <t>国权北路828弄25号201室</t>
  </si>
  <si>
    <t>宝杨路555弄14号202室</t>
  </si>
  <si>
    <t>宝山区长义西路通河三村2号1107室</t>
  </si>
  <si>
    <t>静安区昌平路428弄8号1406</t>
  </si>
  <si>
    <t>施文惠</t>
  </si>
  <si>
    <t>闵行区保乐路666弄63号501室</t>
  </si>
  <si>
    <t>黄敏华</t>
  </si>
  <si>
    <t>黄浦区中华路429弄8号1404室</t>
  </si>
  <si>
    <t>锦绣路3338弄86号601室</t>
  </si>
  <si>
    <t>国权北路828弄174号</t>
  </si>
  <si>
    <t>浦东南汇新城镇铃兰路508弄127号301室</t>
  </si>
  <si>
    <t>黄良珠</t>
  </si>
  <si>
    <t>顾荻路161弄21号1001室</t>
  </si>
  <si>
    <t>李东满</t>
  </si>
  <si>
    <t>大成郡1#2403（三期）</t>
  </si>
  <si>
    <t>仇斌</t>
  </si>
  <si>
    <t>谢东凌</t>
  </si>
  <si>
    <t>业文路189弄211号102室</t>
  </si>
  <si>
    <r>
      <rPr>
        <sz val="10"/>
        <rFont val="宋体"/>
        <charset val="134"/>
      </rPr>
      <t>张易帆</t>
    </r>
    <r>
      <rPr>
        <sz val="10"/>
        <rFont val="MS Sans Serif"/>
        <charset val="0"/>
      </rPr>
      <t>/</t>
    </r>
    <r>
      <rPr>
        <sz val="10"/>
        <rFont val="宋体"/>
        <charset val="134"/>
      </rPr>
      <t>叶帅</t>
    </r>
  </si>
  <si>
    <t>宝山区场北路669弄中环国际三期15号501室</t>
  </si>
  <si>
    <t>陈海江</t>
  </si>
  <si>
    <t>黄浦区牌楼路31弄3号301室</t>
  </si>
  <si>
    <t>柳州路181弄3号1703室</t>
  </si>
  <si>
    <t>苏家浜路388弄168号702室</t>
  </si>
  <si>
    <t>宝山区三泉路1859弄75号1202室</t>
  </si>
  <si>
    <t>杨林</t>
  </si>
  <si>
    <t>嘉定区百安公路2691弄39号</t>
  </si>
  <si>
    <t>18519861850/18221151815</t>
  </si>
  <si>
    <t>宝山区和家欣苑53红啊701室</t>
  </si>
  <si>
    <t>陈培</t>
  </si>
  <si>
    <t>上海市静安区江扬南路466弄20号1601室</t>
  </si>
  <si>
    <t>江伟娟</t>
  </si>
  <si>
    <t>黄浦区中山南路1586弄9-303</t>
  </si>
  <si>
    <t>练塘镇蒸浦村蒸南12号</t>
  </si>
  <si>
    <t>浦东凌环路51弄9号301室</t>
  </si>
  <si>
    <t>梁良</t>
  </si>
  <si>
    <t>三舒路288弄2号2501</t>
  </si>
  <si>
    <t>泗砖南路1500号长春西郊别墅</t>
  </si>
  <si>
    <t>俞强</t>
  </si>
  <si>
    <t>上海闵城路199弄23号1002</t>
  </si>
  <si>
    <t>张易帆/叶帅</t>
  </si>
  <si>
    <t>长宁区福泉路550弄3号301室</t>
  </si>
  <si>
    <t>静安新城5区14-601室</t>
  </si>
  <si>
    <t>高兴路666弄江南名邸39号702室</t>
  </si>
  <si>
    <t>闵行区水清路999弄81-301室</t>
  </si>
  <si>
    <t>金汇路518弄37号102室</t>
  </si>
  <si>
    <t>申炎佳</t>
  </si>
  <si>
    <t>抚远路1211弄378号401</t>
  </si>
  <si>
    <t>谭清文</t>
  </si>
  <si>
    <t>宝山区江场西路1366弄26号803</t>
  </si>
  <si>
    <t>王秀珍</t>
  </si>
  <si>
    <t>场中路4079弄51号202室</t>
  </si>
  <si>
    <t>静安区虬江路1488弄8号2603室</t>
  </si>
  <si>
    <t>花柏成</t>
  </si>
  <si>
    <t>国权北路1088弄40号501室</t>
  </si>
  <si>
    <t>陆正皓</t>
  </si>
  <si>
    <t>巨峰路399弄45号901</t>
  </si>
  <si>
    <t>金山区博海路118弄23号1803</t>
  </si>
  <si>
    <t>党俊霞/凌彩霞</t>
  </si>
  <si>
    <t>川沙南路1049号107支弄4号201</t>
  </si>
  <si>
    <t>青浦区崧建路339弄4号1501</t>
  </si>
  <si>
    <t>汇臻路815弄3号402室</t>
  </si>
  <si>
    <t>上海市闵行区浦江镇闵驰一路197弄15号203室</t>
  </si>
  <si>
    <t>傅涛/李良岚</t>
  </si>
  <si>
    <t>繁荣华庭402室</t>
  </si>
  <si>
    <t>宝山区中环国际公寓3期18弄302室</t>
  </si>
  <si>
    <t>高雄</t>
  </si>
  <si>
    <t>桃林路815弄15号302室</t>
  </si>
  <si>
    <t>秀沿路836弄3号1603室</t>
  </si>
  <si>
    <t>蕴川路1498弄293号302室</t>
  </si>
  <si>
    <t>张益平</t>
  </si>
  <si>
    <t>松江沪亭北路618弄87号802室</t>
  </si>
  <si>
    <t>黄春艳</t>
  </si>
  <si>
    <t>密山路500弄13号202室</t>
  </si>
  <si>
    <t>昆山花桥高银东路999号星汇兰亭花园2号楼406室</t>
  </si>
  <si>
    <t>盛立明</t>
  </si>
  <si>
    <t>徐汇区斜土路1975弄1号1104室阳光名苑</t>
  </si>
  <si>
    <t>王艳芹</t>
  </si>
  <si>
    <t>锦梅苑17号楼1501室</t>
  </si>
  <si>
    <t>闵行区景谷中路58弄10号1201室</t>
  </si>
  <si>
    <t>张宁展/上海鑫珀生物科技有限公司</t>
  </si>
  <si>
    <t>吴冬太/吴鹏</t>
  </si>
  <si>
    <t>浦东新区临沂路101弄46号304室</t>
  </si>
  <si>
    <t>宝山区聚丰园路388弄8号301室</t>
  </si>
  <si>
    <t>宋娴</t>
  </si>
  <si>
    <t>中环国际35-502</t>
  </si>
  <si>
    <t>陈志鸣</t>
  </si>
  <si>
    <t>静安区虬江路1368弄1号305</t>
  </si>
  <si>
    <t>罗婷/周成霖</t>
  </si>
  <si>
    <t>钭碧波</t>
  </si>
  <si>
    <t>上丰路1483弄65号501室</t>
  </si>
  <si>
    <t>怒江北路458弄14号602室</t>
  </si>
  <si>
    <t>周秉锡/周军</t>
  </si>
  <si>
    <t>兰谷路2955弄39号801室</t>
  </si>
  <si>
    <t>朱金怀</t>
  </si>
  <si>
    <t>徐汇区漕溪北路99弄3号楼28B</t>
  </si>
  <si>
    <t>史晓嫣</t>
  </si>
  <si>
    <t>徐汇区荼陵路195弄6号15室</t>
  </si>
  <si>
    <t>牟平路154弄25号502室</t>
  </si>
  <si>
    <t>浦东新区申江南路7677弄11号1703室</t>
  </si>
  <si>
    <t>谢华信</t>
  </si>
  <si>
    <t>徐汇区龙华西路机场新村26/604</t>
  </si>
  <si>
    <t>陈阳</t>
  </si>
  <si>
    <t>浦东新区羽山路383弄20号901</t>
  </si>
  <si>
    <t>蒋永健</t>
  </si>
  <si>
    <t>松江区城隆路168弄12号148</t>
  </si>
  <si>
    <t>陈维蘅</t>
  </si>
  <si>
    <t>锦绣路1650弄6号1202</t>
  </si>
  <si>
    <t>0002994</t>
  </si>
  <si>
    <t>刘瑶</t>
  </si>
  <si>
    <t>嘉定区宝翔路888弄26号1501</t>
  </si>
  <si>
    <t>赵伟峰</t>
  </si>
  <si>
    <t>国权北路828弄21号202</t>
  </si>
  <si>
    <t>0001303</t>
  </si>
  <si>
    <t>胡海燕</t>
  </si>
  <si>
    <t>花木路500弄66号102</t>
  </si>
  <si>
    <t>陈若慈</t>
  </si>
  <si>
    <t>青浦区徐泾镇215弄1号1201</t>
  </si>
  <si>
    <t>0003921</t>
  </si>
  <si>
    <t>齐齐哈尔路598弄32号602</t>
  </si>
  <si>
    <t>000717</t>
  </si>
  <si>
    <t>王明荣/郑俊旭</t>
  </si>
  <si>
    <t>13328140055/13585856664</t>
  </si>
  <si>
    <t>嘉定区雅翔路288弄6号1901</t>
  </si>
  <si>
    <t>鲍鹏</t>
  </si>
  <si>
    <t>金口路471弄27号401</t>
  </si>
  <si>
    <t>0001996</t>
  </si>
  <si>
    <t>宋焱</t>
  </si>
  <si>
    <t>浦东区川沙华夏二路1455弄17号501</t>
  </si>
  <si>
    <t>0001997</t>
  </si>
  <si>
    <t>严志峰</t>
  </si>
  <si>
    <t>周军路500弄19号1002</t>
  </si>
  <si>
    <t>0000110</t>
  </si>
  <si>
    <t>陈浩铧</t>
  </si>
  <si>
    <t>浦东区长岛路85弄28号202</t>
  </si>
  <si>
    <t>普陀区金鼎路1600弄16号1301</t>
  </si>
  <si>
    <t>0003571</t>
  </si>
  <si>
    <t>韩斐</t>
  </si>
  <si>
    <t>闵行区银春路1799弄182号801</t>
  </si>
  <si>
    <t>0001952</t>
  </si>
  <si>
    <t>吴振飞</t>
  </si>
  <si>
    <t>浦东区莲园路151弄3号601</t>
  </si>
  <si>
    <t>0003515</t>
  </si>
  <si>
    <t>黄黎鸣</t>
  </si>
  <si>
    <t>松江明中路175弄111号</t>
  </si>
  <si>
    <t>陈娅</t>
  </si>
  <si>
    <t>闵行区万源路788弄万源城5号1001</t>
  </si>
  <si>
    <t>金山区龙湾1号25号</t>
  </si>
  <si>
    <t>武定路44弄17-302室</t>
  </si>
  <si>
    <t>刘嘉妮</t>
  </si>
  <si>
    <t>通洲路188弄5号楼1504室</t>
  </si>
  <si>
    <t>0002795</t>
  </si>
  <si>
    <t>陈怡璇</t>
  </si>
  <si>
    <t>余姚路19号1403</t>
  </si>
  <si>
    <t>0001999</t>
  </si>
  <si>
    <t>江晨毅</t>
  </si>
  <si>
    <t>浦东新区秀沿西路218弄135号101</t>
  </si>
  <si>
    <t>杨海燕</t>
  </si>
  <si>
    <t>宝山区上大路1288弄71号101</t>
  </si>
  <si>
    <t>陈颖</t>
  </si>
  <si>
    <t>芦恒路378弄194室1201</t>
  </si>
  <si>
    <t>蔡兆伶</t>
  </si>
  <si>
    <t>普陀区宁夏路366弄8号1005</t>
  </si>
  <si>
    <t>0003516</t>
  </si>
  <si>
    <t>戴俊霞</t>
  </si>
  <si>
    <t>河南南路398弄4号13A</t>
  </si>
  <si>
    <t>0001729</t>
  </si>
  <si>
    <t>青浦区宵鼎路899弄95号301</t>
  </si>
  <si>
    <t>陈溯溯</t>
  </si>
  <si>
    <t>浦东新区川周公路4058弄71号302</t>
  </si>
  <si>
    <t>马志清</t>
  </si>
  <si>
    <t>云山路1395弄72号202</t>
  </si>
  <si>
    <t>田滨</t>
  </si>
  <si>
    <t>石泉东路168弄9号1501</t>
  </si>
  <si>
    <t>陈任重</t>
  </si>
  <si>
    <t>浦东区俱进路285弄79号801</t>
  </si>
  <si>
    <t>施海安</t>
  </si>
  <si>
    <t>浦东新区兰谷路2188弄6号302</t>
  </si>
  <si>
    <t>0002436</t>
  </si>
  <si>
    <t>孙梦洋</t>
  </si>
  <si>
    <t>顾味华</t>
  </si>
  <si>
    <t>虹梅路2555弄10号401</t>
  </si>
  <si>
    <t>0002799</t>
  </si>
  <si>
    <t>刘培佩</t>
  </si>
  <si>
    <t>虹许路555弄30号</t>
  </si>
  <si>
    <t>0002435</t>
  </si>
  <si>
    <t>陈娣</t>
  </si>
  <si>
    <t>松江区来坊路智雅汇64号1302</t>
  </si>
  <si>
    <t>0001107</t>
  </si>
  <si>
    <t>尹军</t>
  </si>
  <si>
    <t>宝山区上大路218弄18号401</t>
  </si>
  <si>
    <t>0002888</t>
  </si>
  <si>
    <t>李力明</t>
  </si>
  <si>
    <t>宝山区行知路572弄36号402室</t>
  </si>
  <si>
    <t>0002514</t>
  </si>
  <si>
    <t>闵行区莲花南路3988弄707号1701</t>
  </si>
  <si>
    <t>常熟路100弄11号14B</t>
  </si>
  <si>
    <t>张陈建</t>
  </si>
  <si>
    <t>雷瑛</t>
  </si>
  <si>
    <t>宝山区淞南十村192号601</t>
  </si>
  <si>
    <t>姚瑶</t>
  </si>
  <si>
    <t>佘山院子二期213</t>
  </si>
  <si>
    <t>0000144</t>
  </si>
  <si>
    <t>柯婷婷</t>
  </si>
  <si>
    <t>嘉定区裕丰路228弄6号401</t>
  </si>
  <si>
    <t>0000143</t>
  </si>
  <si>
    <t>朱鹤云</t>
  </si>
  <si>
    <t>嘉定区金园一路1115弄119号401</t>
  </si>
  <si>
    <t>赵辉</t>
  </si>
  <si>
    <t>徐汇区长桥五村32号501</t>
  </si>
  <si>
    <t>柏澜晶舍</t>
  </si>
  <si>
    <t>章毅俊</t>
  </si>
  <si>
    <t>徐汇区漕溪三村486号603</t>
  </si>
  <si>
    <t>浦东新区华鹏路大华斐勒</t>
  </si>
  <si>
    <t>0001730</t>
  </si>
  <si>
    <t>松江区伴亭路象屿虹桥38号1403</t>
  </si>
  <si>
    <t>陈婧</t>
  </si>
  <si>
    <t>杨浦区延吉一村13号501</t>
  </si>
  <si>
    <t>袁在所</t>
  </si>
  <si>
    <t>青浦区白鹤镇起航城6号501</t>
  </si>
  <si>
    <t>满毅</t>
  </si>
  <si>
    <t>黄浦区陕西南路39弄3号</t>
  </si>
  <si>
    <t>0002997</t>
  </si>
  <si>
    <t>赵维杰</t>
  </si>
  <si>
    <t>纬地路375弄18号902</t>
  </si>
  <si>
    <t>0002798</t>
  </si>
  <si>
    <t>夏奕</t>
  </si>
  <si>
    <t>青浦区绿舟路188弄63号</t>
  </si>
  <si>
    <t>0002805</t>
  </si>
  <si>
    <t>余剑峰</t>
  </si>
  <si>
    <t>普陀区石泉六村23号207</t>
  </si>
  <si>
    <t>0000675</t>
  </si>
  <si>
    <t>杨贞祯</t>
  </si>
  <si>
    <t>浦东新区春泉路45弄17号703</t>
  </si>
  <si>
    <t>黄爱华</t>
  </si>
  <si>
    <t>牡丹江路1298弄78号602</t>
  </si>
  <si>
    <t>0000918</t>
  </si>
  <si>
    <t>张晓明</t>
  </si>
  <si>
    <t>东宝兴路258弄3号1203</t>
  </si>
  <si>
    <t>李毅</t>
  </si>
  <si>
    <t>宝山区水乡路2199弄211号3室</t>
  </si>
  <si>
    <t>0055920</t>
  </si>
  <si>
    <t>方海燕</t>
  </si>
  <si>
    <t>金碧路1959弄148号301</t>
  </si>
  <si>
    <t>0056697</t>
  </si>
  <si>
    <t>王文清</t>
  </si>
  <si>
    <t>奉贤区雍贤府20号401</t>
  </si>
  <si>
    <t>奉贤区雍贤府129号502</t>
  </si>
  <si>
    <t>0055921</t>
  </si>
  <si>
    <t>于萍</t>
  </si>
  <si>
    <t>金碧路1939弄131号1102</t>
  </si>
  <si>
    <t>徐建丽</t>
  </si>
  <si>
    <t>长宁区宜华路299弄1号1C</t>
  </si>
  <si>
    <t>浦东新区康杉路386弄12号601</t>
  </si>
  <si>
    <t>冯易安</t>
  </si>
  <si>
    <t>丁香路910弄2号602</t>
  </si>
  <si>
    <t>茅文霏</t>
  </si>
  <si>
    <t>嘉定区嘉庚路1050弄4号1602</t>
  </si>
  <si>
    <t>0002800</t>
  </si>
  <si>
    <t>邬华峰</t>
  </si>
  <si>
    <t>松江区伴亭路855弄1号1303</t>
  </si>
  <si>
    <t>白璐</t>
  </si>
  <si>
    <t>浦东区东园三村321号303</t>
  </si>
  <si>
    <t>邱红静</t>
  </si>
  <si>
    <t>宝山区潘泾路4777弄9号401</t>
  </si>
  <si>
    <t>虹许路788弄43号1304号</t>
  </si>
  <si>
    <t>严建华</t>
  </si>
  <si>
    <t>红蚂蚁纪队</t>
  </si>
  <si>
    <t>宝山华秋路666弄45号1101室</t>
  </si>
  <si>
    <t>胡晨</t>
  </si>
  <si>
    <t>雪家桥路1弄1号1103</t>
  </si>
  <si>
    <t>海霞路493弄27号602</t>
  </si>
  <si>
    <t>浦东锦绣路300弄24号1503室</t>
  </si>
  <si>
    <t>浦东新区光泽路120弄59号402</t>
  </si>
  <si>
    <t>五莲路1769弄20号1302室</t>
  </si>
  <si>
    <t>闵行区疏影路1111弄新城苑小区17号0502室</t>
  </si>
  <si>
    <t>王家库路55-8-1201</t>
  </si>
  <si>
    <t>重固镇回龙村付家桥425号</t>
  </si>
  <si>
    <t>大渡河路1332弄17号301室</t>
  </si>
  <si>
    <t>浦东羽山路1950弄2号701</t>
  </si>
  <si>
    <t>松江区明兴路18弄金地双都汇56号101室</t>
  </si>
  <si>
    <t>0003517</t>
  </si>
  <si>
    <t>高天鸣</t>
  </si>
  <si>
    <t>普陀区光复西路133弄2号606</t>
  </si>
  <si>
    <t>0002194</t>
  </si>
  <si>
    <t>钱梦佳</t>
  </si>
  <si>
    <t>柏林路333弄5号803</t>
  </si>
  <si>
    <t>王代明</t>
  </si>
  <si>
    <t>松江区伴亭路855弄36号1102</t>
  </si>
  <si>
    <t>0002439</t>
  </si>
  <si>
    <t>倪寅</t>
  </si>
  <si>
    <t>松江区九亭镇伴亭路855弄24幢603</t>
  </si>
  <si>
    <t>浦东区金口路53弄14号401</t>
  </si>
  <si>
    <t>0000704</t>
  </si>
  <si>
    <t>张江镇香楠路39弄33号-303</t>
  </si>
  <si>
    <t>0000777</t>
  </si>
  <si>
    <t>何慧琴</t>
  </si>
  <si>
    <t>新鑫区大统路1088弄2栋1号501</t>
  </si>
  <si>
    <t>0002448</t>
  </si>
  <si>
    <t>唐曙音</t>
  </si>
  <si>
    <t>徐汇区斜土路1050号711</t>
  </si>
  <si>
    <t>0000145</t>
  </si>
  <si>
    <t>马现书</t>
  </si>
  <si>
    <t>上海市嘉定区栖林路425弄11号301</t>
  </si>
  <si>
    <t>张萍萍</t>
  </si>
  <si>
    <t>大华锦绣华城十八衍区17号1102</t>
  </si>
  <si>
    <t>佘龙祥</t>
  </si>
  <si>
    <t>普陀区金汤路353弄42号甲101</t>
  </si>
  <si>
    <t>李晓丽</t>
  </si>
  <si>
    <t>宝山区曹太路1198弄11号1201</t>
  </si>
  <si>
    <t>徐维泽</t>
  </si>
  <si>
    <t>松江区泗宝路458弄15号804</t>
  </si>
  <si>
    <t>龚青青</t>
  </si>
  <si>
    <t>宝山区517弄11号101</t>
  </si>
  <si>
    <t>楼慧</t>
  </si>
  <si>
    <t>虹口区曲阳路500号1607</t>
  </si>
  <si>
    <t>顾惠涛</t>
  </si>
  <si>
    <t>崇明区长兴镇长明村432号</t>
  </si>
  <si>
    <t>0001352</t>
  </si>
  <si>
    <t>庄云飞</t>
  </si>
  <si>
    <t>宝山区聚丰园628弄188号701</t>
  </si>
  <si>
    <t>冯依柳</t>
  </si>
  <si>
    <t>江桥镇黄家花园路998弄50-702号</t>
  </si>
  <si>
    <t>0003756</t>
  </si>
  <si>
    <t>赵红宾</t>
  </si>
  <si>
    <t>打浦路38弄1号4D</t>
  </si>
  <si>
    <t>0003755</t>
  </si>
  <si>
    <t>李世杰</t>
  </si>
  <si>
    <t>拱乐路2100弄6号1304</t>
  </si>
  <si>
    <t>0003754</t>
  </si>
  <si>
    <t>诸梦丹</t>
  </si>
  <si>
    <t>浦东新区华绣路179弄7号202</t>
  </si>
  <si>
    <t>沈一宇</t>
  </si>
  <si>
    <t>宝山区华和路728弄32号1002室</t>
  </si>
  <si>
    <t>童丽明</t>
  </si>
  <si>
    <t>虹口区恒业路388弄1号1001</t>
  </si>
  <si>
    <t>吴凯蒂</t>
  </si>
  <si>
    <t>杨浦区国京路50弄1号302</t>
  </si>
  <si>
    <t>0003922</t>
  </si>
  <si>
    <t>冯一靖</t>
  </si>
  <si>
    <t>澜埍路199号1304</t>
  </si>
  <si>
    <t>董天晟</t>
  </si>
  <si>
    <t>徐汇区虹漕南路718弄2号8A</t>
  </si>
  <si>
    <t>0002839</t>
  </si>
  <si>
    <t>汤群</t>
  </si>
  <si>
    <t>闵行区江川路588弄3号1304</t>
  </si>
  <si>
    <t>闵行区江松东路2899弄29号1201</t>
  </si>
  <si>
    <t>丁诺</t>
  </si>
  <si>
    <t>武威路555弄30号1602</t>
  </si>
  <si>
    <t>0004406</t>
  </si>
  <si>
    <t>俞培杰</t>
  </si>
  <si>
    <t>浦东晨晖路828弄55号903</t>
  </si>
  <si>
    <t>0000705</t>
  </si>
  <si>
    <t>张赢娟</t>
  </si>
  <si>
    <t>浦东北蔡镇紫叶路紫叶小区101弄4号401</t>
  </si>
  <si>
    <t>0000706</t>
  </si>
  <si>
    <t>王翠云</t>
  </si>
  <si>
    <t>浦东区南汇新城镇333弄1#501</t>
  </si>
  <si>
    <t>吴一江</t>
  </si>
  <si>
    <t>浦东区东靖路2250弄8号801</t>
  </si>
  <si>
    <t>李晓娇</t>
  </si>
  <si>
    <t>浦东新区巨峰路995弄华高一村96号601</t>
  </si>
  <si>
    <t>周丽</t>
  </si>
  <si>
    <t>黄浦区瞿溪路301弄7号603</t>
  </si>
  <si>
    <t>0000035</t>
  </si>
  <si>
    <t>浦东新区晶波坊30号402</t>
  </si>
  <si>
    <t>钱英</t>
  </si>
  <si>
    <t>静安区大宁路88弄9号302</t>
  </si>
  <si>
    <t>邵瑾</t>
  </si>
  <si>
    <t>浦东新区东方路1881弄62号501</t>
  </si>
  <si>
    <t>梅雅莉</t>
  </si>
  <si>
    <t>浦东区利津路729弄丽都城品17号1102</t>
  </si>
  <si>
    <t>朱红娟</t>
  </si>
  <si>
    <t>浦东区齐河路438弄359号402</t>
  </si>
  <si>
    <t>徐向禹</t>
  </si>
  <si>
    <t>嘉定区安研路67弄10号1501</t>
  </si>
  <si>
    <t>李琛</t>
  </si>
  <si>
    <t>上海市松江文诚路2188弄410号1201</t>
  </si>
  <si>
    <t>王美红</t>
  </si>
  <si>
    <t>保利西子湾170号202</t>
  </si>
  <si>
    <t>廖永清</t>
  </si>
  <si>
    <t>竹柏路758弄113号801</t>
  </si>
  <si>
    <t>0001839</t>
  </si>
  <si>
    <t>杨金和</t>
  </si>
  <si>
    <t>水都南岸448号503</t>
  </si>
  <si>
    <t>0002105</t>
  </si>
  <si>
    <t>何建海</t>
  </si>
  <si>
    <t>浦东区方竹路333弄28号402</t>
  </si>
  <si>
    <t>武张秀夫</t>
  </si>
  <si>
    <t>虹口区长阳路355弄3号1707</t>
  </si>
  <si>
    <t>0001435</t>
  </si>
  <si>
    <t>陆萍萍</t>
  </si>
  <si>
    <t>林展路422弄8号2001</t>
  </si>
  <si>
    <t>孙利梅</t>
  </si>
  <si>
    <t>普陀区祁连山南路999弄34号1202</t>
  </si>
  <si>
    <t>0002199</t>
  </si>
  <si>
    <t>徐汇区华发路99弄53号101</t>
  </si>
  <si>
    <t>孙启智</t>
  </si>
  <si>
    <t>青浦区赵巷秀泽路339弄15号304</t>
  </si>
  <si>
    <t>邵蕾</t>
  </si>
  <si>
    <t>浦东新区银峰路676弄1号1203</t>
  </si>
  <si>
    <t>薜银斌</t>
  </si>
  <si>
    <t>闵行区莘松路225弄2号303</t>
  </si>
  <si>
    <t>刘淳</t>
  </si>
  <si>
    <t>东方路3465弄8号901</t>
  </si>
  <si>
    <t>0000149</t>
  </si>
  <si>
    <t>大成群75号2001</t>
  </si>
  <si>
    <t>0000175</t>
  </si>
  <si>
    <t>葛玉明</t>
  </si>
  <si>
    <t>宝山区长白山路633弄20号401</t>
  </si>
  <si>
    <t>0001992</t>
  </si>
  <si>
    <t>代小姐</t>
  </si>
  <si>
    <t>秋竹路802弄32号101</t>
  </si>
  <si>
    <t>0001353</t>
  </si>
  <si>
    <t>杨浦区中原路32弄2号502</t>
  </si>
  <si>
    <t>0001120</t>
  </si>
  <si>
    <t>嘉定区花园里13号1501</t>
  </si>
  <si>
    <t>袁丽菊</t>
  </si>
  <si>
    <t>杨高北路1188弄1号803</t>
  </si>
  <si>
    <t>谢永松</t>
  </si>
  <si>
    <t>市光二村130号401室</t>
  </si>
  <si>
    <t>杨韬</t>
  </si>
  <si>
    <t>正青路599弄37号401室</t>
  </si>
  <si>
    <t>田恬</t>
  </si>
  <si>
    <t>闵行区古美西路628弄55号302</t>
  </si>
  <si>
    <t>0002517</t>
  </si>
  <si>
    <t>屠辉凤</t>
  </si>
  <si>
    <t>奉贤区庆园路189弄桐南美腐小区28号301室</t>
  </si>
  <si>
    <t>石先生</t>
  </si>
  <si>
    <t>宝山区纬地路99弄经纬小区19号603室</t>
  </si>
  <si>
    <t>田蜜</t>
  </si>
  <si>
    <t>闵行区龙吴路5688号万科花园小城</t>
  </si>
  <si>
    <t>朱肖俊</t>
  </si>
  <si>
    <t>高跃路133弄804室</t>
  </si>
  <si>
    <t>沈晓</t>
  </si>
  <si>
    <t>吕巷太平村五组4020号</t>
  </si>
  <si>
    <t>0002440</t>
  </si>
  <si>
    <t>黄俭</t>
  </si>
  <si>
    <t>闵行区罗秀路1980弄37号702</t>
  </si>
  <si>
    <t>27号测量</t>
  </si>
  <si>
    <t>嘉定区嘉康公路169弄68号401</t>
  </si>
  <si>
    <t>0002200</t>
  </si>
  <si>
    <t>沈佳熙</t>
  </si>
  <si>
    <t>闵行区万源路986弄11号701</t>
  </si>
  <si>
    <t>涂鼎</t>
  </si>
  <si>
    <t>晨晖路828弄4号1103</t>
  </si>
  <si>
    <t>张魏</t>
  </si>
  <si>
    <t>大华路988弄122号201</t>
  </si>
  <si>
    <t>李彩红</t>
  </si>
  <si>
    <t>浦连路598弄21号楼204</t>
  </si>
  <si>
    <t>0002802</t>
  </si>
  <si>
    <t>陈凌</t>
  </si>
  <si>
    <t>闸北区会丈路48号</t>
  </si>
  <si>
    <t>韩智豪</t>
  </si>
  <si>
    <t>青浦区帕提欧香苑7号楼401</t>
  </si>
  <si>
    <t>0001934</t>
  </si>
  <si>
    <t>11.11已买单</t>
  </si>
  <si>
    <t>闵行区古美路377弄23号902</t>
  </si>
  <si>
    <t>杨佳玲</t>
  </si>
  <si>
    <t>普陀区安远路16弄4号2104室</t>
  </si>
  <si>
    <t>陈安琳</t>
  </si>
  <si>
    <t>浦东新区杨思路855弄申江豪城38号301室</t>
  </si>
  <si>
    <t>0003923</t>
  </si>
  <si>
    <t>陈超越</t>
  </si>
  <si>
    <t>翔殷路505弄7单元403</t>
  </si>
  <si>
    <t>金盛店</t>
  </si>
  <si>
    <t>杨颖</t>
  </si>
  <si>
    <t>曹所</t>
  </si>
  <si>
    <t>闵行区贵都路2096弄16号301</t>
  </si>
  <si>
    <t>金山区朱泾名园3号604</t>
  </si>
  <si>
    <t>范卫霞</t>
  </si>
  <si>
    <t>宝山区联谊路501弄鑫鑫花园58号201</t>
  </si>
  <si>
    <t>闵行区莘朱路863弄45号403</t>
  </si>
  <si>
    <t>松江区泗泾镇绿波景园27号402</t>
  </si>
  <si>
    <t>天山五村68号302室</t>
  </si>
  <si>
    <t>嘉松中路6888弄63号101室</t>
  </si>
  <si>
    <t>张鸿哗</t>
  </si>
  <si>
    <t>三江路88弄21号501室</t>
  </si>
  <si>
    <t>富民路210弄2号2楼</t>
  </si>
  <si>
    <t>浦东新区南码头路1288弄1号404室</t>
  </si>
  <si>
    <t>浦东川周公路8682弄7号902</t>
  </si>
  <si>
    <t>盛辉球</t>
  </si>
  <si>
    <t>宝山区乐山路655弄7号104室</t>
  </si>
  <si>
    <t>蒋海洋</t>
  </si>
  <si>
    <t>兰谷路2955弄26-104</t>
  </si>
  <si>
    <t>吴浩/丁建国</t>
  </si>
  <si>
    <t>上海浦东新区蔡镇沪南卢2229号活力城2024商铺</t>
  </si>
  <si>
    <t>沪南路2727弄845</t>
  </si>
  <si>
    <t>赵玉荣</t>
  </si>
  <si>
    <t>青浦区青泰路500弄1号901室</t>
  </si>
  <si>
    <t>0003519</t>
  </si>
  <si>
    <t>李家鸣</t>
  </si>
  <si>
    <t>安远路800号51号7C</t>
  </si>
  <si>
    <t>0002842</t>
  </si>
  <si>
    <t>韦敏</t>
  </si>
  <si>
    <t>皇家花园路998弄15-44-301</t>
  </si>
  <si>
    <t>滕敏</t>
  </si>
  <si>
    <t>浦东新区龚丰路龚路新城16号1001室</t>
  </si>
  <si>
    <t>0000463</t>
  </si>
  <si>
    <t>黄逸骏</t>
  </si>
  <si>
    <t>金山区阴曲路1398弄16号202室</t>
  </si>
  <si>
    <t>吴红樱</t>
  </si>
  <si>
    <t>闵行区卢恒璐378弄176号1202室</t>
  </si>
  <si>
    <t>0002844</t>
  </si>
  <si>
    <t>浦东区成山路350弄上南十村14号604室</t>
  </si>
  <si>
    <t>000004</t>
  </si>
  <si>
    <t>宋天豪</t>
  </si>
  <si>
    <t>浦东区永宁路33弄32号1503室</t>
  </si>
  <si>
    <t>王佳丽</t>
  </si>
  <si>
    <t>罗秀路647号长桥十村22号203室</t>
  </si>
  <si>
    <t>刘智强</t>
  </si>
  <si>
    <t>宝山区美艾路198弄颐景园小区39号302室</t>
  </si>
  <si>
    <t>0003521</t>
  </si>
  <si>
    <t>张正邦</t>
  </si>
  <si>
    <t>沪南路2729弄238号</t>
  </si>
  <si>
    <t>倪文杰</t>
  </si>
  <si>
    <t>新村路2003弄46号701</t>
  </si>
  <si>
    <t>董经理</t>
  </si>
  <si>
    <t>黄浦区济南路260号1栋1002</t>
  </si>
  <si>
    <t>王志祥</t>
  </si>
  <si>
    <t>利津路729弄29号102</t>
  </si>
  <si>
    <t>李雅静</t>
  </si>
  <si>
    <t>国定路597弄91号301室</t>
  </si>
  <si>
    <t>袁晓懿</t>
  </si>
  <si>
    <t>杨浦区阜新路184弄14号204</t>
  </si>
  <si>
    <t>蒲申路633弄49号302</t>
  </si>
  <si>
    <t>陆云平</t>
  </si>
  <si>
    <t>浦东新区环林东路270弄9号702室</t>
  </si>
  <si>
    <t>廖玮</t>
  </si>
  <si>
    <t>浦东新区尚博路518弄7号1302室</t>
  </si>
  <si>
    <t>周浦镇年家滨路366弄欣周花苑22号501室</t>
  </si>
  <si>
    <t>虹梅路3297弄5号101室</t>
  </si>
  <si>
    <t>宝山华滨新村5号103</t>
  </si>
  <si>
    <t>虹口区梧州路218弄6号1806室</t>
  </si>
  <si>
    <t>浦东新区季景路555弄12号402</t>
  </si>
  <si>
    <t>普陀区铜川路999弄23号402室</t>
  </si>
  <si>
    <t>0003522</t>
  </si>
  <si>
    <t>谭永生</t>
  </si>
  <si>
    <t>浦东桃林路1141弄3#1702</t>
  </si>
  <si>
    <t>张戟</t>
  </si>
  <si>
    <t>宝山区滨江公园一号</t>
  </si>
  <si>
    <t>王安东</t>
  </si>
  <si>
    <t>浦东区成山路1728弄2号803室</t>
  </si>
  <si>
    <t>徐文杰</t>
  </si>
  <si>
    <t>新村路203弄46号701室</t>
  </si>
  <si>
    <t>黄思妮</t>
  </si>
  <si>
    <t>浦东新区云山路1043弄金杨二街坊6号501室</t>
  </si>
  <si>
    <t>0002441</t>
  </si>
  <si>
    <t>刘东银</t>
  </si>
  <si>
    <t>浦东新区德州路380弄德州十村49号602室</t>
  </si>
  <si>
    <t>周三测</t>
  </si>
  <si>
    <t>0004035</t>
  </si>
  <si>
    <t>涂光泽</t>
  </si>
  <si>
    <t>象屿虹桥25号803</t>
  </si>
  <si>
    <t>0000044</t>
  </si>
  <si>
    <t>许鹏</t>
  </si>
  <si>
    <t>金山区龙胜路789弄79号101室</t>
  </si>
  <si>
    <t>陶华萍</t>
  </si>
  <si>
    <t>嘉定区安亭镇向阳村403</t>
  </si>
  <si>
    <t>徐菱</t>
  </si>
  <si>
    <t>458弄12号1002</t>
  </si>
  <si>
    <t>0003757</t>
  </si>
  <si>
    <t>唐亚</t>
  </si>
  <si>
    <t>浦城路99弄10号503室</t>
  </si>
  <si>
    <t>唐吉</t>
  </si>
  <si>
    <t>徐汇区华发路333弄901室</t>
  </si>
  <si>
    <t>朱真轶</t>
  </si>
  <si>
    <t>高跃路133-8-403室</t>
  </si>
  <si>
    <t>0001840</t>
  </si>
  <si>
    <t>叶丹</t>
  </si>
  <si>
    <t>朱周曦</t>
  </si>
  <si>
    <t>青浦区帕提欧香苑449号</t>
  </si>
  <si>
    <t>范榕文</t>
  </si>
  <si>
    <t>嘉定区高台路353弄9号802</t>
  </si>
  <si>
    <t>徐岳良</t>
  </si>
  <si>
    <t>长宁区古北路1398弄4号1201</t>
  </si>
  <si>
    <t>0001811</t>
  </si>
  <si>
    <t>王辛蕾</t>
  </si>
  <si>
    <t>浦东东建路670弄19号601</t>
  </si>
  <si>
    <t>0003582</t>
  </si>
  <si>
    <t>聊真</t>
  </si>
  <si>
    <t>虹古路377弄30支弄15号201</t>
  </si>
  <si>
    <t>吴琛莉</t>
  </si>
  <si>
    <t>金汇南路60弄58号801</t>
  </si>
  <si>
    <t>0000146</t>
  </si>
  <si>
    <t>陈莉娟</t>
  </si>
  <si>
    <t>梅川路278弄28号302</t>
  </si>
  <si>
    <t>0002807</t>
  </si>
  <si>
    <t>陈美凤</t>
  </si>
  <si>
    <t>浦东新区东方路1800弄50号302</t>
  </si>
  <si>
    <t>吴佳</t>
  </si>
  <si>
    <t>东体育会路100弄2#802</t>
  </si>
  <si>
    <t>0001451</t>
  </si>
  <si>
    <t>徐文芸</t>
  </si>
  <si>
    <t>徐汇区中山南二路932弄6号1201</t>
  </si>
  <si>
    <t>0002998</t>
  </si>
  <si>
    <t>应勇</t>
  </si>
  <si>
    <t>崇明新村乡新国村727号</t>
  </si>
  <si>
    <t>李胜仕</t>
  </si>
  <si>
    <t>青浦区顾会庭17号201</t>
  </si>
  <si>
    <t>阮鸿斌</t>
  </si>
  <si>
    <t>杨浦区河间路555弄3号1102</t>
  </si>
  <si>
    <t>0001436</t>
  </si>
  <si>
    <t>普陀区铜川路2059弄52号101</t>
  </si>
  <si>
    <t>马雪君</t>
  </si>
  <si>
    <t>静安区安远路389弄13号704</t>
  </si>
  <si>
    <t>徐立其</t>
  </si>
  <si>
    <t>杨浦区霍山路788弄嘉绿小区11号201</t>
  </si>
  <si>
    <t>欧阳路289弄17号501室</t>
  </si>
  <si>
    <t>普陀区真光路798弄13号1102室</t>
  </si>
  <si>
    <t>顾妹红</t>
  </si>
  <si>
    <t>浦东新区南方公路99弄20支弄5号</t>
  </si>
  <si>
    <t>郑祺</t>
  </si>
  <si>
    <t>杨浦区平凉路1749弄17号302室</t>
  </si>
  <si>
    <t>顾群</t>
  </si>
  <si>
    <t>五里桥路269弄8号301室</t>
  </si>
  <si>
    <t>吴莲娟</t>
  </si>
  <si>
    <t>浦东新区1177弄6支</t>
  </si>
  <si>
    <t>0002204</t>
  </si>
  <si>
    <t>陆永威</t>
  </si>
  <si>
    <t>浦东新区方竹路88弄滴水湖馨苑18号401室</t>
  </si>
  <si>
    <t>李长年</t>
  </si>
  <si>
    <t>静安区武宁南路310号1602室</t>
  </si>
  <si>
    <t>0001437</t>
  </si>
  <si>
    <t>胡瑶瑶</t>
  </si>
  <si>
    <t>松江区朗庭路288弄朗庭上郡157号802室</t>
  </si>
  <si>
    <t>邓钧尹</t>
  </si>
  <si>
    <t>康达路118弄柏澜晶舍5号1101室</t>
  </si>
  <si>
    <t>0003583</t>
  </si>
  <si>
    <t>龚卫平</t>
  </si>
  <si>
    <t>长宁路1818弄17号202室</t>
  </si>
  <si>
    <t>0001779</t>
  </si>
  <si>
    <t>谢娟娟</t>
  </si>
  <si>
    <t>浦东新区成山路668弄30号504室</t>
  </si>
  <si>
    <t>0003523</t>
  </si>
  <si>
    <t>王游</t>
  </si>
  <si>
    <t>宝山区650弄21号2706室</t>
  </si>
  <si>
    <t>夏爱明</t>
  </si>
  <si>
    <t>宝山区俀化路50弄54号402室</t>
  </si>
  <si>
    <t>淮凯文</t>
  </si>
  <si>
    <t>杨浦区翔殷路500弄莱茵半岛39号1601室</t>
  </si>
  <si>
    <t>0001937</t>
  </si>
  <si>
    <t>张顺兴</t>
  </si>
  <si>
    <t>闵行区莘朱路1760弄78号101室</t>
  </si>
  <si>
    <t>张炤宇</t>
  </si>
  <si>
    <t>胶州路1155弄徐州小区15号201室</t>
  </si>
  <si>
    <t>汪云丽</t>
  </si>
  <si>
    <t>松江区刘家山路1008弄29号301室</t>
  </si>
  <si>
    <t>0056927</t>
  </si>
  <si>
    <t>徐上义</t>
  </si>
  <si>
    <t>奉贤区古华南区854号302室</t>
  </si>
  <si>
    <t>0001427</t>
  </si>
  <si>
    <t>蒋小卫</t>
  </si>
  <si>
    <t>浦东新区周星路500弄明天华城19号1102室</t>
  </si>
  <si>
    <t>0001430</t>
  </si>
  <si>
    <t>范雅红</t>
  </si>
  <si>
    <t>浦东区芳华路713弄6号101室</t>
  </si>
  <si>
    <t>还没开始装修</t>
  </si>
  <si>
    <t>0000713</t>
  </si>
  <si>
    <t>夏文川</t>
  </si>
  <si>
    <t>虹口区广灵四路280弄23号601</t>
  </si>
  <si>
    <t>金山区九工路未来派小区6号603室</t>
  </si>
  <si>
    <t>张周川</t>
  </si>
  <si>
    <t>徐汇区田东路258弄宏润国际花园11号2503室</t>
  </si>
  <si>
    <t>0002202</t>
  </si>
  <si>
    <t>上海磐石电子科技</t>
  </si>
  <si>
    <t>浦东区东纬路1085弄12号1002室</t>
  </si>
  <si>
    <t>宋志强</t>
  </si>
  <si>
    <t>静安区永和三村</t>
  </si>
  <si>
    <t>0002744</t>
  </si>
  <si>
    <t>韦建</t>
  </si>
  <si>
    <t>闵行区罗锦路888弄1103号</t>
  </si>
  <si>
    <t>孙伟铭</t>
  </si>
  <si>
    <t>上海市青浦区318弄19号503室</t>
  </si>
  <si>
    <t>顾女士</t>
  </si>
  <si>
    <t>胜竹路绿地小区52号102室</t>
  </si>
  <si>
    <t>张宇</t>
  </si>
  <si>
    <t>嘉善县万联花园15栋一单元1403</t>
  </si>
  <si>
    <t>李彬</t>
  </si>
  <si>
    <t>嘉定区芳林路1357弄湖畔三期182号</t>
  </si>
  <si>
    <t>彭程</t>
  </si>
  <si>
    <t>海防路58弄12号702</t>
  </si>
  <si>
    <t>项海龙</t>
  </si>
  <si>
    <t>民惠佳苑三区289号502室</t>
  </si>
  <si>
    <t>松江区古楼公路659弄26号-3-301室</t>
  </si>
  <si>
    <t>城丰路599弄10号902室</t>
  </si>
  <si>
    <t>张叶蓁 徐宏昌</t>
  </si>
  <si>
    <t>永平南路198弄8号1303</t>
  </si>
  <si>
    <t>松江泗陈公路2118弄2号102</t>
  </si>
  <si>
    <t>上南四村13号401</t>
  </si>
  <si>
    <t>长宁区福泉路123弄19号1101室</t>
  </si>
  <si>
    <t>刘天石</t>
  </si>
  <si>
    <t>闵行区景谷中路58弄16号1501室</t>
  </si>
  <si>
    <t>周俊</t>
  </si>
  <si>
    <t>普陀区泾惠路91弄3号1706室</t>
  </si>
  <si>
    <t>0003759</t>
  </si>
  <si>
    <t>吴志德</t>
  </si>
  <si>
    <t>131366293903</t>
  </si>
  <si>
    <t>浦东新区洪营路125弄2号1104室</t>
  </si>
  <si>
    <t>0003758</t>
  </si>
  <si>
    <t>顾秀萍</t>
  </si>
  <si>
    <t>中山西路189弄3号1203室</t>
  </si>
  <si>
    <t>郭豪翀</t>
  </si>
  <si>
    <t>淮海西路343号鑫城苑1006</t>
  </si>
  <si>
    <t>0001310</t>
  </si>
  <si>
    <t>龚海琼</t>
  </si>
  <si>
    <t>国顺路80弄52号301室</t>
  </si>
  <si>
    <t>0001309</t>
  </si>
  <si>
    <t>李敬承</t>
  </si>
  <si>
    <t>黄浦区南丰车站路318弄2号1501室</t>
  </si>
  <si>
    <t>0003765</t>
  </si>
  <si>
    <t>章智巍</t>
  </si>
  <si>
    <t>镇坪路177弄29号1002</t>
  </si>
  <si>
    <t>0002197</t>
  </si>
  <si>
    <t>王永超</t>
  </si>
  <si>
    <t>浦东区西营南路67弄天池苑小区35号302室</t>
  </si>
  <si>
    <t>0002690</t>
  </si>
  <si>
    <t>诸海燕</t>
  </si>
  <si>
    <t>浦东下南路526弄5号302</t>
  </si>
  <si>
    <t>0002906</t>
  </si>
  <si>
    <t>顾芸芸</t>
  </si>
  <si>
    <t>浦东沈家弄500弄27号301室</t>
  </si>
  <si>
    <t>0001841</t>
  </si>
  <si>
    <t>顾莲萍</t>
  </si>
  <si>
    <t>青浦60弄1号1503室</t>
  </si>
  <si>
    <t>毕加索三期335-501</t>
  </si>
  <si>
    <t>李瑶</t>
  </si>
  <si>
    <t>崇明海路55弄88号</t>
  </si>
  <si>
    <t>0003524</t>
  </si>
  <si>
    <t>金银堰</t>
  </si>
  <si>
    <t>昆山市光明路浦西玫瑰园</t>
  </si>
  <si>
    <t>丁韵</t>
  </si>
  <si>
    <t>闵行区古美西路725弄52号301室</t>
  </si>
  <si>
    <t>范里</t>
  </si>
  <si>
    <t>63-601</t>
  </si>
  <si>
    <t>0000040</t>
  </si>
  <si>
    <t>陈俊</t>
  </si>
  <si>
    <t>浦东区丁香路910弄9号1401</t>
  </si>
  <si>
    <t>卞成威</t>
  </si>
  <si>
    <t>松江区泗泾镇泗宝路158弄金地玺湾6号201</t>
  </si>
  <si>
    <t>002583</t>
  </si>
  <si>
    <t>董卢瑶</t>
  </si>
  <si>
    <t>闵行区莘松路470弄87号102</t>
  </si>
  <si>
    <t>静安区121弄5号2505</t>
  </si>
  <si>
    <t>张元超</t>
  </si>
  <si>
    <t>康达路118弄8号301室</t>
  </si>
  <si>
    <t>李寅婷</t>
  </si>
  <si>
    <t>浦东区桃林路299弄9号602室</t>
  </si>
  <si>
    <t>邵剑</t>
  </si>
  <si>
    <t>浦东区三彩路166弄12号2303</t>
  </si>
  <si>
    <t>松江区180弄18号802室</t>
  </si>
  <si>
    <t>万望柳</t>
  </si>
  <si>
    <t>康达路118弄10号402室</t>
  </si>
  <si>
    <t>浦东新区康涵路58弄世茂云图10号701室</t>
  </si>
  <si>
    <t>闵行区平吉路88弄29号1402室</t>
  </si>
  <si>
    <t>翟德会</t>
  </si>
  <si>
    <t>松江恒大首府13号101</t>
  </si>
  <si>
    <t>吴爱红</t>
  </si>
  <si>
    <t>御中环13-802</t>
  </si>
  <si>
    <t>虹湾路313弄18号304室</t>
  </si>
  <si>
    <t>黄浦区浙江中路188弄1号401室</t>
  </si>
  <si>
    <t>崮山路251弄9-101</t>
  </si>
  <si>
    <t>嘉定南安德路766弄</t>
  </si>
  <si>
    <t>徐汇区百花街345-107-602室</t>
  </si>
  <si>
    <t>许丽英</t>
  </si>
  <si>
    <t>康达路118号11号902</t>
  </si>
  <si>
    <t>熊英</t>
  </si>
  <si>
    <t>金瀚园19号1501</t>
  </si>
  <si>
    <t>0001842</t>
  </si>
  <si>
    <t>徐昌雯</t>
  </si>
  <si>
    <t>海上郡54#102</t>
  </si>
  <si>
    <t>邵艳程</t>
  </si>
  <si>
    <t>卞延路明园森林6/2903</t>
  </si>
  <si>
    <t>沈丹</t>
  </si>
  <si>
    <t>金山区旭辉府67-1104</t>
  </si>
  <si>
    <t>张媛媛</t>
  </si>
  <si>
    <t>闵行区浦江镇江栀路500弄43号</t>
  </si>
  <si>
    <t>0001681</t>
  </si>
  <si>
    <t>沈立鸿</t>
  </si>
  <si>
    <t>长宁区仙霞路1225弄37号301</t>
  </si>
  <si>
    <t>0003530</t>
  </si>
  <si>
    <t>周鸿云</t>
  </si>
  <si>
    <t>宋园路52弄2号401</t>
  </si>
  <si>
    <t>颜叶胤</t>
  </si>
  <si>
    <t>宝山区岭南路1289弄20号501</t>
  </si>
  <si>
    <t>0003526</t>
  </si>
  <si>
    <t>姜镇华</t>
  </si>
  <si>
    <t>石龙春晓3-2306</t>
  </si>
  <si>
    <t>0003525</t>
  </si>
  <si>
    <t>鞠春波</t>
  </si>
  <si>
    <t>徐汇区华发路58号2号301</t>
  </si>
  <si>
    <t>0003527</t>
  </si>
  <si>
    <t>宋园路46弄17号702</t>
  </si>
  <si>
    <t>0003528</t>
  </si>
  <si>
    <t>冯飞扬</t>
  </si>
  <si>
    <t>番禺路37弄7号9D</t>
  </si>
  <si>
    <t>0003586</t>
  </si>
  <si>
    <t>顾屹林</t>
  </si>
  <si>
    <t>制造局路5678弄40号304</t>
  </si>
  <si>
    <t>王汴</t>
  </si>
  <si>
    <t>曹杨路2288弄12号303</t>
  </si>
  <si>
    <t>丁佳</t>
  </si>
  <si>
    <t>政木路280弄1支弄20号403</t>
  </si>
  <si>
    <t>杨浦顺平路1122弄2号1206</t>
  </si>
  <si>
    <t>吴王嫔</t>
  </si>
  <si>
    <t>金菱路1315弄34号401</t>
  </si>
  <si>
    <t>李建宁</t>
  </si>
  <si>
    <t>浦东新区创新中路399弄97号302</t>
  </si>
  <si>
    <t>0002205</t>
  </si>
  <si>
    <t>候楠楠</t>
  </si>
  <si>
    <t>闵行区西环二村9号202</t>
  </si>
  <si>
    <t>吴静</t>
  </si>
  <si>
    <t>静安区三泉路821弄72号201</t>
  </si>
  <si>
    <t>0001879</t>
  </si>
  <si>
    <t>季雪峰</t>
  </si>
  <si>
    <t>杨浦区纪念路289弄三湘小区15号501</t>
  </si>
  <si>
    <t>0001438</t>
  </si>
  <si>
    <t>钱首尚</t>
  </si>
  <si>
    <t>浦东区北艾路901弄13号301室</t>
  </si>
  <si>
    <t>0001878</t>
  </si>
  <si>
    <t>赵晶远</t>
  </si>
  <si>
    <t>静安区晶华路1015弄4号803</t>
  </si>
  <si>
    <t>0002753</t>
  </si>
  <si>
    <t>柴俊</t>
  </si>
  <si>
    <t>虹莘路1601弄3号401</t>
  </si>
  <si>
    <t>浦东新区妙川路800弄103-101</t>
  </si>
  <si>
    <t>0002752</t>
  </si>
  <si>
    <t>李福军</t>
  </si>
  <si>
    <t>浦东新区成山路2388弄108号101</t>
  </si>
  <si>
    <t>0002749</t>
  </si>
  <si>
    <t>夏锋</t>
  </si>
  <si>
    <t>松江区泗陈公路2118弄103号301室</t>
  </si>
  <si>
    <t>杨浦区市光路工农四村102号804</t>
  </si>
  <si>
    <t>0001439</t>
  </si>
  <si>
    <t>童方圆</t>
  </si>
  <si>
    <t>徐汇区梧林西街69号201</t>
  </si>
  <si>
    <t>钱立军</t>
  </si>
  <si>
    <t>浦东区下南路526弄526号404</t>
  </si>
  <si>
    <t>0001881</t>
  </si>
  <si>
    <t>高丽莉</t>
  </si>
  <si>
    <t>浦东区云莲路398弄2号903</t>
  </si>
  <si>
    <t>廖鸣</t>
  </si>
  <si>
    <t>闵行区虹梅路3333弄嘉年别墅21-4</t>
  </si>
  <si>
    <t>静安区1199弄8号2901</t>
  </si>
  <si>
    <t>0000682</t>
  </si>
  <si>
    <t>吴巨建</t>
  </si>
  <si>
    <t>徐汇区桂林西街358弄63号C室</t>
  </si>
  <si>
    <t>0000678</t>
  </si>
  <si>
    <t>罗益娟</t>
  </si>
  <si>
    <t>闵行区鹤庆路560弄105号901</t>
  </si>
  <si>
    <t>0001938</t>
  </si>
  <si>
    <t>黄超宇</t>
  </si>
  <si>
    <t>闵行区古美路1458弄18号1002</t>
  </si>
  <si>
    <t>0000680</t>
  </si>
  <si>
    <t>徐楠</t>
  </si>
  <si>
    <t>闵行区莲花路1330弄19号701</t>
  </si>
  <si>
    <t>0000542</t>
  </si>
  <si>
    <t>陆怡</t>
  </si>
  <si>
    <t>静安区虹江路1488弄6号2302</t>
  </si>
  <si>
    <t>眭晓松</t>
  </si>
  <si>
    <t>虹口欧阳路555弄16号202</t>
  </si>
  <si>
    <t>陈梓钧</t>
  </si>
  <si>
    <t>嘉定区嘉美路1050弄6号1101</t>
  </si>
  <si>
    <t>0002442</t>
  </si>
  <si>
    <t>张素琴</t>
  </si>
  <si>
    <t>浦东区德州路60弄6号1001</t>
  </si>
  <si>
    <t>曾蹇</t>
  </si>
  <si>
    <t>通河七村213号203</t>
  </si>
  <si>
    <t>张力敏</t>
  </si>
  <si>
    <t>宝山区泗塘一村155号203室</t>
  </si>
  <si>
    <t>0000077</t>
  </si>
  <si>
    <t>谢安骏</t>
  </si>
  <si>
    <t>杨浦区四平路1020弄29号1314</t>
  </si>
  <si>
    <t>0000734</t>
  </si>
  <si>
    <t>董平</t>
  </si>
  <si>
    <t>程家桥路69弄19号1802</t>
  </si>
  <si>
    <t>张展平</t>
  </si>
  <si>
    <t>杨浦区三门路55弄3号402</t>
  </si>
  <si>
    <t>卢生</t>
  </si>
  <si>
    <t>静安区程家路1316弄57号202</t>
  </si>
  <si>
    <t>管海英</t>
  </si>
  <si>
    <t>长宁区福泉路255弄5号201</t>
  </si>
  <si>
    <t>0001875</t>
  </si>
  <si>
    <t>曹维国</t>
  </si>
  <si>
    <t>闵行区银春路2200弄18号2801</t>
  </si>
  <si>
    <t>0002748</t>
  </si>
  <si>
    <t>薛蘶寅</t>
  </si>
  <si>
    <t>浦东新区215弄9号1603</t>
  </si>
  <si>
    <t>0001876</t>
  </si>
  <si>
    <t>张申琴</t>
  </si>
  <si>
    <t>浦东新区丁香路1089弄17号1801</t>
  </si>
  <si>
    <t>嘉定区芳林路668弄193号402</t>
  </si>
  <si>
    <t>沈晓慧</t>
  </si>
  <si>
    <t>国喜路806弄11号1302</t>
  </si>
  <si>
    <t>0001390</t>
  </si>
  <si>
    <t>杨迪</t>
  </si>
  <si>
    <t>黄浦区马当路357弄2号905</t>
  </si>
  <si>
    <t>丁岑</t>
  </si>
  <si>
    <t>闵行区500弄106号402</t>
  </si>
  <si>
    <t>章晓天</t>
  </si>
  <si>
    <t>浦东新区鹤永路599弄41号1602</t>
  </si>
  <si>
    <t>海岛</t>
  </si>
  <si>
    <t>浦东新区明月路188弄8号802</t>
  </si>
  <si>
    <t>徐振辉</t>
  </si>
  <si>
    <t>昆山市淀山湖镇恒海国际花园218-104</t>
  </si>
  <si>
    <t>沈添军</t>
  </si>
  <si>
    <t>嘉定区靖远路799弄46号302</t>
  </si>
  <si>
    <t>杜先生</t>
  </si>
  <si>
    <t>闵行区莘松路958弄13号503</t>
  </si>
  <si>
    <t>0000078</t>
  </si>
  <si>
    <t>陈昊</t>
  </si>
  <si>
    <t>昆山滨江公园壹号48号1801</t>
  </si>
  <si>
    <t>靳萱</t>
  </si>
  <si>
    <t>双单路1509弄265号502</t>
  </si>
  <si>
    <t>卢杰</t>
  </si>
  <si>
    <t>浦东区荣成路9弄7号1504</t>
  </si>
  <si>
    <t>张园</t>
  </si>
  <si>
    <t>徐汇区天钥桥南路1188弄3号901</t>
  </si>
  <si>
    <t>0002847</t>
  </si>
  <si>
    <t>徐雯婷</t>
  </si>
  <si>
    <t>普陀区中潭路100弄238号3001</t>
  </si>
  <si>
    <t>0002111</t>
  </si>
  <si>
    <t>卫晓苑</t>
  </si>
  <si>
    <t>康达路118弄8号302</t>
  </si>
  <si>
    <t>郑小丽</t>
  </si>
  <si>
    <t>闵行区龙茗路1458弄113号102</t>
  </si>
  <si>
    <t>梁博浩</t>
  </si>
  <si>
    <t>川环南路1049弄5号602</t>
  </si>
  <si>
    <t>刘清</t>
  </si>
  <si>
    <t>松江区古楼会路348弄63号202</t>
  </si>
  <si>
    <t>0001356</t>
  </si>
  <si>
    <t>翁海涛</t>
  </si>
  <si>
    <t>闵行区莲花南路1108弄10号901</t>
  </si>
  <si>
    <t>0001955</t>
  </si>
  <si>
    <t>周旭东</t>
  </si>
  <si>
    <t>闵行区富国路199弄11号1202</t>
  </si>
  <si>
    <t>0001972</t>
  </si>
  <si>
    <t>刘素</t>
  </si>
  <si>
    <t>银霄路100弄17号1201</t>
  </si>
  <si>
    <t>鲍华</t>
  </si>
  <si>
    <t>杨浦区民星路300弄8号801</t>
  </si>
  <si>
    <t>冀伟伟</t>
  </si>
  <si>
    <t>御桥路1978弄9号1201</t>
  </si>
  <si>
    <t>郭丽娜</t>
  </si>
  <si>
    <t>西藏南路555弄5号1004</t>
  </si>
  <si>
    <t>蔡先生</t>
  </si>
  <si>
    <t>641弄1804</t>
  </si>
  <si>
    <t>0003584</t>
  </si>
  <si>
    <t>宋勉</t>
  </si>
  <si>
    <t>德淳路99你36号801</t>
  </si>
  <si>
    <t>胡小姐</t>
  </si>
  <si>
    <t>嘉善海上风华</t>
  </si>
  <si>
    <t>沈伟</t>
  </si>
  <si>
    <t>三门路485弄77号201</t>
  </si>
  <si>
    <t>康达路118弄9号401</t>
  </si>
  <si>
    <t>0001784</t>
  </si>
  <si>
    <t>康达路118弄4号801</t>
  </si>
  <si>
    <t>0000806</t>
  </si>
  <si>
    <t>航定路568弄35-36号303</t>
  </si>
  <si>
    <t>0000170</t>
  </si>
  <si>
    <t>郝秀武</t>
  </si>
  <si>
    <t>宝山区杨鑫路266号603</t>
  </si>
  <si>
    <t>0000803</t>
  </si>
  <si>
    <t>李进</t>
  </si>
  <si>
    <t>普陀区638弄21号102</t>
  </si>
  <si>
    <t>0002808</t>
  </si>
  <si>
    <t>西康路501弄5号504</t>
  </si>
  <si>
    <t>0002751</t>
  </si>
  <si>
    <t>吴慧婧</t>
  </si>
  <si>
    <t>鲁桥南路299号2006</t>
  </si>
  <si>
    <t>0000163</t>
  </si>
  <si>
    <t>中山南路932弄6号1204</t>
  </si>
  <si>
    <t>0001880</t>
  </si>
  <si>
    <t>陈雯谣</t>
  </si>
  <si>
    <t>虹井路482弄8号101</t>
  </si>
  <si>
    <t>国科路29弄2号701</t>
  </si>
  <si>
    <t>任沧真</t>
  </si>
  <si>
    <t>鞍山五村8号204</t>
  </si>
  <si>
    <t>碧云壹寒201室</t>
  </si>
  <si>
    <t>00004407</t>
  </si>
  <si>
    <t>顾志明</t>
  </si>
  <si>
    <t>梅花路887弄3号1301</t>
  </si>
  <si>
    <t>0004408</t>
  </si>
  <si>
    <t>梁珂</t>
  </si>
  <si>
    <t>晨晖路825弄17号502</t>
  </si>
  <si>
    <t>翁菱穗</t>
  </si>
  <si>
    <t>浦东新区巨峰路1589弄243号</t>
  </si>
  <si>
    <t>崔雪森</t>
  </si>
  <si>
    <t>浦东新区祥安路228弄8号603</t>
  </si>
  <si>
    <t>0000712</t>
  </si>
  <si>
    <t>王寒霖</t>
  </si>
  <si>
    <t>浦东临沂路8弄36号1502</t>
  </si>
  <si>
    <t>00004409</t>
  </si>
  <si>
    <t>芦恒路378弄171号901</t>
  </si>
  <si>
    <t>杨柏梧</t>
  </si>
  <si>
    <t>浦东南路451弄32号603</t>
  </si>
  <si>
    <t>孙伟军</t>
  </si>
  <si>
    <t>杨浦区国湾路88弄24号401</t>
  </si>
  <si>
    <t>陈昌秀</t>
  </si>
  <si>
    <t>百安公路2699弄561号</t>
  </si>
  <si>
    <t>徐倩琳</t>
  </si>
  <si>
    <t>杨浦区双辽支路65弄27号204室</t>
  </si>
  <si>
    <t>张冬冬</t>
  </si>
  <si>
    <t>闵行区金平路777弄132号502</t>
  </si>
  <si>
    <t>0003572</t>
  </si>
  <si>
    <t>陈霁祥</t>
  </si>
  <si>
    <t>古龙路66你9号502</t>
  </si>
  <si>
    <t>0001877</t>
  </si>
  <si>
    <t>明丰路1010弄564号</t>
  </si>
  <si>
    <t>夏怡</t>
  </si>
  <si>
    <t>吴中路633弄22号601</t>
  </si>
  <si>
    <t>浦一微</t>
  </si>
  <si>
    <t>虹口区虹湾路313弄11号604</t>
  </si>
  <si>
    <t>0000677</t>
  </si>
  <si>
    <t>薛露宇</t>
  </si>
  <si>
    <t>宝山区宝荻路500弄52号102</t>
  </si>
  <si>
    <t>0002759</t>
  </si>
  <si>
    <t>闵行区珠城路99弄26号1201</t>
  </si>
  <si>
    <t>陈维青</t>
  </si>
  <si>
    <t>纬地路99弄18号301</t>
  </si>
  <si>
    <t>0001446</t>
  </si>
  <si>
    <t>沈昱</t>
  </si>
  <si>
    <t>菊太路1198弄28号803</t>
  </si>
  <si>
    <t>0002754</t>
  </si>
  <si>
    <t>吴晓峰</t>
  </si>
  <si>
    <t>浦东区金口路49弄12号101</t>
  </si>
  <si>
    <t>0003588</t>
  </si>
  <si>
    <t>董源</t>
  </si>
  <si>
    <t>红松东路2899弄31号801</t>
  </si>
  <si>
    <t>年后测量</t>
  </si>
  <si>
    <t>郑胜利</t>
  </si>
  <si>
    <t>长宁区延安西路1236弄3号401</t>
  </si>
  <si>
    <t>2020.1.8</t>
  </si>
  <si>
    <t>张虎</t>
  </si>
  <si>
    <t>嘉定区黄家花园路998弄40号1601</t>
  </si>
  <si>
    <t>闵行区莘朱路879弄高兴花园街坊</t>
  </si>
  <si>
    <t>王海蓉</t>
  </si>
  <si>
    <t>徐家汇路天天花园518号1211</t>
  </si>
  <si>
    <t>滨江公园一号25号</t>
  </si>
  <si>
    <t>丁艳</t>
  </si>
  <si>
    <t>利津路385弄92号902</t>
  </si>
  <si>
    <t>0002750</t>
  </si>
  <si>
    <t>汤咏欣</t>
  </si>
  <si>
    <t>华灵路1280弄25号102</t>
  </si>
  <si>
    <t>吴海跃</t>
  </si>
  <si>
    <t>普陀区中潭路91弄29号404</t>
  </si>
  <si>
    <t>俞永华</t>
  </si>
  <si>
    <t>恩学路165弄13号1701</t>
  </si>
  <si>
    <t>0004264</t>
  </si>
  <si>
    <t>吴胤</t>
  </si>
  <si>
    <t>浦东新区园二路299弄16号901</t>
  </si>
  <si>
    <t>韩启龙</t>
  </si>
  <si>
    <t>普陀区新村路285弄29号604</t>
  </si>
  <si>
    <t>0001263</t>
  </si>
  <si>
    <t>朱维各</t>
  </si>
  <si>
    <t>松江区九亭镇伴亭路855弄24号504</t>
  </si>
  <si>
    <t>天钥桥路968弄5号1001</t>
  </si>
  <si>
    <t>夏赢</t>
  </si>
  <si>
    <t>严城伟</t>
  </si>
  <si>
    <t>青浦区崧文阁4号102</t>
  </si>
  <si>
    <t>楼望珊/何国圣</t>
  </si>
  <si>
    <t>13671695950/16621757216</t>
  </si>
  <si>
    <t>罗城路700弄21号201室</t>
  </si>
  <si>
    <t>孙晨浩/凌绮</t>
  </si>
  <si>
    <t>沈勇</t>
  </si>
  <si>
    <t>宝山区三门路485弄51号102室</t>
  </si>
  <si>
    <t>徐汇区钦州南路8弄20号203</t>
  </si>
  <si>
    <t>徐汇区桂林路70弄110号702</t>
  </si>
  <si>
    <t>丁先生/陶队长</t>
  </si>
  <si>
    <t>祥生御江湾46号802</t>
  </si>
  <si>
    <t>王绍涵</t>
  </si>
  <si>
    <t>浦东新区春泉路45弄501</t>
  </si>
  <si>
    <t>0000141</t>
  </si>
  <si>
    <t>钱俊岭</t>
  </si>
  <si>
    <t>桂林西街111弄17号302</t>
  </si>
  <si>
    <t>梁博</t>
  </si>
  <si>
    <t>宝山区通南路99号</t>
  </si>
  <si>
    <t>0000609</t>
  </si>
  <si>
    <t>杨明</t>
  </si>
  <si>
    <t>浦东区博山东路459弄4号403</t>
  </si>
  <si>
    <t>蒋兰英</t>
  </si>
  <si>
    <t>家口路185弄34号301</t>
  </si>
  <si>
    <t>0000787</t>
  </si>
  <si>
    <t>张薇</t>
  </si>
  <si>
    <t>真北路2857弄26号401</t>
  </si>
  <si>
    <t>0002208</t>
  </si>
  <si>
    <t>焦鸿雁</t>
  </si>
  <si>
    <t>香楠路488弄11号201</t>
  </si>
  <si>
    <t>张斌辉</t>
  </si>
  <si>
    <t>浦申路1288弄6号602</t>
  </si>
  <si>
    <t>0000785</t>
  </si>
  <si>
    <t>江川路88弄11号1303</t>
  </si>
  <si>
    <t>0000781</t>
  </si>
  <si>
    <t>周嘉伟</t>
  </si>
  <si>
    <t>杨浦区688弄2号901</t>
  </si>
  <si>
    <t>0000611</t>
  </si>
  <si>
    <t>祝胜男</t>
  </si>
  <si>
    <t>五莲路1728弄29号101</t>
  </si>
  <si>
    <t>管文静</t>
  </si>
  <si>
    <t>芦恒路378弄191号202</t>
  </si>
  <si>
    <t>0002907</t>
  </si>
  <si>
    <t>曹忠承</t>
  </si>
  <si>
    <t>广粤路1500弄5号203</t>
  </si>
  <si>
    <t>王德华</t>
  </si>
  <si>
    <t>新冲路197弄95号402</t>
  </si>
  <si>
    <t>0001316</t>
  </si>
  <si>
    <t>施光红</t>
  </si>
  <si>
    <t>齐河路1179弄9号101</t>
  </si>
  <si>
    <t>0003762</t>
  </si>
  <si>
    <t>刘志良</t>
  </si>
  <si>
    <t>普陀区真金路250弄22号601</t>
  </si>
  <si>
    <t>0003761</t>
  </si>
  <si>
    <t>139017721139</t>
  </si>
  <si>
    <t>长寿路999弄54号27A</t>
  </si>
  <si>
    <t>张治</t>
  </si>
  <si>
    <t>康杉路386弄5号1002</t>
  </si>
  <si>
    <t>沙朦</t>
  </si>
  <si>
    <t>浦建路365弄8号601</t>
  </si>
  <si>
    <t>0001885</t>
  </si>
  <si>
    <t>李依婕</t>
  </si>
  <si>
    <t>北平家园7号709</t>
  </si>
  <si>
    <t>舒文</t>
  </si>
  <si>
    <t>延安西路1020号1909</t>
  </si>
  <si>
    <t>东波路325弄56号201</t>
  </si>
  <si>
    <t>吴双燕</t>
  </si>
  <si>
    <t>纬地路99弄14号604</t>
  </si>
  <si>
    <t>池亦军</t>
  </si>
  <si>
    <t>杨浦区吉浦路375弄11号501</t>
  </si>
  <si>
    <t>周艺玮</t>
  </si>
  <si>
    <t>清宁东路58弄13-1302</t>
  </si>
  <si>
    <t>庞学云</t>
  </si>
  <si>
    <t>新沪路1059弄72号602</t>
  </si>
  <si>
    <t>董文灏</t>
  </si>
  <si>
    <t>临沂北路150弄3号1904室</t>
  </si>
  <si>
    <t>0003760</t>
  </si>
  <si>
    <t>张绍懿</t>
  </si>
  <si>
    <t>平度路488弄7好503</t>
  </si>
  <si>
    <t>曹宁</t>
  </si>
  <si>
    <t>地界路43弄23号402</t>
  </si>
  <si>
    <t>倪晨超</t>
  </si>
  <si>
    <t>陈家江路1弄1号205</t>
  </si>
  <si>
    <t>0001360</t>
  </si>
  <si>
    <t>胡婷婷</t>
  </si>
  <si>
    <t>崇明区城桥镇18号502</t>
  </si>
  <si>
    <t>董红清</t>
  </si>
  <si>
    <t>峨山路485弄</t>
  </si>
  <si>
    <t>0000610</t>
  </si>
  <si>
    <t>张戈</t>
  </si>
  <si>
    <t>浦东三林路68弄32号602</t>
  </si>
  <si>
    <t>0000608</t>
  </si>
  <si>
    <t>余芳琳</t>
  </si>
  <si>
    <t>诚礼路31号501</t>
  </si>
  <si>
    <t>0001939</t>
  </si>
  <si>
    <t>周虹</t>
  </si>
  <si>
    <t>徐汇区冠生园路209号903</t>
  </si>
  <si>
    <t>汪六丰</t>
  </si>
  <si>
    <t>闵行区18弄21号501</t>
  </si>
  <si>
    <t>0000612</t>
  </si>
  <si>
    <t>聂文文</t>
  </si>
  <si>
    <t>浦东区五建路1728弄19号401室</t>
  </si>
  <si>
    <t>龚明</t>
  </si>
  <si>
    <t>新川路899弄13号602</t>
  </si>
  <si>
    <t>董磊</t>
  </si>
  <si>
    <t>商城路1025弄28号402</t>
  </si>
  <si>
    <t>赵思晨</t>
  </si>
  <si>
    <t>沪太路177弄1号501</t>
  </si>
  <si>
    <t>孙艳艳</t>
  </si>
  <si>
    <t>杨浦区四平路2350弄1号1203</t>
  </si>
  <si>
    <t>黄咏</t>
  </si>
  <si>
    <t>春申路3799弄65支弄2号201</t>
  </si>
  <si>
    <t>乔慧文</t>
  </si>
  <si>
    <t>各阳北路2399弄40号1701</t>
  </si>
  <si>
    <t>0000140</t>
  </si>
  <si>
    <t>程喆</t>
  </si>
  <si>
    <t>钦州南路8弄25号2203</t>
  </si>
  <si>
    <t>章亚民</t>
  </si>
  <si>
    <t>虹桥路1889弄9号231</t>
  </si>
  <si>
    <t>0002011</t>
  </si>
  <si>
    <t>川周公路2828弄51号603</t>
  </si>
  <si>
    <t>0001886</t>
  </si>
  <si>
    <t>蔡利</t>
  </si>
  <si>
    <t>13901660454</t>
  </si>
  <si>
    <t>延平路123弄6号1601</t>
  </si>
  <si>
    <t>梁青</t>
  </si>
  <si>
    <t>利津路1313弄34号601</t>
  </si>
  <si>
    <t>0001974</t>
  </si>
  <si>
    <t>胡菲</t>
  </si>
  <si>
    <t>富国路199弄15号1402</t>
  </si>
  <si>
    <t>0002814</t>
  </si>
  <si>
    <t>卢烨</t>
  </si>
  <si>
    <t>洪山路851弄6号201</t>
  </si>
  <si>
    <t>潘庆</t>
  </si>
  <si>
    <t>18516033270</t>
  </si>
  <si>
    <t>芦恒路378弄171号403</t>
  </si>
  <si>
    <t>张晓磊</t>
  </si>
  <si>
    <t>恒高路128弄11号2001</t>
  </si>
  <si>
    <t>彭萌萌</t>
  </si>
  <si>
    <t>牡丹路金桂小区5号301</t>
  </si>
  <si>
    <t>0000166</t>
  </si>
  <si>
    <t>陈丽华</t>
  </si>
  <si>
    <t>嘉定区江桥21号1002</t>
  </si>
  <si>
    <t>0001940</t>
  </si>
  <si>
    <t>李春寅</t>
  </si>
  <si>
    <t>水清路1100弄66号601</t>
  </si>
  <si>
    <t>张学丽</t>
  </si>
  <si>
    <t>虹湾路313弄45号602</t>
  </si>
  <si>
    <t>王海林</t>
  </si>
  <si>
    <t>竹柏路758弄49号301</t>
  </si>
  <si>
    <t>姜心元/从小姐</t>
  </si>
  <si>
    <t>场北路669弄32号1301</t>
  </si>
  <si>
    <t>0002811</t>
  </si>
  <si>
    <t>夏菁</t>
  </si>
  <si>
    <t>钦州路920弄钦州花苑1803</t>
  </si>
  <si>
    <t>朱传敏</t>
  </si>
  <si>
    <t>彰武路同济新城145好102</t>
  </si>
  <si>
    <t>应建萍</t>
  </si>
  <si>
    <t>控江路1500弄101号602</t>
  </si>
  <si>
    <t>徐东进</t>
  </si>
  <si>
    <t>宜山路691弄13号502</t>
  </si>
  <si>
    <t>周六预测</t>
  </si>
  <si>
    <t>0000338</t>
  </si>
  <si>
    <t>黄苏莉</t>
  </si>
  <si>
    <t>虹口区同鸣路111弄4号707</t>
  </si>
  <si>
    <t>王虹</t>
  </si>
  <si>
    <t>万源路400弄29号401</t>
  </si>
  <si>
    <t>宋锡超</t>
  </si>
  <si>
    <t>龙洲路425弄3号102</t>
  </si>
  <si>
    <t>金易弢</t>
  </si>
  <si>
    <t>吴中路405弄36号202</t>
  </si>
  <si>
    <t>江姝畅</t>
  </si>
  <si>
    <t>罗秀路1175弄29好301</t>
  </si>
  <si>
    <t>邱旭</t>
  </si>
  <si>
    <t>宜昌路588弄13号1301</t>
  </si>
  <si>
    <t>胡婷珠</t>
  </si>
  <si>
    <t>华漕镇300号11号301</t>
  </si>
  <si>
    <t>0001883</t>
  </si>
  <si>
    <t>黄丽璇</t>
  </si>
  <si>
    <t>伴亭路855弄25号101</t>
  </si>
  <si>
    <t>0002812</t>
  </si>
  <si>
    <t>张昊凌</t>
  </si>
  <si>
    <t>闵行区378弄181号302</t>
  </si>
  <si>
    <t>0002809</t>
  </si>
  <si>
    <t>唐国华</t>
  </si>
  <si>
    <t>平阳路1515弄6号1002</t>
  </si>
  <si>
    <t>0001884</t>
  </si>
  <si>
    <t>杜立林</t>
  </si>
  <si>
    <t>新平路569弄50号304</t>
  </si>
  <si>
    <t>0002639</t>
  </si>
  <si>
    <t>彭京利</t>
  </si>
  <si>
    <t>浦东泥城镇</t>
  </si>
  <si>
    <t>林栋杰</t>
  </si>
  <si>
    <t>国宝路600弄25号302</t>
  </si>
  <si>
    <t>0002212</t>
  </si>
  <si>
    <t>张亚</t>
  </si>
  <si>
    <t>桃林路815弄9号203</t>
  </si>
  <si>
    <t>郑鑫</t>
  </si>
  <si>
    <t>周康路869弄269号1602</t>
  </si>
  <si>
    <t>0002211</t>
  </si>
  <si>
    <t>何茂盛/刘莹</t>
  </si>
  <si>
    <t>航昌路199弄8号1203</t>
  </si>
  <si>
    <t>可能退单</t>
  </si>
  <si>
    <t>双阳北路288弄65号101</t>
  </si>
  <si>
    <t>林先生</t>
  </si>
  <si>
    <t>松林路88弄36号502</t>
  </si>
  <si>
    <t>0002803</t>
  </si>
  <si>
    <t>孙笑临</t>
  </si>
  <si>
    <t>万航渡路1579弄11号1101室</t>
  </si>
  <si>
    <t>周福星</t>
  </si>
  <si>
    <t>汶水东路541弄17号201</t>
  </si>
  <si>
    <t>0002816</t>
  </si>
  <si>
    <t>钱莉莎</t>
  </si>
  <si>
    <t>黄泉花园路41号1202</t>
  </si>
  <si>
    <t>张仕荣</t>
  </si>
  <si>
    <t>都市路2088弄470号</t>
  </si>
  <si>
    <t>0000735</t>
  </si>
  <si>
    <t>刘君</t>
  </si>
  <si>
    <t>国斗路2202号204室</t>
  </si>
  <si>
    <t>0001340</t>
  </si>
  <si>
    <t>杨悦</t>
  </si>
  <si>
    <t>武乡南路大成郡2期37号1801</t>
  </si>
  <si>
    <t>张子卿</t>
  </si>
  <si>
    <t>浦东新区1728弄50号903</t>
  </si>
  <si>
    <t>0000807</t>
  </si>
  <si>
    <t>胡一鸣</t>
  </si>
  <si>
    <t>番禺路405号304</t>
  </si>
  <si>
    <t>春光路699弄15号601</t>
  </si>
  <si>
    <t>杨贞祯/杨建国</t>
  </si>
  <si>
    <t>白文斌</t>
  </si>
  <si>
    <t>桂林西街400弄12号602</t>
  </si>
  <si>
    <t>0000737</t>
  </si>
  <si>
    <t>徐京玲</t>
  </si>
  <si>
    <t>宝山区4703弄176号102</t>
  </si>
  <si>
    <t>葛玮</t>
  </si>
  <si>
    <t>靖边路299弄18号803</t>
  </si>
  <si>
    <t>薛会萍</t>
  </si>
  <si>
    <t>佘山镇刘家小路1088弄22号7楼</t>
  </si>
  <si>
    <t>宋志刚</t>
  </si>
  <si>
    <t>莘庄镇珠城路118弄16号1001</t>
  </si>
  <si>
    <t>0002755</t>
  </si>
  <si>
    <t>李秋兰</t>
  </si>
  <si>
    <t>伴亭路855弄37号1102</t>
  </si>
  <si>
    <t>0002213</t>
  </si>
  <si>
    <t>王凯捷</t>
  </si>
  <si>
    <t>宝山区共富二村264号102</t>
  </si>
  <si>
    <t>0000168</t>
  </si>
  <si>
    <t>王之琛</t>
  </si>
  <si>
    <t>东南路3666弄16号202</t>
  </si>
  <si>
    <t>0000738</t>
  </si>
  <si>
    <t>沈丽娜</t>
  </si>
  <si>
    <t>泗塘四村51号乙302</t>
  </si>
  <si>
    <t>松江区上郡御庭51号</t>
  </si>
  <si>
    <t>李佳奕</t>
  </si>
  <si>
    <t>恒耀路66弄12号201</t>
  </si>
  <si>
    <t>赵腾</t>
  </si>
  <si>
    <t>普陀区曹杨路303弄22号2502</t>
  </si>
  <si>
    <t>0001234</t>
  </si>
  <si>
    <t>郑匡庆</t>
  </si>
  <si>
    <t>杨浦区66弄579好402</t>
  </si>
  <si>
    <t>0001239</t>
  </si>
  <si>
    <t>吴小依</t>
  </si>
  <si>
    <t>江浦路51弄7号1102</t>
  </si>
  <si>
    <t>毛海梅</t>
  </si>
  <si>
    <t>九亭镇象屿品城雪家桥路1弄5号201</t>
  </si>
  <si>
    <t>黄丹</t>
  </si>
  <si>
    <t>博山东路811弄51号102</t>
  </si>
  <si>
    <t>丁香路910弄9号1201</t>
  </si>
  <si>
    <t>0001870</t>
  </si>
  <si>
    <t>希牛公司</t>
  </si>
  <si>
    <t>巴林路61弄10号602</t>
  </si>
  <si>
    <t>元旦贴砖</t>
  </si>
  <si>
    <t>华夏东路1152弄24号202</t>
  </si>
  <si>
    <t>范耀德</t>
  </si>
  <si>
    <t>崇明区向华镇109号</t>
  </si>
  <si>
    <t>邱邱</t>
  </si>
  <si>
    <t>祝桥镇天河湖滨家园143号502</t>
  </si>
  <si>
    <t>花桥街道东绣路999弄8号701</t>
  </si>
  <si>
    <t>0000171</t>
  </si>
  <si>
    <t>刘水</t>
  </si>
  <si>
    <t>花桥区光明路18号</t>
  </si>
  <si>
    <t>范夕里</t>
  </si>
  <si>
    <t>东明路560弄3号1601</t>
  </si>
  <si>
    <t>赵飞</t>
  </si>
  <si>
    <t>黄兴路2030号</t>
  </si>
  <si>
    <t>0001314</t>
  </si>
  <si>
    <t>金雪</t>
  </si>
  <si>
    <t>江苏省太仓市双凤镇新沪紫郡20#1503</t>
  </si>
  <si>
    <t>九亭街道郎亭路61号</t>
  </si>
  <si>
    <t>叶璇</t>
  </si>
  <si>
    <t>延吉中路118弄21号204</t>
  </si>
  <si>
    <t>王哲学</t>
  </si>
  <si>
    <t>西郊锦庐59号102</t>
  </si>
  <si>
    <t>林杨</t>
  </si>
  <si>
    <t>长阳路3号2107</t>
  </si>
  <si>
    <t>孙立军</t>
  </si>
  <si>
    <t>陆家浜路388号1103</t>
  </si>
  <si>
    <t>杨曙华</t>
  </si>
  <si>
    <t>国权北路380弄4号501</t>
  </si>
  <si>
    <t>陈妤姗</t>
  </si>
  <si>
    <t>杨浦区15弄2号1105</t>
  </si>
  <si>
    <t>0001449</t>
  </si>
  <si>
    <t>雷双</t>
  </si>
  <si>
    <t>场北路399弄47号503</t>
  </si>
  <si>
    <t>七莘路2151弄上虹小区113号201</t>
  </si>
  <si>
    <t>赵/孙建平</t>
  </si>
  <si>
    <t>虹梅路3200弄43-1001</t>
  </si>
  <si>
    <t>康占宁</t>
  </si>
  <si>
    <t>嘉定区黄家花园998弄龙湖天璞小区46-1701</t>
  </si>
  <si>
    <t>陶孜</t>
  </si>
  <si>
    <t>普陀四村52号甲101</t>
  </si>
  <si>
    <t>0000810</t>
  </si>
  <si>
    <t>马杰</t>
  </si>
  <si>
    <t>青浦区299弄5-1211</t>
  </si>
  <si>
    <t>19.11.21</t>
  </si>
  <si>
    <t>韩淼淼</t>
  </si>
  <si>
    <t>龙三路152弄2幢2号101</t>
  </si>
  <si>
    <t>闫燕</t>
  </si>
  <si>
    <t>138166549323</t>
  </si>
  <si>
    <t>嘉松北路7222弄47号703</t>
  </si>
  <si>
    <t>苗陈</t>
  </si>
  <si>
    <t>张杨路1500弄8号702</t>
  </si>
  <si>
    <t>赵莎</t>
  </si>
  <si>
    <t>杨浦区66弄61号201</t>
  </si>
  <si>
    <t>张祥</t>
  </si>
  <si>
    <t>德国路1500弄-31-1501</t>
  </si>
  <si>
    <t>唐萍</t>
  </si>
  <si>
    <t>秀泽路226弄5号1201</t>
  </si>
  <si>
    <t>唐礼勋</t>
  </si>
  <si>
    <t>淮坊西路1弄2号350</t>
  </si>
  <si>
    <t>浦东新区张东路</t>
  </si>
  <si>
    <t>陈庆丰</t>
  </si>
  <si>
    <t>共富路共富一村181号502</t>
  </si>
  <si>
    <t>陈建平</t>
  </si>
  <si>
    <t>嘉定区叶城路505弄345号</t>
  </si>
  <si>
    <t>朱纪明</t>
  </si>
  <si>
    <t>万源路106号702</t>
  </si>
  <si>
    <t>黄鑫</t>
  </si>
  <si>
    <t>闵行区1158弄31号801</t>
  </si>
  <si>
    <t>郝辉</t>
  </si>
  <si>
    <t>御景龙庭197号1001</t>
  </si>
  <si>
    <t>庄辉</t>
  </si>
  <si>
    <t>逸仙路458弄6号2206</t>
  </si>
  <si>
    <t>11月16号</t>
  </si>
  <si>
    <t>0002214</t>
  </si>
  <si>
    <t>郭秀峰</t>
  </si>
  <si>
    <t>淮坊路140弄5号103</t>
  </si>
  <si>
    <t>园园</t>
  </si>
  <si>
    <t>康桥镇川周公路2928弄</t>
  </si>
  <si>
    <t>0000165</t>
  </si>
  <si>
    <t>广建玮</t>
  </si>
  <si>
    <t>嘉定区宝塔路399弄21号702</t>
  </si>
  <si>
    <t>0001346</t>
  </si>
  <si>
    <t>陈峰</t>
  </si>
  <si>
    <t>嘉邦小区41弄12号602</t>
  </si>
  <si>
    <t>0001448</t>
  </si>
  <si>
    <t>陈浩天</t>
  </si>
  <si>
    <t>延长路152弄19号302</t>
  </si>
  <si>
    <t>上海腾阁装饰</t>
  </si>
  <si>
    <t>御桥路269弄123号601</t>
  </si>
  <si>
    <t>徐小玲</t>
  </si>
  <si>
    <t>松江区泗泾镇古楼公路1198弄318号1601</t>
  </si>
  <si>
    <t>刘凌毅</t>
  </si>
  <si>
    <t>柳州路585弄1号903</t>
  </si>
  <si>
    <t>00001416</t>
  </si>
  <si>
    <t>唐芳芳</t>
  </si>
  <si>
    <t>德悦路501弄德悦小区12号1004</t>
  </si>
  <si>
    <t>吴维佳</t>
  </si>
  <si>
    <t>川沙凌空路大洪佳苑1号1701</t>
  </si>
  <si>
    <t>0001337</t>
  </si>
  <si>
    <t>宋朋</t>
  </si>
  <si>
    <t>迎园路351弄35号402</t>
  </si>
  <si>
    <t>朱振丽</t>
  </si>
  <si>
    <t>乳山路2000弄1号1502</t>
  </si>
  <si>
    <t>赖小鹰</t>
  </si>
  <si>
    <t>浦明路233弄1号401</t>
  </si>
  <si>
    <t>0001359</t>
  </si>
  <si>
    <t>陈文渊</t>
  </si>
  <si>
    <t>德园路1500弄16号1804</t>
  </si>
  <si>
    <t>0001342</t>
  </si>
  <si>
    <t>刘荧</t>
  </si>
  <si>
    <t>嘉定区高台路560弄8-301</t>
  </si>
  <si>
    <t>林毅</t>
  </si>
  <si>
    <t>金国一路1519弄56号601</t>
  </si>
  <si>
    <t>延平路200弄15号501</t>
  </si>
  <si>
    <t>嘉定区黄家花园路998弄45号201</t>
  </si>
  <si>
    <t>0001341</t>
  </si>
  <si>
    <t>朱健</t>
  </si>
  <si>
    <t>嘉定区老城宴4-603</t>
  </si>
  <si>
    <t>严佳</t>
  </si>
  <si>
    <t>宝塔路399弄</t>
  </si>
  <si>
    <t>00001422</t>
  </si>
  <si>
    <t>李庭赞</t>
  </si>
  <si>
    <t>崂山路644弄14号202</t>
  </si>
  <si>
    <t>0001338</t>
  </si>
  <si>
    <t>绿地天呈30-502</t>
  </si>
  <si>
    <t>童云</t>
  </si>
  <si>
    <t>137816542896</t>
  </si>
  <si>
    <t>悦华路246弄1号1202</t>
  </si>
  <si>
    <t>唐芬</t>
  </si>
  <si>
    <t>拱北路33幢86-604</t>
  </si>
  <si>
    <t>王雯</t>
  </si>
  <si>
    <t>嘉定区5999弄7号2001</t>
  </si>
  <si>
    <t>邢芳</t>
  </si>
  <si>
    <t>嘉定区288弄7号1901</t>
  </si>
  <si>
    <t>王东明</t>
  </si>
  <si>
    <t>宝塔路399弄13号603</t>
  </si>
  <si>
    <t>0000124</t>
  </si>
  <si>
    <t>焦慧慧</t>
  </si>
  <si>
    <t>浦东区533弄20号101</t>
  </si>
  <si>
    <t>2019.12.26</t>
  </si>
  <si>
    <t>顾雪玲</t>
  </si>
  <si>
    <t>浦东区880弄87号201</t>
  </si>
  <si>
    <t>0001361</t>
  </si>
  <si>
    <t>陈明</t>
  </si>
  <si>
    <t>张杨路1515弄9号203</t>
  </si>
  <si>
    <t>袁战刚</t>
  </si>
  <si>
    <t>桂林西街47弄51号501</t>
  </si>
  <si>
    <t>0000051</t>
  </si>
  <si>
    <t>陆蓉雅</t>
  </si>
  <si>
    <t>浦东区502弄27号401</t>
  </si>
  <si>
    <t>周梦萩</t>
  </si>
  <si>
    <t>仙霞路1125弄33号402</t>
  </si>
  <si>
    <t>胡华慧</t>
  </si>
  <si>
    <t>新场镇王桥村322号</t>
  </si>
  <si>
    <t>孔庆坤</t>
  </si>
  <si>
    <t>浦东新区238-30-101</t>
  </si>
  <si>
    <t>孙泽宇</t>
  </si>
  <si>
    <t>莘西南路400-67-201</t>
  </si>
  <si>
    <t>莫凌</t>
  </si>
  <si>
    <t>罗秀路1955弄7号701</t>
  </si>
  <si>
    <t>王怡文</t>
  </si>
  <si>
    <t>彭浦镇阳城路280弄30号</t>
  </si>
  <si>
    <t>濮晓蕾</t>
  </si>
  <si>
    <t>板泉路1555弄3号501</t>
  </si>
  <si>
    <t>网上退了</t>
  </si>
  <si>
    <t>康剑</t>
  </si>
  <si>
    <t>沪东新村街道东波路325弄29号501</t>
  </si>
  <si>
    <t>0002810</t>
  </si>
  <si>
    <t>王建雷</t>
  </si>
  <si>
    <t>闵行区99弄187号102</t>
  </si>
  <si>
    <t>张杏雯</t>
  </si>
  <si>
    <t>闵行区1288弄44号1502</t>
  </si>
  <si>
    <t>张哲</t>
  </si>
  <si>
    <t>莲花南路1111弄3号401</t>
  </si>
  <si>
    <t>颜伟</t>
  </si>
  <si>
    <t>浦东区147弄2号102</t>
  </si>
  <si>
    <t>浦东区崂山二村28号203</t>
  </si>
  <si>
    <t>阳菲</t>
  </si>
  <si>
    <t>丁香路999弄12号102</t>
  </si>
  <si>
    <t>王静懿</t>
  </si>
  <si>
    <t>陕西南路271弄4号3幢</t>
  </si>
  <si>
    <t>刘东让</t>
  </si>
  <si>
    <t>松兰路233弄8号501</t>
  </si>
  <si>
    <t>0000808</t>
  </si>
  <si>
    <t>黄政</t>
  </si>
  <si>
    <t>嘉定黄家花园路998弄37号602</t>
  </si>
  <si>
    <t>0000800</t>
  </si>
  <si>
    <t>范中亚</t>
  </si>
  <si>
    <t>伴亭路855弄37号102</t>
  </si>
  <si>
    <t>0000081</t>
  </si>
  <si>
    <t>董守建</t>
  </si>
  <si>
    <t>浦东新区听潮四村18号202</t>
  </si>
  <si>
    <t>0000169</t>
  </si>
  <si>
    <t>新桥镇188弄7号702</t>
  </si>
  <si>
    <t>厉俐</t>
  </si>
  <si>
    <t>白杨路199弄7号401</t>
  </si>
  <si>
    <t>刚开始装修</t>
  </si>
  <si>
    <t>静安区388弄1号306</t>
  </si>
  <si>
    <t>范刚毅</t>
  </si>
  <si>
    <t>静安区903弄11号1001</t>
  </si>
  <si>
    <t>丁静</t>
  </si>
  <si>
    <t>锦州弯路27弄11号1503</t>
  </si>
  <si>
    <t>冉亮</t>
  </si>
  <si>
    <t>江宁路1220弄6号1802</t>
  </si>
  <si>
    <t>0000717</t>
  </si>
  <si>
    <t>孟斐斐</t>
  </si>
  <si>
    <t>瑞和路168弄21号1203</t>
  </si>
  <si>
    <t>张阳</t>
  </si>
  <si>
    <t>嘉定区1399弄7号303</t>
  </si>
  <si>
    <t>陆锋</t>
  </si>
  <si>
    <t>崇明区1088弄146号</t>
  </si>
  <si>
    <t>平轶群</t>
  </si>
  <si>
    <t>淮坊路154弄3号103</t>
  </si>
  <si>
    <t>宗春华</t>
  </si>
  <si>
    <t>利津路385弄44号201</t>
  </si>
  <si>
    <t>牡丹路145弄6号501</t>
  </si>
  <si>
    <t>李锦波</t>
  </si>
  <si>
    <t>崇明7弄1888弄</t>
  </si>
  <si>
    <t>0000545</t>
  </si>
  <si>
    <t>秦先生</t>
  </si>
  <si>
    <t>华灵路1788弄89号702</t>
  </si>
  <si>
    <t>0001362</t>
  </si>
  <si>
    <t>吴惠芳</t>
  </si>
  <si>
    <t>临汾路299弄恒安小区4号303</t>
  </si>
  <si>
    <t>潘航敏</t>
  </si>
  <si>
    <t>华新镇新南中路1331弄102号1402</t>
  </si>
  <si>
    <t>祁旻</t>
  </si>
  <si>
    <t>高东镇高宝路379弄39号202</t>
  </si>
  <si>
    <t>0001363</t>
  </si>
  <si>
    <t>真大路333弄47号902</t>
  </si>
  <si>
    <t>0000173</t>
  </si>
  <si>
    <t>王青</t>
  </si>
  <si>
    <t>创新中路593弄24号1604</t>
  </si>
  <si>
    <t>徐捷</t>
  </si>
  <si>
    <t>江场西路1366弄21号201</t>
  </si>
  <si>
    <t>宋慧</t>
  </si>
  <si>
    <t>漕宝路1158弄21号502</t>
  </si>
  <si>
    <t>周微</t>
  </si>
  <si>
    <t>金碧路1959弄131号1801</t>
  </si>
  <si>
    <t>闵行区4398弄10号1701</t>
  </si>
  <si>
    <t>张田田</t>
  </si>
  <si>
    <t>永颂路198弄19号1101</t>
  </si>
  <si>
    <t>0001895</t>
  </si>
  <si>
    <t>董宏明</t>
  </si>
  <si>
    <t>雪松路392弄148号1405</t>
  </si>
  <si>
    <t>0000129</t>
  </si>
  <si>
    <t>吕佳</t>
  </si>
  <si>
    <t>嘉唐公路99弄34号</t>
  </si>
  <si>
    <t>0001349</t>
  </si>
  <si>
    <t>叶晓英</t>
  </si>
  <si>
    <t>汇龙公寓22号201</t>
  </si>
  <si>
    <t>马铭陶</t>
  </si>
  <si>
    <t>长宁路1088弄44号903</t>
  </si>
  <si>
    <t>胡妹</t>
  </si>
  <si>
    <t>长宁路1818弄30号402</t>
  </si>
  <si>
    <t>0002016</t>
  </si>
  <si>
    <t>曹美玲</t>
  </si>
  <si>
    <t>南六公路399弄107号501</t>
  </si>
  <si>
    <t>周子力</t>
  </si>
  <si>
    <t>漕溪北路家业公寓28号12F</t>
  </si>
  <si>
    <t>0002588</t>
  </si>
  <si>
    <t>陈琳艳</t>
  </si>
  <si>
    <t>浦航路718弄6号1101</t>
  </si>
  <si>
    <t>0002493</t>
  </si>
  <si>
    <t>浦涛路505弄39号201</t>
  </si>
  <si>
    <t>场北路669弄6号202</t>
  </si>
  <si>
    <t>闵行区229弄世博小区88号202</t>
  </si>
  <si>
    <t>0002516</t>
  </si>
  <si>
    <t>马捷</t>
  </si>
  <si>
    <t>云樱路198弄13号802</t>
  </si>
  <si>
    <t>李凌昆</t>
  </si>
  <si>
    <t>芦恒路378弄186号402</t>
  </si>
  <si>
    <t>0002518</t>
  </si>
  <si>
    <t>李凤华</t>
  </si>
  <si>
    <t>芦恒路378弄161号1101</t>
  </si>
  <si>
    <t>0002590</t>
  </si>
  <si>
    <t>蒋泰昆</t>
  </si>
  <si>
    <t>普陀区169弄6号1301</t>
  </si>
  <si>
    <t>朱骏</t>
  </si>
  <si>
    <t>安宁路289弄12号502</t>
  </si>
  <si>
    <t>0002520</t>
  </si>
  <si>
    <t>浦连路281弄7号401</t>
  </si>
  <si>
    <t>0002515</t>
  </si>
  <si>
    <t>陆秀红</t>
  </si>
  <si>
    <t>海阳路860弄8号503</t>
  </si>
  <si>
    <t>0003752</t>
  </si>
  <si>
    <t>陈人</t>
  </si>
  <si>
    <t>富平路299弄15号1403</t>
  </si>
  <si>
    <t>0001969</t>
  </si>
  <si>
    <t>张虹</t>
  </si>
  <si>
    <t>瑞建路88弄127号</t>
  </si>
  <si>
    <t>0001793</t>
  </si>
  <si>
    <t>瞿惠</t>
  </si>
  <si>
    <t>川沙路2301弄17号1401</t>
  </si>
  <si>
    <t>13023222110</t>
  </si>
  <si>
    <t>川沙路2301弄17号1601</t>
  </si>
  <si>
    <t>丁珂</t>
  </si>
  <si>
    <t>水电路1324弄2支弄3号401</t>
  </si>
  <si>
    <t>潘龙羊</t>
  </si>
  <si>
    <t>长宁区77弄2号504</t>
  </si>
  <si>
    <t>李权</t>
  </si>
  <si>
    <t>闵行区8889弄11号302</t>
  </si>
  <si>
    <t>徐刚</t>
  </si>
  <si>
    <t>秀泽路大发融悦9号901</t>
  </si>
  <si>
    <t>0002714</t>
  </si>
  <si>
    <t>垄旭</t>
  </si>
  <si>
    <t>杨浦区66弄91号501</t>
  </si>
  <si>
    <t>月底交房</t>
  </si>
  <si>
    <t>林高</t>
  </si>
  <si>
    <t>杨浦区66弄58号202</t>
  </si>
  <si>
    <t>0002716</t>
  </si>
  <si>
    <t>蒋琼枝</t>
  </si>
  <si>
    <t>杨浦区66弄80号301</t>
  </si>
  <si>
    <t>杨浦区66弄59弄501</t>
  </si>
  <si>
    <t>于凤海</t>
  </si>
  <si>
    <t xml:space="preserve">杨浦区66弄82号602 </t>
  </si>
  <si>
    <t>王砾凡</t>
  </si>
  <si>
    <t>东陆路898弄47号301</t>
  </si>
  <si>
    <t>0002763</t>
  </si>
  <si>
    <t>王兴华</t>
  </si>
  <si>
    <t>莘庄镇100弄8号102</t>
  </si>
  <si>
    <t>闵羽非</t>
  </si>
  <si>
    <t>御山路360弄7号902</t>
  </si>
  <si>
    <t>沈栋梁</t>
  </si>
  <si>
    <t>梅陇九村80号103</t>
  </si>
  <si>
    <t>0001819</t>
  </si>
  <si>
    <t>郑瑛豪</t>
  </si>
  <si>
    <t>瑞金二路街道茂名南路169弄21号101</t>
  </si>
  <si>
    <t>袁晓佳</t>
  </si>
  <si>
    <t>杨浦区75弄7号102</t>
  </si>
  <si>
    <t>漕宝路1467弄213号401</t>
  </si>
  <si>
    <t>0003924</t>
  </si>
  <si>
    <t>曹志秋</t>
  </si>
  <si>
    <t>双阳路300弄11号405</t>
  </si>
  <si>
    <t>0003925</t>
  </si>
  <si>
    <t>张翼</t>
  </si>
  <si>
    <t>曹太路1399弄126号401</t>
  </si>
  <si>
    <t>闵行区虹桥路369弄12号1101室</t>
  </si>
  <si>
    <t>任铭</t>
  </si>
  <si>
    <t>松江区泗泾镇沪松公路</t>
  </si>
  <si>
    <t>张伟诚</t>
  </si>
  <si>
    <t>上海市浦东新区三林镇银杏苑</t>
  </si>
  <si>
    <t>王怡</t>
  </si>
  <si>
    <t>长宁区安西路500弄1号802</t>
  </si>
  <si>
    <t>金碧路1959弄131号901</t>
  </si>
  <si>
    <t>0000176</t>
  </si>
  <si>
    <t>陆慧玲</t>
  </si>
  <si>
    <t>浦东新区海阳路445弄16号601</t>
  </si>
  <si>
    <t>0001896</t>
  </si>
  <si>
    <t>彭素贞</t>
  </si>
  <si>
    <t>松江区盛龙路755弄1号105</t>
  </si>
  <si>
    <t>0000056</t>
  </si>
  <si>
    <t>江浦路1200弄9号2307</t>
  </si>
  <si>
    <t>冯丽华</t>
  </si>
  <si>
    <t>龙江路388弄6号2002</t>
  </si>
  <si>
    <t>0000094</t>
  </si>
  <si>
    <t>卜艳</t>
  </si>
  <si>
    <t>浦东大道2641弄27号201</t>
  </si>
  <si>
    <t>0001818</t>
  </si>
  <si>
    <t>洪敏</t>
  </si>
  <si>
    <t>浦东康桥路1558弄26号1602</t>
  </si>
  <si>
    <t>韩艳</t>
  </si>
  <si>
    <t>普陀区长征路99弄馨越公寓72号1302室</t>
  </si>
  <si>
    <t>顾莹</t>
  </si>
  <si>
    <t>徐汇区平江路170弄20号502</t>
  </si>
  <si>
    <t>奉贤区1959弄</t>
  </si>
  <si>
    <t>许桂伍</t>
  </si>
  <si>
    <t>虹口区山阴路191弄3号甲室</t>
  </si>
  <si>
    <t>0000464</t>
  </si>
  <si>
    <t>徐海林</t>
  </si>
  <si>
    <t>杨浦区五角场817弄54号406</t>
  </si>
  <si>
    <t>0000087</t>
  </si>
  <si>
    <t>王平</t>
  </si>
  <si>
    <t>奉贤区金碧路1959弄金桂里小区20号102</t>
  </si>
  <si>
    <t>0001898</t>
  </si>
  <si>
    <t>屈航</t>
  </si>
  <si>
    <t>青浦区业煌路168弄45号</t>
  </si>
  <si>
    <t>0001897</t>
  </si>
  <si>
    <t>吴燕</t>
  </si>
  <si>
    <t>嘉定区菊园新区</t>
  </si>
  <si>
    <t>袁利</t>
  </si>
  <si>
    <t>松江区业煌路1676弄丽雅苑19号603</t>
  </si>
  <si>
    <t>浦东区羽山路1000弄17号502室</t>
  </si>
  <si>
    <t>紫弘</t>
  </si>
  <si>
    <t>长宁区镇宁路405弄8号504</t>
  </si>
  <si>
    <t>高凯</t>
  </si>
  <si>
    <t>闵行区浦联路99弄中城苑14号301</t>
  </si>
  <si>
    <t>浦东新区利津路1313弄证大家园25号402</t>
  </si>
  <si>
    <t>长宁区1818弄30号402</t>
  </si>
  <si>
    <t>0001894</t>
  </si>
  <si>
    <t>邓先生</t>
  </si>
  <si>
    <t>普陀区295弄23号201</t>
  </si>
  <si>
    <t>0001795</t>
  </si>
  <si>
    <t>翁佳程</t>
  </si>
  <si>
    <t>浦东区栖山路456弄7号101</t>
  </si>
  <si>
    <t>袁盛捷</t>
  </si>
  <si>
    <t>浦东新区上浦路201弄21号204</t>
  </si>
  <si>
    <t>繆洪康</t>
  </si>
  <si>
    <t>闵行区富园路199弄9号501</t>
  </si>
  <si>
    <t>付静</t>
  </si>
  <si>
    <t>浦东区惠南金地城</t>
  </si>
  <si>
    <t>√未交房</t>
  </si>
  <si>
    <t>黄兴路1616号</t>
  </si>
  <si>
    <t>仲磊</t>
  </si>
  <si>
    <t>松江区沪亭路240弄8号1001</t>
  </si>
  <si>
    <t>0000053</t>
  </si>
  <si>
    <t>黄佳菲</t>
  </si>
  <si>
    <t>浦东区栖山路401弄6号601</t>
  </si>
  <si>
    <t>0002220</t>
  </si>
  <si>
    <t>南汇区严木路198弄21号902</t>
  </si>
  <si>
    <t>高晓桐</t>
  </si>
  <si>
    <t>花木路718弄11号504</t>
  </si>
  <si>
    <t>0002018</t>
  </si>
  <si>
    <t>徐利娜</t>
  </si>
  <si>
    <t>松江区伴亭路855弄屿小区37号504</t>
  </si>
  <si>
    <t>包亮亮</t>
  </si>
  <si>
    <t>松江区伴亭路855弄象屿小区35号801</t>
  </si>
  <si>
    <t>静安区洛川路40弄3号704</t>
  </si>
  <si>
    <t>0000809</t>
  </si>
  <si>
    <t>张新超</t>
  </si>
  <si>
    <t>黄浦区合肥路289弄1号501</t>
  </si>
  <si>
    <t>江颖璟</t>
  </si>
  <si>
    <t>杨浦区长寿路37弄20号101</t>
  </si>
  <si>
    <t>余女士</t>
  </si>
  <si>
    <t>浦东新区灵山路1415弄11号201</t>
  </si>
  <si>
    <t>0000167</t>
  </si>
  <si>
    <t xml:space="preserve"> 徐泾镇联民路877弄8号楼2001室</t>
  </si>
  <si>
    <t>0000164</t>
  </si>
  <si>
    <t>施茜</t>
  </si>
  <si>
    <t>奉贤区扶兰路18弄香榭小区152号2004</t>
  </si>
  <si>
    <t>徐虹</t>
  </si>
  <si>
    <t>奉贤区环城东路885弄126号402</t>
  </si>
  <si>
    <t>李彩虹</t>
  </si>
  <si>
    <t>黄云云</t>
  </si>
  <si>
    <t>江栀路350弄93号302</t>
  </si>
  <si>
    <t>0002701</t>
  </si>
  <si>
    <t>蒋中豪</t>
  </si>
  <si>
    <t>杨浦区市光四村105号301</t>
  </si>
  <si>
    <t>0000676</t>
  </si>
  <si>
    <t>赖灵芳</t>
  </si>
  <si>
    <t>闵行区顾戴路1199弄60号402</t>
  </si>
  <si>
    <t>郑博文</t>
  </si>
  <si>
    <t>杨浦区政立路45号</t>
  </si>
  <si>
    <t>孙建国</t>
  </si>
  <si>
    <t>浦东区栖山路1700弄15号602</t>
  </si>
  <si>
    <t>0001792</t>
  </si>
  <si>
    <t>瞿文琴</t>
  </si>
  <si>
    <t>川沙路2301弄17号1604</t>
  </si>
  <si>
    <t>孙有燕</t>
  </si>
  <si>
    <t>莲花南路1111弄32号503</t>
  </si>
  <si>
    <t>0001343</t>
  </si>
  <si>
    <t>蔡桂成</t>
  </si>
  <si>
    <t>金耀南路80弄1号楼1401</t>
  </si>
  <si>
    <t>李秀</t>
  </si>
  <si>
    <t>闵行区金丰路121弄87号102</t>
  </si>
  <si>
    <t>赵洋</t>
  </si>
  <si>
    <t>松江区佘山一号宝地景庭</t>
  </si>
  <si>
    <t>0001241</t>
  </si>
  <si>
    <t>闵行区红松东路2899弄15号602</t>
  </si>
  <si>
    <t>梁芳</t>
  </si>
  <si>
    <t>闵行区莘庄镇畹町路99弄310-202</t>
  </si>
  <si>
    <t>仲仕凯</t>
  </si>
  <si>
    <t>静安区海防路58弄11号403</t>
  </si>
  <si>
    <t>顾洪卫</t>
  </si>
  <si>
    <t>桂绮</t>
  </si>
  <si>
    <t>杨浦区恒耀路66弄89号201</t>
  </si>
  <si>
    <t>杨浦区世纪江湾88号602</t>
  </si>
  <si>
    <t>周芳</t>
  </si>
  <si>
    <t>杨浦区世纪江湾82号601</t>
  </si>
  <si>
    <t>来晓慧</t>
  </si>
  <si>
    <t>杨浦区世纪江湾81号402</t>
  </si>
  <si>
    <t>杨浦区世纪江湾60号202</t>
  </si>
  <si>
    <t>杨浦区世纪江湾63号401</t>
  </si>
  <si>
    <t>钱阳华</t>
  </si>
  <si>
    <t>杨浦区世纪江湾91号602</t>
  </si>
  <si>
    <t>季远</t>
  </si>
  <si>
    <t>杨浦区世纪江湾60号501</t>
  </si>
  <si>
    <t>0002953</t>
  </si>
  <si>
    <t>曹颖</t>
  </si>
  <si>
    <t>杨浦区世纪江湾60号401</t>
  </si>
  <si>
    <t>赵剑号</t>
  </si>
  <si>
    <t>杨浦区世纪江湾79号602</t>
  </si>
  <si>
    <t>0002703</t>
  </si>
  <si>
    <t>欧阳慧灵</t>
  </si>
  <si>
    <t>杨浦区恒耀路66弄世纪江湾63号501</t>
  </si>
  <si>
    <t>周军军</t>
  </si>
  <si>
    <t>杨浦区世纪江湾63号201</t>
  </si>
  <si>
    <t>胡梦洁</t>
  </si>
  <si>
    <t>杨浦区世纪江湾91号202</t>
  </si>
  <si>
    <t>熊琦</t>
  </si>
  <si>
    <t>杨浦区世纪江湾89号401</t>
  </si>
  <si>
    <t>0002952</t>
  </si>
  <si>
    <t>汤女士</t>
  </si>
  <si>
    <t>杨浦区世纪江湾79号601</t>
  </si>
  <si>
    <t>余军</t>
  </si>
  <si>
    <t>杨浦区世纪江湾88号402</t>
  </si>
  <si>
    <t>0002706</t>
  </si>
  <si>
    <t>倪杰</t>
  </si>
  <si>
    <t>杨浦区世纪江湾64号402</t>
  </si>
  <si>
    <t>0002713</t>
  </si>
  <si>
    <t>郭静静</t>
  </si>
  <si>
    <t>杨浦区世纪江湾64号301</t>
  </si>
  <si>
    <t>杨浦区世纪江湾100号402</t>
  </si>
  <si>
    <t>耿怡</t>
  </si>
  <si>
    <t>杨浦区世纪江湾66弄</t>
  </si>
  <si>
    <t>瞿先生</t>
  </si>
  <si>
    <t>杨浦区世纪江湾90号202</t>
  </si>
  <si>
    <t>刘决雁</t>
  </si>
  <si>
    <t>嘉定区德富路1388弄阳光里小区2号1901</t>
  </si>
  <si>
    <t>莘松路958弄大浪湾道小区47号602</t>
  </si>
  <si>
    <t>0003575</t>
  </si>
  <si>
    <t>陈佳安</t>
  </si>
  <si>
    <t>水清路安四村23号301</t>
  </si>
  <si>
    <t>0002762</t>
  </si>
  <si>
    <t>张晓星</t>
  </si>
  <si>
    <t>名都城路95弄405</t>
  </si>
  <si>
    <t>张成</t>
  </si>
  <si>
    <t>133018610353</t>
  </si>
  <si>
    <t>紫薇路193弄15号602室</t>
  </si>
  <si>
    <t>董大和</t>
  </si>
  <si>
    <t>莲花路1330弄玫瑰公路27号1201</t>
  </si>
  <si>
    <t>黄煜</t>
  </si>
  <si>
    <t>海防路85弄静安康鑫10号801</t>
  </si>
  <si>
    <t>0001345</t>
  </si>
  <si>
    <t>花园里2-902</t>
  </si>
  <si>
    <t>0000084</t>
  </si>
  <si>
    <t>颜轶宗</t>
  </si>
  <si>
    <t>杨浦区延吉六村21号144</t>
  </si>
  <si>
    <t>葛欣</t>
  </si>
  <si>
    <t>杨浦区靖京中路70号1505</t>
  </si>
  <si>
    <t>0002801</t>
  </si>
  <si>
    <t>魏武</t>
  </si>
  <si>
    <t>闵行区鑫都路2688弄23号401</t>
  </si>
  <si>
    <t>001901</t>
  </si>
  <si>
    <t>马瑜蓉</t>
  </si>
  <si>
    <t>黄浦区广西南路23号1411</t>
  </si>
  <si>
    <t>吴申涛</t>
  </si>
  <si>
    <t>闵行区虹桥镇龙柏四村6号204</t>
  </si>
  <si>
    <t>0001900</t>
  </si>
  <si>
    <t>郑美丽</t>
  </si>
  <si>
    <t>长宁区城区路700弄17号302</t>
  </si>
  <si>
    <t>顾爱军</t>
  </si>
  <si>
    <t>青浦区崧文南路60弄清湖苑19号903</t>
  </si>
  <si>
    <t>陈佳庆</t>
  </si>
  <si>
    <t>浦东新区拱北路86号702</t>
  </si>
  <si>
    <t>0003574</t>
  </si>
  <si>
    <t>陈正</t>
  </si>
  <si>
    <t>大场镇50弄40号607</t>
  </si>
  <si>
    <t>王明珠</t>
  </si>
  <si>
    <t>长宁区北新泾新泾一村166号605</t>
  </si>
  <si>
    <t>刘高芳</t>
  </si>
  <si>
    <t>普陀区杨浦区1023弄72号602</t>
  </si>
  <si>
    <t>王智豪</t>
  </si>
  <si>
    <t>爱特路33弄25号401</t>
  </si>
  <si>
    <t>叶正</t>
  </si>
  <si>
    <t>闵行区茜昆路518弄御涛园38号</t>
  </si>
  <si>
    <t>杨幻滋</t>
  </si>
  <si>
    <t>九亭镇虹泾路922弄62号2401</t>
  </si>
  <si>
    <t>丁怡</t>
  </si>
  <si>
    <t>佘山镇刘家山路1288弄25号702</t>
  </si>
  <si>
    <t>0004049</t>
  </si>
  <si>
    <t>程明新</t>
  </si>
  <si>
    <t>置鼎路889弄180号</t>
  </si>
  <si>
    <t>0002450</t>
  </si>
  <si>
    <t>李冰</t>
  </si>
  <si>
    <t>浦东新区潍坊四村480号</t>
  </si>
  <si>
    <t>敬先生</t>
  </si>
  <si>
    <t>黄浦区瞿溪路926弄江南新苑6号1402</t>
  </si>
  <si>
    <t>陆先生</t>
  </si>
  <si>
    <t>浦涛路768弄水语人家北苑15号1001</t>
  </si>
  <si>
    <t>徐犇</t>
  </si>
  <si>
    <t>青浦城中西路9号505</t>
  </si>
  <si>
    <t>伊玲</t>
  </si>
  <si>
    <t>志丹路181弄5-201</t>
  </si>
  <si>
    <t>黄敏</t>
  </si>
  <si>
    <t>古美路377弄23号902</t>
  </si>
  <si>
    <t>宝山区原平路917弄6号404</t>
  </si>
  <si>
    <t>周家钰</t>
  </si>
  <si>
    <t>东渡悦来城10号1502</t>
  </si>
  <si>
    <t>长宁区芙蓉江路555弄7号301室</t>
  </si>
  <si>
    <t>南宁路501弄18号301</t>
  </si>
  <si>
    <t>零陵北路9弄4号</t>
  </si>
  <si>
    <t>闵行区罗锦路888弄4支弄1号1103室</t>
  </si>
  <si>
    <t>邵琴</t>
  </si>
  <si>
    <t>松江区龙马路185弄21号1302室</t>
  </si>
  <si>
    <t>宝菊路133弄289-102</t>
  </si>
  <si>
    <t>浦东新区海阳路860弄37号201</t>
  </si>
  <si>
    <t>陕西南路307弄2号1901</t>
  </si>
  <si>
    <t>王魁</t>
  </si>
  <si>
    <t>闵行区浦申路1288弄48号401</t>
  </si>
  <si>
    <t>费冉冉</t>
  </si>
  <si>
    <t>佘北家园13-101</t>
  </si>
  <si>
    <t>刘昌盛</t>
  </si>
  <si>
    <t>叶校路355弄14号101</t>
  </si>
  <si>
    <t>慕莹</t>
  </si>
  <si>
    <t>士晨苑7号403</t>
  </si>
  <si>
    <t>汪丽萍</t>
  </si>
  <si>
    <t>文翔名苑655号302</t>
  </si>
  <si>
    <t>泗陈公路1288弄12号301</t>
  </si>
  <si>
    <t>杨惠</t>
  </si>
  <si>
    <t>上海市松江区新松江路259弄6号702</t>
  </si>
  <si>
    <t>尚辉</t>
  </si>
  <si>
    <t>德悦路501弄14号204</t>
  </si>
  <si>
    <t>虞宏伟</t>
  </si>
  <si>
    <t>泗陈公路1228弄14栋3号101</t>
  </si>
  <si>
    <t>张立君</t>
  </si>
  <si>
    <t>中山路51弄4号302</t>
  </si>
  <si>
    <t>新桥镇新中街188弄7-801</t>
  </si>
  <si>
    <t>0001844</t>
  </si>
  <si>
    <t>黄海燕</t>
  </si>
  <si>
    <t>崧润路1176弄10号1101室</t>
  </si>
  <si>
    <t>伴亭路888弄25号601</t>
  </si>
  <si>
    <t>龙马路433弄88号402</t>
  </si>
  <si>
    <t>顾成栋</t>
  </si>
  <si>
    <t>金山宝华路99号403</t>
  </si>
  <si>
    <t>钱秀娟</t>
  </si>
  <si>
    <t>金山区新华御明上园46-302</t>
  </si>
  <si>
    <t>金山区郎大自建</t>
  </si>
  <si>
    <t>0056929</t>
  </si>
  <si>
    <t>汪东平</t>
  </si>
  <si>
    <t>奉贤区万顺路709弄7号302</t>
  </si>
  <si>
    <t>0055924</t>
  </si>
  <si>
    <t>奉贤区李窑村717号</t>
  </si>
  <si>
    <t>0001845</t>
  </si>
  <si>
    <t>马先生</t>
  </si>
  <si>
    <t>通港路1555弄253号</t>
  </si>
  <si>
    <t>0003537</t>
  </si>
  <si>
    <t>龚世伟</t>
  </si>
  <si>
    <t>御桥路1678弄34号1601</t>
  </si>
  <si>
    <t>0003539</t>
  </si>
  <si>
    <t>富国路199弄10号1702</t>
  </si>
  <si>
    <t>0003538</t>
  </si>
  <si>
    <t>刘小姐</t>
  </si>
  <si>
    <t>桃林路291弄39号1902</t>
  </si>
  <si>
    <t>0003532</t>
  </si>
  <si>
    <t>程信瑛</t>
  </si>
  <si>
    <t>宋国路46弄17号601</t>
  </si>
  <si>
    <t>田先生</t>
  </si>
  <si>
    <t>松江区士晨苑1088号26号701</t>
  </si>
  <si>
    <t>孙迪聪</t>
  </si>
  <si>
    <t>和炯路77弄10号3005</t>
  </si>
  <si>
    <t>王正午</t>
  </si>
  <si>
    <t>静安区晋元路95弄202</t>
  </si>
  <si>
    <t>0003533</t>
  </si>
  <si>
    <t>徐凯</t>
  </si>
  <si>
    <t>松江区龙马路433弄80号101</t>
  </si>
  <si>
    <t>拱北路336弄37号</t>
  </si>
  <si>
    <t>0001685</t>
  </si>
  <si>
    <t>刘善将</t>
  </si>
  <si>
    <t>航梅路525弄4支弄7号102</t>
  </si>
  <si>
    <t>李璇</t>
  </si>
  <si>
    <t>银都路759弄222号</t>
  </si>
  <si>
    <t>朱超</t>
  </si>
  <si>
    <t>周秀路168弄11号1201</t>
  </si>
  <si>
    <t>黄峰</t>
  </si>
  <si>
    <t>沪南公路碧桂园天悦</t>
  </si>
  <si>
    <t>0001684</t>
  </si>
  <si>
    <t>阚开春</t>
  </si>
  <si>
    <t>浦航路718弄29号1304</t>
  </si>
  <si>
    <t>周启腾</t>
  </si>
  <si>
    <t>福家路385弄41号501</t>
  </si>
  <si>
    <t>殷燕</t>
  </si>
  <si>
    <t>338弄1787号901</t>
  </si>
  <si>
    <t>徐晨宇</t>
  </si>
  <si>
    <t>上南路3339弄96号401</t>
  </si>
  <si>
    <t>张龙平</t>
  </si>
  <si>
    <t>宝山区杨泰二村46号403</t>
  </si>
  <si>
    <t>范淑玲</t>
  </si>
  <si>
    <t>沪太路655弄3号1705</t>
  </si>
  <si>
    <t>胡亮</t>
  </si>
  <si>
    <t>金碧路1959弄37号301</t>
  </si>
  <si>
    <t>0001683</t>
  </si>
  <si>
    <t>汤忠生</t>
  </si>
  <si>
    <t>车站北路400弄星苑小区39号501</t>
  </si>
  <si>
    <t>0001682</t>
  </si>
  <si>
    <t>苏玲玲</t>
  </si>
  <si>
    <t>惠南镇听潮五村6-20</t>
  </si>
  <si>
    <t>0001843</t>
  </si>
  <si>
    <t>浦泰路501弄89号501</t>
  </si>
  <si>
    <t>0055923</t>
  </si>
  <si>
    <t>黄幼幼</t>
  </si>
  <si>
    <t>奉贤区泽丰路88弄16号1102</t>
  </si>
  <si>
    <t>0056960</t>
  </si>
  <si>
    <t>陈强</t>
  </si>
  <si>
    <t>奉贤区尚东区12号302</t>
  </si>
  <si>
    <t>0055922</t>
  </si>
  <si>
    <t>薛文艳</t>
  </si>
  <si>
    <t>南桥镇西渡街道扶兰路18弄1幢170号1203</t>
  </si>
  <si>
    <t>0056958</t>
  </si>
  <si>
    <t>唐月莲</t>
  </si>
  <si>
    <t>奉贤区南行达苑14号1401</t>
  </si>
  <si>
    <t>李海龙</t>
  </si>
  <si>
    <t>美溪里49号</t>
  </si>
  <si>
    <t>罗强</t>
  </si>
  <si>
    <t>青浦区徐泾镇富港东路1538弄5号A</t>
  </si>
  <si>
    <t>0002761</t>
  </si>
  <si>
    <t>闵行区江川路880弄41号601</t>
  </si>
  <si>
    <t>0002765</t>
  </si>
  <si>
    <t>虹湾路313弄34号2001室</t>
  </si>
  <si>
    <t>0002764</t>
  </si>
  <si>
    <t>吕雯怡</t>
  </si>
  <si>
    <t>青浦区299弄5号307</t>
  </si>
  <si>
    <t>0003589</t>
  </si>
  <si>
    <t>杨龙宝</t>
  </si>
  <si>
    <t>剑河路2001弄14号501</t>
  </si>
  <si>
    <t>李青</t>
  </si>
  <si>
    <t>松江区泗泾镇环鸿路222弄13号904</t>
  </si>
  <si>
    <t>0002757</t>
  </si>
  <si>
    <t>蒋宁</t>
  </si>
  <si>
    <t>闵行区1565弄红明二村18号602</t>
  </si>
  <si>
    <t>0002758</t>
  </si>
  <si>
    <t>孙晓</t>
  </si>
  <si>
    <t>丰庄路433弄33号302</t>
  </si>
  <si>
    <t>0056966</t>
  </si>
  <si>
    <t>李国震</t>
  </si>
  <si>
    <t>奉贤区南桥正环路609弄</t>
  </si>
  <si>
    <t>吕沅良</t>
  </si>
  <si>
    <t>浦东区398弄1号303</t>
  </si>
  <si>
    <t>0003590</t>
  </si>
  <si>
    <t>胡伟</t>
  </si>
  <si>
    <t>新龙路1111号万科宫同洞园14号101</t>
  </si>
  <si>
    <t>平型关路121弄6号1001室</t>
  </si>
  <si>
    <t>肖文韬</t>
  </si>
  <si>
    <t>新恒路3603弄11号601</t>
  </si>
  <si>
    <t>0056968</t>
  </si>
  <si>
    <t>茅忠敏</t>
  </si>
  <si>
    <t>普陀区宜川路街道中潭路99弄209-1201</t>
  </si>
  <si>
    <t>0056971</t>
  </si>
  <si>
    <t>李美丽</t>
  </si>
  <si>
    <t>奉贤区南桥镇正环路88弄29-201</t>
  </si>
  <si>
    <t>0056970</t>
  </si>
  <si>
    <t>李晓晓</t>
  </si>
  <si>
    <t>奉贤区正环路88弄29-302</t>
  </si>
  <si>
    <t>0056967</t>
  </si>
  <si>
    <t>茅丹丹</t>
  </si>
  <si>
    <t>普陀区宜川路街道中潭路117号209</t>
  </si>
  <si>
    <t>车友富</t>
  </si>
  <si>
    <t>永嘉公寓96号301室</t>
  </si>
  <si>
    <t>奉贤区金碧路1959弄</t>
  </si>
  <si>
    <t>熊女士</t>
  </si>
  <si>
    <t>浦东区上丰路1483弄金融家小区</t>
  </si>
  <si>
    <t>李晔</t>
  </si>
  <si>
    <t>嘉定区海川路58弄105号201室</t>
  </si>
  <si>
    <t>11.20</t>
  </si>
  <si>
    <t>王亚婷</t>
  </si>
  <si>
    <t>绿梅一村31号2601</t>
  </si>
  <si>
    <t>龚挺</t>
  </si>
  <si>
    <t>中潭路99弄57号2208</t>
  </si>
  <si>
    <t>李进高</t>
  </si>
  <si>
    <t>上丰路1483弄19号楼802</t>
  </si>
  <si>
    <t>南汇区永达路汇民锦苑35号601</t>
  </si>
  <si>
    <t>易静荣</t>
  </si>
  <si>
    <t>青浦宜达新居52号202</t>
  </si>
  <si>
    <t>王卫珍</t>
  </si>
  <si>
    <t>青浦保安新城16号505</t>
  </si>
  <si>
    <t>郭兴辉</t>
  </si>
  <si>
    <t>奉贤区雍贤府153号904</t>
  </si>
  <si>
    <t>何静</t>
  </si>
  <si>
    <t>云屏路518弄14号1201</t>
  </si>
  <si>
    <t>邓小洁</t>
  </si>
  <si>
    <t>临洮路1000弄85号802</t>
  </si>
  <si>
    <t>郁达伟</t>
  </si>
  <si>
    <t>七宝镇宝南路508弄12号101</t>
  </si>
  <si>
    <t>曲沃路66弄13号2101室</t>
  </si>
  <si>
    <t>闵行区中春路3455弄133号301</t>
  </si>
  <si>
    <t>傅总/袁辉</t>
  </si>
  <si>
    <t>18621286821/18917698111</t>
  </si>
  <si>
    <t>蒋欣</t>
  </si>
  <si>
    <t>程虹</t>
  </si>
  <si>
    <t>清河湾706弄9号1001</t>
  </si>
  <si>
    <t>长宁区愚园路888-5-2501</t>
  </si>
  <si>
    <t>王卿</t>
  </si>
  <si>
    <t>浦东新区蓝靛路1688弄55号302室</t>
  </si>
  <si>
    <t>浦东新区宜桥镇三灶五星村486</t>
  </si>
  <si>
    <t>古龙路1065弄53号702</t>
  </si>
  <si>
    <t>上海海焓机电设备有限公司</t>
  </si>
  <si>
    <t>宝山区菊盛路50弄79号101室</t>
  </si>
  <si>
    <t>孟三强</t>
  </si>
  <si>
    <t>置鼎路889弄98-101</t>
  </si>
  <si>
    <t>丰庄北路151弄46号504</t>
  </si>
  <si>
    <t>汪行</t>
  </si>
  <si>
    <t>普陀区川路278弄25号101</t>
  </si>
  <si>
    <t>诸玮</t>
  </si>
  <si>
    <t>浦东区周阳路258弄2号803</t>
  </si>
  <si>
    <t>0001899</t>
  </si>
  <si>
    <t>徐陈</t>
  </si>
  <si>
    <t>嘉定区新黄路柴家52号501</t>
  </si>
  <si>
    <t>刘丽娟</t>
  </si>
  <si>
    <t>普陀区长冈新村15号605</t>
  </si>
  <si>
    <t>王彪虎</t>
  </si>
  <si>
    <t>嘉定区火车站118弄48号501</t>
  </si>
  <si>
    <t>崔小能</t>
  </si>
  <si>
    <t>普陀区宜川路188弄2号1907</t>
  </si>
  <si>
    <t>0001892</t>
  </si>
  <si>
    <t>嘉定区安会胜介1399号大成郡三期7号303</t>
  </si>
  <si>
    <t>高健敏</t>
  </si>
  <si>
    <t>徐汇区桂林西街15弄78号601</t>
  </si>
  <si>
    <t>0001903</t>
  </si>
  <si>
    <t>徐雪枫</t>
  </si>
  <si>
    <t>浦东区北艾路1643弄2号504</t>
  </si>
  <si>
    <t>0002960</t>
  </si>
  <si>
    <t>陆雄峰</t>
  </si>
  <si>
    <t>崇明区常菊璐159弄滨江悦小区23号601</t>
  </si>
  <si>
    <t>0000966</t>
  </si>
  <si>
    <t>蒋浩淳</t>
  </si>
  <si>
    <t>嘉定区秋竹路618弄2号102</t>
  </si>
  <si>
    <t>周小珍</t>
  </si>
  <si>
    <t>宝山区三泵路1858弄48号801</t>
  </si>
  <si>
    <t>黄徐甫</t>
  </si>
  <si>
    <t>崇明县蟠龙村5小队544号</t>
  </si>
  <si>
    <t>唐鑫</t>
  </si>
  <si>
    <t>虹关路323弄10号2801</t>
  </si>
  <si>
    <t>嘉定南翔嘉程东路69弄3号1720室</t>
  </si>
  <si>
    <t>浦东新区万德路67弄13号402</t>
  </si>
  <si>
    <t>宝山区宝南路22弄66号703</t>
  </si>
  <si>
    <t>闵行区红松路175弄39号301</t>
  </si>
  <si>
    <t>奉贤区庆园路189号桐南美麓62-101室</t>
  </si>
  <si>
    <t>0000079</t>
  </si>
  <si>
    <t>肖欢欢</t>
  </si>
  <si>
    <t>浦东新区669弄117号1503</t>
  </si>
  <si>
    <t>戴倩成</t>
  </si>
  <si>
    <t>广南路666弄285号402</t>
  </si>
  <si>
    <t>华新镇华志路333弄11号501</t>
  </si>
  <si>
    <t>任超</t>
  </si>
  <si>
    <t>德富路900弄6号1901</t>
  </si>
  <si>
    <t>0000783</t>
  </si>
  <si>
    <t>赵蓉蓉</t>
  </si>
  <si>
    <t>塔城路382号1707</t>
  </si>
  <si>
    <t>0001365</t>
  </si>
  <si>
    <t>唐瑾敏</t>
  </si>
  <si>
    <t>杨浦区国定路555弄26号203</t>
  </si>
  <si>
    <t>0001904</t>
  </si>
  <si>
    <t>陆洪昌</t>
  </si>
  <si>
    <t>江浦路156号502</t>
  </si>
  <si>
    <t>0000451</t>
  </si>
  <si>
    <t>魏惠芳</t>
  </si>
  <si>
    <t>乳山东路506弄33号301</t>
  </si>
  <si>
    <t>顾信南</t>
  </si>
  <si>
    <t>海上纳堤157-602</t>
  </si>
  <si>
    <t>李小伟</t>
  </si>
  <si>
    <t>宝山城市工业园区城银路555弄12号1001</t>
  </si>
  <si>
    <t>傅先生</t>
  </si>
  <si>
    <t>城北路69弄23号102</t>
  </si>
  <si>
    <t>0002766</t>
  </si>
  <si>
    <t>徐映烈</t>
  </si>
  <si>
    <t>德富路900弄4号1301</t>
  </si>
  <si>
    <t>蒋建平</t>
  </si>
  <si>
    <t>扶兰路131弄301号</t>
  </si>
  <si>
    <t>0000965</t>
  </si>
  <si>
    <t>胡琼</t>
  </si>
  <si>
    <t>武乡南路230弄9号1102</t>
  </si>
  <si>
    <t>曾晓芳</t>
  </si>
  <si>
    <t>川沙新妙境路623弄妙城公寓1期11号602</t>
  </si>
  <si>
    <t>陈飞雨</t>
  </si>
  <si>
    <t>新桥镇莘砖公路399弄507号</t>
  </si>
  <si>
    <t>0000964</t>
  </si>
  <si>
    <t>候悦</t>
  </si>
  <si>
    <t>巨峰路667弄91号301</t>
  </si>
  <si>
    <t>敖波兰</t>
  </si>
  <si>
    <t>宝山区涵青路100弄15号102</t>
  </si>
  <si>
    <t>陆羽</t>
  </si>
  <si>
    <t>徐汇区陕西南路888弄5号16C2</t>
  </si>
  <si>
    <t>丁冬</t>
  </si>
  <si>
    <t>龙阳路1880弄61号504</t>
  </si>
  <si>
    <t>0004410</t>
  </si>
  <si>
    <t>钱大华</t>
  </si>
  <si>
    <t>牡丹路180弄21号201</t>
  </si>
  <si>
    <t>余潇</t>
  </si>
  <si>
    <t>莘松路绿南园11号楼502</t>
  </si>
  <si>
    <t>艾特路68弄71号</t>
  </si>
  <si>
    <t>顾惠平</t>
  </si>
  <si>
    <t>通济路328弄17号201</t>
  </si>
  <si>
    <t>0001366</t>
  </si>
  <si>
    <t>丁浩玮</t>
  </si>
  <si>
    <t>嘉唐公路169弄30号502</t>
  </si>
  <si>
    <t>吴小影</t>
  </si>
  <si>
    <t>东明路街道南临路银杏苑15号602</t>
  </si>
  <si>
    <t>0002831</t>
  </si>
  <si>
    <t>浦驰路1336弄4号401</t>
  </si>
  <si>
    <t>0001905</t>
  </si>
  <si>
    <t>陈小松</t>
  </si>
  <si>
    <t>苗圃路218弄17号1202</t>
  </si>
  <si>
    <t>0001367</t>
  </si>
  <si>
    <t>蔡金辉</t>
  </si>
  <si>
    <t>静安区江宁路509号907</t>
  </si>
  <si>
    <t>赵勇</t>
  </si>
  <si>
    <t>杨浦区平凉路1782弄27号201室</t>
  </si>
  <si>
    <t>0000416</t>
  </si>
  <si>
    <t>夏振伟</t>
  </si>
  <si>
    <t>普陀区靖边路199弄38号1001</t>
  </si>
  <si>
    <t>0003764</t>
  </si>
  <si>
    <t>毛卫</t>
  </si>
  <si>
    <t>佘北家园</t>
  </si>
  <si>
    <t>0003769</t>
  </si>
  <si>
    <t>朱庆荣</t>
  </si>
  <si>
    <t>闵行区业祥路111弄19号1301</t>
  </si>
  <si>
    <t>孙超</t>
  </si>
  <si>
    <t>抚远路宫园巧筑71号</t>
  </si>
  <si>
    <t>程俊</t>
  </si>
  <si>
    <t>万顺路2088弄18号1202</t>
  </si>
  <si>
    <t>张志高</t>
  </si>
  <si>
    <t>金山区澜庭16号803</t>
  </si>
  <si>
    <t>祝风</t>
  </si>
  <si>
    <t>松江区新南路1088弄476号102</t>
  </si>
  <si>
    <t>长宁区荣华东道8弄1号1201</t>
  </si>
  <si>
    <t>李凤召</t>
  </si>
  <si>
    <t>嘉定区沙霞路68弄8-601</t>
  </si>
  <si>
    <t>庞海龙</t>
  </si>
  <si>
    <t>宝山区罗迎路558弄10号202</t>
  </si>
  <si>
    <t>静安区武定路801-10-16D</t>
  </si>
  <si>
    <t>虹口区长阳路3555弄3号1771室</t>
  </si>
  <si>
    <t>上海市奉贤区丰城镇分水村联工811号</t>
  </si>
  <si>
    <t>海滨二村38号501</t>
  </si>
  <si>
    <t>闵行区浦秀路765弄浦秀苑81号601</t>
  </si>
  <si>
    <t>000341</t>
  </si>
  <si>
    <t>余辰蔚</t>
  </si>
  <si>
    <t>海阳西路268弄6号1602</t>
  </si>
  <si>
    <t>冯睿</t>
  </si>
  <si>
    <t>641弄22号1302室</t>
  </si>
  <si>
    <t>浦东新区高宝路68弄38号501</t>
  </si>
  <si>
    <t>0002071</t>
  </si>
  <si>
    <t>章鸣</t>
  </si>
  <si>
    <t>栖山路1876弄21号1101</t>
  </si>
  <si>
    <t>0002961</t>
  </si>
  <si>
    <t>韩祥</t>
  </si>
  <si>
    <t>玉田路407弄7号304</t>
  </si>
  <si>
    <t>0001846</t>
  </si>
  <si>
    <t>胡经理</t>
  </si>
  <si>
    <t>新城盛景B区22号楼501</t>
  </si>
  <si>
    <t>陈玉芳</t>
  </si>
  <si>
    <t>张杨路1647弄2号803</t>
  </si>
  <si>
    <t>濮军辉</t>
  </si>
  <si>
    <t>旭辉府51号502</t>
  </si>
  <si>
    <t>0000342</t>
  </si>
  <si>
    <t>叶长红</t>
  </si>
  <si>
    <t>水电路1324弄9支弄28号403</t>
  </si>
  <si>
    <t>0003592</t>
  </si>
  <si>
    <t>胡莹</t>
  </si>
  <si>
    <t>花木街道锦绣路888弄24号1201</t>
  </si>
  <si>
    <t>0056972</t>
  </si>
  <si>
    <t>蒋旭东</t>
  </si>
  <si>
    <t>芦恒路378-185-602</t>
  </si>
  <si>
    <t>0001369</t>
  </si>
  <si>
    <t>沈吉霞</t>
  </si>
  <si>
    <t>宝昌路399弄5号2701</t>
  </si>
  <si>
    <t>0002769</t>
  </si>
  <si>
    <t>于皓</t>
  </si>
  <si>
    <t>吴泾镇东海职业技术学院</t>
  </si>
  <si>
    <t>0001370</t>
  </si>
  <si>
    <t>尹先生</t>
  </si>
  <si>
    <t>浦江镇鲁建路2658弄10号楼1301</t>
  </si>
  <si>
    <t>0056979</t>
  </si>
  <si>
    <t>陈总</t>
  </si>
  <si>
    <t>奉贤区百通路88弄1号2102</t>
  </si>
  <si>
    <t>0056977</t>
  </si>
  <si>
    <t>李桂琴</t>
  </si>
  <si>
    <t>奉贤区银河丽湾8-1903</t>
  </si>
  <si>
    <t>0002767</t>
  </si>
  <si>
    <t>韩桠</t>
  </si>
  <si>
    <t>浦东南路1299弄807号</t>
  </si>
  <si>
    <t>0003766</t>
  </si>
  <si>
    <t>李键</t>
  </si>
  <si>
    <t>德州路60弄3号1202</t>
  </si>
  <si>
    <t>裘伟</t>
  </si>
  <si>
    <t>业祥路111弄6号504</t>
  </si>
  <si>
    <t>0003768</t>
  </si>
  <si>
    <t>黄程义</t>
  </si>
  <si>
    <t>鹤霞路555弄72号1001</t>
  </si>
  <si>
    <t>翔殷路500弄9号501室</t>
  </si>
  <si>
    <t>0003773</t>
  </si>
  <si>
    <t>奉贤沪松公路66*218-201</t>
  </si>
  <si>
    <t>0056973</t>
  </si>
  <si>
    <t>叶宋杭</t>
  </si>
  <si>
    <t>香榭国际12号楼1702</t>
  </si>
  <si>
    <t>0056980</t>
  </si>
  <si>
    <t>陈鹏鹏</t>
  </si>
  <si>
    <t>解放东路599弄2号1301</t>
  </si>
  <si>
    <t>朱超群</t>
  </si>
  <si>
    <t>珠城路118弄2号504</t>
  </si>
  <si>
    <t>洪爱婷</t>
  </si>
  <si>
    <t>莘朱路698弄16号801</t>
  </si>
  <si>
    <t>孙青</t>
  </si>
  <si>
    <t>奉贤区四团镇天鹏街49弄6号楼202</t>
  </si>
  <si>
    <t>0002041</t>
  </si>
  <si>
    <t>宋方川</t>
  </si>
  <si>
    <t>康佳路38弄46号302</t>
  </si>
  <si>
    <t>0000684</t>
  </si>
  <si>
    <t>冯大蔚</t>
  </si>
  <si>
    <t>建国东路328弄5号501</t>
  </si>
  <si>
    <t>0004265</t>
  </si>
  <si>
    <t>罗山路1507弄5号403</t>
  </si>
  <si>
    <t>阮林</t>
  </si>
  <si>
    <t>莘朱路698弄11号501</t>
  </si>
  <si>
    <t>0000720</t>
  </si>
  <si>
    <t>顾一文</t>
  </si>
  <si>
    <t>环龙路259弄6-50</t>
  </si>
  <si>
    <t>梁艳</t>
  </si>
  <si>
    <t>铜川路1422弄1号601</t>
  </si>
  <si>
    <t>柏琳</t>
  </si>
  <si>
    <t>浦东新区张家浜路</t>
  </si>
  <si>
    <t>于威</t>
  </si>
  <si>
    <t>景谷中路58弄9号</t>
  </si>
  <si>
    <t>杨婷婷</t>
  </si>
  <si>
    <t>湖畔三期293-1001</t>
  </si>
  <si>
    <t>0000547</t>
  </si>
  <si>
    <t>孙强</t>
  </si>
  <si>
    <t>静安区680弄9号501</t>
  </si>
  <si>
    <t>薛剑平</t>
  </si>
  <si>
    <t>宝山区塘祁路517弄滨江公园57号701</t>
  </si>
  <si>
    <t>何丽君</t>
  </si>
  <si>
    <t>普陀区清谷路368弄5号803</t>
  </si>
  <si>
    <t>黄老师/赵青</t>
  </si>
  <si>
    <t>甫盘路555号1901</t>
  </si>
  <si>
    <t>常扬</t>
  </si>
  <si>
    <t>浦东新区晨晖路828弄23号101</t>
  </si>
  <si>
    <t>0002073</t>
  </si>
  <si>
    <t>王佳佳</t>
  </si>
  <si>
    <t>闵行区万源路2289弄万源新城3号402</t>
  </si>
  <si>
    <t>000285</t>
  </si>
  <si>
    <t>那颖桦</t>
  </si>
  <si>
    <t>包头南路688弄1号1302</t>
  </si>
  <si>
    <t>倪高飞</t>
  </si>
  <si>
    <t>桃浦路321弄24号501</t>
  </si>
  <si>
    <t>刘明辉</t>
  </si>
  <si>
    <t>成山路2108弄62号602</t>
  </si>
  <si>
    <t>周旸</t>
  </si>
  <si>
    <t>虹桥路1765弄56号302</t>
  </si>
  <si>
    <t>0003593</t>
  </si>
  <si>
    <t>陈辰</t>
  </si>
  <si>
    <t>碧波路49弄8号501</t>
  </si>
  <si>
    <t>蒋明均</t>
  </si>
  <si>
    <t>控江路1500弄62号</t>
  </si>
  <si>
    <t>沈俊玲</t>
  </si>
  <si>
    <t>青浦区谢卫路229弄92号</t>
  </si>
  <si>
    <t>吴萍</t>
  </si>
  <si>
    <t>新松江路2218弄192号402</t>
  </si>
  <si>
    <t>朱建</t>
  </si>
  <si>
    <t>老城里6-403</t>
  </si>
  <si>
    <t>闵行区红松东路2899弄16号1001</t>
  </si>
  <si>
    <t>中山南一路500弄2号2005</t>
  </si>
  <si>
    <t>李挺</t>
  </si>
  <si>
    <t>皇家花园998弄50-902</t>
  </si>
  <si>
    <t>王少和</t>
  </si>
  <si>
    <t>双桥公寓三区4号602</t>
  </si>
  <si>
    <t>邵婷</t>
  </si>
  <si>
    <t>御中环13#101</t>
  </si>
  <si>
    <t>田亚龙/余红</t>
  </si>
  <si>
    <t>陈忠辉</t>
  </si>
  <si>
    <t>金山长城逸府249-802</t>
  </si>
  <si>
    <t>长宁区中泾路18弄68号201室</t>
  </si>
  <si>
    <t>常熟路100-11-14</t>
  </si>
  <si>
    <t>张冶</t>
  </si>
  <si>
    <t>西江湾路168弄9-1002</t>
  </si>
  <si>
    <t>松江区泗凤路758弄41栋180号101室</t>
  </si>
  <si>
    <t>静安区万荣路166弄4号1404</t>
  </si>
  <si>
    <t>南桥镇褚家路100弄13号201</t>
  </si>
  <si>
    <t>水城南路35号709室</t>
  </si>
  <si>
    <t>虹莘路3800弄11一号1002#</t>
  </si>
  <si>
    <t>罗阳路52号501</t>
  </si>
  <si>
    <t>通州路188弄7号403室</t>
  </si>
  <si>
    <t>民京路558弄26号102室</t>
  </si>
  <si>
    <t>浦东沪南路3468弄139号302室</t>
  </si>
  <si>
    <t>电台路599弄85号703</t>
  </si>
  <si>
    <t>虹口区虹湾路313弄25号3302</t>
  </si>
  <si>
    <t>崇明渔乐路50弄66弄802</t>
  </si>
  <si>
    <t>浦驰路1335弄105号902室</t>
  </si>
  <si>
    <t>晨晖路825弄17号1601</t>
  </si>
  <si>
    <t>益江路136弄71号501</t>
  </si>
  <si>
    <t>夏峥杰</t>
  </si>
  <si>
    <t>嘉定区马陆镇阿克苏镇66弄10号702室</t>
  </si>
  <si>
    <t>褚浩宇</t>
  </si>
  <si>
    <t>闵行区富国路199弄15号601</t>
  </si>
  <si>
    <t>虹口区凉城路539弄33号204</t>
  </si>
  <si>
    <t>嘉定塔城路718弄4号101</t>
  </si>
  <si>
    <t>德悦路501弄5号1204</t>
  </si>
  <si>
    <t>高美</t>
  </si>
  <si>
    <t>浦东新区世华锦城19幢202</t>
  </si>
  <si>
    <t>刘长珍</t>
  </si>
  <si>
    <t>灵山路1840弄9号503</t>
  </si>
  <si>
    <t>赵艳虹</t>
  </si>
  <si>
    <t>西藏南路899号2703A</t>
  </si>
  <si>
    <t>藏凯茹</t>
  </si>
  <si>
    <t>瑞和路900弄7号楼1602</t>
  </si>
  <si>
    <t>张晓阳</t>
  </si>
  <si>
    <t>黄家花园998弄14幢49单元802</t>
  </si>
  <si>
    <t>杨玥敏</t>
  </si>
  <si>
    <t>虹口区191弄4号50</t>
  </si>
  <si>
    <t>金雪琴</t>
  </si>
  <si>
    <t>东新路88弄37号2805</t>
  </si>
  <si>
    <t>谢琪</t>
  </si>
  <si>
    <t>水城路21弄11号402</t>
  </si>
  <si>
    <t>韩在春</t>
  </si>
  <si>
    <t>西江湾路5号904</t>
  </si>
  <si>
    <t>李胜兴</t>
  </si>
  <si>
    <t>涞寅路658弄46号1801</t>
  </si>
  <si>
    <t>朱德微</t>
  </si>
  <si>
    <t>长逸路301弄5号202</t>
  </si>
  <si>
    <t>陈逸潇</t>
  </si>
  <si>
    <t>13524149747/10026670395</t>
  </si>
  <si>
    <t>杨浦区周家嘴路1299弄上海大花园18号403</t>
  </si>
  <si>
    <t>陈思嘉</t>
  </si>
  <si>
    <t>静安区共和新路318弄3号502</t>
  </si>
  <si>
    <t>张宇璐</t>
  </si>
  <si>
    <t>闵行区芦恒路378弄194号501</t>
  </si>
  <si>
    <t>0002772</t>
  </si>
  <si>
    <t>王文箴</t>
  </si>
  <si>
    <t>嘉定黄家花园988弄40号1501</t>
  </si>
  <si>
    <t>高娃</t>
  </si>
  <si>
    <t>周庄全旺路88号135-203</t>
  </si>
  <si>
    <t>0003772</t>
  </si>
  <si>
    <t>浦东申江南路7677弄99号</t>
  </si>
  <si>
    <t>0003774</t>
  </si>
  <si>
    <t>张潘钧</t>
  </si>
  <si>
    <t>静安区556弄2号2203</t>
  </si>
  <si>
    <t>静安区岭南路100弄37号601</t>
  </si>
  <si>
    <t>林烽</t>
  </si>
  <si>
    <t>浦东区西营南路17弄59号301</t>
  </si>
  <si>
    <t>0003775</t>
  </si>
  <si>
    <t>徐汇区1158弄18号702</t>
  </si>
  <si>
    <t>0001480</t>
  </si>
  <si>
    <t>孙成杰</t>
  </si>
  <si>
    <t>共和新路736弄23号601</t>
  </si>
  <si>
    <t>郁铢峰</t>
  </si>
  <si>
    <t>沉香苑一街坊60号楼801</t>
  </si>
  <si>
    <t>唐峰</t>
  </si>
  <si>
    <t>南江三灶镇李桥村1531号</t>
  </si>
  <si>
    <t>陆玲懿</t>
  </si>
  <si>
    <t>康桥镇创新中路380弄11号801</t>
  </si>
  <si>
    <t>0003540</t>
  </si>
  <si>
    <t>沈森</t>
  </si>
  <si>
    <t>闵行区莲花路1330弄31-402</t>
  </si>
  <si>
    <t>李小奇</t>
  </si>
  <si>
    <t>滨江天地2栋8号102</t>
  </si>
  <si>
    <t>滨海公园壹号7-408-1801</t>
  </si>
  <si>
    <t>肖雷</t>
  </si>
  <si>
    <t>浦东区康弘路515弄达成小区6号1201</t>
  </si>
  <si>
    <t>四平路780-1-401</t>
  </si>
  <si>
    <t>郁国钦</t>
  </si>
  <si>
    <t>浦东新区航春路169弄10号1004室</t>
  </si>
  <si>
    <t>郭海涛</t>
  </si>
  <si>
    <t>傅兵</t>
  </si>
  <si>
    <t>杨浦区国年路102弄23号201</t>
  </si>
  <si>
    <t>阎芝利</t>
  </si>
  <si>
    <t>三泉路415弄40号202</t>
  </si>
  <si>
    <t>卢莉敏</t>
  </si>
  <si>
    <t>虹口区758弄四平路7号402</t>
  </si>
  <si>
    <t>灵山路600弄9号103</t>
  </si>
  <si>
    <t>0002773</t>
  </si>
  <si>
    <t>林忠</t>
  </si>
  <si>
    <t>业辉路199弄216号</t>
  </si>
  <si>
    <t>胡科</t>
  </si>
  <si>
    <t>张杨路3083弄15号802</t>
  </si>
  <si>
    <t>0001621</t>
  </si>
  <si>
    <t>俞翡</t>
  </si>
  <si>
    <t>打浦路80弄海丽小区13号1817</t>
  </si>
  <si>
    <t>王洪占</t>
  </si>
  <si>
    <t>伴亭路855弄38号604</t>
  </si>
  <si>
    <t>刘裕华</t>
  </si>
  <si>
    <t>浦涛路510弄13号603</t>
  </si>
  <si>
    <t>张和平</t>
  </si>
  <si>
    <t>丰皓路138弄26号1101</t>
  </si>
  <si>
    <t>0001908</t>
  </si>
  <si>
    <t>赵梦</t>
  </si>
  <si>
    <t>新华路448弄6号501</t>
  </si>
  <si>
    <t>0002790</t>
  </si>
  <si>
    <t>林娜</t>
  </si>
  <si>
    <t>冠生园路215号22-1101</t>
  </si>
  <si>
    <t>夏梦</t>
  </si>
  <si>
    <t>三林路1300弄54号402</t>
  </si>
  <si>
    <t>李芳</t>
  </si>
  <si>
    <t>古美西路752弄46号302</t>
  </si>
  <si>
    <t>李志燕</t>
  </si>
  <si>
    <t>纀明云</t>
  </si>
  <si>
    <t>国权北路380弄13号401</t>
  </si>
  <si>
    <t>徐晨</t>
  </si>
  <si>
    <t>稽海伟</t>
  </si>
  <si>
    <t>徐汇区罗城路651弄48号401</t>
  </si>
  <si>
    <t>林成强</t>
  </si>
  <si>
    <t>新府中路899弄41号1002</t>
  </si>
  <si>
    <t>唐山路1188弄5号2303室</t>
  </si>
  <si>
    <t>0002003</t>
  </si>
  <si>
    <t>齐相媛</t>
  </si>
  <si>
    <t>虹口区惠民路150弄海翔小区6号30</t>
  </si>
  <si>
    <t>0002776</t>
  </si>
  <si>
    <t>柳杨</t>
  </si>
  <si>
    <t>普陀区延川路209弄4号102</t>
  </si>
  <si>
    <t>0002775</t>
  </si>
  <si>
    <t>刘笛扬</t>
  </si>
  <si>
    <t>徐汇区肇嘉浜路665号</t>
  </si>
  <si>
    <t>0003596</t>
  </si>
  <si>
    <t>胡玉红</t>
  </si>
  <si>
    <t>闵行区龙柏七村63号502</t>
  </si>
  <si>
    <t>周晓沫</t>
  </si>
  <si>
    <t>静安区万荣路30弄23-201</t>
  </si>
  <si>
    <t>0003597</t>
  </si>
  <si>
    <t>腾佳男</t>
  </si>
  <si>
    <t>浦东新区尚博路569弄57号</t>
  </si>
  <si>
    <t>0001909</t>
  </si>
  <si>
    <t>姜丽君</t>
  </si>
  <si>
    <t>真北路红星美凯龙北馆4楼商总办公室</t>
  </si>
  <si>
    <t>0001034</t>
  </si>
  <si>
    <t>李松</t>
  </si>
  <si>
    <t>紫金轩20号502</t>
  </si>
  <si>
    <t>赵珺晖</t>
  </si>
  <si>
    <t>紫金轩6号701</t>
  </si>
  <si>
    <t>肖天成</t>
  </si>
  <si>
    <t>诚礼路298弄22号901</t>
  </si>
  <si>
    <t>谭阿芝</t>
  </si>
  <si>
    <t>城里路298弄9号402</t>
  </si>
  <si>
    <t>朱明亮</t>
  </si>
  <si>
    <t>紫金九号15-302</t>
  </si>
  <si>
    <t>吴晓贝</t>
  </si>
  <si>
    <t>城礼路298弄1号1002</t>
  </si>
  <si>
    <t>朱超华</t>
  </si>
  <si>
    <t>浦东新区城礼路298弄紫金轩30-1102</t>
  </si>
  <si>
    <t>王东东</t>
  </si>
  <si>
    <t>浦东新区城礼路298弄15号601</t>
  </si>
  <si>
    <t>0001593</t>
  </si>
  <si>
    <t>陈霞芳</t>
  </si>
  <si>
    <t>嘉定区永涛路899弄219</t>
  </si>
  <si>
    <t>0001037</t>
  </si>
  <si>
    <t>王亮</t>
  </si>
  <si>
    <t>浦东新区城礼路298弄紫金轩27-502</t>
  </si>
  <si>
    <t>城礼路298弄紫金轩29-701</t>
  </si>
  <si>
    <t>0001594</t>
  </si>
  <si>
    <t>周晓莺</t>
  </si>
  <si>
    <t>场北路39弄4号1602</t>
  </si>
  <si>
    <t>陆雅莉</t>
  </si>
  <si>
    <t>瑞建路88弄24号</t>
  </si>
  <si>
    <t>0000992</t>
  </si>
  <si>
    <t>莫延安</t>
  </si>
  <si>
    <t>诚礼路298弄35号1402</t>
  </si>
  <si>
    <t>刘雨航</t>
  </si>
  <si>
    <t>诚礼路298弄10号1102</t>
  </si>
  <si>
    <t>0002770</t>
  </si>
  <si>
    <t>潘晓</t>
  </si>
  <si>
    <t>诚礼路298弄27号1001</t>
  </si>
  <si>
    <t>张骏灵</t>
  </si>
  <si>
    <t>紫金轩7号402</t>
  </si>
  <si>
    <t>0002782</t>
  </si>
  <si>
    <t>紫金轩17号1101</t>
  </si>
  <si>
    <t>0002785</t>
  </si>
  <si>
    <t>肖雪花</t>
  </si>
  <si>
    <t>紫金轩20号802</t>
  </si>
  <si>
    <t>余远</t>
  </si>
  <si>
    <t>紫金轩2幢32号401</t>
  </si>
  <si>
    <t>徐广州</t>
  </si>
  <si>
    <t>紫金轩6号302</t>
  </si>
  <si>
    <t>0002781</t>
  </si>
  <si>
    <t>吉鹏飞</t>
  </si>
  <si>
    <t>紫金轩6号202</t>
  </si>
  <si>
    <t>尚飞跃</t>
  </si>
  <si>
    <t>诚礼路298弄11号201</t>
  </si>
  <si>
    <t>0001029</t>
  </si>
  <si>
    <t>诚礼路298弄8号402</t>
  </si>
  <si>
    <t>0001031</t>
  </si>
  <si>
    <t>于鹏</t>
  </si>
  <si>
    <t>诚礼路298弄32号402</t>
  </si>
  <si>
    <t>肖娜</t>
  </si>
  <si>
    <t>诚礼路298弄紫金轩</t>
  </si>
  <si>
    <t>0001035</t>
  </si>
  <si>
    <t>彭冬华</t>
  </si>
  <si>
    <t>紫金轩13号1102</t>
  </si>
  <si>
    <t>0001032</t>
  </si>
  <si>
    <t>李泓佳</t>
  </si>
  <si>
    <t>紫金轩13号802</t>
  </si>
  <si>
    <t>0001033</t>
  </si>
  <si>
    <t>季静</t>
  </si>
  <si>
    <t>紫金轩31号302</t>
  </si>
  <si>
    <t>0001038</t>
  </si>
  <si>
    <t>陆小奕</t>
  </si>
  <si>
    <t>紫金轩16号601</t>
  </si>
  <si>
    <t>0002780</t>
  </si>
  <si>
    <t>余炀</t>
  </si>
  <si>
    <t>紫金轩13号602</t>
  </si>
  <si>
    <t>0002784</t>
  </si>
  <si>
    <t>紫金轩3号602</t>
  </si>
  <si>
    <t>廖争锐</t>
  </si>
  <si>
    <t>紫金轩21号201</t>
  </si>
  <si>
    <t>孙静</t>
  </si>
  <si>
    <t>紫金轩28号402</t>
  </si>
  <si>
    <t>0002783</t>
  </si>
  <si>
    <t>顾俞莹</t>
  </si>
  <si>
    <t>紫金轩18号402</t>
  </si>
  <si>
    <t>毕道钰</t>
  </si>
  <si>
    <t>紫金轩27号901</t>
  </si>
  <si>
    <t>紫金轩33号602</t>
  </si>
  <si>
    <t>0002786</t>
  </si>
  <si>
    <t>张雯雯</t>
  </si>
  <si>
    <t>紫金轩2号602</t>
  </si>
  <si>
    <t>0002788</t>
  </si>
  <si>
    <t>葛绍军</t>
  </si>
  <si>
    <t>紫金轩6号802</t>
  </si>
  <si>
    <t>0002787</t>
  </si>
  <si>
    <t>胡谢雨</t>
  </si>
  <si>
    <t>紫金轩22号1002</t>
  </si>
  <si>
    <t>胡永海</t>
  </si>
  <si>
    <t>竹柏路366弄158号501</t>
  </si>
  <si>
    <t>文锦江/方宸</t>
  </si>
  <si>
    <t>静安区海防路58弄11号603</t>
  </si>
  <si>
    <t>潘孔杰</t>
  </si>
  <si>
    <t>万源路986弄4号1402</t>
  </si>
  <si>
    <t>陈兰凤</t>
  </si>
  <si>
    <t>徐汇区化工一村200号301</t>
  </si>
  <si>
    <t>雪绒花路369弄1号102室</t>
  </si>
  <si>
    <t>杨菁</t>
  </si>
  <si>
    <t>浦东杨浦路1218-7-601</t>
  </si>
  <si>
    <t>沪闵路9669弄13-202</t>
  </si>
  <si>
    <t>青浦区联民路88弄1006-5D</t>
  </si>
  <si>
    <t>虹口区建邦16区4号2202</t>
  </si>
  <si>
    <t>龙阳店</t>
  </si>
  <si>
    <t>青浦张家玗路333号A</t>
  </si>
  <si>
    <t>张文斌</t>
  </si>
  <si>
    <t>金汇南路60弄64号</t>
  </si>
  <si>
    <t>置鼎路889弄122号101</t>
  </si>
  <si>
    <t>0000631</t>
  </si>
  <si>
    <t>谷暤</t>
  </si>
  <si>
    <t>浦东新区夏栎路333弄6号202</t>
  </si>
  <si>
    <t>0001622</t>
  </si>
  <si>
    <t>朱吉美</t>
  </si>
  <si>
    <t>平陆路999弄18栋94号</t>
  </si>
  <si>
    <t>陆保军</t>
  </si>
  <si>
    <t>枫泾镇正荣璟园22号</t>
  </si>
  <si>
    <t>0000131</t>
  </si>
  <si>
    <t>仇金洁</t>
  </si>
  <si>
    <t>绿地天呈81号1801</t>
  </si>
  <si>
    <t>孙钰</t>
  </si>
  <si>
    <t>静安区平型关路680弄9-501</t>
  </si>
  <si>
    <t>0002778</t>
  </si>
  <si>
    <t>顾春峰</t>
  </si>
  <si>
    <t>闵行区虹中路366弄31号1002</t>
  </si>
  <si>
    <t>0002777</t>
  </si>
  <si>
    <t>何叶华</t>
  </si>
  <si>
    <t>闵行区虹中路366弄22号1303</t>
  </si>
  <si>
    <t>繁荣路266弄28号1402</t>
  </si>
  <si>
    <t>0000430</t>
  </si>
  <si>
    <t>13917878378/13816285079</t>
  </si>
  <si>
    <t>昌平路428弄6号101</t>
  </si>
  <si>
    <t>0000741</t>
  </si>
  <si>
    <t>梁越</t>
  </si>
  <si>
    <t>曹浦路77弄6号2单元205</t>
  </si>
  <si>
    <t>刘丹红</t>
  </si>
  <si>
    <t>旭辉府81-201</t>
  </si>
  <si>
    <t>杨君锋</t>
  </si>
  <si>
    <t>报春路558弄40号1002</t>
  </si>
  <si>
    <t>张天增</t>
  </si>
  <si>
    <t>浦东新区上浦路329弄7号302</t>
  </si>
  <si>
    <t>刘小玲</t>
  </si>
  <si>
    <t>繁兴路300弄西效九韵城207号1101</t>
  </si>
  <si>
    <t>0001121</t>
  </si>
  <si>
    <t>德富路900弄花园里5号1801</t>
  </si>
  <si>
    <t>贡海璐</t>
  </si>
  <si>
    <t>闵行区丰顺路500弄22号601室</t>
  </si>
  <si>
    <t>浦东大道1615弄28号403</t>
  </si>
  <si>
    <t>镇宁路405弄8号504</t>
  </si>
  <si>
    <t>邱韵茗</t>
  </si>
  <si>
    <t>松江象屿虹桥悦府38号1302</t>
  </si>
  <si>
    <t>金沙雅苑清峪路368弄202</t>
  </si>
  <si>
    <t>沈余军</t>
  </si>
  <si>
    <t>青湖路789号50-1002</t>
  </si>
  <si>
    <t>卢雪桢</t>
  </si>
  <si>
    <t>长宁区荣华西道58弄40号</t>
  </si>
  <si>
    <t>顾帅</t>
  </si>
  <si>
    <t>青浦区崧泉路1021弄4号801</t>
  </si>
  <si>
    <t>赵文彬</t>
  </si>
  <si>
    <t>西藏北路1303-3-2501</t>
  </si>
  <si>
    <t>张晟静</t>
  </si>
  <si>
    <t>象屿虹桥悦府11号1101</t>
  </si>
  <si>
    <t>马婕</t>
  </si>
  <si>
    <t>上海南路41885弄15号402</t>
  </si>
  <si>
    <t>赵同民</t>
  </si>
  <si>
    <t>133319800917</t>
  </si>
  <si>
    <t>七莘路3383弄14区4号302</t>
  </si>
  <si>
    <t>丛森昌</t>
  </si>
  <si>
    <t>青浦区侨鑫公寓19号101</t>
  </si>
  <si>
    <t>杨思琦</t>
  </si>
  <si>
    <t>普陀区吉浪路183弄22号501</t>
  </si>
  <si>
    <t>汪琴</t>
  </si>
  <si>
    <t>佘山院子503号704</t>
  </si>
  <si>
    <t>周宁</t>
  </si>
  <si>
    <t>龙湖天璞34号501</t>
  </si>
  <si>
    <t>凤蓉路455弄10号801室</t>
  </si>
  <si>
    <t>江湾城88弄4号701</t>
  </si>
  <si>
    <t>佘山贡噶路525弄6号1204室</t>
  </si>
  <si>
    <t>彭砚</t>
  </si>
  <si>
    <t>龙东大道415弄J31</t>
  </si>
  <si>
    <t>西郊锦庐156-102</t>
  </si>
  <si>
    <t>百安居</t>
  </si>
  <si>
    <t>姜方宁</t>
  </si>
  <si>
    <t>西藏南路1739-6-2402</t>
  </si>
  <si>
    <t>项目经理自报尺寸</t>
  </si>
  <si>
    <t>金添</t>
  </si>
  <si>
    <t>板泉路1527弄15号702</t>
  </si>
  <si>
    <t>合景天悦74号401室</t>
  </si>
  <si>
    <t>0001651</t>
  </si>
  <si>
    <t>杨安琪</t>
  </si>
  <si>
    <t>嘉定区黄家花园998弄43号1802</t>
  </si>
  <si>
    <t>0002498</t>
  </si>
  <si>
    <t>徐汇区石龙路818弄13号401</t>
  </si>
  <si>
    <t>0002464</t>
  </si>
  <si>
    <t>俞卯</t>
  </si>
  <si>
    <t>丁志平</t>
  </si>
  <si>
    <t>浙江省三门县健跳镇西渡村</t>
  </si>
  <si>
    <t>赵雄鹰</t>
  </si>
  <si>
    <t>临汾路894弄5号604</t>
  </si>
  <si>
    <t>0002497</t>
  </si>
  <si>
    <t>闵行区七莘路3383弄14-4-302</t>
  </si>
  <si>
    <t>0000967</t>
  </si>
  <si>
    <t>沈隽慧</t>
  </si>
  <si>
    <t>慈竹路175弄10号2001</t>
  </si>
  <si>
    <t>0001040</t>
  </si>
  <si>
    <t>武昊</t>
  </si>
  <si>
    <t>浦东区南码头1186弄21号301</t>
  </si>
  <si>
    <t>0002595</t>
  </si>
  <si>
    <t>陈旭尧</t>
  </si>
  <si>
    <t>凤庆路58-35-607</t>
  </si>
  <si>
    <t>0000742</t>
  </si>
  <si>
    <t>虞哲东</t>
  </si>
  <si>
    <t>13817768879/13761611626</t>
  </si>
  <si>
    <t>共和新路4703弄56-102</t>
  </si>
  <si>
    <t>王旭峰</t>
  </si>
  <si>
    <t>闵行区江桦路400弄54-101</t>
  </si>
  <si>
    <t>华惠莉</t>
  </si>
  <si>
    <t>宝山虎林路泗塘五村62号502</t>
  </si>
  <si>
    <t>长宁区延安西路1329弄10号1802</t>
  </si>
  <si>
    <t>0004267</t>
  </si>
  <si>
    <t>韦开明</t>
  </si>
  <si>
    <t>长岛路823弄2号402</t>
  </si>
  <si>
    <t>0003599</t>
  </si>
  <si>
    <t>朱文华</t>
  </si>
  <si>
    <t>红松东路2899弄3号楼17号</t>
  </si>
  <si>
    <t>11/223</t>
  </si>
  <si>
    <t>赵健</t>
  </si>
  <si>
    <t>德富路900弄花园里8-1002</t>
  </si>
  <si>
    <t>黄家花园998弄40号1802</t>
  </si>
  <si>
    <t>0001686</t>
  </si>
  <si>
    <t>叶胜蓓</t>
  </si>
  <si>
    <t>浦东新区齐恒路177弄2号1104</t>
  </si>
  <si>
    <t>郁佳梁</t>
  </si>
  <si>
    <t>罗秀路1980弄58号101</t>
  </si>
  <si>
    <t>国顺路375弄7号401</t>
  </si>
  <si>
    <t>0000632</t>
  </si>
  <si>
    <t>密文超</t>
  </si>
  <si>
    <t>永颂路198弄2号502</t>
  </si>
  <si>
    <t>张林华</t>
  </si>
  <si>
    <t>闵行区红松东路2899弄7幢13号502</t>
  </si>
  <si>
    <t>0000744</t>
  </si>
  <si>
    <t>周熙茗</t>
  </si>
  <si>
    <t>闵行区七莘路2682弄63号602</t>
  </si>
  <si>
    <t>李洛</t>
  </si>
  <si>
    <t>浦东区金海路3333弄671号</t>
  </si>
  <si>
    <t>0002127</t>
  </si>
  <si>
    <t>马海银</t>
  </si>
  <si>
    <t>锦绣路1650弄香梅花园4号1801</t>
  </si>
  <si>
    <t>瞿锦章</t>
  </si>
  <si>
    <t>虹口区欧阳路289弄2-2601</t>
  </si>
  <si>
    <t>陈源兴</t>
  </si>
  <si>
    <t>嘉定区黄家花园998弄48号802</t>
  </si>
  <si>
    <t>曾文星</t>
  </si>
  <si>
    <t>浦东区德淳路99弄19号801</t>
  </si>
  <si>
    <t>0000745</t>
  </si>
  <si>
    <t>王建筑</t>
  </si>
  <si>
    <t>水产西路489弄28号101</t>
  </si>
  <si>
    <t>0000968</t>
  </si>
  <si>
    <t>宋金龙</t>
  </si>
  <si>
    <t>嘉定区双浦路70弄5号702</t>
  </si>
  <si>
    <t>丁梦</t>
  </si>
  <si>
    <t>普陀区中江路388弄2号1507</t>
  </si>
  <si>
    <t>胡子荃</t>
  </si>
  <si>
    <t>静安区华康路68弄1号2705</t>
  </si>
  <si>
    <t>周霞</t>
  </si>
  <si>
    <t>闵行区虹井路366号古北尚郡6栋21号601</t>
  </si>
  <si>
    <t>周逾亮</t>
  </si>
  <si>
    <t>杨浦区600弄佳龙花园81号202</t>
  </si>
  <si>
    <t>已排测量</t>
  </si>
  <si>
    <t>浦星公路568弄252号1201</t>
  </si>
  <si>
    <t>0000743</t>
  </si>
  <si>
    <t>陈佶雯</t>
  </si>
  <si>
    <t>宝山区纬地路99弄29号603</t>
  </si>
  <si>
    <t>刘凤莉</t>
  </si>
  <si>
    <t>嘉定区黄家花园998弄43号301</t>
  </si>
  <si>
    <t>0004050</t>
  </si>
  <si>
    <t>祁洁</t>
  </si>
  <si>
    <t>松江新城弘翔路51弄97号</t>
  </si>
  <si>
    <t>杨浦区政本路280弄20号403</t>
  </si>
  <si>
    <t>周琼</t>
  </si>
  <si>
    <t>长宁区500弄12号402</t>
  </si>
  <si>
    <t>0000368</t>
  </si>
  <si>
    <t>陶永弟</t>
  </si>
  <si>
    <t>徐汇区古美路1068弄1号202</t>
  </si>
  <si>
    <t>任远</t>
  </si>
  <si>
    <t>虹口区凉城路二村14号501</t>
  </si>
  <si>
    <t>李欢书</t>
  </si>
  <si>
    <t>闵行区芦恒路378弄198号1302</t>
  </si>
  <si>
    <t>0002072</t>
  </si>
  <si>
    <t>鲁畅</t>
  </si>
  <si>
    <t>花木街道999弄6号1101</t>
  </si>
  <si>
    <t>贾逸臣</t>
  </si>
  <si>
    <t>新二路999弄40号502</t>
  </si>
  <si>
    <t>禹州雍贤府95号1301</t>
  </si>
  <si>
    <t>谢鹿童</t>
  </si>
  <si>
    <t>芦恒路378-189-401</t>
  </si>
  <si>
    <t>郑洁</t>
  </si>
  <si>
    <t>漕宝路1467弄六区27号1102</t>
  </si>
  <si>
    <t>陈依</t>
  </si>
  <si>
    <t>徐汇区龙漕路135弄1号1602</t>
  </si>
  <si>
    <t>普陀区怒江北路219弄1号902</t>
  </si>
  <si>
    <t>张赛峰</t>
  </si>
  <si>
    <t>徐汇区清真路58弄18号701</t>
  </si>
  <si>
    <t>王英杰</t>
  </si>
  <si>
    <t>静安区华康路68弄1号1303</t>
  </si>
  <si>
    <t>李洪义</t>
  </si>
  <si>
    <t>环湖大道1号淀山湖壹号307-101室</t>
  </si>
  <si>
    <t>卢晓东</t>
  </si>
  <si>
    <t>闵行区浦江镇鲁汇汇臻路815弄11号702</t>
  </si>
  <si>
    <t>张昊宁</t>
  </si>
  <si>
    <t>衡山路41号T1-7b</t>
  </si>
  <si>
    <t>五莲路30弄9号502</t>
  </si>
  <si>
    <t>浦东新区晨晖路825弄11号305室</t>
  </si>
  <si>
    <t>陈堃</t>
  </si>
  <si>
    <t>天屏南路113弄24号</t>
  </si>
  <si>
    <t>浦东新区华夏二路36012号803</t>
  </si>
  <si>
    <t>宝山区198弄39号302</t>
  </si>
  <si>
    <t>中山北路止园路577号和兰苑16号602室</t>
  </si>
  <si>
    <t>安装完毕</t>
  </si>
  <si>
    <t>颛兴路666弄30号302</t>
  </si>
  <si>
    <t>裴晓丹</t>
  </si>
  <si>
    <t>龙洲南路58弄12号403</t>
  </si>
  <si>
    <t>梅花路777弄10号301</t>
  </si>
  <si>
    <t>0001687</t>
  </si>
  <si>
    <t>高景春</t>
  </si>
  <si>
    <t>浦东新区2400弄5号403</t>
  </si>
  <si>
    <t>丁海英</t>
  </si>
  <si>
    <t>金山区海浩89号301</t>
  </si>
  <si>
    <t>0000433</t>
  </si>
  <si>
    <t>闵行区禹州府31栋1501室</t>
  </si>
  <si>
    <t>0001848</t>
  </si>
  <si>
    <t>钱力</t>
  </si>
  <si>
    <t>淀湖路666弄9号102</t>
  </si>
  <si>
    <t>季滨</t>
  </si>
  <si>
    <t>青浦区汇金路</t>
  </si>
  <si>
    <t>0002483</t>
  </si>
  <si>
    <t>郑英炜</t>
  </si>
  <si>
    <t>银都路3535弄115号</t>
  </si>
  <si>
    <t>0002074</t>
  </si>
  <si>
    <t>浦东区晨晖路1000弄</t>
  </si>
  <si>
    <t>顾蕙蕙</t>
  </si>
  <si>
    <t>虹口区虹湾路313弄彩虹湾三期29号3401</t>
  </si>
  <si>
    <t>0000969</t>
  </si>
  <si>
    <t>戴林</t>
  </si>
  <si>
    <t>嘉定区德尚路900弄5号1601</t>
  </si>
  <si>
    <t>花影</t>
  </si>
  <si>
    <t>徐汇区双峰路411号904</t>
  </si>
  <si>
    <t>戴丽珍</t>
  </si>
  <si>
    <t>崇明区长兴岛骜岛华庭东苑51栋902</t>
  </si>
  <si>
    <t>张娜娜</t>
  </si>
  <si>
    <t>徐汇区龙华西路31弄俞一小区47号601</t>
  </si>
  <si>
    <t>吴峰</t>
  </si>
  <si>
    <t>闵行区罗阳路568弄94号201</t>
  </si>
  <si>
    <t>唐国兴</t>
  </si>
  <si>
    <t>浦东新区沪东新村77号204</t>
  </si>
  <si>
    <t>吉赣英</t>
  </si>
  <si>
    <t>闵行区报春一村51号301</t>
  </si>
  <si>
    <t>朱炯</t>
  </si>
  <si>
    <t>浦东新区万德路50弄6号101</t>
  </si>
  <si>
    <t>徐翎</t>
  </si>
  <si>
    <t>1387939945/13524336508</t>
  </si>
  <si>
    <t>徐汇区中山南二路925弄4号608</t>
  </si>
  <si>
    <t>耿宙磊</t>
  </si>
  <si>
    <t>浦东新区德平路1065弄23号602</t>
  </si>
  <si>
    <t>孟令波</t>
  </si>
  <si>
    <t>186788871160</t>
  </si>
  <si>
    <t>浦东新区枣庄路10弄25号101</t>
  </si>
  <si>
    <t>余纪仁</t>
  </si>
  <si>
    <t>浦东新区金藤苑38号楼201</t>
  </si>
  <si>
    <t>周晓怡</t>
  </si>
  <si>
    <t>静安区平型关路121弄9号802</t>
  </si>
  <si>
    <t>0000635</t>
  </si>
  <si>
    <t>卢磊</t>
  </si>
  <si>
    <t>闵行区万州府11-502</t>
  </si>
  <si>
    <t>0000634</t>
  </si>
  <si>
    <t>王南</t>
  </si>
  <si>
    <t>樱花路801弄7-302</t>
  </si>
  <si>
    <t>0000636</t>
  </si>
  <si>
    <t>廖月芳</t>
  </si>
  <si>
    <t>浦东新区运盐河路1255弄</t>
  </si>
  <si>
    <t>0000633</t>
  </si>
  <si>
    <t>黄芳</t>
  </si>
  <si>
    <t>浦城路366弄7号2401</t>
  </si>
  <si>
    <t>刘胤佐</t>
  </si>
  <si>
    <t>普陀区宁夏路353弄绿地世纪城51号802</t>
  </si>
  <si>
    <t>胡文台</t>
  </si>
  <si>
    <t>乳山路506弄9号502</t>
  </si>
  <si>
    <t>0000367</t>
  </si>
  <si>
    <t>朱银</t>
  </si>
  <si>
    <t>闵行区富园路199弄12号1301</t>
  </si>
  <si>
    <t>陈懿华</t>
  </si>
  <si>
    <t>黄浦区840号603</t>
  </si>
  <si>
    <t>0002079</t>
  </si>
  <si>
    <t>项海毓</t>
  </si>
  <si>
    <t>浦东区永泰路1299弄39号101</t>
  </si>
  <si>
    <t>青浦区899弄星尚湾29号1702</t>
  </si>
  <si>
    <t>0003777</t>
  </si>
  <si>
    <t>中山西路1878弄2号2001</t>
  </si>
  <si>
    <t>0001481</t>
  </si>
  <si>
    <t>张传雲</t>
  </si>
  <si>
    <t>浦秀路1388弄173号600</t>
  </si>
  <si>
    <t>00036</t>
  </si>
  <si>
    <t>盛荣</t>
  </si>
  <si>
    <t>景谷中路58弄15号1602</t>
  </si>
  <si>
    <t>1月测量</t>
  </si>
  <si>
    <t>钱无畏</t>
  </si>
  <si>
    <t>梅林北路1168弄17号</t>
  </si>
  <si>
    <t>0001912</t>
  </si>
  <si>
    <t>朱队长</t>
  </si>
  <si>
    <t>新闸路1910弄2号2103</t>
  </si>
  <si>
    <t>郑旭</t>
  </si>
  <si>
    <t>黄浦区180弄9号40</t>
  </si>
  <si>
    <t>闵行区虹中路366号古北尚郡9栋2号1001</t>
  </si>
  <si>
    <t>闵行区虹中路366号古北尚郡27号502</t>
  </si>
  <si>
    <t>闵行区虹中路366号古北尚郡8栋6号301</t>
  </si>
  <si>
    <t>刘金龙</t>
  </si>
  <si>
    <t>岭南路1288弄62号803</t>
  </si>
  <si>
    <t>陈征</t>
  </si>
  <si>
    <t>金汇南路60弄202</t>
  </si>
  <si>
    <t>曹鸣明</t>
  </si>
  <si>
    <t>虹梅路1109弄3号802</t>
  </si>
  <si>
    <t>唐晓婓</t>
  </si>
  <si>
    <t>浦东新区东绣路1085弄3号1802</t>
  </si>
  <si>
    <t>薛巍寅</t>
  </si>
  <si>
    <t>海阳路215弄19号1603</t>
  </si>
  <si>
    <t>何永康</t>
  </si>
  <si>
    <t>青浦区朱家角复兴路88弄二支弄61号</t>
  </si>
  <si>
    <t>昆山市花桥镇梦之悦9号2601</t>
  </si>
  <si>
    <t>江陵东路599号4-805</t>
  </si>
  <si>
    <t>王明秋</t>
  </si>
  <si>
    <t>宝林七村25号602</t>
  </si>
  <si>
    <t>周松珠</t>
  </si>
  <si>
    <t>奉城镇铭人公馆8幢6号901</t>
  </si>
  <si>
    <t>田曼曼</t>
  </si>
  <si>
    <t>春申路1580弄17号501</t>
  </si>
  <si>
    <t>王晓嫣</t>
  </si>
  <si>
    <t>徐汇区桂平路353号E栋</t>
  </si>
  <si>
    <t>范黎敏</t>
  </si>
  <si>
    <t>长宁路1818弄17号1101</t>
  </si>
  <si>
    <t>信义嘉庭3-4-1502</t>
  </si>
  <si>
    <t>浦东浦城路377号12号1801</t>
  </si>
  <si>
    <t>彭磊</t>
  </si>
  <si>
    <t>松江区车墩镇安贝尔花园226号401</t>
  </si>
  <si>
    <t>新市南路515-1-805</t>
  </si>
  <si>
    <t>宝山区真金路1039弄91号501</t>
  </si>
  <si>
    <t>奉贤区桐楠美麗30幢70号1603</t>
  </si>
  <si>
    <t>顾戴路1325弄49号601室</t>
  </si>
  <si>
    <t>俞文杰</t>
  </si>
  <si>
    <t>丁香路1299弄13号2002室</t>
  </si>
  <si>
    <t>宝山区红林路99弄62号803</t>
  </si>
  <si>
    <t>郁江</t>
  </si>
  <si>
    <t>普雄路29弄1号1601</t>
  </si>
  <si>
    <t>0001774</t>
  </si>
  <si>
    <t>浦东营洪路1258弄大洪佳苑39号804</t>
  </si>
  <si>
    <t>0001812</t>
  </si>
  <si>
    <t>刘圣俊</t>
  </si>
  <si>
    <t>颛兴路666弄30号303</t>
  </si>
  <si>
    <t>0000439</t>
  </si>
  <si>
    <t>宝山区233弄8号501</t>
  </si>
  <si>
    <t>0004269</t>
  </si>
  <si>
    <t>江文军</t>
  </si>
  <si>
    <t>15618915917/18751931662</t>
  </si>
  <si>
    <t>虹口区密云路665弄密云花苑小区9-303</t>
  </si>
  <si>
    <t>裴国有</t>
  </si>
  <si>
    <t>青浦区东渡悦来城6号2702</t>
  </si>
  <si>
    <t>0001913</t>
  </si>
  <si>
    <t>曹冰皓</t>
  </si>
  <si>
    <t>黄南路838弄A栋29号</t>
  </si>
  <si>
    <t>黄超</t>
  </si>
  <si>
    <t>杨浦1366弄89号402</t>
  </si>
  <si>
    <t>弓鑫</t>
  </si>
  <si>
    <t>世纪江湾64号501</t>
  </si>
  <si>
    <t>陶海</t>
  </si>
  <si>
    <t>世纪江湾17-123-801</t>
  </si>
  <si>
    <t>0002720</t>
  </si>
  <si>
    <t>彭小姐</t>
  </si>
  <si>
    <t>世纪江湾17-101-102</t>
  </si>
  <si>
    <t>张韵</t>
  </si>
  <si>
    <t>大木桥路600弄11号401</t>
  </si>
  <si>
    <t>赵鲁宁</t>
  </si>
  <si>
    <t>虹梅路3200弄43号1001</t>
  </si>
  <si>
    <t>0002080</t>
  </si>
  <si>
    <t>康达路118弄8号702</t>
  </si>
  <si>
    <t>0002030</t>
  </si>
  <si>
    <t>夏夏</t>
  </si>
  <si>
    <t>浦东新区柏澜晶舍9号501</t>
  </si>
  <si>
    <t>丁古飞</t>
  </si>
  <si>
    <t>杨浦区同济新村543号301</t>
  </si>
  <si>
    <t>0001652</t>
  </si>
  <si>
    <t>姜琳</t>
  </si>
  <si>
    <t>御云路100弄19号202</t>
  </si>
  <si>
    <t>0001949</t>
  </si>
  <si>
    <t>沈坚</t>
  </si>
  <si>
    <t>常德路500弄2号6A</t>
  </si>
  <si>
    <t>0002741</t>
  </si>
  <si>
    <t>徐汇区400弄36号103</t>
  </si>
  <si>
    <t>0002742</t>
  </si>
  <si>
    <t>梁建胜</t>
  </si>
  <si>
    <t>华灵路82吧62号40</t>
  </si>
  <si>
    <t>潘媛媛</t>
  </si>
  <si>
    <t>景谷中路88弄401</t>
  </si>
  <si>
    <t>王琪捷</t>
  </si>
  <si>
    <t>浦东新区碧云路333弄15号401</t>
  </si>
  <si>
    <t>杨婉华</t>
  </si>
  <si>
    <t>青浦沪青公路6101弄57号202</t>
  </si>
  <si>
    <t>浦东新区东绣路1085弄10号1101</t>
  </si>
  <si>
    <t>张文霞</t>
  </si>
  <si>
    <t>闵行区都市路1900弄55号702</t>
  </si>
  <si>
    <t>虹梅路3297弄60号101</t>
  </si>
  <si>
    <t>程芳琴</t>
  </si>
  <si>
    <t>年吉路220弄11号801</t>
  </si>
  <si>
    <t>童玥淇</t>
  </si>
  <si>
    <t>嘉善路232弄17号402</t>
  </si>
  <si>
    <t>汪勇旭</t>
  </si>
  <si>
    <t>徐汇区柳州路181弄15号901室</t>
  </si>
  <si>
    <t>浦城路366弄3号-2901</t>
  </si>
  <si>
    <t>崇明区陈家镇余震路725弄90号1201</t>
  </si>
  <si>
    <t>宝山区1623弄4号904室</t>
  </si>
  <si>
    <t>德富路900弄1号1102室</t>
  </si>
  <si>
    <t>王伟利</t>
  </si>
  <si>
    <t>黄家花园路998弄40号1002</t>
  </si>
  <si>
    <t>陈伟琴</t>
  </si>
  <si>
    <t>黄家花园路998弄34号801</t>
  </si>
  <si>
    <t>俞夏庆</t>
  </si>
  <si>
    <t>虹桥路1829弄90号605</t>
  </si>
  <si>
    <t>赵庆</t>
  </si>
  <si>
    <t>真光路962弄173号302</t>
  </si>
  <si>
    <t>张玮玮</t>
  </si>
  <si>
    <t>红松东路2899弄8号901</t>
  </si>
  <si>
    <t>红松东路2899弄6号601</t>
  </si>
  <si>
    <t>红松东路2899弄31号504</t>
  </si>
  <si>
    <t>红松东路2899弄18号201</t>
  </si>
  <si>
    <t>红松东路2899弄11号102</t>
  </si>
  <si>
    <t>红松东路2899弄30号1201</t>
  </si>
  <si>
    <t>薛雯静</t>
  </si>
  <si>
    <t>嘉美路1050弄9号1501</t>
  </si>
  <si>
    <t>许芸菲</t>
  </si>
  <si>
    <t>杨高中路58弄11号902</t>
  </si>
  <si>
    <t>朱玉婷</t>
  </si>
  <si>
    <t>沪青平公路2558弄28号</t>
  </si>
  <si>
    <t>朴勇健</t>
  </si>
  <si>
    <t>昆山锦溪镇淀湖观园140-809</t>
  </si>
  <si>
    <t>赵彦峰</t>
  </si>
  <si>
    <t>康桥路118弄11-501</t>
  </si>
  <si>
    <t>宋佳栋</t>
  </si>
  <si>
    <t>市光路701号1404</t>
  </si>
  <si>
    <t>0000685</t>
  </si>
  <si>
    <t>11.20已买单</t>
  </si>
  <si>
    <t>陈兰岚</t>
  </si>
  <si>
    <t>梅陇路200号301</t>
  </si>
  <si>
    <t>孙雪娇</t>
  </si>
  <si>
    <t>松建路339弄48号902</t>
  </si>
  <si>
    <t>0001933</t>
  </si>
  <si>
    <t>高晓洁</t>
  </si>
  <si>
    <t>长寿路街道陕西北路1688弄8号楼</t>
  </si>
  <si>
    <t>000375</t>
  </si>
  <si>
    <t>朱佳欢</t>
  </si>
  <si>
    <t>江协路51弄35号301</t>
  </si>
  <si>
    <t>周彩娥</t>
  </si>
  <si>
    <t>静安府小区173号5-6</t>
  </si>
  <si>
    <t>朱悦</t>
  </si>
  <si>
    <t>翔殷路318弄8号102</t>
  </si>
  <si>
    <t>王寅俊</t>
  </si>
  <si>
    <t>竹韵路58弄17号1001</t>
  </si>
  <si>
    <t>2019.12.27</t>
  </si>
  <si>
    <t>沈笛</t>
  </si>
  <si>
    <t>漕宝路1467弄27号401</t>
  </si>
  <si>
    <t>蒋雯/储女士</t>
  </si>
  <si>
    <t>长江路366弄8号601</t>
  </si>
  <si>
    <t>周培荣</t>
  </si>
  <si>
    <t>华济路28弄12-202</t>
  </si>
  <si>
    <t>徐伟</t>
  </si>
  <si>
    <t>浦东新区秋岚路58你弄19号602</t>
  </si>
  <si>
    <t>普陀区长寿路518弄20号901</t>
  </si>
  <si>
    <t>杨浦区控江四村111号201</t>
  </si>
  <si>
    <t>老沪闵路3105弄1号304室</t>
  </si>
  <si>
    <t>张晓盟</t>
  </si>
  <si>
    <t>闵行区景凤路58弄10号602室</t>
  </si>
  <si>
    <t>伴亭路855弄1-1703</t>
  </si>
  <si>
    <t>齐俊祥</t>
  </si>
  <si>
    <t>浦东区555弄仁恒家园19号101</t>
  </si>
  <si>
    <t>0001916</t>
  </si>
  <si>
    <t>倪舒昕</t>
  </si>
  <si>
    <t>芙蓉江路388弄5号1502</t>
  </si>
  <si>
    <t>黄永强</t>
  </si>
  <si>
    <t>云谷路1233弄4号1101</t>
  </si>
  <si>
    <t>杨浦区四平路1147弄8号901</t>
  </si>
  <si>
    <t>童小姐</t>
  </si>
  <si>
    <t>天平路232弄17号402</t>
  </si>
  <si>
    <t>方继光</t>
  </si>
  <si>
    <t>欧阳路289弄15号802</t>
  </si>
  <si>
    <t>0001813</t>
  </si>
  <si>
    <t>秦红卫</t>
  </si>
  <si>
    <t>恒高路128弄10号1501</t>
  </si>
  <si>
    <t>管雅庆</t>
  </si>
  <si>
    <t>四川北路2299弄3号楼2楼</t>
  </si>
  <si>
    <t>孙文静</t>
  </si>
  <si>
    <t>罗迎路558弄12号201</t>
  </si>
  <si>
    <t>林宜永</t>
  </si>
  <si>
    <t>宝山区一二八纪念路18弄15号701</t>
  </si>
  <si>
    <t>张关平</t>
  </si>
  <si>
    <t>华严路228弄1号130</t>
  </si>
  <si>
    <t>徐仲一</t>
  </si>
  <si>
    <t>浦东新区东靖路669弄64号102</t>
  </si>
  <si>
    <t>翟家龙</t>
  </si>
  <si>
    <t>长宁区仙霞路486弄6号402</t>
  </si>
  <si>
    <t>长宁区仙霞路458弄302</t>
  </si>
  <si>
    <t>黄琼慧</t>
  </si>
  <si>
    <t>浦东新区龙居路30弄16号691</t>
  </si>
  <si>
    <t>李烁</t>
  </si>
  <si>
    <t>斜土路1674弄2号302</t>
  </si>
  <si>
    <t>周金玲</t>
  </si>
  <si>
    <t>峨山路679弄8号1601</t>
  </si>
  <si>
    <t>白萱路99弄31号1101</t>
  </si>
  <si>
    <t>杨韫</t>
  </si>
  <si>
    <t>宝山区共康路169弄30号1001</t>
  </si>
  <si>
    <t>潘敏</t>
  </si>
  <si>
    <t>新凤中路899弄41号803</t>
  </si>
  <si>
    <t>岭艺</t>
  </si>
  <si>
    <t>禹州路（莘庄）13-802</t>
  </si>
  <si>
    <t>陈尤捷</t>
  </si>
  <si>
    <t>崔轶</t>
  </si>
  <si>
    <t>通州路88弄3号703</t>
  </si>
  <si>
    <t>俞佩雯</t>
  </si>
  <si>
    <t>樾山美墅87号</t>
  </si>
  <si>
    <t>桃林路815弄23号703</t>
  </si>
  <si>
    <t>苗圃路112弄3号401</t>
  </si>
  <si>
    <t>同济华城8号402室</t>
  </si>
  <si>
    <t>王零霖</t>
  </si>
  <si>
    <t>临沂路8弄36号1502</t>
  </si>
  <si>
    <t>菏泽路828弄60-402</t>
  </si>
  <si>
    <t>0001994</t>
  </si>
  <si>
    <t>杨柳青路118弄5号66</t>
  </si>
  <si>
    <t>陆立颖</t>
  </si>
  <si>
    <t>田林七村13号104</t>
  </si>
  <si>
    <t>0002596</t>
  </si>
  <si>
    <t>姜敏豪</t>
  </si>
  <si>
    <t>长宁区古北路686弄11号</t>
  </si>
  <si>
    <t>陈微</t>
  </si>
  <si>
    <t>康桥镇秀沿路1028弄2支弄122号1001室</t>
  </si>
  <si>
    <t>崔翀雯</t>
  </si>
  <si>
    <t>零陵路777弄82号1602</t>
  </si>
  <si>
    <t>金辉</t>
  </si>
  <si>
    <t>世纪江湾98号801</t>
  </si>
  <si>
    <t>程先生</t>
  </si>
  <si>
    <t>世纪江湾58-602</t>
  </si>
  <si>
    <t>潘佳琪</t>
  </si>
  <si>
    <t>恒耀路66弄12-65-301</t>
  </si>
  <si>
    <t>杨静艳</t>
  </si>
  <si>
    <t>世纪江湾100-801</t>
  </si>
  <si>
    <t>徐衡华</t>
  </si>
  <si>
    <t>浣纱三村62号203</t>
  </si>
  <si>
    <t>0001915</t>
  </si>
  <si>
    <t>夏继光</t>
  </si>
  <si>
    <t>茅台路455弄茅台新苑12号904</t>
  </si>
  <si>
    <t>0001917</t>
  </si>
  <si>
    <t>王韵</t>
  </si>
  <si>
    <t>政立路545弄39号107</t>
  </si>
  <si>
    <t>姚群挺</t>
  </si>
  <si>
    <t>景谷东路99弄25号701</t>
  </si>
  <si>
    <t>0057001</t>
  </si>
  <si>
    <t>李翔</t>
  </si>
  <si>
    <t>雍贤府146号302</t>
  </si>
  <si>
    <t>宏雅路151弄22号102</t>
  </si>
  <si>
    <t>0001286</t>
  </si>
  <si>
    <t>班伟</t>
  </si>
  <si>
    <t>李鑫</t>
  </si>
  <si>
    <t>华府东区10号1801</t>
  </si>
  <si>
    <t>金华珂</t>
  </si>
  <si>
    <t>蒲汇塘路50弄4号1201</t>
  </si>
  <si>
    <t>客户自带尺寸</t>
  </si>
  <si>
    <t>杨总</t>
  </si>
  <si>
    <t>杨浦区四平路1028弄35号502</t>
  </si>
  <si>
    <t>佳福雅苑225弄7号603</t>
  </si>
  <si>
    <t>蔡立</t>
  </si>
  <si>
    <t>静安区延平路123弄6号16E</t>
  </si>
  <si>
    <t>浦东新区德淳路99弄29号301</t>
  </si>
  <si>
    <t>康建东</t>
  </si>
  <si>
    <t>虹桥宝龙城27号101</t>
  </si>
  <si>
    <t>万望桃</t>
  </si>
  <si>
    <t>康达路118弄10号402</t>
  </si>
  <si>
    <t>康达路118弄8-1002</t>
  </si>
  <si>
    <t>宁夏路353弄3号楼2303室</t>
  </si>
  <si>
    <t>雷依娜</t>
  </si>
  <si>
    <t>宇森</t>
  </si>
  <si>
    <t>疏影路1188弄30号202</t>
  </si>
  <si>
    <t>唐艺榕</t>
  </si>
  <si>
    <t>零陵路631弄3B</t>
  </si>
  <si>
    <t>刘天顗</t>
  </si>
  <si>
    <t>松江区伴亭路30号101</t>
  </si>
  <si>
    <t>0001751</t>
  </si>
  <si>
    <t>潘向华</t>
  </si>
  <si>
    <t>松江区伴亭路象屿虹桥32号501</t>
  </si>
  <si>
    <t>陶子</t>
  </si>
  <si>
    <t>象屿虹桥40号501</t>
  </si>
  <si>
    <t>松江区伴亭路象屿虹桥22号302</t>
  </si>
  <si>
    <t>0001752</t>
  </si>
  <si>
    <t>松江区伴亭路象屿虹桥21号301</t>
  </si>
  <si>
    <t>刘丽莎</t>
  </si>
  <si>
    <t>闵行区永平南路198弄东苑佳和8号201</t>
  </si>
  <si>
    <t>0000428</t>
  </si>
  <si>
    <t>童蕊</t>
  </si>
  <si>
    <t>芙蓉江路388弄10号1302</t>
  </si>
  <si>
    <t>田文静</t>
  </si>
  <si>
    <t>龙州南路58弄5号402</t>
  </si>
  <si>
    <t>0002047</t>
  </si>
  <si>
    <t>夏江文</t>
  </si>
  <si>
    <t>浦东新区通达路118弄9号501</t>
  </si>
  <si>
    <t>王楚琦</t>
  </si>
  <si>
    <t>40号701</t>
  </si>
  <si>
    <t>叶张叶</t>
  </si>
  <si>
    <t>哈密路1800弄13号501</t>
  </si>
  <si>
    <t>彭文杰</t>
  </si>
  <si>
    <t>御云路100弄12号1202</t>
  </si>
  <si>
    <t>尹湘涛</t>
  </si>
  <si>
    <t>浦东区居家桥699弄4号101</t>
  </si>
  <si>
    <t>田蔓</t>
  </si>
  <si>
    <t>松江区伴亭路21号302</t>
  </si>
  <si>
    <t>宝山区杨泰路451弄世华佳苑139号1102</t>
  </si>
  <si>
    <t>李景锐</t>
  </si>
  <si>
    <t>东宝兴路258弄2号2701</t>
  </si>
  <si>
    <t>0000991</t>
  </si>
  <si>
    <t>思贤路3255弄51号402</t>
  </si>
  <si>
    <t>胡云心</t>
  </si>
  <si>
    <t>昌里东路190弄26号604</t>
  </si>
  <si>
    <t>袁小军</t>
  </si>
  <si>
    <t>金碧路1959弄146号101</t>
  </si>
  <si>
    <t>尹星</t>
  </si>
  <si>
    <t>鹤永路751弄1号704</t>
  </si>
  <si>
    <t>0001374</t>
  </si>
  <si>
    <t>熊威</t>
  </si>
  <si>
    <t>肇嘉浜路269弄2号2201</t>
  </si>
  <si>
    <t>刘斐然</t>
  </si>
  <si>
    <t>虹莘路1701弄35号601</t>
  </si>
  <si>
    <t>钱冠华</t>
  </si>
  <si>
    <t>黄家花园路998弄42号101</t>
  </si>
  <si>
    <t>0001624</t>
  </si>
  <si>
    <t>张荣</t>
  </si>
  <si>
    <t>宝山区真大路333弄41号1502</t>
  </si>
  <si>
    <t>施新峰</t>
  </si>
  <si>
    <t>浦东区上钢七村76号404</t>
  </si>
  <si>
    <t>吴强</t>
  </si>
  <si>
    <t>季景路555弄9号501</t>
  </si>
  <si>
    <t>顾赛花</t>
  </si>
  <si>
    <t>奉贤区正阳名仕苑142-802</t>
  </si>
  <si>
    <t>高凯龙</t>
  </si>
  <si>
    <t>罗店镇祁北路85弄81号楼</t>
  </si>
  <si>
    <t>0000765</t>
  </si>
  <si>
    <t>上海冠松集团有限公司</t>
  </si>
  <si>
    <t>龙东大道4028弄137号</t>
  </si>
  <si>
    <t>0002680</t>
  </si>
  <si>
    <t>康达路118弄11号1204</t>
  </si>
  <si>
    <t>杨女士</t>
  </si>
  <si>
    <t>康达路118弄11号2002</t>
  </si>
  <si>
    <t>高队长</t>
  </si>
  <si>
    <t>爱辉路28-15-501</t>
  </si>
  <si>
    <t>邰晓梅</t>
  </si>
  <si>
    <t>龙居路30弄24号604</t>
  </si>
  <si>
    <t>0001606</t>
  </si>
  <si>
    <t>曾翊桓</t>
  </si>
  <si>
    <t>静安区广延路1199弄8号2901</t>
  </si>
  <si>
    <t>王健阳</t>
  </si>
  <si>
    <t>静安区长宁路883弄64号102</t>
  </si>
  <si>
    <t>姚军</t>
  </si>
  <si>
    <t>杨浦区杭州路66弄8号501</t>
  </si>
  <si>
    <t>0000764</t>
  </si>
  <si>
    <t>丁卓立</t>
  </si>
  <si>
    <t>浦东区金葵路1315弄31-803</t>
  </si>
  <si>
    <t>王睿昕</t>
  </si>
  <si>
    <t>普陀区中宁路88弄中宁11号1301</t>
  </si>
  <si>
    <t>郑睿</t>
  </si>
  <si>
    <t>新沪路1099弄文华苑56号301</t>
  </si>
  <si>
    <t>张稼桦</t>
  </si>
  <si>
    <t>万镇路501弄33号501</t>
  </si>
  <si>
    <t>0000746</t>
  </si>
  <si>
    <t>姚伟华</t>
  </si>
  <si>
    <t>宝山区鄂尔多斯路98弄南秀新苑8号302</t>
  </si>
  <si>
    <t>戴浩洋</t>
  </si>
  <si>
    <t>徐汇区古美路1068弄7号201</t>
  </si>
  <si>
    <t>范晶莹</t>
  </si>
  <si>
    <t>黄浦区普育东路101弄海潮新村19号502</t>
  </si>
  <si>
    <t>闵行区颛兴路245弄91号301</t>
  </si>
  <si>
    <t>沈女士</t>
  </si>
  <si>
    <t>浦东区康达路118弄11号1204</t>
  </si>
  <si>
    <t>0001918</t>
  </si>
  <si>
    <t>游志强</t>
  </si>
  <si>
    <t>双河路437弄安盛苑19号501</t>
  </si>
  <si>
    <t>0002484</t>
  </si>
  <si>
    <t>鞠松</t>
  </si>
  <si>
    <t>闵行区华茂路100弄15号101</t>
  </si>
  <si>
    <t>0001920</t>
  </si>
  <si>
    <t>普陀区长月新楼15号605</t>
  </si>
  <si>
    <t>嘉定区安研路67弄瑞仕锦度12号1102</t>
  </si>
  <si>
    <t>0001377</t>
  </si>
  <si>
    <t>唐安林</t>
  </si>
  <si>
    <t>虹口区车站南路407弄18号602</t>
  </si>
  <si>
    <t>赵娟</t>
  </si>
  <si>
    <t>闵行区华莘公路25号楼102</t>
  </si>
  <si>
    <t>庄伟锋</t>
  </si>
  <si>
    <t>杨浦区中原路99弄402</t>
  </si>
  <si>
    <t>王志凤/庞秋月</t>
  </si>
  <si>
    <t>周捷</t>
  </si>
  <si>
    <t>诚礼路298弄15号101</t>
  </si>
  <si>
    <t>袁小姐</t>
  </si>
  <si>
    <t>静安区1138弄60号601</t>
  </si>
  <si>
    <t>王书玉</t>
  </si>
  <si>
    <t>虹口区岳州路399弄16号2203室</t>
  </si>
  <si>
    <t>浦东新区金口路411弄9号201</t>
  </si>
  <si>
    <t>范雯佳</t>
  </si>
  <si>
    <t>水清路999弄34号502</t>
  </si>
  <si>
    <t>杨本青</t>
  </si>
  <si>
    <t>徐汇区67弄1号103</t>
  </si>
  <si>
    <t>蒋姣</t>
  </si>
  <si>
    <t>伴亭路虹桥悦府27号302</t>
  </si>
  <si>
    <t>张晨俊</t>
  </si>
  <si>
    <t>鞍山路310弄5号501</t>
  </si>
  <si>
    <t>方维</t>
  </si>
  <si>
    <t>共和新路2999弄5号3306</t>
  </si>
  <si>
    <t>0001717</t>
  </si>
  <si>
    <t>罗逸玲</t>
  </si>
  <si>
    <t>伴亭路象屿虹桥44号302</t>
  </si>
  <si>
    <t>苏肖</t>
  </si>
  <si>
    <t>虹口区玉田支路10号304</t>
  </si>
  <si>
    <t>0002683</t>
  </si>
  <si>
    <t>李菲菲</t>
  </si>
  <si>
    <t>创新南路333弄101号702</t>
  </si>
  <si>
    <t>0001603</t>
  </si>
  <si>
    <t>宝山区盛石路350号</t>
  </si>
  <si>
    <t>胡良峰</t>
  </si>
  <si>
    <t>伴亭路855弄25号203</t>
  </si>
  <si>
    <t>朱亚东</t>
  </si>
  <si>
    <t>新桥镇明中路999弄123号302</t>
  </si>
  <si>
    <t>李文贞</t>
  </si>
  <si>
    <t>泰安馨苑58号702</t>
  </si>
  <si>
    <t>浦东牡丹路145弄6号501</t>
  </si>
  <si>
    <t>徐婷玉</t>
  </si>
  <si>
    <t>嘉定区黄家花园路998弄38号1202</t>
  </si>
  <si>
    <t>陈雅琴</t>
  </si>
  <si>
    <t>桃林路815弄11号1702</t>
  </si>
  <si>
    <t>姜辉</t>
  </si>
  <si>
    <t>金山区蓝色收获64-402</t>
  </si>
  <si>
    <t>杨静</t>
  </si>
  <si>
    <t>虹口区欧阳路561弄17号B室</t>
  </si>
  <si>
    <t>绍懿慧</t>
  </si>
  <si>
    <t>杨智杰</t>
  </si>
  <si>
    <t>金颖</t>
  </si>
  <si>
    <t>黄浦区海潮路222-5-1201</t>
  </si>
  <si>
    <t>陈贺好</t>
  </si>
  <si>
    <t>浦东新区高青路2861弄万科小区106号1102</t>
  </si>
  <si>
    <t>李红</t>
  </si>
  <si>
    <t>广光西路108号A栋200</t>
  </si>
  <si>
    <t>钱丽</t>
  </si>
  <si>
    <t>康达路118弄8号504</t>
  </si>
  <si>
    <t>周星路500弄明天华城30号103</t>
  </si>
  <si>
    <t>丰庄西路558弄56号502</t>
  </si>
  <si>
    <t>清河湾路1699弄葛洲坝兰花园南区93号501室</t>
  </si>
  <si>
    <t>伴亭路855-36-1002</t>
  </si>
  <si>
    <t>浦东商场路108弄汇豪天下7号1602室</t>
  </si>
  <si>
    <t>宝山区场北路669弄19号401室</t>
  </si>
  <si>
    <t>杨浦区大连路1288弄7号3103</t>
  </si>
  <si>
    <t>郑方遒</t>
  </si>
  <si>
    <t>象屿虹桥悦府855-1-102</t>
  </si>
  <si>
    <t>闵行区马桥镇元翔小区5区9号</t>
  </si>
  <si>
    <t>桂江路77弄24号301</t>
  </si>
  <si>
    <t>龙东大道405弄311号301</t>
  </si>
  <si>
    <t>杨浦区民星路400弄6号202</t>
  </si>
  <si>
    <t>韩凤平</t>
  </si>
  <si>
    <t>桂平路123弄紫薇园9号103</t>
  </si>
  <si>
    <t>李璞</t>
  </si>
  <si>
    <t>浦东新区2955弄森兰名轩8号302</t>
  </si>
  <si>
    <t>0001597</t>
  </si>
  <si>
    <t>张毅核</t>
  </si>
  <si>
    <t>延长路152弄12号1002</t>
  </si>
  <si>
    <t>0000386</t>
  </si>
  <si>
    <t>狄鑫俊</t>
  </si>
  <si>
    <t>上浦路201弄51号604</t>
  </si>
  <si>
    <t>许青峰</t>
  </si>
  <si>
    <t>海阴路215弄三杨16号1601</t>
  </si>
  <si>
    <t>阎女士</t>
  </si>
  <si>
    <t>江浦路666弄2号602</t>
  </si>
  <si>
    <t>谭建华</t>
  </si>
  <si>
    <t>东方路3456弄B座240</t>
  </si>
  <si>
    <t>肖晨</t>
  </si>
  <si>
    <t>康达路118弄7号701</t>
  </si>
  <si>
    <t>许先生</t>
  </si>
  <si>
    <t>长宁区虹桥机场新村261-202</t>
  </si>
  <si>
    <t>0001629</t>
  </si>
  <si>
    <t>刘涛</t>
  </si>
  <si>
    <t>黄家花园路998弄41号502</t>
  </si>
  <si>
    <t>0001927</t>
  </si>
  <si>
    <t>侯莉</t>
  </si>
  <si>
    <t>长宁区323弄</t>
  </si>
  <si>
    <t>陈昌华</t>
  </si>
  <si>
    <t>龙马路433弄合景天悦86号301</t>
  </si>
  <si>
    <t>0002684</t>
  </si>
  <si>
    <t>冯成</t>
  </si>
  <si>
    <t>芦恒路378弄一品漫城192号201</t>
  </si>
  <si>
    <t>0001628</t>
  </si>
  <si>
    <t>陆歆逸</t>
  </si>
  <si>
    <t>嘉定区嘉好路701弄3号1101</t>
  </si>
  <si>
    <t>0002010</t>
  </si>
  <si>
    <t>徐维鸿</t>
  </si>
  <si>
    <t>安龙路785弄25号603</t>
  </si>
  <si>
    <t>0002077</t>
  </si>
  <si>
    <t>袁常伟</t>
  </si>
  <si>
    <t>淮坊路208弄16号503</t>
  </si>
  <si>
    <t>海防路58号弄14号1303</t>
  </si>
  <si>
    <t>阮肖波</t>
  </si>
  <si>
    <t>武威东路479弄124号</t>
  </si>
  <si>
    <t>温昌兵</t>
  </si>
  <si>
    <t>沧州路180弄7号1204</t>
  </si>
  <si>
    <t>陈铃婷</t>
  </si>
  <si>
    <t>万源路986弄13号1302</t>
  </si>
  <si>
    <t>高银泉</t>
  </si>
  <si>
    <t>虹梅路3200弄38号401</t>
  </si>
  <si>
    <t>0000731</t>
  </si>
  <si>
    <t>陈长根</t>
  </si>
  <si>
    <t>菊泉路577弄18号504</t>
  </si>
  <si>
    <t>邓娜</t>
  </si>
  <si>
    <t>徐汇区中山西路1878弄2号601</t>
  </si>
  <si>
    <t>梁锴昊</t>
  </si>
  <si>
    <t>挑浦路1599弄58号603</t>
  </si>
  <si>
    <t>浦东新区佳乐路77弄1-24阳光国际公寓</t>
  </si>
  <si>
    <t>张少俊</t>
  </si>
  <si>
    <t>中山南二路777弄21号702</t>
  </si>
  <si>
    <t>0000637</t>
  </si>
  <si>
    <t>蒋銘</t>
  </si>
  <si>
    <t>玉盘北路281弄902</t>
  </si>
  <si>
    <t>0067164</t>
  </si>
  <si>
    <t>姜瑾</t>
  </si>
  <si>
    <t>芳华路252弄10号601</t>
  </si>
  <si>
    <t>李汉均</t>
  </si>
  <si>
    <t>浦东新区商城路991弄14号602</t>
  </si>
  <si>
    <t>贾秀杰</t>
  </si>
  <si>
    <t>梁正</t>
  </si>
  <si>
    <t>闵行区沪闵路678弄6号201</t>
  </si>
  <si>
    <t>肇嘉浜路9弄8号2202室</t>
  </si>
  <si>
    <t>杨塞漠</t>
  </si>
  <si>
    <t>杨邵华</t>
  </si>
  <si>
    <t>水岸豪庭21-1601</t>
  </si>
  <si>
    <t>浦东新区御云路100弄11号802室</t>
  </si>
  <si>
    <t>张品娟/陆春霜</t>
  </si>
  <si>
    <t>郑秋风</t>
  </si>
  <si>
    <t>平型关路2199弄101号2101室</t>
  </si>
  <si>
    <t>宝山区宝东路888弄25/502</t>
  </si>
  <si>
    <t>丁大锤</t>
  </si>
  <si>
    <t>奉贤区南桥镇解放西街贝港花苑104号401室</t>
  </si>
  <si>
    <t>花桥新城郡尚海香悦花园5号2单元1605室</t>
  </si>
  <si>
    <t>虹口区水电路191弄14号301</t>
  </si>
  <si>
    <t>候文琪</t>
  </si>
  <si>
    <t>宝山区128纪念路688弄11号301</t>
  </si>
  <si>
    <t>邵德华</t>
  </si>
  <si>
    <t>上海市松江区九亭涞演路1200弄88号1101</t>
  </si>
  <si>
    <t>袁峥袁/莫莉</t>
  </si>
  <si>
    <t>浦东耀华路87弄26号502室</t>
  </si>
  <si>
    <t>陈春先</t>
  </si>
  <si>
    <t>宝山区菊联路413弄134号</t>
  </si>
  <si>
    <t>丁香路910弄20号402室</t>
  </si>
  <si>
    <t>西营南路17弄17号402室</t>
  </si>
  <si>
    <t>周东路902弄17号801室</t>
  </si>
  <si>
    <t>赵功</t>
  </si>
  <si>
    <t>浦东惠南镇东方城市豪庭24号1201室</t>
  </si>
  <si>
    <t>康衫路386弄6号302</t>
  </si>
  <si>
    <t>浦东滨浦新苑八村37号301室</t>
  </si>
  <si>
    <t>东建路228弄20号601</t>
  </si>
  <si>
    <t>海春路150弄43号301</t>
  </si>
  <si>
    <t>成山路1728弄22号1803</t>
  </si>
  <si>
    <t>陈蜥</t>
  </si>
  <si>
    <t>灵山路600弄15号302</t>
  </si>
  <si>
    <t>金杨路308弄42号104</t>
  </si>
  <si>
    <t>利津路215弄12号602</t>
  </si>
  <si>
    <t>广富林路1599弄18号1502</t>
  </si>
  <si>
    <t>红松东路2899弄16号1001</t>
  </si>
  <si>
    <t>大华路693弄13号502</t>
  </si>
  <si>
    <t>戴晨曦</t>
  </si>
  <si>
    <t>嘉定区希望路1333弄7#501</t>
  </si>
  <si>
    <t>威山路2388弄95号1501室</t>
  </si>
  <si>
    <t>梅川路43弄37号502室</t>
  </si>
  <si>
    <t>普陀区西康路1288弄2号1201室</t>
  </si>
  <si>
    <t>哈密路1719弄3号502室</t>
  </si>
  <si>
    <t>张琳蒨</t>
  </si>
  <si>
    <t>新二路999弄98号402室</t>
  </si>
  <si>
    <t>浦东新区福山路40弄3号502</t>
  </si>
  <si>
    <t>徐汇区衡山路20号1605室</t>
  </si>
  <si>
    <t>浦东杨高中路2168弄47号501室</t>
  </si>
  <si>
    <t>顾海斌/张英</t>
  </si>
  <si>
    <t>浦东新区孙环路177弄9号102室</t>
  </si>
  <si>
    <t>东方路1800弄11-402</t>
  </si>
  <si>
    <t>杨浦区佳木斯路315弄45号603室</t>
  </si>
  <si>
    <t>松江区泗泾同润山河小城348号801室</t>
  </si>
  <si>
    <t>宝山区华能时代花园8号401</t>
  </si>
  <si>
    <t>薛奕/王玮</t>
  </si>
  <si>
    <t>灵石路963弄21号802室</t>
  </si>
  <si>
    <t>黄海波</t>
  </si>
  <si>
    <t>川周公路4005弄13号201室</t>
  </si>
  <si>
    <t>周嘉诚</t>
  </si>
  <si>
    <t>浦东德淳路99弄大名城紫金9号24号1202室</t>
  </si>
  <si>
    <t>薛敏</t>
  </si>
  <si>
    <t>闵行区梅龙镇沪闵路7580弄111支弄，26号302室</t>
  </si>
  <si>
    <t>闵行区虹井路120弄1-A栋311室</t>
  </si>
  <si>
    <t>姜丽萍/彭云生</t>
  </si>
  <si>
    <t>外线公路99弄189号</t>
  </si>
  <si>
    <t>刘相存/廖丹</t>
  </si>
  <si>
    <t>闵行莲花南路1108弄30号101室</t>
  </si>
  <si>
    <t>房建昊</t>
  </si>
  <si>
    <t>普陀区宜川路街道交通西路48号嘉华元1号楼706室</t>
  </si>
  <si>
    <t>徐汇区龙吴路1323弄18号3004</t>
  </si>
  <si>
    <t>崇明区中街三路118弄48号202</t>
  </si>
  <si>
    <t>毛祖明</t>
  </si>
  <si>
    <t>浦东新区城区栖山路1088弄1号102</t>
  </si>
  <si>
    <t>芳丽蓉</t>
  </si>
  <si>
    <t>江杨北路1568弄70号2051</t>
  </si>
  <si>
    <t>0000389</t>
  </si>
  <si>
    <t>黄友光</t>
  </si>
  <si>
    <t>浦东新区2228弄7号801</t>
  </si>
  <si>
    <t>0004270</t>
  </si>
  <si>
    <t>0002685</t>
  </si>
  <si>
    <t>浦东区锦绣路3088弄大华十二152号602</t>
  </si>
  <si>
    <t>刘祖豪</t>
  </si>
  <si>
    <t>朱军</t>
  </si>
  <si>
    <t>恒耀路66弄91号402</t>
  </si>
  <si>
    <t>孙树波</t>
  </si>
  <si>
    <t>肇嘉浜路201弄1号2002</t>
  </si>
  <si>
    <t>董金华</t>
  </si>
  <si>
    <t>广元西路98号B栋7B</t>
  </si>
  <si>
    <t>王璇</t>
  </si>
  <si>
    <t>宝山区年吉路650弄10号803</t>
  </si>
  <si>
    <t>袁卫星</t>
  </si>
  <si>
    <t>奉贤区桐南美麓9号201</t>
  </si>
  <si>
    <t>朱芸芸</t>
  </si>
  <si>
    <t>青浦区盈清路东渡青筑9号1401</t>
  </si>
  <si>
    <t>钱晓青</t>
  </si>
  <si>
    <t>青浦区朱家角浦泰路501弄103号402</t>
  </si>
  <si>
    <t>昆山市定山湖万园鹿明九里35号301室</t>
  </si>
  <si>
    <t>闻喜路806弄11号1302室</t>
  </si>
  <si>
    <t>钟海刚</t>
  </si>
  <si>
    <t>青浦区昆山淀山花城402栋101</t>
  </si>
  <si>
    <t>于文心</t>
  </si>
  <si>
    <t>黄浦区制造局路639号</t>
  </si>
  <si>
    <t>辛伟</t>
  </si>
  <si>
    <t>花山路609弄35号1102</t>
  </si>
  <si>
    <t>0004069</t>
  </si>
  <si>
    <t>浦东滴水湖保利铃兰公馆82-301</t>
  </si>
  <si>
    <t>2019.12.17</t>
  </si>
  <si>
    <t>0000304</t>
  </si>
  <si>
    <t>唐贇</t>
  </si>
  <si>
    <t>赤峰路95号809</t>
  </si>
  <si>
    <t>罗灵龙</t>
  </si>
  <si>
    <t>浦东新区雪绒花路369弄31单元201</t>
  </si>
  <si>
    <t>徐杨俊</t>
  </si>
  <si>
    <t>钦州北路158弄6号1003</t>
  </si>
  <si>
    <t>瞿锦章/黄晓芸</t>
  </si>
  <si>
    <t>欧阳路289弄2号2601</t>
  </si>
  <si>
    <t>吴绿梅</t>
  </si>
  <si>
    <t>奉贤区桐南美麓7号202</t>
  </si>
  <si>
    <t>0001617</t>
  </si>
  <si>
    <t>彭女士</t>
  </si>
  <si>
    <t>浦东区顺凌路49弄23号602</t>
  </si>
  <si>
    <t>李虹</t>
  </si>
  <si>
    <t>宝山区通河一村110号302</t>
  </si>
  <si>
    <t>邬文琰</t>
  </si>
  <si>
    <t>长寿路999弄27号26B</t>
  </si>
  <si>
    <t>郭韵玺</t>
  </si>
  <si>
    <t>浦东区张杨北路360弄12号</t>
  </si>
  <si>
    <t>汤辉</t>
  </si>
  <si>
    <t>万荣路166弄1号2104</t>
  </si>
  <si>
    <t>张天谊</t>
  </si>
  <si>
    <t>紫金轩8号1101</t>
  </si>
  <si>
    <t>王文玉</t>
  </si>
  <si>
    <t>畹町路99弄242号802</t>
  </si>
  <si>
    <t>0056984</t>
  </si>
  <si>
    <t>李燕</t>
  </si>
  <si>
    <t>奉贤区桐南美麗90号102</t>
  </si>
  <si>
    <t>张华/童中华</t>
  </si>
  <si>
    <t>13564388802/17701674082</t>
  </si>
  <si>
    <t>芳华路788弄15号501</t>
  </si>
  <si>
    <t>0000456</t>
  </si>
  <si>
    <t>周怡然</t>
  </si>
  <si>
    <t>华灵路1788弄5号402</t>
  </si>
  <si>
    <t>飞虹路288弄3号1702</t>
  </si>
  <si>
    <t>彭海周</t>
  </si>
  <si>
    <t>虹漕南路158弄万象园62号202</t>
  </si>
  <si>
    <t>林佳</t>
  </si>
  <si>
    <t>德淳路99弄36号</t>
  </si>
  <si>
    <t>楼志育</t>
  </si>
  <si>
    <t>虹口区118弄8号1002</t>
  </si>
  <si>
    <t>0000661</t>
  </si>
  <si>
    <t>九杜路505弄47号302</t>
  </si>
  <si>
    <t>王彧</t>
  </si>
  <si>
    <t>中山南路1358弄20号2402</t>
  </si>
  <si>
    <t>老房子</t>
  </si>
  <si>
    <t>王康</t>
  </si>
  <si>
    <t>建中路235弄6号501</t>
  </si>
  <si>
    <t>许小姐</t>
  </si>
  <si>
    <t>古美西路420弄37号501</t>
  </si>
  <si>
    <t>南桥镇工业玫瑰苑39号101</t>
  </si>
  <si>
    <t>桃浦路299弄16号1302</t>
  </si>
  <si>
    <t>梁威</t>
  </si>
  <si>
    <t>松江区合景天悦85号601</t>
  </si>
  <si>
    <t>保利西子湾137号1001</t>
  </si>
  <si>
    <t>单家君</t>
  </si>
  <si>
    <t>洪山路237弄20支弄10号404</t>
  </si>
  <si>
    <t>0002469</t>
  </si>
  <si>
    <t>何爱天</t>
  </si>
  <si>
    <t>徐汇区天钥桥路380弄20号120</t>
  </si>
  <si>
    <t>乐晶璟</t>
  </si>
  <si>
    <t>杨浦区宁武路445弄5号3402</t>
  </si>
  <si>
    <t>龚欢</t>
  </si>
  <si>
    <t>花山路609弄4号102室</t>
  </si>
  <si>
    <t>杨慧峰</t>
  </si>
  <si>
    <t>龙湖天璞40号701</t>
  </si>
  <si>
    <t>李女士/张礼俊</t>
  </si>
  <si>
    <t>13062823112/13044660080</t>
  </si>
  <si>
    <t>都会路2799弄24号1104</t>
  </si>
  <si>
    <t>0002470</t>
  </si>
  <si>
    <t>葛小龙</t>
  </si>
  <si>
    <t>崇明区启隆路118弄46号106</t>
  </si>
  <si>
    <t>0002191</t>
  </si>
  <si>
    <t>褚洁</t>
  </si>
  <si>
    <t>普陀区长风二村109号604</t>
  </si>
  <si>
    <t>王新中</t>
  </si>
  <si>
    <t>金山红星3号1103</t>
  </si>
  <si>
    <t>袁展红</t>
  </si>
  <si>
    <t>御龙舍邸96号</t>
  </si>
  <si>
    <t>0001756</t>
  </si>
  <si>
    <t>张海峰</t>
  </si>
  <si>
    <t>昆山市城东太湖南路公元壹号三期37号2002</t>
  </si>
  <si>
    <t>0001619</t>
  </si>
  <si>
    <t>嘉定瑞林路800弄62号</t>
  </si>
  <si>
    <t>0001620</t>
  </si>
  <si>
    <t>潘婷</t>
  </si>
  <si>
    <t>华康路68弄</t>
  </si>
  <si>
    <t>邱岳岚</t>
  </si>
  <si>
    <t>石荣路1199弄静安府26号</t>
  </si>
  <si>
    <t>代总</t>
  </si>
  <si>
    <t>营口路798弄18号501</t>
  </si>
  <si>
    <t>韩志明</t>
  </si>
  <si>
    <t>博山东路811弄18号402</t>
  </si>
  <si>
    <t>0000970</t>
  </si>
  <si>
    <t>周邦郡</t>
  </si>
  <si>
    <t>嘉定区龙湖蔚澜142号2301</t>
  </si>
  <si>
    <t>0001598</t>
  </si>
  <si>
    <t>黄建东</t>
  </si>
  <si>
    <t>静安区121弄2号405</t>
  </si>
  <si>
    <t>0001288</t>
  </si>
  <si>
    <t>刘萍</t>
  </si>
  <si>
    <t>傅宏伟</t>
  </si>
  <si>
    <t>安亭新镇湖语森林27号101</t>
  </si>
  <si>
    <t>0002468</t>
  </si>
  <si>
    <t>马子虬</t>
  </si>
  <si>
    <t>嘉定区玉麦路399弄147号</t>
  </si>
  <si>
    <t>0002467</t>
  </si>
  <si>
    <t>闵行区春申路3355弄33号602</t>
  </si>
  <si>
    <t>12月7号</t>
  </si>
  <si>
    <t>0001849</t>
  </si>
  <si>
    <t>徐学军</t>
  </si>
  <si>
    <t>青浦金泽高褐花区宝银路21弄4号102</t>
  </si>
  <si>
    <t>於玲</t>
  </si>
  <si>
    <t>同东路151弄12号604</t>
  </si>
  <si>
    <t>浦东新区浦城路99弄10号503</t>
  </si>
  <si>
    <t>0000971</t>
  </si>
  <si>
    <t>陈修强</t>
  </si>
  <si>
    <t>嘉定区永靖路898弄67号1201</t>
  </si>
  <si>
    <t>郁闻舞</t>
  </si>
  <si>
    <t>杨浦区世纪江湾61号302</t>
  </si>
  <si>
    <t>宋杨</t>
  </si>
  <si>
    <t>闵行区先新路1058弄14号401</t>
  </si>
  <si>
    <t>夏小斌</t>
  </si>
  <si>
    <t>江川路兰坪二村13号602</t>
  </si>
  <si>
    <t>陆盎</t>
  </si>
  <si>
    <t>东渡悦来城6号1203室</t>
  </si>
  <si>
    <t>朱泾镇五一村八组1048号</t>
  </si>
  <si>
    <t>长宁路883弄64号102</t>
  </si>
  <si>
    <t>丁良</t>
  </si>
  <si>
    <t>宝山区松兰路1166弄86号102室</t>
  </si>
  <si>
    <t>虹桥路168号10号2906室</t>
  </si>
  <si>
    <t>新沪路1099弄20号102室</t>
  </si>
  <si>
    <t>曹秀珍</t>
  </si>
  <si>
    <t>都市路2501弄326号1202</t>
  </si>
  <si>
    <t>虹桥路1017弄5号501</t>
  </si>
  <si>
    <t>高青路2861弄123号1601</t>
  </si>
  <si>
    <t>凯滨路19弄8号3001</t>
  </si>
  <si>
    <t>0001625</t>
  </si>
  <si>
    <t>徐国兵</t>
  </si>
  <si>
    <t>中华新路288弄3号3001</t>
  </si>
  <si>
    <t>0001599</t>
  </si>
  <si>
    <t>林云芳</t>
  </si>
  <si>
    <t>文翔路松云水宛23号2203</t>
  </si>
  <si>
    <t>0001013</t>
  </si>
  <si>
    <t>樊洪</t>
  </si>
  <si>
    <t>伴亭路象屿25号604</t>
  </si>
  <si>
    <t>0001626</t>
  </si>
  <si>
    <t>曾翊恒</t>
  </si>
  <si>
    <t>共和新路2989弄4号1002</t>
  </si>
  <si>
    <t>蒋琦</t>
  </si>
  <si>
    <t>龙吟路500弄26号304</t>
  </si>
  <si>
    <t>0000458</t>
  </si>
  <si>
    <t>张曼琪</t>
  </si>
  <si>
    <t>高寿路万科金色124号1602</t>
  </si>
  <si>
    <t>胡祖群</t>
  </si>
  <si>
    <t>临沂北路100弄11号102室</t>
  </si>
  <si>
    <t>何倩</t>
  </si>
  <si>
    <t>兰谷路2955弄18号102</t>
  </si>
  <si>
    <t>普陀区194号104</t>
  </si>
  <si>
    <t>王家姚</t>
  </si>
  <si>
    <t>虹莘路2288弄84号502</t>
  </si>
  <si>
    <t>彭世鸿</t>
  </si>
  <si>
    <t>奉贤区雍贤府129号801</t>
  </si>
  <si>
    <t>浦东新区羽山路383弄19号701</t>
  </si>
  <si>
    <t>闵行区浦秀路153弄89号302</t>
  </si>
  <si>
    <t>盛杭通</t>
  </si>
  <si>
    <t>天山河畔18号1503室</t>
  </si>
  <si>
    <t>叶婧平</t>
  </si>
  <si>
    <t>中潭路99弄97号2303室</t>
  </si>
  <si>
    <t>陆游</t>
  </si>
  <si>
    <t>金山区石化山鑫路阳光城95号102</t>
  </si>
  <si>
    <t>0000671</t>
  </si>
  <si>
    <t>盛皎</t>
  </si>
  <si>
    <t>荣乐西路1058号9单元101</t>
  </si>
  <si>
    <t>嘉定区御江金都2号1403</t>
  </si>
  <si>
    <t>0001347</t>
  </si>
  <si>
    <t>撞单家饰佳二店</t>
  </si>
  <si>
    <t>刘凌飞</t>
  </si>
  <si>
    <t>长宁区紫云路联建新村22号104</t>
  </si>
  <si>
    <t>0000674</t>
  </si>
  <si>
    <t>13651236554/13122360327</t>
  </si>
  <si>
    <t>普陀区芝川路138弄27号401</t>
  </si>
  <si>
    <t>松江区伴亭路855弄23号1001</t>
  </si>
  <si>
    <t>吴文晴</t>
  </si>
  <si>
    <t>崇明区揽海路7弄1350</t>
  </si>
  <si>
    <t>陈启转</t>
  </si>
  <si>
    <t>徐汇区罗城路700弄6号202</t>
  </si>
  <si>
    <t>蔡舟</t>
  </si>
  <si>
    <t>金山市水韵悦城71-1101</t>
  </si>
  <si>
    <t>沈晨蕾</t>
  </si>
  <si>
    <t>宝山区爱辉路28弄42号201</t>
  </si>
  <si>
    <t>川展路普迎路交叉口向南200米路西合园</t>
  </si>
  <si>
    <t>静安区华康路68弄2号2501</t>
  </si>
  <si>
    <t>张路</t>
  </si>
  <si>
    <t>北京西路758弄国际丽都6号1601</t>
  </si>
  <si>
    <t>吴雨佳</t>
  </si>
  <si>
    <t>华支路677弄52号309</t>
  </si>
  <si>
    <t>刘红富</t>
  </si>
  <si>
    <t>阁游路555弄17号402</t>
  </si>
  <si>
    <t>0001623</t>
  </si>
  <si>
    <t>蔡清</t>
  </si>
  <si>
    <t>长宁区天山西村110-601</t>
  </si>
  <si>
    <t>邱乐</t>
  </si>
  <si>
    <t>杨思路860弄28号302</t>
  </si>
  <si>
    <t>0000638</t>
  </si>
  <si>
    <t>李小龙</t>
  </si>
  <si>
    <t>沁春路168弄15号402</t>
  </si>
  <si>
    <t>0000963</t>
  </si>
  <si>
    <t>黄轶群</t>
  </si>
  <si>
    <t>常德路1158弄10号2006</t>
  </si>
  <si>
    <t>0002453</t>
  </si>
  <si>
    <t>曹俊</t>
  </si>
  <si>
    <t>虹口区周家嘴路981弄16号2803室</t>
  </si>
  <si>
    <t>侯开捷</t>
  </si>
  <si>
    <t>武定西路1398弄5号17B</t>
  </si>
  <si>
    <t>0000461</t>
  </si>
  <si>
    <t>马红雨</t>
  </si>
  <si>
    <t>斜土东路333弄6号2101</t>
  </si>
  <si>
    <t>伴亭路855弄22号501</t>
  </si>
  <si>
    <t>刘立涛</t>
  </si>
  <si>
    <t>漕宝路1467弄30号602</t>
  </si>
  <si>
    <t>威宁路511弄38号1204</t>
  </si>
  <si>
    <t>梁昊</t>
  </si>
  <si>
    <t>张杨路1050弄3号1501</t>
  </si>
  <si>
    <t>张瑞黎</t>
  </si>
  <si>
    <t>金口路471弄46号302</t>
  </si>
  <si>
    <t>孙小勇</t>
  </si>
  <si>
    <t>大叶公路6288弄11号302</t>
  </si>
  <si>
    <t>0002076</t>
  </si>
  <si>
    <t>陆孙楠</t>
  </si>
  <si>
    <t>峨山路455弄1号403</t>
  </si>
  <si>
    <t>李正刚</t>
  </si>
  <si>
    <t>浦东新区2250弄94号501</t>
  </si>
  <si>
    <t>沈奇</t>
  </si>
  <si>
    <t>古龙路655弄30号201</t>
  </si>
  <si>
    <t>0002727</t>
  </si>
  <si>
    <t>周晓霞</t>
  </si>
  <si>
    <t>曹杨路2170弄10号702</t>
  </si>
  <si>
    <t>沈安迪</t>
  </si>
  <si>
    <t>真北路2087弄5号201</t>
  </si>
  <si>
    <t>周靖杰</t>
  </si>
  <si>
    <t>秀文路555弄8号701</t>
  </si>
  <si>
    <t>陶诚灵</t>
  </si>
  <si>
    <t>国货路370弄2号502</t>
  </si>
  <si>
    <t>张遥远</t>
  </si>
  <si>
    <t>顾戴路1325弄122号101</t>
  </si>
  <si>
    <t>徐汇区漕溪北路28弄12F</t>
  </si>
  <si>
    <t>瓷砖刚贴好</t>
  </si>
  <si>
    <t>陆叶锋</t>
  </si>
  <si>
    <t>浦东大道988弄3号1504</t>
  </si>
  <si>
    <t>贴砖等通知</t>
  </si>
  <si>
    <t>姜晓骏</t>
  </si>
  <si>
    <t>场北路39弄3J904</t>
  </si>
  <si>
    <t>王智勇</t>
  </si>
  <si>
    <t>新环北路1180弄8号304</t>
  </si>
  <si>
    <t>缪婉仪</t>
  </si>
  <si>
    <t>芳华路268弄28号201</t>
  </si>
  <si>
    <t>0001630</t>
  </si>
  <si>
    <t>平陆路999弄70号3楼</t>
  </si>
  <si>
    <t>王珞珈</t>
  </si>
  <si>
    <t>南丹东路223弄8号1002</t>
  </si>
  <si>
    <t>0002642</t>
  </si>
  <si>
    <t>肖亮</t>
  </si>
  <si>
    <t>浦电路淮坊五村528号404</t>
  </si>
  <si>
    <t>曹睿</t>
  </si>
  <si>
    <t>四平路1028弄32号503</t>
  </si>
  <si>
    <t>0001758</t>
  </si>
  <si>
    <t>肖芳</t>
  </si>
  <si>
    <t>朱家角路158弄3号801</t>
  </si>
  <si>
    <t>杨东林</t>
  </si>
  <si>
    <t>紫金九号2期30号501</t>
  </si>
  <si>
    <t>朱耀明</t>
  </si>
  <si>
    <t>翔殷路309弄4号601</t>
  </si>
  <si>
    <t>栖山路100弄15号403</t>
  </si>
  <si>
    <t>0000465</t>
  </si>
  <si>
    <t>周蔺</t>
  </si>
  <si>
    <t>徐家汇路1弄2号902</t>
  </si>
  <si>
    <t>吴爱金</t>
  </si>
  <si>
    <t>复兴东路701弄1号楼1503</t>
  </si>
  <si>
    <t>徐雅婷</t>
  </si>
  <si>
    <t>永和路1080弄14号801</t>
  </si>
  <si>
    <t>张成敏</t>
  </si>
  <si>
    <t>东昌路218号401</t>
  </si>
  <si>
    <t>阮女士</t>
  </si>
  <si>
    <t>真光路1915弄505弄1号1905</t>
  </si>
  <si>
    <t>浦东新区688弄47号701</t>
  </si>
  <si>
    <t>姚淳</t>
  </si>
  <si>
    <t>杨浦区锦溪路100弄9号501室</t>
  </si>
  <si>
    <t>王丹怡</t>
  </si>
  <si>
    <t>周浦御沁园261号701</t>
  </si>
  <si>
    <t>李秀萍</t>
  </si>
  <si>
    <t>上海市青浦区崧文南路新城盛景C区11-101</t>
  </si>
  <si>
    <t>曹宇</t>
  </si>
  <si>
    <t>世界路43弄23号402</t>
  </si>
  <si>
    <t>长宁区威宁路458弄9号1004室</t>
  </si>
  <si>
    <t>栖南路797弄21号201</t>
  </si>
  <si>
    <t>王俊华</t>
  </si>
  <si>
    <t>苏州市周庄全旺路88号水月周庄4期129弄214</t>
  </si>
  <si>
    <t>顾莉</t>
  </si>
  <si>
    <t>徐汇区永嘉路580弄96号一楼</t>
  </si>
  <si>
    <t>闵行区辛庄镇莘南花苑二村56号101</t>
  </si>
  <si>
    <t>松江伴亭路855弄象屿虹桥悦府2号1603</t>
  </si>
  <si>
    <t>绿奉贤区地香溢206好</t>
  </si>
  <si>
    <t>阁游路258弄133号</t>
  </si>
  <si>
    <t>胡鹏飞</t>
  </si>
  <si>
    <t>翔殷路500弄39号1602</t>
  </si>
  <si>
    <t>朱雅玲</t>
  </si>
  <si>
    <t>谢卫路158弄88号101</t>
  </si>
  <si>
    <t>李修毅</t>
  </si>
  <si>
    <t>闵行区39弄10号1402</t>
  </si>
  <si>
    <t>陈建浩</t>
  </si>
  <si>
    <t>宝山区398弄21号502</t>
  </si>
  <si>
    <t>刘思秦</t>
  </si>
  <si>
    <t>浦江镇芦恒路一品漫城五期192号902室</t>
  </si>
  <si>
    <t>龚先生</t>
  </si>
  <si>
    <t>晨晖路828弄50号1101</t>
  </si>
  <si>
    <t>濮剑缨</t>
  </si>
  <si>
    <t>浦东新区迎熏路215弄4号202室</t>
  </si>
  <si>
    <t>林婧</t>
  </si>
  <si>
    <t>闵行区畹町路99弄296号1301</t>
  </si>
  <si>
    <t>邱文彬</t>
  </si>
  <si>
    <t>宝山区涵青路100弄100号601</t>
  </si>
  <si>
    <t>孔璠祯</t>
  </si>
  <si>
    <t>东安路888弄3号3302</t>
  </si>
  <si>
    <t>陆惠平</t>
  </si>
  <si>
    <t>国和路888弄39号301</t>
  </si>
  <si>
    <t>袁小敏</t>
  </si>
  <si>
    <t>老沪闵路1296弄62号403</t>
  </si>
  <si>
    <t>0002710</t>
  </si>
  <si>
    <t>锦秋路699弄锦秋花园三区566号</t>
  </si>
  <si>
    <t>0002486</t>
  </si>
  <si>
    <t>王璐</t>
  </si>
  <si>
    <t>徐汇区龙吟路452弄5号401室</t>
  </si>
  <si>
    <t>李国毅</t>
  </si>
  <si>
    <t>陈翔公路2400弄8号601</t>
  </si>
  <si>
    <t>0001043</t>
  </si>
  <si>
    <t>唐晓燕</t>
  </si>
  <si>
    <t>张杨路1734弄39号203</t>
  </si>
  <si>
    <t>杨中华</t>
  </si>
  <si>
    <t>浦东新区1141弄3号603</t>
  </si>
  <si>
    <t>顾秋锋</t>
  </si>
  <si>
    <t>拱北路278弄2号702</t>
  </si>
  <si>
    <t>郭声捷</t>
  </si>
  <si>
    <t>青浦区清泰路500弄1号401</t>
  </si>
  <si>
    <t>史杰</t>
  </si>
  <si>
    <t>杨浦区国和一村157号402</t>
  </si>
  <si>
    <t>田常华</t>
  </si>
  <si>
    <t>宝山区美平路696弄14号603</t>
  </si>
  <si>
    <t>0004441</t>
  </si>
  <si>
    <t>张晓中</t>
  </si>
  <si>
    <t>西藏南路748号906</t>
  </si>
  <si>
    <t>0000639</t>
  </si>
  <si>
    <t>卢艳</t>
  </si>
  <si>
    <t>浦东潍坊村305弄33号604</t>
  </si>
  <si>
    <t>魏超</t>
  </si>
  <si>
    <t>宝南路江南御府50号301室</t>
  </si>
  <si>
    <t>0000448</t>
  </si>
  <si>
    <t>肖雄</t>
  </si>
  <si>
    <t>丽目路333弄8号1103</t>
  </si>
  <si>
    <t>阳光里14号楼402</t>
  </si>
  <si>
    <t>0000471</t>
  </si>
  <si>
    <t>孙佩玲</t>
  </si>
  <si>
    <t>松江区九亭镇沪亭南路208弄紫金花园95号1102</t>
  </si>
  <si>
    <t>0000972</t>
  </si>
  <si>
    <t>金圣祥</t>
  </si>
  <si>
    <t>红松路175弄141号301</t>
  </si>
  <si>
    <t>0002088</t>
  </si>
  <si>
    <t>王宇超</t>
  </si>
  <si>
    <t>御水路150弄5号403</t>
  </si>
  <si>
    <t>浦东方竹路333弄28号402</t>
  </si>
  <si>
    <t>朱世元</t>
  </si>
  <si>
    <t>闵行区银春路1799弄145号1001室</t>
  </si>
  <si>
    <t>马总</t>
  </si>
  <si>
    <t>松江区龙湖新壹城9-701室</t>
  </si>
  <si>
    <t>闵行区都市路2899弄众众德尚世嘉102</t>
  </si>
  <si>
    <t>闵行区天河路39弄10号1601室</t>
  </si>
  <si>
    <t>贺建易</t>
  </si>
  <si>
    <t>金丰路777弄7号301</t>
  </si>
  <si>
    <t>马晓捷</t>
  </si>
  <si>
    <t>长宁区华山路800弄8号A-201</t>
  </si>
  <si>
    <t>戴莉丽</t>
  </si>
  <si>
    <t>新金桥路58-28</t>
  </si>
  <si>
    <t>吴倩</t>
  </si>
  <si>
    <t>江苏省苏州市昆山花桥镇光明路18号</t>
  </si>
  <si>
    <t>0001627</t>
  </si>
  <si>
    <t>黄拯</t>
  </si>
  <si>
    <t>武威东路1089弄253号302</t>
  </si>
  <si>
    <t>张耕耘</t>
  </si>
  <si>
    <t>云西路219弄8号801</t>
  </si>
  <si>
    <t>0002604</t>
  </si>
  <si>
    <t>凡飞</t>
  </si>
  <si>
    <t>松江区佘山桃园路688弄324</t>
  </si>
  <si>
    <t>0002697</t>
  </si>
  <si>
    <t>李静</t>
  </si>
  <si>
    <t>昌里东41弄36号202</t>
  </si>
  <si>
    <t>陈辉俊</t>
  </si>
  <si>
    <t>朱家角一号68号</t>
  </si>
  <si>
    <t>00002714</t>
  </si>
  <si>
    <t>仙霞路28号15B</t>
  </si>
  <si>
    <t>郭晶晶</t>
  </si>
  <si>
    <t>昌里东路320弄7号302</t>
  </si>
  <si>
    <t>张劲</t>
  </si>
  <si>
    <t>松江虹桥悦府37号1502</t>
  </si>
  <si>
    <t>闵行区红松东路2899弄3号802</t>
  </si>
  <si>
    <t>堂乐路666弄7号402</t>
  </si>
  <si>
    <t>嘉唐公路169弄81号1604室</t>
  </si>
  <si>
    <t>黄浦区青岛路66弄1302</t>
  </si>
  <si>
    <t>思南路88弄5号2702</t>
  </si>
  <si>
    <t>王萍萍</t>
  </si>
  <si>
    <t>浦东环林西路579-14-705室</t>
  </si>
  <si>
    <t>刘玥</t>
  </si>
  <si>
    <t>徐汇区桂平路67弄月季园37号501</t>
  </si>
  <si>
    <t>丁少军</t>
  </si>
  <si>
    <t>浦东区合庆滨路155弄31号501</t>
  </si>
  <si>
    <t>毛炜尉</t>
  </si>
  <si>
    <t>虹口区临平路133弄5号3203</t>
  </si>
  <si>
    <t>郑晏华</t>
  </si>
  <si>
    <t>浦东南仓桥路盐仓老街102</t>
  </si>
  <si>
    <t>新金桥路58号28楼D</t>
  </si>
  <si>
    <t>淳于娳凤</t>
  </si>
  <si>
    <t>虹口区密云路665弄密云花苑3-1806</t>
  </si>
  <si>
    <t>客户自报尺寸</t>
  </si>
  <si>
    <t>梁文怡</t>
  </si>
  <si>
    <t>澳大利亚悉尼</t>
  </si>
  <si>
    <t>姜潜</t>
  </si>
  <si>
    <t>金山区张堰紫迪兰庭5号楼401</t>
  </si>
  <si>
    <t>0004271</t>
  </si>
  <si>
    <t>陈美华</t>
  </si>
  <si>
    <t>寿光路78弄12号902</t>
  </si>
  <si>
    <t>杨浦区开鲁四村92号503</t>
  </si>
  <si>
    <t>0000679</t>
  </si>
  <si>
    <t>潘贻立</t>
  </si>
  <si>
    <t>虹口区888弄5号1802</t>
  </si>
  <si>
    <t>0002193</t>
  </si>
  <si>
    <t>任畅光</t>
  </si>
  <si>
    <t>延长路99弄2号1102</t>
  </si>
  <si>
    <t>韩迎梅</t>
  </si>
  <si>
    <t>黄浦区局门路295弄1号1301</t>
  </si>
  <si>
    <t>伴亭路855弄2号1204</t>
  </si>
  <si>
    <t>崇明县东滩花园1380号</t>
  </si>
  <si>
    <t>浦东新区芳甸路77弄23号2702</t>
  </si>
  <si>
    <t>浦东新区龙阳路1880弄73号902</t>
  </si>
  <si>
    <t>0000475</t>
  </si>
  <si>
    <t>郑波</t>
  </si>
  <si>
    <t>肇嘉浜路1000弄汇金大厦18号1807</t>
  </si>
  <si>
    <t>吴曼莉</t>
  </si>
  <si>
    <t>嘉定区黄家花园998弄40号902</t>
  </si>
  <si>
    <t>蔡骏</t>
  </si>
  <si>
    <t>浦东新区银霄路100弄12号1402</t>
  </si>
  <si>
    <t>0002192</t>
  </si>
  <si>
    <t>吕亮</t>
  </si>
  <si>
    <t>嘉定区江桥镇黄家花园路998弄36号</t>
  </si>
  <si>
    <t>夏超</t>
  </si>
  <si>
    <t>松江新桥镇201号5号楼</t>
  </si>
  <si>
    <t>韦华</t>
  </si>
  <si>
    <t>浦东申江南路7677弄丝庐雅苑9号802</t>
  </si>
  <si>
    <t>0001631</t>
  </si>
  <si>
    <t>杨浦区锦西路鞍山一村135号301</t>
  </si>
  <si>
    <t>戚女士</t>
  </si>
  <si>
    <t>浦东区洪山路300弄19号601</t>
  </si>
  <si>
    <t>周倩</t>
  </si>
  <si>
    <t>月辉路218弄32号1601</t>
  </si>
  <si>
    <t>郑首一</t>
  </si>
  <si>
    <t>杨浦区鞍山六村41号401</t>
  </si>
  <si>
    <t>程先生/虞敏敏</t>
  </si>
  <si>
    <t>安顺路357弄2号302</t>
  </si>
  <si>
    <t>乐琦</t>
  </si>
  <si>
    <t>昆明路388弄2号1506</t>
  </si>
  <si>
    <t>罗逸云</t>
  </si>
  <si>
    <t>普善路128弄4号1502</t>
  </si>
  <si>
    <t>0000681</t>
  </si>
  <si>
    <t>浦东新区泥城镇青乌路269弄5号1002</t>
  </si>
  <si>
    <t>赵训友</t>
  </si>
  <si>
    <t>闵行区鑫都路2711弄38号302</t>
  </si>
  <si>
    <t>叶蔚清</t>
  </si>
  <si>
    <t>静安区静安府东区180号34</t>
  </si>
  <si>
    <t>0000973</t>
  </si>
  <si>
    <t>孟杰烽</t>
  </si>
  <si>
    <t>嘉定区博园路8200弄日月光伯爵小区7号1601</t>
  </si>
  <si>
    <t>邵怡凯</t>
  </si>
  <si>
    <t>松江区九亭沪松公路1399弄121号1112</t>
  </si>
  <si>
    <t>汪谟国</t>
  </si>
  <si>
    <t>宏盛路58号2单元2号201</t>
  </si>
  <si>
    <t>应俊</t>
  </si>
  <si>
    <t>嘉定区金园一路1115弄24号201</t>
  </si>
  <si>
    <t>0001632</t>
  </si>
  <si>
    <t>王晶晶</t>
  </si>
  <si>
    <t>宝山区泗塘四村5号504</t>
  </si>
  <si>
    <t>0002052</t>
  </si>
  <si>
    <t>包剑</t>
  </si>
  <si>
    <t>浦东新区康达路118弄4号101</t>
  </si>
  <si>
    <t>0000974</t>
  </si>
  <si>
    <t>吴志财</t>
  </si>
  <si>
    <t>松江区泗泾路55弄思康苑2号1202</t>
  </si>
  <si>
    <t>郭小姐</t>
  </si>
  <si>
    <t>普陀区曹杨二村267弄107</t>
  </si>
  <si>
    <t>0000975</t>
  </si>
  <si>
    <t>李晓光</t>
  </si>
  <si>
    <t>黄浦区中山南路1887弄3-402</t>
  </si>
  <si>
    <t>夏珺</t>
  </si>
  <si>
    <t>普陀区交通路4603李子园二村23</t>
  </si>
  <si>
    <t>徐拿云</t>
  </si>
  <si>
    <t>闵行区285弄75号502</t>
  </si>
  <si>
    <t>张永利</t>
  </si>
  <si>
    <t>闵行区保乐路666弄84号101</t>
  </si>
  <si>
    <t>丁红</t>
  </si>
  <si>
    <t>宝城路155弄16号904</t>
  </si>
  <si>
    <t>朱雨辰</t>
  </si>
  <si>
    <t>闵行区虹长路1051弄3号805</t>
  </si>
  <si>
    <t>0001633</t>
  </si>
  <si>
    <t>李彰</t>
  </si>
  <si>
    <t>宝山区宝山路268弄1号2302</t>
  </si>
  <si>
    <t>喻晓颖</t>
  </si>
  <si>
    <t>铜川路2285弄1号601</t>
  </si>
  <si>
    <t>0001494</t>
  </si>
  <si>
    <t>邱春辉</t>
  </si>
  <si>
    <t>浦东新区博兴路760弄3号1501</t>
  </si>
  <si>
    <t>0000552</t>
  </si>
  <si>
    <t>童凌</t>
  </si>
  <si>
    <t>华昌路9号1806</t>
  </si>
  <si>
    <t>徐旭阳</t>
  </si>
  <si>
    <t>田林路凌云新村93号303</t>
  </si>
  <si>
    <t>吴明琼</t>
  </si>
  <si>
    <t>青浦民惠雅苑14号1002</t>
  </si>
  <si>
    <t>罗天清</t>
  </si>
  <si>
    <t>青浦区民望佳苑9号903</t>
  </si>
  <si>
    <t>王文娟</t>
  </si>
  <si>
    <t>佳木斯路32-39-1402</t>
  </si>
  <si>
    <t>项邵晖</t>
  </si>
  <si>
    <t>闵行区平阳路59弄12号1302</t>
  </si>
  <si>
    <t>李小洁</t>
  </si>
  <si>
    <t>普陀区中潭路91弄29号1205</t>
  </si>
  <si>
    <t>浦东荣成路9弄1504</t>
  </si>
  <si>
    <t>奉贤区逸贤雅苑13-1501</t>
  </si>
  <si>
    <t>张俊佳</t>
  </si>
  <si>
    <t>浦东三林路</t>
  </si>
  <si>
    <t>浦东新区东方路1881弄86号802</t>
  </si>
  <si>
    <t>魏深</t>
  </si>
  <si>
    <t>普陀区东新路99弄38号1802</t>
  </si>
  <si>
    <t>卫东</t>
  </si>
  <si>
    <t>浦东新区博兴路1185弄11号203</t>
  </si>
  <si>
    <t>0002605</t>
  </si>
  <si>
    <t>梁硕</t>
  </si>
  <si>
    <t>闵行区浦晓南路59弄世博家园十三街坊11号502</t>
  </si>
  <si>
    <t>0000059</t>
  </si>
  <si>
    <t>国权路85弄10号502</t>
  </si>
  <si>
    <t>0000683</t>
  </si>
  <si>
    <t>贲玮嘉</t>
  </si>
  <si>
    <t>黄浦区斜土路85弄6号302</t>
  </si>
  <si>
    <t>张具宝</t>
  </si>
  <si>
    <t>闵行区漕宝路1047弄10区52号602</t>
  </si>
  <si>
    <t>已测量待确认</t>
  </si>
  <si>
    <t>王文泽</t>
  </si>
  <si>
    <t>松江莱顿小城78-201</t>
  </si>
  <si>
    <t>宋金花</t>
  </si>
  <si>
    <t>浦东区中科路2500-51</t>
  </si>
  <si>
    <t>李曼</t>
  </si>
  <si>
    <t>浦东区秀延路123号</t>
  </si>
  <si>
    <t>0001850</t>
  </si>
  <si>
    <t>蒋华娜</t>
  </si>
  <si>
    <t>青浦区外青松公路616弄7-70-101</t>
  </si>
  <si>
    <t>陆蔚</t>
  </si>
  <si>
    <t>松江区方松街道10号</t>
  </si>
  <si>
    <t>孟培培</t>
  </si>
  <si>
    <t>方竹路333弄70号402</t>
  </si>
  <si>
    <t>龚乃群</t>
  </si>
  <si>
    <t>富贵东道229弄12号2502</t>
  </si>
  <si>
    <t>班云云</t>
  </si>
  <si>
    <t>闵行区325弄54号501</t>
  </si>
  <si>
    <t>0001987</t>
  </si>
  <si>
    <t>鲁普及</t>
  </si>
  <si>
    <t>控江路凤城六村25号603</t>
  </si>
  <si>
    <t>长岛路85弄34号102</t>
  </si>
  <si>
    <t>谢女士</t>
  </si>
  <si>
    <t>松江广富林路1599弄83号楼</t>
  </si>
  <si>
    <t>时成军</t>
  </si>
  <si>
    <t>13501931953/13127939252</t>
  </si>
  <si>
    <t>长兴岛御岛财富公路5号602</t>
  </si>
  <si>
    <t>张玉秀</t>
  </si>
  <si>
    <t>中华新路288弄7号3101</t>
  </si>
  <si>
    <t>孙璐</t>
  </si>
  <si>
    <t>徐汇区冠生园路9号303</t>
  </si>
  <si>
    <t>诸春飞</t>
  </si>
  <si>
    <t>新华路1030弄30号102</t>
  </si>
  <si>
    <t>赵涵萍</t>
  </si>
  <si>
    <t>永嘉路356弄16号301</t>
  </si>
  <si>
    <t>展凌路58弄25号1504</t>
  </si>
  <si>
    <t>林竞</t>
  </si>
  <si>
    <t>赵越</t>
  </si>
  <si>
    <t>德邑小城7号903</t>
  </si>
  <si>
    <t>0001637</t>
  </si>
  <si>
    <t>城北路39弄10号104</t>
  </si>
  <si>
    <t>韩怡雯</t>
  </si>
  <si>
    <t>上浦路329弄3号201</t>
  </si>
  <si>
    <t>赤峰路373弄16号502</t>
  </si>
  <si>
    <t>长岛路588弄33号602室</t>
  </si>
  <si>
    <t>范金华</t>
  </si>
  <si>
    <t>0000687</t>
  </si>
  <si>
    <t>袁捷</t>
  </si>
  <si>
    <t>诚礼路298弄13号202</t>
  </si>
  <si>
    <t>季炎栋</t>
  </si>
  <si>
    <t>武乡南路大成都10号1103</t>
  </si>
  <si>
    <t>0000976</t>
  </si>
  <si>
    <t>保乐路666弄59号202</t>
  </si>
  <si>
    <t>李茂</t>
  </si>
  <si>
    <t>杨浦区新城路526号6室</t>
  </si>
  <si>
    <t>0002033</t>
  </si>
  <si>
    <t>王延岐</t>
  </si>
  <si>
    <t>浦东新区川沙镇新德路207弄39号</t>
  </si>
  <si>
    <t>0000206</t>
  </si>
  <si>
    <t>吕湘曼</t>
  </si>
  <si>
    <t>徐汇区虹梅南路126弄9号202</t>
  </si>
  <si>
    <t>0001638</t>
  </si>
  <si>
    <t>刘建华</t>
  </si>
  <si>
    <t>松江区洞泾120弄11号504</t>
  </si>
  <si>
    <t>刘学敏</t>
  </si>
  <si>
    <t>徐汇区广云西路8号</t>
  </si>
  <si>
    <t>秦岩</t>
  </si>
  <si>
    <t>苗盛路33弄11号903</t>
  </si>
  <si>
    <t>俞雅芳</t>
  </si>
  <si>
    <t>疏影路1188弄9号502</t>
  </si>
  <si>
    <t>0000978</t>
  </si>
  <si>
    <t>卡卡</t>
  </si>
  <si>
    <t>昆山花桥金捷路嘉宝梦之悦15号2408</t>
  </si>
  <si>
    <t>0000977</t>
  </si>
  <si>
    <t>潘艾文</t>
  </si>
  <si>
    <t>秋竹路801弄35号1504</t>
  </si>
  <si>
    <t>0001045</t>
  </si>
  <si>
    <t>姜慧琳</t>
  </si>
  <si>
    <t>五莲路759弄9号202</t>
  </si>
  <si>
    <t>保乐路168弄20号402</t>
  </si>
  <si>
    <t>苏文敏</t>
  </si>
  <si>
    <t>古美西路899弄43号202</t>
  </si>
  <si>
    <t>0000686</t>
  </si>
  <si>
    <t>王希莹</t>
  </si>
  <si>
    <t>天钥桥路968弄5号3002</t>
  </si>
  <si>
    <t>孟珊珊</t>
  </si>
  <si>
    <t>浦东新区33弄7号3101</t>
  </si>
  <si>
    <t>殷诗媛</t>
  </si>
  <si>
    <t>正阳路43弄15号101</t>
  </si>
  <si>
    <t>华文斐</t>
  </si>
  <si>
    <t>杜鹃路55弄1号601</t>
  </si>
  <si>
    <t>李海华</t>
  </si>
  <si>
    <t>虹口区天宝路588弄中信和平小区7号701</t>
  </si>
  <si>
    <t>孙忆波</t>
  </si>
  <si>
    <t>浦东新区潍坊西路2号楼</t>
  </si>
  <si>
    <t>王勍哲</t>
  </si>
  <si>
    <t>张杨北路555弄12号602</t>
  </si>
  <si>
    <t>0000988</t>
  </si>
  <si>
    <t>李玲佳</t>
  </si>
  <si>
    <t>嘉定区绿地天呈54号102</t>
  </si>
  <si>
    <t>施万亮</t>
  </si>
  <si>
    <t>嘉定云屏路388弄中信泰富8号2901</t>
  </si>
  <si>
    <t>0000989</t>
  </si>
  <si>
    <t>嘉定区富蕴路南苑路156号601</t>
  </si>
  <si>
    <t>张宝仁</t>
  </si>
  <si>
    <t>红松东路2899弄2号901</t>
  </si>
  <si>
    <t>黄浦区32弄39号1402</t>
  </si>
  <si>
    <t>平阳路59弄12号1302</t>
  </si>
  <si>
    <t>0004443</t>
  </si>
  <si>
    <t>戴暤</t>
  </si>
  <si>
    <t>国秀路576弄5号1802</t>
  </si>
  <si>
    <t>0004442</t>
  </si>
  <si>
    <t>创新西路300弄28号302</t>
  </si>
  <si>
    <t>0000640</t>
  </si>
  <si>
    <t>秀沿路1028弄3支弄116</t>
  </si>
  <si>
    <t>0000688</t>
  </si>
  <si>
    <t>纪桐</t>
  </si>
  <si>
    <t>田林路田林三村35号403</t>
  </si>
  <si>
    <t>李刚</t>
  </si>
  <si>
    <t>浦东新区1489弄9号602</t>
  </si>
  <si>
    <t>0001998</t>
  </si>
  <si>
    <t>范明佳</t>
  </si>
  <si>
    <t>富贵东路229弄11号2701</t>
  </si>
  <si>
    <t>恒耀路66弄78号302</t>
  </si>
  <si>
    <t>肖刚</t>
  </si>
  <si>
    <t>新镇路茂盛城市花园119弄601</t>
  </si>
  <si>
    <t>田雨蔚</t>
  </si>
  <si>
    <t>桃林路1141弄4号1502</t>
  </si>
  <si>
    <t>0004272</t>
  </si>
  <si>
    <t>王永忠</t>
  </si>
  <si>
    <t>富国路199弄13-702</t>
  </si>
  <si>
    <t>0001496</t>
  </si>
  <si>
    <t>付聪</t>
  </si>
  <si>
    <t>德淳路99弄30号301</t>
  </si>
  <si>
    <t>胡培军</t>
  </si>
  <si>
    <t>水清路588弄7号1101</t>
  </si>
  <si>
    <t>康杉路386弄602室</t>
  </si>
  <si>
    <t>李依蕾</t>
  </si>
  <si>
    <t>涞坊路1033弄150号1001</t>
  </si>
  <si>
    <t>桂平支路20弄18号502</t>
  </si>
  <si>
    <t>周春根</t>
  </si>
  <si>
    <t>虹古路208弄29号601</t>
  </si>
  <si>
    <t>李美娟</t>
  </si>
  <si>
    <t>唐山路1188弄7号1502</t>
  </si>
  <si>
    <t>潘有庆</t>
  </si>
  <si>
    <t>金沙江路2299弄4号901</t>
  </si>
  <si>
    <t>吕玉杰</t>
  </si>
  <si>
    <t>冬融路240弄18号602</t>
  </si>
  <si>
    <t>董彧靓</t>
  </si>
  <si>
    <t>花桥镇商银路999号8幢1708</t>
  </si>
  <si>
    <t>孟姗姗</t>
  </si>
  <si>
    <t>浦城路33弄7号3101</t>
  </si>
  <si>
    <t>沈玉兰</t>
  </si>
  <si>
    <t>华浦南路688弄5号102</t>
  </si>
  <si>
    <t>沈寿云</t>
  </si>
  <si>
    <t>广兰路1155弄48号502</t>
  </si>
  <si>
    <t>贾丽丽</t>
  </si>
  <si>
    <t>双山路101弄26号304</t>
  </si>
  <si>
    <t>0000904</t>
  </si>
  <si>
    <t>剑川路100弄74号502</t>
  </si>
  <si>
    <t>梁一山</t>
  </si>
  <si>
    <t>虹莘路1551弄36号101</t>
  </si>
  <si>
    <t>柏林</t>
  </si>
  <si>
    <t>淮坊一村144号103</t>
  </si>
  <si>
    <t>0001028</t>
  </si>
  <si>
    <t>方洁</t>
  </si>
  <si>
    <t>金台路128弄5-601</t>
  </si>
  <si>
    <t>0001123</t>
  </si>
  <si>
    <t>绿地天呈3号102室</t>
  </si>
  <si>
    <t>0002645</t>
  </si>
  <si>
    <t>花桥街道锦安东路88弄15号501</t>
  </si>
  <si>
    <t>盛佳男</t>
  </si>
  <si>
    <t>武夷路491弄50号705</t>
  </si>
  <si>
    <t>吴倩茹</t>
  </si>
  <si>
    <t>闵行区龙柏二村90号101</t>
  </si>
  <si>
    <t>康达路118弄7号</t>
  </si>
  <si>
    <t>李新宇</t>
  </si>
  <si>
    <t>沪清平路2799弄60号1206</t>
  </si>
  <si>
    <t>赵杨</t>
  </si>
  <si>
    <t>谢卫路258弄10号101</t>
  </si>
  <si>
    <t>丁女士</t>
  </si>
  <si>
    <t>泗泾镇泗陈公路50弄78号301</t>
  </si>
  <si>
    <t>钱杰</t>
  </si>
  <si>
    <t>奉贤区褚家路6号201</t>
  </si>
  <si>
    <t>班先生</t>
  </si>
  <si>
    <t>金润聪</t>
  </si>
  <si>
    <t>庄庄园</t>
  </si>
  <si>
    <t>兰博路2819-89号</t>
  </si>
  <si>
    <t>李姐</t>
  </si>
  <si>
    <t>雍贤府44-301</t>
  </si>
  <si>
    <t>0001711</t>
  </si>
  <si>
    <t>徐娜</t>
  </si>
  <si>
    <t>金丰路777-2-401</t>
  </si>
  <si>
    <t>0001710</t>
  </si>
  <si>
    <t>申姐</t>
  </si>
  <si>
    <t>禹州府12-1302</t>
  </si>
  <si>
    <t>0001707</t>
  </si>
  <si>
    <t>银河丽湾14-1003</t>
  </si>
  <si>
    <t>0001705</t>
  </si>
  <si>
    <t>万欣</t>
  </si>
  <si>
    <t>2-1502</t>
  </si>
  <si>
    <t>0001704</t>
  </si>
  <si>
    <t>童华荣</t>
  </si>
  <si>
    <t>泽丰路566弄6号401</t>
  </si>
  <si>
    <t>0001702</t>
  </si>
  <si>
    <t>施斌</t>
  </si>
  <si>
    <t>桐屿15号</t>
  </si>
  <si>
    <t>宋梦娇</t>
  </si>
  <si>
    <t>业文路189弄86号101</t>
  </si>
  <si>
    <t>姜炳</t>
  </si>
  <si>
    <t>懿行路791弄25号202</t>
  </si>
  <si>
    <t>静安区愚园路888弄2号3302</t>
  </si>
  <si>
    <t>森兰名轩40号602室</t>
  </si>
  <si>
    <t>伴亭路855弄15-1002</t>
  </si>
  <si>
    <t>陈慧萍</t>
  </si>
  <si>
    <t>浦东新区盛夏路738弄19栋402</t>
  </si>
  <si>
    <t>0001851</t>
  </si>
  <si>
    <t>朱莎</t>
  </si>
  <si>
    <t>蒲汇塘路50弄4号404</t>
  </si>
  <si>
    <t>严佳卿</t>
  </si>
  <si>
    <t>卓越16-1601</t>
  </si>
  <si>
    <t>马洁婷</t>
  </si>
  <si>
    <t>江湾城路88弄25号901</t>
  </si>
  <si>
    <t>刘伟欣</t>
  </si>
  <si>
    <t>高博路211弄2号402</t>
  </si>
  <si>
    <t>0001640</t>
  </si>
  <si>
    <t>陆建浩</t>
  </si>
  <si>
    <t>欧阳路289弄2号2801</t>
  </si>
  <si>
    <t>0000247</t>
  </si>
  <si>
    <t>王锋民</t>
  </si>
  <si>
    <t>长宁区46弄17号501</t>
  </si>
  <si>
    <t>毛秀明</t>
  </si>
  <si>
    <t>金葵路1315弄26号1401</t>
  </si>
  <si>
    <t>陈熠</t>
  </si>
  <si>
    <t>恒高路128弄1号1901</t>
  </si>
  <si>
    <t>戎丹芬</t>
  </si>
  <si>
    <t>鹤庆路358弄111号401</t>
  </si>
  <si>
    <t>邵鸳丽</t>
  </si>
  <si>
    <t>凤蓉路455弄</t>
  </si>
  <si>
    <t>秀康新城康桥宝邸59号202</t>
  </si>
  <si>
    <t>0002036</t>
  </si>
  <si>
    <t>浦东新区东方路1669弄5号901</t>
  </si>
  <si>
    <t>夏苏湘</t>
  </si>
  <si>
    <t>松江区九亭大街1382弄英国会小区89号</t>
  </si>
  <si>
    <t>0000305</t>
  </si>
  <si>
    <t>吴亚男/曾东</t>
  </si>
  <si>
    <t>虹口区通州路188弄6号2101室</t>
  </si>
  <si>
    <t>翟文先</t>
  </si>
  <si>
    <t>东安路271弄1号2106</t>
  </si>
  <si>
    <t>浦东新区季景路555弄32号102</t>
  </si>
  <si>
    <t>胡双柏</t>
  </si>
  <si>
    <t>浦东区灵山路1396弄3号501</t>
  </si>
  <si>
    <t>王志风</t>
  </si>
  <si>
    <t>松江区伴亭路855弄象屿虹桥2号楼602</t>
  </si>
  <si>
    <t>吴峥嵘</t>
  </si>
  <si>
    <t>宝山区388弄170号602</t>
  </si>
  <si>
    <t>周老师</t>
  </si>
  <si>
    <t>浦东新区夏栎路64号401</t>
  </si>
  <si>
    <t>段毅达</t>
  </si>
  <si>
    <t>浦东区秀沿路68弄163号203</t>
  </si>
  <si>
    <t>顾小米</t>
  </si>
  <si>
    <t>宝山区恒高路128弄19号1803</t>
  </si>
  <si>
    <t>花李明</t>
  </si>
  <si>
    <t>浦东区雪绒花路369弄万科金城133号302</t>
  </si>
  <si>
    <t>邦蓝/戴队</t>
  </si>
  <si>
    <t>昆山绿地大道258弄3号1032</t>
  </si>
  <si>
    <t>马钊</t>
  </si>
  <si>
    <t>李总</t>
  </si>
  <si>
    <t>13818756729/15821515103</t>
  </si>
  <si>
    <t>兴文路1058号</t>
  </si>
  <si>
    <t>孙迪</t>
  </si>
  <si>
    <t>宝山区纬地路99弄19-603</t>
  </si>
  <si>
    <t>方卫红</t>
  </si>
  <si>
    <t>万源路400弄4号1401</t>
  </si>
  <si>
    <t>雷一丹</t>
  </si>
  <si>
    <t>伴亭路855弄24#703</t>
  </si>
  <si>
    <t>杨永鑫</t>
  </si>
  <si>
    <t>五莲路759弄30号601</t>
  </si>
  <si>
    <t>陆龙生</t>
  </si>
  <si>
    <t>150216838177</t>
  </si>
  <si>
    <t>康悦路133弄15号704</t>
  </si>
  <si>
    <t>田胤豪</t>
  </si>
  <si>
    <t>徐汇区虹梅南路680弄4号202</t>
  </si>
  <si>
    <t>薛松</t>
  </si>
  <si>
    <t>浦东新区北艾路1660弄17号1305</t>
  </si>
  <si>
    <t>韩明志</t>
  </si>
  <si>
    <t>何敏</t>
  </si>
  <si>
    <t>静安区柳营路669弄14号1101室</t>
  </si>
  <si>
    <t>浦东新区锦绣路3088弄152号602</t>
  </si>
  <si>
    <t>康永芳</t>
  </si>
  <si>
    <t>中潭路100弄250号2405</t>
  </si>
  <si>
    <t>田亚龙</t>
  </si>
  <si>
    <t>德富路900弄6号1701</t>
  </si>
  <si>
    <t>青浦城中西部花园9-107</t>
  </si>
  <si>
    <t>李娜</t>
  </si>
  <si>
    <t>浦东区康杉路386弄3号501</t>
  </si>
  <si>
    <t>王立夫</t>
  </si>
  <si>
    <t>闵行区浦泉路399弄7号</t>
  </si>
  <si>
    <t>徐海鹰</t>
  </si>
  <si>
    <t>黄浦区永嘉路29号703</t>
  </si>
  <si>
    <t>0000284</t>
  </si>
  <si>
    <t>马奔</t>
  </si>
  <si>
    <t>诚礼路298弄紫金轩小区32号902</t>
  </si>
  <si>
    <t>0000285</t>
  </si>
  <si>
    <t>闵行区富国路199弄26号901</t>
  </si>
  <si>
    <t>0000980</t>
  </si>
  <si>
    <t>鲍小敏</t>
  </si>
  <si>
    <t>嘉定区黄家花园998弄龙湖天璞17号1201</t>
  </si>
  <si>
    <t>齐亚梦</t>
  </si>
  <si>
    <t>浦东新区洪山路200弄19号601</t>
  </si>
  <si>
    <t>季庆</t>
  </si>
  <si>
    <t>浦东新区惠南镇靖海南路488弄2号301</t>
  </si>
  <si>
    <t>孙铭</t>
  </si>
  <si>
    <t>花桥镇金捷路89号1708</t>
  </si>
  <si>
    <t>下周测量</t>
  </si>
  <si>
    <t>申爱民</t>
  </si>
  <si>
    <t>浦东区2101弄30号203</t>
  </si>
  <si>
    <t>0000979</t>
  </si>
  <si>
    <t>樊伟刚</t>
  </si>
  <si>
    <t>嘉定区德富路900弄拓园里2号701</t>
  </si>
  <si>
    <t>青衫路169弄29号401</t>
  </si>
  <si>
    <t>杨海鑫</t>
  </si>
  <si>
    <t>浦东区鹤洁路346弄9号704</t>
  </si>
  <si>
    <t>嘉定区德园路627弄13号216</t>
  </si>
  <si>
    <t>00014445</t>
  </si>
  <si>
    <t>康丽丽</t>
  </si>
  <si>
    <t>长宁区法华镇257弄8号2401</t>
  </si>
  <si>
    <t>芦恒路378弄185-1001</t>
  </si>
  <si>
    <t>黄主力</t>
  </si>
  <si>
    <t>金山区青颂湾路32弄1802</t>
  </si>
  <si>
    <t>青浦区东渡悦来城6号1203</t>
  </si>
  <si>
    <t>长宁区东诸安滨路103号2号楼5A</t>
  </si>
  <si>
    <t>沈辉/钟一鸣</t>
  </si>
  <si>
    <t>徐晓伟</t>
  </si>
  <si>
    <t>闵行区虹许路788弄33号803</t>
  </si>
  <si>
    <t>范明</t>
  </si>
  <si>
    <t>长宁区番禺路290弄7号楼</t>
  </si>
  <si>
    <t>0001991</t>
  </si>
  <si>
    <t>李英</t>
  </si>
  <si>
    <t>嘉定区丰庄西路433弄50号601</t>
  </si>
  <si>
    <t>0002929</t>
  </si>
  <si>
    <t>张泉明/沈英杰</t>
  </si>
  <si>
    <t>浦东区康达路118弄柏澜晶舍7号402</t>
  </si>
  <si>
    <t>0001641</t>
  </si>
  <si>
    <t>汤骁骁</t>
  </si>
  <si>
    <t>龙湖天璞51-1001</t>
  </si>
  <si>
    <t>陈聪颖</t>
  </si>
  <si>
    <t>闵行区漕宝路1158弄21号802</t>
  </si>
  <si>
    <t>顾强</t>
  </si>
  <si>
    <t>商海路88弄香桂园16号602</t>
  </si>
  <si>
    <t>白晓坡</t>
  </si>
  <si>
    <t>番禺路5号盛源大厦2号1701</t>
  </si>
  <si>
    <t>蓝天路368弄57号</t>
  </si>
  <si>
    <t>吴昆</t>
  </si>
  <si>
    <t>灵山路1415弄78号501</t>
  </si>
  <si>
    <t>0001852</t>
  </si>
  <si>
    <t>东溏悦来城1#904</t>
  </si>
  <si>
    <t>张卫宁</t>
  </si>
  <si>
    <t>尚文路198弄1401室</t>
  </si>
  <si>
    <t>0001642</t>
  </si>
  <si>
    <t>纬地路88弄8号602</t>
  </si>
  <si>
    <t>0001853</t>
  </si>
  <si>
    <t>李明水</t>
  </si>
  <si>
    <t>万寿新村33号504</t>
  </si>
  <si>
    <t>刘雪婷</t>
  </si>
  <si>
    <t>鹤望路365弄66号803</t>
  </si>
  <si>
    <t>虹口区15号A座1101</t>
  </si>
  <si>
    <t>刘明佳</t>
  </si>
  <si>
    <t>三旋路506弄9号2402</t>
  </si>
  <si>
    <t>伴亭路855弄38号504</t>
  </si>
  <si>
    <t>金喆</t>
  </si>
  <si>
    <t>川周公路2928弄27号201</t>
  </si>
  <si>
    <t>奉贤区古华南区854号302</t>
  </si>
  <si>
    <t>丁慧玲</t>
  </si>
  <si>
    <t>泗泾泗陈公路501弄78号301室</t>
  </si>
  <si>
    <t>鞠国际</t>
  </si>
  <si>
    <t>普陀交城路229弄32</t>
  </si>
  <si>
    <t>国顺路395弄7号401</t>
  </si>
  <si>
    <t>蒋彩荷</t>
  </si>
  <si>
    <t>罗秀路850弄22号602</t>
  </si>
  <si>
    <t>张雄</t>
  </si>
  <si>
    <t>虹梅路19弄28号3002</t>
  </si>
  <si>
    <t>乔智勇</t>
  </si>
  <si>
    <t>枫丹白露小区99号</t>
  </si>
  <si>
    <t>0013433</t>
  </si>
  <si>
    <t>美千居</t>
  </si>
  <si>
    <t>上官健</t>
  </si>
  <si>
    <t>闵行区浦秀北路26号</t>
  </si>
  <si>
    <t>0000060</t>
  </si>
  <si>
    <t>徐森强</t>
  </si>
  <si>
    <t>宝山区淞南三村99号201</t>
  </si>
  <si>
    <t>顾昇</t>
  </si>
  <si>
    <t>控江路874弄7号501</t>
  </si>
  <si>
    <t>孙群</t>
  </si>
  <si>
    <t>长宁区新华路569弄3号501</t>
  </si>
  <si>
    <t>何啸剑</t>
  </si>
  <si>
    <t>昌平路428弄8号1401</t>
  </si>
  <si>
    <t>王英子</t>
  </si>
  <si>
    <t>梅川路1111弄上钞苑39号502</t>
  </si>
  <si>
    <t>汪荣鹰</t>
  </si>
  <si>
    <t>松江九里亭132号101</t>
  </si>
  <si>
    <t>黄书云</t>
  </si>
  <si>
    <t>松江区佘山镇米筛浜路699弄9号1202</t>
  </si>
  <si>
    <t>裴雯</t>
  </si>
  <si>
    <t>顺平路1260弄7号404</t>
  </si>
  <si>
    <t>朱列峰</t>
  </si>
  <si>
    <t>青浦区贺桥公寓19号101</t>
  </si>
  <si>
    <t>沈慧刚</t>
  </si>
  <si>
    <t>青浦区何瑞东苑3号1501</t>
  </si>
  <si>
    <t>董丽萍</t>
  </si>
  <si>
    <t>青浦区清河湾706弄15-1101</t>
  </si>
  <si>
    <t>庄文涌</t>
  </si>
  <si>
    <t>延安西路1328弄2号1401</t>
  </si>
  <si>
    <t>陆辉俊</t>
  </si>
  <si>
    <t>朱家角一号小区68号</t>
  </si>
  <si>
    <t>西营南路68弄32号602</t>
  </si>
  <si>
    <t>兰谷路2955弄3号701</t>
  </si>
  <si>
    <t>静安区胶州路433弄隆安公寓2006</t>
  </si>
  <si>
    <t>0002061</t>
  </si>
  <si>
    <t>浦东新区三林路166弄89号601</t>
  </si>
  <si>
    <t>0002004</t>
  </si>
  <si>
    <t>水城路883弄6号902</t>
  </si>
  <si>
    <t>黄佳骋</t>
  </si>
  <si>
    <t>丁香路1089弄16号1301</t>
  </si>
  <si>
    <t>0002062</t>
  </si>
  <si>
    <t>沈舜蓉</t>
  </si>
  <si>
    <t>天钥桥路380弄37号2402</t>
  </si>
  <si>
    <t>罗北</t>
  </si>
  <si>
    <t>浦东新区秀沿西路68弄141号</t>
  </si>
  <si>
    <t>奚洁</t>
  </si>
  <si>
    <t>新川路640弄16号102</t>
  </si>
  <si>
    <t>傅婕妤</t>
  </si>
  <si>
    <t>铃兰路508弄82号301</t>
  </si>
  <si>
    <t>姚文凯</t>
  </si>
  <si>
    <t>虹井路482弄2号302</t>
  </si>
  <si>
    <t>周智超</t>
  </si>
  <si>
    <t>顾戴路35弄38号602</t>
  </si>
  <si>
    <t>岳峰</t>
  </si>
  <si>
    <t>徐汇区南宁路501弄9号401</t>
  </si>
  <si>
    <t>薛卫</t>
  </si>
  <si>
    <t>天钥桥路968弄10号903</t>
  </si>
  <si>
    <t>丁净</t>
  </si>
  <si>
    <t>中山西路2366弄3号1405</t>
  </si>
  <si>
    <t>沈涛</t>
  </si>
  <si>
    <t>浦东区锦和路289弄21号402</t>
  </si>
  <si>
    <t>0001643</t>
  </si>
  <si>
    <t>丁颖芳</t>
  </si>
  <si>
    <t>浦东新区福山路49弄3号1206</t>
  </si>
  <si>
    <t>0000310</t>
  </si>
  <si>
    <t>宝山区宝林路中艺花园13号501</t>
  </si>
  <si>
    <t>周才民</t>
  </si>
  <si>
    <t>杨浦区控江路2202号E座190</t>
  </si>
  <si>
    <t>0002082</t>
  </si>
  <si>
    <t>叶维</t>
  </si>
  <si>
    <t>斜土路80弄11号102</t>
  </si>
  <si>
    <t>过年开工</t>
  </si>
  <si>
    <t>0001655</t>
  </si>
  <si>
    <t>倪灵丹</t>
  </si>
  <si>
    <t>天山西路爱博四村6号904</t>
  </si>
  <si>
    <t>施安源</t>
  </si>
  <si>
    <t>黄浦区中华路88弄4号1402</t>
  </si>
  <si>
    <t>0001644</t>
  </si>
  <si>
    <t>邹佳蕾</t>
  </si>
  <si>
    <t>虹口区逸仙路288弄逸虹景苑4号601</t>
  </si>
  <si>
    <t>张海萍</t>
  </si>
  <si>
    <t>浦东区青桐路18弄忠芯花园42号1001</t>
  </si>
  <si>
    <t>0001125</t>
  </si>
  <si>
    <t>嘉定区宝塔路399弄阳光里小区16号802</t>
  </si>
  <si>
    <t>张琼/张雅仙</t>
  </si>
  <si>
    <t>秦琴</t>
  </si>
  <si>
    <t>浦东区诚礼路298弄紫金九号小区30号902</t>
  </si>
  <si>
    <t>泗凯路291弄15号1002</t>
  </si>
  <si>
    <t>张焕郎</t>
  </si>
  <si>
    <t>闵行区芦恒路378弄171-502</t>
  </si>
  <si>
    <t>唐丽娟</t>
  </si>
  <si>
    <t>徐汇区龙漕路宏伟阁145号1005</t>
  </si>
  <si>
    <t>0002724</t>
  </si>
  <si>
    <t>徐玲</t>
  </si>
  <si>
    <t>岳阳路217号1602</t>
  </si>
  <si>
    <t>0001680</t>
  </si>
  <si>
    <t>新闸路888弄29号101</t>
  </si>
  <si>
    <t>陈洪胜</t>
  </si>
  <si>
    <t>杨浦区国年路101弄2号102室</t>
  </si>
  <si>
    <t>缪苗</t>
  </si>
  <si>
    <t>钦州南路300弄31号103</t>
  </si>
  <si>
    <t>陈子夏</t>
  </si>
  <si>
    <t>浦东区灵山路1396弄32号502</t>
  </si>
  <si>
    <t>0000313</t>
  </si>
  <si>
    <t>宝山区松兰路1166弄19号401</t>
  </si>
  <si>
    <t>贺斌</t>
  </si>
  <si>
    <t>长宁区古北路69弄虹桥万博小区16号2803</t>
  </si>
  <si>
    <t>朱嘉煜</t>
  </si>
  <si>
    <t>平型关路1088弄7号3505</t>
  </si>
  <si>
    <t>蔡怡</t>
  </si>
  <si>
    <t>长宁区安顺路389弄8号3302</t>
  </si>
  <si>
    <t>周红美</t>
  </si>
  <si>
    <t>静安区原平路1029弄成亿花园13号802</t>
  </si>
  <si>
    <t>周晓翔</t>
  </si>
  <si>
    <t>徐汇区漕溪北路实业公寓38弄24号</t>
  </si>
  <si>
    <t>易鹏飞</t>
  </si>
  <si>
    <t>徐汇区曹溪四村9号301</t>
  </si>
  <si>
    <t>黄浦区西藏南路1200弄黄埔丽园4号1302</t>
  </si>
  <si>
    <t>杨伊</t>
  </si>
  <si>
    <t>闵行区畹町路99弄300号302</t>
  </si>
  <si>
    <t>华程程</t>
  </si>
  <si>
    <t>金汤路353弄27号302</t>
  </si>
  <si>
    <t>0000296</t>
  </si>
  <si>
    <t>陆雯</t>
  </si>
  <si>
    <t>静安区康定路501弄8号1602</t>
  </si>
  <si>
    <t>高燕萍</t>
  </si>
  <si>
    <t>利津路729弄26号902</t>
  </si>
  <si>
    <t>0001645</t>
  </si>
  <si>
    <t>龚平</t>
  </si>
  <si>
    <t>黄家花园998弄35号602</t>
  </si>
  <si>
    <t>潘文杰</t>
  </si>
  <si>
    <t>闵行区联航路2015弄14号803</t>
  </si>
  <si>
    <t>0002040</t>
  </si>
  <si>
    <t>陆宗文</t>
  </si>
  <si>
    <t>浦东区诚礼路298弄紫金轩小区31号401</t>
  </si>
  <si>
    <t>0002083</t>
  </si>
  <si>
    <t>袁晔</t>
  </si>
  <si>
    <t>浦东新区西营南路17弄9号502</t>
  </si>
  <si>
    <t>沈嘉平</t>
  </si>
  <si>
    <t>临祈一村70号403</t>
  </si>
  <si>
    <t>下月10号测量</t>
  </si>
  <si>
    <t>浦东新区东坡路195弄106号601</t>
  </si>
  <si>
    <t>刘益萍</t>
  </si>
  <si>
    <t>嘉定区博学路1098号</t>
  </si>
  <si>
    <t>黄鸿</t>
  </si>
  <si>
    <t>奉贤区金碧路1959弄禹州雍贤府19号202</t>
  </si>
  <si>
    <t>邱艳</t>
  </si>
  <si>
    <t>田林陆8号403</t>
  </si>
  <si>
    <t>钱雯珠</t>
  </si>
  <si>
    <t>仙霞路888弄11号601</t>
  </si>
  <si>
    <t>王祖宪</t>
  </si>
  <si>
    <t>虹口区广灵二路298弄8号302</t>
  </si>
  <si>
    <t>0001126</t>
  </si>
  <si>
    <t>绿地天呈84号102</t>
  </si>
  <si>
    <t>0002935</t>
  </si>
  <si>
    <t>王银宇</t>
  </si>
  <si>
    <t>顾戴路2199弄64号</t>
  </si>
  <si>
    <t>施方亮</t>
  </si>
  <si>
    <t>嘉定区云屏路388弄8号2901</t>
  </si>
  <si>
    <t>茅台路威宁小区721号501</t>
  </si>
  <si>
    <t>0000998</t>
  </si>
  <si>
    <t>陆健</t>
  </si>
  <si>
    <t>光明路18号11幢1505</t>
  </si>
  <si>
    <t>武一清</t>
  </si>
  <si>
    <t>黄浦区思南路88弄1号1201</t>
  </si>
  <si>
    <t>高朋</t>
  </si>
  <si>
    <t>诚礼路298弄32号1101</t>
  </si>
  <si>
    <t>许丽</t>
  </si>
  <si>
    <t>浦东区康达路118弄902</t>
  </si>
  <si>
    <t>邓云婷</t>
  </si>
  <si>
    <t>紫金轩17号1102</t>
  </si>
  <si>
    <t>0001000</t>
  </si>
  <si>
    <t>吴苏女</t>
  </si>
  <si>
    <t>富国路199弄29号506</t>
  </si>
  <si>
    <t>代欣</t>
  </si>
  <si>
    <t>嘉定区秋竹路802弄32号101</t>
  </si>
  <si>
    <t>王俊杰/陈茹</t>
  </si>
  <si>
    <t>远洋万和四季21单元1601</t>
  </si>
  <si>
    <t>田梦蓓</t>
  </si>
  <si>
    <t>松江区士晨苑1088弄26号701</t>
  </si>
  <si>
    <t>张辰龙</t>
  </si>
  <si>
    <t>浦东新区黄杨路69弄信合花园小区3号404</t>
  </si>
  <si>
    <t>徐汇区大木桥路158弄17号1301</t>
  </si>
  <si>
    <t>瑞福路196弄6号1201</t>
  </si>
  <si>
    <t>浦东新区三林镇银杏苑南林路1258弄15号602</t>
  </si>
  <si>
    <t>虹梅南路2555弄40号302室</t>
  </si>
  <si>
    <t>杨浦区五角场500弄9号501</t>
  </si>
  <si>
    <t>杨浦区伟德路10弄5号804</t>
  </si>
  <si>
    <t>汶水车路278号</t>
  </si>
  <si>
    <t>0004444</t>
  </si>
  <si>
    <t>计龙飞</t>
  </si>
  <si>
    <t>航鹤路1700弄32号301</t>
  </si>
  <si>
    <t>栖山路1899弄25号201</t>
  </si>
  <si>
    <t>管莉</t>
  </si>
  <si>
    <t>南丹东路223弄6号1803</t>
  </si>
  <si>
    <t>沈永波</t>
  </si>
  <si>
    <t>禹州府12号1201</t>
  </si>
  <si>
    <t>丁皓</t>
  </si>
  <si>
    <t>西泰林路158弄167号401</t>
  </si>
  <si>
    <t>宋静</t>
  </si>
  <si>
    <t>香楠路408弄5号301</t>
  </si>
  <si>
    <t>前滩</t>
  </si>
  <si>
    <t>0002198</t>
  </si>
  <si>
    <t>陈至轶</t>
  </si>
  <si>
    <t>黄家花园路998弄42号1002</t>
  </si>
  <si>
    <t>程吉</t>
  </si>
  <si>
    <t>浦东新区1085弄20号902</t>
  </si>
  <si>
    <t>周理</t>
  </si>
  <si>
    <t>永泰路595弄53号201</t>
  </si>
  <si>
    <t>郭玉婷</t>
  </si>
  <si>
    <t>浦秀路765弄43号1101</t>
  </si>
  <si>
    <t>0002939</t>
  </si>
  <si>
    <t>吴亚舸</t>
  </si>
  <si>
    <t>江柳路888弄105号</t>
  </si>
  <si>
    <t>王忠育</t>
  </si>
  <si>
    <t>革松路958弄87号1503</t>
  </si>
  <si>
    <t>吴俊杰</t>
  </si>
  <si>
    <t>海阴路215弄15号1202</t>
  </si>
  <si>
    <t>0001656</t>
  </si>
  <si>
    <t>蔡子阳</t>
  </si>
  <si>
    <t>白丽路99弄165号102</t>
  </si>
  <si>
    <t>孙琳琳/王素云</t>
  </si>
  <si>
    <t>莲花路1330弄17号1201</t>
  </si>
  <si>
    <t>周方达</t>
  </si>
  <si>
    <t>普陀区中潭路100弄118号1501</t>
  </si>
  <si>
    <t>施雨桐</t>
  </si>
  <si>
    <t>宝山区华英路82弄南华苑62号401</t>
  </si>
  <si>
    <t>佘秋涵</t>
  </si>
  <si>
    <t>真北路3725弄118号502</t>
  </si>
  <si>
    <t>吴薇</t>
  </si>
  <si>
    <t>浦东新区竹柏路758弄71号101</t>
  </si>
  <si>
    <t>闵行区申北路555弄9号202</t>
  </si>
  <si>
    <t>赵圆圆</t>
  </si>
  <si>
    <t>梅陇三村27号604</t>
  </si>
  <si>
    <t>万雅莉</t>
  </si>
  <si>
    <t>国权东路99弄8号402</t>
  </si>
  <si>
    <t>徐海明</t>
  </si>
  <si>
    <t>奉贤区尚东区6号601</t>
  </si>
  <si>
    <t>傅天源</t>
  </si>
  <si>
    <t>场北路69弄23号102</t>
  </si>
  <si>
    <t>金都路2758弄4号</t>
  </si>
  <si>
    <t>浦东尚博路569弄7号302</t>
  </si>
  <si>
    <t>0000642</t>
  </si>
  <si>
    <t>蒋先生</t>
  </si>
  <si>
    <t>浦东周浦镇瑞浦路8弄14号1204</t>
  </si>
  <si>
    <t>0001592</t>
  </si>
  <si>
    <t>李新明</t>
  </si>
  <si>
    <t>浦东新区四季雅苑176号</t>
  </si>
  <si>
    <t>李晓莉</t>
  </si>
  <si>
    <t>嘉定区陈翔公路2400弄华谊逸品澜湾3-3号1601</t>
  </si>
  <si>
    <t>杨霖</t>
  </si>
  <si>
    <t>真金路655弄2号302</t>
  </si>
  <si>
    <t>陶雯琪</t>
  </si>
  <si>
    <t>闵行区漕宝路1158弄18号1201</t>
  </si>
  <si>
    <t>0000341</t>
  </si>
  <si>
    <t>华颖琼</t>
  </si>
  <si>
    <t>长宁区江苏路49号403</t>
  </si>
  <si>
    <t>虹口区临平路133弄11号701</t>
  </si>
  <si>
    <t>毕成林</t>
  </si>
  <si>
    <t>浦东中科路2166弄21号1001室</t>
  </si>
  <si>
    <t>朱铭达</t>
  </si>
  <si>
    <t>浦东栖山路1299弄6号501</t>
  </si>
  <si>
    <t>章碧野</t>
  </si>
  <si>
    <t>七莘路1666弄28号403</t>
  </si>
  <si>
    <t>陆密佳</t>
  </si>
  <si>
    <t>静安区平型关路1088弄7号3301</t>
  </si>
  <si>
    <t>0001002</t>
  </si>
  <si>
    <t>李艳侠</t>
  </si>
  <si>
    <t>浦东区高宝路300弄16号1002</t>
  </si>
  <si>
    <t>罗旭升</t>
  </si>
  <si>
    <t>松江区涞亭南路888弄171号201</t>
  </si>
  <si>
    <t>吴雅菁</t>
  </si>
  <si>
    <t>朱蓓</t>
  </si>
  <si>
    <t>嘉定区黄家花园998弄50号701</t>
  </si>
  <si>
    <t>葛宝刚</t>
  </si>
  <si>
    <t>虹梅南路1660弄38号602</t>
  </si>
  <si>
    <t>李建飞</t>
  </si>
  <si>
    <t>嘉定区洪德路333弄201号2001</t>
  </si>
  <si>
    <t>闵行区华发路99弄53号101</t>
  </si>
  <si>
    <t>全小姐</t>
  </si>
  <si>
    <t>黄婷婷</t>
  </si>
  <si>
    <t>花山路609弄58号402</t>
  </si>
  <si>
    <t>马上测量</t>
  </si>
  <si>
    <t>00001824</t>
  </si>
  <si>
    <t>赵国建</t>
  </si>
  <si>
    <t>青浦区徐泾镇尚茂路798弄</t>
  </si>
  <si>
    <t>0002086</t>
  </si>
  <si>
    <t>金平路377弄111号301</t>
  </si>
  <si>
    <t>俞承浩</t>
  </si>
  <si>
    <t>延吉四村13号405</t>
  </si>
  <si>
    <t>孙卫星</t>
  </si>
  <si>
    <t>徐汇区桂箐路69号27栋</t>
  </si>
  <si>
    <t>邵森杰</t>
  </si>
  <si>
    <t>华夏东路1349弄79号302</t>
  </si>
  <si>
    <t>泗塘四村17号202</t>
  </si>
  <si>
    <t>王欢</t>
  </si>
  <si>
    <t>浦涛路751弄28号1101</t>
  </si>
  <si>
    <t>0001825</t>
  </si>
  <si>
    <t>徐逸</t>
  </si>
  <si>
    <t>华鹏路300弄10号601室</t>
  </si>
  <si>
    <t>安云</t>
  </si>
  <si>
    <t>静安区江宁路1550弄3号楼180</t>
  </si>
  <si>
    <t>倪敏</t>
  </si>
  <si>
    <t>商城路108弄汇豪天下2号3401</t>
  </si>
  <si>
    <t>张小进</t>
  </si>
  <si>
    <t>浦东梅华路50弄12号701</t>
  </si>
  <si>
    <t>徐妹娣</t>
  </si>
  <si>
    <t>洞伟路655弄2号502</t>
  </si>
  <si>
    <t>张思玉</t>
  </si>
  <si>
    <t>正阳路43弄27号102</t>
  </si>
  <si>
    <t>闵行区沧源路880弄41-601</t>
  </si>
  <si>
    <t>北平家园7号704</t>
  </si>
  <si>
    <t>2019.10.1</t>
  </si>
  <si>
    <t>昆山市花桥镇兆丰路11号凯德都会新峰8幢701室</t>
  </si>
  <si>
    <t>2019.12.28</t>
  </si>
  <si>
    <t>2019.11.2</t>
  </si>
  <si>
    <t>迎园路351弄35-402</t>
  </si>
  <si>
    <t>2019.10.7</t>
  </si>
  <si>
    <t>王佳奕</t>
  </si>
  <si>
    <t>合作路719弄7号502室</t>
  </si>
  <si>
    <t>2019.12.20</t>
  </si>
  <si>
    <t>2019.7.18</t>
  </si>
  <si>
    <t>陈</t>
  </si>
  <si>
    <t>500（入户门）</t>
  </si>
  <si>
    <t>樊先生</t>
  </si>
  <si>
    <t>宝山区行知路684弄41号201室</t>
  </si>
  <si>
    <t>测量待付款</t>
  </si>
  <si>
    <t>2019.10.31</t>
  </si>
  <si>
    <t>冯娟（刘继明）</t>
  </si>
  <si>
    <t>闵行区浦江路58弄35号201室</t>
  </si>
  <si>
    <t>2018.12.22</t>
  </si>
  <si>
    <t>金沙路2388弄17号301室</t>
  </si>
  <si>
    <t>2019.11.5</t>
  </si>
  <si>
    <t>浦东新区杨思路855弄38号1301室</t>
  </si>
  <si>
    <t>等复测</t>
  </si>
  <si>
    <t>青浦区镇东路199弄78号</t>
  </si>
  <si>
    <t>2019.11.11</t>
  </si>
  <si>
    <t>2019.10.27</t>
  </si>
  <si>
    <t>闵行红松东路2899弄15号1302</t>
  </si>
  <si>
    <t>周萍</t>
  </si>
  <si>
    <t>周浦镇年家浜路425弄17号502</t>
  </si>
  <si>
    <t>浦东区38弄32号201</t>
  </si>
  <si>
    <t>盘古路19弄15号801</t>
  </si>
  <si>
    <t>陈景云</t>
  </si>
  <si>
    <t>银湖别墅二期18号</t>
  </si>
  <si>
    <t>孟女士</t>
  </si>
  <si>
    <t>合景天悦88号201</t>
  </si>
  <si>
    <t>叶青</t>
  </si>
  <si>
    <t>顾唐路138弄51号401</t>
  </si>
  <si>
    <t>0001459</t>
  </si>
  <si>
    <t>李道亮</t>
  </si>
  <si>
    <t>芳林路1357弄湖畔三期163号</t>
  </si>
  <si>
    <t>陆涵韵</t>
  </si>
  <si>
    <t>桃林路299弄12号402</t>
  </si>
  <si>
    <t>王珍勇</t>
  </si>
  <si>
    <t>奉贤正阳二期66号1701</t>
  </si>
  <si>
    <t>皇家花园998弄13号48单元1202室</t>
  </si>
  <si>
    <t>杨浦区彰武路526号6室</t>
  </si>
  <si>
    <t>陆岳</t>
  </si>
  <si>
    <t>徐汇区桂林西路111弄6号301</t>
  </si>
  <si>
    <t>上海铁峰金属制品有限公司</t>
  </si>
  <si>
    <t>东安路888弄12号</t>
  </si>
  <si>
    <t>0001128</t>
  </si>
  <si>
    <t>毛先生</t>
  </si>
  <si>
    <t>德富路900弄5号302</t>
  </si>
  <si>
    <t>0003962</t>
  </si>
  <si>
    <t>殷杰</t>
  </si>
  <si>
    <t>徐汇区蒲汇塘路50弄玉兰花苑4号404</t>
  </si>
  <si>
    <t>贺亚丽</t>
  </si>
  <si>
    <t>浦东迎春路1355弄6号1602</t>
  </si>
  <si>
    <t>朱佳鸣</t>
  </si>
  <si>
    <t>昭化路555弄266号305</t>
  </si>
  <si>
    <t>0001005</t>
  </si>
  <si>
    <t>来永超</t>
  </si>
  <si>
    <t>诚礼路298弄紫金九号二期29号601</t>
  </si>
  <si>
    <t>孙昌荣</t>
  </si>
  <si>
    <t>腾冲路50弄21号801</t>
  </si>
  <si>
    <t>0000357</t>
  </si>
  <si>
    <t>韩宪兵</t>
  </si>
  <si>
    <t>嘉定区安亭静安礼路396弄54号401</t>
  </si>
  <si>
    <t>沈建国</t>
  </si>
  <si>
    <t>奉贤区八字路景河苑187号</t>
  </si>
  <si>
    <t>江若冰</t>
  </si>
  <si>
    <t>紫金九号22号302</t>
  </si>
  <si>
    <t>程莉</t>
  </si>
  <si>
    <t>松江区刘五路同济晶卒30号101</t>
  </si>
  <si>
    <t>思学路165弄13号1701</t>
  </si>
  <si>
    <t>徐汇区田林路五村12号102</t>
  </si>
  <si>
    <t>浦东罗山路1402弄6号501室</t>
  </si>
  <si>
    <t>辽源西路230弄14号701</t>
  </si>
  <si>
    <t>王洪玉</t>
  </si>
  <si>
    <t>斜土路冶金大楼2050号1013</t>
  </si>
  <si>
    <t>谭晓玲</t>
  </si>
  <si>
    <t>翔殷路258弄22号301</t>
  </si>
  <si>
    <t>朱丹心</t>
  </si>
  <si>
    <t>天钥桥路380弄20号413</t>
  </si>
  <si>
    <t>鹏飞路333弄10号501</t>
  </si>
  <si>
    <t>徐秀兰</t>
  </si>
  <si>
    <t>西藏南路748弄1007</t>
  </si>
  <si>
    <t>0000318</t>
  </si>
  <si>
    <t>叶琪文</t>
  </si>
  <si>
    <t>广粤路1500弄16号602</t>
  </si>
  <si>
    <t>0057012</t>
  </si>
  <si>
    <t>吴先生</t>
  </si>
  <si>
    <t>阳光星期八</t>
  </si>
  <si>
    <t>0002920</t>
  </si>
  <si>
    <t>尤莉</t>
  </si>
  <si>
    <t>宝城路155弄16号103</t>
  </si>
  <si>
    <t>亢婉婉</t>
  </si>
  <si>
    <t>汇友路59弄7号301</t>
  </si>
  <si>
    <t>银都路3828弄41号102</t>
  </si>
  <si>
    <t>0000920</t>
  </si>
  <si>
    <t>王逍</t>
  </si>
  <si>
    <t>申北路135弄13号202</t>
  </si>
  <si>
    <t>贺筱蕾</t>
  </si>
  <si>
    <t>静安区威海路333弄2号1001</t>
  </si>
  <si>
    <t>巷居路99弄163号102</t>
  </si>
  <si>
    <t>王禹</t>
  </si>
  <si>
    <t>世纪江湾13号</t>
  </si>
  <si>
    <t>陈敏敏</t>
  </si>
  <si>
    <t>上南路3899弄87号502</t>
  </si>
  <si>
    <t>谢牧云</t>
  </si>
  <si>
    <t>紫金轩15号702</t>
  </si>
  <si>
    <t>王觉/季小姐</t>
  </si>
  <si>
    <t>康杉路386弄15号701</t>
  </si>
  <si>
    <t>胡泽红</t>
  </si>
  <si>
    <t>红古路366弄24号201</t>
  </si>
  <si>
    <t>武超</t>
  </si>
  <si>
    <t>江文路125弄21号1303</t>
  </si>
  <si>
    <t>王必辰</t>
  </si>
  <si>
    <t>长宁路1277弄23号2202</t>
  </si>
  <si>
    <t>高亚青</t>
  </si>
  <si>
    <t>浦连路99弄23号602</t>
  </si>
  <si>
    <t>孙六一</t>
  </si>
  <si>
    <t>金碧路1959弄40栋132-1201</t>
  </si>
  <si>
    <t>162626090589</t>
  </si>
  <si>
    <t>昆山开发区黄埔秀路233号104</t>
  </si>
  <si>
    <t>玫瑰公官20号202室</t>
  </si>
  <si>
    <t>杨浦区政立路长海四村8号502</t>
  </si>
  <si>
    <t>嘉定嘉峪关路379弄2号1301</t>
  </si>
  <si>
    <t>戴晓伟</t>
  </si>
  <si>
    <t>虹莘路3399弄138号301</t>
  </si>
  <si>
    <t>金山区博海路99弄62号103</t>
  </si>
  <si>
    <t>沈伟平</t>
  </si>
  <si>
    <t>青浦区会恒路666弄3号1501</t>
  </si>
  <si>
    <t>董竹薇</t>
  </si>
  <si>
    <t>静安区延长路152弄21号502</t>
  </si>
  <si>
    <t>0000643</t>
  </si>
  <si>
    <t>浦东新区龙阳路1880-62-901</t>
  </si>
  <si>
    <t>孙俊文</t>
  </si>
  <si>
    <t>翔殷路491弄7号201</t>
  </si>
  <si>
    <t>吕震浩</t>
  </si>
  <si>
    <t>思贤路北兰桥40号301</t>
  </si>
  <si>
    <t>廖菲</t>
  </si>
  <si>
    <t>79-602</t>
  </si>
  <si>
    <t>杨晓燕</t>
  </si>
  <si>
    <t>林珍路58弄93号1602</t>
  </si>
  <si>
    <t>0000254</t>
  </si>
  <si>
    <t>鄢波</t>
  </si>
  <si>
    <t>吴中路429弄5号401</t>
  </si>
  <si>
    <t>0000250</t>
  </si>
  <si>
    <t>何秀华</t>
  </si>
  <si>
    <t>桃林路299弄39号301</t>
  </si>
  <si>
    <t>向淑捷</t>
  </si>
  <si>
    <t>华尔顿1号702</t>
  </si>
  <si>
    <t>0000251</t>
  </si>
  <si>
    <t>郭又嘉</t>
  </si>
  <si>
    <t>钦州北路1018弄48号101</t>
  </si>
  <si>
    <t>梁金平</t>
  </si>
  <si>
    <t>普陀区177弄光祈小区2号604</t>
  </si>
  <si>
    <t>范儒</t>
  </si>
  <si>
    <t>东川路865弄44号602</t>
  </si>
  <si>
    <t>淮海中路2006弄10号305</t>
  </si>
  <si>
    <t>沈尉迟</t>
  </si>
  <si>
    <t>金山区枫泾镇枫湾路660弄155号</t>
  </si>
  <si>
    <t>海平路18号A座1101</t>
  </si>
  <si>
    <t>徐汇区广元路33号501室</t>
  </si>
  <si>
    <t>闵行区七宝镇新龙路1111弄65号402</t>
  </si>
  <si>
    <t>丁贤中</t>
  </si>
  <si>
    <t>真大路333弄5号100</t>
  </si>
  <si>
    <t>0002227</t>
  </si>
  <si>
    <t>宝城路158弄14号401</t>
  </si>
  <si>
    <t>付先生</t>
  </si>
  <si>
    <t>新德路735弄15号</t>
  </si>
  <si>
    <t>0001959</t>
  </si>
  <si>
    <t>施女士</t>
  </si>
  <si>
    <t>松江区城隆路1500弄159</t>
  </si>
  <si>
    <t>杜运宇</t>
  </si>
  <si>
    <t>浦东新区创新西路28弄12号302</t>
  </si>
  <si>
    <t>闵行区芦恒路378弄198号601</t>
  </si>
  <si>
    <t>周队长</t>
  </si>
  <si>
    <t>徐汇区47弄29号402</t>
  </si>
  <si>
    <t>0001460</t>
  </si>
  <si>
    <t>明中路1010弄455号</t>
  </si>
  <si>
    <t>万达四号楼1001</t>
  </si>
  <si>
    <t>蔡俊</t>
  </si>
  <si>
    <t>法华镇381弄7号701</t>
  </si>
  <si>
    <t>张岭/牛群</t>
  </si>
  <si>
    <t>李欣</t>
  </si>
  <si>
    <t>诚礼路289弄34号302</t>
  </si>
  <si>
    <t>刘新平</t>
  </si>
  <si>
    <t>江源路788弄60号</t>
  </si>
  <si>
    <t>黄静</t>
  </si>
  <si>
    <t>莘朱路698弄7号702</t>
  </si>
  <si>
    <t>相明琼</t>
  </si>
  <si>
    <t>黄家花园路998弄44号101</t>
  </si>
  <si>
    <t>冯总</t>
  </si>
  <si>
    <t>松江润景苑219号303</t>
  </si>
  <si>
    <t>0001132</t>
  </si>
  <si>
    <t>印明珠</t>
  </si>
  <si>
    <t>静安区镇宁路200号178</t>
  </si>
  <si>
    <t>0001133</t>
  </si>
  <si>
    <t>吴云</t>
  </si>
  <si>
    <t>昆山花桥曹浦路77弄5号2203</t>
  </si>
  <si>
    <t>0001461</t>
  </si>
  <si>
    <t>徐汇区三江路88弄15号401</t>
  </si>
  <si>
    <t>闵行区沪闵路7580弄111支弄23号601</t>
  </si>
  <si>
    <t>李哲宇</t>
  </si>
  <si>
    <t>博兴路760弄19号301</t>
  </si>
  <si>
    <t>陆春燕</t>
  </si>
  <si>
    <t>长宁路1277弄24号1304</t>
  </si>
  <si>
    <t>0001008</t>
  </si>
  <si>
    <t>曾治丽</t>
  </si>
  <si>
    <t>浦东新区民春路501弄6号501室</t>
  </si>
  <si>
    <t>黄鸿/季雯怡</t>
  </si>
  <si>
    <t>金碧路1959弄19号202</t>
  </si>
  <si>
    <t>喜盈门/金桥店</t>
  </si>
  <si>
    <t>史若琪</t>
  </si>
  <si>
    <t>紫金轩15号1101</t>
  </si>
  <si>
    <t>刘杰</t>
  </si>
  <si>
    <t>虹梅路999弄83号602</t>
  </si>
  <si>
    <t>衡先生</t>
  </si>
  <si>
    <t>杨浦区工农三村34号甲304</t>
  </si>
  <si>
    <t>待买单1.8</t>
  </si>
  <si>
    <t>胡芬虹</t>
  </si>
  <si>
    <t>闵行区水清路1550弄25号601</t>
  </si>
  <si>
    <t>詹欣桐</t>
  </si>
  <si>
    <t>浦东区桃林路299弄9号3001</t>
  </si>
  <si>
    <t>陈婷婷</t>
  </si>
  <si>
    <t>康城大浪湾道23号楼1104</t>
  </si>
  <si>
    <t>范亚维</t>
  </si>
  <si>
    <t>芳林路1357弄296号602</t>
  </si>
  <si>
    <t>朱轶敏</t>
  </si>
  <si>
    <t>凯旋北路1555弄26号303</t>
  </si>
  <si>
    <t>林江江</t>
  </si>
  <si>
    <t>浦东区560弄8号603</t>
  </si>
  <si>
    <t>艾小峰</t>
  </si>
  <si>
    <t>虹口区曲阳路379号501</t>
  </si>
  <si>
    <t>0003963</t>
  </si>
  <si>
    <t>孙虹翁</t>
  </si>
  <si>
    <t>场北路669弄9号402</t>
  </si>
  <si>
    <t>丁雅男</t>
  </si>
  <si>
    <t>普陀区靖边路299弄阳光威尼斯C区8号1503</t>
  </si>
  <si>
    <t>毛毛</t>
  </si>
  <si>
    <t>斜土东路158弄1号2304</t>
  </si>
  <si>
    <t>闵行区虹桥悦府25号1804</t>
  </si>
  <si>
    <t>鲍峰</t>
  </si>
  <si>
    <t>凯滨路19弄11号103</t>
  </si>
  <si>
    <t>王延年</t>
  </si>
  <si>
    <t>曹杨四村139号301</t>
  </si>
  <si>
    <t>张华平</t>
  </si>
  <si>
    <t>御青路999弄158号</t>
  </si>
  <si>
    <t>0001995</t>
  </si>
  <si>
    <t>卫源</t>
  </si>
  <si>
    <t>普陀区万镇路1177弄5号102</t>
  </si>
  <si>
    <t>莘松路90号1301</t>
  </si>
  <si>
    <t>0001134</t>
  </si>
  <si>
    <t>刘湘秀</t>
  </si>
  <si>
    <t>安研路67弄14号801</t>
  </si>
  <si>
    <t>刘展庆</t>
  </si>
  <si>
    <t>控江路1888-5-1402</t>
  </si>
  <si>
    <t>金琛琛</t>
  </si>
  <si>
    <t>松江区新松江路1388弄紫东新苑小区43号602</t>
  </si>
  <si>
    <t>王贤亮</t>
  </si>
  <si>
    <t>15601617347/17717900939</t>
  </si>
  <si>
    <t>闵行区申长北路185弄爱博六村小区6号1001</t>
  </si>
  <si>
    <t>陈志峰</t>
  </si>
  <si>
    <t>松江区99弄19号302</t>
  </si>
  <si>
    <t>薛银斌</t>
  </si>
  <si>
    <t>莘松路225-2-303</t>
  </si>
  <si>
    <t>李晨</t>
  </si>
  <si>
    <t>金都路3019弄4号601</t>
  </si>
  <si>
    <t>李梓煜</t>
  </si>
  <si>
    <t>浦恒馨苑2161弄19号1602</t>
  </si>
  <si>
    <t>森如装饰</t>
  </si>
  <si>
    <t>汶水东路278号3008</t>
  </si>
  <si>
    <t>汪成</t>
  </si>
  <si>
    <t>徐汇区东泉路105弄31号102室</t>
  </si>
  <si>
    <t>龙茗路518弄95支弄1号801</t>
  </si>
  <si>
    <t>田荣兵</t>
  </si>
  <si>
    <t>内江路16弄17号801室</t>
  </si>
  <si>
    <t>晨晖路377弄47号</t>
  </si>
  <si>
    <t>松江区伴亭路855弄25号1604</t>
  </si>
  <si>
    <t>闵行区浦晓南路59弄世博家园59弄·11号502</t>
  </si>
  <si>
    <t>0005695</t>
  </si>
  <si>
    <t>桃林路299-36-2001</t>
  </si>
  <si>
    <t>0001662</t>
  </si>
  <si>
    <t>长寿路800弄13号202</t>
  </si>
  <si>
    <t>0001648</t>
  </si>
  <si>
    <t>刘鸣</t>
  </si>
  <si>
    <t>水产西路859弄32号402</t>
  </si>
  <si>
    <t>0001647</t>
  </si>
  <si>
    <t>王圣法</t>
  </si>
  <si>
    <t>江湾城路399弄10幢140号602</t>
  </si>
  <si>
    <t>0001829</t>
  </si>
  <si>
    <t>华雯君</t>
  </si>
  <si>
    <t>浦东大道94弄268号602</t>
  </si>
  <si>
    <t>王玉蓉</t>
  </si>
  <si>
    <t>虹桥路104弄58号303</t>
  </si>
  <si>
    <t>罗丽云</t>
  </si>
  <si>
    <t>彭越浦路800弄16号201</t>
  </si>
  <si>
    <t>陈海星</t>
  </si>
  <si>
    <t>秀沁路238弄9号206</t>
  </si>
  <si>
    <t>金琦</t>
  </si>
  <si>
    <t>松江金地双都江138号301</t>
  </si>
  <si>
    <t>金涛</t>
  </si>
  <si>
    <t>崇明中心镇爱国红旗村208号</t>
  </si>
  <si>
    <t>唐亮</t>
  </si>
  <si>
    <t>东方城市豪庭31号1303</t>
  </si>
  <si>
    <t>周华靓</t>
  </si>
  <si>
    <t>先新路1058弄31号702</t>
  </si>
  <si>
    <t>蒋真</t>
  </si>
  <si>
    <t>听云路233弄11号704</t>
  </si>
  <si>
    <t>周伟进</t>
  </si>
  <si>
    <t>天山西路220号403</t>
  </si>
  <si>
    <t>0001500</t>
  </si>
  <si>
    <t>朱朝杰</t>
  </si>
  <si>
    <t>临平路333弄11座1101</t>
  </si>
  <si>
    <t>伴亭路</t>
  </si>
  <si>
    <t>0001014</t>
  </si>
  <si>
    <t>莘松路1288弄1261小区1301</t>
  </si>
  <si>
    <t>许虹</t>
  </si>
  <si>
    <t>松江1500弄樾山半岛237#</t>
  </si>
  <si>
    <t>0001832</t>
  </si>
  <si>
    <t>向咏</t>
  </si>
  <si>
    <t>黄浦区288号兴业太古汇1座</t>
  </si>
  <si>
    <t>0001660</t>
  </si>
  <si>
    <t>蔡雁琪</t>
  </si>
  <si>
    <t>通州路188弄6号A座801</t>
  </si>
  <si>
    <t>徐昊</t>
  </si>
  <si>
    <t>宝塔路花园里</t>
  </si>
  <si>
    <t>周俊杰</t>
  </si>
  <si>
    <t>张杨北路2899弄64号202</t>
  </si>
  <si>
    <t>张琪雄</t>
  </si>
  <si>
    <t>海博路650弄11号902</t>
  </si>
  <si>
    <t>戚娟英</t>
  </si>
  <si>
    <t>德富路花园里5号2401</t>
  </si>
  <si>
    <t>罗云云</t>
  </si>
  <si>
    <t>仙霞路28号10C室</t>
  </si>
  <si>
    <t>张菁</t>
  </si>
  <si>
    <t>保屯路36号4百花公寓4号201</t>
  </si>
  <si>
    <t>许国琴</t>
  </si>
  <si>
    <t>云莲路405弄16号502</t>
  </si>
  <si>
    <t>常馨月</t>
  </si>
  <si>
    <t>诚礼路298弄28号801</t>
  </si>
  <si>
    <t>0002646</t>
  </si>
  <si>
    <t>李纲武</t>
  </si>
  <si>
    <t>浦东微山新村9号601</t>
  </si>
  <si>
    <t>陈元炯</t>
  </si>
  <si>
    <t>长寿路1028弄10号501</t>
  </si>
  <si>
    <t>0005696</t>
  </si>
  <si>
    <t>谢舜笠</t>
  </si>
  <si>
    <t>浦东新区东云路1800弄42号1402</t>
  </si>
  <si>
    <t>0001667</t>
  </si>
  <si>
    <t>陈群主</t>
  </si>
  <si>
    <t>滨江壹号14-30-302</t>
  </si>
  <si>
    <t>0002962</t>
  </si>
  <si>
    <t>郑阳</t>
  </si>
  <si>
    <t>政立路711弄5号302</t>
  </si>
  <si>
    <t>龚仲华</t>
  </si>
  <si>
    <t>顾戴路1325弄76号202</t>
  </si>
  <si>
    <t>5月份开工</t>
  </si>
  <si>
    <t>彭佳雯</t>
  </si>
  <si>
    <t>宝山区309/402</t>
  </si>
  <si>
    <t>江安路558弄7号1203</t>
  </si>
  <si>
    <t>0001663</t>
  </si>
  <si>
    <t>祝丽</t>
  </si>
  <si>
    <t>滨江壹号17-22-302</t>
  </si>
  <si>
    <t>黄利群</t>
  </si>
  <si>
    <t>滨江壹号19-16-302</t>
  </si>
  <si>
    <t>淞南八村230号602</t>
  </si>
  <si>
    <t>程继光</t>
  </si>
  <si>
    <t>滨江壹号76-12-102</t>
  </si>
  <si>
    <t>潘俊华</t>
  </si>
  <si>
    <t>华秋路699弄6号101</t>
  </si>
  <si>
    <t>周小姐</t>
  </si>
  <si>
    <t>塘祁路517弄37号501</t>
  </si>
  <si>
    <t>吕婷</t>
  </si>
  <si>
    <t>莲花路1330弄18号1101</t>
  </si>
  <si>
    <t>周济</t>
  </si>
  <si>
    <t>莘朱路698弄16号1002</t>
  </si>
  <si>
    <t>0001649</t>
  </si>
  <si>
    <t>张明杉</t>
  </si>
  <si>
    <t>电台路398弄44号401</t>
  </si>
  <si>
    <t>0003964</t>
  </si>
  <si>
    <t>孟亦飞</t>
  </si>
  <si>
    <t>涵青路398弄64号101</t>
  </si>
  <si>
    <t>0003631</t>
  </si>
  <si>
    <t>王志俊</t>
  </si>
  <si>
    <t>澳门路330弄3号1901</t>
  </si>
  <si>
    <t>马健骏</t>
  </si>
  <si>
    <t>虹中路780弄25号503</t>
  </si>
  <si>
    <t>惠南镇听潮四村43号401</t>
  </si>
  <si>
    <t>同济新村145号103</t>
  </si>
  <si>
    <t>尚品</t>
  </si>
  <si>
    <t>大统路1088弄4栋602室</t>
  </si>
  <si>
    <t>陆文芳</t>
  </si>
  <si>
    <t>昆山花桥光明路760号301</t>
  </si>
  <si>
    <t>长宁区新华路569弄当代新华小区4号302</t>
  </si>
  <si>
    <t>0000645</t>
  </si>
  <si>
    <t>李清</t>
  </si>
  <si>
    <t>花路777弄4号1002</t>
  </si>
  <si>
    <t>0000644</t>
  </si>
  <si>
    <t>战亦平</t>
  </si>
  <si>
    <t>浦东东明路660弄5号102</t>
  </si>
  <si>
    <t>0001036</t>
  </si>
  <si>
    <t>任俊</t>
  </si>
  <si>
    <t>杨高中路1708弄9号902</t>
  </si>
  <si>
    <t>0003632</t>
  </si>
  <si>
    <t>成顺</t>
  </si>
  <si>
    <t>杨浦区宁国路313弄6号楼1402</t>
  </si>
  <si>
    <t>沈烨</t>
  </si>
  <si>
    <t>浦东新区凌北路99弄53号502</t>
  </si>
  <si>
    <t>吕靓菁</t>
  </si>
  <si>
    <t>宝山区塘祁路517弄16号502</t>
  </si>
  <si>
    <t>嘉定区绿地天呈14号301</t>
  </si>
  <si>
    <t>李亮宇</t>
  </si>
  <si>
    <t>50弄25号101-103</t>
  </si>
  <si>
    <t>孙操操/孙亚南</t>
  </si>
  <si>
    <t>安家锐</t>
  </si>
  <si>
    <t>诚礼路298弄12号802</t>
  </si>
  <si>
    <t>0001666</t>
  </si>
  <si>
    <t>张洪民</t>
  </si>
  <si>
    <t>滨江壹号19-15-502</t>
  </si>
  <si>
    <t>董妍妍</t>
  </si>
  <si>
    <t>宝山区松兰路211弄万科四季花城23号202</t>
  </si>
  <si>
    <t>郑春美</t>
  </si>
  <si>
    <t>13601877235/15800702029</t>
  </si>
  <si>
    <t>长阳路131弄2号1707</t>
  </si>
  <si>
    <t>0001131</t>
  </si>
  <si>
    <t>段力</t>
  </si>
  <si>
    <t>嘉定区德富路900弄花园里4号201</t>
  </si>
  <si>
    <t>季敏</t>
  </si>
  <si>
    <t>长宁区福泉路435弄119号301</t>
  </si>
  <si>
    <t>翟宝年</t>
  </si>
  <si>
    <t>滨江壹号39-302</t>
  </si>
  <si>
    <t>0002433</t>
  </si>
  <si>
    <t>钱玄烨</t>
  </si>
  <si>
    <t>滨江壹号517-26-302</t>
  </si>
  <si>
    <t>陈云九</t>
  </si>
  <si>
    <t>滨江壹号41-501</t>
  </si>
  <si>
    <t>薛玲霖</t>
  </si>
  <si>
    <t>滨江壹号15-31-302</t>
  </si>
  <si>
    <t>徐智峰</t>
  </si>
  <si>
    <t>滨江壹号18-11-301</t>
  </si>
  <si>
    <t>0001135</t>
  </si>
  <si>
    <t>林建华</t>
  </si>
  <si>
    <t>张洋洋</t>
  </si>
  <si>
    <t>嘉定区嘉康公路169弄绿地天呈81号2002</t>
  </si>
  <si>
    <t>0001762</t>
  </si>
  <si>
    <t>叶婷婷</t>
  </si>
  <si>
    <t>青浦区青竹路161弄14号201</t>
  </si>
  <si>
    <t>盛莉</t>
  </si>
  <si>
    <t>闵行区七莘路3333弄12号101</t>
  </si>
  <si>
    <t>0001658</t>
  </si>
  <si>
    <t>韩洁</t>
  </si>
  <si>
    <t>青浦区涞亭北路99弄奥林匹克3号202</t>
  </si>
  <si>
    <t>熊光勤</t>
  </si>
  <si>
    <t>黄家花园998弄47号902</t>
  </si>
  <si>
    <t>李叶华</t>
  </si>
  <si>
    <t>宝山区滨江壹号10号102</t>
  </si>
  <si>
    <t>虞潘赟</t>
  </si>
  <si>
    <t>浦东新区凌兆路711弄4号502</t>
  </si>
  <si>
    <t>林飞飞</t>
  </si>
  <si>
    <t>13586513651</t>
  </si>
  <si>
    <t>浦东新区莲园路560弄8号603</t>
  </si>
  <si>
    <t>赵磊</t>
  </si>
  <si>
    <t>奉贤区雍贤府129号902</t>
  </si>
  <si>
    <t>大宁路883弄9号302</t>
  </si>
  <si>
    <t>浦东新区泥城镇青岛路269弄5号1002</t>
  </si>
  <si>
    <t>静安区中华新路588弄1号1105室</t>
  </si>
  <si>
    <t>嘉定嘉唐公路169弄绿地天呈98号302</t>
  </si>
  <si>
    <t>王芊</t>
  </si>
  <si>
    <t>苏家浜路388弄159号601</t>
  </si>
  <si>
    <t>春申路3355弄1号704</t>
  </si>
  <si>
    <t>0002459</t>
  </si>
  <si>
    <t>江松东路2899弄7号701</t>
  </si>
  <si>
    <t>胡再林</t>
  </si>
  <si>
    <t>徐和路正荣府33号601</t>
  </si>
  <si>
    <t>浦东新区金藤苑38楼201</t>
  </si>
  <si>
    <t>祝秋芳</t>
  </si>
  <si>
    <t>虹口区广灵二路264弄7号601</t>
  </si>
  <si>
    <t>枫泾桃源名庭35号403</t>
  </si>
  <si>
    <t>励女士</t>
  </si>
  <si>
    <t>漕宝路1158弄18号1001</t>
  </si>
  <si>
    <t>0002087</t>
  </si>
  <si>
    <t>吴也</t>
  </si>
  <si>
    <t>鲁班路388弄16号1503</t>
  </si>
  <si>
    <t>米耀</t>
  </si>
  <si>
    <t>桃林路299弄28号301</t>
  </si>
  <si>
    <t>储添扬</t>
  </si>
  <si>
    <t>田林十一村3号206</t>
  </si>
  <si>
    <t>张月</t>
  </si>
  <si>
    <t>俱进路258弄137号1403</t>
  </si>
  <si>
    <t>吴琼莉</t>
  </si>
  <si>
    <t>王敏伟/符玲玲</t>
  </si>
  <si>
    <t>闵行区永高路225弄12号902</t>
  </si>
  <si>
    <t>韩小姐</t>
  </si>
  <si>
    <t>滨江壹号20-4单元301</t>
  </si>
  <si>
    <t>陈佩</t>
  </si>
  <si>
    <t>青浦区福泉山路56号701</t>
  </si>
  <si>
    <t>0001614</t>
  </si>
  <si>
    <t>凯旋北路155弄51号1104</t>
  </si>
  <si>
    <t>王智辉</t>
  </si>
  <si>
    <t>松江区莘松路康城瀑布湾道58号1702</t>
  </si>
  <si>
    <t>0001636</t>
  </si>
  <si>
    <t>朱丹彦</t>
  </si>
  <si>
    <t>浦东区兰谷路1999弄仁恒森兰雅苑7号201</t>
  </si>
  <si>
    <t>马步青</t>
  </si>
  <si>
    <t>滨江壹号517-21-501</t>
  </si>
  <si>
    <t>0000252</t>
  </si>
  <si>
    <t>朱峥韬</t>
  </si>
  <si>
    <t>虹口区广灵路150弄19号102</t>
  </si>
  <si>
    <t>俞力健</t>
  </si>
  <si>
    <t>台儿庄路363弄54号402</t>
  </si>
  <si>
    <t>董惠荣</t>
  </si>
  <si>
    <t>黄浦区制造路455弄3号1004</t>
  </si>
  <si>
    <t>年后</t>
  </si>
  <si>
    <t>张大标</t>
  </si>
  <si>
    <t>2688弄58号502</t>
  </si>
  <si>
    <t>包薇芳</t>
  </si>
  <si>
    <t>宝山区通南路91弄99支弄6号902</t>
  </si>
  <si>
    <t>刘聪</t>
  </si>
  <si>
    <t>徐汇区田林东路50号502</t>
  </si>
  <si>
    <t>姚女士</t>
  </si>
  <si>
    <t>闵行区吴中路511弄古北新城89号502</t>
  </si>
  <si>
    <t>0003634</t>
  </si>
  <si>
    <t>姚洲毅</t>
  </si>
  <si>
    <t>普陀区真华路29弄52号801</t>
  </si>
  <si>
    <t>张元泓</t>
  </si>
  <si>
    <t>长宁区天山路288弄11号501</t>
  </si>
  <si>
    <t>浦东区浦东大道727弄2号1603</t>
  </si>
  <si>
    <t>温红珠</t>
  </si>
  <si>
    <t>徐汇区龙南七村8号601</t>
  </si>
  <si>
    <t>颜晓彪</t>
  </si>
  <si>
    <t>闵行区漕宝路1467弄九歌花园二期62号1001</t>
  </si>
  <si>
    <t>不具备测量条件</t>
  </si>
  <si>
    <t>0001765</t>
  </si>
  <si>
    <t>陈华兵</t>
  </si>
  <si>
    <t>青浦区巷居路99弄339号801</t>
  </si>
  <si>
    <t>宝山区塘祁路517弄滨江壹号36号302</t>
  </si>
  <si>
    <t>宋明德</t>
  </si>
  <si>
    <t>宝山区杨泰路99弄279号101</t>
  </si>
  <si>
    <t>泗泾店</t>
  </si>
  <si>
    <t>杨素兰</t>
  </si>
  <si>
    <t>闵行区华林路229弄10号1002</t>
  </si>
  <si>
    <t>0003633</t>
  </si>
  <si>
    <t>吴姝君</t>
  </si>
  <si>
    <t>长宁区金钟路428弄57号701</t>
  </si>
  <si>
    <t>李希敬</t>
  </si>
  <si>
    <t>闵行区5088弄11号501</t>
  </si>
  <si>
    <t>0002092</t>
  </si>
  <si>
    <t>杜立军</t>
  </si>
  <si>
    <t>第九城市一期31栋1301</t>
  </si>
  <si>
    <t>0001861</t>
  </si>
  <si>
    <t>郑玉鑫</t>
  </si>
  <si>
    <t>浦东新区康桥路1588弄28号1402</t>
  </si>
  <si>
    <t>巫希凌</t>
  </si>
  <si>
    <t>莲花路310弄古美八村25号401</t>
  </si>
  <si>
    <t>嘉定区临夏路999弄94号202</t>
  </si>
  <si>
    <t>石哲</t>
  </si>
  <si>
    <t>嘉定区新成路129弄嘉源30号501</t>
  </si>
  <si>
    <t>0002465</t>
  </si>
  <si>
    <t>高少峰</t>
  </si>
  <si>
    <t>华和路728弄42号701</t>
  </si>
  <si>
    <t>0002488</t>
  </si>
  <si>
    <t>顾佳音</t>
  </si>
  <si>
    <t>长宁区法华镇315弄8号501</t>
  </si>
  <si>
    <t>0001015</t>
  </si>
  <si>
    <t>周志超</t>
  </si>
  <si>
    <t>浦东区诚礼路298弄紫金九号21号701</t>
  </si>
  <si>
    <t>鲍毛毛</t>
  </si>
  <si>
    <t>诚礼路298弄紫金九号2期9号901</t>
  </si>
  <si>
    <t>0000984</t>
  </si>
  <si>
    <t>宝山区728弄42号301</t>
  </si>
  <si>
    <t>0002089</t>
  </si>
  <si>
    <t>大叶公路6288弄88号</t>
  </si>
  <si>
    <t>楚娟娟</t>
  </si>
  <si>
    <t>长寿路800弄25号502</t>
  </si>
  <si>
    <t>候普宁</t>
  </si>
  <si>
    <t>大名城紫金轩</t>
  </si>
  <si>
    <t>毛志东</t>
  </si>
  <si>
    <t>松江翔昆苑翔昆路150弄80号703</t>
  </si>
  <si>
    <t>曹卫康</t>
  </si>
  <si>
    <t>青浦区夏阳湖国际花园11号801</t>
  </si>
  <si>
    <t>杨锋华</t>
  </si>
  <si>
    <t>徐汇区龙吴路1323弄26号1504</t>
  </si>
  <si>
    <t>谢娟</t>
  </si>
  <si>
    <t>花桥镇北兆路11号凯德都会新峰8号701</t>
  </si>
  <si>
    <t>张瑞清</t>
  </si>
  <si>
    <t>李泽</t>
  </si>
  <si>
    <t>国和路500弄8号602室</t>
  </si>
  <si>
    <t>闵行区1330弄31号801</t>
  </si>
  <si>
    <t>俞超</t>
  </si>
  <si>
    <t>和炯路77弄2号1203</t>
  </si>
  <si>
    <t>已下单生产</t>
  </si>
  <si>
    <t>宝山区一二八纪念东路518弄15号701</t>
  </si>
  <si>
    <t>徐锋</t>
  </si>
  <si>
    <t>青浦区方家塘路33弄20号301</t>
  </si>
  <si>
    <t>李晓鸽</t>
  </si>
  <si>
    <t>宝山区蕴川路1498弄天馨芳园163号207</t>
  </si>
  <si>
    <t>万丽芬</t>
  </si>
  <si>
    <t>揽海路7弄1607</t>
  </si>
  <si>
    <t>0001016</t>
  </si>
  <si>
    <t>黄益江</t>
  </si>
  <si>
    <t>浦东区杨高中路1708弄罗山怡冒苑7号401</t>
  </si>
  <si>
    <t>0000985</t>
  </si>
  <si>
    <t>唐海青</t>
  </si>
  <si>
    <t>静安区泰兴路625弄6号302</t>
  </si>
  <si>
    <t>浦东新区潍坊西路2弄6号</t>
  </si>
  <si>
    <t>0004445</t>
  </si>
  <si>
    <t>朱清婧</t>
  </si>
  <si>
    <t>丁香路910弄2号1202</t>
  </si>
  <si>
    <t>0000647</t>
  </si>
  <si>
    <t>西营路62号403</t>
  </si>
  <si>
    <t>年后拆门测量</t>
  </si>
  <si>
    <t>施伟明</t>
  </si>
  <si>
    <t>普陀区武宁路200弄武宁小城62号301</t>
  </si>
  <si>
    <t>黄英</t>
  </si>
  <si>
    <t>宝山区顾北东路1805弄81号301</t>
  </si>
  <si>
    <t>0001634</t>
  </si>
  <si>
    <t>王新蕊</t>
  </si>
  <si>
    <t>杨浦区恒耀路66弄世纪江湾99号302</t>
  </si>
  <si>
    <t>张慧超</t>
  </si>
  <si>
    <t>伴亭路855弄象屿虹桥顺府35号1102</t>
  </si>
  <si>
    <t>曹洁</t>
  </si>
  <si>
    <t>虹口区天宝路466弄6号1203</t>
  </si>
  <si>
    <t>静安区富民路210弄2号</t>
  </si>
  <si>
    <t>龙惠芳</t>
  </si>
  <si>
    <t>徐汇区龙洋西路31弄石龙春晓</t>
  </si>
  <si>
    <t>未交房</t>
  </si>
  <si>
    <t>浦东区明月路188弄91号102</t>
  </si>
  <si>
    <t>赖沙</t>
  </si>
  <si>
    <t>方竹路785弄馨苑四期30号301</t>
  </si>
  <si>
    <t>方竹路789弄1号102</t>
  </si>
  <si>
    <t>方竹路789弄21号501</t>
  </si>
  <si>
    <t>林诺</t>
  </si>
  <si>
    <t>浦东新区竹柏路533弄临港首府8号602</t>
  </si>
  <si>
    <t>顾叶军</t>
  </si>
  <si>
    <t>青浦区朱家角镇沙港中路140弄62号102</t>
  </si>
  <si>
    <t>曹顺航</t>
  </si>
  <si>
    <t>春申路1888弄10号502</t>
  </si>
  <si>
    <t>虹口区广中路581弄12号302</t>
  </si>
  <si>
    <t>卢山</t>
  </si>
  <si>
    <t>浦驰路1336弄21号402</t>
  </si>
  <si>
    <t>宝山区罗太路869弄云麓之城81号702</t>
  </si>
  <si>
    <t>王静</t>
  </si>
  <si>
    <t>浦东新区城南路747弄4号101</t>
  </si>
  <si>
    <t>施晓树</t>
  </si>
  <si>
    <t>15021852100/13671868586</t>
  </si>
  <si>
    <t>浦东区锦绣路3088弄45号401</t>
  </si>
  <si>
    <t>蔡燕</t>
  </si>
  <si>
    <t>金山区东新村4020号</t>
  </si>
  <si>
    <t>张云静</t>
  </si>
  <si>
    <t>金齐路188弄21号302</t>
  </si>
  <si>
    <t>0002066</t>
  </si>
  <si>
    <t>唐艳芬</t>
  </si>
  <si>
    <t>浦东新区运盐河路1255弄1号303</t>
  </si>
  <si>
    <t>史美圣</t>
  </si>
  <si>
    <t>水月周庄88弄99号202</t>
  </si>
  <si>
    <t>叶剑</t>
  </si>
  <si>
    <t>龙州路425弄3号102室</t>
  </si>
  <si>
    <t>魏琛</t>
  </si>
  <si>
    <t>东新路99弄38号1802室</t>
  </si>
  <si>
    <t>威海路333弄2号1001室</t>
  </si>
  <si>
    <t>0001608</t>
  </si>
  <si>
    <t>奉贤区肖塘路146弄东康苑165号601</t>
  </si>
  <si>
    <t>纪隽</t>
  </si>
  <si>
    <t>闵行区1199弄74号201</t>
  </si>
  <si>
    <t>嘉定区金沙江路879弄67号401</t>
  </si>
  <si>
    <t>葛亮</t>
  </si>
  <si>
    <t>徐汇区华发路333弄78号501</t>
  </si>
  <si>
    <t>徐云磊</t>
  </si>
  <si>
    <t>祁连山路2233弄313号</t>
  </si>
  <si>
    <t>陈华琴</t>
  </si>
  <si>
    <t>诚礼路298弄紫金轩17号901</t>
  </si>
  <si>
    <t>曹顺强</t>
  </si>
  <si>
    <t>皇家花园998弄45号602</t>
  </si>
  <si>
    <t>穆洋</t>
  </si>
  <si>
    <t>浦东区三旋路506弄绿波小区13号2403</t>
  </si>
  <si>
    <t>王荣清</t>
  </si>
  <si>
    <t>凌北路256弄28号601</t>
  </si>
  <si>
    <t>袁婕</t>
  </si>
  <si>
    <t>大名城紫金</t>
  </si>
  <si>
    <t>庞忠伟</t>
  </si>
  <si>
    <t>嘉定区阳光里小区21号702</t>
  </si>
  <si>
    <t>樊健翔</t>
  </si>
  <si>
    <t>宝山区红林路99弄63号1401</t>
  </si>
  <si>
    <t>王建原</t>
  </si>
  <si>
    <t>宜山路655弄6号26</t>
  </si>
  <si>
    <t>周雅雯</t>
  </si>
  <si>
    <t>诚礼路紫金</t>
  </si>
  <si>
    <t>新华路 延安西路1030弄30号102</t>
  </si>
  <si>
    <t>店铺名称</t>
  </si>
  <si>
    <t>买单个数</t>
  </si>
  <si>
    <t>退单个数</t>
  </si>
  <si>
    <t>存单计数</t>
  </si>
  <si>
    <t>客户装修进度计数</t>
  </si>
  <si>
    <t>进度跟踪率</t>
  </si>
  <si>
    <t>已安排预测计数</t>
  </si>
  <si>
    <t>已安排精确计数</t>
  </si>
  <si>
    <t>未安排预、精测数</t>
  </si>
  <si>
    <t>未知进度</t>
  </si>
  <si>
    <t>*百安居*</t>
  </si>
  <si>
    <t>*真北*</t>
  </si>
  <si>
    <t>总计</t>
  </si>
  <si>
    <t xml:space="preserve">1月份设计师累计完成买单情况（2020.1.1-2020.1.9） </t>
  </si>
  <si>
    <t>筛选时间</t>
  </si>
  <si>
    <t>浦东分公司</t>
  </si>
  <si>
    <t>&gt;=2020/1/1</t>
  </si>
  <si>
    <t>主单数量</t>
  </si>
  <si>
    <t>主单总单值</t>
  </si>
  <si>
    <t>加项总单值</t>
  </si>
  <si>
    <t>平均单值</t>
  </si>
  <si>
    <t>所属店面</t>
  </si>
  <si>
    <t>&lt;=2020/1/31</t>
  </si>
  <si>
    <t>邹丽生</t>
  </si>
  <si>
    <t>浦西分公司</t>
  </si>
  <si>
    <t>宜山分公司</t>
  </si>
  <si>
    <t>沈仔洋</t>
  </si>
  <si>
    <t xml:space="preserve">1月份设计师累计完成买单情况（2020.1.1-2020.1.31） </t>
  </si>
  <si>
    <t>1月份设计师累计完成买单情况（2020.1.1~2020.1.31）</t>
  </si>
  <si>
    <t>12月份第一周设计师买单情况（2019.12.1-2019.12.8）</t>
  </si>
  <si>
    <t>筛选条件</t>
  </si>
  <si>
    <t>12月份第二周设计师买单情况（2019.12.9-2019.12.15）</t>
  </si>
  <si>
    <t>12月份第三周设计师买单情况（2019.12.16-2019.12.22）</t>
  </si>
  <si>
    <t>&gt;=2019/12/1</t>
  </si>
  <si>
    <t>&gt;=2019/12/9</t>
  </si>
  <si>
    <t>&gt;=2019/12/16</t>
  </si>
  <si>
    <t>买单数量</t>
  </si>
  <si>
    <t>&lt;=2019/12/8</t>
  </si>
  <si>
    <t>&lt;=2019/12/15</t>
  </si>
  <si>
    <t>&lt;=2019/12/22</t>
  </si>
  <si>
    <t>12月份第四周设计师买单情况（2019.12.23-2019.12.31）</t>
  </si>
  <si>
    <t>&gt;=2019/12/23</t>
  </si>
  <si>
    <t>&lt;=2019/12/31</t>
  </si>
  <si>
    <t>8月份第五周设计师买单情况（2019.8.26-2019.8.31）</t>
  </si>
  <si>
    <t>&gt;=2019/10/28</t>
  </si>
  <si>
    <t>&lt;=2019/10/31</t>
  </si>
  <si>
    <t>夏</t>
  </si>
  <si>
    <t>8月份第一周设计师买单情况（2019.8.1-2019.8.4）</t>
  </si>
  <si>
    <t>8月份第二周设计师买单情况（2019.8.5-2019.8.11）</t>
  </si>
  <si>
    <t>8月份第三周设计师买单情况（2019.8.12-2019.8.18）</t>
  </si>
  <si>
    <t>8月份第四周设计师买单情况（2019.8.19-2019.8.25）</t>
  </si>
  <si>
    <t>8月份设计师累计完成买单情况（2019.8.1-2019.8.31）</t>
  </si>
  <si>
    <t>所属店铺</t>
  </si>
  <si>
    <t>买单数</t>
  </si>
  <si>
    <t>买单金额</t>
  </si>
  <si>
    <t>时间</t>
  </si>
  <si>
    <t>总买单</t>
  </si>
  <si>
    <t>负责店面买单数</t>
  </si>
  <si>
    <t>负责店面买单</t>
  </si>
  <si>
    <t>负责店面买单单值</t>
  </si>
  <si>
    <t>负责店面买单占比</t>
  </si>
  <si>
    <t>非负责店面买单数</t>
  </si>
  <si>
    <t>非负责店面买单金额</t>
  </si>
  <si>
    <t>7月份店铺、设计师、导购买单统计</t>
  </si>
  <si>
    <t>店面</t>
  </si>
  <si>
    <t>店面买单数</t>
  </si>
  <si>
    <t>李泽然</t>
  </si>
  <si>
    <t>刘佳/龚小菊</t>
  </si>
  <si>
    <t>7月份第一周设计师买单情况（2019.7.1-2019.7.7）</t>
  </si>
  <si>
    <t>7月份第二周设计师买单情况（2019.7.8-2019.7.14）</t>
  </si>
  <si>
    <t>7月份第三周设计师买单情况（2019.7.15-2019.7.21）</t>
  </si>
  <si>
    <t>7月份第四周设计师买单情况（2019.7.22-2019.7.28）</t>
  </si>
  <si>
    <t>7月份第五周设计师买单情况（2019.7.29-2019.7.31）</t>
  </si>
  <si>
    <t>7月份设计师累计完成买单情况（2019.7.1-2019.7.30）</t>
  </si>
  <si>
    <t>7月份设计师累计完成买单情况（2019.7.1-2019.7.31）</t>
  </si>
  <si>
    <t>店铺、设计师、导购存单统计</t>
  </si>
  <si>
    <t>存单数</t>
  </si>
  <si>
    <t>店面存单数</t>
  </si>
  <si>
    <t>店铺</t>
  </si>
  <si>
    <t>家饰佳、兴力达</t>
  </si>
  <si>
    <t>家饰佳</t>
  </si>
  <si>
    <t>宜山经理</t>
  </si>
  <si>
    <t>金桥店、百安居</t>
  </si>
  <si>
    <t>同福店店长</t>
  </si>
  <si>
    <t>沪南店店长</t>
  </si>
  <si>
    <t>奉贤、金山、南汇、松江</t>
  </si>
  <si>
    <t>美美家自配</t>
  </si>
  <si>
    <t>设计总监</t>
  </si>
  <si>
    <t>兴明店自配</t>
  </si>
  <si>
    <t>松江店自配</t>
  </si>
  <si>
    <t>王志会</t>
  </si>
  <si>
    <t>吴坤庭</t>
  </si>
  <si>
    <t>姬生龙</t>
  </si>
  <si>
    <t>李红光</t>
  </si>
  <si>
    <t>李娇女</t>
  </si>
  <si>
    <t>谢兵（实习）</t>
  </si>
  <si>
    <t>青浦吉盛伟邦</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</si>
</sst>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yyyy/m/d;@"/>
    <numFmt numFmtId="177" formatCode="0.00_ "/>
    <numFmt numFmtId="178" formatCode="yyyy&quot;年&quot;m&quot;月&quot;d&quot;日&quot;;@"/>
  </numFmts>
  <fonts count="67">
    <font>
      <sz val="11"/>
      <color theme="1"/>
      <name val="宋体"/>
      <charset val="134"/>
      <scheme val="minor"/>
    </font>
    <font>
      <b/>
      <sz val="11"/>
      <color rgb="FFFEFEFE"/>
      <name val="微软雅黑"/>
      <charset val="134"/>
    </font>
    <font>
      <sz val="11"/>
      <color theme="1"/>
      <name val="微软雅黑"/>
      <charset val="134"/>
    </font>
    <font>
      <b/>
      <sz val="11"/>
      <color theme="1"/>
      <name val="微软雅黑"/>
      <charset val="134"/>
    </font>
    <font>
      <b/>
      <sz val="11"/>
      <color theme="0"/>
      <name val="宋体"/>
      <charset val="134"/>
      <scheme val="minor"/>
    </font>
    <font>
      <sz val="11"/>
      <name val="宋体"/>
      <charset val="134"/>
      <scheme val="minor"/>
    </font>
    <font>
      <b/>
      <sz val="11"/>
      <name val="宋体"/>
      <charset val="134"/>
      <scheme val="minor"/>
    </font>
    <font>
      <b/>
      <sz val="11"/>
      <color theme="1"/>
      <name val="宋体"/>
      <charset val="134"/>
      <scheme val="minor"/>
    </font>
    <font>
      <sz val="10"/>
      <color theme="1"/>
      <name val="微软雅黑"/>
      <charset val="134"/>
    </font>
    <font>
      <b/>
      <sz val="10"/>
      <color theme="0"/>
      <name val="微软雅黑"/>
      <charset val="134"/>
    </font>
    <font>
      <sz val="10"/>
      <name val="微软雅黑"/>
      <charset val="134"/>
    </font>
    <font>
      <b/>
      <sz val="11"/>
      <color theme="0"/>
      <name val="微软雅黑"/>
      <charset val="134"/>
    </font>
    <font>
      <b/>
      <sz val="11"/>
      <name val="微软雅黑"/>
      <charset val="134"/>
    </font>
    <font>
      <sz val="9"/>
      <name val="微软雅黑"/>
      <charset val="134"/>
    </font>
    <font>
      <b/>
      <sz val="14"/>
      <name val="微软雅黑"/>
      <charset val="134"/>
    </font>
    <font>
      <b/>
      <sz val="12"/>
      <color theme="0"/>
      <name val="微软雅黑"/>
      <charset val="134"/>
    </font>
    <font>
      <sz val="9"/>
      <color theme="1"/>
      <name val="宋体"/>
      <charset val="134"/>
    </font>
    <font>
      <sz val="9"/>
      <color theme="1"/>
      <name val="宋体"/>
      <charset val="134"/>
      <scheme val="minor"/>
    </font>
    <font>
      <sz val="9"/>
      <name val="宋体"/>
      <charset val="134"/>
    </font>
    <font>
      <b/>
      <sz val="9"/>
      <name val="宋体"/>
      <charset val="134"/>
    </font>
    <font>
      <sz val="9"/>
      <name val="宋体"/>
      <charset val="134"/>
      <scheme val="minor"/>
    </font>
    <font>
      <sz val="9"/>
      <color rgb="FF000000"/>
      <name val="宋体"/>
      <charset val="134"/>
    </font>
    <font>
      <sz val="9"/>
      <name val="Arial"/>
      <charset val="134"/>
    </font>
    <font>
      <sz val="9"/>
      <color rgb="FF000000"/>
      <name val="宋体"/>
      <charset val="134"/>
      <scheme val="minor"/>
    </font>
    <font>
      <b/>
      <sz val="9"/>
      <name val="宋体"/>
      <charset val="134"/>
      <scheme val="minor"/>
    </font>
    <font>
      <b/>
      <sz val="11"/>
      <color theme="1"/>
      <name val="楷体"/>
      <charset val="134"/>
    </font>
    <font>
      <sz val="9"/>
      <color rgb="FFFF0000"/>
      <name val="宋体"/>
      <charset val="134"/>
      <scheme val="minor"/>
    </font>
    <font>
      <sz val="10"/>
      <name val="宋体"/>
      <charset val="134"/>
    </font>
    <font>
      <sz val="9"/>
      <color theme="1"/>
      <name val="微软雅黑"/>
      <charset val="134"/>
    </font>
    <font>
      <sz val="9"/>
      <name val="等线"/>
      <charset val="134"/>
    </font>
    <font>
      <sz val="10"/>
      <color theme="1"/>
      <name val="宋体"/>
      <charset val="134"/>
      <scheme val="minor"/>
    </font>
    <font>
      <sz val="9"/>
      <color indexed="8"/>
      <name val="宋体"/>
      <charset val="134"/>
    </font>
    <font>
      <sz val="11"/>
      <color theme="1"/>
      <name val="Arial"/>
      <charset val="134"/>
    </font>
    <font>
      <sz val="10"/>
      <name val="宋体"/>
      <charset val="134"/>
      <scheme val="minor"/>
    </font>
    <font>
      <sz val="11"/>
      <color rgb="FF000000"/>
      <name val="宋体"/>
      <charset val="134"/>
    </font>
    <font>
      <sz val="9"/>
      <color theme="1"/>
      <name val="Arial"/>
      <charset val="134"/>
    </font>
    <font>
      <sz val="9"/>
      <color rgb="FFFF0000"/>
      <name val="宋体"/>
      <charset val="134"/>
    </font>
    <font>
      <sz val="9"/>
      <color rgb="FF000000"/>
      <name val="微软雅黑"/>
      <charset val="134"/>
    </font>
    <font>
      <sz val="11"/>
      <color theme="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theme="1"/>
      <name val="宋体"/>
      <charset val="0"/>
      <scheme val="minor"/>
    </font>
    <font>
      <sz val="11"/>
      <color rgb="FF9C6500"/>
      <name val="宋体"/>
      <charset val="0"/>
      <scheme val="minor"/>
    </font>
    <font>
      <sz val="11"/>
      <color rgb="FF3F3F76"/>
      <name val="宋体"/>
      <charset val="0"/>
      <scheme val="minor"/>
    </font>
    <font>
      <sz val="11"/>
      <color indexed="8"/>
      <name val="宋体"/>
      <charset val="134"/>
    </font>
    <font>
      <sz val="11"/>
      <color rgb="FF006100"/>
      <name val="宋体"/>
      <charset val="0"/>
      <scheme val="minor"/>
    </font>
    <font>
      <b/>
      <sz val="11"/>
      <color rgb="FF3F3F3F"/>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1"/>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sz val="10"/>
      <color rgb="FF000000"/>
      <name val="微软雅黑"/>
      <charset val="134"/>
    </font>
    <font>
      <sz val="10"/>
      <color indexed="8"/>
      <name val="微软雅黑"/>
      <charset val="134"/>
    </font>
    <font>
      <sz val="9"/>
      <color indexed="8"/>
      <name val="微软雅黑"/>
      <charset val="134"/>
    </font>
    <font>
      <sz val="9.75"/>
      <color indexed="8"/>
      <name val="微软雅黑"/>
      <charset val="134"/>
    </font>
    <font>
      <sz val="9.75"/>
      <color rgb="FF000000"/>
      <name val="微软雅黑"/>
      <charset val="134"/>
    </font>
    <font>
      <sz val="14.25"/>
      <color indexed="8"/>
      <name val="微软雅黑"/>
      <charset val="134"/>
    </font>
    <font>
      <sz val="10"/>
      <name val="MS Sans Serif"/>
      <charset val="0"/>
    </font>
    <font>
      <b/>
      <sz val="9"/>
      <name val="宋体"/>
      <charset val="134"/>
    </font>
    <font>
      <sz val="9"/>
      <name val="宋体"/>
      <charset val="134"/>
    </font>
  </fonts>
  <fills count="64">
    <fill>
      <patternFill patternType="none"/>
    </fill>
    <fill>
      <patternFill patternType="gray125"/>
    </fill>
    <fill>
      <patternFill patternType="solid">
        <fgColor rgb="FFA19FB7"/>
        <bgColor indexed="64"/>
      </patternFill>
    </fill>
    <fill>
      <patternFill patternType="solid">
        <fgColor rgb="FFF2F2F2"/>
        <bgColor indexed="64"/>
      </patternFill>
    </fill>
    <fill>
      <patternFill patternType="solid">
        <fgColor theme="5" tint="0.8"/>
        <bgColor indexed="64"/>
      </patternFill>
    </fill>
    <fill>
      <patternFill patternType="solid">
        <fgColor theme="8" tint="0.6"/>
        <bgColor indexed="64"/>
      </patternFill>
    </fill>
    <fill>
      <patternFill patternType="solid">
        <fgColor theme="4" tint="0.799981688894314"/>
        <bgColor theme="4" tint="0.799981688894314"/>
      </patternFill>
    </fill>
    <fill>
      <patternFill patternType="solid">
        <fgColor rgb="FF0070C0"/>
        <bgColor indexed="64"/>
      </patternFill>
    </fill>
    <fill>
      <patternFill patternType="solid">
        <fgColor theme="4"/>
        <bgColor indexed="64"/>
      </patternFill>
    </fill>
    <fill>
      <patternFill patternType="solid">
        <fgColor theme="2" tint="-0.1"/>
        <bgColor indexed="64"/>
      </patternFill>
    </fill>
    <fill>
      <patternFill patternType="solid">
        <fgColor theme="3" tint="0.8"/>
        <bgColor indexed="64"/>
      </patternFill>
    </fill>
    <fill>
      <patternFill patternType="solid">
        <fgColor theme="6" tint="0.8"/>
        <bgColor indexed="64"/>
      </patternFill>
    </fill>
    <fill>
      <patternFill patternType="solid">
        <fgColor theme="7" tint="0.8"/>
        <bgColor indexed="64"/>
      </patternFill>
    </fill>
    <fill>
      <patternFill patternType="solid">
        <fgColor theme="8" tint="0.8"/>
        <bgColor indexed="64"/>
      </patternFill>
    </fill>
    <fill>
      <patternFill patternType="solid">
        <fgColor theme="9" tint="0.8"/>
        <bgColor indexed="64"/>
      </patternFill>
    </fill>
    <fill>
      <patternFill patternType="solid">
        <fgColor theme="0" tint="-0.15"/>
        <bgColor indexed="64"/>
      </patternFill>
    </fill>
    <fill>
      <patternFill patternType="solid">
        <fgColor theme="4" tint="0.8"/>
        <bgColor indexed="64"/>
      </patternFill>
    </fill>
    <fill>
      <patternFill patternType="solid">
        <fgColor theme="4"/>
        <bgColor theme="4"/>
      </patternFill>
    </fill>
    <fill>
      <patternFill patternType="solid">
        <fgColor rgb="FFFFC000"/>
        <bgColor theme="4"/>
      </patternFill>
    </fill>
    <fill>
      <patternFill patternType="solid">
        <fgColor theme="9" tint="0.4"/>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8" tint="0.4"/>
        <bgColor indexed="64"/>
      </patternFill>
    </fill>
    <fill>
      <patternFill patternType="solid">
        <fgColor theme="8" tint="0.4"/>
        <bgColor theme="4"/>
      </patternFill>
    </fill>
    <fill>
      <patternFill patternType="solid">
        <fgColor theme="6" tint="0.6"/>
        <bgColor indexed="64"/>
      </patternFill>
    </fill>
    <fill>
      <patternFill patternType="solid">
        <fgColor theme="0" tint="-0.349986266670736"/>
        <bgColor indexed="64"/>
      </patternFill>
    </fill>
    <fill>
      <patternFill patternType="solid">
        <fgColor theme="4" tint="0.799981688894314"/>
        <bgColor indexed="64"/>
      </patternFill>
    </fill>
    <fill>
      <patternFill patternType="solid">
        <fgColor theme="3" tint="0.6"/>
        <bgColor indexed="64"/>
      </patternFill>
    </fill>
    <fill>
      <patternFill patternType="solid">
        <fgColor theme="8" tint="0.399884029663991"/>
        <bgColor indexed="64"/>
      </patternFill>
    </fill>
    <fill>
      <patternFill patternType="solid">
        <fgColor theme="9" tint="0.799981688894314"/>
        <bgColor indexed="64"/>
      </patternFill>
    </fill>
    <fill>
      <patternFill patternType="solid">
        <fgColor theme="7" tint="0.6"/>
        <bgColor indexed="64"/>
      </patternFill>
    </fill>
    <fill>
      <patternFill patternType="solid">
        <fgColor rgb="FFFFFF00"/>
        <bgColor indexed="64"/>
      </patternFill>
    </fill>
    <fill>
      <patternFill patternType="solid">
        <fgColor theme="0"/>
        <bgColor indexed="64"/>
      </patternFill>
    </fill>
    <fill>
      <patternFill patternType="solid">
        <fgColor indexed="13"/>
        <bgColor indexed="64"/>
      </patternFill>
    </fill>
    <fill>
      <patternFill patternType="solid">
        <fgColor indexed="9"/>
        <bgColor indexed="64"/>
      </patternFill>
    </fill>
    <fill>
      <patternFill patternType="solid">
        <fgColor theme="3"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799981688894314"/>
        <bgColor indexed="64"/>
      </patternFill>
    </fill>
  </fills>
  <borders count="74">
    <border>
      <left/>
      <right/>
      <top/>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bottom/>
      <diagonal/>
    </border>
    <border>
      <left style="thin">
        <color rgb="FFBFBFBF"/>
      </left>
      <right style="thin">
        <color rgb="FFBFBFBF"/>
      </right>
      <top/>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bottom/>
      <diagonal/>
    </border>
    <border>
      <left style="thin">
        <color rgb="FFBFBFBF"/>
      </left>
      <right style="medium">
        <color auto="1"/>
      </right>
      <top style="thin">
        <color rgb="FFBFBFBF"/>
      </top>
      <bottom style="thin">
        <color rgb="FFBFBFBF"/>
      </bottom>
      <diagonal/>
    </border>
    <border>
      <left style="thin">
        <color rgb="FFBFBFBF"/>
      </left>
      <right style="medium">
        <color auto="1"/>
      </right>
      <top style="thin">
        <color rgb="FFBFBFBF"/>
      </top>
      <bottom style="medium">
        <color auto="1"/>
      </bottom>
      <diagonal/>
    </border>
    <border>
      <left style="thin">
        <color rgb="FFBFBFBF"/>
      </left>
      <right style="medium">
        <color auto="1"/>
      </right>
      <top style="medium">
        <color auto="1"/>
      </top>
      <bottom style="medium">
        <color auto="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4" tint="0.399975585192419"/>
      </left>
      <right/>
      <top style="thin">
        <color theme="4" tint="0.399975585192419"/>
      </top>
      <bottom/>
      <diagonal/>
    </border>
    <border>
      <left/>
      <right/>
      <top style="thin">
        <color theme="4" tint="0.399975585192419"/>
      </top>
      <bottom/>
      <diagonal/>
    </border>
    <border>
      <left/>
      <right style="thin">
        <color theme="4" tint="0.399975585192419"/>
      </right>
      <top style="thin">
        <color theme="4" tint="0.399975585192419"/>
      </top>
      <bottom/>
      <diagonal/>
    </border>
    <border>
      <left/>
      <right style="thin">
        <color theme="4" tint="0.399975585192419"/>
      </right>
      <top style="thin">
        <color theme="4" tint="0.399975585192419"/>
      </top>
      <bottom style="thin">
        <color theme="4" tint="0.39997558519241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medium">
        <color auto="1"/>
      </bottom>
      <diagonal/>
    </border>
    <border>
      <left style="thin">
        <color rgb="FFBFBFBF"/>
      </left>
      <right style="thin">
        <color rgb="FFBFBFBF"/>
      </right>
      <top/>
      <bottom style="thin">
        <color rgb="FFBFBFB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left>
      <right/>
      <top style="thin">
        <color theme="4"/>
      </top>
      <bottom/>
      <diagonal/>
    </border>
    <border>
      <left/>
      <right/>
      <top style="thin">
        <color theme="4"/>
      </top>
      <bottom/>
      <diagonal/>
    </border>
    <border>
      <left style="medium">
        <color auto="1"/>
      </left>
      <right/>
      <top style="medium">
        <color auto="1"/>
      </top>
      <bottom/>
      <diagonal/>
    </border>
    <border>
      <left/>
      <right/>
      <top style="medium">
        <color auto="1"/>
      </top>
      <bottom/>
      <diagonal/>
    </border>
    <border>
      <left style="thin">
        <color theme="4"/>
      </left>
      <right/>
      <top style="thin">
        <color theme="4"/>
      </top>
      <bottom style="thin">
        <color theme="4"/>
      </bottom>
      <diagonal/>
    </border>
    <border>
      <left/>
      <right/>
      <top style="thin">
        <color theme="4"/>
      </top>
      <bottom style="thin">
        <color theme="4"/>
      </bottom>
      <diagonal/>
    </border>
    <border>
      <left style="medium">
        <color auto="1"/>
      </left>
      <right/>
      <top/>
      <bottom style="thin">
        <color theme="4"/>
      </bottom>
      <diagonal/>
    </border>
    <border>
      <left/>
      <right/>
      <top/>
      <bottom style="thin">
        <color theme="4"/>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thin">
        <color theme="4"/>
      </right>
      <top style="thin">
        <color theme="4"/>
      </top>
      <bottom/>
      <diagonal/>
    </border>
    <border>
      <left/>
      <right style="medium">
        <color auto="1"/>
      </right>
      <top/>
      <bottom style="thin">
        <color theme="4"/>
      </bottom>
      <diagonal/>
    </border>
    <border>
      <left style="thin">
        <color auto="1"/>
      </left>
      <right style="thin">
        <color auto="1"/>
      </right>
      <top/>
      <bottom style="thin">
        <color theme="4"/>
      </bottom>
      <diagonal/>
    </border>
    <border>
      <left/>
      <right style="thin">
        <color theme="4"/>
      </right>
      <top style="thin">
        <color theme="4"/>
      </top>
      <bottom style="thin">
        <color theme="4"/>
      </bottom>
      <diagonal/>
    </border>
    <border>
      <left/>
      <right style="medium">
        <color auto="1"/>
      </right>
      <top/>
      <bottom/>
      <diagonal/>
    </border>
    <border>
      <left style="thin">
        <color auto="1"/>
      </left>
      <right style="thin">
        <color auto="1"/>
      </right>
      <top style="thin">
        <color theme="4"/>
      </top>
      <bottom/>
      <diagonal/>
    </border>
    <border>
      <left style="thin">
        <color auto="1"/>
      </left>
      <right/>
      <top style="thin">
        <color auto="1"/>
      </top>
      <bottom/>
      <diagonal/>
    </border>
    <border>
      <left style="thin">
        <color auto="1"/>
      </left>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42" fillId="50" borderId="0" applyNumberFormat="0" applyBorder="0" applyAlignment="0" applyProtection="0">
      <alignment vertical="center"/>
    </xf>
    <xf numFmtId="0" fontId="44" fillId="47" borderId="6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2" fillId="43" borderId="0" applyNumberFormat="0" applyBorder="0" applyAlignment="0" applyProtection="0">
      <alignment vertical="center"/>
    </xf>
    <xf numFmtId="0" fontId="41" fillId="39" borderId="0" applyNumberFormat="0" applyBorder="0" applyAlignment="0" applyProtection="0">
      <alignment vertical="center"/>
    </xf>
    <xf numFmtId="43" fontId="0" fillId="0" borderId="0" applyFont="0" applyFill="0" applyBorder="0" applyAlignment="0" applyProtection="0">
      <alignment vertical="center"/>
    </xf>
    <xf numFmtId="0" fontId="38" fillId="38" borderId="0" applyNumberFormat="0" applyBorder="0" applyAlignment="0" applyProtection="0">
      <alignment vertical="center"/>
    </xf>
    <xf numFmtId="0" fontId="48" fillId="0" borderId="0" applyNumberFormat="0" applyFill="0" applyBorder="0" applyAlignment="0" applyProtection="0">
      <alignment vertical="center"/>
    </xf>
    <xf numFmtId="9" fontId="0"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51" borderId="69" applyNumberFormat="0" applyFont="0" applyAlignment="0" applyProtection="0">
      <alignment vertical="center"/>
    </xf>
    <xf numFmtId="0" fontId="38" fillId="55" borderId="0" applyNumberFormat="0" applyBorder="0" applyAlignment="0" applyProtection="0">
      <alignment vertical="center"/>
    </xf>
    <xf numFmtId="0" fontId="3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71" applyNumberFormat="0" applyFill="0" applyAlignment="0" applyProtection="0">
      <alignment vertical="center"/>
    </xf>
    <xf numFmtId="0" fontId="55" fillId="0" borderId="71" applyNumberFormat="0" applyFill="0" applyAlignment="0" applyProtection="0">
      <alignment vertical="center"/>
    </xf>
    <xf numFmtId="0" fontId="38" fillId="62" borderId="0" applyNumberFormat="0" applyBorder="0" applyAlignment="0" applyProtection="0">
      <alignment vertical="center"/>
    </xf>
    <xf numFmtId="0" fontId="39" fillId="0" borderId="66" applyNumberFormat="0" applyFill="0" applyAlignment="0" applyProtection="0">
      <alignment vertical="center"/>
    </xf>
    <xf numFmtId="0" fontId="38" fillId="54" borderId="0" applyNumberFormat="0" applyBorder="0" applyAlignment="0" applyProtection="0">
      <alignment vertical="center"/>
    </xf>
    <xf numFmtId="0" fontId="47" fillId="3" borderId="68" applyNumberFormat="0" applyAlignment="0" applyProtection="0">
      <alignment vertical="center"/>
    </xf>
    <xf numFmtId="0" fontId="57" fillId="3" borderId="67" applyNumberFormat="0" applyAlignment="0" applyProtection="0">
      <alignment vertical="center"/>
    </xf>
    <xf numFmtId="0" fontId="54" fillId="61" borderId="72" applyNumberFormat="0" applyAlignment="0" applyProtection="0">
      <alignment vertical="center"/>
    </xf>
    <xf numFmtId="0" fontId="42" fillId="30" borderId="0" applyNumberFormat="0" applyBorder="0" applyAlignment="0" applyProtection="0">
      <alignment vertical="center"/>
    </xf>
    <xf numFmtId="0" fontId="38" fillId="58" borderId="0" applyNumberFormat="0" applyBorder="0" applyAlignment="0" applyProtection="0">
      <alignment vertical="center"/>
    </xf>
    <xf numFmtId="0" fontId="56" fillId="0" borderId="73" applyNumberFormat="0" applyFill="0" applyAlignment="0" applyProtection="0">
      <alignment vertical="center"/>
    </xf>
    <xf numFmtId="0" fontId="51" fillId="0" borderId="70" applyNumberFormat="0" applyFill="0" applyAlignment="0" applyProtection="0">
      <alignment vertical="center"/>
    </xf>
    <xf numFmtId="0" fontId="46" fillId="49" borderId="0" applyNumberFormat="0" applyBorder="0" applyAlignment="0" applyProtection="0">
      <alignment vertical="center"/>
    </xf>
    <xf numFmtId="0" fontId="43" fillId="42" borderId="0" applyNumberFormat="0" applyBorder="0" applyAlignment="0" applyProtection="0">
      <alignment vertical="center"/>
    </xf>
    <xf numFmtId="0" fontId="42" fillId="48" borderId="0" applyNumberFormat="0" applyBorder="0" applyAlignment="0" applyProtection="0">
      <alignment vertical="center"/>
    </xf>
    <xf numFmtId="0" fontId="38" fillId="8" borderId="0" applyNumberFormat="0" applyBorder="0" applyAlignment="0" applyProtection="0">
      <alignment vertical="center"/>
    </xf>
    <xf numFmtId="0" fontId="42" fillId="27" borderId="0" applyNumberFormat="0" applyBorder="0" applyAlignment="0" applyProtection="0">
      <alignment vertical="center"/>
    </xf>
    <xf numFmtId="0" fontId="42" fillId="57" borderId="0" applyNumberFormat="0" applyBorder="0" applyAlignment="0" applyProtection="0">
      <alignment vertical="center"/>
    </xf>
    <xf numFmtId="0" fontId="42" fillId="63" borderId="0" applyNumberFormat="0" applyBorder="0" applyAlignment="0" applyProtection="0">
      <alignment vertical="center"/>
    </xf>
    <xf numFmtId="0" fontId="42" fillId="46" borderId="0" applyNumberFormat="0" applyBorder="0" applyAlignment="0" applyProtection="0">
      <alignment vertical="center"/>
    </xf>
    <xf numFmtId="0" fontId="38" fillId="41" borderId="0" applyNumberFormat="0" applyBorder="0" applyAlignment="0" applyProtection="0">
      <alignment vertical="center"/>
    </xf>
    <xf numFmtId="0" fontId="38" fillId="56" borderId="0" applyNumberFormat="0" applyBorder="0" applyAlignment="0" applyProtection="0">
      <alignment vertical="center"/>
    </xf>
    <xf numFmtId="0" fontId="42" fillId="40" borderId="0" applyNumberFormat="0" applyBorder="0" applyAlignment="0" applyProtection="0">
      <alignment vertical="center"/>
    </xf>
    <xf numFmtId="0" fontId="42" fillId="53" borderId="0" applyNumberFormat="0" applyBorder="0" applyAlignment="0" applyProtection="0">
      <alignment vertical="center"/>
    </xf>
    <xf numFmtId="0" fontId="38" fillId="45" borderId="0" applyNumberFormat="0" applyBorder="0" applyAlignment="0" applyProtection="0">
      <alignment vertical="center"/>
    </xf>
    <xf numFmtId="0" fontId="42" fillId="52" borderId="0" applyNumberFormat="0" applyBorder="0" applyAlignment="0" applyProtection="0">
      <alignment vertical="center"/>
    </xf>
    <xf numFmtId="0" fontId="38" fillId="37" borderId="0" applyNumberFormat="0" applyBorder="0" applyAlignment="0" applyProtection="0">
      <alignment vertical="center"/>
    </xf>
    <xf numFmtId="0" fontId="38" fillId="60" borderId="0" applyNumberFormat="0" applyBorder="0" applyAlignment="0" applyProtection="0">
      <alignment vertical="center"/>
    </xf>
    <xf numFmtId="0" fontId="42" fillId="44" borderId="0" applyNumberFormat="0" applyBorder="0" applyAlignment="0" applyProtection="0">
      <alignment vertical="center"/>
    </xf>
    <xf numFmtId="0" fontId="38" fillId="59" borderId="0" applyNumberFormat="0" applyBorder="0" applyAlignment="0" applyProtection="0">
      <alignment vertical="center"/>
    </xf>
    <xf numFmtId="0" fontId="45" fillId="0" borderId="0" applyProtection="0">
      <alignment vertical="center"/>
    </xf>
  </cellStyleXfs>
  <cellXfs count="550">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177" fontId="2" fillId="0" borderId="2" xfId="0" applyNumberFormat="1" applyFont="1" applyFill="1" applyBorder="1" applyAlignment="1">
      <alignment horizontal="center" vertical="center"/>
    </xf>
    <xf numFmtId="10" fontId="2" fillId="4" borderId="2"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3" borderId="6" xfId="0"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177" fontId="2" fillId="0" borderId="6" xfId="0" applyNumberFormat="1" applyFont="1" applyFill="1" applyBorder="1" applyAlignment="1">
      <alignment horizontal="center" vertical="center"/>
    </xf>
    <xf numFmtId="10" fontId="2" fillId="4"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0" fontId="2" fillId="3" borderId="8" xfId="0" applyNumberFormat="1" applyFont="1" applyFill="1" applyBorder="1" applyAlignment="1">
      <alignment horizontal="center" vertical="center"/>
    </xf>
    <xf numFmtId="0" fontId="2" fillId="0" borderId="8" xfId="0" applyNumberFormat="1" applyFont="1" applyFill="1" applyBorder="1" applyAlignment="1">
      <alignment horizontal="center" vertical="center"/>
    </xf>
    <xf numFmtId="177" fontId="2" fillId="0" borderId="8" xfId="0" applyNumberFormat="1" applyFont="1" applyFill="1" applyBorder="1" applyAlignment="1">
      <alignment horizontal="center" vertical="center"/>
    </xf>
    <xf numFmtId="10" fontId="2" fillId="4" borderId="8" xfId="0" applyNumberFormat="1" applyFont="1" applyFill="1" applyBorder="1" applyAlignment="1">
      <alignment horizontal="center" vertical="center"/>
    </xf>
    <xf numFmtId="0" fontId="2" fillId="0" borderId="5" xfId="0" applyFont="1" applyBorder="1" applyAlignment="1">
      <alignment horizontal="center" vertical="center"/>
    </xf>
    <xf numFmtId="0" fontId="2" fillId="0" borderId="9" xfId="0" applyNumberFormat="1" applyFont="1" applyFill="1" applyBorder="1" applyAlignment="1">
      <alignment horizontal="center" vertical="center"/>
    </xf>
    <xf numFmtId="0" fontId="2" fillId="3" borderId="10"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xf>
    <xf numFmtId="177" fontId="2" fillId="0" borderId="10" xfId="0" applyNumberFormat="1" applyFont="1" applyFill="1" applyBorder="1" applyAlignment="1">
      <alignment horizontal="center" vertical="center"/>
    </xf>
    <xf numFmtId="10" fontId="2" fillId="4" borderId="10" xfId="0" applyNumberFormat="1"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0" borderId="11" xfId="0" applyNumberFormat="1" applyFont="1" applyFill="1" applyBorder="1" applyAlignment="1">
      <alignment horizontal="center" vertical="center"/>
    </xf>
    <xf numFmtId="0" fontId="2" fillId="0" borderId="13" xfId="0" applyNumberFormat="1"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xf>
    <xf numFmtId="0" fontId="2" fillId="0" borderId="0" xfId="0" applyFont="1" applyAlignment="1">
      <alignment horizontal="center" vertical="center"/>
    </xf>
    <xf numFmtId="0" fontId="2" fillId="5" borderId="0" xfId="0" applyFont="1" applyFill="1" applyAlignment="1">
      <alignment horizontal="center" vertical="center"/>
    </xf>
    <xf numFmtId="0" fontId="2" fillId="0" borderId="0" xfId="0" applyNumberFormat="1" applyFont="1" applyAlignment="1">
      <alignment horizontal="center" vertical="center"/>
    </xf>
    <xf numFmtId="0" fontId="0" fillId="0" borderId="0" xfId="0" applyNumberFormat="1">
      <alignment vertical="center"/>
    </xf>
    <xf numFmtId="0" fontId="2" fillId="0" borderId="16" xfId="0" applyNumberFormat="1" applyFont="1" applyFill="1" applyBorder="1" applyAlignment="1">
      <alignment horizontal="center" vertical="center"/>
    </xf>
    <xf numFmtId="0" fontId="2" fillId="6" borderId="16" xfId="0" applyNumberFormat="1" applyFont="1" applyFill="1" applyBorder="1" applyAlignment="1">
      <alignment horizontal="center" vertical="center"/>
    </xf>
    <xf numFmtId="0" fontId="3" fillId="0" borderId="16" xfId="0" applyNumberFormat="1" applyFont="1" applyFill="1" applyBorder="1" applyAlignment="1">
      <alignment horizontal="center" vertical="center"/>
    </xf>
    <xf numFmtId="0" fontId="3" fillId="0" borderId="17" xfId="0" applyFont="1" applyFill="1" applyBorder="1" applyAlignment="1">
      <alignment horizontal="center" vertical="center"/>
    </xf>
    <xf numFmtId="0" fontId="0" fillId="0" borderId="0" xfId="0" applyAlignment="1">
      <alignment horizontal="center" vertical="center"/>
    </xf>
    <xf numFmtId="0" fontId="4" fillId="7" borderId="18" xfId="0" applyFont="1" applyFill="1" applyBorder="1" applyAlignment="1">
      <alignment horizontal="center" vertical="center"/>
    </xf>
    <xf numFmtId="0" fontId="4" fillId="8" borderId="18" xfId="0" applyFont="1" applyFill="1" applyBorder="1" applyAlignment="1">
      <alignment horizontal="center" vertical="center"/>
    </xf>
    <xf numFmtId="0" fontId="0" fillId="0" borderId="18" xfId="0" applyNumberFormat="1" applyBorder="1" applyAlignment="1">
      <alignment horizontal="center" vertical="center"/>
    </xf>
    <xf numFmtId="0" fontId="0" fillId="9" borderId="19" xfId="0" applyFill="1" applyBorder="1" applyAlignment="1">
      <alignment horizontal="center" vertical="center"/>
    </xf>
    <xf numFmtId="0" fontId="0" fillId="9" borderId="18" xfId="0" applyFill="1" applyBorder="1" applyAlignment="1">
      <alignment horizontal="center" vertical="center"/>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10" borderId="18" xfId="0" applyFill="1" applyBorder="1" applyAlignment="1">
      <alignment horizontal="center" vertical="center"/>
    </xf>
    <xf numFmtId="0" fontId="0" fillId="4" borderId="18" xfId="0" applyFill="1" applyBorder="1" applyAlignment="1">
      <alignment horizontal="center" vertical="center"/>
    </xf>
    <xf numFmtId="0" fontId="0" fillId="11" borderId="18" xfId="0" applyFill="1" applyBorder="1" applyAlignment="1">
      <alignment horizontal="center" vertical="center"/>
    </xf>
    <xf numFmtId="0" fontId="0" fillId="12" borderId="18" xfId="0" applyFill="1" applyBorder="1" applyAlignment="1">
      <alignment horizontal="center" vertical="center"/>
    </xf>
    <xf numFmtId="0" fontId="0" fillId="13" borderId="18" xfId="0" applyFill="1" applyBorder="1" applyAlignment="1">
      <alignment horizontal="center" vertical="center"/>
    </xf>
    <xf numFmtId="0" fontId="0" fillId="14" borderId="18" xfId="0" applyFill="1" applyBorder="1" applyAlignment="1">
      <alignment horizontal="center" vertical="center"/>
    </xf>
    <xf numFmtId="0" fontId="0" fillId="15" borderId="18" xfId="0" applyFill="1" applyBorder="1" applyAlignment="1">
      <alignment horizontal="center" vertical="center"/>
    </xf>
    <xf numFmtId="0" fontId="0" fillId="0" borderId="18" xfId="0" applyBorder="1" applyAlignment="1">
      <alignment horizontal="center" vertical="center"/>
    </xf>
    <xf numFmtId="0" fontId="0" fillId="16" borderId="18" xfId="0" applyFill="1" applyBorder="1" applyAlignment="1">
      <alignment horizontal="center" vertical="center"/>
    </xf>
    <xf numFmtId="0" fontId="5" fillId="12" borderId="18" xfId="0" applyFont="1" applyFill="1" applyBorder="1" applyAlignment="1">
      <alignment horizontal="center" vertical="center"/>
    </xf>
    <xf numFmtId="0" fontId="0" fillId="14" borderId="19" xfId="0" applyFill="1" applyBorder="1" applyAlignment="1">
      <alignment horizontal="center" vertical="center"/>
    </xf>
    <xf numFmtId="0" fontId="0" fillId="14" borderId="20" xfId="0" applyFill="1" applyBorder="1" applyAlignment="1">
      <alignment horizontal="center" vertical="center"/>
    </xf>
    <xf numFmtId="0" fontId="0" fillId="14" borderId="21" xfId="0" applyFill="1" applyBorder="1" applyAlignment="1">
      <alignment horizontal="center" vertical="center"/>
    </xf>
    <xf numFmtId="0" fontId="5" fillId="0" borderId="0" xfId="0" applyFont="1" applyAlignment="1">
      <alignment horizontal="center" vertical="center"/>
    </xf>
    <xf numFmtId="177" fontId="0" fillId="0" borderId="0" xfId="0" applyNumberFormat="1" applyAlignment="1">
      <alignment horizontal="center" vertical="center"/>
    </xf>
    <xf numFmtId="0" fontId="4" fillId="17" borderId="22" xfId="0" applyFont="1" applyFill="1" applyBorder="1" applyAlignment="1">
      <alignment horizontal="center" vertical="center"/>
    </xf>
    <xf numFmtId="0" fontId="4" fillId="17" borderId="23" xfId="0" applyFont="1" applyFill="1" applyBorder="1" applyAlignment="1">
      <alignment horizontal="center" vertical="center"/>
    </xf>
    <xf numFmtId="0" fontId="4" fillId="17" borderId="24" xfId="0" applyFont="1" applyFill="1" applyBorder="1" applyAlignment="1">
      <alignment horizontal="center" vertical="center"/>
    </xf>
    <xf numFmtId="0" fontId="6" fillId="18" borderId="18"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177" fontId="0" fillId="0" borderId="17" xfId="0" applyNumberFormat="1" applyFont="1" applyFill="1" applyBorder="1" applyAlignment="1">
      <alignment horizontal="center" vertical="center"/>
    </xf>
    <xf numFmtId="0" fontId="0" fillId="0" borderId="25" xfId="0" applyFont="1" applyFill="1" applyBorder="1" applyAlignment="1">
      <alignment horizontal="center" vertical="center"/>
    </xf>
    <xf numFmtId="0" fontId="0" fillId="6" borderId="16" xfId="0" applyFont="1" applyFill="1" applyBorder="1">
      <alignment vertical="center"/>
    </xf>
    <xf numFmtId="0" fontId="0" fillId="6" borderId="17" xfId="0" applyFont="1" applyFill="1" applyBorder="1" applyAlignment="1">
      <alignment horizontal="center" vertical="center"/>
    </xf>
    <xf numFmtId="177" fontId="0" fillId="6" borderId="17" xfId="0" applyNumberFormat="1" applyFont="1" applyFill="1" applyBorder="1" applyAlignment="1">
      <alignment horizontal="center" vertical="center"/>
    </xf>
    <xf numFmtId="0" fontId="0" fillId="6" borderId="25" xfId="0" applyFont="1" applyFill="1" applyBorder="1" applyAlignment="1">
      <alignment horizontal="center" vertical="center"/>
    </xf>
    <xf numFmtId="0" fontId="0" fillId="0" borderId="16" xfId="0" applyFont="1" applyFill="1" applyBorder="1">
      <alignment vertical="center"/>
    </xf>
    <xf numFmtId="0" fontId="4" fillId="17" borderId="16" xfId="0" applyFont="1" applyFill="1" applyBorder="1" applyAlignment="1">
      <alignment horizontal="center" vertical="center"/>
    </xf>
    <xf numFmtId="0" fontId="0" fillId="6" borderId="16" xfId="0" applyFont="1" applyFill="1" applyBorder="1" applyAlignment="1">
      <alignment horizontal="center" vertical="center"/>
    </xf>
    <xf numFmtId="0" fontId="7" fillId="19" borderId="18" xfId="0" applyFont="1" applyFill="1" applyBorder="1" applyAlignment="1">
      <alignment horizontal="center" vertical="center"/>
    </xf>
    <xf numFmtId="177" fontId="7" fillId="19" borderId="18" xfId="0" applyNumberFormat="1" applyFont="1" applyFill="1" applyBorder="1" applyAlignment="1">
      <alignment horizontal="center" vertical="center"/>
    </xf>
    <xf numFmtId="177" fontId="0" fillId="6" borderId="25" xfId="0" applyNumberFormat="1" applyFont="1" applyFill="1" applyBorder="1" applyAlignment="1">
      <alignment horizontal="center" vertical="center"/>
    </xf>
    <xf numFmtId="177" fontId="0" fillId="0" borderId="25" xfId="0" applyNumberFormat="1" applyFont="1" applyFill="1" applyBorder="1" applyAlignment="1">
      <alignment horizontal="center" vertical="center"/>
    </xf>
    <xf numFmtId="0" fontId="8" fillId="0" borderId="0" xfId="0" applyFont="1" applyAlignment="1">
      <alignment horizontal="center" vertical="center"/>
    </xf>
    <xf numFmtId="0" fontId="9" fillId="7" borderId="18" xfId="0" applyFont="1" applyFill="1" applyBorder="1" applyAlignment="1">
      <alignment horizontal="center" vertical="center"/>
    </xf>
    <xf numFmtId="0" fontId="9" fillId="7" borderId="19" xfId="0" applyFont="1" applyFill="1" applyBorder="1" applyAlignment="1">
      <alignment horizontal="center" vertical="center"/>
    </xf>
    <xf numFmtId="0" fontId="8" fillId="9" borderId="26" xfId="0" applyFont="1" applyFill="1" applyBorder="1" applyAlignment="1">
      <alignment horizontal="center" vertical="center"/>
    </xf>
    <xf numFmtId="0" fontId="8" fillId="9" borderId="27" xfId="0" applyFont="1" applyFill="1" applyBorder="1" applyAlignment="1">
      <alignment horizontal="center" vertical="center"/>
    </xf>
    <xf numFmtId="0" fontId="8" fillId="20" borderId="27" xfId="0" applyFont="1" applyFill="1" applyBorder="1" applyAlignment="1">
      <alignment horizontal="center" vertical="center"/>
    </xf>
    <xf numFmtId="0" fontId="8" fillId="9" borderId="28" xfId="0" applyFont="1" applyFill="1" applyBorder="1" applyAlignment="1">
      <alignment horizontal="center" vertical="center"/>
    </xf>
    <xf numFmtId="0" fontId="8" fillId="9" borderId="29" xfId="0" applyFont="1" applyFill="1" applyBorder="1" applyAlignment="1">
      <alignment horizontal="center" vertical="center"/>
    </xf>
    <xf numFmtId="0" fontId="8" fillId="9" borderId="18" xfId="0" applyFont="1" applyFill="1" applyBorder="1" applyAlignment="1">
      <alignment horizontal="center" vertical="center"/>
    </xf>
    <xf numFmtId="0" fontId="8" fillId="9" borderId="30" xfId="0" applyFont="1" applyFill="1" applyBorder="1" applyAlignment="1">
      <alignment horizontal="center" vertical="center"/>
    </xf>
    <xf numFmtId="0" fontId="8" fillId="20" borderId="18" xfId="0" applyFont="1" applyFill="1" applyBorder="1" applyAlignment="1">
      <alignment horizontal="center" vertical="center"/>
    </xf>
    <xf numFmtId="0" fontId="8" fillId="9" borderId="31" xfId="0" applyFont="1" applyFill="1" applyBorder="1" applyAlignment="1">
      <alignment horizontal="center" vertical="center"/>
    </xf>
    <xf numFmtId="0" fontId="8" fillId="9" borderId="32" xfId="0" applyFont="1" applyFill="1" applyBorder="1" applyAlignment="1">
      <alignment horizontal="center" vertical="center"/>
    </xf>
    <xf numFmtId="0" fontId="8" fillId="9" borderId="33" xfId="0" applyFont="1" applyFill="1" applyBorder="1" applyAlignment="1">
      <alignment horizontal="center" vertical="center"/>
    </xf>
    <xf numFmtId="0" fontId="8" fillId="10" borderId="26" xfId="0" applyFont="1" applyFill="1" applyBorder="1" applyAlignment="1">
      <alignment horizontal="center" vertical="center"/>
    </xf>
    <xf numFmtId="0" fontId="8" fillId="10" borderId="27" xfId="0" applyFont="1" applyFill="1" applyBorder="1" applyAlignment="1">
      <alignment horizontal="center" vertical="center"/>
    </xf>
    <xf numFmtId="0" fontId="8" fillId="10" borderId="28" xfId="0" applyFont="1" applyFill="1" applyBorder="1" applyAlignment="1">
      <alignment horizontal="center" vertical="center"/>
    </xf>
    <xf numFmtId="0" fontId="8" fillId="10" borderId="29" xfId="0" applyFont="1" applyFill="1" applyBorder="1" applyAlignment="1">
      <alignment horizontal="center" vertical="center"/>
    </xf>
    <xf numFmtId="0" fontId="8" fillId="10" borderId="18" xfId="0" applyFont="1" applyFill="1" applyBorder="1" applyAlignment="1">
      <alignment horizontal="center" vertical="center"/>
    </xf>
    <xf numFmtId="0" fontId="8" fillId="10" borderId="30" xfId="0" applyFont="1" applyFill="1" applyBorder="1" applyAlignment="1">
      <alignment horizontal="center" vertical="center"/>
    </xf>
    <xf numFmtId="0" fontId="8" fillId="10" borderId="31" xfId="0" applyFont="1" applyFill="1" applyBorder="1" applyAlignment="1">
      <alignment horizontal="center" vertical="center"/>
    </xf>
    <xf numFmtId="0" fontId="8" fillId="10" borderId="32" xfId="0" applyFont="1" applyFill="1" applyBorder="1" applyAlignment="1">
      <alignment horizontal="center" vertical="center"/>
    </xf>
    <xf numFmtId="0" fontId="8" fillId="10" borderId="33" xfId="0" applyFont="1" applyFill="1" applyBorder="1" applyAlignment="1">
      <alignment horizontal="center" vertical="center"/>
    </xf>
    <xf numFmtId="0" fontId="8" fillId="4" borderId="34" xfId="0" applyFont="1" applyFill="1" applyBorder="1" applyAlignment="1">
      <alignment horizontal="center" vertical="center"/>
    </xf>
    <xf numFmtId="0" fontId="8" fillId="4" borderId="27" xfId="0" applyFont="1" applyFill="1" applyBorder="1" applyAlignment="1">
      <alignment horizontal="center" vertical="center"/>
    </xf>
    <xf numFmtId="0" fontId="8" fillId="4" borderId="35" xfId="0" applyFont="1" applyFill="1" applyBorder="1" applyAlignment="1">
      <alignment horizontal="center" vertical="center"/>
    </xf>
    <xf numFmtId="0" fontId="8" fillId="4" borderId="36"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8" xfId="0" applyFont="1" applyFill="1" applyBorder="1" applyAlignment="1">
      <alignment horizontal="center" vertical="center"/>
    </xf>
    <xf numFmtId="0" fontId="8" fillId="4" borderId="32" xfId="0" applyFont="1" applyFill="1" applyBorder="1" applyAlignment="1">
      <alignment horizontal="center" vertical="center"/>
    </xf>
    <xf numFmtId="0" fontId="8" fillId="20" borderId="32" xfId="0" applyFont="1" applyFill="1" applyBorder="1" applyAlignment="1">
      <alignment horizontal="center" vertical="center"/>
    </xf>
    <xf numFmtId="0" fontId="8" fillId="4" borderId="39" xfId="0" applyFont="1" applyFill="1" applyBorder="1" applyAlignment="1">
      <alignment horizontal="center" vertical="center"/>
    </xf>
    <xf numFmtId="0" fontId="8" fillId="11" borderId="34" xfId="0" applyFont="1" applyFill="1" applyBorder="1" applyAlignment="1">
      <alignment horizontal="center" vertical="center"/>
    </xf>
    <xf numFmtId="0" fontId="8" fillId="11" borderId="27" xfId="0" applyNumberFormat="1" applyFont="1" applyFill="1" applyBorder="1" applyAlignment="1">
      <alignment horizontal="center" vertical="center"/>
    </xf>
    <xf numFmtId="0" fontId="8" fillId="11" borderId="27" xfId="0" applyFont="1" applyFill="1" applyBorder="1" applyAlignment="1">
      <alignment horizontal="center" vertical="center"/>
    </xf>
    <xf numFmtId="0" fontId="8" fillId="11" borderId="28" xfId="0" applyFont="1" applyFill="1" applyBorder="1" applyAlignment="1">
      <alignment horizontal="center" vertical="center"/>
    </xf>
    <xf numFmtId="0" fontId="8" fillId="11" borderId="36" xfId="0" applyFont="1" applyFill="1" applyBorder="1" applyAlignment="1">
      <alignment horizontal="center" vertical="center"/>
    </xf>
    <xf numFmtId="0" fontId="8" fillId="11" borderId="18" xfId="0" applyNumberFormat="1" applyFont="1" applyFill="1" applyBorder="1" applyAlignment="1">
      <alignment horizontal="center" vertical="center"/>
    </xf>
    <xf numFmtId="0" fontId="8" fillId="11" borderId="18" xfId="0" applyFont="1" applyFill="1" applyBorder="1" applyAlignment="1">
      <alignment horizontal="center" vertical="center"/>
    </xf>
    <xf numFmtId="0" fontId="8" fillId="20" borderId="18" xfId="0" applyNumberFormat="1" applyFont="1" applyFill="1" applyBorder="1" applyAlignment="1">
      <alignment horizontal="center" vertical="center"/>
    </xf>
    <xf numFmtId="0" fontId="8" fillId="11" borderId="30" xfId="0" applyFont="1" applyFill="1" applyBorder="1" applyAlignment="1">
      <alignment horizontal="center" vertical="center"/>
    </xf>
    <xf numFmtId="0" fontId="8" fillId="11" borderId="38" xfId="0" applyFont="1" applyFill="1" applyBorder="1" applyAlignment="1">
      <alignment horizontal="center" vertical="center"/>
    </xf>
    <xf numFmtId="0" fontId="8" fillId="11" borderId="32" xfId="0" applyNumberFormat="1" applyFont="1" applyFill="1" applyBorder="1" applyAlignment="1">
      <alignment horizontal="center" vertical="center"/>
    </xf>
    <xf numFmtId="0" fontId="8" fillId="11" borderId="32" xfId="0" applyFont="1" applyFill="1" applyBorder="1" applyAlignment="1">
      <alignment horizontal="center" vertical="center"/>
    </xf>
    <xf numFmtId="0" fontId="8" fillId="11" borderId="33" xfId="0" applyFont="1" applyFill="1" applyBorder="1" applyAlignment="1">
      <alignment horizontal="center" vertical="center"/>
    </xf>
    <xf numFmtId="0" fontId="8" fillId="12" borderId="26" xfId="0" applyFont="1" applyFill="1" applyBorder="1" applyAlignment="1">
      <alignment horizontal="center" vertical="center"/>
    </xf>
    <xf numFmtId="0" fontId="8" fillId="12" borderId="27" xfId="0" applyNumberFormat="1" applyFont="1" applyFill="1" applyBorder="1" applyAlignment="1">
      <alignment horizontal="center" vertical="center"/>
    </xf>
    <xf numFmtId="0" fontId="8" fillId="20" borderId="27" xfId="0" applyNumberFormat="1" applyFont="1" applyFill="1" applyBorder="1" applyAlignment="1">
      <alignment horizontal="center" vertical="center"/>
    </xf>
    <xf numFmtId="0" fontId="8" fillId="12" borderId="28" xfId="0" applyFont="1" applyFill="1" applyBorder="1" applyAlignment="1">
      <alignment horizontal="center" vertical="center"/>
    </xf>
    <xf numFmtId="0" fontId="8" fillId="12" borderId="31" xfId="0" applyFont="1" applyFill="1" applyBorder="1" applyAlignment="1">
      <alignment horizontal="center" vertical="center"/>
    </xf>
    <xf numFmtId="0" fontId="8" fillId="12" borderId="32" xfId="0" applyNumberFormat="1" applyFont="1" applyFill="1" applyBorder="1" applyAlignment="1">
      <alignment horizontal="center" vertical="center"/>
    </xf>
    <xf numFmtId="0" fontId="8" fillId="12" borderId="32" xfId="0" applyFont="1" applyFill="1" applyBorder="1" applyAlignment="1">
      <alignment horizontal="center" vertical="center"/>
    </xf>
    <xf numFmtId="0" fontId="8" fillId="12" borderId="33" xfId="0" applyFont="1" applyFill="1" applyBorder="1" applyAlignment="1">
      <alignment horizontal="center" vertical="center"/>
    </xf>
    <xf numFmtId="0" fontId="8" fillId="13" borderId="26" xfId="0" applyFont="1" applyFill="1" applyBorder="1" applyAlignment="1">
      <alignment horizontal="center" vertical="center"/>
    </xf>
    <xf numFmtId="0" fontId="8" fillId="13" borderId="27" xfId="0" applyNumberFormat="1" applyFont="1" applyFill="1" applyBorder="1" applyAlignment="1">
      <alignment horizontal="center" vertical="center"/>
    </xf>
    <xf numFmtId="0" fontId="8" fillId="13" borderId="27" xfId="0" applyFont="1" applyFill="1" applyBorder="1" applyAlignment="1">
      <alignment horizontal="center" vertical="center"/>
    </xf>
    <xf numFmtId="0" fontId="8" fillId="13" borderId="28" xfId="0" applyFont="1" applyFill="1" applyBorder="1" applyAlignment="1">
      <alignment horizontal="center" vertical="center"/>
    </xf>
    <xf numFmtId="0" fontId="8" fillId="13" borderId="29" xfId="0" applyFont="1" applyFill="1" applyBorder="1" applyAlignment="1">
      <alignment horizontal="center" vertical="center"/>
    </xf>
    <xf numFmtId="0" fontId="8" fillId="13" borderId="18" xfId="0" applyNumberFormat="1" applyFont="1" applyFill="1" applyBorder="1" applyAlignment="1">
      <alignment horizontal="center" vertical="center"/>
    </xf>
    <xf numFmtId="0" fontId="8" fillId="13" borderId="18" xfId="0" applyFont="1" applyFill="1" applyBorder="1" applyAlignment="1">
      <alignment horizontal="center" vertical="center"/>
    </xf>
    <xf numFmtId="0" fontId="8" fillId="13" borderId="30" xfId="0" applyFont="1" applyFill="1" applyBorder="1" applyAlignment="1">
      <alignment horizontal="center" vertical="center"/>
    </xf>
    <xf numFmtId="0" fontId="8" fillId="0" borderId="0" xfId="0" applyFont="1" applyBorder="1" applyAlignment="1">
      <alignment horizontal="center" vertical="center"/>
    </xf>
    <xf numFmtId="0" fontId="8" fillId="13" borderId="31" xfId="0" applyFont="1" applyFill="1" applyBorder="1" applyAlignment="1">
      <alignment horizontal="center" vertical="center"/>
    </xf>
    <xf numFmtId="0" fontId="8" fillId="13" borderId="32" xfId="0" applyFont="1" applyFill="1" applyBorder="1" applyAlignment="1">
      <alignment horizontal="center" vertical="center"/>
    </xf>
    <xf numFmtId="0" fontId="8" fillId="13" borderId="32" xfId="0" applyNumberFormat="1" applyFont="1" applyFill="1" applyBorder="1" applyAlignment="1">
      <alignment horizontal="center" vertical="center"/>
    </xf>
    <xf numFmtId="0" fontId="8" fillId="13" borderId="33" xfId="0" applyFont="1" applyFill="1" applyBorder="1" applyAlignment="1">
      <alignment horizontal="center" vertical="center"/>
    </xf>
    <xf numFmtId="0" fontId="8" fillId="14" borderId="26" xfId="0" applyFont="1" applyFill="1" applyBorder="1" applyAlignment="1">
      <alignment horizontal="center" vertical="center"/>
    </xf>
    <xf numFmtId="0" fontId="8" fillId="14" borderId="27" xfId="0" applyFont="1" applyFill="1" applyBorder="1" applyAlignment="1">
      <alignment horizontal="center" vertical="center"/>
    </xf>
    <xf numFmtId="0" fontId="8" fillId="14" borderId="27" xfId="0" applyNumberFormat="1" applyFont="1" applyFill="1" applyBorder="1" applyAlignment="1">
      <alignment horizontal="center" vertical="center"/>
    </xf>
    <xf numFmtId="0" fontId="8" fillId="14" borderId="28" xfId="0" applyFont="1" applyFill="1" applyBorder="1" applyAlignment="1">
      <alignment horizontal="center" vertical="center"/>
    </xf>
    <xf numFmtId="0" fontId="8" fillId="14" borderId="29" xfId="0" applyFont="1" applyFill="1" applyBorder="1" applyAlignment="1">
      <alignment horizontal="center" vertical="center"/>
    </xf>
    <xf numFmtId="0" fontId="8" fillId="14" borderId="18" xfId="0" applyFont="1" applyFill="1" applyBorder="1" applyAlignment="1">
      <alignment horizontal="center" vertical="center"/>
    </xf>
    <xf numFmtId="0" fontId="8" fillId="14" borderId="18" xfId="0" applyNumberFormat="1" applyFont="1" applyFill="1" applyBorder="1" applyAlignment="1">
      <alignment horizontal="center" vertical="center"/>
    </xf>
    <xf numFmtId="0" fontId="8" fillId="14" borderId="30" xfId="0" applyFont="1" applyFill="1" applyBorder="1" applyAlignment="1">
      <alignment horizontal="center" vertical="center"/>
    </xf>
    <xf numFmtId="0" fontId="8" fillId="14" borderId="31" xfId="0" applyFont="1" applyFill="1" applyBorder="1" applyAlignment="1">
      <alignment horizontal="center" vertical="center"/>
    </xf>
    <xf numFmtId="0" fontId="8" fillId="14" borderId="32" xfId="0" applyFont="1" applyFill="1" applyBorder="1" applyAlignment="1">
      <alignment horizontal="center" vertical="center"/>
    </xf>
    <xf numFmtId="0" fontId="8" fillId="14" borderId="32" xfId="0" applyNumberFormat="1" applyFont="1" applyFill="1" applyBorder="1" applyAlignment="1">
      <alignment horizontal="center" vertical="center"/>
    </xf>
    <xf numFmtId="0" fontId="8" fillId="14" borderId="33" xfId="0" applyFont="1" applyFill="1" applyBorder="1" applyAlignment="1">
      <alignment horizontal="center" vertical="center"/>
    </xf>
    <xf numFmtId="0" fontId="8" fillId="15" borderId="26" xfId="0" applyFont="1" applyFill="1" applyBorder="1" applyAlignment="1">
      <alignment horizontal="center" vertical="center"/>
    </xf>
    <xf numFmtId="0" fontId="8" fillId="15" borderId="27" xfId="0" applyNumberFormat="1" applyFont="1" applyFill="1" applyBorder="1" applyAlignment="1">
      <alignment horizontal="center" vertical="center"/>
    </xf>
    <xf numFmtId="0" fontId="8" fillId="15" borderId="27" xfId="0" applyFont="1" applyFill="1" applyBorder="1" applyAlignment="1">
      <alignment horizontal="center" vertical="center"/>
    </xf>
    <xf numFmtId="0" fontId="8" fillId="15" borderId="28" xfId="0" applyFont="1" applyFill="1" applyBorder="1" applyAlignment="1">
      <alignment horizontal="center" vertical="center"/>
    </xf>
    <xf numFmtId="0" fontId="8" fillId="15" borderId="29" xfId="0" applyFont="1" applyFill="1" applyBorder="1" applyAlignment="1">
      <alignment horizontal="center" vertical="center"/>
    </xf>
    <xf numFmtId="0" fontId="8" fillId="15" borderId="18" xfId="0" applyNumberFormat="1" applyFont="1" applyFill="1" applyBorder="1" applyAlignment="1">
      <alignment horizontal="center" vertical="center"/>
    </xf>
    <xf numFmtId="0" fontId="8" fillId="15" borderId="18" xfId="0" applyFont="1" applyFill="1" applyBorder="1" applyAlignment="1">
      <alignment horizontal="center" vertical="center"/>
    </xf>
    <xf numFmtId="0" fontId="8" fillId="15" borderId="30" xfId="0" applyFont="1" applyFill="1" applyBorder="1" applyAlignment="1">
      <alignment horizontal="center" vertical="center"/>
    </xf>
    <xf numFmtId="0" fontId="8" fillId="15" borderId="31" xfId="0" applyFont="1" applyFill="1" applyBorder="1" applyAlignment="1">
      <alignment horizontal="center" vertical="center"/>
    </xf>
    <xf numFmtId="0" fontId="8" fillId="15" borderId="32" xfId="0" applyFont="1" applyFill="1" applyBorder="1" applyAlignment="1">
      <alignment horizontal="center" vertical="center"/>
    </xf>
    <xf numFmtId="0" fontId="8" fillId="15" borderId="32" xfId="0" applyNumberFormat="1" applyFont="1" applyFill="1" applyBorder="1" applyAlignment="1">
      <alignment horizontal="center" vertical="center"/>
    </xf>
    <xf numFmtId="0" fontId="8" fillId="15" borderId="33" xfId="0" applyFont="1" applyFill="1" applyBorder="1" applyAlignment="1">
      <alignment horizontal="center" vertical="center"/>
    </xf>
    <xf numFmtId="0" fontId="8" fillId="10" borderId="27" xfId="0" applyNumberFormat="1" applyFont="1" applyFill="1" applyBorder="1" applyAlignment="1">
      <alignment horizontal="center" vertical="center"/>
    </xf>
    <xf numFmtId="0" fontId="8" fillId="10" borderId="18" xfId="0" applyNumberFormat="1" applyFont="1" applyFill="1" applyBorder="1" applyAlignment="1">
      <alignment horizontal="center" vertical="center"/>
    </xf>
    <xf numFmtId="0" fontId="8" fillId="10" borderId="32" xfId="0" applyNumberFormat="1" applyFont="1" applyFill="1" applyBorder="1" applyAlignment="1">
      <alignment horizontal="center" vertical="center"/>
    </xf>
    <xf numFmtId="0" fontId="8" fillId="12" borderId="27" xfId="0" applyFont="1" applyFill="1" applyBorder="1" applyAlignment="1">
      <alignment horizontal="center" vertical="center"/>
    </xf>
    <xf numFmtId="0" fontId="8" fillId="12" borderId="29" xfId="0" applyFont="1" applyFill="1" applyBorder="1" applyAlignment="1">
      <alignment horizontal="center" vertical="center"/>
    </xf>
    <xf numFmtId="0" fontId="8" fillId="12" borderId="18" xfId="0" applyNumberFormat="1" applyFont="1" applyFill="1" applyBorder="1" applyAlignment="1">
      <alignment horizontal="center" vertical="center"/>
    </xf>
    <xf numFmtId="0" fontId="8" fillId="12" borderId="18" xfId="0" applyFont="1" applyFill="1" applyBorder="1" applyAlignment="1">
      <alignment horizontal="center" vertical="center"/>
    </xf>
    <xf numFmtId="0" fontId="8" fillId="12" borderId="30" xfId="0" applyFont="1" applyFill="1" applyBorder="1" applyAlignment="1">
      <alignment horizontal="center" vertical="center"/>
    </xf>
    <xf numFmtId="0" fontId="8" fillId="11" borderId="26" xfId="0" applyFont="1" applyFill="1" applyBorder="1" applyAlignment="1">
      <alignment horizontal="center" vertical="center"/>
    </xf>
    <xf numFmtId="0" fontId="8" fillId="11" borderId="29" xfId="0" applyFont="1" applyFill="1" applyBorder="1" applyAlignment="1">
      <alignment horizontal="center" vertical="center"/>
    </xf>
    <xf numFmtId="0" fontId="8" fillId="11" borderId="31" xfId="0" applyFont="1" applyFill="1" applyBorder="1" applyAlignment="1">
      <alignment horizontal="center" vertical="center"/>
    </xf>
    <xf numFmtId="0" fontId="8" fillId="16" borderId="26" xfId="0" applyFont="1" applyFill="1" applyBorder="1" applyAlignment="1">
      <alignment horizontal="center" vertical="center"/>
    </xf>
    <xf numFmtId="0" fontId="8" fillId="16" borderId="27" xfId="0" applyNumberFormat="1" applyFont="1" applyFill="1" applyBorder="1" applyAlignment="1">
      <alignment horizontal="center" vertical="center"/>
    </xf>
    <xf numFmtId="0" fontId="8" fillId="16" borderId="27" xfId="0" applyFont="1" applyFill="1" applyBorder="1" applyAlignment="1">
      <alignment horizontal="center" vertical="center"/>
    </xf>
    <xf numFmtId="0" fontId="8" fillId="16" borderId="28" xfId="0" applyFont="1" applyFill="1" applyBorder="1" applyAlignment="1">
      <alignment horizontal="center" vertical="center"/>
    </xf>
    <xf numFmtId="0" fontId="8" fillId="16" borderId="29" xfId="0" applyFont="1" applyFill="1" applyBorder="1" applyAlignment="1">
      <alignment horizontal="center" vertical="center"/>
    </xf>
    <xf numFmtId="0" fontId="8" fillId="16" borderId="18" xfId="0" applyNumberFormat="1" applyFont="1" applyFill="1" applyBorder="1" applyAlignment="1">
      <alignment horizontal="center" vertical="center"/>
    </xf>
    <xf numFmtId="0" fontId="8" fillId="16" borderId="30" xfId="0" applyFont="1" applyFill="1" applyBorder="1" applyAlignment="1">
      <alignment horizontal="center" vertical="center"/>
    </xf>
    <xf numFmtId="0" fontId="8" fillId="16" borderId="18" xfId="0" applyFont="1" applyFill="1" applyBorder="1" applyAlignment="1">
      <alignment horizontal="center" vertical="center"/>
    </xf>
    <xf numFmtId="0" fontId="8" fillId="16" borderId="31" xfId="0" applyFont="1" applyFill="1" applyBorder="1" applyAlignment="1">
      <alignment horizontal="center" vertical="center"/>
    </xf>
    <xf numFmtId="0" fontId="8" fillId="16" borderId="32" xfId="0" applyNumberFormat="1" applyFont="1" applyFill="1" applyBorder="1" applyAlignment="1">
      <alignment horizontal="center" vertical="center"/>
    </xf>
    <xf numFmtId="0" fontId="8" fillId="16" borderId="32" xfId="0" applyFont="1" applyFill="1" applyBorder="1" applyAlignment="1">
      <alignment horizontal="center" vertical="center"/>
    </xf>
    <xf numFmtId="0" fontId="8" fillId="16" borderId="33" xfId="0" applyFont="1" applyFill="1" applyBorder="1" applyAlignment="1">
      <alignment horizontal="center" vertical="center"/>
    </xf>
    <xf numFmtId="0" fontId="8" fillId="20" borderId="32" xfId="0" applyNumberFormat="1" applyFont="1" applyFill="1" applyBorder="1" applyAlignment="1">
      <alignment horizontal="center" vertical="center"/>
    </xf>
    <xf numFmtId="0" fontId="8" fillId="4" borderId="26" xfId="0" applyFont="1" applyFill="1" applyBorder="1" applyAlignment="1">
      <alignment horizontal="center" vertical="center"/>
    </xf>
    <xf numFmtId="0" fontId="8" fillId="4" borderId="27" xfId="0" applyNumberFormat="1" applyFont="1" applyFill="1" applyBorder="1" applyAlignment="1">
      <alignment horizontal="center" vertical="center"/>
    </xf>
    <xf numFmtId="0" fontId="8" fillId="4" borderId="28" xfId="0" applyFont="1" applyFill="1" applyBorder="1" applyAlignment="1">
      <alignment horizontal="center" vertical="center"/>
    </xf>
    <xf numFmtId="0" fontId="8" fillId="4" borderId="29" xfId="0" applyFont="1" applyFill="1" applyBorder="1" applyAlignment="1">
      <alignment horizontal="center" vertical="center"/>
    </xf>
    <xf numFmtId="0" fontId="8" fillId="4" borderId="18" xfId="0" applyNumberFormat="1" applyFont="1" applyFill="1" applyBorder="1" applyAlignment="1">
      <alignment horizontal="center" vertical="center"/>
    </xf>
    <xf numFmtId="0" fontId="8" fillId="4" borderId="30" xfId="0" applyFont="1" applyFill="1" applyBorder="1" applyAlignment="1">
      <alignment horizontal="center" vertical="center"/>
    </xf>
    <xf numFmtId="0" fontId="8" fillId="4" borderId="31" xfId="0" applyFont="1" applyFill="1" applyBorder="1" applyAlignment="1">
      <alignment horizontal="center" vertical="center"/>
    </xf>
    <xf numFmtId="0" fontId="8" fillId="4" borderId="32" xfId="0" applyNumberFormat="1" applyFont="1" applyFill="1" applyBorder="1" applyAlignment="1">
      <alignment horizontal="center" vertical="center"/>
    </xf>
    <xf numFmtId="0" fontId="8" fillId="4" borderId="33" xfId="0" applyFont="1" applyFill="1" applyBorder="1" applyAlignment="1">
      <alignment horizontal="center" vertical="center"/>
    </xf>
    <xf numFmtId="0" fontId="10" fillId="12" borderId="26" xfId="0" applyFont="1" applyFill="1" applyBorder="1" applyAlignment="1">
      <alignment horizontal="center" vertical="center"/>
    </xf>
    <xf numFmtId="0" fontId="10" fillId="12" borderId="27" xfId="0" applyNumberFormat="1" applyFont="1" applyFill="1" applyBorder="1" applyAlignment="1">
      <alignment horizontal="center" vertical="center"/>
    </xf>
    <xf numFmtId="0" fontId="10" fillId="12" borderId="27" xfId="0" applyFont="1" applyFill="1" applyBorder="1" applyAlignment="1">
      <alignment horizontal="center" vertical="center"/>
    </xf>
    <xf numFmtId="0" fontId="10" fillId="12" borderId="28" xfId="0" applyFont="1" applyFill="1" applyBorder="1" applyAlignment="1">
      <alignment horizontal="center" vertical="center"/>
    </xf>
    <xf numFmtId="0" fontId="10" fillId="12" borderId="29" xfId="0" applyFont="1" applyFill="1" applyBorder="1" applyAlignment="1">
      <alignment horizontal="center" vertical="center"/>
    </xf>
    <xf numFmtId="0" fontId="10" fillId="12" borderId="18" xfId="0" applyNumberFormat="1" applyFont="1" applyFill="1" applyBorder="1" applyAlignment="1">
      <alignment horizontal="center" vertical="center"/>
    </xf>
    <xf numFmtId="0" fontId="10" fillId="12" borderId="18" xfId="0" applyFont="1" applyFill="1" applyBorder="1" applyAlignment="1">
      <alignment horizontal="center" vertical="center"/>
    </xf>
    <xf numFmtId="0" fontId="10" fillId="12" borderId="30" xfId="0" applyFont="1" applyFill="1" applyBorder="1" applyAlignment="1">
      <alignment horizontal="center" vertical="center"/>
    </xf>
    <xf numFmtId="0" fontId="10" fillId="20" borderId="18" xfId="0" applyNumberFormat="1" applyFont="1" applyFill="1" applyBorder="1" applyAlignment="1">
      <alignment horizontal="center" vertical="center"/>
    </xf>
    <xf numFmtId="0" fontId="10" fillId="20" borderId="18" xfId="0" applyFont="1" applyFill="1" applyBorder="1" applyAlignment="1">
      <alignment horizontal="center" vertical="center"/>
    </xf>
    <xf numFmtId="0" fontId="10" fillId="12" borderId="31" xfId="0" applyFont="1" applyFill="1" applyBorder="1" applyAlignment="1">
      <alignment horizontal="center" vertical="center"/>
    </xf>
    <xf numFmtId="0" fontId="10" fillId="12" borderId="32" xfId="0" applyFont="1" applyFill="1" applyBorder="1" applyAlignment="1">
      <alignment horizontal="center" vertical="center"/>
    </xf>
    <xf numFmtId="0" fontId="10" fillId="12" borderId="32" xfId="0" applyNumberFormat="1" applyFont="1" applyFill="1" applyBorder="1" applyAlignment="1">
      <alignment horizontal="center" vertical="center"/>
    </xf>
    <xf numFmtId="0" fontId="10" fillId="12" borderId="33" xfId="0" applyFont="1" applyFill="1" applyBorder="1" applyAlignment="1">
      <alignment horizontal="center" vertical="center"/>
    </xf>
    <xf numFmtId="0" fontId="8" fillId="14" borderId="40" xfId="0" applyFont="1" applyFill="1" applyBorder="1" applyAlignment="1">
      <alignment horizontal="center" vertical="center"/>
    </xf>
    <xf numFmtId="0" fontId="8" fillId="14" borderId="19" xfId="0" applyFont="1" applyFill="1" applyBorder="1" applyAlignment="1">
      <alignment horizontal="center" vertical="center"/>
    </xf>
    <xf numFmtId="0" fontId="8" fillId="14" borderId="19" xfId="0" applyNumberFormat="1" applyFont="1" applyFill="1" applyBorder="1" applyAlignment="1">
      <alignment horizontal="center" vertical="center"/>
    </xf>
    <xf numFmtId="0" fontId="8" fillId="14" borderId="41" xfId="0" applyFont="1" applyFill="1" applyBorder="1" applyAlignment="1">
      <alignment horizontal="center" vertical="center"/>
    </xf>
    <xf numFmtId="0" fontId="8" fillId="0" borderId="34" xfId="0" applyNumberFormat="1" applyFont="1" applyBorder="1" applyAlignment="1">
      <alignment horizontal="center" vertical="center"/>
    </xf>
    <xf numFmtId="0" fontId="8" fillId="0" borderId="42" xfId="0" applyNumberFormat="1" applyFont="1" applyBorder="1" applyAlignment="1">
      <alignment horizontal="center" vertical="center"/>
    </xf>
    <xf numFmtId="0" fontId="8" fillId="0" borderId="42" xfId="0" applyFont="1" applyBorder="1" applyAlignment="1">
      <alignment horizontal="center" vertical="center"/>
    </xf>
    <xf numFmtId="0" fontId="8" fillId="0" borderId="35" xfId="0" applyFont="1" applyBorder="1" applyAlignment="1">
      <alignment horizontal="center" vertical="center"/>
    </xf>
    <xf numFmtId="0" fontId="8" fillId="0" borderId="38" xfId="0" applyNumberFormat="1" applyFont="1" applyBorder="1" applyAlignment="1">
      <alignment horizontal="center" vertical="center"/>
    </xf>
    <xf numFmtId="0" fontId="8" fillId="0" borderId="43" xfId="0" applyFont="1" applyBorder="1" applyAlignment="1">
      <alignment horizontal="center" vertical="center"/>
    </xf>
    <xf numFmtId="0" fontId="8" fillId="0" borderId="43" xfId="0" applyNumberFormat="1" applyFont="1" applyBorder="1" applyAlignment="1">
      <alignment horizontal="center" vertical="center"/>
    </xf>
    <xf numFmtId="0" fontId="8" fillId="0" borderId="39" xfId="0" applyFont="1" applyBorder="1" applyAlignment="1">
      <alignment horizontal="center" vertical="center"/>
    </xf>
    <xf numFmtId="0" fontId="1" fillId="2" borderId="44" xfId="0" applyFont="1" applyFill="1" applyBorder="1" applyAlignment="1">
      <alignment horizontal="center" vertical="center"/>
    </xf>
    <xf numFmtId="0" fontId="3" fillId="0" borderId="6" xfId="0" applyFont="1" applyFill="1" applyBorder="1" applyAlignment="1">
      <alignment horizontal="center" vertical="center"/>
    </xf>
    <xf numFmtId="0" fontId="3" fillId="3" borderId="6" xfId="0" applyFont="1" applyFill="1" applyBorder="1" applyAlignment="1">
      <alignment horizontal="center" vertical="center"/>
    </xf>
    <xf numFmtId="0" fontId="2" fillId="0" borderId="6" xfId="0" applyFont="1" applyFill="1" applyBorder="1" applyAlignment="1">
      <alignment horizontal="center" vertical="center"/>
    </xf>
    <xf numFmtId="0" fontId="2" fillId="3" borderId="6" xfId="0" applyFont="1" applyFill="1" applyBorder="1" applyAlignment="1">
      <alignment horizontal="center" vertical="center"/>
    </xf>
    <xf numFmtId="0" fontId="2" fillId="21" borderId="6" xfId="0" applyFont="1" applyFill="1" applyBorder="1" applyAlignment="1">
      <alignment horizontal="center" vertical="center"/>
    </xf>
    <xf numFmtId="0" fontId="1" fillId="2" borderId="0" xfId="0" applyFont="1" applyFill="1" applyAlignment="1">
      <alignment horizontal="center" vertical="center"/>
    </xf>
    <xf numFmtId="0" fontId="3" fillId="3" borderId="0" xfId="0" applyFont="1" applyFill="1" applyAlignment="1">
      <alignment horizontal="center" vertical="center"/>
    </xf>
    <xf numFmtId="0" fontId="2" fillId="3" borderId="0" xfId="0" applyFont="1" applyFill="1" applyAlignment="1">
      <alignment horizontal="center" vertical="center"/>
    </xf>
    <xf numFmtId="0" fontId="2" fillId="21" borderId="0" xfId="0" applyFont="1" applyFill="1" applyAlignment="1">
      <alignment horizontal="center" vertical="center"/>
    </xf>
    <xf numFmtId="177"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2" fillId="0" borderId="0" xfId="0" applyFont="1" applyBorder="1" applyAlignment="1">
      <alignment horizontal="center" vertical="center"/>
    </xf>
    <xf numFmtId="0" fontId="11" fillId="17" borderId="22" xfId="0" applyFont="1" applyFill="1" applyBorder="1" applyAlignment="1">
      <alignment horizontal="center" vertical="center"/>
    </xf>
    <xf numFmtId="0" fontId="11" fillId="17" borderId="23" xfId="0" applyFont="1" applyFill="1" applyBorder="1" applyAlignment="1">
      <alignment horizontal="center" vertical="center"/>
    </xf>
    <xf numFmtId="0" fontId="11" fillId="17" borderId="0" xfId="0" applyFont="1" applyFill="1" applyBorder="1" applyAlignment="1">
      <alignment horizontal="center" vertical="center"/>
    </xf>
    <xf numFmtId="0" fontId="11" fillId="17" borderId="24" xfId="0" applyFont="1" applyFill="1" applyBorder="1" applyAlignment="1">
      <alignment horizontal="center" vertical="center"/>
    </xf>
    <xf numFmtId="0" fontId="12" fillId="18" borderId="18"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Fill="1" applyBorder="1" applyAlignment="1">
      <alignment horizontal="center" vertical="center"/>
    </xf>
    <xf numFmtId="177" fontId="2" fillId="0" borderId="17" xfId="0" applyNumberFormat="1" applyFont="1" applyFill="1" applyBorder="1" applyAlignment="1">
      <alignment horizontal="center" vertical="center"/>
    </xf>
    <xf numFmtId="0" fontId="2" fillId="0" borderId="25" xfId="0" applyFont="1" applyFill="1" applyBorder="1" applyAlignment="1">
      <alignment horizontal="center" vertical="center"/>
    </xf>
    <xf numFmtId="0" fontId="2" fillId="6" borderId="17" xfId="0" applyFont="1" applyFill="1" applyBorder="1" applyAlignment="1">
      <alignment horizontal="center" vertical="center"/>
    </xf>
    <xf numFmtId="177" fontId="2" fillId="6" borderId="17" xfId="0" applyNumberFormat="1" applyFont="1" applyFill="1" applyBorder="1" applyAlignment="1">
      <alignment horizontal="center" vertical="center"/>
    </xf>
    <xf numFmtId="0" fontId="2" fillId="6" borderId="25" xfId="0" applyFont="1" applyFill="1" applyBorder="1" applyAlignment="1">
      <alignment horizontal="center" vertical="center"/>
    </xf>
    <xf numFmtId="0" fontId="11" fillId="17" borderId="16" xfId="0" applyFont="1" applyFill="1" applyBorder="1" applyAlignment="1">
      <alignment horizontal="center" vertical="center"/>
    </xf>
    <xf numFmtId="0" fontId="2" fillId="6" borderId="16" xfId="0" applyFont="1" applyFill="1" applyBorder="1" applyAlignment="1">
      <alignment horizontal="center" vertical="center"/>
    </xf>
    <xf numFmtId="0" fontId="3" fillId="19" borderId="18" xfId="0" applyFont="1" applyFill="1" applyBorder="1" applyAlignment="1">
      <alignment horizontal="center" vertical="center"/>
    </xf>
    <xf numFmtId="177" fontId="3" fillId="19" borderId="18" xfId="0" applyNumberFormat="1" applyFont="1" applyFill="1" applyBorder="1" applyAlignment="1">
      <alignment horizontal="center" vertical="center"/>
    </xf>
    <xf numFmtId="177" fontId="2" fillId="6" borderId="25" xfId="0" applyNumberFormat="1" applyFont="1" applyFill="1" applyBorder="1" applyAlignment="1">
      <alignment horizontal="center" vertical="center"/>
    </xf>
    <xf numFmtId="177" fontId="2" fillId="0" borderId="25" xfId="0" applyNumberFormat="1" applyFont="1" applyFill="1" applyBorder="1" applyAlignment="1">
      <alignment horizontal="center" vertical="center"/>
    </xf>
    <xf numFmtId="0" fontId="2" fillId="0" borderId="0" xfId="0" applyFont="1" applyFill="1" applyAlignment="1">
      <alignment horizontal="center" vertical="center"/>
    </xf>
    <xf numFmtId="177" fontId="2" fillId="0" borderId="0" xfId="0" applyNumberFormat="1" applyFont="1" applyFill="1" applyAlignment="1">
      <alignment horizontal="center" vertical="center"/>
    </xf>
    <xf numFmtId="0" fontId="2" fillId="6" borderId="0" xfId="0" applyFont="1" applyFill="1" applyAlignment="1">
      <alignment horizontal="center" vertical="center"/>
    </xf>
    <xf numFmtId="0" fontId="2" fillId="0" borderId="0" xfId="0" applyFont="1">
      <alignment vertical="center"/>
    </xf>
    <xf numFmtId="0" fontId="13" fillId="0" borderId="18" xfId="0" applyFont="1" applyFill="1" applyBorder="1" applyAlignment="1">
      <alignment horizontal="center" vertical="center"/>
    </xf>
    <xf numFmtId="177" fontId="2" fillId="21" borderId="17" xfId="0" applyNumberFormat="1" applyFont="1" applyFill="1" applyBorder="1" applyAlignment="1">
      <alignment horizontal="center" vertical="center"/>
    </xf>
    <xf numFmtId="0" fontId="3" fillId="0" borderId="0" xfId="0" applyFont="1" applyAlignment="1">
      <alignment horizontal="center" vertical="center"/>
    </xf>
    <xf numFmtId="0" fontId="14" fillId="21" borderId="45" xfId="0" applyFont="1" applyFill="1" applyBorder="1" applyAlignment="1">
      <alignment horizontal="center" vertical="center"/>
    </xf>
    <xf numFmtId="0" fontId="14" fillId="21" borderId="46" xfId="0" applyFont="1" applyFill="1" applyBorder="1" applyAlignment="1">
      <alignment horizontal="center" vertical="center"/>
    </xf>
    <xf numFmtId="0" fontId="14" fillId="21" borderId="47"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6" xfId="0" applyNumberFormat="1" applyFont="1" applyFill="1" applyBorder="1" applyAlignment="1">
      <alignment horizontal="center" vertical="center"/>
    </xf>
    <xf numFmtId="0" fontId="2" fillId="6" borderId="17" xfId="0" applyFont="1" applyFill="1" applyBorder="1" applyAlignment="1">
      <alignment horizontal="center" vertical="center"/>
    </xf>
    <xf numFmtId="177" fontId="2" fillId="6" borderId="17" xfId="0" applyNumberFormat="1" applyFont="1" applyFill="1" applyBorder="1" applyAlignment="1">
      <alignment horizontal="center" vertical="center"/>
    </xf>
    <xf numFmtId="0" fontId="2" fillId="6" borderId="25" xfId="0" applyFont="1" applyFill="1" applyBorder="1" applyAlignment="1">
      <alignment horizontal="center" vertical="center"/>
    </xf>
    <xf numFmtId="0" fontId="3" fillId="21" borderId="16" xfId="0" applyFont="1" applyFill="1" applyBorder="1" applyAlignment="1">
      <alignment horizontal="center" vertical="center"/>
    </xf>
    <xf numFmtId="0" fontId="3" fillId="21" borderId="17" xfId="0" applyFont="1" applyFill="1" applyBorder="1" applyAlignment="1">
      <alignment horizontal="center" vertical="center"/>
    </xf>
    <xf numFmtId="177" fontId="3" fillId="21" borderId="17" xfId="0" applyNumberFormat="1" applyFont="1" applyFill="1" applyBorder="1" applyAlignment="1">
      <alignment horizontal="center" vertical="center"/>
    </xf>
    <xf numFmtId="0" fontId="3" fillId="21" borderId="25" xfId="0" applyFont="1" applyFill="1" applyBorder="1" applyAlignment="1">
      <alignment horizontal="center" vertical="center"/>
    </xf>
    <xf numFmtId="0" fontId="14" fillId="22" borderId="45" xfId="0" applyFont="1" applyFill="1" applyBorder="1" applyAlignment="1">
      <alignment horizontal="center" vertical="center"/>
    </xf>
    <xf numFmtId="0" fontId="14" fillId="22" borderId="46" xfId="0" applyFont="1" applyFill="1" applyBorder="1" applyAlignment="1">
      <alignment horizontal="center" vertical="center"/>
    </xf>
    <xf numFmtId="0" fontId="14" fillId="22" borderId="47" xfId="0" applyFont="1" applyFill="1" applyBorder="1" applyAlignment="1">
      <alignment horizontal="center" vertical="center"/>
    </xf>
    <xf numFmtId="0" fontId="3" fillId="22" borderId="16" xfId="0" applyFont="1" applyFill="1" applyBorder="1" applyAlignment="1">
      <alignment horizontal="center" vertical="center"/>
    </xf>
    <xf numFmtId="0" fontId="3" fillId="22" borderId="17" xfId="0" applyFont="1" applyFill="1" applyBorder="1" applyAlignment="1">
      <alignment horizontal="center" vertical="center"/>
    </xf>
    <xf numFmtId="177" fontId="3" fillId="22" borderId="17" xfId="0" applyNumberFormat="1" applyFont="1" applyFill="1" applyBorder="1" applyAlignment="1">
      <alignment horizontal="center" vertical="center"/>
    </xf>
    <xf numFmtId="0" fontId="3" fillId="22" borderId="25" xfId="0" applyFont="1" applyFill="1" applyBorder="1" applyAlignment="1">
      <alignment horizontal="center" vertical="center"/>
    </xf>
    <xf numFmtId="0" fontId="14" fillId="23" borderId="45" xfId="0" applyFont="1" applyFill="1" applyBorder="1" applyAlignment="1">
      <alignment horizontal="center" vertical="center"/>
    </xf>
    <xf numFmtId="0" fontId="14" fillId="23" borderId="46" xfId="0" applyFont="1" applyFill="1" applyBorder="1" applyAlignment="1">
      <alignment horizontal="center" vertical="center"/>
    </xf>
    <xf numFmtId="0" fontId="14" fillId="23" borderId="47" xfId="0" applyFont="1" applyFill="1" applyBorder="1" applyAlignment="1">
      <alignment horizontal="center" vertical="center"/>
    </xf>
    <xf numFmtId="0" fontId="3" fillId="0" borderId="17" xfId="0" applyFont="1" applyFill="1" applyBorder="1" applyAlignment="1">
      <alignment horizontal="center" vertical="center"/>
    </xf>
    <xf numFmtId="0" fontId="3" fillId="23" borderId="16" xfId="0" applyFont="1" applyFill="1" applyBorder="1" applyAlignment="1">
      <alignment horizontal="center" vertical="center"/>
    </xf>
    <xf numFmtId="0" fontId="3" fillId="23" borderId="17" xfId="0" applyFont="1" applyFill="1" applyBorder="1" applyAlignment="1">
      <alignment horizontal="center" vertical="center"/>
    </xf>
    <xf numFmtId="177" fontId="3" fillId="23" borderId="17" xfId="0" applyNumberFormat="1" applyFont="1" applyFill="1" applyBorder="1" applyAlignment="1">
      <alignment horizontal="center" vertical="center"/>
    </xf>
    <xf numFmtId="0" fontId="3" fillId="23" borderId="25" xfId="0" applyFont="1" applyFill="1" applyBorder="1" applyAlignment="1">
      <alignment horizontal="center" vertical="center"/>
    </xf>
    <xf numFmtId="0" fontId="15" fillId="8" borderId="0" xfId="0" applyFont="1" applyFill="1" applyAlignment="1">
      <alignment horizontal="center" vertical="center"/>
    </xf>
    <xf numFmtId="177" fontId="15" fillId="8" borderId="17" xfId="0" applyNumberFormat="1" applyFont="1" applyFill="1" applyBorder="1" applyAlignment="1">
      <alignment horizontal="center" vertical="center"/>
    </xf>
    <xf numFmtId="0" fontId="11" fillId="17" borderId="48" xfId="0" applyFont="1" applyFill="1" applyBorder="1" applyAlignment="1">
      <alignment horizontal="center" vertical="center"/>
    </xf>
    <xf numFmtId="0" fontId="11" fillId="17" borderId="49" xfId="0" applyFont="1" applyFill="1" applyBorder="1" applyAlignment="1">
      <alignment horizontal="center" vertical="center"/>
    </xf>
    <xf numFmtId="0" fontId="11" fillId="24" borderId="45" xfId="0" applyFont="1" applyFill="1" applyBorder="1" applyAlignment="1">
      <alignment horizontal="center" vertical="center"/>
    </xf>
    <xf numFmtId="0" fontId="11" fillId="17" borderId="50" xfId="0" applyNumberFormat="1" applyFont="1" applyFill="1" applyBorder="1" applyAlignment="1">
      <alignment horizontal="center" vertical="center"/>
    </xf>
    <xf numFmtId="0" fontId="11" fillId="17" borderId="51" xfId="0" applyNumberFormat="1" applyFont="1" applyFill="1" applyBorder="1" applyAlignment="1">
      <alignment horizontal="center" vertical="center"/>
    </xf>
    <xf numFmtId="0" fontId="3" fillId="0" borderId="29" xfId="0" applyNumberFormat="1" applyFont="1" applyFill="1" applyBorder="1" applyAlignment="1">
      <alignment horizontal="center" vertical="center"/>
    </xf>
    <xf numFmtId="0" fontId="3" fillId="0" borderId="18" xfId="0" applyNumberFormat="1" applyFont="1" applyFill="1" applyBorder="1" applyAlignment="1">
      <alignment horizontal="center" vertical="center"/>
    </xf>
    <xf numFmtId="0" fontId="2" fillId="0" borderId="52" xfId="0" applyFont="1" applyFill="1" applyBorder="1" applyAlignment="1">
      <alignment horizontal="center" vertical="center"/>
    </xf>
    <xf numFmtId="0" fontId="2" fillId="0" borderId="53" xfId="0" applyFont="1" applyFill="1" applyBorder="1" applyAlignment="1">
      <alignment horizontal="center" vertical="center"/>
    </xf>
    <xf numFmtId="0" fontId="3" fillId="23" borderId="45" xfId="0" applyFont="1" applyFill="1" applyBorder="1" applyAlignment="1">
      <alignment horizontal="center" vertical="center"/>
    </xf>
    <xf numFmtId="0" fontId="2" fillId="0" borderId="54" xfId="0" applyFont="1" applyFill="1" applyBorder="1" applyAlignment="1">
      <alignment horizontal="center" vertical="center"/>
    </xf>
    <xf numFmtId="0" fontId="2" fillId="0" borderId="55"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0" xfId="0" applyFont="1" applyFill="1" applyBorder="1" applyAlignment="1">
      <alignment horizontal="center" vertical="center"/>
    </xf>
    <xf numFmtId="0" fontId="3" fillId="23" borderId="18" xfId="0" applyFont="1" applyFill="1" applyBorder="1" applyAlignment="1">
      <alignment horizontal="center" vertical="center"/>
    </xf>
    <xf numFmtId="0" fontId="3" fillId="23" borderId="57" xfId="0" applyFont="1" applyFill="1" applyBorder="1" applyAlignment="1">
      <alignment horizontal="center" vertical="center"/>
    </xf>
    <xf numFmtId="0" fontId="11" fillId="17" borderId="19" xfId="0" applyNumberFormat="1" applyFont="1" applyFill="1" applyBorder="1" applyAlignment="1">
      <alignment horizontal="center" vertical="center"/>
    </xf>
    <xf numFmtId="0" fontId="11" fillId="17" borderId="49" xfId="0" applyFont="1" applyFill="1" applyBorder="1" applyAlignment="1">
      <alignment horizontal="center" vertical="center" wrapText="1"/>
    </xf>
    <xf numFmtId="0" fontId="11" fillId="17" borderId="58" xfId="0" applyFont="1" applyFill="1" applyBorder="1" applyAlignment="1">
      <alignment horizontal="center" vertical="center" wrapText="1"/>
    </xf>
    <xf numFmtId="0" fontId="3" fillId="0" borderId="45" xfId="0" applyNumberFormat="1" applyFont="1" applyFill="1" applyBorder="1" applyAlignment="1">
      <alignment horizontal="center" vertical="center"/>
    </xf>
    <xf numFmtId="0" fontId="11" fillId="17" borderId="20" xfId="0" applyNumberFormat="1" applyFont="1" applyFill="1" applyBorder="1" applyAlignment="1">
      <alignment horizontal="center" vertical="center"/>
    </xf>
    <xf numFmtId="0" fontId="2" fillId="0" borderId="59" xfId="0" applyFont="1" applyFill="1" applyBorder="1" applyAlignment="1">
      <alignment horizontal="center" vertical="center"/>
    </xf>
    <xf numFmtId="10" fontId="2" fillId="0" borderId="60" xfId="0" applyNumberFormat="1" applyFont="1" applyFill="1" applyBorder="1" applyAlignment="1">
      <alignment horizontal="center" vertical="center"/>
    </xf>
    <xf numFmtId="0" fontId="2" fillId="0" borderId="61" xfId="0" applyFont="1" applyFill="1" applyBorder="1" applyAlignment="1">
      <alignment horizontal="center" vertical="center"/>
    </xf>
    <xf numFmtId="0" fontId="2" fillId="0" borderId="62" xfId="0" applyFont="1" applyFill="1" applyBorder="1" applyAlignment="1">
      <alignment horizontal="center" vertical="center"/>
    </xf>
    <xf numFmtId="10" fontId="2" fillId="0" borderId="63" xfId="0" applyNumberFormat="1" applyFont="1" applyFill="1" applyBorder="1" applyAlignment="1">
      <alignment horizontal="center" vertical="center"/>
    </xf>
    <xf numFmtId="0" fontId="3" fillId="23" borderId="9" xfId="0" applyFont="1" applyFill="1" applyBorder="1" applyAlignment="1">
      <alignment horizontal="center" vertical="center"/>
    </xf>
    <xf numFmtId="10" fontId="3" fillId="23" borderId="57" xfId="0" applyNumberFormat="1" applyFont="1" applyFill="1" applyBorder="1" applyAlignment="1">
      <alignment horizontal="center" vertical="center"/>
    </xf>
    <xf numFmtId="0" fontId="3" fillId="23" borderId="47" xfId="0" applyFont="1" applyFill="1" applyBorder="1" applyAlignment="1">
      <alignment horizontal="center" vertical="center"/>
    </xf>
    <xf numFmtId="0" fontId="16" fillId="0" borderId="18" xfId="0" applyFont="1" applyBorder="1" applyAlignment="1">
      <alignment horizontal="center" vertical="center"/>
    </xf>
    <xf numFmtId="0" fontId="0" fillId="0" borderId="18" xfId="0" applyBorder="1">
      <alignment vertical="center"/>
    </xf>
    <xf numFmtId="0" fontId="17" fillId="0" borderId="18" xfId="0" applyFont="1" applyBorder="1">
      <alignment vertical="center"/>
    </xf>
    <xf numFmtId="0" fontId="0" fillId="0" borderId="18" xfId="0" applyFill="1" applyBorder="1" applyAlignment="1">
      <alignment vertical="center"/>
    </xf>
    <xf numFmtId="0" fontId="18" fillId="0" borderId="18" xfId="0" applyFont="1" applyFill="1" applyBorder="1" applyAlignment="1">
      <alignment horizontal="center" vertical="center"/>
    </xf>
    <xf numFmtId="0" fontId="16" fillId="14" borderId="18" xfId="0" applyFont="1" applyFill="1" applyBorder="1" applyAlignment="1">
      <alignment horizontal="center" vertical="center"/>
    </xf>
    <xf numFmtId="176" fontId="18" fillId="0" borderId="18" xfId="0" applyNumberFormat="1" applyFont="1" applyFill="1" applyBorder="1" applyAlignment="1">
      <alignment horizontal="center" vertical="center"/>
    </xf>
    <xf numFmtId="0" fontId="18" fillId="0" borderId="18" xfId="0" applyNumberFormat="1" applyFont="1" applyFill="1" applyBorder="1" applyAlignment="1">
      <alignment horizontal="center" vertical="center"/>
    </xf>
    <xf numFmtId="0" fontId="16" fillId="10" borderId="18" xfId="0" applyFont="1" applyFill="1" applyBorder="1" applyAlignment="1">
      <alignment horizontal="center" vertical="center"/>
    </xf>
    <xf numFmtId="0" fontId="16" fillId="25" borderId="18" xfId="0" applyFont="1" applyFill="1" applyBorder="1" applyAlignment="1">
      <alignment horizontal="center" vertical="center"/>
    </xf>
    <xf numFmtId="0" fontId="19" fillId="15" borderId="18" xfId="0" applyFont="1" applyFill="1" applyBorder="1" applyAlignment="1">
      <alignment horizontal="center" vertical="center"/>
    </xf>
    <xf numFmtId="49" fontId="19" fillId="26" borderId="19" xfId="0" applyNumberFormat="1" applyFont="1" applyFill="1" applyBorder="1" applyAlignment="1">
      <alignment horizontal="center" vertical="center" wrapText="1"/>
    </xf>
    <xf numFmtId="0" fontId="19" fillId="26" borderId="18" xfId="0" applyFont="1" applyFill="1" applyBorder="1" applyAlignment="1">
      <alignment horizontal="center" vertical="center" wrapText="1"/>
    </xf>
    <xf numFmtId="0" fontId="19" fillId="14" borderId="18" xfId="0" applyFont="1" applyFill="1" applyBorder="1" applyAlignment="1">
      <alignment horizontal="center" vertical="center" wrapText="1"/>
    </xf>
    <xf numFmtId="176" fontId="19" fillId="15" borderId="18" xfId="0" applyNumberFormat="1" applyFont="1" applyFill="1" applyBorder="1" applyAlignment="1">
      <alignment horizontal="center" vertical="center"/>
    </xf>
    <xf numFmtId="176" fontId="19" fillId="15" borderId="18" xfId="49" applyNumberFormat="1" applyFont="1" applyFill="1" applyBorder="1" applyAlignment="1">
      <alignment horizontal="center" vertical="center" wrapText="1"/>
    </xf>
    <xf numFmtId="0" fontId="19" fillId="26" borderId="18" xfId="0" applyFont="1" applyFill="1" applyBorder="1" applyAlignment="1">
      <alignment horizontal="center" vertical="center"/>
    </xf>
    <xf numFmtId="49" fontId="19" fillId="26" borderId="21" xfId="0" applyNumberFormat="1" applyFont="1" applyFill="1" applyBorder="1" applyAlignment="1">
      <alignment horizontal="center" vertical="center" wrapText="1"/>
    </xf>
    <xf numFmtId="0" fontId="20" fillId="0" borderId="18" xfId="0" applyFont="1" applyFill="1" applyBorder="1" applyAlignment="1">
      <alignment horizontal="center" vertical="center"/>
    </xf>
    <xf numFmtId="0" fontId="18" fillId="14" borderId="18" xfId="0" applyFont="1" applyFill="1" applyBorder="1" applyAlignment="1">
      <alignment horizontal="center" vertical="center"/>
    </xf>
    <xf numFmtId="176" fontId="20" fillId="0" borderId="18" xfId="0" applyNumberFormat="1" applyFont="1" applyFill="1" applyBorder="1" applyAlignment="1">
      <alignment horizontal="center" vertical="center"/>
    </xf>
    <xf numFmtId="0" fontId="21" fillId="0" borderId="18" xfId="0" applyFont="1" applyFill="1" applyBorder="1" applyAlignment="1">
      <alignment horizontal="center" vertical="center"/>
    </xf>
    <xf numFmtId="0" fontId="20" fillId="14" borderId="18" xfId="0" applyFont="1" applyFill="1" applyBorder="1" applyAlignment="1">
      <alignment horizontal="center" vertical="center"/>
    </xf>
    <xf numFmtId="0" fontId="16" fillId="0" borderId="18" xfId="0" applyFont="1" applyFill="1" applyBorder="1" applyAlignment="1">
      <alignment horizontal="center" vertical="center"/>
    </xf>
    <xf numFmtId="0" fontId="20" fillId="27" borderId="18" xfId="0" applyNumberFormat="1" applyFont="1" applyFill="1" applyBorder="1" applyAlignment="1">
      <alignment horizontal="center" vertical="center"/>
    </xf>
    <xf numFmtId="176" fontId="20" fillId="20" borderId="18" xfId="0" applyNumberFormat="1" applyFont="1" applyFill="1" applyBorder="1" applyAlignment="1">
      <alignment horizontal="center" vertical="center"/>
    </xf>
    <xf numFmtId="0" fontId="20" fillId="0" borderId="18" xfId="0" applyNumberFormat="1" applyFont="1" applyFill="1" applyBorder="1" applyAlignment="1">
      <alignment horizontal="center" vertical="center"/>
    </xf>
    <xf numFmtId="0" fontId="19" fillId="28" borderId="18" xfId="0" applyNumberFormat="1" applyFont="1" applyFill="1" applyBorder="1" applyAlignment="1">
      <alignment horizontal="center" vertical="center"/>
    </xf>
    <xf numFmtId="0" fontId="19" fillId="10" borderId="18" xfId="0" applyNumberFormat="1" applyFont="1" applyFill="1" applyBorder="1" applyAlignment="1">
      <alignment horizontal="center" vertical="center" wrapText="1"/>
    </xf>
    <xf numFmtId="0" fontId="19" fillId="29" borderId="18" xfId="0" applyNumberFormat="1" applyFont="1" applyFill="1" applyBorder="1" applyAlignment="1">
      <alignment horizontal="center" vertical="center" wrapText="1"/>
    </xf>
    <xf numFmtId="0" fontId="19" fillId="26" borderId="18" xfId="0" applyNumberFormat="1" applyFont="1" applyFill="1" applyBorder="1" applyAlignment="1">
      <alignment horizontal="center" vertical="center" wrapText="1"/>
    </xf>
    <xf numFmtId="0" fontId="20" fillId="0" borderId="18" xfId="0" applyFont="1" applyFill="1" applyBorder="1" applyAlignment="1">
      <alignment horizontal="left" vertical="center"/>
    </xf>
    <xf numFmtId="0" fontId="20" fillId="16" borderId="18" xfId="0" applyNumberFormat="1" applyFont="1" applyFill="1" applyBorder="1" applyAlignment="1">
      <alignment horizontal="center" vertical="center"/>
    </xf>
    <xf numFmtId="0" fontId="17" fillId="0" borderId="18" xfId="0" applyFont="1" applyFill="1" applyBorder="1" applyAlignment="1">
      <alignment horizontal="center" vertical="center"/>
    </xf>
    <xf numFmtId="0" fontId="17" fillId="0" borderId="18" xfId="0" applyFont="1" applyFill="1" applyBorder="1" applyAlignment="1">
      <alignment horizontal="left" vertical="center"/>
    </xf>
    <xf numFmtId="0" fontId="22" fillId="0" borderId="18" xfId="0" applyFont="1" applyFill="1" applyBorder="1" applyAlignment="1">
      <alignment horizontal="center" vertical="center"/>
    </xf>
    <xf numFmtId="0" fontId="22" fillId="0" borderId="18" xfId="0" applyNumberFormat="1" applyFont="1" applyFill="1" applyBorder="1" applyAlignment="1">
      <alignment horizontal="center" vertical="center"/>
    </xf>
    <xf numFmtId="0" fontId="18" fillId="0" borderId="18" xfId="0" applyFont="1" applyFill="1" applyBorder="1" applyAlignment="1">
      <alignment horizontal="left" vertical="center"/>
    </xf>
    <xf numFmtId="0" fontId="18" fillId="16" borderId="18" xfId="0" applyNumberFormat="1" applyFont="1" applyFill="1" applyBorder="1" applyAlignment="1">
      <alignment horizontal="center" vertical="center"/>
    </xf>
    <xf numFmtId="0" fontId="18" fillId="10" borderId="18" xfId="0" applyFont="1" applyFill="1" applyBorder="1" applyAlignment="1">
      <alignment horizontal="center" vertical="center"/>
    </xf>
    <xf numFmtId="0" fontId="19" fillId="14" borderId="18" xfId="0" applyNumberFormat="1" applyFont="1" applyFill="1" applyBorder="1" applyAlignment="1">
      <alignment horizontal="center" vertical="center" wrapText="1"/>
    </xf>
    <xf numFmtId="0" fontId="19" fillId="25" borderId="18" xfId="0" applyNumberFormat="1" applyFont="1" applyFill="1" applyBorder="1" applyAlignment="1">
      <alignment horizontal="center" vertical="center" wrapText="1"/>
    </xf>
    <xf numFmtId="0" fontId="20" fillId="14" borderId="18" xfId="0" applyNumberFormat="1" applyFont="1" applyFill="1" applyBorder="1" applyAlignment="1">
      <alignment horizontal="center" vertical="center"/>
    </xf>
    <xf numFmtId="0" fontId="20" fillId="25" borderId="18" xfId="0" applyNumberFormat="1" applyFont="1" applyFill="1" applyBorder="1" applyAlignment="1">
      <alignment horizontal="center" vertical="center"/>
    </xf>
    <xf numFmtId="58" fontId="20" fillId="14" borderId="18" xfId="0" applyNumberFormat="1" applyFont="1" applyFill="1" applyBorder="1" applyAlignment="1">
      <alignment horizontal="center" vertical="center"/>
    </xf>
    <xf numFmtId="0" fontId="20" fillId="30" borderId="18" xfId="0" applyNumberFormat="1" applyFont="1" applyFill="1" applyBorder="1" applyAlignment="1">
      <alignment horizontal="center" vertical="center"/>
    </xf>
    <xf numFmtId="0" fontId="20" fillId="14" borderId="18" xfId="0" applyNumberFormat="1" applyFont="1" applyFill="1" applyBorder="1" applyAlignment="1">
      <alignment horizontal="center" vertical="center" wrapText="1"/>
    </xf>
    <xf numFmtId="0" fontId="18" fillId="14" borderId="18" xfId="0" applyNumberFormat="1" applyFont="1" applyFill="1" applyBorder="1" applyAlignment="1">
      <alignment horizontal="center" vertical="center"/>
    </xf>
    <xf numFmtId="0" fontId="18" fillId="25" borderId="18" xfId="0" applyNumberFormat="1" applyFont="1" applyFill="1" applyBorder="1" applyAlignment="1">
      <alignment horizontal="center" vertical="center"/>
    </xf>
    <xf numFmtId="0" fontId="20" fillId="30" borderId="18" xfId="0" applyNumberFormat="1" applyFont="1" applyFill="1" applyBorder="1" applyAlignment="1">
      <alignment horizontal="center" vertical="center" wrapText="1"/>
    </xf>
    <xf numFmtId="0" fontId="20" fillId="16" borderId="18" xfId="0" applyFont="1" applyFill="1" applyBorder="1" applyAlignment="1">
      <alignment horizontal="center" vertical="center"/>
    </xf>
    <xf numFmtId="0" fontId="20" fillId="25" borderId="18" xfId="0" applyFont="1" applyFill="1" applyBorder="1" applyAlignment="1">
      <alignment horizontal="center" vertical="center"/>
    </xf>
    <xf numFmtId="176" fontId="20" fillId="14" borderId="18" xfId="0" applyNumberFormat="1" applyFont="1" applyFill="1" applyBorder="1" applyAlignment="1">
      <alignment horizontal="center" vertical="center"/>
    </xf>
    <xf numFmtId="0" fontId="18" fillId="30" borderId="18" xfId="0" applyNumberFormat="1" applyFont="1" applyFill="1" applyBorder="1" applyAlignment="1">
      <alignment horizontal="center" vertical="center"/>
    </xf>
    <xf numFmtId="0" fontId="20" fillId="25" borderId="18" xfId="0" applyNumberFormat="1" applyFont="1" applyFill="1" applyBorder="1" applyAlignment="1">
      <alignment horizontal="center" vertical="center" wrapText="1"/>
    </xf>
    <xf numFmtId="0" fontId="22" fillId="14" borderId="18" xfId="0" applyNumberFormat="1" applyFont="1" applyFill="1" applyBorder="1" applyAlignment="1">
      <alignment horizontal="center" vertical="center"/>
    </xf>
    <xf numFmtId="178" fontId="20" fillId="14" borderId="18" xfId="0" applyNumberFormat="1" applyFont="1" applyFill="1" applyBorder="1" applyAlignment="1">
      <alignment horizontal="center" vertical="center"/>
    </xf>
    <xf numFmtId="14" fontId="20" fillId="14" borderId="18" xfId="0" applyNumberFormat="1" applyFont="1" applyFill="1" applyBorder="1" applyAlignment="1">
      <alignment horizontal="center" vertical="center"/>
    </xf>
    <xf numFmtId="0" fontId="20" fillId="30" borderId="18" xfId="0" applyFont="1" applyFill="1" applyBorder="1" applyAlignment="1">
      <alignment horizontal="center" vertical="center"/>
    </xf>
    <xf numFmtId="0" fontId="23" fillId="0" borderId="18" xfId="0" applyNumberFormat="1" applyFont="1" applyFill="1" applyBorder="1" applyAlignment="1">
      <alignment horizontal="center" vertical="center" wrapText="1"/>
    </xf>
    <xf numFmtId="0" fontId="20" fillId="0" borderId="18" xfId="0" applyNumberFormat="1" applyFont="1" applyFill="1" applyBorder="1" applyAlignment="1">
      <alignment horizontal="left" vertical="center" wrapText="1"/>
    </xf>
    <xf numFmtId="0" fontId="20" fillId="0" borderId="18" xfId="0" applyNumberFormat="1" applyFont="1" applyFill="1" applyBorder="1" applyAlignment="1">
      <alignment horizontal="center" vertical="center" wrapText="1"/>
    </xf>
    <xf numFmtId="0" fontId="5" fillId="14" borderId="18" xfId="0" applyNumberFormat="1" applyFont="1" applyFill="1" applyBorder="1" applyAlignment="1">
      <alignment horizontal="center" vertical="center" wrapText="1"/>
    </xf>
    <xf numFmtId="176" fontId="18" fillId="20" borderId="18" xfId="0" applyNumberFormat="1" applyFont="1" applyFill="1" applyBorder="1" applyAlignment="1">
      <alignment horizontal="center" vertical="center"/>
    </xf>
    <xf numFmtId="0" fontId="20" fillId="31" borderId="18" xfId="0" applyNumberFormat="1" applyFont="1" applyFill="1" applyBorder="1" applyAlignment="1">
      <alignment horizontal="center" vertical="center"/>
    </xf>
    <xf numFmtId="58" fontId="20" fillId="25" borderId="18" xfId="0" applyNumberFormat="1" applyFont="1" applyFill="1" applyBorder="1" applyAlignment="1">
      <alignment horizontal="center" vertical="center"/>
    </xf>
    <xf numFmtId="0" fontId="24" fillId="32" borderId="18" xfId="0" applyNumberFormat="1" applyFont="1" applyFill="1" applyBorder="1" applyAlignment="1">
      <alignment horizontal="center" vertical="center"/>
    </xf>
    <xf numFmtId="14" fontId="20" fillId="30" borderId="18" xfId="0" applyNumberFormat="1" applyFont="1" applyFill="1" applyBorder="1" applyAlignment="1">
      <alignment horizontal="center" vertical="center"/>
    </xf>
    <xf numFmtId="58" fontId="25" fillId="0" borderId="18" xfId="0" applyNumberFormat="1" applyFont="1" applyFill="1" applyBorder="1" applyAlignment="1">
      <alignment horizontal="center" vertical="center" wrapText="1"/>
    </xf>
    <xf numFmtId="176" fontId="20" fillId="0" borderId="45" xfId="0" applyNumberFormat="1" applyFont="1" applyFill="1" applyBorder="1" applyAlignment="1">
      <alignment horizontal="center" vertical="center"/>
    </xf>
    <xf numFmtId="0" fontId="18" fillId="0" borderId="0" xfId="0" applyFont="1" applyFill="1" applyBorder="1" applyAlignment="1">
      <alignment horizontal="left" vertical="center"/>
    </xf>
    <xf numFmtId="17" fontId="20" fillId="14" borderId="18" xfId="0" applyNumberFormat="1" applyFont="1" applyFill="1" applyBorder="1" applyAlignment="1">
      <alignment horizontal="center" vertical="center"/>
    </xf>
    <xf numFmtId="0" fontId="20" fillId="0" borderId="0" xfId="0" applyNumberFormat="1" applyFont="1" applyFill="1" applyAlignment="1">
      <alignment horizontal="center" vertical="center"/>
    </xf>
    <xf numFmtId="14" fontId="20" fillId="14" borderId="18" xfId="0" applyNumberFormat="1" applyFont="1" applyFill="1" applyBorder="1" applyAlignment="1">
      <alignment horizontal="center" vertical="center" wrapText="1"/>
    </xf>
    <xf numFmtId="0" fontId="0" fillId="0" borderId="18" xfId="0" applyFill="1" applyBorder="1" applyAlignment="1">
      <alignment horizontal="center" vertical="center"/>
    </xf>
    <xf numFmtId="0" fontId="22" fillId="0" borderId="0" xfId="0" applyNumberFormat="1" applyFont="1" applyFill="1" applyAlignment="1">
      <alignment horizontal="center" vertical="center"/>
    </xf>
    <xf numFmtId="0" fontId="20" fillId="27" borderId="18" xfId="0" applyNumberFormat="1" applyFont="1" applyFill="1" applyBorder="1" applyAlignment="1">
      <alignment horizontal="center" vertical="center" wrapText="1"/>
    </xf>
    <xf numFmtId="0" fontId="20" fillId="32" borderId="18"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26" fillId="0" borderId="18" xfId="0" applyNumberFormat="1" applyFont="1" applyFill="1" applyBorder="1" applyAlignment="1">
      <alignment horizontal="center" vertical="center"/>
    </xf>
    <xf numFmtId="0" fontId="27" fillId="0" borderId="18" xfId="0" applyFont="1" applyFill="1" applyBorder="1" applyAlignment="1">
      <alignment horizontal="center" vertical="center"/>
    </xf>
    <xf numFmtId="0" fontId="20" fillId="33" borderId="18" xfId="0" applyNumberFormat="1" applyFont="1" applyFill="1" applyBorder="1" applyAlignment="1">
      <alignment horizontal="center" vertical="center"/>
    </xf>
    <xf numFmtId="0" fontId="20" fillId="0" borderId="18" xfId="0" applyNumberFormat="1" applyFont="1" applyFill="1" applyBorder="1" applyAlignment="1">
      <alignment horizontal="left" vertical="center"/>
    </xf>
    <xf numFmtId="14" fontId="20" fillId="0" borderId="18" xfId="0" applyNumberFormat="1" applyFont="1" applyFill="1" applyBorder="1" applyAlignment="1">
      <alignment horizontal="center" vertical="center"/>
    </xf>
    <xf numFmtId="176" fontId="20" fillId="0" borderId="18" xfId="0" applyNumberFormat="1" applyFont="1" applyFill="1" applyBorder="1" applyAlignment="1">
      <alignment horizontal="left" vertical="center"/>
    </xf>
    <xf numFmtId="0" fontId="26" fillId="14" borderId="18" xfId="0" applyNumberFormat="1" applyFont="1" applyFill="1" applyBorder="1" applyAlignment="1">
      <alignment horizontal="center" vertical="center"/>
    </xf>
    <xf numFmtId="0" fontId="20" fillId="0"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18" fillId="25" borderId="18" xfId="0" applyFont="1" applyFill="1" applyBorder="1" applyAlignment="1">
      <alignment horizontal="center" vertical="center"/>
    </xf>
    <xf numFmtId="0" fontId="20" fillId="10" borderId="18" xfId="0" applyNumberFormat="1" applyFont="1" applyFill="1" applyBorder="1" applyAlignment="1">
      <alignment horizontal="center" vertical="center"/>
    </xf>
    <xf numFmtId="0" fontId="22" fillId="25" borderId="18" xfId="0" applyNumberFormat="1" applyFont="1" applyFill="1" applyBorder="1" applyAlignment="1">
      <alignment horizontal="center" vertical="center"/>
    </xf>
    <xf numFmtId="58" fontId="20" fillId="0" borderId="18" xfId="0" applyNumberFormat="1" applyFont="1" applyFill="1" applyBorder="1" applyAlignment="1">
      <alignment horizontal="center" vertical="center"/>
    </xf>
    <xf numFmtId="14" fontId="20" fillId="25" borderId="18" xfId="0" applyNumberFormat="1" applyFont="1" applyFill="1" applyBorder="1" applyAlignment="1">
      <alignment horizontal="center" vertical="center"/>
    </xf>
    <xf numFmtId="0" fontId="20" fillId="14" borderId="47" xfId="0" applyNumberFormat="1" applyFont="1" applyFill="1" applyBorder="1" applyAlignment="1">
      <alignment horizontal="center" vertical="center"/>
    </xf>
    <xf numFmtId="176" fontId="18" fillId="0" borderId="21" xfId="0" applyNumberFormat="1" applyFont="1" applyFill="1" applyBorder="1" applyAlignment="1">
      <alignment horizontal="center" vertical="center"/>
    </xf>
    <xf numFmtId="0" fontId="18" fillId="0" borderId="21" xfId="0" applyFont="1" applyFill="1" applyBorder="1" applyAlignment="1">
      <alignment horizontal="center" vertical="center"/>
    </xf>
    <xf numFmtId="0" fontId="18" fillId="0" borderId="45" xfId="0" applyFont="1" applyFill="1" applyBorder="1" applyAlignment="1">
      <alignment horizontal="center" vertical="center"/>
    </xf>
    <xf numFmtId="0" fontId="28" fillId="0" borderId="18" xfId="0" applyFont="1" applyFill="1" applyBorder="1" applyAlignment="1">
      <alignment horizontal="center" vertical="center"/>
    </xf>
    <xf numFmtId="0" fontId="23" fillId="0" borderId="18" xfId="0" applyFont="1" applyFill="1" applyBorder="1" applyAlignment="1">
      <alignment horizontal="center" vertical="center"/>
    </xf>
    <xf numFmtId="14" fontId="17" fillId="0" borderId="18" xfId="0" applyNumberFormat="1" applyFont="1" applyBorder="1">
      <alignment vertical="center"/>
    </xf>
    <xf numFmtId="0" fontId="29" fillId="0" borderId="18" xfId="0" applyNumberFormat="1" applyFont="1" applyFill="1" applyBorder="1" applyAlignment="1">
      <alignment horizontal="center" vertical="center"/>
    </xf>
    <xf numFmtId="0" fontId="30" fillId="0" borderId="18" xfId="0" applyFont="1" applyFill="1" applyBorder="1" applyAlignment="1">
      <alignment horizontal="center" vertical="center"/>
    </xf>
    <xf numFmtId="0" fontId="30" fillId="0" borderId="18" xfId="0" applyFont="1" applyFill="1" applyBorder="1" applyAlignment="1">
      <alignment horizontal="left" vertical="center"/>
    </xf>
    <xf numFmtId="0" fontId="18" fillId="0" borderId="18" xfId="0" applyNumberFormat="1" applyFont="1" applyFill="1" applyBorder="1" applyAlignment="1">
      <alignment horizontal="center" vertical="center" wrapText="1"/>
    </xf>
    <xf numFmtId="0" fontId="18" fillId="0" borderId="18" xfId="0" applyFont="1" applyFill="1" applyBorder="1" applyAlignment="1">
      <alignment horizontal="left" vertical="center" wrapText="1"/>
    </xf>
    <xf numFmtId="0" fontId="31" fillId="0" borderId="18" xfId="0" applyFont="1" applyFill="1" applyBorder="1" applyAlignment="1">
      <alignment horizontal="center" vertical="center"/>
    </xf>
    <xf numFmtId="0" fontId="32" fillId="0" borderId="18" xfId="0" applyFont="1" applyFill="1" applyBorder="1" applyAlignment="1">
      <alignment horizontal="center" vertical="center"/>
    </xf>
    <xf numFmtId="0" fontId="26" fillId="0" borderId="18" xfId="0" applyFont="1" applyFill="1" applyBorder="1" applyAlignment="1">
      <alignment horizontal="center" vertical="center"/>
    </xf>
    <xf numFmtId="0" fontId="20" fillId="0" borderId="45" xfId="0" applyFont="1" applyFill="1" applyBorder="1" applyAlignment="1">
      <alignment horizontal="center" vertical="center"/>
    </xf>
    <xf numFmtId="0" fontId="18" fillId="0" borderId="18" xfId="0" applyFont="1" applyFill="1" applyBorder="1" applyAlignment="1">
      <alignment horizontal="center" vertical="center"/>
    </xf>
    <xf numFmtId="176" fontId="18" fillId="0" borderId="18" xfId="0" applyNumberFormat="1" applyFont="1" applyFill="1" applyBorder="1" applyAlignment="1">
      <alignment horizontal="center" vertical="center"/>
    </xf>
    <xf numFmtId="0" fontId="18" fillId="0" borderId="21" xfId="0" applyFont="1" applyFill="1" applyBorder="1" applyAlignment="1">
      <alignment horizontal="center" vertical="center"/>
    </xf>
    <xf numFmtId="176" fontId="33" fillId="0" borderId="18" xfId="0" applyNumberFormat="1" applyFont="1" applyFill="1" applyBorder="1" applyAlignment="1">
      <alignment horizontal="center" vertical="center"/>
    </xf>
    <xf numFmtId="0" fontId="16" fillId="0" borderId="0" xfId="0" applyFont="1" applyAlignment="1">
      <alignment horizontal="center" vertical="center"/>
    </xf>
    <xf numFmtId="0" fontId="20" fillId="0" borderId="45" xfId="0" applyNumberFormat="1" applyFont="1" applyFill="1" applyBorder="1" applyAlignment="1">
      <alignment horizontal="center" vertical="center"/>
    </xf>
    <xf numFmtId="0" fontId="33" fillId="0" borderId="18" xfId="0" applyFont="1" applyFill="1" applyBorder="1" applyAlignment="1">
      <alignment horizontal="center" vertical="center"/>
    </xf>
    <xf numFmtId="0" fontId="33" fillId="0" borderId="18" xfId="0" applyFont="1" applyFill="1" applyBorder="1" applyAlignment="1">
      <alignment horizontal="left" vertical="center"/>
    </xf>
    <xf numFmtId="0" fontId="33" fillId="0" borderId="18" xfId="0" applyNumberFormat="1" applyFont="1" applyFill="1" applyBorder="1" applyAlignment="1">
      <alignment horizontal="center" vertical="center"/>
    </xf>
    <xf numFmtId="0" fontId="20" fillId="30" borderId="18" xfId="0" applyNumberFormat="1" applyFont="1" applyFill="1" applyBorder="1" applyAlignment="1">
      <alignment vertical="center"/>
    </xf>
    <xf numFmtId="0" fontId="17" fillId="14" borderId="18" xfId="0" applyFont="1" applyFill="1" applyBorder="1" applyAlignment="1">
      <alignment horizontal="center" vertical="center"/>
    </xf>
    <xf numFmtId="0" fontId="20" fillId="0" borderId="0" xfId="0" applyFont="1" applyFill="1" applyBorder="1" applyAlignment="1">
      <alignment horizontal="center" vertical="center"/>
    </xf>
    <xf numFmtId="176" fontId="18" fillId="0" borderId="0" xfId="0" applyNumberFormat="1" applyFont="1" applyFill="1" applyBorder="1" applyAlignment="1">
      <alignment horizontal="center" vertical="center"/>
    </xf>
    <xf numFmtId="0" fontId="20" fillId="0" borderId="47" xfId="0" applyNumberFormat="1" applyFont="1" applyFill="1" applyBorder="1" applyAlignment="1">
      <alignment horizontal="center" vertical="center"/>
    </xf>
    <xf numFmtId="0" fontId="0" fillId="10" borderId="18" xfId="0" applyFill="1" applyBorder="1">
      <alignment vertical="center"/>
    </xf>
    <xf numFmtId="0" fontId="18" fillId="0" borderId="45" xfId="0" applyNumberFormat="1" applyFont="1" applyFill="1" applyBorder="1" applyAlignment="1">
      <alignment horizontal="center" vertical="center"/>
    </xf>
    <xf numFmtId="0" fontId="18" fillId="0" borderId="47" xfId="0" applyNumberFormat="1" applyFont="1" applyFill="1" applyBorder="1" applyAlignment="1">
      <alignment horizontal="center" vertical="center"/>
    </xf>
    <xf numFmtId="0" fontId="17" fillId="10" borderId="18" xfId="0" applyFont="1" applyFill="1" applyBorder="1">
      <alignment vertical="center"/>
    </xf>
    <xf numFmtId="0" fontId="34" fillId="0" borderId="18" xfId="0" applyFont="1" applyFill="1" applyBorder="1" applyAlignment="1">
      <alignment vertical="center"/>
    </xf>
    <xf numFmtId="0" fontId="20" fillId="0" borderId="0" xfId="0" applyNumberFormat="1" applyFont="1" applyFill="1" applyBorder="1" applyAlignment="1">
      <alignment horizontal="center" vertical="center"/>
    </xf>
    <xf numFmtId="0" fontId="0" fillId="25" borderId="18" xfId="0" applyFill="1" applyBorder="1">
      <alignment vertical="center"/>
    </xf>
    <xf numFmtId="58" fontId="17" fillId="0" borderId="18" xfId="0" applyNumberFormat="1" applyFont="1" applyFill="1" applyBorder="1" applyAlignment="1">
      <alignment vertical="center"/>
    </xf>
    <xf numFmtId="0" fontId="17" fillId="25" borderId="18" xfId="0" applyFont="1" applyFill="1" applyBorder="1">
      <alignment vertical="center"/>
    </xf>
    <xf numFmtId="0" fontId="0" fillId="25" borderId="18" xfId="0" applyFill="1" applyBorder="1" applyAlignment="1">
      <alignment horizontal="center" vertical="center"/>
    </xf>
    <xf numFmtId="176" fontId="20" fillId="20" borderId="45" xfId="0" applyNumberFormat="1" applyFont="1" applyFill="1" applyBorder="1" applyAlignment="1">
      <alignment horizontal="center" vertical="center"/>
    </xf>
    <xf numFmtId="176" fontId="27" fillId="0" borderId="18" xfId="0" applyNumberFormat="1" applyFont="1" applyFill="1" applyBorder="1" applyAlignment="1">
      <alignment horizontal="center" vertical="center"/>
    </xf>
    <xf numFmtId="0" fontId="33" fillId="0" borderId="45" xfId="0" applyNumberFormat="1" applyFont="1" applyFill="1" applyBorder="1" applyAlignment="1">
      <alignment horizontal="center" vertical="center"/>
    </xf>
    <xf numFmtId="0" fontId="33" fillId="0" borderId="47" xfId="0" applyNumberFormat="1" applyFont="1" applyFill="1" applyBorder="1" applyAlignment="1">
      <alignment horizontal="center" vertical="center"/>
    </xf>
    <xf numFmtId="0" fontId="35" fillId="0" borderId="18" xfId="0" applyFont="1" applyFill="1" applyBorder="1" applyAlignment="1">
      <alignment horizontal="center" vertical="center"/>
    </xf>
    <xf numFmtId="176" fontId="33" fillId="0" borderId="45" xfId="0" applyNumberFormat="1" applyFont="1" applyFill="1" applyBorder="1" applyAlignment="1">
      <alignment horizontal="center" vertical="center"/>
    </xf>
    <xf numFmtId="0" fontId="20" fillId="34" borderId="18" xfId="0" applyFont="1" applyFill="1" applyBorder="1" applyAlignment="1">
      <alignment horizontal="center" vertical="center"/>
    </xf>
    <xf numFmtId="0" fontId="18" fillId="0" borderId="47" xfId="0" applyFont="1" applyFill="1" applyBorder="1" applyAlignment="1">
      <alignment horizontal="center" vertical="center"/>
    </xf>
    <xf numFmtId="58" fontId="16" fillId="0" borderId="18" xfId="0" applyNumberFormat="1" applyFont="1" applyFill="1" applyBorder="1" applyAlignment="1">
      <alignment horizontal="center" vertical="center"/>
    </xf>
    <xf numFmtId="0" fontId="18" fillId="0" borderId="18" xfId="0" applyFont="1" applyFill="1" applyBorder="1" applyAlignment="1">
      <alignment horizontal="center" vertical="center" wrapText="1"/>
    </xf>
    <xf numFmtId="0" fontId="36" fillId="0" borderId="18" xfId="0" applyFont="1" applyFill="1" applyBorder="1" applyAlignment="1">
      <alignment horizontal="center" vertical="center"/>
    </xf>
    <xf numFmtId="176" fontId="20" fillId="0" borderId="0" xfId="0" applyNumberFormat="1" applyFont="1" applyFill="1" applyBorder="1" applyAlignment="1">
      <alignment horizontal="center" vertical="center"/>
    </xf>
    <xf numFmtId="14" fontId="16" fillId="0" borderId="18" xfId="0" applyNumberFormat="1" applyFont="1" applyBorder="1" applyAlignment="1">
      <alignment horizontal="center" vertical="center"/>
    </xf>
    <xf numFmtId="58" fontId="16" fillId="25" borderId="18" xfId="0" applyNumberFormat="1" applyFont="1" applyFill="1" applyBorder="1" applyAlignment="1">
      <alignment horizontal="center" vertical="center"/>
    </xf>
    <xf numFmtId="0" fontId="16" fillId="0" borderId="18" xfId="0" applyNumberFormat="1" applyFont="1" applyBorder="1" applyAlignment="1">
      <alignment horizontal="center" vertical="center"/>
    </xf>
    <xf numFmtId="0" fontId="37" fillId="0" borderId="18" xfId="0" applyFont="1" applyFill="1" applyBorder="1" applyAlignment="1">
      <alignment horizontal="center" vertical="center"/>
    </xf>
    <xf numFmtId="0" fontId="20" fillId="35" borderId="18" xfId="0" applyFont="1" applyFill="1" applyBorder="1" applyAlignment="1">
      <alignment horizontal="center" vertical="center"/>
    </xf>
    <xf numFmtId="0" fontId="18" fillId="33" borderId="18" xfId="0" applyFont="1" applyFill="1" applyBorder="1" applyAlignment="1">
      <alignment horizontal="center" vertical="center"/>
    </xf>
    <xf numFmtId="176" fontId="18" fillId="33" borderId="18" xfId="0" applyNumberFormat="1" applyFont="1" applyFill="1" applyBorder="1" applyAlignment="1">
      <alignment horizontal="center" vertical="center"/>
    </xf>
    <xf numFmtId="176" fontId="20" fillId="33" borderId="45" xfId="0" applyNumberFormat="1" applyFont="1" applyFill="1" applyBorder="1" applyAlignment="1">
      <alignment horizontal="center" vertical="center"/>
    </xf>
    <xf numFmtId="0" fontId="18" fillId="33" borderId="45" xfId="0" applyFont="1" applyFill="1" applyBorder="1" applyAlignment="1">
      <alignment horizontal="center" vertical="center"/>
    </xf>
    <xf numFmtId="0" fontId="18" fillId="33" borderId="18" xfId="0" applyFont="1" applyFill="1" applyBorder="1" applyAlignment="1">
      <alignment horizontal="left" vertical="center"/>
    </xf>
    <xf numFmtId="0" fontId="18" fillId="33" borderId="47" xfId="0" applyFont="1" applyFill="1" applyBorder="1" applyAlignment="1">
      <alignment horizontal="center" vertical="center"/>
    </xf>
    <xf numFmtId="0" fontId="35" fillId="0" borderId="18" xfId="0" applyFont="1" applyBorder="1" applyAlignment="1">
      <alignment horizontal="center" vertical="center"/>
    </xf>
    <xf numFmtId="58" fontId="18" fillId="0" borderId="18" xfId="0" applyNumberFormat="1" applyFont="1" applyFill="1" applyBorder="1" applyAlignment="1">
      <alignment horizontal="center" vertical="center"/>
    </xf>
    <xf numFmtId="0" fontId="16" fillId="14" borderId="18" xfId="0" applyNumberFormat="1" applyFont="1" applyFill="1" applyBorder="1" applyAlignment="1">
      <alignment horizontal="center" vertical="center"/>
    </xf>
    <xf numFmtId="14" fontId="16" fillId="0" borderId="18" xfId="0" applyNumberFormat="1" applyFont="1" applyFill="1" applyBorder="1" applyAlignment="1">
      <alignment horizontal="center" vertical="center"/>
    </xf>
    <xf numFmtId="176" fontId="18" fillId="0" borderId="45" xfId="0" applyNumberFormat="1" applyFont="1" applyFill="1" applyBorder="1" applyAlignment="1">
      <alignment horizontal="center" vertical="center"/>
    </xf>
    <xf numFmtId="176" fontId="18" fillId="0" borderId="18" xfId="0" applyNumberFormat="1" applyFont="1" applyFill="1" applyBorder="1" applyAlignment="1">
      <alignment vertical="center"/>
    </xf>
    <xf numFmtId="0" fontId="18" fillId="32" borderId="18" xfId="0" applyFont="1" applyFill="1" applyBorder="1" applyAlignment="1">
      <alignment horizontal="center" vertical="center"/>
    </xf>
    <xf numFmtId="0" fontId="18" fillId="32" borderId="0" xfId="0" applyFont="1" applyFill="1" applyBorder="1" applyAlignment="1">
      <alignment horizontal="center" vertical="center"/>
    </xf>
    <xf numFmtId="0" fontId="16" fillId="36" borderId="18" xfId="0" applyFont="1" applyFill="1" applyBorder="1" applyAlignment="1">
      <alignment horizontal="center" vertical="center"/>
    </xf>
    <xf numFmtId="0" fontId="28" fillId="0" borderId="21" xfId="0" applyFont="1" applyFill="1" applyBorder="1" applyAlignment="1">
      <alignment horizontal="center" vertical="center"/>
    </xf>
    <xf numFmtId="0" fontId="17" fillId="0" borderId="21" xfId="0" applyFont="1" applyFill="1" applyBorder="1" applyAlignment="1">
      <alignment horizontal="center" vertical="center"/>
    </xf>
    <xf numFmtId="0" fontId="27" fillId="0" borderId="18" xfId="0" applyFont="1" applyFill="1" applyBorder="1" applyAlignment="1">
      <alignment horizontal="center"/>
    </xf>
    <xf numFmtId="0" fontId="18" fillId="0" borderId="21" xfId="0" applyNumberFormat="1" applyFont="1" applyFill="1" applyBorder="1" applyAlignment="1">
      <alignment horizontal="center" vertical="center" wrapText="1"/>
    </xf>
    <xf numFmtId="0" fontId="18" fillId="0" borderId="21" xfId="0" applyFont="1" applyFill="1" applyBorder="1" applyAlignment="1">
      <alignment horizontal="center" vertical="center" wrapText="1"/>
    </xf>
    <xf numFmtId="0" fontId="18" fillId="32" borderId="47" xfId="0" applyFont="1" applyFill="1" applyBorder="1" applyAlignment="1">
      <alignment horizontal="center" vertical="center"/>
    </xf>
    <xf numFmtId="0" fontId="13" fillId="0" borderId="47"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18" xfId="4" applyNumberFormat="1" applyFont="1" applyFill="1" applyBorder="1" applyAlignment="1">
      <alignment horizontal="center" vertical="center"/>
    </xf>
    <xf numFmtId="49" fontId="16" fillId="0" borderId="18" xfId="0" applyNumberFormat="1" applyFont="1" applyBorder="1" applyAlignment="1">
      <alignment horizontal="center" vertical="center"/>
    </xf>
    <xf numFmtId="49" fontId="20" fillId="0" borderId="18" xfId="0" applyNumberFormat="1" applyFont="1" applyFill="1" applyBorder="1" applyAlignment="1">
      <alignment horizontal="center" vertical="center"/>
    </xf>
    <xf numFmtId="0" fontId="16" fillId="20" borderId="18" xfId="0" applyFont="1" applyFill="1" applyBorder="1" applyAlignment="1">
      <alignment horizontal="center" vertical="center"/>
    </xf>
    <xf numFmtId="0" fontId="18" fillId="0" borderId="0" xfId="0" applyFont="1" applyFill="1" applyAlignment="1">
      <alignment horizontal="center" vertical="center"/>
    </xf>
    <xf numFmtId="0" fontId="33" fillId="0" borderId="45" xfId="0" applyFont="1" applyFill="1" applyBorder="1" applyAlignment="1">
      <alignment horizontal="center" vertical="center"/>
    </xf>
    <xf numFmtId="0" fontId="16" fillId="0" borderId="18" xfId="0" applyNumberFormat="1" applyFont="1" applyFill="1" applyBorder="1" applyAlignment="1">
      <alignment horizontal="center" vertical="center"/>
    </xf>
    <xf numFmtId="0" fontId="20" fillId="0" borderId="45" xfId="0" applyFont="1" applyFill="1" applyBorder="1" applyAlignment="1">
      <alignment horizontal="left" vertical="center"/>
    </xf>
    <xf numFmtId="0" fontId="20" fillId="16" borderId="0" xfId="0" applyNumberFormat="1" applyFont="1" applyFill="1" applyAlignment="1">
      <alignment horizontal="center" vertical="center"/>
    </xf>
    <xf numFmtId="0" fontId="20" fillId="14" borderId="0" xfId="0" applyNumberFormat="1" applyFont="1" applyFill="1" applyAlignment="1">
      <alignment horizontal="center" vertical="center"/>
    </xf>
    <xf numFmtId="0" fontId="20" fillId="25" borderId="0" xfId="0" applyNumberFormat="1" applyFont="1" applyFill="1" applyAlignment="1">
      <alignment horizontal="center" vertical="center"/>
    </xf>
    <xf numFmtId="0" fontId="20" fillId="0" borderId="0" xfId="0" applyFont="1" applyFill="1" applyAlignment="1">
      <alignment horizontal="center" vertical="center"/>
    </xf>
    <xf numFmtId="0" fontId="31" fillId="0" borderId="19" xfId="0" applyFont="1" applyFill="1" applyBorder="1" applyAlignment="1">
      <alignment horizontal="center" vertical="center"/>
    </xf>
    <xf numFmtId="0" fontId="31" fillId="0" borderId="19" xfId="0" applyNumberFormat="1" applyFont="1" applyFill="1" applyBorder="1" applyAlignment="1">
      <alignment horizontal="center" vertical="center"/>
    </xf>
    <xf numFmtId="0" fontId="31" fillId="33" borderId="18" xfId="0" applyFont="1" applyFill="1" applyBorder="1" applyAlignment="1">
      <alignment horizontal="center" vertical="center"/>
    </xf>
    <xf numFmtId="0" fontId="31" fillId="0" borderId="64" xfId="0" applyNumberFormat="1" applyFont="1" applyFill="1" applyBorder="1" applyAlignment="1">
      <alignment horizontal="center" vertical="center"/>
    </xf>
    <xf numFmtId="0" fontId="17" fillId="0" borderId="18" xfId="0" applyFont="1" applyFill="1" applyBorder="1" applyAlignment="1" applyProtection="1">
      <alignment horizontal="center" vertical="center"/>
      <protection locked="0"/>
    </xf>
    <xf numFmtId="176" fontId="17" fillId="0" borderId="18" xfId="0" applyNumberFormat="1" applyFont="1" applyFill="1" applyBorder="1" applyAlignment="1" applyProtection="1">
      <alignment horizontal="center" vertical="center"/>
      <protection locked="0"/>
    </xf>
    <xf numFmtId="176" fontId="17" fillId="0" borderId="45" xfId="0" applyNumberFormat="1" applyFont="1" applyFill="1" applyBorder="1" applyAlignment="1" applyProtection="1">
      <alignment horizontal="center" vertical="center"/>
      <protection locked="0"/>
    </xf>
    <xf numFmtId="0" fontId="16" fillId="0" borderId="18" xfId="0" applyFont="1" applyFill="1" applyBorder="1" applyAlignment="1" applyProtection="1">
      <alignment horizontal="center" vertical="center"/>
      <protection locked="0"/>
    </xf>
    <xf numFmtId="0" fontId="20" fillId="0" borderId="18" xfId="0" applyFont="1" applyFill="1" applyBorder="1" applyAlignment="1" applyProtection="1">
      <alignment horizontal="center" vertical="center"/>
      <protection locked="0"/>
    </xf>
    <xf numFmtId="176" fontId="20" fillId="0" borderId="45" xfId="0" applyNumberFormat="1" applyFont="1" applyFill="1" applyBorder="1" applyAlignment="1" applyProtection="1">
      <alignment horizontal="center" vertical="center"/>
      <protection locked="0"/>
    </xf>
    <xf numFmtId="0" fontId="21" fillId="0" borderId="18" xfId="0" applyFont="1" applyFill="1" applyBorder="1" applyAlignment="1" applyProtection="1">
      <alignment horizontal="center" vertical="center"/>
      <protection locked="0"/>
    </xf>
    <xf numFmtId="176" fontId="20" fillId="0" borderId="65" xfId="0" applyNumberFormat="1" applyFont="1" applyFill="1" applyBorder="1" applyAlignment="1" applyProtection="1">
      <alignment horizontal="center" vertical="center"/>
      <protection locked="0"/>
    </xf>
    <xf numFmtId="176" fontId="20" fillId="0" borderId="18" xfId="0" applyNumberFormat="1" applyFont="1" applyFill="1" applyBorder="1" applyAlignment="1" applyProtection="1">
      <alignment horizontal="center" vertical="center"/>
      <protection locked="0"/>
    </xf>
    <xf numFmtId="0" fontId="18" fillId="0" borderId="18" xfId="0" applyFont="1" applyFill="1" applyBorder="1" applyAlignment="1" applyProtection="1">
      <alignment horizontal="center" vertical="center"/>
      <protection locked="0"/>
    </xf>
    <xf numFmtId="0" fontId="17" fillId="0" borderId="45" xfId="0" applyNumberFormat="1" applyFont="1" applyFill="1" applyBorder="1" applyAlignment="1" applyProtection="1">
      <alignment horizontal="center" vertical="center"/>
      <protection locked="0"/>
    </xf>
    <xf numFmtId="0" fontId="17" fillId="0" borderId="47" xfId="0" applyNumberFormat="1" applyFont="1" applyFill="1" applyBorder="1" applyAlignment="1" applyProtection="1">
      <alignment horizontal="center" vertical="center"/>
      <protection locked="0"/>
    </xf>
    <xf numFmtId="0" fontId="20" fillId="0" borderId="45" xfId="0" applyNumberFormat="1" applyFont="1" applyFill="1" applyBorder="1" applyAlignment="1" applyProtection="1">
      <alignment horizontal="center" vertical="center"/>
      <protection locked="0"/>
    </xf>
    <xf numFmtId="0" fontId="20" fillId="0" borderId="47" xfId="0" applyNumberFormat="1" applyFont="1" applyFill="1" applyBorder="1" applyAlignment="1" applyProtection="1">
      <alignment horizontal="center" vertical="center"/>
      <protection locked="0"/>
    </xf>
    <xf numFmtId="0" fontId="17" fillId="0" borderId="45" xfId="0" applyFont="1" applyFill="1" applyBorder="1" applyAlignment="1" applyProtection="1">
      <alignment horizontal="center" vertical="center"/>
      <protection locked="0"/>
    </xf>
    <xf numFmtId="0" fontId="20" fillId="0" borderId="18" xfId="0" applyNumberFormat="1" applyFont="1" applyFill="1" applyBorder="1" applyAlignment="1" applyProtection="1">
      <alignment horizontal="center" vertical="center"/>
      <protection locked="0"/>
    </xf>
    <xf numFmtId="0" fontId="20" fillId="0" borderId="65" xfId="0" applyNumberFormat="1" applyFont="1" applyFill="1" applyBorder="1" applyAlignment="1">
      <alignment horizontal="center" vertical="center"/>
    </xf>
    <xf numFmtId="0" fontId="20" fillId="0" borderId="65" xfId="0" applyFont="1" applyFill="1" applyBorder="1" applyAlignment="1">
      <alignment horizontal="center" vertical="center"/>
    </xf>
    <xf numFmtId="14" fontId="18" fillId="0" borderId="18" xfId="0" applyNumberFormat="1" applyFont="1" applyFill="1" applyBorder="1" applyAlignment="1">
      <alignment horizontal="center" vertical="center"/>
    </xf>
    <xf numFmtId="0" fontId="18" fillId="0" borderId="18" xfId="0" applyFont="1" applyFill="1" applyBorder="1" applyAlignment="1" applyProtection="1">
      <alignment horizontal="center" vertical="center"/>
      <protection locked="0"/>
    </xf>
    <xf numFmtId="0" fontId="20" fillId="0" borderId="18" xfId="0" applyFont="1" applyFill="1" applyBorder="1" applyAlignment="1" applyProtection="1">
      <alignment horizontal="center" vertical="center"/>
      <protection locked="0"/>
    </xf>
    <xf numFmtId="176" fontId="20" fillId="0" borderId="18" xfId="0" applyNumberFormat="1" applyFont="1" applyFill="1" applyBorder="1" applyAlignment="1" applyProtection="1">
      <alignment horizontal="center" vertical="center"/>
      <protection locked="0"/>
    </xf>
    <xf numFmtId="176" fontId="20" fillId="0" borderId="45" xfId="0" applyNumberFormat="1" applyFont="1" applyFill="1" applyBorder="1" applyAlignment="1" applyProtection="1">
      <alignment horizontal="center" vertical="center"/>
      <protection locked="0"/>
    </xf>
    <xf numFmtId="0" fontId="21" fillId="0" borderId="18" xfId="0" applyFont="1" applyFill="1" applyBorder="1" applyAlignment="1" applyProtection="1">
      <alignment horizontal="center" vertical="center"/>
      <protection locked="0"/>
    </xf>
    <xf numFmtId="0" fontId="20" fillId="0" borderId="45" xfId="0" applyNumberFormat="1" applyFont="1" applyFill="1" applyBorder="1" applyAlignment="1" applyProtection="1">
      <alignment horizontal="center" vertical="center"/>
      <protection locked="0"/>
    </xf>
    <xf numFmtId="0" fontId="20" fillId="0" borderId="47" xfId="0" applyNumberFormat="1" applyFont="1" applyFill="1" applyBorder="1" applyAlignment="1" applyProtection="1">
      <alignment horizontal="center" vertical="center"/>
      <protection locked="0"/>
    </xf>
    <xf numFmtId="0" fontId="20" fillId="0" borderId="45" xfId="0" applyNumberFormat="1" applyFont="1" applyFill="1" applyBorder="1" applyAlignment="1">
      <alignment horizontal="center" vertical="center"/>
    </xf>
    <xf numFmtId="0" fontId="20" fillId="0" borderId="18" xfId="0" applyFont="1" applyFill="1" applyBorder="1" applyAlignment="1">
      <alignment horizontal="center" vertical="center"/>
    </xf>
    <xf numFmtId="0" fontId="20" fillId="0" borderId="45" xfId="0" applyNumberFormat="1" applyFont="1" applyFill="1" applyBorder="1" applyAlignment="1">
      <alignment horizontal="center" vertical="center"/>
    </xf>
    <xf numFmtId="0" fontId="20" fillId="0" borderId="45" xfId="0" applyFont="1" applyFill="1" applyBorder="1" applyAlignment="1">
      <alignment horizontal="center" vertical="center"/>
    </xf>
    <xf numFmtId="0" fontId="20" fillId="0" borderId="45" xfId="0" applyFont="1" applyFill="1" applyBorder="1" applyAlignment="1">
      <alignment horizontal="center" vertical="center"/>
    </xf>
    <xf numFmtId="0" fontId="20" fillId="0" borderId="18" xfId="0" applyFont="1" applyFill="1" applyBorder="1" applyAlignment="1" quotePrefix="1">
      <alignment horizontal="center" vertical="center"/>
    </xf>
    <xf numFmtId="0" fontId="18" fillId="0" borderId="18" xfId="0" applyFont="1" applyFill="1" applyBorder="1" applyAlignment="1" quotePrefix="1">
      <alignment horizontal="center" vertical="center"/>
    </xf>
    <xf numFmtId="0" fontId="20" fillId="0" borderId="18" xfId="0" applyNumberFormat="1" applyFont="1" applyFill="1" applyBorder="1" applyAlignment="1" quotePrefix="1">
      <alignment horizontal="center" vertical="center"/>
    </xf>
    <xf numFmtId="0" fontId="31" fillId="0" borderId="18" xfId="0" applyFont="1" applyFill="1" applyBorder="1" applyAlignment="1" quotePrefix="1">
      <alignment horizontal="center" vertical="center"/>
    </xf>
    <xf numFmtId="0" fontId="18" fillId="0" borderId="18" xfId="0" applyNumberFormat="1" applyFont="1" applyFill="1" applyBorder="1" applyAlignment="1" quotePrefix="1">
      <alignment horizontal="center" vertical="center"/>
    </xf>
    <xf numFmtId="0" fontId="20" fillId="0" borderId="45" xfId="0" applyNumberFormat="1" applyFont="1" applyFill="1" applyBorder="1" applyAlignment="1" quotePrefix="1">
      <alignment horizontal="center" vertical="center"/>
    </xf>
    <xf numFmtId="0" fontId="33" fillId="0" borderId="18" xfId="0" applyFont="1" applyFill="1" applyBorder="1" applyAlignment="1" quotePrefix="1">
      <alignment horizontal="center" vertical="center"/>
    </xf>
    <xf numFmtId="0" fontId="20" fillId="34" borderId="18" xfId="0" applyFont="1" applyFill="1" applyBorder="1" applyAlignment="1" quotePrefix="1">
      <alignment horizontal="center" vertical="center"/>
    </xf>
    <xf numFmtId="0" fontId="18" fillId="0" borderId="45" xfId="0" applyFont="1" applyFill="1" applyBorder="1" applyAlignment="1" quotePrefix="1">
      <alignment horizontal="center" vertical="center"/>
    </xf>
    <xf numFmtId="0" fontId="18" fillId="0" borderId="45" xfId="0" applyNumberFormat="1" applyFont="1" applyFill="1" applyBorder="1" applyAlignment="1" quotePrefix="1">
      <alignment horizontal="center" vertical="center"/>
    </xf>
    <xf numFmtId="0" fontId="17" fillId="0" borderId="18" xfId="0" applyFont="1" applyFill="1" applyBorder="1" applyAlignment="1" applyProtection="1" quotePrefix="1">
      <alignment horizontal="center" vertical="center"/>
      <protection locked="0"/>
    </xf>
    <xf numFmtId="0" fontId="20" fillId="0" borderId="18" xfId="0" applyFont="1" applyFill="1" applyBorder="1" applyAlignment="1" applyProtection="1" quotePrefix="1">
      <alignment horizontal="center" vertical="center"/>
      <protection locked="0"/>
    </xf>
    <xf numFmtId="0" fontId="18" fillId="0" borderId="18" xfId="0" applyFont="1" applyFill="1" applyBorder="1" applyAlignment="1" applyProtection="1" quotePrefix="1">
      <alignment horizontal="center" vertical="center"/>
      <protection locked="0"/>
    </xf>
    <xf numFmtId="0" fontId="17" fillId="0" borderId="21" xfId="0" applyFont="1" applyFill="1" applyBorder="1" applyAlignment="1" quotePrefix="1">
      <alignment horizontal="center" vertical="center"/>
    </xf>
    <xf numFmtId="0" fontId="18" fillId="0" borderId="18" xfId="0" applyFont="1" applyFill="1" applyBorder="1" applyAlignment="1" applyProtection="1" quotePrefix="1">
      <alignment horizontal="center" vertical="center"/>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7">
    <dxf>
      <fill>
        <patternFill patternType="solid">
          <bgColor rgb="FFFF9900"/>
        </patternFill>
      </fill>
    </dxf>
    <dxf>
      <fill>
        <patternFill patternType="solid">
          <bgColor theme="9" tint="0.4"/>
        </patternFill>
      </fill>
    </dxf>
    <dxf>
      <fill>
        <patternFill patternType="solid">
          <bgColor theme="9" tint="-0.25"/>
        </patternFill>
      </fill>
    </dxf>
    <dxf>
      <fill>
        <patternFill patternType="solid">
          <bgColor rgb="FFFF9900"/>
        </patternFill>
      </fill>
    </dxf>
    <dxf>
      <fill>
        <patternFill patternType="solid">
          <bgColor theme="7" tint="0.399975585192419"/>
        </patternFill>
      </fill>
    </dxf>
    <dxf>
      <fill>
        <patternFill patternType="solid">
          <bgColor rgb="FFF2F2F2"/>
        </patternFill>
      </fill>
    </dxf>
    <dxf>
      <font>
        <b val="0"/>
        <i val="0"/>
        <color rgb="FFFEFEFE"/>
      </font>
      <fill>
        <patternFill patternType="solid">
          <bgColor rgb="FFA19FB7"/>
        </patternFill>
      </fill>
      <border>
        <top/>
        <bottom style="thin">
          <color rgb="FFBFBFBF"/>
        </bottom>
      </border>
    </dxf>
    <dxf>
      <border>
        <left style="thin">
          <color rgb="FFBFBFBF"/>
        </left>
        <right style="thin">
          <color rgb="FFBFBFBF"/>
        </right>
        <top style="thin">
          <color rgb="FFBFBFBF"/>
        </top>
        <bottom style="thin">
          <color rgb="FFBFBFBF"/>
        </bottom>
        <vertical style="thin">
          <color rgb="FFBFBFBF"/>
        </vertical>
        <horizontal style="thin">
          <color rgb="FFBFBFBF"/>
        </horizontal>
      </border>
    </dxf>
    <dxf>
      <fill>
        <patternFill patternType="solid">
          <bgColor rgb="FFCAD6E8"/>
        </patternFill>
      </fill>
    </dxf>
    <dxf>
      <font>
        <b val="0"/>
        <i val="0"/>
        <u val="none"/>
        <sz val="11"/>
        <color rgb="FFFFFFFF"/>
      </font>
      <fill>
        <patternFill patternType="solid">
          <bgColor rgb="FF36364F"/>
        </patternFill>
      </fill>
    </dxf>
    <dxf>
      <font>
        <b val="0"/>
        <i val="0"/>
        <u val="none"/>
        <sz val="11"/>
        <color rgb="FF333333"/>
      </font>
      <fill>
        <patternFill patternType="solid">
          <bgColor rgb="FFE4EAF4"/>
        </patternFill>
      </fill>
      <border>
        <left/>
        <right/>
        <top/>
        <bottom/>
        <vertical/>
        <horizontal style="thin">
          <color rgb="FFFFFFFF"/>
        </horizontal>
      </border>
    </dxf>
    <dxf>
      <font>
        <b val="0"/>
        <i val="0"/>
        <color rgb="FF5CADA6"/>
      </font>
      <fill>
        <patternFill patternType="solid">
          <bgColor rgb="FFFFFFFF"/>
        </patternFill>
      </fill>
    </dxf>
    <dxf>
      <font>
        <b val="0"/>
        <i val="0"/>
        <color rgb="FF5CADA6"/>
      </font>
      <fill>
        <patternFill patternType="solid">
          <bgColor rgb="FFFFFFFF"/>
        </patternFill>
      </fill>
      <border>
        <top style="thin">
          <color rgb="FF5CADA6"/>
        </top>
        <bottom/>
      </border>
    </dxf>
    <dxf>
      <fill>
        <patternFill patternType="solid">
          <bgColor rgb="FFDBEDEB"/>
        </patternFill>
      </fill>
      <border>
        <left/>
        <right/>
        <top style="thin">
          <color rgb="FF5CADA6"/>
        </top>
        <bottom style="thin">
          <color rgb="FF5CADA6"/>
        </bottom>
        <vertical style="thin">
          <color rgb="FFFFFFFF"/>
        </vertical>
        <horizontal style="thin">
          <color rgb="FFFFFFFF"/>
        </horizontal>
      </border>
    </dxf>
    <dxf>
      <font>
        <color rgb="FFB66169"/>
      </font>
      <fill>
        <patternFill patternType="solid">
          <bgColor rgb="FFD9D9D9"/>
        </patternFill>
      </fill>
      <border>
        <left/>
        <right style="medium">
          <color rgb="FFFFFFFF"/>
        </right>
        <top style="medium">
          <color rgb="FFFFFFFF"/>
        </top>
        <bottom style="thin">
          <color rgb="FFB66169"/>
        </bottom>
        <vertical style="medium">
          <color rgb="FFFFFFFF"/>
        </vertical>
        <horizontal style="medium">
          <color rgb="FFFFFFFF"/>
        </horizontal>
      </border>
    </dxf>
    <dxf>
      <font>
        <b val="0"/>
        <i val="0"/>
        <color rgb="FFFFFFFF"/>
      </font>
      <fill>
        <patternFill patternType="solid">
          <bgColor rgb="FFB66169"/>
        </patternFill>
      </fill>
      <border>
        <left style="medium">
          <color rgb="FFFFFFFF"/>
        </left>
        <right style="medium">
          <color rgb="FFFFFFFF"/>
        </right>
        <top style="medium">
          <color rgb="FFFFFFFF"/>
        </top>
        <bottom style="medium">
          <color rgb="FFFFFFFF"/>
        </bottom>
        <vertical style="medium">
          <color rgb="FFFFFFFF"/>
        </vertical>
        <horizontal style="medium">
          <color rgb="FFFFFFFF"/>
        </horizontal>
      </border>
    </dxf>
    <dxf>
      <font>
        <color auto="1"/>
      </font>
      <fill>
        <patternFill patternType="solid">
          <bgColor rgb="FFF2F2F2"/>
        </patternFill>
      </fill>
      <border>
        <left style="medium">
          <color rgb="FFFFFFFF"/>
        </left>
        <right style="medium">
          <color rgb="FFFFFFFF"/>
        </right>
        <top style="medium">
          <color rgb="FFFFFFFF"/>
        </top>
        <bottom style="thin">
          <color rgb="FFB66169"/>
        </bottom>
        <vertical style="medium">
          <color rgb="FFFFFFFF"/>
        </vertical>
        <horizontal style="medium">
          <color rgb="FFFFFFFF"/>
        </horizontal>
      </border>
    </dxf>
  </dxfs>
  <tableStyles count="4" defaultTableStyle="TableStyleMedium2" defaultPivotStyle="PivotStyleLight16">
    <tableStyle name="简约镶边列系列7" count="3">
      <tableStyleElement type="wholeTable" dxfId="7"/>
      <tableStyleElement type="headerRow" dxfId="6"/>
      <tableStyleElement type="secondColumnStripe" dxfId="5"/>
    </tableStyle>
    <tableStyle name="商务首列填充03" count="3">
      <tableStyleElement type="wholeTable" dxfId="10"/>
      <tableStyleElement type="headerRow" dxfId="9"/>
      <tableStyleElement type="firstColumn" dxfId="8"/>
    </tableStyle>
    <tableStyle name="商务简约汇总行系列2" count="3">
      <tableStyleElement type="wholeTable" dxfId="13"/>
      <tableStyleElement type="headerRow" dxfId="12"/>
      <tableStyleElement type="totalRow" dxfId="11"/>
    </tableStyle>
    <tableStyle name="纵横双标题行填充系列6" count="3">
      <tableStyleElement type="wholeTable" dxfId="16"/>
      <tableStyleElement type="headerRow" dxfId="15"/>
      <tableStyleElement type="firstColumn" dxfId="14"/>
    </tableStyle>
  </tableStyles>
  <colors>
    <mruColors>
      <color rgb="00C5A3C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670"/>
  <sheetViews>
    <sheetView tabSelected="1" workbookViewId="0">
      <pane xSplit="9" ySplit="2" topLeftCell="J10643" activePane="bottomRight" state="frozen"/>
      <selection/>
      <selection pane="topRight"/>
      <selection pane="bottomLeft"/>
      <selection pane="bottomRight" activeCell="G10657" sqref="G10657"/>
    </sheetView>
  </sheetViews>
  <sheetFormatPr defaultColWidth="9" defaultRowHeight="14" customHeight="1"/>
  <cols>
    <col min="1" max="1" width="6.875" style="334" customWidth="1"/>
    <col min="2" max="2" width="10.1833333333333" style="330" customWidth="1"/>
    <col min="3" max="3" width="7.25" style="330" customWidth="1"/>
    <col min="4" max="4" width="7.375" style="335" customWidth="1"/>
    <col min="5" max="6" width="8.625" style="336" customWidth="1"/>
    <col min="7" max="7" width="8.375" style="330" customWidth="1"/>
    <col min="8" max="8" width="8.89166666666667" style="330" customWidth="1"/>
    <col min="9" max="9" width="10.375" style="330" customWidth="1"/>
    <col min="10" max="10" width="27.25" style="330" customWidth="1"/>
    <col min="11" max="11" width="7.625" style="337" customWidth="1"/>
    <col min="12" max="12" width="8" style="338" customWidth="1"/>
    <col min="13" max="13" width="8.125" style="338" customWidth="1"/>
    <col min="14" max="14" width="8.875" style="338" customWidth="1"/>
    <col min="15" max="20" width="9" style="330"/>
    <col min="21" max="21" width="11.0333333333333" style="330" customWidth="1"/>
    <col min="22" max="23" width="9" style="330"/>
    <col min="24" max="24" width="9" style="339"/>
    <col min="25" max="27" width="9.125" style="330" customWidth="1"/>
    <col min="28" max="16384" width="9" style="330"/>
  </cols>
  <sheetData>
    <row r="1" s="330" customFormat="1" customHeight="1" spans="1:27">
      <c r="A1" s="340" t="s">
        <v>0</v>
      </c>
      <c r="B1" s="341"/>
      <c r="C1" s="342" t="s">
        <v>1</v>
      </c>
      <c r="D1" s="343" t="s">
        <v>2</v>
      </c>
      <c r="E1" s="344" t="s">
        <v>3</v>
      </c>
      <c r="F1" s="344" t="s">
        <v>4</v>
      </c>
      <c r="G1" s="345" t="s">
        <v>5</v>
      </c>
      <c r="H1" s="346" t="s">
        <v>6</v>
      </c>
      <c r="I1" s="346"/>
      <c r="J1" s="346"/>
      <c r="K1" s="357" t="s">
        <v>7</v>
      </c>
      <c r="L1" s="358" t="s">
        <v>8</v>
      </c>
      <c r="M1" s="358" t="s">
        <v>9</v>
      </c>
      <c r="N1" s="358" t="s">
        <v>10</v>
      </c>
      <c r="O1" s="359" t="s">
        <v>11</v>
      </c>
      <c r="P1" s="359"/>
      <c r="Q1" s="359"/>
      <c r="R1" s="359"/>
      <c r="S1" s="359"/>
      <c r="T1" s="359"/>
      <c r="U1" s="370" t="s">
        <v>12</v>
      </c>
      <c r="V1" s="370" t="s">
        <v>13</v>
      </c>
      <c r="W1" s="370"/>
      <c r="X1" s="371" t="s">
        <v>14</v>
      </c>
      <c r="Y1" s="346" t="s">
        <v>15</v>
      </c>
      <c r="Z1" s="346"/>
      <c r="AA1" s="346"/>
    </row>
    <row r="2" s="330" customFormat="1" customHeight="1" spans="1:27">
      <c r="A2" s="340"/>
      <c r="B2" s="347"/>
      <c r="C2" s="342"/>
      <c r="D2" s="343"/>
      <c r="E2" s="344"/>
      <c r="F2" s="344"/>
      <c r="G2" s="345"/>
      <c r="H2" s="342" t="s">
        <v>16</v>
      </c>
      <c r="I2" s="360" t="s">
        <v>17</v>
      </c>
      <c r="J2" s="342" t="s">
        <v>18</v>
      </c>
      <c r="K2" s="357"/>
      <c r="L2" s="358"/>
      <c r="M2" s="358"/>
      <c r="N2" s="358"/>
      <c r="O2" s="359" t="s">
        <v>19</v>
      </c>
      <c r="P2" s="359" t="s">
        <v>20</v>
      </c>
      <c r="Q2" s="359" t="s">
        <v>21</v>
      </c>
      <c r="R2" s="359" t="s">
        <v>22</v>
      </c>
      <c r="S2" s="359" t="s">
        <v>23</v>
      </c>
      <c r="T2" s="359" t="s">
        <v>24</v>
      </c>
      <c r="U2" s="370" t="s">
        <v>25</v>
      </c>
      <c r="V2" s="370" t="s">
        <v>26</v>
      </c>
      <c r="W2" s="370" t="s">
        <v>27</v>
      </c>
      <c r="X2" s="371"/>
      <c r="Y2" s="342" t="s">
        <v>28</v>
      </c>
      <c r="Z2" s="342" t="s">
        <v>29</v>
      </c>
      <c r="AA2" s="342" t="s">
        <v>30</v>
      </c>
    </row>
    <row r="3" s="331" customFormat="1" ht="17" customHeight="1" spans="1:27">
      <c r="A3" s="348"/>
      <c r="B3" s="348" t="s">
        <v>31</v>
      </c>
      <c r="C3" s="348" t="s">
        <v>32</v>
      </c>
      <c r="D3" s="349" t="s">
        <v>33</v>
      </c>
      <c r="E3" s="336">
        <v>43466</v>
      </c>
      <c r="F3" s="336">
        <v>43466</v>
      </c>
      <c r="G3" s="350"/>
      <c r="H3" s="351" t="s">
        <v>34</v>
      </c>
      <c r="I3" s="356">
        <v>13817376068</v>
      </c>
      <c r="J3" s="361"/>
      <c r="K3" s="356">
        <v>1000</v>
      </c>
      <c r="L3" s="362"/>
      <c r="M3" s="362"/>
      <c r="N3" s="362">
        <f>L3+M3</f>
        <v>0</v>
      </c>
      <c r="O3" s="356"/>
      <c r="P3" s="356"/>
      <c r="Q3" s="356"/>
      <c r="R3" s="356"/>
      <c r="S3" s="356"/>
      <c r="T3" s="356"/>
      <c r="U3" s="372"/>
      <c r="V3" s="372"/>
      <c r="W3" s="372"/>
      <c r="X3" s="373"/>
      <c r="Y3" s="348"/>
      <c r="Z3" s="348"/>
      <c r="AA3" s="348"/>
    </row>
    <row r="4" s="331" customFormat="1" ht="17" customHeight="1" spans="1:27">
      <c r="A4" s="348">
        <v>2021946</v>
      </c>
      <c r="B4" s="348" t="s">
        <v>35</v>
      </c>
      <c r="C4" s="348" t="s">
        <v>36</v>
      </c>
      <c r="D4" s="352" t="s">
        <v>37</v>
      </c>
      <c r="E4" s="336">
        <v>43466</v>
      </c>
      <c r="F4" s="336">
        <v>43466</v>
      </c>
      <c r="G4" s="350"/>
      <c r="H4" s="351" t="s">
        <v>38</v>
      </c>
      <c r="I4" s="356">
        <v>18721861573</v>
      </c>
      <c r="J4" s="361" t="s">
        <v>39</v>
      </c>
      <c r="K4" s="356">
        <v>1000</v>
      </c>
      <c r="L4" s="362"/>
      <c r="M4" s="362"/>
      <c r="N4" s="362">
        <f t="shared" ref="N4:N35" si="0">L4+M4</f>
        <v>0</v>
      </c>
      <c r="O4" s="356"/>
      <c r="P4" s="356"/>
      <c r="Q4" s="356"/>
      <c r="R4" s="356"/>
      <c r="S4" s="356"/>
      <c r="T4" s="356"/>
      <c r="U4" s="372" t="s">
        <v>40</v>
      </c>
      <c r="V4" s="372"/>
      <c r="W4" s="374"/>
      <c r="X4" s="373"/>
      <c r="Y4" s="348" t="s">
        <v>41</v>
      </c>
      <c r="Z4" s="348"/>
      <c r="AA4" s="348"/>
    </row>
    <row r="5" s="331" customFormat="1" ht="17" customHeight="1" spans="1:27">
      <c r="A5" s="348"/>
      <c r="B5" s="348" t="s">
        <v>42</v>
      </c>
      <c r="C5" s="348" t="s">
        <v>43</v>
      </c>
      <c r="D5" s="349" t="s">
        <v>44</v>
      </c>
      <c r="E5" s="336">
        <v>43684</v>
      </c>
      <c r="F5" s="336">
        <v>43624</v>
      </c>
      <c r="G5" s="336">
        <v>43684</v>
      </c>
      <c r="H5" s="334" t="s">
        <v>45</v>
      </c>
      <c r="I5" s="356">
        <v>13044158681</v>
      </c>
      <c r="J5" s="361" t="s">
        <v>46</v>
      </c>
      <c r="K5" s="356">
        <v>1000</v>
      </c>
      <c r="L5" s="334">
        <v>4312</v>
      </c>
      <c r="M5" s="362"/>
      <c r="N5" s="362">
        <f t="shared" si="0"/>
        <v>4312</v>
      </c>
      <c r="O5" s="356" t="s">
        <v>19</v>
      </c>
      <c r="P5" s="356"/>
      <c r="Q5" s="356"/>
      <c r="R5" s="356"/>
      <c r="S5" s="356"/>
      <c r="T5" s="356"/>
      <c r="U5" s="372"/>
      <c r="V5" s="372"/>
      <c r="W5" s="372"/>
      <c r="X5" s="373"/>
      <c r="Y5" s="348"/>
      <c r="Z5" s="348"/>
      <c r="AA5" s="348"/>
    </row>
    <row r="6" s="331" customFormat="1" ht="17" customHeight="1" spans="1:27">
      <c r="A6" s="348">
        <v>2021372</v>
      </c>
      <c r="B6" s="348" t="s">
        <v>47</v>
      </c>
      <c r="C6" s="348" t="s">
        <v>48</v>
      </c>
      <c r="D6" s="352" t="s">
        <v>49</v>
      </c>
      <c r="E6" s="336">
        <v>43471</v>
      </c>
      <c r="F6" s="336">
        <v>43471</v>
      </c>
      <c r="G6" s="350"/>
      <c r="H6" s="351" t="s">
        <v>50</v>
      </c>
      <c r="I6" s="356">
        <v>18916265306</v>
      </c>
      <c r="J6" s="361" t="s">
        <v>51</v>
      </c>
      <c r="K6" s="356">
        <v>1000</v>
      </c>
      <c r="L6" s="362"/>
      <c r="M6" s="362"/>
      <c r="N6" s="362">
        <f t="shared" si="0"/>
        <v>0</v>
      </c>
      <c r="O6" s="356" t="s">
        <v>52</v>
      </c>
      <c r="P6" s="356"/>
      <c r="Q6" s="356"/>
      <c r="R6" s="356"/>
      <c r="S6" s="356"/>
      <c r="T6" s="356"/>
      <c r="U6" s="372"/>
      <c r="V6" s="372"/>
      <c r="W6" s="372"/>
      <c r="X6" s="373"/>
      <c r="Y6" s="348"/>
      <c r="Z6" s="348"/>
      <c r="AA6" s="348"/>
    </row>
    <row r="7" s="331" customFormat="1" ht="17" customHeight="1" spans="1:27">
      <c r="A7" s="348">
        <v>2021375</v>
      </c>
      <c r="B7" s="348" t="s">
        <v>47</v>
      </c>
      <c r="C7" s="348" t="s">
        <v>53</v>
      </c>
      <c r="D7" s="352" t="s">
        <v>49</v>
      </c>
      <c r="E7" s="336">
        <v>43471</v>
      </c>
      <c r="F7" s="336">
        <v>43470</v>
      </c>
      <c r="G7" s="350"/>
      <c r="H7" s="351" t="s">
        <v>54</v>
      </c>
      <c r="I7" s="356">
        <v>13761068030</v>
      </c>
      <c r="J7" s="361" t="s">
        <v>55</v>
      </c>
      <c r="K7" s="356">
        <v>1000</v>
      </c>
      <c r="L7" s="362"/>
      <c r="M7" s="362"/>
      <c r="N7" s="362">
        <f t="shared" si="0"/>
        <v>0</v>
      </c>
      <c r="O7" s="356"/>
      <c r="P7" s="356"/>
      <c r="Q7" s="356" t="s">
        <v>52</v>
      </c>
      <c r="R7" s="356"/>
      <c r="S7" s="356"/>
      <c r="T7" s="356"/>
      <c r="U7" s="375" t="s">
        <v>56</v>
      </c>
      <c r="V7" s="372"/>
      <c r="W7" s="372"/>
      <c r="X7" s="373"/>
      <c r="Y7" s="348"/>
      <c r="Z7" s="348"/>
      <c r="AA7" s="348"/>
    </row>
    <row r="8" s="331" customFormat="1" ht="17" customHeight="1" spans="1:27">
      <c r="A8" s="550" t="s">
        <v>57</v>
      </c>
      <c r="B8" s="348" t="s">
        <v>58</v>
      </c>
      <c r="C8" s="348" t="s">
        <v>59</v>
      </c>
      <c r="D8" s="349" t="s">
        <v>60</v>
      </c>
      <c r="E8" s="336">
        <v>43471</v>
      </c>
      <c r="F8" s="336">
        <v>43470</v>
      </c>
      <c r="G8" s="350"/>
      <c r="H8" s="353" t="s">
        <v>61</v>
      </c>
      <c r="I8" s="363">
        <v>18930172961</v>
      </c>
      <c r="J8" s="364" t="s">
        <v>62</v>
      </c>
      <c r="K8" s="356">
        <v>1000</v>
      </c>
      <c r="L8" s="362"/>
      <c r="M8" s="362"/>
      <c r="N8" s="362">
        <f t="shared" si="0"/>
        <v>0</v>
      </c>
      <c r="O8" s="356"/>
      <c r="P8" s="365" t="s">
        <v>52</v>
      </c>
      <c r="Q8" s="356"/>
      <c r="R8" s="356"/>
      <c r="S8" s="356"/>
      <c r="T8" s="356"/>
      <c r="U8" s="372" t="s">
        <v>63</v>
      </c>
      <c r="V8" s="372"/>
      <c r="W8" s="372"/>
      <c r="X8" s="373"/>
      <c r="Y8" s="348" t="s">
        <v>64</v>
      </c>
      <c r="Z8" s="348"/>
      <c r="AA8" s="348" t="s">
        <v>65</v>
      </c>
    </row>
    <row r="9" s="331" customFormat="1" ht="17" customHeight="1" spans="1:27">
      <c r="A9" s="348">
        <v>2067965</v>
      </c>
      <c r="B9" s="348" t="s">
        <v>66</v>
      </c>
      <c r="C9" s="348" t="s">
        <v>67</v>
      </c>
      <c r="D9" s="349" t="s">
        <v>68</v>
      </c>
      <c r="E9" s="336">
        <v>43471</v>
      </c>
      <c r="F9" s="336">
        <v>43471</v>
      </c>
      <c r="G9" s="350" t="s">
        <v>69</v>
      </c>
      <c r="H9" s="353" t="s">
        <v>70</v>
      </c>
      <c r="I9" s="363">
        <v>15202161521</v>
      </c>
      <c r="J9" s="364" t="s">
        <v>71</v>
      </c>
      <c r="K9" s="356">
        <v>1000</v>
      </c>
      <c r="L9" s="362"/>
      <c r="M9" s="362"/>
      <c r="N9" s="362">
        <f t="shared" si="0"/>
        <v>0</v>
      </c>
      <c r="O9" s="356"/>
      <c r="P9" s="356"/>
      <c r="Q9" s="356"/>
      <c r="R9" s="356"/>
      <c r="S9" s="356"/>
      <c r="T9" s="356"/>
      <c r="U9" s="372"/>
      <c r="V9" s="372"/>
      <c r="W9" s="372"/>
      <c r="X9" s="373"/>
      <c r="Y9" s="348" t="s">
        <v>72</v>
      </c>
      <c r="Z9" s="348"/>
      <c r="AA9" s="348"/>
    </row>
    <row r="10" s="331" customFormat="1" ht="17" customHeight="1" spans="1:27">
      <c r="A10" s="348">
        <v>2023413</v>
      </c>
      <c r="B10" s="348" t="s">
        <v>73</v>
      </c>
      <c r="C10" s="348" t="s">
        <v>74</v>
      </c>
      <c r="D10" s="352" t="s">
        <v>75</v>
      </c>
      <c r="E10" s="336">
        <v>43479</v>
      </c>
      <c r="F10" s="336">
        <v>43473</v>
      </c>
      <c r="G10" s="350"/>
      <c r="H10" s="334" t="s">
        <v>76</v>
      </c>
      <c r="I10" s="363">
        <v>17317239913</v>
      </c>
      <c r="J10" s="364" t="s">
        <v>77</v>
      </c>
      <c r="K10" s="356">
        <v>1000</v>
      </c>
      <c r="L10" s="362"/>
      <c r="M10" s="362"/>
      <c r="N10" s="362">
        <f t="shared" si="0"/>
        <v>0</v>
      </c>
      <c r="O10" s="356"/>
      <c r="P10" s="356"/>
      <c r="Q10" s="366" t="s">
        <v>52</v>
      </c>
      <c r="R10" s="356"/>
      <c r="S10" s="356"/>
      <c r="T10" s="356"/>
      <c r="U10" s="372" t="s">
        <v>78</v>
      </c>
      <c r="V10" s="372"/>
      <c r="W10" s="372"/>
      <c r="X10" s="373"/>
      <c r="Y10" s="348"/>
      <c r="Z10" s="348" t="s">
        <v>79</v>
      </c>
      <c r="AA10" s="348"/>
    </row>
    <row r="11" s="331" customFormat="1" ht="17" customHeight="1" spans="1:27">
      <c r="A11" s="348">
        <v>2021378</v>
      </c>
      <c r="B11" s="348" t="s">
        <v>47</v>
      </c>
      <c r="C11" s="348" t="s">
        <v>80</v>
      </c>
      <c r="D11" s="352" t="s">
        <v>49</v>
      </c>
      <c r="E11" s="336">
        <v>43476</v>
      </c>
      <c r="F11" s="336">
        <v>43476</v>
      </c>
      <c r="G11" s="350"/>
      <c r="H11" s="351" t="s">
        <v>81</v>
      </c>
      <c r="I11" s="356">
        <v>13854351787</v>
      </c>
      <c r="J11" s="361" t="s">
        <v>82</v>
      </c>
      <c r="K11" s="356">
        <v>1000</v>
      </c>
      <c r="L11" s="362"/>
      <c r="M11" s="362"/>
      <c r="N11" s="362">
        <f t="shared" si="0"/>
        <v>0</v>
      </c>
      <c r="O11" s="356"/>
      <c r="P11" s="356"/>
      <c r="Q11" s="356" t="s">
        <v>52</v>
      </c>
      <c r="R11" s="356"/>
      <c r="S11" s="356"/>
      <c r="T11" s="356"/>
      <c r="U11" s="372" t="s">
        <v>83</v>
      </c>
      <c r="V11" s="372"/>
      <c r="W11" s="372"/>
      <c r="X11" s="373">
        <v>1</v>
      </c>
      <c r="Y11" s="348"/>
      <c r="Z11" s="348"/>
      <c r="AA11" s="348"/>
    </row>
    <row r="12" s="331" customFormat="1" ht="17" customHeight="1" spans="1:27">
      <c r="A12" s="348">
        <v>2021379</v>
      </c>
      <c r="B12" s="348" t="s">
        <v>47</v>
      </c>
      <c r="C12" s="348" t="s">
        <v>80</v>
      </c>
      <c r="D12" s="352" t="s">
        <v>49</v>
      </c>
      <c r="E12" s="336">
        <v>43476</v>
      </c>
      <c r="F12" s="336">
        <v>43476</v>
      </c>
      <c r="G12" s="350"/>
      <c r="H12" s="351" t="s">
        <v>84</v>
      </c>
      <c r="I12" s="356">
        <v>13753197982</v>
      </c>
      <c r="J12" s="361" t="s">
        <v>85</v>
      </c>
      <c r="K12" s="356">
        <v>1000</v>
      </c>
      <c r="L12" s="362"/>
      <c r="M12" s="362"/>
      <c r="N12" s="362">
        <f t="shared" si="0"/>
        <v>0</v>
      </c>
      <c r="O12" s="356"/>
      <c r="P12" s="356"/>
      <c r="Q12" s="356"/>
      <c r="R12" s="356"/>
      <c r="S12" s="356"/>
      <c r="T12" s="356"/>
      <c r="U12" s="375" t="s">
        <v>86</v>
      </c>
      <c r="V12" s="372"/>
      <c r="W12" s="372"/>
      <c r="X12" s="373"/>
      <c r="Y12" s="348"/>
      <c r="Z12" s="348"/>
      <c r="AA12" s="348"/>
    </row>
    <row r="13" s="331" customFormat="1" ht="17" customHeight="1" spans="1:27">
      <c r="A13" s="348">
        <v>20242</v>
      </c>
      <c r="B13" s="348" t="s">
        <v>87</v>
      </c>
      <c r="C13" s="348" t="s">
        <v>88</v>
      </c>
      <c r="D13" s="349" t="s">
        <v>89</v>
      </c>
      <c r="E13" s="336">
        <v>43477</v>
      </c>
      <c r="F13" s="336">
        <v>43476</v>
      </c>
      <c r="G13" s="350" t="s">
        <v>69</v>
      </c>
      <c r="H13" s="351" t="s">
        <v>90</v>
      </c>
      <c r="I13" s="356">
        <v>18616052061</v>
      </c>
      <c r="J13" s="361" t="s">
        <v>91</v>
      </c>
      <c r="K13" s="356">
        <v>2099</v>
      </c>
      <c r="L13" s="362"/>
      <c r="M13" s="362"/>
      <c r="N13" s="362">
        <f t="shared" si="0"/>
        <v>0</v>
      </c>
      <c r="O13" s="356"/>
      <c r="P13" s="356"/>
      <c r="Q13" s="356"/>
      <c r="R13" s="356"/>
      <c r="S13" s="356"/>
      <c r="T13" s="356"/>
      <c r="U13" s="372"/>
      <c r="V13" s="372"/>
      <c r="W13" s="372"/>
      <c r="X13" s="373"/>
      <c r="Y13" s="348" t="s">
        <v>92</v>
      </c>
      <c r="Z13" s="348"/>
      <c r="AA13" s="348"/>
    </row>
    <row r="14" s="331" customFormat="1" ht="17" customHeight="1" spans="1:27">
      <c r="A14" s="550" t="s">
        <v>93</v>
      </c>
      <c r="B14" s="348" t="s">
        <v>94</v>
      </c>
      <c r="C14" s="348" t="s">
        <v>95</v>
      </c>
      <c r="D14" s="352" t="s">
        <v>49</v>
      </c>
      <c r="E14" s="336">
        <v>43682</v>
      </c>
      <c r="F14" s="336">
        <v>43477</v>
      </c>
      <c r="G14" s="336">
        <v>43674</v>
      </c>
      <c r="H14" s="351" t="s">
        <v>96</v>
      </c>
      <c r="I14" s="356">
        <v>13120540503</v>
      </c>
      <c r="J14" s="361" t="s">
        <v>97</v>
      </c>
      <c r="K14" s="356">
        <v>2000</v>
      </c>
      <c r="L14" s="334">
        <v>5348</v>
      </c>
      <c r="M14" s="362"/>
      <c r="N14" s="362">
        <f t="shared" si="0"/>
        <v>5348</v>
      </c>
      <c r="O14" s="356"/>
      <c r="P14" s="366"/>
      <c r="Q14" s="356"/>
      <c r="R14" s="356"/>
      <c r="S14" s="356"/>
      <c r="T14" s="356"/>
      <c r="U14" s="372"/>
      <c r="V14" s="372"/>
      <c r="W14" s="372" t="s">
        <v>98</v>
      </c>
      <c r="X14" s="373"/>
      <c r="Y14" s="348" t="s">
        <v>99</v>
      </c>
      <c r="Z14" s="348"/>
      <c r="AA14" s="348"/>
    </row>
    <row r="15" s="331" customFormat="1" ht="17" customHeight="1" spans="1:27">
      <c r="A15" s="550" t="s">
        <v>100</v>
      </c>
      <c r="B15" s="348" t="s">
        <v>94</v>
      </c>
      <c r="C15" s="348" t="s">
        <v>101</v>
      </c>
      <c r="D15" s="352" t="s">
        <v>49</v>
      </c>
      <c r="E15" s="336">
        <v>43477</v>
      </c>
      <c r="F15" s="336">
        <v>43477</v>
      </c>
      <c r="G15" s="350"/>
      <c r="H15" s="351" t="s">
        <v>102</v>
      </c>
      <c r="I15" s="356">
        <v>15001772239</v>
      </c>
      <c r="J15" s="361" t="s">
        <v>103</v>
      </c>
      <c r="K15" s="356">
        <v>2000</v>
      </c>
      <c r="L15" s="362"/>
      <c r="M15" s="362"/>
      <c r="N15" s="362">
        <f t="shared" si="0"/>
        <v>0</v>
      </c>
      <c r="O15" s="356"/>
      <c r="P15" s="356"/>
      <c r="Q15" s="356"/>
      <c r="R15" s="356"/>
      <c r="S15" s="356"/>
      <c r="T15" s="356"/>
      <c r="U15" s="372" t="s">
        <v>104</v>
      </c>
      <c r="V15" s="372"/>
      <c r="W15" s="372"/>
      <c r="X15" s="373"/>
      <c r="Y15" s="348" t="s">
        <v>99</v>
      </c>
      <c r="Z15" s="348"/>
      <c r="AA15" s="348"/>
    </row>
    <row r="16" s="331" customFormat="1" ht="17" customHeight="1" spans="1:27">
      <c r="A16" s="348">
        <v>2025597</v>
      </c>
      <c r="B16" s="348" t="s">
        <v>47</v>
      </c>
      <c r="C16" s="348" t="s">
        <v>53</v>
      </c>
      <c r="D16" s="352" t="s">
        <v>49</v>
      </c>
      <c r="E16" s="336">
        <v>43478</v>
      </c>
      <c r="F16" s="336">
        <v>43478</v>
      </c>
      <c r="G16" s="350"/>
      <c r="H16" s="351" t="s">
        <v>105</v>
      </c>
      <c r="I16" s="356">
        <v>18001690042</v>
      </c>
      <c r="J16" s="361" t="s">
        <v>106</v>
      </c>
      <c r="K16" s="356">
        <v>1000</v>
      </c>
      <c r="L16" s="362"/>
      <c r="M16" s="362"/>
      <c r="N16" s="362">
        <f t="shared" si="0"/>
        <v>0</v>
      </c>
      <c r="O16" s="356"/>
      <c r="P16" s="356"/>
      <c r="Q16" s="356" t="s">
        <v>52</v>
      </c>
      <c r="R16" s="356"/>
      <c r="S16" s="356"/>
      <c r="T16" s="356"/>
      <c r="U16" s="375" t="s">
        <v>107</v>
      </c>
      <c r="V16" s="372"/>
      <c r="W16" s="372"/>
      <c r="X16" s="373"/>
      <c r="Y16" s="348"/>
      <c r="Z16" s="348"/>
      <c r="AA16" s="348"/>
    </row>
    <row r="17" s="331" customFormat="1" ht="17" customHeight="1" spans="1:27">
      <c r="A17" s="550" t="s">
        <v>108</v>
      </c>
      <c r="B17" s="348" t="s">
        <v>58</v>
      </c>
      <c r="C17" s="348" t="s">
        <v>109</v>
      </c>
      <c r="D17" s="352" t="s">
        <v>110</v>
      </c>
      <c r="E17" s="336">
        <v>43478</v>
      </c>
      <c r="F17" s="336">
        <v>43478</v>
      </c>
      <c r="G17" s="350"/>
      <c r="H17" s="351" t="s">
        <v>111</v>
      </c>
      <c r="I17" s="356">
        <v>18018684316</v>
      </c>
      <c r="J17" s="361" t="s">
        <v>112</v>
      </c>
      <c r="K17" s="356">
        <v>1000</v>
      </c>
      <c r="L17" s="362"/>
      <c r="M17" s="362"/>
      <c r="N17" s="362">
        <f t="shared" si="0"/>
        <v>0</v>
      </c>
      <c r="O17" s="365"/>
      <c r="P17" s="356"/>
      <c r="Q17" s="356"/>
      <c r="R17" s="356"/>
      <c r="S17" s="356"/>
      <c r="T17" s="356"/>
      <c r="U17" s="372">
        <v>1</v>
      </c>
      <c r="V17" s="372"/>
      <c r="W17" s="372"/>
      <c r="X17" s="373"/>
      <c r="Y17" s="348" t="s">
        <v>113</v>
      </c>
      <c r="Z17" s="348"/>
      <c r="AA17" s="348"/>
    </row>
    <row r="18" s="331" customFormat="1" ht="17" customHeight="1" spans="1:27">
      <c r="A18" s="550" t="s">
        <v>114</v>
      </c>
      <c r="B18" s="348" t="s">
        <v>31</v>
      </c>
      <c r="C18" s="348" t="s">
        <v>115</v>
      </c>
      <c r="D18" s="352" t="s">
        <v>33</v>
      </c>
      <c r="E18" s="336"/>
      <c r="F18" s="336">
        <v>43567</v>
      </c>
      <c r="G18" s="350"/>
      <c r="H18" s="334" t="s">
        <v>116</v>
      </c>
      <c r="I18" s="356">
        <v>13052300370</v>
      </c>
      <c r="J18" s="361" t="s">
        <v>117</v>
      </c>
      <c r="K18" s="356">
        <v>200</v>
      </c>
      <c r="L18" s="362"/>
      <c r="M18" s="362"/>
      <c r="N18" s="362">
        <f t="shared" si="0"/>
        <v>0</v>
      </c>
      <c r="O18" s="356"/>
      <c r="P18" s="356"/>
      <c r="Q18" s="356"/>
      <c r="R18" s="356"/>
      <c r="S18" s="356"/>
      <c r="T18" s="356"/>
      <c r="U18" s="372"/>
      <c r="V18" s="372"/>
      <c r="W18" s="372"/>
      <c r="X18" s="373"/>
      <c r="Y18" s="348" t="s">
        <v>118</v>
      </c>
      <c r="Z18" s="348"/>
      <c r="AA18" s="348"/>
    </row>
    <row r="19" s="331" customFormat="1" ht="17" customHeight="1" spans="1:27">
      <c r="A19" s="348">
        <v>2068117</v>
      </c>
      <c r="B19" s="348" t="s">
        <v>66</v>
      </c>
      <c r="C19" s="348" t="s">
        <v>119</v>
      </c>
      <c r="D19" s="349" t="s">
        <v>68</v>
      </c>
      <c r="E19" s="336">
        <v>43744</v>
      </c>
      <c r="F19" s="336">
        <v>43477</v>
      </c>
      <c r="G19" s="336">
        <v>43743</v>
      </c>
      <c r="H19" s="351" t="s">
        <v>120</v>
      </c>
      <c r="I19" s="356">
        <v>18616975909</v>
      </c>
      <c r="J19" s="361" t="s">
        <v>121</v>
      </c>
      <c r="K19" s="356">
        <v>1000</v>
      </c>
      <c r="L19" s="334">
        <f>23642</f>
        <v>23642</v>
      </c>
      <c r="M19" s="362"/>
      <c r="N19" s="362">
        <f t="shared" si="0"/>
        <v>23642</v>
      </c>
      <c r="O19" s="356"/>
      <c r="P19" s="356"/>
      <c r="Q19" s="356"/>
      <c r="R19" s="356" t="s">
        <v>122</v>
      </c>
      <c r="S19" s="356"/>
      <c r="T19" s="356"/>
      <c r="U19" s="372"/>
      <c r="V19" s="372"/>
      <c r="W19" s="372"/>
      <c r="X19" s="373"/>
      <c r="Y19" s="348" t="s">
        <v>99</v>
      </c>
      <c r="Z19" s="348"/>
      <c r="AA19" s="348"/>
    </row>
    <row r="20" s="331" customFormat="1" ht="17" customHeight="1" spans="1:27">
      <c r="A20" s="348">
        <v>2068968</v>
      </c>
      <c r="B20" s="348" t="s">
        <v>123</v>
      </c>
      <c r="C20" s="348" t="s">
        <v>124</v>
      </c>
      <c r="D20" s="349" t="s">
        <v>125</v>
      </c>
      <c r="E20" s="336">
        <v>43479</v>
      </c>
      <c r="F20" s="336">
        <v>43479</v>
      </c>
      <c r="G20" s="350"/>
      <c r="H20" s="351" t="s">
        <v>126</v>
      </c>
      <c r="I20" s="356">
        <v>13917956022</v>
      </c>
      <c r="J20" s="361" t="s">
        <v>127</v>
      </c>
      <c r="K20" s="356">
        <v>1000</v>
      </c>
      <c r="L20" s="362"/>
      <c r="M20" s="362"/>
      <c r="N20" s="362">
        <f t="shared" si="0"/>
        <v>0</v>
      </c>
      <c r="O20" s="356"/>
      <c r="P20" s="356"/>
      <c r="Q20" s="356"/>
      <c r="R20" s="356"/>
      <c r="S20" s="356"/>
      <c r="T20" s="356"/>
      <c r="U20" s="372" t="s">
        <v>128</v>
      </c>
      <c r="V20" s="372"/>
      <c r="W20" s="372"/>
      <c r="X20" s="373"/>
      <c r="Y20" s="348"/>
      <c r="Z20" s="348"/>
      <c r="AA20" s="348"/>
    </row>
    <row r="21" s="331" customFormat="1" ht="17" customHeight="1" spans="1:27">
      <c r="A21" s="550" t="s">
        <v>129</v>
      </c>
      <c r="B21" s="348" t="s">
        <v>130</v>
      </c>
      <c r="C21" s="348" t="s">
        <v>131</v>
      </c>
      <c r="D21" s="352" t="s">
        <v>132</v>
      </c>
      <c r="E21" s="336" t="s">
        <v>133</v>
      </c>
      <c r="F21" s="336">
        <v>43482</v>
      </c>
      <c r="G21" s="350"/>
      <c r="H21" s="334" t="s">
        <v>134</v>
      </c>
      <c r="I21" s="363">
        <v>17717924975</v>
      </c>
      <c r="J21" s="364" t="s">
        <v>135</v>
      </c>
      <c r="K21" s="356">
        <v>1000</v>
      </c>
      <c r="L21" s="362"/>
      <c r="M21" s="362"/>
      <c r="N21" s="362">
        <f t="shared" si="0"/>
        <v>0</v>
      </c>
      <c r="O21" s="356"/>
      <c r="P21" s="356"/>
      <c r="Q21" s="356"/>
      <c r="R21" s="356"/>
      <c r="S21" s="356"/>
      <c r="T21" s="356"/>
      <c r="U21" s="372" t="s">
        <v>136</v>
      </c>
      <c r="V21" s="372"/>
      <c r="W21" s="372"/>
      <c r="X21" s="373"/>
      <c r="Y21" s="348"/>
      <c r="Z21" s="348"/>
      <c r="AA21" s="348"/>
    </row>
    <row r="22" s="331" customFormat="1" ht="17" customHeight="1" spans="1:27">
      <c r="A22" s="348">
        <v>2066706</v>
      </c>
      <c r="B22" s="334" t="s">
        <v>137</v>
      </c>
      <c r="C22" s="334" t="s">
        <v>138</v>
      </c>
      <c r="D22" s="349" t="s">
        <v>139</v>
      </c>
      <c r="E22" s="336" t="s">
        <v>133</v>
      </c>
      <c r="F22" s="336">
        <v>43518</v>
      </c>
      <c r="G22" s="336"/>
      <c r="H22" s="334" t="s">
        <v>140</v>
      </c>
      <c r="I22" s="334">
        <v>13052328038</v>
      </c>
      <c r="J22" s="367" t="s">
        <v>141</v>
      </c>
      <c r="K22" s="356">
        <f>1799+200</f>
        <v>1999</v>
      </c>
      <c r="L22" s="368"/>
      <c r="M22" s="368"/>
      <c r="N22" s="362">
        <f t="shared" si="0"/>
        <v>0</v>
      </c>
      <c r="O22" s="337"/>
      <c r="P22" s="337"/>
      <c r="Q22" s="337"/>
      <c r="R22" s="337"/>
      <c r="S22" s="337"/>
      <c r="T22" s="337"/>
      <c r="U22" s="376" t="s">
        <v>40</v>
      </c>
      <c r="V22" s="377"/>
      <c r="W22" s="377"/>
      <c r="X22" s="378"/>
      <c r="Y22" s="334" t="s">
        <v>142</v>
      </c>
      <c r="Z22" s="334"/>
      <c r="AA22" s="334"/>
    </row>
    <row r="23" s="331" customFormat="1" ht="17" customHeight="1" spans="1:27">
      <c r="A23" s="348">
        <v>2025388</v>
      </c>
      <c r="B23" s="348" t="s">
        <v>73</v>
      </c>
      <c r="C23" s="348" t="s">
        <v>74</v>
      </c>
      <c r="D23" s="352" t="s">
        <v>143</v>
      </c>
      <c r="E23" s="336">
        <v>43552</v>
      </c>
      <c r="F23" s="336">
        <v>43550</v>
      </c>
      <c r="G23" s="350" t="s">
        <v>69</v>
      </c>
      <c r="H23" s="334" t="s">
        <v>144</v>
      </c>
      <c r="I23" s="356">
        <v>13061607117</v>
      </c>
      <c r="J23" s="361" t="s">
        <v>145</v>
      </c>
      <c r="K23" s="356">
        <v>1000</v>
      </c>
      <c r="L23" s="362"/>
      <c r="M23" s="362"/>
      <c r="N23" s="362">
        <f t="shared" si="0"/>
        <v>0</v>
      </c>
      <c r="O23" s="356"/>
      <c r="P23" s="356"/>
      <c r="Q23" s="366" t="s">
        <v>52</v>
      </c>
      <c r="R23" s="356"/>
      <c r="S23" s="356"/>
      <c r="T23" s="356"/>
      <c r="U23" s="372"/>
      <c r="V23" s="372"/>
      <c r="W23" s="372"/>
      <c r="X23" s="373"/>
      <c r="Y23" s="348"/>
      <c r="Z23" s="348" t="s">
        <v>79</v>
      </c>
      <c r="AA23" s="348"/>
    </row>
    <row r="24" s="331" customFormat="1" ht="17" customHeight="1" spans="1:27">
      <c r="A24" s="550" t="s">
        <v>146</v>
      </c>
      <c r="B24" s="348" t="s">
        <v>147</v>
      </c>
      <c r="C24" s="348" t="s">
        <v>148</v>
      </c>
      <c r="D24" s="352" t="s">
        <v>149</v>
      </c>
      <c r="E24" s="336"/>
      <c r="F24" s="336">
        <v>43484</v>
      </c>
      <c r="G24" s="350"/>
      <c r="H24" s="351" t="s">
        <v>150</v>
      </c>
      <c r="I24" s="356">
        <v>13611798538</v>
      </c>
      <c r="J24" s="361" t="s">
        <v>151</v>
      </c>
      <c r="K24" s="356">
        <v>500</v>
      </c>
      <c r="L24" s="362"/>
      <c r="M24" s="362"/>
      <c r="N24" s="362">
        <f t="shared" si="0"/>
        <v>0</v>
      </c>
      <c r="O24" s="356"/>
      <c r="P24" s="356"/>
      <c r="Q24" s="356"/>
      <c r="R24" s="356"/>
      <c r="S24" s="356"/>
      <c r="T24" s="356"/>
      <c r="U24" s="372" t="s">
        <v>63</v>
      </c>
      <c r="V24" s="372"/>
      <c r="W24" s="372"/>
      <c r="X24" s="373"/>
      <c r="Y24" s="348" t="s">
        <v>152</v>
      </c>
      <c r="Z24" s="348"/>
      <c r="AA24" s="348"/>
    </row>
    <row r="25" s="331" customFormat="1" ht="17" customHeight="1" spans="1:27">
      <c r="A25" s="348">
        <v>2021949</v>
      </c>
      <c r="B25" s="348" t="s">
        <v>153</v>
      </c>
      <c r="C25" s="348" t="s">
        <v>154</v>
      </c>
      <c r="D25" s="349" t="s">
        <v>155</v>
      </c>
      <c r="E25" s="336" t="s">
        <v>133</v>
      </c>
      <c r="F25" s="336">
        <v>43484</v>
      </c>
      <c r="G25" s="354" t="s">
        <v>156</v>
      </c>
      <c r="H25" s="351" t="s">
        <v>157</v>
      </c>
      <c r="I25" s="356">
        <v>13248263281</v>
      </c>
      <c r="J25" s="361" t="s">
        <v>158</v>
      </c>
      <c r="K25" s="356">
        <v>4000</v>
      </c>
      <c r="L25" s="362"/>
      <c r="M25" s="362"/>
      <c r="N25" s="362">
        <f t="shared" si="0"/>
        <v>0</v>
      </c>
      <c r="O25" s="356"/>
      <c r="P25" s="356"/>
      <c r="Q25" s="356"/>
      <c r="R25" s="356"/>
      <c r="S25" s="356"/>
      <c r="T25" s="356"/>
      <c r="U25" s="372"/>
      <c r="V25" s="372"/>
      <c r="W25" s="372"/>
      <c r="X25" s="373"/>
      <c r="Y25" s="348"/>
      <c r="Z25" s="348"/>
      <c r="AA25" s="348"/>
    </row>
    <row r="26" s="331" customFormat="1" ht="17" customHeight="1" spans="1:27">
      <c r="A26" s="550" t="s">
        <v>159</v>
      </c>
      <c r="B26" s="348" t="s">
        <v>160</v>
      </c>
      <c r="C26" s="348" t="s">
        <v>161</v>
      </c>
      <c r="D26" s="349" t="s">
        <v>162</v>
      </c>
      <c r="E26" s="336">
        <v>43606</v>
      </c>
      <c r="F26" s="336">
        <v>43606</v>
      </c>
      <c r="G26" s="350"/>
      <c r="H26" s="334" t="s">
        <v>163</v>
      </c>
      <c r="I26" s="356">
        <v>13062707016</v>
      </c>
      <c r="J26" s="361" t="s">
        <v>164</v>
      </c>
      <c r="K26" s="356">
        <v>1000</v>
      </c>
      <c r="L26" s="362"/>
      <c r="M26" s="362"/>
      <c r="N26" s="362">
        <f t="shared" si="0"/>
        <v>0</v>
      </c>
      <c r="O26" s="356"/>
      <c r="P26" s="356"/>
      <c r="Q26" s="356"/>
      <c r="R26" s="356"/>
      <c r="S26" s="356"/>
      <c r="T26" s="356"/>
      <c r="U26" s="372" t="s">
        <v>136</v>
      </c>
      <c r="V26" s="372"/>
      <c r="W26" s="372"/>
      <c r="X26" s="373"/>
      <c r="Y26" s="348"/>
      <c r="Z26" s="348"/>
      <c r="AA26" s="348"/>
    </row>
    <row r="27" s="331" customFormat="1" ht="17" customHeight="1" spans="1:27">
      <c r="A27" s="348">
        <v>2021950</v>
      </c>
      <c r="B27" s="348" t="s">
        <v>35</v>
      </c>
      <c r="C27" s="348" t="s">
        <v>36</v>
      </c>
      <c r="D27" s="352" t="s">
        <v>37</v>
      </c>
      <c r="E27" s="336">
        <v>43679</v>
      </c>
      <c r="F27" s="336">
        <v>43485</v>
      </c>
      <c r="G27" s="336">
        <v>43678</v>
      </c>
      <c r="H27" s="351" t="s">
        <v>165</v>
      </c>
      <c r="I27" s="356">
        <v>13611755788</v>
      </c>
      <c r="J27" s="361" t="s">
        <v>166</v>
      </c>
      <c r="K27" s="356">
        <v>10000</v>
      </c>
      <c r="L27" s="334">
        <v>22077</v>
      </c>
      <c r="M27" s="362"/>
      <c r="N27" s="362">
        <f t="shared" si="0"/>
        <v>22077</v>
      </c>
      <c r="O27" s="356"/>
      <c r="P27" s="356"/>
      <c r="Q27" s="356"/>
      <c r="R27" s="356"/>
      <c r="S27" s="356" t="s">
        <v>52</v>
      </c>
      <c r="T27" s="356"/>
      <c r="U27" s="372"/>
      <c r="V27" s="372"/>
      <c r="W27" s="374">
        <v>43661</v>
      </c>
      <c r="X27" s="373"/>
      <c r="Y27" s="348" t="s">
        <v>167</v>
      </c>
      <c r="Z27" s="348"/>
      <c r="AA27" s="348"/>
    </row>
    <row r="28" s="331" customFormat="1" ht="17" customHeight="1" spans="1:27">
      <c r="A28" s="550" t="s">
        <v>168</v>
      </c>
      <c r="B28" s="348" t="s">
        <v>169</v>
      </c>
      <c r="C28" s="348" t="s">
        <v>170</v>
      </c>
      <c r="D28" s="352" t="s">
        <v>171</v>
      </c>
      <c r="E28" s="336">
        <v>43485</v>
      </c>
      <c r="F28" s="336">
        <v>43485</v>
      </c>
      <c r="G28" s="350"/>
      <c r="H28" s="351" t="s">
        <v>172</v>
      </c>
      <c r="I28" s="356">
        <v>18800338979</v>
      </c>
      <c r="J28" s="361" t="s">
        <v>173</v>
      </c>
      <c r="K28" s="356">
        <v>1699</v>
      </c>
      <c r="L28" s="362"/>
      <c r="M28" s="362"/>
      <c r="N28" s="362">
        <f t="shared" si="0"/>
        <v>0</v>
      </c>
      <c r="O28" s="356"/>
      <c r="P28" s="356"/>
      <c r="Q28" s="356"/>
      <c r="R28" s="356"/>
      <c r="S28" s="356"/>
      <c r="T28" s="356"/>
      <c r="U28" s="372" t="s">
        <v>174</v>
      </c>
      <c r="V28" s="372"/>
      <c r="W28" s="372"/>
      <c r="X28" s="373"/>
      <c r="Y28" s="348" t="s">
        <v>175</v>
      </c>
      <c r="Z28" s="348"/>
      <c r="AA28" s="348"/>
    </row>
    <row r="29" s="331" customFormat="1" ht="17" customHeight="1" spans="1:27">
      <c r="A29" s="348"/>
      <c r="B29" s="348" t="s">
        <v>35</v>
      </c>
      <c r="C29" s="348" t="s">
        <v>36</v>
      </c>
      <c r="D29" s="352" t="s">
        <v>37</v>
      </c>
      <c r="E29" s="336"/>
      <c r="F29" s="336">
        <v>43483</v>
      </c>
      <c r="G29" s="350"/>
      <c r="H29" s="351" t="s">
        <v>176</v>
      </c>
      <c r="I29" s="348">
        <v>15317078106</v>
      </c>
      <c r="J29" s="361" t="s">
        <v>177</v>
      </c>
      <c r="K29" s="356">
        <v>500</v>
      </c>
      <c r="L29" s="362"/>
      <c r="M29" s="362"/>
      <c r="N29" s="362">
        <f t="shared" si="0"/>
        <v>0</v>
      </c>
      <c r="O29" s="356"/>
      <c r="P29" s="356"/>
      <c r="Q29" s="356"/>
      <c r="R29" s="356"/>
      <c r="S29" s="356"/>
      <c r="T29" s="356"/>
      <c r="U29" s="372" t="s">
        <v>40</v>
      </c>
      <c r="V29" s="372"/>
      <c r="W29" s="372"/>
      <c r="X29" s="373"/>
      <c r="Y29" s="348" t="s">
        <v>152</v>
      </c>
      <c r="Z29" s="348"/>
      <c r="AA29" s="348"/>
    </row>
    <row r="30" s="331" customFormat="1" ht="17" customHeight="1" spans="1:27">
      <c r="A30" s="348">
        <v>2023474</v>
      </c>
      <c r="B30" s="334" t="s">
        <v>73</v>
      </c>
      <c r="C30" s="334" t="s">
        <v>178</v>
      </c>
      <c r="D30" s="349" t="s">
        <v>75</v>
      </c>
      <c r="E30" s="336">
        <v>43523</v>
      </c>
      <c r="F30" s="336">
        <v>43522</v>
      </c>
      <c r="G30" s="336"/>
      <c r="H30" s="351" t="s">
        <v>179</v>
      </c>
      <c r="I30" s="337">
        <v>18621906170</v>
      </c>
      <c r="J30" s="367" t="s">
        <v>180</v>
      </c>
      <c r="K30" s="356">
        <v>1000</v>
      </c>
      <c r="L30" s="368"/>
      <c r="M30" s="368"/>
      <c r="N30" s="362">
        <f t="shared" si="0"/>
        <v>0</v>
      </c>
      <c r="O30" s="337"/>
      <c r="P30" s="337"/>
      <c r="Q30" s="337"/>
      <c r="R30" s="337"/>
      <c r="S30" s="366" t="s">
        <v>52</v>
      </c>
      <c r="T30" s="337"/>
      <c r="U30" s="372" t="s">
        <v>78</v>
      </c>
      <c r="V30" s="377"/>
      <c r="W30" s="377"/>
      <c r="X30" s="378"/>
      <c r="Y30" s="334"/>
      <c r="Z30" s="334" t="s">
        <v>79</v>
      </c>
      <c r="AA30" s="334"/>
    </row>
    <row r="31" s="331" customFormat="1" ht="17" customHeight="1" spans="1:27">
      <c r="A31" s="348">
        <v>2022163</v>
      </c>
      <c r="B31" s="348" t="s">
        <v>130</v>
      </c>
      <c r="C31" s="348" t="s">
        <v>181</v>
      </c>
      <c r="D31" s="352" t="s">
        <v>182</v>
      </c>
      <c r="E31" s="336">
        <v>43486</v>
      </c>
      <c r="F31" s="336">
        <v>43485</v>
      </c>
      <c r="G31" s="350"/>
      <c r="H31" s="334" t="s">
        <v>183</v>
      </c>
      <c r="I31" s="356">
        <v>13795471088</v>
      </c>
      <c r="J31" s="361" t="s">
        <v>184</v>
      </c>
      <c r="K31" s="356">
        <v>3000</v>
      </c>
      <c r="L31" s="362"/>
      <c r="M31" s="362"/>
      <c r="N31" s="362">
        <f t="shared" si="0"/>
        <v>0</v>
      </c>
      <c r="O31" s="356">
        <v>1</v>
      </c>
      <c r="P31" s="356"/>
      <c r="Q31" s="356"/>
      <c r="R31" s="356"/>
      <c r="S31" s="356"/>
      <c r="T31" s="356"/>
      <c r="U31" s="372" t="s">
        <v>12</v>
      </c>
      <c r="V31" s="372"/>
      <c r="W31" s="372"/>
      <c r="X31" s="373"/>
      <c r="Y31" s="348"/>
      <c r="Z31" s="348"/>
      <c r="AA31" s="348"/>
    </row>
    <row r="32" s="331" customFormat="1" ht="17" customHeight="1" spans="1:27">
      <c r="A32" s="348">
        <v>2024645</v>
      </c>
      <c r="B32" s="348" t="s">
        <v>185</v>
      </c>
      <c r="C32" s="348" t="s">
        <v>186</v>
      </c>
      <c r="D32" s="349" t="s">
        <v>187</v>
      </c>
      <c r="E32" s="336">
        <v>43486</v>
      </c>
      <c r="F32" s="336">
        <v>43485</v>
      </c>
      <c r="G32" s="350"/>
      <c r="H32" s="351" t="s">
        <v>188</v>
      </c>
      <c r="I32" s="356">
        <v>13764039659</v>
      </c>
      <c r="J32" s="361" t="s">
        <v>189</v>
      </c>
      <c r="K32" s="356">
        <v>3000</v>
      </c>
      <c r="L32" s="362"/>
      <c r="M32" s="362"/>
      <c r="N32" s="362">
        <f t="shared" si="0"/>
        <v>0</v>
      </c>
      <c r="O32" s="356"/>
      <c r="P32" s="356"/>
      <c r="Q32" s="356"/>
      <c r="R32" s="356"/>
      <c r="S32" s="356"/>
      <c r="T32" s="356"/>
      <c r="U32" s="336" t="s">
        <v>40</v>
      </c>
      <c r="V32" s="372"/>
      <c r="W32" s="372"/>
      <c r="X32" s="373">
        <v>1</v>
      </c>
      <c r="Y32" s="348" t="s">
        <v>175</v>
      </c>
      <c r="Z32" s="348"/>
      <c r="AA32" s="348"/>
    </row>
    <row r="33" s="331" customFormat="1" ht="17" customHeight="1" spans="1:27">
      <c r="A33" s="550" t="s">
        <v>190</v>
      </c>
      <c r="B33" s="348" t="s">
        <v>137</v>
      </c>
      <c r="C33" s="348" t="s">
        <v>191</v>
      </c>
      <c r="D33" s="334" t="s">
        <v>139</v>
      </c>
      <c r="E33" s="336">
        <v>43783</v>
      </c>
      <c r="F33" s="336">
        <v>43485</v>
      </c>
      <c r="G33" s="336">
        <v>43779</v>
      </c>
      <c r="H33" s="351" t="s">
        <v>192</v>
      </c>
      <c r="I33" s="356">
        <v>18616839663</v>
      </c>
      <c r="J33" s="361" t="s">
        <v>193</v>
      </c>
      <c r="K33" s="356">
        <v>3000</v>
      </c>
      <c r="L33" s="334">
        <v>22596</v>
      </c>
      <c r="M33" s="362"/>
      <c r="N33" s="362">
        <f t="shared" si="0"/>
        <v>22596</v>
      </c>
      <c r="O33" s="356"/>
      <c r="P33" s="356"/>
      <c r="Q33" s="356">
        <v>1</v>
      </c>
      <c r="R33" s="356"/>
      <c r="S33" s="356"/>
      <c r="T33" s="356"/>
      <c r="U33" s="372"/>
      <c r="V33" s="372"/>
      <c r="W33" s="372"/>
      <c r="X33" s="373"/>
      <c r="Y33" s="348" t="s">
        <v>175</v>
      </c>
      <c r="Z33" s="348"/>
      <c r="AA33" s="348"/>
    </row>
    <row r="34" s="331" customFormat="1" ht="17" customHeight="1" spans="1:27">
      <c r="A34" s="550" t="s">
        <v>194</v>
      </c>
      <c r="B34" s="348" t="s">
        <v>42</v>
      </c>
      <c r="C34" s="348" t="s">
        <v>195</v>
      </c>
      <c r="D34" s="349" t="s">
        <v>44</v>
      </c>
      <c r="E34" s="336"/>
      <c r="F34" s="336">
        <v>43485</v>
      </c>
      <c r="G34" s="350"/>
      <c r="H34" s="351" t="s">
        <v>196</v>
      </c>
      <c r="I34" s="356">
        <v>13901640259</v>
      </c>
      <c r="J34" s="361" t="s">
        <v>197</v>
      </c>
      <c r="K34" s="356">
        <v>500</v>
      </c>
      <c r="L34" s="362"/>
      <c r="M34" s="362"/>
      <c r="N34" s="362">
        <f t="shared" si="0"/>
        <v>0</v>
      </c>
      <c r="O34" s="356"/>
      <c r="P34" s="356"/>
      <c r="Q34" s="356"/>
      <c r="R34" s="356"/>
      <c r="S34" s="356"/>
      <c r="T34" s="356"/>
      <c r="U34" s="372"/>
      <c r="V34" s="372"/>
      <c r="W34" s="372"/>
      <c r="X34" s="373"/>
      <c r="Y34" s="348" t="s">
        <v>167</v>
      </c>
      <c r="Z34" s="348"/>
      <c r="AA34" s="348"/>
    </row>
    <row r="35" s="331" customFormat="1" ht="17" customHeight="1" spans="1:27">
      <c r="A35" s="550" t="s">
        <v>198</v>
      </c>
      <c r="B35" s="348" t="s">
        <v>87</v>
      </c>
      <c r="C35" s="348" t="s">
        <v>199</v>
      </c>
      <c r="D35" s="349" t="s">
        <v>89</v>
      </c>
      <c r="E35" s="336">
        <v>43711</v>
      </c>
      <c r="F35" s="336">
        <v>43596</v>
      </c>
      <c r="G35" s="336">
        <v>43711</v>
      </c>
      <c r="H35" s="334" t="s">
        <v>200</v>
      </c>
      <c r="I35" s="356">
        <v>13127968086</v>
      </c>
      <c r="J35" s="361" t="s">
        <v>201</v>
      </c>
      <c r="K35" s="356">
        <f>3000+1000</f>
        <v>4000</v>
      </c>
      <c r="L35" s="334">
        <v>6599</v>
      </c>
      <c r="M35" s="362"/>
      <c r="N35" s="362">
        <f t="shared" ref="N35:N66" si="1">L35+M35</f>
        <v>6599</v>
      </c>
      <c r="O35" s="356"/>
      <c r="P35" s="356"/>
      <c r="Q35" s="356" t="s">
        <v>52</v>
      </c>
      <c r="R35" s="356"/>
      <c r="S35" s="356"/>
      <c r="T35" s="356"/>
      <c r="U35" s="372"/>
      <c r="V35" s="372"/>
      <c r="W35" s="372"/>
      <c r="X35" s="373"/>
      <c r="Y35" s="348"/>
      <c r="Z35" s="348"/>
      <c r="AA35" s="348"/>
    </row>
    <row r="36" s="331" customFormat="1" ht="17" customHeight="1" spans="1:27">
      <c r="A36" s="348">
        <v>2067351</v>
      </c>
      <c r="B36" s="348" t="s">
        <v>123</v>
      </c>
      <c r="C36" s="348" t="s">
        <v>124</v>
      </c>
      <c r="D36" s="349" t="s">
        <v>125</v>
      </c>
      <c r="E36" s="336" t="s">
        <v>133</v>
      </c>
      <c r="F36" s="336">
        <v>43483</v>
      </c>
      <c r="G36" s="350"/>
      <c r="H36" s="351" t="s">
        <v>202</v>
      </c>
      <c r="I36" s="356">
        <v>13262730691</v>
      </c>
      <c r="J36" s="361" t="s">
        <v>203</v>
      </c>
      <c r="K36" s="356">
        <f>500+500</f>
        <v>1000</v>
      </c>
      <c r="L36" s="362"/>
      <c r="M36" s="362"/>
      <c r="N36" s="362">
        <f t="shared" si="1"/>
        <v>0</v>
      </c>
      <c r="O36" s="356"/>
      <c r="P36" s="356"/>
      <c r="Q36" s="356"/>
      <c r="R36" s="356"/>
      <c r="S36" s="356"/>
      <c r="T36" s="356"/>
      <c r="U36" s="372" t="s">
        <v>128</v>
      </c>
      <c r="V36" s="372"/>
      <c r="W36" s="372"/>
      <c r="X36" s="373"/>
      <c r="Y36" s="348" t="s">
        <v>152</v>
      </c>
      <c r="Z36" s="348"/>
      <c r="AA36" s="348"/>
    </row>
    <row r="37" s="331" customFormat="1" ht="17" customHeight="1" spans="1:27">
      <c r="A37" s="550" t="s">
        <v>204</v>
      </c>
      <c r="B37" s="348" t="s">
        <v>205</v>
      </c>
      <c r="C37" s="348" t="s">
        <v>206</v>
      </c>
      <c r="D37" s="349" t="s">
        <v>207</v>
      </c>
      <c r="E37" s="336"/>
      <c r="F37" s="336">
        <v>43485</v>
      </c>
      <c r="G37" s="350"/>
      <c r="H37" s="351" t="s">
        <v>208</v>
      </c>
      <c r="I37" s="356">
        <v>15026772798</v>
      </c>
      <c r="J37" s="361" t="s">
        <v>209</v>
      </c>
      <c r="K37" s="356">
        <v>500</v>
      </c>
      <c r="L37" s="362"/>
      <c r="M37" s="362"/>
      <c r="N37" s="362">
        <f t="shared" si="1"/>
        <v>0</v>
      </c>
      <c r="O37" s="356"/>
      <c r="P37" s="356"/>
      <c r="Q37" s="356"/>
      <c r="R37" s="356"/>
      <c r="S37" s="356"/>
      <c r="T37" s="356"/>
      <c r="U37" s="372"/>
      <c r="V37" s="372"/>
      <c r="W37" s="372"/>
      <c r="X37" s="373"/>
      <c r="Y37" s="348" t="s">
        <v>210</v>
      </c>
      <c r="Z37" s="348"/>
      <c r="AA37" s="348"/>
    </row>
    <row r="38" s="331" customFormat="1" ht="17" customHeight="1" spans="1:27">
      <c r="A38" s="550" t="s">
        <v>211</v>
      </c>
      <c r="B38" s="348" t="s">
        <v>137</v>
      </c>
      <c r="C38" s="348" t="s">
        <v>138</v>
      </c>
      <c r="D38" s="349" t="s">
        <v>139</v>
      </c>
      <c r="E38" s="336">
        <v>43625</v>
      </c>
      <c r="F38" s="336">
        <v>43624</v>
      </c>
      <c r="G38" s="336">
        <v>43651</v>
      </c>
      <c r="H38" s="334" t="s">
        <v>212</v>
      </c>
      <c r="I38" s="356">
        <v>13311668865</v>
      </c>
      <c r="J38" s="361" t="s">
        <v>213</v>
      </c>
      <c r="K38" s="356">
        <v>5400</v>
      </c>
      <c r="L38" s="369">
        <f>11899-600-378</f>
        <v>10921</v>
      </c>
      <c r="M38" s="369"/>
      <c r="N38" s="362">
        <f t="shared" si="1"/>
        <v>10921</v>
      </c>
      <c r="O38" s="356"/>
      <c r="P38" s="356"/>
      <c r="Q38" s="356"/>
      <c r="R38" s="356"/>
      <c r="S38" s="356"/>
      <c r="T38" s="356"/>
      <c r="U38" s="372"/>
      <c r="V38" s="372"/>
      <c r="W38" s="372"/>
      <c r="X38" s="373"/>
      <c r="Y38" s="348" t="s">
        <v>214</v>
      </c>
      <c r="Z38" s="348"/>
      <c r="AA38" s="348"/>
    </row>
    <row r="39" s="331" customFormat="1" ht="17" customHeight="1" spans="1:27">
      <c r="A39" s="550" t="s">
        <v>215</v>
      </c>
      <c r="B39" s="348" t="s">
        <v>31</v>
      </c>
      <c r="C39" s="348" t="s">
        <v>216</v>
      </c>
      <c r="D39" s="352" t="s">
        <v>33</v>
      </c>
      <c r="E39" s="336">
        <v>43496</v>
      </c>
      <c r="F39" s="336">
        <v>43495</v>
      </c>
      <c r="G39" s="350"/>
      <c r="H39" s="351" t="s">
        <v>217</v>
      </c>
      <c r="I39" s="356">
        <v>13127699478</v>
      </c>
      <c r="J39" s="361" t="s">
        <v>218</v>
      </c>
      <c r="K39" s="356">
        <v>2000</v>
      </c>
      <c r="L39" s="362"/>
      <c r="M39" s="362"/>
      <c r="N39" s="362">
        <f t="shared" si="1"/>
        <v>0</v>
      </c>
      <c r="O39" s="348" t="s">
        <v>219</v>
      </c>
      <c r="P39" s="356"/>
      <c r="Q39" s="356"/>
      <c r="R39" s="356"/>
      <c r="S39" s="356"/>
      <c r="T39" s="356"/>
      <c r="U39" s="372"/>
      <c r="V39" s="372"/>
      <c r="W39" s="372"/>
      <c r="X39" s="373">
        <v>1</v>
      </c>
      <c r="Y39" s="348"/>
      <c r="Z39" s="348"/>
      <c r="AA39" s="348"/>
    </row>
    <row r="40" s="331" customFormat="1" ht="17" customHeight="1" spans="1:27">
      <c r="A40" s="348">
        <v>2067043</v>
      </c>
      <c r="B40" s="348" t="s">
        <v>31</v>
      </c>
      <c r="C40" s="348" t="s">
        <v>220</v>
      </c>
      <c r="D40" s="349" t="s">
        <v>221</v>
      </c>
      <c r="E40" s="336"/>
      <c r="F40" s="336">
        <v>43498</v>
      </c>
      <c r="G40" s="350"/>
      <c r="H40" s="351" t="s">
        <v>222</v>
      </c>
      <c r="I40" s="356">
        <v>17721386331</v>
      </c>
      <c r="J40" s="361" t="s">
        <v>223</v>
      </c>
      <c r="K40" s="356">
        <v>500</v>
      </c>
      <c r="L40" s="362"/>
      <c r="M40" s="362"/>
      <c r="N40" s="362">
        <f t="shared" si="1"/>
        <v>0</v>
      </c>
      <c r="O40" s="356"/>
      <c r="P40" s="356"/>
      <c r="Q40" s="356"/>
      <c r="R40" s="356"/>
      <c r="S40" s="356"/>
      <c r="T40" s="356"/>
      <c r="U40" s="372" t="s">
        <v>12</v>
      </c>
      <c r="V40" s="372"/>
      <c r="W40" s="372"/>
      <c r="X40" s="373"/>
      <c r="Y40" s="348" t="s">
        <v>224</v>
      </c>
      <c r="Z40" s="348"/>
      <c r="AA40" s="348"/>
    </row>
    <row r="41" s="331" customFormat="1" ht="15" customHeight="1" spans="1:27">
      <c r="A41" s="550" t="s">
        <v>225</v>
      </c>
      <c r="B41" s="348" t="s">
        <v>58</v>
      </c>
      <c r="C41" s="348" t="s">
        <v>109</v>
      </c>
      <c r="D41" s="352" t="s">
        <v>110</v>
      </c>
      <c r="E41" s="336">
        <v>43508</v>
      </c>
      <c r="F41" s="336">
        <v>43508</v>
      </c>
      <c r="G41" s="355" t="s">
        <v>226</v>
      </c>
      <c r="H41" s="351" t="s">
        <v>227</v>
      </c>
      <c r="I41" s="356">
        <v>13311762510</v>
      </c>
      <c r="J41" s="361" t="s">
        <v>228</v>
      </c>
      <c r="K41" s="356">
        <v>10600</v>
      </c>
      <c r="L41" s="362"/>
      <c r="M41" s="362"/>
      <c r="N41" s="362">
        <f t="shared" si="1"/>
        <v>0</v>
      </c>
      <c r="O41" s="356"/>
      <c r="P41" s="365" t="s">
        <v>52</v>
      </c>
      <c r="Q41" s="356"/>
      <c r="R41" s="356"/>
      <c r="S41" s="356"/>
      <c r="T41" s="356"/>
      <c r="U41" s="372"/>
      <c r="V41" s="372"/>
      <c r="W41" s="372"/>
      <c r="X41" s="373"/>
      <c r="Y41" s="348" t="s">
        <v>229</v>
      </c>
      <c r="Z41" s="348"/>
      <c r="AA41" s="348"/>
    </row>
    <row r="42" s="331" customFormat="1" ht="17" customHeight="1" spans="1:27">
      <c r="A42" s="348">
        <v>2022487</v>
      </c>
      <c r="B42" s="348" t="s">
        <v>130</v>
      </c>
      <c r="C42" s="348" t="s">
        <v>230</v>
      </c>
      <c r="D42" s="352" t="s">
        <v>182</v>
      </c>
      <c r="E42" s="336">
        <v>43508</v>
      </c>
      <c r="F42" s="336">
        <v>43508</v>
      </c>
      <c r="G42" s="350" t="s">
        <v>231</v>
      </c>
      <c r="H42" s="351" t="s">
        <v>232</v>
      </c>
      <c r="I42" s="356">
        <v>15900726434</v>
      </c>
      <c r="J42" s="361" t="s">
        <v>233</v>
      </c>
      <c r="K42" s="356">
        <v>1000</v>
      </c>
      <c r="L42" s="362"/>
      <c r="M42" s="362"/>
      <c r="N42" s="362">
        <f t="shared" si="1"/>
        <v>0</v>
      </c>
      <c r="O42" s="356"/>
      <c r="P42" s="356"/>
      <c r="Q42" s="356"/>
      <c r="R42" s="356"/>
      <c r="S42" s="356"/>
      <c r="T42" s="356"/>
      <c r="U42" s="372"/>
      <c r="V42" s="372"/>
      <c r="W42" s="372"/>
      <c r="X42" s="373"/>
      <c r="Y42" s="348" t="s">
        <v>234</v>
      </c>
      <c r="Z42" s="348"/>
      <c r="AA42" s="348"/>
    </row>
    <row r="43" s="331" customFormat="1" customHeight="1" spans="1:27">
      <c r="A43" s="550" t="s">
        <v>235</v>
      </c>
      <c r="B43" s="348" t="s">
        <v>236</v>
      </c>
      <c r="C43" s="348" t="s">
        <v>195</v>
      </c>
      <c r="D43" s="352" t="s">
        <v>237</v>
      </c>
      <c r="E43" s="336">
        <v>43509</v>
      </c>
      <c r="F43" s="336">
        <v>43508</v>
      </c>
      <c r="G43" s="350"/>
      <c r="H43" s="351" t="s">
        <v>238</v>
      </c>
      <c r="I43" s="356">
        <v>13402104870</v>
      </c>
      <c r="J43" s="361" t="s">
        <v>239</v>
      </c>
      <c r="K43" s="356">
        <v>3000</v>
      </c>
      <c r="L43" s="362"/>
      <c r="M43" s="362"/>
      <c r="N43" s="362">
        <f t="shared" si="1"/>
        <v>0</v>
      </c>
      <c r="O43" s="356"/>
      <c r="P43" s="356" t="s">
        <v>52</v>
      </c>
      <c r="Q43" s="356"/>
      <c r="R43" s="356"/>
      <c r="S43" s="356"/>
      <c r="T43" s="356"/>
      <c r="U43" s="372"/>
      <c r="V43" s="372"/>
      <c r="W43" s="372"/>
      <c r="X43" s="373"/>
      <c r="Y43" s="348" t="s">
        <v>229</v>
      </c>
      <c r="Z43" s="348"/>
      <c r="AA43" s="348"/>
    </row>
    <row r="44" s="331" customFormat="1" ht="17" customHeight="1" spans="1:27">
      <c r="A44" s="348">
        <v>2022066</v>
      </c>
      <c r="B44" s="348" t="s">
        <v>160</v>
      </c>
      <c r="C44" s="348" t="s">
        <v>161</v>
      </c>
      <c r="D44" s="349" t="s">
        <v>162</v>
      </c>
      <c r="E44" s="336">
        <v>43510</v>
      </c>
      <c r="F44" s="336">
        <v>43509</v>
      </c>
      <c r="G44" s="350"/>
      <c r="H44" s="351" t="s">
        <v>240</v>
      </c>
      <c r="I44" s="356">
        <v>15801927934</v>
      </c>
      <c r="J44" s="361" t="s">
        <v>241</v>
      </c>
      <c r="K44" s="356">
        <v>3398</v>
      </c>
      <c r="L44" s="362"/>
      <c r="M44" s="362"/>
      <c r="N44" s="362">
        <f t="shared" si="1"/>
        <v>0</v>
      </c>
      <c r="O44" s="356"/>
      <c r="P44" s="356"/>
      <c r="Q44" s="356"/>
      <c r="R44" s="356"/>
      <c r="S44" s="356"/>
      <c r="T44" s="356"/>
      <c r="U44" s="372" t="s">
        <v>242</v>
      </c>
      <c r="V44" s="372"/>
      <c r="W44" s="372"/>
      <c r="X44" s="373"/>
      <c r="Y44" s="348"/>
      <c r="Z44" s="348"/>
      <c r="AA44" s="348"/>
    </row>
    <row r="45" s="331" customFormat="1" ht="17" customHeight="1" spans="1:27">
      <c r="A45" s="348">
        <v>2023369</v>
      </c>
      <c r="B45" s="348" t="s">
        <v>243</v>
      </c>
      <c r="C45" s="348" t="s">
        <v>244</v>
      </c>
      <c r="D45" s="352" t="s">
        <v>49</v>
      </c>
      <c r="E45" s="336">
        <v>43511</v>
      </c>
      <c r="F45" s="336">
        <v>43510</v>
      </c>
      <c r="G45" s="350"/>
      <c r="H45" s="351" t="s">
        <v>245</v>
      </c>
      <c r="I45" s="356">
        <v>18117160447</v>
      </c>
      <c r="J45" s="361" t="s">
        <v>246</v>
      </c>
      <c r="K45" s="356">
        <v>3000</v>
      </c>
      <c r="L45" s="362"/>
      <c r="M45" s="362"/>
      <c r="N45" s="362">
        <f t="shared" si="1"/>
        <v>0</v>
      </c>
      <c r="O45" s="356" t="s">
        <v>52</v>
      </c>
      <c r="P45" s="356"/>
      <c r="Q45" s="356"/>
      <c r="R45" s="356"/>
      <c r="S45" s="356"/>
      <c r="T45" s="356"/>
      <c r="U45" s="356" t="s">
        <v>52</v>
      </c>
      <c r="V45" s="372"/>
      <c r="W45" s="372"/>
      <c r="X45" s="373"/>
      <c r="Y45" s="348"/>
      <c r="Z45" s="348"/>
      <c r="AA45" s="348"/>
    </row>
    <row r="46" s="331" customFormat="1" ht="17" customHeight="1" spans="1:27">
      <c r="A46" s="550" t="s">
        <v>247</v>
      </c>
      <c r="B46" s="348" t="s">
        <v>47</v>
      </c>
      <c r="C46" s="348" t="s">
        <v>80</v>
      </c>
      <c r="D46" s="352" t="s">
        <v>49</v>
      </c>
      <c r="E46" s="336">
        <v>43513</v>
      </c>
      <c r="F46" s="336">
        <v>43513</v>
      </c>
      <c r="G46" s="350">
        <v>43514</v>
      </c>
      <c r="H46" s="334" t="s">
        <v>248</v>
      </c>
      <c r="I46" s="356">
        <v>18018882060</v>
      </c>
      <c r="J46" s="361" t="s">
        <v>249</v>
      </c>
      <c r="K46" s="356">
        <v>2227</v>
      </c>
      <c r="L46" s="354">
        <v>2227</v>
      </c>
      <c r="M46" s="362"/>
      <c r="N46" s="362">
        <f t="shared" si="1"/>
        <v>2227</v>
      </c>
      <c r="O46" s="356"/>
      <c r="P46" s="356"/>
      <c r="Q46" s="356"/>
      <c r="R46" s="356"/>
      <c r="S46" s="356"/>
      <c r="T46" s="356"/>
      <c r="U46" s="372"/>
      <c r="V46" s="372"/>
      <c r="W46" s="372"/>
      <c r="X46" s="373"/>
      <c r="Y46" s="348"/>
      <c r="Z46" s="348"/>
      <c r="AA46" s="348"/>
    </row>
    <row r="47" s="331" customFormat="1" ht="17" customHeight="1" spans="1:27">
      <c r="A47" s="550" t="s">
        <v>250</v>
      </c>
      <c r="B47" s="348" t="s">
        <v>31</v>
      </c>
      <c r="C47" s="348" t="s">
        <v>251</v>
      </c>
      <c r="D47" s="349" t="s">
        <v>33</v>
      </c>
      <c r="E47" s="336">
        <v>43646</v>
      </c>
      <c r="F47" s="336">
        <v>43646</v>
      </c>
      <c r="G47" s="350"/>
      <c r="H47" s="334" t="s">
        <v>252</v>
      </c>
      <c r="I47" s="356">
        <v>13361939199</v>
      </c>
      <c r="J47" s="361" t="s">
        <v>253</v>
      </c>
      <c r="K47" s="356">
        <v>1000</v>
      </c>
      <c r="L47" s="362"/>
      <c r="M47" s="362"/>
      <c r="N47" s="362">
        <f t="shared" si="1"/>
        <v>0</v>
      </c>
      <c r="O47" s="356"/>
      <c r="P47" s="366" t="s">
        <v>52</v>
      </c>
      <c r="Q47" s="356"/>
      <c r="R47" s="356"/>
      <c r="S47" s="356"/>
      <c r="T47" s="356"/>
      <c r="U47" s="372" t="s">
        <v>12</v>
      </c>
      <c r="V47" s="372"/>
      <c r="W47" s="372"/>
      <c r="X47" s="373"/>
      <c r="Y47" s="348"/>
      <c r="Z47" s="348"/>
      <c r="AA47" s="348"/>
    </row>
    <row r="48" s="331" customFormat="1" ht="17" customHeight="1" spans="1:27">
      <c r="A48" s="348"/>
      <c r="B48" s="348" t="s">
        <v>31</v>
      </c>
      <c r="C48" s="348" t="s">
        <v>251</v>
      </c>
      <c r="D48" s="349" t="s">
        <v>33</v>
      </c>
      <c r="E48" s="336"/>
      <c r="F48" s="336">
        <v>43512</v>
      </c>
      <c r="G48" s="350"/>
      <c r="H48" s="351" t="s">
        <v>254</v>
      </c>
      <c r="I48" s="356">
        <v>13761412331</v>
      </c>
      <c r="J48" s="361" t="s">
        <v>255</v>
      </c>
      <c r="K48" s="356">
        <v>999</v>
      </c>
      <c r="L48" s="362"/>
      <c r="M48" s="362"/>
      <c r="N48" s="362">
        <f t="shared" si="1"/>
        <v>0</v>
      </c>
      <c r="O48" s="356"/>
      <c r="P48" s="356"/>
      <c r="Q48" s="366" t="s">
        <v>52</v>
      </c>
      <c r="R48" s="356"/>
      <c r="S48" s="356"/>
      <c r="T48" s="356"/>
      <c r="U48" s="372"/>
      <c r="V48" s="372"/>
      <c r="W48" s="372"/>
      <c r="X48" s="373"/>
      <c r="Y48" s="348"/>
      <c r="Z48" s="348"/>
      <c r="AA48" s="348"/>
    </row>
    <row r="49" s="331" customFormat="1" ht="17" customHeight="1" spans="1:27">
      <c r="A49" s="348">
        <v>2066151</v>
      </c>
      <c r="B49" s="348" t="s">
        <v>87</v>
      </c>
      <c r="C49" s="348" t="s">
        <v>88</v>
      </c>
      <c r="D49" s="349" t="s">
        <v>89</v>
      </c>
      <c r="E49" s="336">
        <v>43513</v>
      </c>
      <c r="F49" s="336">
        <v>43512</v>
      </c>
      <c r="G49" s="356" t="s">
        <v>69</v>
      </c>
      <c r="H49" s="351" t="s">
        <v>256</v>
      </c>
      <c r="I49" s="356">
        <v>18616767731</v>
      </c>
      <c r="J49" s="361" t="s">
        <v>257</v>
      </c>
      <c r="K49" s="356">
        <v>3999</v>
      </c>
      <c r="L49" s="362"/>
      <c r="M49" s="362"/>
      <c r="N49" s="362">
        <f t="shared" si="1"/>
        <v>0</v>
      </c>
      <c r="O49" s="356"/>
      <c r="P49" s="356"/>
      <c r="Q49" s="356"/>
      <c r="R49" s="356"/>
      <c r="S49" s="356"/>
      <c r="T49" s="356"/>
      <c r="U49" s="372"/>
      <c r="V49" s="372"/>
      <c r="W49" s="372"/>
      <c r="X49" s="373"/>
      <c r="Y49" s="348" t="s">
        <v>229</v>
      </c>
      <c r="Z49" s="348"/>
      <c r="AA49" s="348"/>
    </row>
    <row r="50" s="331" customFormat="1" ht="17" customHeight="1" spans="1:27">
      <c r="A50" s="348">
        <v>2022070</v>
      </c>
      <c r="B50" s="348" t="s">
        <v>160</v>
      </c>
      <c r="C50" s="348" t="s">
        <v>258</v>
      </c>
      <c r="D50" s="352" t="s">
        <v>132</v>
      </c>
      <c r="E50" s="336">
        <v>43514</v>
      </c>
      <c r="F50" s="336">
        <v>43513</v>
      </c>
      <c r="G50" s="350"/>
      <c r="H50" s="351" t="s">
        <v>259</v>
      </c>
      <c r="I50" s="356">
        <v>13917774788</v>
      </c>
      <c r="J50" s="361" t="s">
        <v>260</v>
      </c>
      <c r="K50" s="356">
        <v>1000</v>
      </c>
      <c r="L50" s="362"/>
      <c r="M50" s="362"/>
      <c r="N50" s="362">
        <f t="shared" si="1"/>
        <v>0</v>
      </c>
      <c r="O50" s="356">
        <v>1</v>
      </c>
      <c r="P50" s="356"/>
      <c r="Q50" s="356"/>
      <c r="R50" s="356"/>
      <c r="S50" s="356"/>
      <c r="T50" s="356"/>
      <c r="U50" s="372" t="s">
        <v>12</v>
      </c>
      <c r="V50" s="372"/>
      <c r="W50" s="372"/>
      <c r="X50" s="373"/>
      <c r="Y50" s="348" t="s">
        <v>229</v>
      </c>
      <c r="Z50" s="348"/>
      <c r="AA50" s="348"/>
    </row>
    <row r="51" s="331" customFormat="1" ht="17" customHeight="1" spans="1:27">
      <c r="A51" s="348">
        <v>2066892</v>
      </c>
      <c r="B51" s="348" t="s">
        <v>185</v>
      </c>
      <c r="C51" s="348" t="s">
        <v>186</v>
      </c>
      <c r="D51" s="349" t="s">
        <v>187</v>
      </c>
      <c r="E51" s="336">
        <v>43514</v>
      </c>
      <c r="F51" s="336">
        <v>43514</v>
      </c>
      <c r="G51" s="350"/>
      <c r="H51" s="351" t="s">
        <v>261</v>
      </c>
      <c r="I51" s="356" t="s">
        <v>262</v>
      </c>
      <c r="J51" s="361" t="s">
        <v>263</v>
      </c>
      <c r="K51" s="356">
        <v>2199</v>
      </c>
      <c r="L51" s="362"/>
      <c r="M51" s="362"/>
      <c r="N51" s="362">
        <f t="shared" si="1"/>
        <v>0</v>
      </c>
      <c r="O51" s="356"/>
      <c r="P51" s="356"/>
      <c r="Q51" s="356"/>
      <c r="R51" s="356"/>
      <c r="S51" s="356"/>
      <c r="T51" s="356"/>
      <c r="U51" s="374">
        <v>43556</v>
      </c>
      <c r="V51" s="372"/>
      <c r="W51" s="372"/>
      <c r="X51" s="373"/>
      <c r="Y51" s="348" t="s">
        <v>264</v>
      </c>
      <c r="Z51" s="348"/>
      <c r="AA51" s="348"/>
    </row>
    <row r="52" s="331" customFormat="1" ht="17" customHeight="1" spans="1:27">
      <c r="A52" s="348">
        <v>2025731</v>
      </c>
      <c r="B52" s="348" t="s">
        <v>35</v>
      </c>
      <c r="C52" s="348" t="s">
        <v>36</v>
      </c>
      <c r="D52" s="352" t="s">
        <v>37</v>
      </c>
      <c r="E52" s="336" t="s">
        <v>133</v>
      </c>
      <c r="F52" s="336">
        <v>43514</v>
      </c>
      <c r="G52" s="336">
        <v>43676</v>
      </c>
      <c r="H52" s="353" t="s">
        <v>265</v>
      </c>
      <c r="I52" s="363">
        <v>13585546620</v>
      </c>
      <c r="J52" s="364" t="s">
        <v>266</v>
      </c>
      <c r="K52" s="356">
        <v>3000</v>
      </c>
      <c r="L52" s="334">
        <v>21500</v>
      </c>
      <c r="M52" s="362"/>
      <c r="N52" s="362">
        <f t="shared" si="1"/>
        <v>21500</v>
      </c>
      <c r="O52" s="356"/>
      <c r="P52" s="356"/>
      <c r="Q52" s="356"/>
      <c r="R52" s="356"/>
      <c r="S52" s="356" t="s">
        <v>52</v>
      </c>
      <c r="T52" s="356"/>
      <c r="U52" s="372"/>
      <c r="V52" s="372"/>
      <c r="W52" s="372"/>
      <c r="X52" s="373"/>
      <c r="Y52" s="348"/>
      <c r="Z52" s="348"/>
      <c r="AA52" s="348"/>
    </row>
    <row r="53" s="331" customFormat="1" ht="17" customHeight="1" spans="1:27">
      <c r="A53" s="348">
        <v>2022175</v>
      </c>
      <c r="B53" s="348" t="s">
        <v>130</v>
      </c>
      <c r="C53" s="348" t="s">
        <v>181</v>
      </c>
      <c r="D53" s="352" t="s">
        <v>182</v>
      </c>
      <c r="E53" s="336">
        <v>43518</v>
      </c>
      <c r="F53" s="336">
        <v>43516</v>
      </c>
      <c r="G53" s="350"/>
      <c r="H53" s="351" t="s">
        <v>267</v>
      </c>
      <c r="I53" s="356">
        <v>18917451314</v>
      </c>
      <c r="J53" s="361" t="s">
        <v>268</v>
      </c>
      <c r="K53" s="356">
        <v>500</v>
      </c>
      <c r="L53" s="362"/>
      <c r="M53" s="362"/>
      <c r="N53" s="362">
        <f t="shared" si="1"/>
        <v>0</v>
      </c>
      <c r="O53" s="356"/>
      <c r="P53" s="356"/>
      <c r="Q53" s="356"/>
      <c r="R53" s="356"/>
      <c r="S53" s="356">
        <v>1</v>
      </c>
      <c r="T53" s="356"/>
      <c r="U53" s="372" t="s">
        <v>269</v>
      </c>
      <c r="V53" s="372"/>
      <c r="W53" s="372"/>
      <c r="X53" s="373"/>
      <c r="Y53" s="348"/>
      <c r="Z53" s="348"/>
      <c r="AA53" s="348"/>
    </row>
    <row r="54" s="331" customFormat="1" ht="17" customHeight="1" spans="1:27">
      <c r="A54" s="550" t="s">
        <v>270</v>
      </c>
      <c r="B54" s="348" t="s">
        <v>58</v>
      </c>
      <c r="C54" s="348" t="s">
        <v>59</v>
      </c>
      <c r="D54" s="349" t="s">
        <v>271</v>
      </c>
      <c r="E54" s="336" t="s">
        <v>133</v>
      </c>
      <c r="F54" s="336">
        <v>43645</v>
      </c>
      <c r="G54" s="336">
        <v>43666</v>
      </c>
      <c r="H54" s="334" t="s">
        <v>272</v>
      </c>
      <c r="I54" s="356">
        <v>13381832767</v>
      </c>
      <c r="J54" s="361" t="s">
        <v>273</v>
      </c>
      <c r="K54" s="356">
        <f>1000+4000</f>
        <v>5000</v>
      </c>
      <c r="L54" s="334">
        <v>10149</v>
      </c>
      <c r="M54" s="362"/>
      <c r="N54" s="362">
        <f t="shared" si="1"/>
        <v>10149</v>
      </c>
      <c r="O54" s="356"/>
      <c r="P54" s="356"/>
      <c r="Q54" s="356"/>
      <c r="R54" s="356"/>
      <c r="S54" s="356"/>
      <c r="T54" s="356"/>
      <c r="U54" s="372"/>
      <c r="V54" s="372"/>
      <c r="W54" s="372"/>
      <c r="X54" s="373"/>
      <c r="Y54" s="348" t="s">
        <v>274</v>
      </c>
      <c r="Z54" s="348"/>
      <c r="AA54" s="348"/>
    </row>
    <row r="55" s="331" customFormat="1" ht="17" customHeight="1" spans="1:27">
      <c r="A55" s="348">
        <v>2022074</v>
      </c>
      <c r="B55" s="348" t="s">
        <v>160</v>
      </c>
      <c r="C55" s="348" t="s">
        <v>275</v>
      </c>
      <c r="D55" s="349" t="s">
        <v>162</v>
      </c>
      <c r="E55" s="336">
        <v>43717</v>
      </c>
      <c r="F55" s="336">
        <v>43518</v>
      </c>
      <c r="G55" s="336">
        <v>43715</v>
      </c>
      <c r="H55" s="334" t="s">
        <v>276</v>
      </c>
      <c r="I55" s="348">
        <v>13816253002</v>
      </c>
      <c r="J55" s="361" t="s">
        <v>277</v>
      </c>
      <c r="K55" s="356">
        <v>500</v>
      </c>
      <c r="L55" s="334">
        <v>22907</v>
      </c>
      <c r="M55" s="362"/>
      <c r="N55" s="362">
        <f t="shared" si="1"/>
        <v>22907</v>
      </c>
      <c r="O55" s="356"/>
      <c r="P55" s="356">
        <v>1</v>
      </c>
      <c r="Q55" s="356"/>
      <c r="R55" s="356"/>
      <c r="S55" s="356"/>
      <c r="T55" s="356"/>
      <c r="U55" s="372"/>
      <c r="V55" s="372"/>
      <c r="W55" s="372"/>
      <c r="X55" s="373"/>
      <c r="Y55" s="348" t="s">
        <v>278</v>
      </c>
      <c r="Z55" s="348"/>
      <c r="AA55" s="348"/>
    </row>
    <row r="56" s="331" customFormat="1" ht="17" customHeight="1" spans="1:27">
      <c r="A56" s="348">
        <v>2067324</v>
      </c>
      <c r="B56" s="348" t="s">
        <v>31</v>
      </c>
      <c r="C56" s="348" t="s">
        <v>220</v>
      </c>
      <c r="D56" s="349" t="s">
        <v>221</v>
      </c>
      <c r="E56" s="336">
        <v>43519</v>
      </c>
      <c r="F56" s="336">
        <v>43518</v>
      </c>
      <c r="G56" s="350"/>
      <c r="H56" s="334" t="s">
        <v>279</v>
      </c>
      <c r="I56" s="348">
        <v>11482801580</v>
      </c>
      <c r="J56" s="361" t="s">
        <v>280</v>
      </c>
      <c r="K56" s="356">
        <v>200</v>
      </c>
      <c r="L56" s="362"/>
      <c r="M56" s="362"/>
      <c r="N56" s="362">
        <f t="shared" si="1"/>
        <v>0</v>
      </c>
      <c r="O56" s="356"/>
      <c r="P56" s="356"/>
      <c r="Q56" s="356"/>
      <c r="R56" s="356"/>
      <c r="S56" s="356"/>
      <c r="T56" s="356"/>
      <c r="U56" s="372" t="s">
        <v>12</v>
      </c>
      <c r="V56" s="372"/>
      <c r="W56" s="372"/>
      <c r="X56" s="373"/>
      <c r="Y56" s="348" t="s">
        <v>278</v>
      </c>
      <c r="Z56" s="348"/>
      <c r="AA56" s="348"/>
    </row>
    <row r="57" s="331" customFormat="1" ht="17" customHeight="1" spans="1:27">
      <c r="A57" s="348">
        <v>2026396</v>
      </c>
      <c r="B57" s="348" t="s">
        <v>281</v>
      </c>
      <c r="C57" s="348" t="s">
        <v>282</v>
      </c>
      <c r="D57" s="352" t="s">
        <v>49</v>
      </c>
      <c r="E57" s="336">
        <v>43519</v>
      </c>
      <c r="F57" s="336">
        <v>43518</v>
      </c>
      <c r="G57" s="350"/>
      <c r="H57" s="351" t="s">
        <v>283</v>
      </c>
      <c r="I57" s="348">
        <v>13651855539</v>
      </c>
      <c r="J57" s="361" t="s">
        <v>284</v>
      </c>
      <c r="K57" s="356">
        <v>200</v>
      </c>
      <c r="L57" s="362"/>
      <c r="M57" s="362"/>
      <c r="N57" s="362">
        <f t="shared" si="1"/>
        <v>0</v>
      </c>
      <c r="O57" s="356"/>
      <c r="P57" s="356"/>
      <c r="Q57" s="356"/>
      <c r="R57" s="356"/>
      <c r="S57" s="356"/>
      <c r="T57" s="356"/>
      <c r="U57" s="379" t="s">
        <v>40</v>
      </c>
      <c r="V57" s="372"/>
      <c r="W57" s="372"/>
      <c r="X57" s="373"/>
      <c r="Y57" s="348" t="s">
        <v>278</v>
      </c>
      <c r="Z57" s="348"/>
      <c r="AA57" s="348"/>
    </row>
    <row r="58" s="331" customFormat="1" ht="17" customHeight="1" spans="1:27">
      <c r="A58" s="348">
        <v>2026395</v>
      </c>
      <c r="B58" s="348" t="s">
        <v>281</v>
      </c>
      <c r="C58" s="348" t="s">
        <v>282</v>
      </c>
      <c r="D58" s="352" t="s">
        <v>49</v>
      </c>
      <c r="E58" s="336">
        <v>43519</v>
      </c>
      <c r="F58" s="336">
        <v>43518</v>
      </c>
      <c r="G58" s="350"/>
      <c r="H58" s="334" t="s">
        <v>285</v>
      </c>
      <c r="I58" s="348">
        <v>13524007847</v>
      </c>
      <c r="J58" s="361" t="s">
        <v>286</v>
      </c>
      <c r="K58" s="356">
        <v>200</v>
      </c>
      <c r="L58" s="362"/>
      <c r="M58" s="362"/>
      <c r="N58" s="362">
        <f t="shared" si="1"/>
        <v>0</v>
      </c>
      <c r="O58" s="356"/>
      <c r="P58" s="356"/>
      <c r="Q58" s="356"/>
      <c r="R58" s="356"/>
      <c r="S58" s="356"/>
      <c r="T58" s="356"/>
      <c r="U58" s="379" t="s">
        <v>40</v>
      </c>
      <c r="V58" s="372"/>
      <c r="W58" s="372"/>
      <c r="X58" s="373"/>
      <c r="Y58" s="348" t="s">
        <v>278</v>
      </c>
      <c r="Z58" s="348"/>
      <c r="AA58" s="348"/>
    </row>
    <row r="59" s="331" customFormat="1" ht="17" customHeight="1" spans="1:27">
      <c r="A59" s="348"/>
      <c r="B59" s="348" t="s">
        <v>31</v>
      </c>
      <c r="C59" s="348" t="s">
        <v>287</v>
      </c>
      <c r="D59" s="352" t="s">
        <v>33</v>
      </c>
      <c r="E59" s="336">
        <v>43519</v>
      </c>
      <c r="F59" s="336">
        <v>43518</v>
      </c>
      <c r="G59" s="350"/>
      <c r="H59" s="334" t="s">
        <v>288</v>
      </c>
      <c r="I59" s="348">
        <v>17501752285</v>
      </c>
      <c r="J59" s="361" t="s">
        <v>289</v>
      </c>
      <c r="K59" s="356">
        <v>200</v>
      </c>
      <c r="L59" s="362"/>
      <c r="M59" s="362"/>
      <c r="N59" s="362">
        <f t="shared" si="1"/>
        <v>0</v>
      </c>
      <c r="O59" s="356"/>
      <c r="P59" s="356"/>
      <c r="Q59" s="356"/>
      <c r="R59" s="356"/>
      <c r="S59" s="356"/>
      <c r="T59" s="356"/>
      <c r="U59" s="372"/>
      <c r="V59" s="372"/>
      <c r="W59" s="372"/>
      <c r="X59" s="373"/>
      <c r="Y59" s="348" t="s">
        <v>278</v>
      </c>
      <c r="Z59" s="348"/>
      <c r="AA59" s="348"/>
    </row>
    <row r="60" s="331" customFormat="1" ht="17" customHeight="1" spans="1:27">
      <c r="A60" s="348">
        <v>2067329</v>
      </c>
      <c r="B60" s="348" t="s">
        <v>31</v>
      </c>
      <c r="C60" s="348" t="s">
        <v>287</v>
      </c>
      <c r="D60" s="352" t="s">
        <v>33</v>
      </c>
      <c r="E60" s="336">
        <v>43519</v>
      </c>
      <c r="F60" s="336">
        <v>43518</v>
      </c>
      <c r="G60" s="350"/>
      <c r="H60" s="334" t="s">
        <v>290</v>
      </c>
      <c r="I60" s="348">
        <v>13501771731</v>
      </c>
      <c r="J60" s="361" t="s">
        <v>291</v>
      </c>
      <c r="K60" s="356">
        <v>200</v>
      </c>
      <c r="L60" s="362"/>
      <c r="M60" s="362"/>
      <c r="N60" s="362">
        <f t="shared" si="1"/>
        <v>0</v>
      </c>
      <c r="O60" s="356"/>
      <c r="P60" s="356"/>
      <c r="Q60" s="356"/>
      <c r="R60" s="356"/>
      <c r="S60" s="356"/>
      <c r="T60" s="356"/>
      <c r="U60" s="372"/>
      <c r="V60" s="372"/>
      <c r="W60" s="372"/>
      <c r="X60" s="373"/>
      <c r="Y60" s="348" t="s">
        <v>278</v>
      </c>
      <c r="Z60" s="348"/>
      <c r="AA60" s="348"/>
    </row>
    <row r="61" s="331" customFormat="1" ht="17" customHeight="1" spans="1:27">
      <c r="A61" s="348">
        <v>2022076</v>
      </c>
      <c r="B61" s="348" t="s">
        <v>160</v>
      </c>
      <c r="C61" s="348" t="s">
        <v>161</v>
      </c>
      <c r="D61" s="349" t="s">
        <v>162</v>
      </c>
      <c r="E61" s="336">
        <v>43519</v>
      </c>
      <c r="F61" s="336">
        <v>43518</v>
      </c>
      <c r="G61" s="350"/>
      <c r="H61" s="351" t="s">
        <v>292</v>
      </c>
      <c r="I61" s="348">
        <v>18917969653</v>
      </c>
      <c r="J61" s="361" t="s">
        <v>293</v>
      </c>
      <c r="K61" s="356">
        <v>200</v>
      </c>
      <c r="L61" s="362"/>
      <c r="M61" s="362"/>
      <c r="N61" s="362">
        <f t="shared" si="1"/>
        <v>0</v>
      </c>
      <c r="O61" s="356">
        <v>1</v>
      </c>
      <c r="P61" s="356"/>
      <c r="Q61" s="356"/>
      <c r="R61" s="356"/>
      <c r="S61" s="356"/>
      <c r="T61" s="356"/>
      <c r="U61" s="372"/>
      <c r="V61" s="372"/>
      <c r="W61" s="372"/>
      <c r="X61" s="373"/>
      <c r="Y61" s="348" t="s">
        <v>278</v>
      </c>
      <c r="Z61" s="348"/>
      <c r="AA61" s="348"/>
    </row>
    <row r="62" s="331" customFormat="1" ht="17" customHeight="1" spans="1:27">
      <c r="A62" s="348">
        <v>2022079</v>
      </c>
      <c r="B62" s="348" t="s">
        <v>160</v>
      </c>
      <c r="C62" s="348" t="s">
        <v>161</v>
      </c>
      <c r="D62" s="349" t="s">
        <v>162</v>
      </c>
      <c r="E62" s="336">
        <v>43519</v>
      </c>
      <c r="F62" s="336">
        <v>43518</v>
      </c>
      <c r="G62" s="350"/>
      <c r="H62" s="334" t="s">
        <v>294</v>
      </c>
      <c r="I62" s="348">
        <v>18502193922</v>
      </c>
      <c r="J62" s="361" t="s">
        <v>295</v>
      </c>
      <c r="K62" s="356">
        <v>200</v>
      </c>
      <c r="L62" s="362"/>
      <c r="M62" s="362"/>
      <c r="N62" s="362">
        <f t="shared" si="1"/>
        <v>0</v>
      </c>
      <c r="O62" s="356"/>
      <c r="P62" s="356"/>
      <c r="Q62" s="356"/>
      <c r="R62" s="356"/>
      <c r="S62" s="356"/>
      <c r="T62" s="356"/>
      <c r="U62" s="372" t="s">
        <v>296</v>
      </c>
      <c r="V62" s="372"/>
      <c r="W62" s="372"/>
      <c r="X62" s="373"/>
      <c r="Y62" s="348" t="s">
        <v>278</v>
      </c>
      <c r="Z62" s="348"/>
      <c r="AA62" s="348"/>
    </row>
    <row r="63" s="331" customFormat="1" ht="17" customHeight="1" spans="1:27">
      <c r="A63" s="348">
        <v>2022183</v>
      </c>
      <c r="B63" s="348" t="s">
        <v>130</v>
      </c>
      <c r="C63" s="348" t="s">
        <v>181</v>
      </c>
      <c r="D63" s="352" t="s">
        <v>182</v>
      </c>
      <c r="E63" s="336">
        <v>43519</v>
      </c>
      <c r="F63" s="336">
        <v>43518</v>
      </c>
      <c r="G63" s="350"/>
      <c r="H63" s="351" t="s">
        <v>297</v>
      </c>
      <c r="I63" s="356">
        <v>18516147033</v>
      </c>
      <c r="J63" s="361" t="s">
        <v>298</v>
      </c>
      <c r="K63" s="356">
        <v>200</v>
      </c>
      <c r="L63" s="362"/>
      <c r="M63" s="362"/>
      <c r="N63" s="362">
        <f t="shared" si="1"/>
        <v>0</v>
      </c>
      <c r="O63" s="356"/>
      <c r="P63" s="356">
        <v>1</v>
      </c>
      <c r="Q63" s="356"/>
      <c r="R63" s="356"/>
      <c r="S63" s="356"/>
      <c r="T63" s="356"/>
      <c r="U63" s="372"/>
      <c r="V63" s="372"/>
      <c r="W63" s="372"/>
      <c r="X63" s="373"/>
      <c r="Y63" s="348" t="s">
        <v>278</v>
      </c>
      <c r="Z63" s="348"/>
      <c r="AA63" s="348"/>
    </row>
    <row r="64" s="331" customFormat="1" ht="17" customHeight="1" spans="1:27">
      <c r="A64" s="348">
        <v>2022182</v>
      </c>
      <c r="B64" s="348" t="s">
        <v>130</v>
      </c>
      <c r="C64" s="348" t="s">
        <v>181</v>
      </c>
      <c r="D64" s="349" t="s">
        <v>182</v>
      </c>
      <c r="E64" s="336">
        <v>43519</v>
      </c>
      <c r="F64" s="336">
        <v>43518</v>
      </c>
      <c r="G64" s="336">
        <v>43657</v>
      </c>
      <c r="H64" s="334" t="s">
        <v>299</v>
      </c>
      <c r="I64" s="348">
        <v>19945649469</v>
      </c>
      <c r="J64" s="361">
        <v>63</v>
      </c>
      <c r="K64" s="356">
        <v>200</v>
      </c>
      <c r="L64" s="334">
        <v>22642</v>
      </c>
      <c r="M64" s="334"/>
      <c r="N64" s="362">
        <f t="shared" si="1"/>
        <v>22642</v>
      </c>
      <c r="O64" s="356"/>
      <c r="P64" s="356"/>
      <c r="Q64" s="356"/>
      <c r="R64" s="356"/>
      <c r="S64" s="356"/>
      <c r="T64" s="356"/>
      <c r="U64" s="372"/>
      <c r="V64" s="372"/>
      <c r="W64" s="372"/>
      <c r="X64" s="373"/>
      <c r="Y64" s="348" t="s">
        <v>278</v>
      </c>
      <c r="Z64" s="348"/>
      <c r="AA64" s="348"/>
    </row>
    <row r="65" s="331" customFormat="1" ht="17" customHeight="1" spans="1:27">
      <c r="A65" s="348">
        <v>2023379</v>
      </c>
      <c r="B65" s="348" t="s">
        <v>243</v>
      </c>
      <c r="C65" s="348" t="s">
        <v>244</v>
      </c>
      <c r="D65" s="352" t="s">
        <v>49</v>
      </c>
      <c r="E65" s="336">
        <v>43519</v>
      </c>
      <c r="F65" s="336">
        <v>43518</v>
      </c>
      <c r="G65" s="350"/>
      <c r="H65" s="334" t="s">
        <v>300</v>
      </c>
      <c r="I65" s="348">
        <v>13162679266</v>
      </c>
      <c r="J65" s="361" t="s">
        <v>301</v>
      </c>
      <c r="K65" s="356">
        <v>500</v>
      </c>
      <c r="L65" s="362"/>
      <c r="M65" s="362"/>
      <c r="N65" s="362">
        <f t="shared" si="1"/>
        <v>0</v>
      </c>
      <c r="O65" s="356" t="s">
        <v>52</v>
      </c>
      <c r="P65" s="356"/>
      <c r="Q65" s="356"/>
      <c r="R65" s="356"/>
      <c r="S65" s="356"/>
      <c r="T65" s="356"/>
      <c r="U65" s="372"/>
      <c r="V65" s="372"/>
      <c r="W65" s="372"/>
      <c r="X65" s="373"/>
      <c r="Y65" s="348" t="s">
        <v>278</v>
      </c>
      <c r="Z65" s="348"/>
      <c r="AA65" s="348"/>
    </row>
    <row r="66" s="331" customFormat="1" ht="17" customHeight="1" spans="1:27">
      <c r="A66" s="348"/>
      <c r="B66" s="348" t="s">
        <v>153</v>
      </c>
      <c r="C66" s="348" t="s">
        <v>302</v>
      </c>
      <c r="D66" s="349" t="s">
        <v>155</v>
      </c>
      <c r="E66" s="336" t="s">
        <v>133</v>
      </c>
      <c r="F66" s="336">
        <v>43645</v>
      </c>
      <c r="G66" s="336">
        <v>43658</v>
      </c>
      <c r="H66" s="334" t="s">
        <v>303</v>
      </c>
      <c r="I66" s="356">
        <v>13386068820</v>
      </c>
      <c r="J66" s="361">
        <v>5</v>
      </c>
      <c r="K66" s="356">
        <f>1000+10000</f>
        <v>11000</v>
      </c>
      <c r="L66" s="334">
        <v>19769</v>
      </c>
      <c r="M66" s="362"/>
      <c r="N66" s="362">
        <f t="shared" si="1"/>
        <v>19769</v>
      </c>
      <c r="O66" s="356"/>
      <c r="P66" s="356"/>
      <c r="Q66" s="354" t="s">
        <v>21</v>
      </c>
      <c r="R66" s="356"/>
      <c r="S66" s="356"/>
      <c r="T66" s="356"/>
      <c r="U66" s="372"/>
      <c r="V66" s="372"/>
      <c r="W66" s="372"/>
      <c r="X66" s="373"/>
      <c r="Y66" s="348" t="s">
        <v>274</v>
      </c>
      <c r="Z66" s="348"/>
      <c r="AA66" s="348"/>
    </row>
    <row r="67" s="331" customFormat="1" ht="17" customHeight="1" spans="1:27">
      <c r="A67" s="348">
        <v>2023376</v>
      </c>
      <c r="B67" s="348" t="s">
        <v>243</v>
      </c>
      <c r="C67" s="348" t="s">
        <v>304</v>
      </c>
      <c r="D67" s="352" t="s">
        <v>49</v>
      </c>
      <c r="E67" s="336">
        <v>43519</v>
      </c>
      <c r="F67" s="336">
        <v>43518</v>
      </c>
      <c r="G67" s="350">
        <v>43547</v>
      </c>
      <c r="H67" s="334" t="s">
        <v>305</v>
      </c>
      <c r="I67" s="348">
        <v>18721781497</v>
      </c>
      <c r="J67" s="361" t="s">
        <v>306</v>
      </c>
      <c r="K67" s="356">
        <v>200</v>
      </c>
      <c r="L67" s="362"/>
      <c r="M67" s="362"/>
      <c r="N67" s="362">
        <f t="shared" ref="N67:N101" si="2">L67+M67</f>
        <v>0</v>
      </c>
      <c r="O67" s="356"/>
      <c r="P67" s="356"/>
      <c r="Q67" s="356"/>
      <c r="R67" s="356"/>
      <c r="S67" s="356"/>
      <c r="T67" s="356"/>
      <c r="U67" s="372"/>
      <c r="V67" s="372"/>
      <c r="W67" s="372"/>
      <c r="X67" s="373"/>
      <c r="Y67" s="348" t="s">
        <v>278</v>
      </c>
      <c r="Z67" s="348"/>
      <c r="AA67" s="348"/>
    </row>
    <row r="68" s="331" customFormat="1" ht="17" customHeight="1" spans="1:27">
      <c r="A68" s="348">
        <v>2023377</v>
      </c>
      <c r="B68" s="348" t="s">
        <v>243</v>
      </c>
      <c r="C68" s="348" t="s">
        <v>304</v>
      </c>
      <c r="D68" s="352" t="s">
        <v>49</v>
      </c>
      <c r="E68" s="336">
        <v>43828</v>
      </c>
      <c r="F68" s="336">
        <v>43518</v>
      </c>
      <c r="G68" s="336">
        <v>43828</v>
      </c>
      <c r="H68" s="334" t="s">
        <v>307</v>
      </c>
      <c r="I68" s="348">
        <v>15900981377</v>
      </c>
      <c r="J68" s="361" t="s">
        <v>308</v>
      </c>
      <c r="K68" s="356">
        <v>500</v>
      </c>
      <c r="L68" s="334">
        <v>15674</v>
      </c>
      <c r="M68" s="362"/>
      <c r="N68" s="362">
        <f t="shared" si="2"/>
        <v>15674</v>
      </c>
      <c r="O68" s="356" t="s">
        <v>52</v>
      </c>
      <c r="P68" s="356"/>
      <c r="Q68" s="356"/>
      <c r="R68" s="356"/>
      <c r="S68" s="356"/>
      <c r="T68" s="356"/>
      <c r="U68" s="372"/>
      <c r="V68" s="372"/>
      <c r="W68" s="372"/>
      <c r="X68" s="373"/>
      <c r="Y68" s="348" t="s">
        <v>278</v>
      </c>
      <c r="Z68" s="348"/>
      <c r="AA68" s="348"/>
    </row>
    <row r="69" s="331" customFormat="1" ht="17" customHeight="1" spans="1:27">
      <c r="A69" s="348">
        <v>2023380</v>
      </c>
      <c r="B69" s="348" t="s">
        <v>243</v>
      </c>
      <c r="C69" s="348" t="s">
        <v>309</v>
      </c>
      <c r="D69" s="352" t="s">
        <v>49</v>
      </c>
      <c r="E69" s="336">
        <v>43519</v>
      </c>
      <c r="F69" s="336">
        <v>43518</v>
      </c>
      <c r="G69" s="350"/>
      <c r="H69" s="334" t="s">
        <v>310</v>
      </c>
      <c r="I69" s="348">
        <v>18321583525</v>
      </c>
      <c r="J69" s="361" t="s">
        <v>311</v>
      </c>
      <c r="K69" s="356">
        <v>500</v>
      </c>
      <c r="L69" s="362"/>
      <c r="M69" s="362"/>
      <c r="N69" s="362">
        <f t="shared" si="2"/>
        <v>0</v>
      </c>
      <c r="O69" s="356" t="s">
        <v>52</v>
      </c>
      <c r="P69" s="356"/>
      <c r="Q69" s="356"/>
      <c r="R69" s="356"/>
      <c r="S69" s="356"/>
      <c r="T69" s="356"/>
      <c r="U69" s="372"/>
      <c r="V69" s="372"/>
      <c r="W69" s="372"/>
      <c r="X69" s="373"/>
      <c r="Y69" s="348" t="s">
        <v>278</v>
      </c>
      <c r="Z69" s="348"/>
      <c r="AA69" s="348"/>
    </row>
    <row r="70" s="331" customFormat="1" ht="17" customHeight="1" spans="1:27">
      <c r="A70" s="348">
        <v>2066169</v>
      </c>
      <c r="B70" s="348" t="s">
        <v>87</v>
      </c>
      <c r="C70" s="348" t="s">
        <v>88</v>
      </c>
      <c r="D70" s="349" t="s">
        <v>89</v>
      </c>
      <c r="E70" s="336">
        <v>43519</v>
      </c>
      <c r="F70" s="336">
        <v>43518</v>
      </c>
      <c r="G70" s="350"/>
      <c r="H70" s="334" t="s">
        <v>312</v>
      </c>
      <c r="I70" s="348">
        <v>13564314068</v>
      </c>
      <c r="J70" s="361" t="s">
        <v>313</v>
      </c>
      <c r="K70" s="356">
        <v>200</v>
      </c>
      <c r="L70" s="362"/>
      <c r="M70" s="362"/>
      <c r="N70" s="362">
        <f t="shared" si="2"/>
        <v>0</v>
      </c>
      <c r="O70" s="356"/>
      <c r="P70" s="356"/>
      <c r="Q70" s="356"/>
      <c r="R70" s="356"/>
      <c r="S70" s="356"/>
      <c r="T70" s="356"/>
      <c r="U70" s="356" t="s">
        <v>12</v>
      </c>
      <c r="V70" s="372"/>
      <c r="W70" s="372"/>
      <c r="X70" s="373"/>
      <c r="Y70" s="348" t="s">
        <v>278</v>
      </c>
      <c r="Z70" s="348"/>
      <c r="AA70" s="348"/>
    </row>
    <row r="71" s="331" customFormat="1" ht="17" customHeight="1" spans="1:27">
      <c r="A71" s="550" t="s">
        <v>314</v>
      </c>
      <c r="B71" s="348" t="s">
        <v>315</v>
      </c>
      <c r="C71" s="348" t="s">
        <v>258</v>
      </c>
      <c r="D71" s="334" t="s">
        <v>182</v>
      </c>
      <c r="E71" s="336">
        <v>43738</v>
      </c>
      <c r="F71" s="336">
        <v>43646</v>
      </c>
      <c r="G71" s="336">
        <v>43738</v>
      </c>
      <c r="H71" s="334" t="s">
        <v>316</v>
      </c>
      <c r="I71" s="356">
        <v>13386109958</v>
      </c>
      <c r="J71" s="361" t="s">
        <v>317</v>
      </c>
      <c r="K71" s="356">
        <v>30000</v>
      </c>
      <c r="L71" s="334">
        <v>41286</v>
      </c>
      <c r="M71" s="362"/>
      <c r="N71" s="362">
        <f t="shared" si="2"/>
        <v>41286</v>
      </c>
      <c r="O71" s="356"/>
      <c r="P71" s="356">
        <v>1</v>
      </c>
      <c r="Q71" s="356"/>
      <c r="R71" s="356"/>
      <c r="S71" s="356"/>
      <c r="T71" s="356"/>
      <c r="U71" s="372"/>
      <c r="V71" s="372"/>
      <c r="W71" s="372"/>
      <c r="X71" s="373"/>
      <c r="Y71" s="348"/>
      <c r="Z71" s="348" t="s">
        <v>318</v>
      </c>
      <c r="AA71" s="348"/>
    </row>
    <row r="72" s="331" customFormat="1" ht="17" customHeight="1" spans="1:27">
      <c r="A72" s="348">
        <v>2067517</v>
      </c>
      <c r="B72" s="348" t="s">
        <v>185</v>
      </c>
      <c r="C72" s="348" t="s">
        <v>319</v>
      </c>
      <c r="D72" s="352" t="s">
        <v>44</v>
      </c>
      <c r="E72" s="336">
        <v>43519</v>
      </c>
      <c r="F72" s="336">
        <v>43518</v>
      </c>
      <c r="G72" s="350"/>
      <c r="H72" s="334" t="s">
        <v>320</v>
      </c>
      <c r="I72" s="348">
        <v>15021224886</v>
      </c>
      <c r="J72" s="361" t="s">
        <v>321</v>
      </c>
      <c r="K72" s="356">
        <v>200</v>
      </c>
      <c r="L72" s="362"/>
      <c r="M72" s="362"/>
      <c r="N72" s="362">
        <f t="shared" si="2"/>
        <v>0</v>
      </c>
      <c r="O72" s="356" t="s">
        <v>52</v>
      </c>
      <c r="P72" s="356"/>
      <c r="Q72" s="356"/>
      <c r="R72" s="356"/>
      <c r="S72" s="356"/>
      <c r="T72" s="356"/>
      <c r="U72" s="372" t="s">
        <v>12</v>
      </c>
      <c r="V72" s="372"/>
      <c r="W72" s="372"/>
      <c r="X72" s="373">
        <v>1</v>
      </c>
      <c r="Y72" s="348" t="s">
        <v>278</v>
      </c>
      <c r="Z72" s="348"/>
      <c r="AA72" s="348"/>
    </row>
    <row r="73" s="331" customFormat="1" ht="17" customHeight="1" spans="1:27">
      <c r="A73" s="348"/>
      <c r="B73" s="348" t="s">
        <v>160</v>
      </c>
      <c r="C73" s="348" t="s">
        <v>275</v>
      </c>
      <c r="D73" s="349" t="s">
        <v>162</v>
      </c>
      <c r="E73" s="336">
        <v>43519</v>
      </c>
      <c r="F73" s="336">
        <v>43518</v>
      </c>
      <c r="G73" s="350"/>
      <c r="H73" s="334" t="s">
        <v>322</v>
      </c>
      <c r="I73" s="348">
        <v>18721836053</v>
      </c>
      <c r="J73" s="361" t="s">
        <v>323</v>
      </c>
      <c r="K73" s="356">
        <v>200</v>
      </c>
      <c r="L73" s="362"/>
      <c r="M73" s="362"/>
      <c r="N73" s="362">
        <f t="shared" si="2"/>
        <v>0</v>
      </c>
      <c r="O73" s="356">
        <v>1</v>
      </c>
      <c r="P73" s="356"/>
      <c r="Q73" s="356"/>
      <c r="R73" s="356"/>
      <c r="S73" s="356"/>
      <c r="T73" s="356"/>
      <c r="U73" s="372" t="s">
        <v>324</v>
      </c>
      <c r="V73" s="372"/>
      <c r="W73" s="372"/>
      <c r="X73" s="373"/>
      <c r="Y73" s="348" t="s">
        <v>278</v>
      </c>
      <c r="Z73" s="348"/>
      <c r="AA73" s="348"/>
    </row>
    <row r="74" s="331" customFormat="1" ht="15" customHeight="1" spans="1:27">
      <c r="A74" s="348"/>
      <c r="B74" s="348" t="s">
        <v>58</v>
      </c>
      <c r="C74" s="348" t="s">
        <v>109</v>
      </c>
      <c r="D74" s="352" t="s">
        <v>110</v>
      </c>
      <c r="E74" s="336">
        <v>43519</v>
      </c>
      <c r="F74" s="336">
        <v>43518</v>
      </c>
      <c r="G74" s="350"/>
      <c r="H74" s="334" t="s">
        <v>325</v>
      </c>
      <c r="I74" s="348">
        <v>13585559391</v>
      </c>
      <c r="J74" s="361" t="s">
        <v>326</v>
      </c>
      <c r="K74" s="356">
        <v>200</v>
      </c>
      <c r="L74" s="362"/>
      <c r="M74" s="362"/>
      <c r="N74" s="362">
        <f t="shared" si="2"/>
        <v>0</v>
      </c>
      <c r="O74" s="356"/>
      <c r="P74" s="365" t="s">
        <v>52</v>
      </c>
      <c r="Q74" s="356"/>
      <c r="R74" s="356"/>
      <c r="S74" s="356"/>
      <c r="T74" s="356"/>
      <c r="U74" s="372"/>
      <c r="V74" s="372"/>
      <c r="W74" s="372"/>
      <c r="X74" s="373"/>
      <c r="Y74" s="348" t="s">
        <v>278</v>
      </c>
      <c r="Z74" s="348"/>
      <c r="AA74" s="348"/>
    </row>
    <row r="75" s="331" customFormat="1" ht="17" customHeight="1" spans="1:27">
      <c r="A75" s="550" t="s">
        <v>327</v>
      </c>
      <c r="B75" s="348" t="s">
        <v>35</v>
      </c>
      <c r="C75" s="348" t="s">
        <v>328</v>
      </c>
      <c r="D75" s="352" t="s">
        <v>37</v>
      </c>
      <c r="E75" s="336">
        <v>43618</v>
      </c>
      <c r="F75" s="336">
        <v>43618</v>
      </c>
      <c r="G75" s="336">
        <v>43677</v>
      </c>
      <c r="H75" s="334" t="s">
        <v>329</v>
      </c>
      <c r="I75" s="356">
        <v>13386187979</v>
      </c>
      <c r="J75" s="361" t="s">
        <v>330</v>
      </c>
      <c r="K75" s="356">
        <f>6000+1000</f>
        <v>7000</v>
      </c>
      <c r="L75" s="334">
        <v>7000</v>
      </c>
      <c r="M75" s="362"/>
      <c r="N75" s="362">
        <f t="shared" si="2"/>
        <v>7000</v>
      </c>
      <c r="O75" s="356" t="s">
        <v>52</v>
      </c>
      <c r="P75" s="356"/>
      <c r="Q75" s="356"/>
      <c r="R75" s="356"/>
      <c r="S75" s="356"/>
      <c r="T75" s="356"/>
      <c r="U75" s="372"/>
      <c r="V75" s="372"/>
      <c r="W75" s="372"/>
      <c r="X75" s="373"/>
      <c r="Y75" s="348" t="s">
        <v>331</v>
      </c>
      <c r="Z75" s="348"/>
      <c r="AA75" s="348"/>
    </row>
    <row r="76" s="331" customFormat="1" ht="17" customHeight="1" spans="1:27">
      <c r="A76" s="348"/>
      <c r="B76" s="348" t="s">
        <v>147</v>
      </c>
      <c r="C76" s="348" t="s">
        <v>148</v>
      </c>
      <c r="D76" s="352" t="s">
        <v>149</v>
      </c>
      <c r="E76" s="336">
        <v>43520</v>
      </c>
      <c r="F76" s="336">
        <v>43518</v>
      </c>
      <c r="G76" s="350"/>
      <c r="H76" s="334" t="s">
        <v>332</v>
      </c>
      <c r="I76" s="348">
        <v>13795365370</v>
      </c>
      <c r="J76" s="361" t="s">
        <v>333</v>
      </c>
      <c r="K76" s="356">
        <v>500</v>
      </c>
      <c r="L76" s="380"/>
      <c r="M76" s="380"/>
      <c r="N76" s="362">
        <f t="shared" si="2"/>
        <v>0</v>
      </c>
      <c r="O76" s="348"/>
      <c r="P76" s="348"/>
      <c r="Q76" s="348"/>
      <c r="R76" s="348"/>
      <c r="S76" s="348"/>
      <c r="T76" s="348"/>
      <c r="U76" s="372" t="s">
        <v>334</v>
      </c>
      <c r="V76" s="352"/>
      <c r="W76" s="352"/>
      <c r="X76" s="381"/>
      <c r="Y76" s="348" t="s">
        <v>278</v>
      </c>
      <c r="Z76" s="348"/>
      <c r="AA76" s="348"/>
    </row>
    <row r="77" s="331" customFormat="1" ht="17" customHeight="1" spans="1:27">
      <c r="A77" s="348"/>
      <c r="B77" s="348" t="s">
        <v>335</v>
      </c>
      <c r="C77" s="348" t="s">
        <v>336</v>
      </c>
      <c r="D77" s="349" t="s">
        <v>337</v>
      </c>
      <c r="E77" s="336">
        <v>43520</v>
      </c>
      <c r="F77" s="336">
        <v>43518</v>
      </c>
      <c r="G77" s="350"/>
      <c r="H77" s="334" t="s">
        <v>338</v>
      </c>
      <c r="I77" s="348">
        <v>13916810924</v>
      </c>
      <c r="J77" s="361" t="s">
        <v>339</v>
      </c>
      <c r="K77" s="356">
        <v>500</v>
      </c>
      <c r="L77" s="380"/>
      <c r="M77" s="380"/>
      <c r="N77" s="362">
        <f t="shared" si="2"/>
        <v>0</v>
      </c>
      <c r="O77" s="348"/>
      <c r="P77" s="348"/>
      <c r="Q77" s="348"/>
      <c r="R77" s="348"/>
      <c r="S77" s="348"/>
      <c r="T77" s="348"/>
      <c r="U77" s="372"/>
      <c r="V77" s="352"/>
      <c r="W77" s="352"/>
      <c r="X77" s="381"/>
      <c r="Y77" s="348" t="s">
        <v>278</v>
      </c>
      <c r="Z77" s="348"/>
      <c r="AA77" s="348"/>
    </row>
    <row r="78" s="331" customFormat="1" ht="17" customHeight="1" spans="1:27">
      <c r="A78" s="348"/>
      <c r="B78" s="348" t="s">
        <v>205</v>
      </c>
      <c r="C78" s="348" t="s">
        <v>206</v>
      </c>
      <c r="D78" s="349" t="s">
        <v>207</v>
      </c>
      <c r="E78" s="336">
        <v>43520</v>
      </c>
      <c r="F78" s="336">
        <v>43518</v>
      </c>
      <c r="G78" s="350"/>
      <c r="H78" s="334" t="s">
        <v>340</v>
      </c>
      <c r="I78" s="348">
        <v>18616974483</v>
      </c>
      <c r="J78" s="361" t="s">
        <v>341</v>
      </c>
      <c r="K78" s="356">
        <v>500</v>
      </c>
      <c r="L78" s="380"/>
      <c r="M78" s="380"/>
      <c r="N78" s="362">
        <f t="shared" si="2"/>
        <v>0</v>
      </c>
      <c r="O78" s="348"/>
      <c r="P78" s="348"/>
      <c r="Q78" s="348"/>
      <c r="R78" s="348"/>
      <c r="S78" s="348"/>
      <c r="T78" s="348"/>
      <c r="U78" s="372"/>
      <c r="V78" s="352"/>
      <c r="W78" s="352"/>
      <c r="X78" s="381"/>
      <c r="Y78" s="348" t="s">
        <v>278</v>
      </c>
      <c r="Z78" s="348"/>
      <c r="AA78" s="348"/>
    </row>
    <row r="79" s="331" customFormat="1" ht="15" customHeight="1" spans="1:27">
      <c r="A79" s="348"/>
      <c r="B79" s="348" t="s">
        <v>58</v>
      </c>
      <c r="C79" s="348" t="s">
        <v>342</v>
      </c>
      <c r="D79" s="352" t="s">
        <v>343</v>
      </c>
      <c r="E79" s="336">
        <v>43520</v>
      </c>
      <c r="F79" s="336">
        <v>43518</v>
      </c>
      <c r="G79" s="350"/>
      <c r="H79" s="334" t="s">
        <v>344</v>
      </c>
      <c r="I79" s="348">
        <v>13564516622</v>
      </c>
      <c r="J79" s="361" t="s">
        <v>345</v>
      </c>
      <c r="K79" s="356">
        <v>500</v>
      </c>
      <c r="L79" s="380"/>
      <c r="M79" s="380"/>
      <c r="N79" s="362">
        <f t="shared" si="2"/>
        <v>0</v>
      </c>
      <c r="O79" s="348"/>
      <c r="P79" s="348"/>
      <c r="Q79" s="348"/>
      <c r="R79" s="365" t="s">
        <v>52</v>
      </c>
      <c r="S79" s="348"/>
      <c r="T79" s="348"/>
      <c r="U79" s="372"/>
      <c r="V79" s="352"/>
      <c r="W79" s="352"/>
      <c r="X79" s="381"/>
      <c r="Y79" s="348" t="s">
        <v>278</v>
      </c>
      <c r="Z79" s="348"/>
      <c r="AA79" s="348"/>
    </row>
    <row r="80" s="331" customFormat="1" ht="15" customHeight="1" spans="1:27">
      <c r="A80" s="348"/>
      <c r="B80" s="348" t="s">
        <v>58</v>
      </c>
      <c r="C80" s="348" t="s">
        <v>59</v>
      </c>
      <c r="D80" s="349" t="s">
        <v>271</v>
      </c>
      <c r="E80" s="336">
        <v>43520</v>
      </c>
      <c r="F80" s="336">
        <v>43518</v>
      </c>
      <c r="G80" s="350"/>
      <c r="H80" s="334" t="s">
        <v>346</v>
      </c>
      <c r="I80" s="348">
        <v>15000720001</v>
      </c>
      <c r="J80" s="361"/>
      <c r="K80" s="356">
        <v>200</v>
      </c>
      <c r="L80" s="380"/>
      <c r="M80" s="380"/>
      <c r="N80" s="362">
        <f t="shared" si="2"/>
        <v>0</v>
      </c>
      <c r="O80" s="365" t="s">
        <v>52</v>
      </c>
      <c r="P80" s="348"/>
      <c r="Q80" s="348"/>
      <c r="R80" s="348"/>
      <c r="S80" s="348"/>
      <c r="T80" s="348"/>
      <c r="U80" s="372"/>
      <c r="V80" s="352"/>
      <c r="W80" s="352"/>
      <c r="X80" s="381"/>
      <c r="Y80" s="348" t="s">
        <v>278</v>
      </c>
      <c r="Z80" s="348"/>
      <c r="AA80" s="348"/>
    </row>
    <row r="81" s="331" customFormat="1" ht="15" customHeight="1" spans="1:27">
      <c r="A81" s="348"/>
      <c r="B81" s="348" t="s">
        <v>58</v>
      </c>
      <c r="C81" s="348" t="s">
        <v>347</v>
      </c>
      <c r="D81" s="352" t="s">
        <v>343</v>
      </c>
      <c r="E81" s="336">
        <v>43520</v>
      </c>
      <c r="F81" s="336">
        <v>43519</v>
      </c>
      <c r="G81" s="355">
        <v>43709</v>
      </c>
      <c r="H81" s="334" t="s">
        <v>348</v>
      </c>
      <c r="I81" s="348">
        <v>13151076368</v>
      </c>
      <c r="J81" s="361" t="s">
        <v>349</v>
      </c>
      <c r="K81" s="356">
        <v>200</v>
      </c>
      <c r="L81" s="380"/>
      <c r="M81" s="380"/>
      <c r="N81" s="362">
        <f t="shared" si="2"/>
        <v>0</v>
      </c>
      <c r="O81" s="348"/>
      <c r="P81" s="348"/>
      <c r="Q81" s="366" t="s">
        <v>52</v>
      </c>
      <c r="R81" s="348"/>
      <c r="S81" s="348"/>
      <c r="T81" s="348"/>
      <c r="U81" s="372"/>
      <c r="V81" s="352"/>
      <c r="W81" s="352"/>
      <c r="X81" s="381"/>
      <c r="Y81" s="348" t="s">
        <v>278</v>
      </c>
      <c r="Z81" s="348"/>
      <c r="AA81" s="348"/>
    </row>
    <row r="82" s="331" customFormat="1" ht="15" customHeight="1" spans="1:27">
      <c r="A82" s="348"/>
      <c r="B82" s="348" t="s">
        <v>58</v>
      </c>
      <c r="C82" s="348" t="s">
        <v>347</v>
      </c>
      <c r="D82" s="352" t="s">
        <v>343</v>
      </c>
      <c r="E82" s="336">
        <v>43520</v>
      </c>
      <c r="F82" s="336">
        <v>43519</v>
      </c>
      <c r="G82" s="355">
        <v>43718</v>
      </c>
      <c r="H82" s="334" t="s">
        <v>350</v>
      </c>
      <c r="I82" s="348">
        <v>18114417933</v>
      </c>
      <c r="J82" s="361" t="s">
        <v>351</v>
      </c>
      <c r="K82" s="356">
        <v>200</v>
      </c>
      <c r="L82" s="380"/>
      <c r="M82" s="380"/>
      <c r="N82" s="362">
        <f t="shared" si="2"/>
        <v>0</v>
      </c>
      <c r="O82" s="348"/>
      <c r="P82" s="366"/>
      <c r="Q82" s="348"/>
      <c r="R82" s="348"/>
      <c r="S82" s="348"/>
      <c r="T82" s="348"/>
      <c r="U82" s="372"/>
      <c r="V82" s="352"/>
      <c r="W82" s="352"/>
      <c r="X82" s="381"/>
      <c r="Y82" s="348" t="s">
        <v>278</v>
      </c>
      <c r="Z82" s="348"/>
      <c r="AA82" s="348" t="s">
        <v>352</v>
      </c>
    </row>
    <row r="83" s="331" customFormat="1" ht="17" customHeight="1" spans="1:27">
      <c r="A83" s="550" t="s">
        <v>353</v>
      </c>
      <c r="B83" s="348" t="s">
        <v>354</v>
      </c>
      <c r="C83" s="348" t="s">
        <v>355</v>
      </c>
      <c r="D83" s="349" t="s">
        <v>356</v>
      </c>
      <c r="E83" s="336">
        <v>43619</v>
      </c>
      <c r="F83" s="336">
        <v>43618</v>
      </c>
      <c r="G83" s="336">
        <v>43667</v>
      </c>
      <c r="H83" s="334" t="s">
        <v>357</v>
      </c>
      <c r="I83" s="356">
        <v>13472758187</v>
      </c>
      <c r="J83" s="361" t="s">
        <v>358</v>
      </c>
      <c r="K83" s="356">
        <v>4500</v>
      </c>
      <c r="L83" s="334">
        <v>4503</v>
      </c>
      <c r="M83" s="362"/>
      <c r="N83" s="362">
        <f t="shared" si="2"/>
        <v>4503</v>
      </c>
      <c r="O83" s="356"/>
      <c r="P83" s="356"/>
      <c r="Q83" s="356"/>
      <c r="R83" s="356"/>
      <c r="S83" s="356"/>
      <c r="T83" s="356"/>
      <c r="U83" s="372"/>
      <c r="V83" s="372"/>
      <c r="W83" s="372"/>
      <c r="X83" s="373"/>
      <c r="Y83" s="348"/>
      <c r="Z83" s="348"/>
      <c r="AA83" s="348"/>
    </row>
    <row r="84" s="331" customFormat="1" ht="17" customHeight="1" spans="1:27">
      <c r="A84" s="348"/>
      <c r="B84" s="348" t="s">
        <v>359</v>
      </c>
      <c r="C84" s="348" t="s">
        <v>360</v>
      </c>
      <c r="D84" s="349" t="s">
        <v>361</v>
      </c>
      <c r="E84" s="336">
        <v>43520</v>
      </c>
      <c r="F84" s="336">
        <v>43518</v>
      </c>
      <c r="G84" s="350"/>
      <c r="H84" s="334" t="s">
        <v>362</v>
      </c>
      <c r="I84" s="348">
        <v>13564547854</v>
      </c>
      <c r="J84" s="361" t="s">
        <v>363</v>
      </c>
      <c r="K84" s="356">
        <v>500</v>
      </c>
      <c r="L84" s="380"/>
      <c r="M84" s="380"/>
      <c r="N84" s="362">
        <f t="shared" si="2"/>
        <v>0</v>
      </c>
      <c r="O84" s="348"/>
      <c r="P84" s="348"/>
      <c r="Q84" s="348"/>
      <c r="R84" s="348"/>
      <c r="S84" s="348"/>
      <c r="T84" s="348"/>
      <c r="U84" s="382">
        <v>43565</v>
      </c>
      <c r="V84" s="352"/>
      <c r="W84" s="352"/>
      <c r="X84" s="381"/>
      <c r="Y84" s="348" t="s">
        <v>278</v>
      </c>
      <c r="Z84" s="348"/>
      <c r="AA84" s="348"/>
    </row>
    <row r="85" s="331" customFormat="1" ht="17" customHeight="1" spans="1:27">
      <c r="A85" s="348"/>
      <c r="B85" s="348" t="s">
        <v>359</v>
      </c>
      <c r="C85" s="348" t="s">
        <v>361</v>
      </c>
      <c r="D85" s="349" t="s">
        <v>361</v>
      </c>
      <c r="E85" s="336">
        <v>43520</v>
      </c>
      <c r="F85" s="336">
        <v>43518</v>
      </c>
      <c r="G85" s="350"/>
      <c r="H85" s="334" t="s">
        <v>364</v>
      </c>
      <c r="I85" s="348">
        <v>18860833405</v>
      </c>
      <c r="J85" s="361" t="s">
        <v>365</v>
      </c>
      <c r="K85" s="356">
        <v>500</v>
      </c>
      <c r="L85" s="380"/>
      <c r="M85" s="380"/>
      <c r="N85" s="362">
        <f t="shared" si="2"/>
        <v>0</v>
      </c>
      <c r="O85" s="348"/>
      <c r="P85" s="348"/>
      <c r="Q85" s="348"/>
      <c r="R85" s="348"/>
      <c r="S85" s="348"/>
      <c r="T85" s="348"/>
      <c r="U85" s="382">
        <v>43565</v>
      </c>
      <c r="V85" s="352"/>
      <c r="W85" s="352"/>
      <c r="X85" s="381"/>
      <c r="Y85" s="348" t="s">
        <v>278</v>
      </c>
      <c r="Z85" s="348"/>
      <c r="AA85" s="348"/>
    </row>
    <row r="86" s="331" customFormat="1" ht="17" customHeight="1" spans="1:27">
      <c r="A86" s="348"/>
      <c r="B86" s="348" t="s">
        <v>130</v>
      </c>
      <c r="C86" s="348" t="s">
        <v>366</v>
      </c>
      <c r="D86" s="352" t="s">
        <v>132</v>
      </c>
      <c r="E86" s="336">
        <v>43520</v>
      </c>
      <c r="F86" s="336">
        <v>43518</v>
      </c>
      <c r="G86" s="350"/>
      <c r="H86" s="334" t="s">
        <v>367</v>
      </c>
      <c r="I86" s="348">
        <v>18621260912</v>
      </c>
      <c r="J86" s="361" t="s">
        <v>368</v>
      </c>
      <c r="K86" s="356">
        <v>200</v>
      </c>
      <c r="L86" s="380"/>
      <c r="M86" s="380"/>
      <c r="N86" s="362">
        <f t="shared" si="2"/>
        <v>0</v>
      </c>
      <c r="O86" s="356">
        <v>1</v>
      </c>
      <c r="P86" s="348"/>
      <c r="Q86" s="348"/>
      <c r="R86" s="348"/>
      <c r="S86" s="348"/>
      <c r="T86" s="348"/>
      <c r="U86" s="372"/>
      <c r="V86" s="352"/>
      <c r="W86" s="352"/>
      <c r="X86" s="381">
        <v>1</v>
      </c>
      <c r="Y86" s="348" t="s">
        <v>278</v>
      </c>
      <c r="Z86" s="348"/>
      <c r="AA86" s="348"/>
    </row>
    <row r="87" s="331" customFormat="1" ht="17" customHeight="1" spans="1:27">
      <c r="A87" s="348"/>
      <c r="B87" s="348" t="s">
        <v>359</v>
      </c>
      <c r="C87" s="348" t="s">
        <v>361</v>
      </c>
      <c r="D87" s="349" t="s">
        <v>361</v>
      </c>
      <c r="E87" s="336">
        <v>43520</v>
      </c>
      <c r="F87" s="336">
        <v>43518</v>
      </c>
      <c r="G87" s="350"/>
      <c r="H87" s="334" t="s">
        <v>369</v>
      </c>
      <c r="I87" s="348">
        <v>13788961652</v>
      </c>
      <c r="J87" s="361" t="s">
        <v>370</v>
      </c>
      <c r="K87" s="356">
        <v>500</v>
      </c>
      <c r="L87" s="380"/>
      <c r="M87" s="380"/>
      <c r="N87" s="362">
        <f t="shared" si="2"/>
        <v>0</v>
      </c>
      <c r="O87" s="356"/>
      <c r="P87" s="348"/>
      <c r="Q87" s="348" t="s">
        <v>21</v>
      </c>
      <c r="R87" s="348"/>
      <c r="S87" s="348"/>
      <c r="T87" s="348"/>
      <c r="U87" s="372" t="s">
        <v>371</v>
      </c>
      <c r="V87" s="352"/>
      <c r="W87" s="352"/>
      <c r="X87" s="381"/>
      <c r="Y87" s="348" t="s">
        <v>278</v>
      </c>
      <c r="Z87" s="348"/>
      <c r="AA87" s="348"/>
    </row>
    <row r="88" s="331" customFormat="1" ht="17" customHeight="1" spans="1:27">
      <c r="A88" s="348">
        <v>2026398</v>
      </c>
      <c r="B88" s="334" t="s">
        <v>281</v>
      </c>
      <c r="C88" s="334" t="s">
        <v>282</v>
      </c>
      <c r="D88" s="352" t="s">
        <v>49</v>
      </c>
      <c r="E88" s="336">
        <v>43520</v>
      </c>
      <c r="F88" s="336">
        <v>43519</v>
      </c>
      <c r="G88" s="336"/>
      <c r="H88" s="334" t="s">
        <v>372</v>
      </c>
      <c r="I88" s="334">
        <v>13916002172</v>
      </c>
      <c r="J88" s="367" t="s">
        <v>373</v>
      </c>
      <c r="K88" s="356">
        <v>500</v>
      </c>
      <c r="L88" s="368"/>
      <c r="M88" s="368"/>
      <c r="N88" s="362">
        <f t="shared" si="2"/>
        <v>0</v>
      </c>
      <c r="O88" s="337"/>
      <c r="P88" s="337"/>
      <c r="Q88" s="337"/>
      <c r="R88" s="337"/>
      <c r="S88" s="337"/>
      <c r="T88" s="337"/>
      <c r="U88" s="379" t="s">
        <v>40</v>
      </c>
      <c r="V88" s="377"/>
      <c r="W88" s="377"/>
      <c r="X88" s="378"/>
      <c r="Y88" s="334"/>
      <c r="Z88" s="334"/>
      <c r="AA88" s="334"/>
    </row>
    <row r="89" s="331" customFormat="1" ht="17" customHeight="1" spans="1:27">
      <c r="A89" s="348">
        <v>2023187</v>
      </c>
      <c r="B89" s="334" t="s">
        <v>153</v>
      </c>
      <c r="C89" s="334" t="s">
        <v>154</v>
      </c>
      <c r="D89" s="349" t="s">
        <v>155</v>
      </c>
      <c r="E89" s="336" t="s">
        <v>133</v>
      </c>
      <c r="F89" s="336">
        <v>43456</v>
      </c>
      <c r="G89" s="336"/>
      <c r="H89" s="334" t="s">
        <v>374</v>
      </c>
      <c r="I89" s="334">
        <v>13816691646</v>
      </c>
      <c r="J89" s="367" t="s">
        <v>375</v>
      </c>
      <c r="K89" s="356">
        <v>9000</v>
      </c>
      <c r="L89" s="368"/>
      <c r="M89" s="368"/>
      <c r="N89" s="362">
        <f t="shared" si="2"/>
        <v>0</v>
      </c>
      <c r="O89" s="337"/>
      <c r="P89" s="337"/>
      <c r="Q89" s="337"/>
      <c r="R89" s="337"/>
      <c r="S89" s="337"/>
      <c r="T89" s="337"/>
      <c r="U89" s="383" t="s">
        <v>12</v>
      </c>
      <c r="V89" s="377"/>
      <c r="W89" s="377"/>
      <c r="X89" s="378"/>
      <c r="Y89" s="334" t="s">
        <v>376</v>
      </c>
      <c r="Z89" s="334"/>
      <c r="AA89" s="334"/>
    </row>
    <row r="90" s="331" customFormat="1" ht="17" customHeight="1" spans="1:27">
      <c r="A90" s="348">
        <v>2067607</v>
      </c>
      <c r="B90" s="348" t="s">
        <v>31</v>
      </c>
      <c r="C90" s="348" t="s">
        <v>377</v>
      </c>
      <c r="D90" s="349" t="s">
        <v>221</v>
      </c>
      <c r="E90" s="336">
        <v>43585</v>
      </c>
      <c r="F90" s="336">
        <v>43582</v>
      </c>
      <c r="G90" s="350"/>
      <c r="H90" s="334" t="s">
        <v>378</v>
      </c>
      <c r="I90" s="356">
        <v>13482762260</v>
      </c>
      <c r="J90" s="361" t="s">
        <v>379</v>
      </c>
      <c r="K90" s="356">
        <f>1000+2000</f>
        <v>3000</v>
      </c>
      <c r="L90" s="362"/>
      <c r="M90" s="362"/>
      <c r="N90" s="362">
        <f t="shared" si="2"/>
        <v>0</v>
      </c>
      <c r="O90" s="356"/>
      <c r="P90" s="356"/>
      <c r="Q90" s="356"/>
      <c r="R90" s="356"/>
      <c r="S90" s="356"/>
      <c r="T90" s="356"/>
      <c r="U90" s="372">
        <v>7.15</v>
      </c>
      <c r="V90" s="372"/>
      <c r="W90" s="372"/>
      <c r="X90" s="373"/>
      <c r="Y90" s="348" t="s">
        <v>380</v>
      </c>
      <c r="Z90" s="348"/>
      <c r="AA90" s="348"/>
    </row>
    <row r="91" s="331" customFormat="1" ht="17" customHeight="1" spans="1:27">
      <c r="A91" s="348">
        <v>2019899</v>
      </c>
      <c r="B91" s="348" t="s">
        <v>73</v>
      </c>
      <c r="C91" s="348" t="s">
        <v>74</v>
      </c>
      <c r="D91" s="352" t="s">
        <v>75</v>
      </c>
      <c r="E91" s="336">
        <v>43527</v>
      </c>
      <c r="F91" s="336">
        <v>43527</v>
      </c>
      <c r="G91" s="350"/>
      <c r="H91" s="351" t="s">
        <v>381</v>
      </c>
      <c r="I91" s="356">
        <v>18621722260</v>
      </c>
      <c r="J91" s="361" t="s">
        <v>382</v>
      </c>
      <c r="K91" s="356">
        <v>1000</v>
      </c>
      <c r="L91" s="362"/>
      <c r="M91" s="362"/>
      <c r="N91" s="362">
        <f t="shared" si="2"/>
        <v>0</v>
      </c>
      <c r="O91" s="356"/>
      <c r="P91" s="356"/>
      <c r="Q91" s="366"/>
      <c r="R91" s="366" t="s">
        <v>52</v>
      </c>
      <c r="S91" s="356"/>
      <c r="T91" s="356"/>
      <c r="U91" s="372" t="s">
        <v>78</v>
      </c>
      <c r="V91" s="372"/>
      <c r="W91" s="372"/>
      <c r="X91" s="373"/>
      <c r="Y91" s="348"/>
      <c r="Z91" s="348" t="s">
        <v>79</v>
      </c>
      <c r="AA91" s="348"/>
    </row>
    <row r="92" s="331" customFormat="1" ht="17" customHeight="1" spans="1:27">
      <c r="A92" s="348">
        <v>2025263</v>
      </c>
      <c r="B92" s="348" t="s">
        <v>35</v>
      </c>
      <c r="C92" s="348" t="s">
        <v>328</v>
      </c>
      <c r="D92" s="349" t="s">
        <v>75</v>
      </c>
      <c r="E92" s="336">
        <v>43524</v>
      </c>
      <c r="F92" s="336">
        <v>43522</v>
      </c>
      <c r="G92" s="350"/>
      <c r="H92" s="351" t="s">
        <v>383</v>
      </c>
      <c r="I92" s="356">
        <v>18666007771</v>
      </c>
      <c r="J92" s="361" t="s">
        <v>384</v>
      </c>
      <c r="K92" s="356">
        <v>200</v>
      </c>
      <c r="L92" s="362"/>
      <c r="M92" s="362"/>
      <c r="N92" s="362">
        <f t="shared" si="2"/>
        <v>0</v>
      </c>
      <c r="O92" s="356"/>
      <c r="P92" s="356"/>
      <c r="Q92" s="356"/>
      <c r="R92" s="356"/>
      <c r="S92" s="356"/>
      <c r="T92" s="356"/>
      <c r="U92" s="372" t="s">
        <v>40</v>
      </c>
      <c r="V92" s="372"/>
      <c r="W92" s="372"/>
      <c r="X92" s="373"/>
      <c r="Y92" s="348" t="s">
        <v>385</v>
      </c>
      <c r="Z92" s="348"/>
      <c r="AA92" s="348"/>
    </row>
    <row r="93" s="331" customFormat="1" ht="17" customHeight="1" spans="1:27">
      <c r="A93" s="348">
        <v>2025082</v>
      </c>
      <c r="B93" s="348" t="s">
        <v>354</v>
      </c>
      <c r="C93" s="348" t="s">
        <v>355</v>
      </c>
      <c r="D93" s="349" t="s">
        <v>149</v>
      </c>
      <c r="E93" s="336"/>
      <c r="F93" s="336">
        <v>43525</v>
      </c>
      <c r="G93" s="350"/>
      <c r="H93" s="351" t="s">
        <v>386</v>
      </c>
      <c r="I93" s="356">
        <v>13906224806</v>
      </c>
      <c r="J93" s="361" t="s">
        <v>387</v>
      </c>
      <c r="K93" s="356">
        <v>500</v>
      </c>
      <c r="L93" s="362"/>
      <c r="M93" s="362"/>
      <c r="N93" s="362">
        <f t="shared" si="2"/>
        <v>0</v>
      </c>
      <c r="O93" s="356"/>
      <c r="P93" s="356"/>
      <c r="Q93" s="356"/>
      <c r="R93" s="356"/>
      <c r="S93" s="356"/>
      <c r="T93" s="356"/>
      <c r="U93" s="372"/>
      <c r="V93" s="372"/>
      <c r="W93" s="372"/>
      <c r="X93" s="373"/>
      <c r="Y93" s="348" t="s">
        <v>388</v>
      </c>
      <c r="Z93" s="348"/>
      <c r="AA93" s="348"/>
    </row>
    <row r="94" s="331" customFormat="1" ht="17" customHeight="1" spans="1:27">
      <c r="A94" s="348">
        <v>2022083</v>
      </c>
      <c r="B94" s="348" t="s">
        <v>160</v>
      </c>
      <c r="C94" s="348" t="s">
        <v>275</v>
      </c>
      <c r="D94" s="349" t="s">
        <v>162</v>
      </c>
      <c r="E94" s="336">
        <v>43526</v>
      </c>
      <c r="F94" s="336">
        <v>43525</v>
      </c>
      <c r="G94" s="350" t="s">
        <v>69</v>
      </c>
      <c r="H94" s="351" t="s">
        <v>389</v>
      </c>
      <c r="I94" s="356">
        <v>13937367527</v>
      </c>
      <c r="J94" s="361" t="s">
        <v>390</v>
      </c>
      <c r="K94" s="356">
        <v>1000</v>
      </c>
      <c r="L94" s="362"/>
      <c r="M94" s="362"/>
      <c r="N94" s="362">
        <f t="shared" si="2"/>
        <v>0</v>
      </c>
      <c r="O94" s="356"/>
      <c r="P94" s="356"/>
      <c r="Q94" s="356"/>
      <c r="R94" s="356"/>
      <c r="S94" s="356"/>
      <c r="T94" s="356"/>
      <c r="U94" s="372"/>
      <c r="V94" s="372"/>
      <c r="W94" s="372"/>
      <c r="X94" s="373"/>
      <c r="Y94" s="348" t="s">
        <v>391</v>
      </c>
      <c r="Z94" s="348"/>
      <c r="AA94" s="348"/>
    </row>
    <row r="95" s="331" customFormat="1" ht="17" customHeight="1" spans="1:27">
      <c r="A95" s="348">
        <v>2025704</v>
      </c>
      <c r="B95" s="348" t="s">
        <v>35</v>
      </c>
      <c r="C95" s="348" t="s">
        <v>392</v>
      </c>
      <c r="D95" s="352" t="s">
        <v>37</v>
      </c>
      <c r="E95" s="336">
        <v>43526</v>
      </c>
      <c r="F95" s="336">
        <v>43526</v>
      </c>
      <c r="G95" s="350" t="s">
        <v>69</v>
      </c>
      <c r="H95" s="351" t="s">
        <v>393</v>
      </c>
      <c r="I95" s="356">
        <v>13817010091</v>
      </c>
      <c r="J95" s="361" t="s">
        <v>394</v>
      </c>
      <c r="K95" s="356">
        <v>1000</v>
      </c>
      <c r="L95" s="362"/>
      <c r="M95" s="362"/>
      <c r="N95" s="362">
        <f t="shared" si="2"/>
        <v>0</v>
      </c>
      <c r="O95" s="356"/>
      <c r="P95" s="356" t="s">
        <v>52</v>
      </c>
      <c r="Q95" s="356"/>
      <c r="R95" s="356"/>
      <c r="S95" s="356"/>
      <c r="T95" s="356"/>
      <c r="U95" s="372"/>
      <c r="V95" s="372"/>
      <c r="W95" s="372"/>
      <c r="X95" s="373">
        <v>1</v>
      </c>
      <c r="Y95" s="348"/>
      <c r="Z95" s="348"/>
      <c r="AA95" s="348"/>
    </row>
    <row r="96" s="331" customFormat="1" ht="17" customHeight="1" spans="1:27">
      <c r="A96" s="348">
        <v>2022189</v>
      </c>
      <c r="B96" s="348" t="s">
        <v>130</v>
      </c>
      <c r="C96" s="348" t="s">
        <v>395</v>
      </c>
      <c r="D96" s="352" t="s">
        <v>89</v>
      </c>
      <c r="E96" s="336">
        <v>43526</v>
      </c>
      <c r="F96" s="336">
        <v>43526</v>
      </c>
      <c r="G96" s="350" t="s">
        <v>231</v>
      </c>
      <c r="H96" s="351" t="s">
        <v>396</v>
      </c>
      <c r="I96" s="356">
        <v>13917823425</v>
      </c>
      <c r="J96" s="361" t="s">
        <v>397</v>
      </c>
      <c r="K96" s="356">
        <v>4350</v>
      </c>
      <c r="L96" s="362"/>
      <c r="M96" s="362"/>
      <c r="N96" s="362">
        <f t="shared" si="2"/>
        <v>0</v>
      </c>
      <c r="O96" s="356">
        <v>1</v>
      </c>
      <c r="P96" s="356"/>
      <c r="Q96" s="356"/>
      <c r="R96" s="356"/>
      <c r="S96" s="356"/>
      <c r="T96" s="356"/>
      <c r="U96" s="372"/>
      <c r="V96" s="372"/>
      <c r="W96" s="372"/>
      <c r="X96" s="373"/>
      <c r="Y96" s="348"/>
      <c r="Z96" s="348"/>
      <c r="AA96" s="348"/>
    </row>
    <row r="97" s="331" customFormat="1" ht="17" customHeight="1" spans="1:27">
      <c r="A97" s="550" t="s">
        <v>398</v>
      </c>
      <c r="B97" s="348" t="s">
        <v>335</v>
      </c>
      <c r="C97" s="348" t="s">
        <v>399</v>
      </c>
      <c r="D97" s="349" t="s">
        <v>337</v>
      </c>
      <c r="E97" s="336">
        <v>43589</v>
      </c>
      <c r="F97" s="336">
        <v>43589</v>
      </c>
      <c r="G97" s="356" t="s">
        <v>400</v>
      </c>
      <c r="H97" s="334" t="s">
        <v>401</v>
      </c>
      <c r="I97" s="356">
        <v>13482811193</v>
      </c>
      <c r="J97" s="361" t="s">
        <v>402</v>
      </c>
      <c r="K97" s="356">
        <v>3000</v>
      </c>
      <c r="L97" s="362"/>
      <c r="M97" s="362"/>
      <c r="N97" s="362">
        <f t="shared" si="2"/>
        <v>0</v>
      </c>
      <c r="O97" s="356"/>
      <c r="P97" s="356"/>
      <c r="Q97" s="356"/>
      <c r="R97" s="356"/>
      <c r="S97" s="356"/>
      <c r="T97" s="356"/>
      <c r="U97" s="372"/>
      <c r="V97" s="372"/>
      <c r="W97" s="376" t="s">
        <v>403</v>
      </c>
      <c r="X97" s="384"/>
      <c r="Y97" s="348"/>
      <c r="Z97" s="348"/>
      <c r="AA97" s="348"/>
    </row>
    <row r="98" s="331" customFormat="1" ht="17" customHeight="1" spans="1:27">
      <c r="A98" s="550" t="s">
        <v>404</v>
      </c>
      <c r="B98" s="348" t="s">
        <v>405</v>
      </c>
      <c r="C98" s="348" t="s">
        <v>406</v>
      </c>
      <c r="D98" s="349" t="s">
        <v>407</v>
      </c>
      <c r="E98" s="336">
        <v>43527</v>
      </c>
      <c r="F98" s="336">
        <v>43526</v>
      </c>
      <c r="G98" s="350"/>
      <c r="H98" s="351" t="s">
        <v>408</v>
      </c>
      <c r="I98" s="356">
        <v>13311713902</v>
      </c>
      <c r="J98" s="361" t="s">
        <v>409</v>
      </c>
      <c r="K98" s="356">
        <v>1000</v>
      </c>
      <c r="L98" s="362"/>
      <c r="M98" s="362"/>
      <c r="N98" s="362">
        <f t="shared" si="2"/>
        <v>0</v>
      </c>
      <c r="O98" s="356"/>
      <c r="P98" s="356"/>
      <c r="Q98" s="356"/>
      <c r="R98" s="356"/>
      <c r="S98" s="356"/>
      <c r="T98" s="356"/>
      <c r="U98" s="372" t="s">
        <v>40</v>
      </c>
      <c r="V98" s="372"/>
      <c r="W98" s="372"/>
      <c r="X98" s="373"/>
      <c r="Y98" s="348" t="s">
        <v>410</v>
      </c>
      <c r="Z98" s="348"/>
      <c r="AA98" s="348"/>
    </row>
    <row r="99" s="331" customFormat="1" ht="17" customHeight="1" spans="1:27">
      <c r="A99" s="348"/>
      <c r="B99" s="348" t="s">
        <v>137</v>
      </c>
      <c r="C99" s="348" t="s">
        <v>411</v>
      </c>
      <c r="D99" s="334" t="s">
        <v>139</v>
      </c>
      <c r="E99" s="336">
        <v>43704</v>
      </c>
      <c r="F99" s="336">
        <v>43570</v>
      </c>
      <c r="G99" s="336">
        <v>43704</v>
      </c>
      <c r="H99" s="334" t="s">
        <v>357</v>
      </c>
      <c r="I99" s="356">
        <v>13501651592</v>
      </c>
      <c r="J99" s="361" t="s">
        <v>412</v>
      </c>
      <c r="K99" s="356">
        <v>1000</v>
      </c>
      <c r="L99" s="334">
        <v>11176</v>
      </c>
      <c r="M99" s="362"/>
      <c r="N99" s="362">
        <f t="shared" si="2"/>
        <v>11176</v>
      </c>
      <c r="O99" s="356"/>
      <c r="P99" s="356">
        <v>1</v>
      </c>
      <c r="Q99" s="356"/>
      <c r="R99" s="356"/>
      <c r="S99" s="356"/>
      <c r="T99" s="356"/>
      <c r="U99" s="372"/>
      <c r="V99" s="372"/>
      <c r="W99" s="372"/>
      <c r="X99" s="373"/>
      <c r="Y99" s="348"/>
      <c r="Z99" s="348" t="s">
        <v>413</v>
      </c>
      <c r="AA99" s="348"/>
    </row>
    <row r="100" s="331" customFormat="1" ht="17" customHeight="1" spans="1:27">
      <c r="A100" s="348">
        <v>2025705</v>
      </c>
      <c r="B100" s="348" t="s">
        <v>35</v>
      </c>
      <c r="C100" s="348" t="s">
        <v>36</v>
      </c>
      <c r="D100" s="352" t="s">
        <v>37</v>
      </c>
      <c r="E100" s="336">
        <v>43823</v>
      </c>
      <c r="F100" s="336">
        <v>43527</v>
      </c>
      <c r="G100" s="336">
        <v>43821</v>
      </c>
      <c r="H100" s="351" t="s">
        <v>414</v>
      </c>
      <c r="I100" s="356">
        <v>13817638879</v>
      </c>
      <c r="J100" s="361" t="s">
        <v>415</v>
      </c>
      <c r="K100" s="356">
        <v>3200</v>
      </c>
      <c r="L100" s="334">
        <v>36000</v>
      </c>
      <c r="M100" s="362"/>
      <c r="N100" s="362">
        <f t="shared" si="2"/>
        <v>36000</v>
      </c>
      <c r="O100" s="356"/>
      <c r="P100" s="356"/>
      <c r="Q100" s="356" t="s">
        <v>52</v>
      </c>
      <c r="R100" s="356"/>
      <c r="S100" s="356"/>
      <c r="T100" s="356"/>
      <c r="U100" s="372"/>
      <c r="V100" s="372"/>
      <c r="W100" s="372"/>
      <c r="X100" s="373">
        <v>1</v>
      </c>
      <c r="Y100" s="348"/>
      <c r="Z100" s="348"/>
      <c r="AA100" s="348"/>
    </row>
    <row r="101" s="331" customFormat="1" ht="17" customHeight="1" spans="1:27">
      <c r="A101" s="348"/>
      <c r="B101" s="348" t="s">
        <v>130</v>
      </c>
      <c r="C101" s="348" t="s">
        <v>131</v>
      </c>
      <c r="D101" s="349" t="s">
        <v>89</v>
      </c>
      <c r="E101" s="336">
        <v>43527</v>
      </c>
      <c r="F101" s="336">
        <v>43526</v>
      </c>
      <c r="G101" s="336">
        <v>43648</v>
      </c>
      <c r="H101" s="351" t="s">
        <v>416</v>
      </c>
      <c r="I101" s="356">
        <v>13918233140</v>
      </c>
      <c r="J101" s="361" t="s">
        <v>417</v>
      </c>
      <c r="K101" s="356">
        <v>1000</v>
      </c>
      <c r="L101" s="334">
        <v>18383</v>
      </c>
      <c r="M101" s="334">
        <f>1104+368</f>
        <v>1472</v>
      </c>
      <c r="N101" s="362">
        <f t="shared" si="2"/>
        <v>19855</v>
      </c>
      <c r="O101" s="356"/>
      <c r="P101" s="356"/>
      <c r="Q101" s="356"/>
      <c r="R101" s="356"/>
      <c r="S101" s="356"/>
      <c r="T101" s="356"/>
      <c r="U101" s="372"/>
      <c r="V101" s="372"/>
      <c r="W101" s="372"/>
      <c r="X101" s="373">
        <v>1</v>
      </c>
      <c r="Y101" s="348" t="s">
        <v>418</v>
      </c>
      <c r="Z101" s="348"/>
      <c r="AA101" s="348"/>
    </row>
    <row r="102" s="331" customFormat="1" ht="17" customHeight="1" spans="1:27">
      <c r="A102" s="348">
        <v>2066971</v>
      </c>
      <c r="B102" s="348" t="s">
        <v>31</v>
      </c>
      <c r="C102" s="348" t="s">
        <v>419</v>
      </c>
      <c r="D102" s="349" t="s">
        <v>221</v>
      </c>
      <c r="E102" s="336">
        <v>43527</v>
      </c>
      <c r="F102" s="336">
        <v>43526</v>
      </c>
      <c r="G102" s="350"/>
      <c r="H102" s="351" t="s">
        <v>420</v>
      </c>
      <c r="I102" s="356">
        <v>15515606299</v>
      </c>
      <c r="J102" s="361" t="s">
        <v>421</v>
      </c>
      <c r="K102" s="356">
        <v>1000</v>
      </c>
      <c r="L102" s="362"/>
      <c r="M102" s="362"/>
      <c r="N102" s="362">
        <f t="shared" ref="N102:N114" si="3">L102+M102</f>
        <v>0</v>
      </c>
      <c r="O102" s="356"/>
      <c r="P102" s="356"/>
      <c r="Q102" s="356"/>
      <c r="R102" s="356"/>
      <c r="S102" s="356"/>
      <c r="T102" s="356"/>
      <c r="U102" s="372" t="s">
        <v>52</v>
      </c>
      <c r="V102" s="372"/>
      <c r="W102" s="372"/>
      <c r="X102" s="373"/>
      <c r="Y102" s="348" t="s">
        <v>422</v>
      </c>
      <c r="Z102" s="348"/>
      <c r="AA102" s="348"/>
    </row>
    <row r="103" s="331" customFormat="1" ht="17" customHeight="1" spans="1:27">
      <c r="A103" s="348">
        <v>2023473</v>
      </c>
      <c r="B103" s="348" t="s">
        <v>73</v>
      </c>
      <c r="C103" s="348" t="s">
        <v>178</v>
      </c>
      <c r="D103" s="349" t="s">
        <v>75</v>
      </c>
      <c r="E103" s="336">
        <v>43528</v>
      </c>
      <c r="F103" s="336">
        <v>43527</v>
      </c>
      <c r="G103" s="350"/>
      <c r="H103" s="351" t="s">
        <v>423</v>
      </c>
      <c r="I103" s="356">
        <v>15901788351</v>
      </c>
      <c r="J103" s="361" t="s">
        <v>424</v>
      </c>
      <c r="K103" s="356">
        <v>1000</v>
      </c>
      <c r="L103" s="362"/>
      <c r="M103" s="362"/>
      <c r="N103" s="362">
        <f t="shared" si="3"/>
        <v>0</v>
      </c>
      <c r="O103" s="356"/>
      <c r="P103" s="366" t="s">
        <v>52</v>
      </c>
      <c r="Q103" s="366"/>
      <c r="R103" s="366"/>
      <c r="S103" s="356"/>
      <c r="T103" s="356"/>
      <c r="U103" s="372" t="s">
        <v>78</v>
      </c>
      <c r="V103" s="372"/>
      <c r="W103" s="372"/>
      <c r="X103" s="373"/>
      <c r="Y103" s="348"/>
      <c r="Z103" s="348" t="s">
        <v>79</v>
      </c>
      <c r="AA103" s="348"/>
    </row>
    <row r="104" s="331" customFormat="1" ht="17" customHeight="1" spans="1:27">
      <c r="A104" s="550" t="s">
        <v>425</v>
      </c>
      <c r="B104" s="348" t="s">
        <v>137</v>
      </c>
      <c r="C104" s="348" t="s">
        <v>426</v>
      </c>
      <c r="D104" s="349" t="s">
        <v>427</v>
      </c>
      <c r="E104" s="336">
        <v>43527</v>
      </c>
      <c r="F104" s="336">
        <v>43526</v>
      </c>
      <c r="G104" s="336">
        <v>43674</v>
      </c>
      <c r="H104" s="351" t="s">
        <v>428</v>
      </c>
      <c r="I104" s="356">
        <v>13636598580</v>
      </c>
      <c r="J104" s="361" t="s">
        <v>429</v>
      </c>
      <c r="K104" s="356">
        <v>3000</v>
      </c>
      <c r="L104" s="334">
        <v>38042</v>
      </c>
      <c r="M104" s="362"/>
      <c r="N104" s="362">
        <f t="shared" si="3"/>
        <v>38042</v>
      </c>
      <c r="O104" s="356"/>
      <c r="P104" s="356"/>
      <c r="Q104" s="356"/>
      <c r="R104" s="356"/>
      <c r="S104" s="356"/>
      <c r="T104" s="356"/>
      <c r="U104" s="372"/>
      <c r="V104" s="372"/>
      <c r="W104" s="372">
        <v>1</v>
      </c>
      <c r="X104" s="373"/>
      <c r="Y104" s="348"/>
      <c r="Z104" s="348"/>
      <c r="AA104" s="348"/>
    </row>
    <row r="105" s="331" customFormat="1" ht="17" customHeight="1" spans="1:27">
      <c r="A105" s="348">
        <v>2025654</v>
      </c>
      <c r="B105" s="348" t="s">
        <v>281</v>
      </c>
      <c r="C105" s="348" t="s">
        <v>282</v>
      </c>
      <c r="D105" s="352" t="s">
        <v>49</v>
      </c>
      <c r="E105" s="336">
        <v>43528</v>
      </c>
      <c r="F105" s="336">
        <v>43527</v>
      </c>
      <c r="G105" s="350"/>
      <c r="H105" s="334" t="s">
        <v>430</v>
      </c>
      <c r="I105" s="356">
        <v>13916476309</v>
      </c>
      <c r="J105" s="367" t="s">
        <v>431</v>
      </c>
      <c r="K105" s="356">
        <v>2000</v>
      </c>
      <c r="L105" s="362"/>
      <c r="M105" s="362"/>
      <c r="N105" s="362">
        <f t="shared" si="3"/>
        <v>0</v>
      </c>
      <c r="O105" s="356"/>
      <c r="P105" s="356"/>
      <c r="Q105" s="356"/>
      <c r="R105" s="356"/>
      <c r="S105" s="356"/>
      <c r="T105" s="356"/>
      <c r="U105" s="379">
        <v>4.5</v>
      </c>
      <c r="V105" s="372"/>
      <c r="W105" s="372"/>
      <c r="X105" s="373"/>
      <c r="Y105" s="348"/>
      <c r="Z105" s="348"/>
      <c r="AA105" s="348"/>
    </row>
    <row r="106" s="331" customFormat="1" ht="17" customHeight="1" spans="1:27">
      <c r="A106" s="348">
        <v>2025655</v>
      </c>
      <c r="B106" s="348" t="s">
        <v>281</v>
      </c>
      <c r="C106" s="348" t="s">
        <v>282</v>
      </c>
      <c r="D106" s="352" t="s">
        <v>49</v>
      </c>
      <c r="E106" s="336">
        <v>43528</v>
      </c>
      <c r="F106" s="336">
        <v>43527</v>
      </c>
      <c r="G106" s="350"/>
      <c r="H106" s="351" t="s">
        <v>432</v>
      </c>
      <c r="I106" s="356">
        <v>15000852723</v>
      </c>
      <c r="J106" s="361" t="s">
        <v>433</v>
      </c>
      <c r="K106" s="356">
        <v>2000</v>
      </c>
      <c r="L106" s="362"/>
      <c r="M106" s="362"/>
      <c r="N106" s="362">
        <f t="shared" si="3"/>
        <v>0</v>
      </c>
      <c r="O106" s="356"/>
      <c r="P106" s="356"/>
      <c r="Q106" s="356"/>
      <c r="R106" s="356"/>
      <c r="S106" s="356"/>
      <c r="T106" s="356"/>
      <c r="U106" s="379" t="s">
        <v>40</v>
      </c>
      <c r="V106" s="372"/>
      <c r="W106" s="372"/>
      <c r="X106" s="373"/>
      <c r="Y106" s="348"/>
      <c r="Z106" s="348"/>
      <c r="AA106" s="348"/>
    </row>
    <row r="107" s="331" customFormat="1" ht="17" customHeight="1" spans="1:27">
      <c r="A107" s="550" t="s">
        <v>434</v>
      </c>
      <c r="B107" s="348" t="s">
        <v>405</v>
      </c>
      <c r="C107" s="348" t="s">
        <v>406</v>
      </c>
      <c r="D107" s="349" t="s">
        <v>407</v>
      </c>
      <c r="E107" s="336">
        <v>43528</v>
      </c>
      <c r="F107" s="336">
        <v>43527</v>
      </c>
      <c r="G107" s="350"/>
      <c r="H107" s="351" t="s">
        <v>435</v>
      </c>
      <c r="I107" s="356">
        <v>18701984502</v>
      </c>
      <c r="J107" s="361" t="s">
        <v>436</v>
      </c>
      <c r="K107" s="356">
        <v>1000</v>
      </c>
      <c r="L107" s="362"/>
      <c r="M107" s="362"/>
      <c r="N107" s="362">
        <f t="shared" si="3"/>
        <v>0</v>
      </c>
      <c r="O107" s="356"/>
      <c r="P107" s="356"/>
      <c r="Q107" s="356"/>
      <c r="R107" s="356"/>
      <c r="S107" s="356" t="s">
        <v>52</v>
      </c>
      <c r="T107" s="356"/>
      <c r="U107" s="372" t="s">
        <v>128</v>
      </c>
      <c r="V107" s="372"/>
      <c r="W107" s="372"/>
      <c r="X107" s="373"/>
      <c r="Y107" s="348"/>
      <c r="Z107" s="348"/>
      <c r="AA107" s="348"/>
    </row>
    <row r="108" s="331" customFormat="1" ht="17" customHeight="1" spans="1:27">
      <c r="A108" s="348"/>
      <c r="B108" s="348" t="s">
        <v>31</v>
      </c>
      <c r="C108" s="348" t="s">
        <v>216</v>
      </c>
      <c r="D108" s="352" t="s">
        <v>33</v>
      </c>
      <c r="E108" s="336">
        <v>43528</v>
      </c>
      <c r="F108" s="336">
        <v>43527</v>
      </c>
      <c r="G108" s="350"/>
      <c r="H108" s="351" t="s">
        <v>437</v>
      </c>
      <c r="I108" s="356">
        <v>18149778661</v>
      </c>
      <c r="J108" s="361" t="s">
        <v>438</v>
      </c>
      <c r="K108" s="356">
        <v>3000</v>
      </c>
      <c r="L108" s="362"/>
      <c r="M108" s="362"/>
      <c r="N108" s="362">
        <f t="shared" si="3"/>
        <v>0</v>
      </c>
      <c r="O108" s="356"/>
      <c r="P108" s="356"/>
      <c r="Q108" s="356"/>
      <c r="R108" s="356"/>
      <c r="S108" s="356"/>
      <c r="T108" s="356"/>
      <c r="U108" s="372" t="s">
        <v>12</v>
      </c>
      <c r="V108" s="372"/>
      <c r="W108" s="372"/>
      <c r="X108" s="373"/>
      <c r="Y108" s="348"/>
      <c r="Z108" s="348"/>
      <c r="AA108" s="348"/>
    </row>
    <row r="109" s="331" customFormat="1" ht="17" customHeight="1" spans="1:27">
      <c r="A109" s="348">
        <v>2023418</v>
      </c>
      <c r="B109" s="348" t="s">
        <v>73</v>
      </c>
      <c r="C109" s="348" t="s">
        <v>74</v>
      </c>
      <c r="D109" s="352" t="s">
        <v>75</v>
      </c>
      <c r="E109" s="336">
        <v>43534</v>
      </c>
      <c r="F109" s="336">
        <v>43485</v>
      </c>
      <c r="G109" s="350"/>
      <c r="H109" s="351" t="s">
        <v>439</v>
      </c>
      <c r="I109" s="356">
        <v>15021678123</v>
      </c>
      <c r="J109" s="361" t="s">
        <v>440</v>
      </c>
      <c r="K109" s="356">
        <v>1000</v>
      </c>
      <c r="L109" s="362"/>
      <c r="M109" s="362"/>
      <c r="N109" s="362">
        <f t="shared" si="3"/>
        <v>0</v>
      </c>
      <c r="O109" s="356"/>
      <c r="P109" s="356"/>
      <c r="Q109" s="366" t="s">
        <v>52</v>
      </c>
      <c r="R109" s="356"/>
      <c r="S109" s="356"/>
      <c r="T109" s="356"/>
      <c r="U109" s="372" t="s">
        <v>78</v>
      </c>
      <c r="V109" s="372"/>
      <c r="W109" s="372"/>
      <c r="X109" s="373">
        <v>1</v>
      </c>
      <c r="Y109" s="348"/>
      <c r="Z109" s="348" t="s">
        <v>79</v>
      </c>
      <c r="AA109" s="348"/>
    </row>
    <row r="110" s="331" customFormat="1" ht="17" customHeight="1" spans="1:27">
      <c r="A110" s="348">
        <v>2025370</v>
      </c>
      <c r="B110" s="348" t="s">
        <v>73</v>
      </c>
      <c r="C110" s="348" t="s">
        <v>74</v>
      </c>
      <c r="D110" s="334" t="s">
        <v>75</v>
      </c>
      <c r="E110" s="336">
        <v>43794</v>
      </c>
      <c r="F110" s="336">
        <v>43527</v>
      </c>
      <c r="G110" s="336">
        <v>43794</v>
      </c>
      <c r="H110" s="351" t="s">
        <v>441</v>
      </c>
      <c r="I110" s="356">
        <v>13501666489</v>
      </c>
      <c r="J110" s="361" t="s">
        <v>442</v>
      </c>
      <c r="K110" s="356">
        <v>1000</v>
      </c>
      <c r="L110" s="334">
        <v>30743</v>
      </c>
      <c r="M110" s="362"/>
      <c r="N110" s="362">
        <f t="shared" si="3"/>
        <v>30743</v>
      </c>
      <c r="O110" s="356"/>
      <c r="P110" s="356"/>
      <c r="Q110" s="366" t="s">
        <v>52</v>
      </c>
      <c r="R110" s="356"/>
      <c r="S110" s="356"/>
      <c r="T110" s="356"/>
      <c r="U110" s="372"/>
      <c r="V110" s="372"/>
      <c r="W110" s="372"/>
      <c r="X110" s="373"/>
      <c r="Y110" s="348"/>
      <c r="Z110" s="348" t="s">
        <v>79</v>
      </c>
      <c r="AA110" s="348"/>
    </row>
    <row r="111" s="57" customFormat="1" ht="17" customHeight="1" spans="1:27">
      <c r="A111" s="348">
        <v>2024303</v>
      </c>
      <c r="B111" s="348" t="s">
        <v>137</v>
      </c>
      <c r="C111" s="348" t="s">
        <v>406</v>
      </c>
      <c r="D111" s="349" t="s">
        <v>443</v>
      </c>
      <c r="E111" s="336">
        <v>43605</v>
      </c>
      <c r="F111" s="336">
        <v>43604</v>
      </c>
      <c r="G111" s="350"/>
      <c r="H111" s="334" t="s">
        <v>444</v>
      </c>
      <c r="I111" s="356">
        <v>13501694026</v>
      </c>
      <c r="J111" s="348" t="s">
        <v>445</v>
      </c>
      <c r="K111" s="356">
        <v>3000</v>
      </c>
      <c r="L111" s="362"/>
      <c r="M111" s="362"/>
      <c r="N111" s="362">
        <f t="shared" si="3"/>
        <v>0</v>
      </c>
      <c r="O111" s="356"/>
      <c r="P111" s="356"/>
      <c r="Q111" s="356"/>
      <c r="R111" s="356"/>
      <c r="S111" s="356"/>
      <c r="T111" s="356"/>
      <c r="U111" s="385" t="s">
        <v>52</v>
      </c>
      <c r="V111" s="372"/>
      <c r="W111" s="372">
        <v>1</v>
      </c>
      <c r="X111" s="373"/>
      <c r="Y111" s="348"/>
      <c r="Z111" s="348"/>
      <c r="AA111" s="348"/>
    </row>
    <row r="112" s="331" customFormat="1" ht="15" customHeight="1" spans="1:27">
      <c r="A112" s="550" t="s">
        <v>446</v>
      </c>
      <c r="B112" s="348" t="s">
        <v>58</v>
      </c>
      <c r="C112" s="348" t="s">
        <v>347</v>
      </c>
      <c r="D112" s="352" t="s">
        <v>343</v>
      </c>
      <c r="E112" s="336">
        <v>43478</v>
      </c>
      <c r="F112" s="336">
        <v>43478</v>
      </c>
      <c r="G112" s="355">
        <v>43739</v>
      </c>
      <c r="H112" s="351" t="s">
        <v>447</v>
      </c>
      <c r="I112" s="356">
        <v>13501782798</v>
      </c>
      <c r="J112" s="361" t="s">
        <v>448</v>
      </c>
      <c r="K112" s="356">
        <f>5000+1000</f>
        <v>6000</v>
      </c>
      <c r="L112" s="362"/>
      <c r="M112" s="362"/>
      <c r="N112" s="362">
        <f t="shared" si="3"/>
        <v>0</v>
      </c>
      <c r="O112" s="356"/>
      <c r="P112" s="356"/>
      <c r="Q112" s="356"/>
      <c r="R112" s="356"/>
      <c r="S112" s="356"/>
      <c r="T112" s="356"/>
      <c r="U112" s="372"/>
      <c r="V112" s="372"/>
      <c r="W112" s="372"/>
      <c r="X112" s="373"/>
      <c r="Y112" s="348" t="s">
        <v>449</v>
      </c>
      <c r="Z112" s="348" t="s">
        <v>79</v>
      </c>
      <c r="AA112" s="348"/>
    </row>
    <row r="113" s="331" customFormat="1" ht="15" customHeight="1" spans="1:27">
      <c r="A113" s="550" t="s">
        <v>450</v>
      </c>
      <c r="B113" s="348" t="s">
        <v>58</v>
      </c>
      <c r="C113" s="348" t="s">
        <v>451</v>
      </c>
      <c r="D113" s="352" t="s">
        <v>271</v>
      </c>
      <c r="E113" s="336">
        <v>43528</v>
      </c>
      <c r="F113" s="336">
        <v>43526</v>
      </c>
      <c r="G113" s="350"/>
      <c r="H113" s="351" t="s">
        <v>452</v>
      </c>
      <c r="I113" s="356">
        <v>18917911590</v>
      </c>
      <c r="J113" s="361" t="s">
        <v>453</v>
      </c>
      <c r="K113" s="356">
        <v>1000</v>
      </c>
      <c r="L113" s="362"/>
      <c r="M113" s="362"/>
      <c r="N113" s="362">
        <f t="shared" si="3"/>
        <v>0</v>
      </c>
      <c r="O113" s="356"/>
      <c r="P113" s="356"/>
      <c r="Q113" s="356"/>
      <c r="R113" s="356"/>
      <c r="S113" s="356"/>
      <c r="T113" s="356"/>
      <c r="U113" s="386">
        <v>43617</v>
      </c>
      <c r="V113" s="372"/>
      <c r="W113" s="372"/>
      <c r="X113" s="373"/>
      <c r="Y113" s="348" t="s">
        <v>418</v>
      </c>
      <c r="Z113" s="348"/>
      <c r="AA113" s="348"/>
    </row>
    <row r="114" s="331" customFormat="1" ht="17" customHeight="1" spans="1:27">
      <c r="A114" s="348">
        <v>2025266</v>
      </c>
      <c r="B114" s="348" t="s">
        <v>35</v>
      </c>
      <c r="C114" s="348" t="s">
        <v>36</v>
      </c>
      <c r="D114" s="352" t="s">
        <v>37</v>
      </c>
      <c r="E114" s="336">
        <v>43528</v>
      </c>
      <c r="F114" s="336">
        <v>43527</v>
      </c>
      <c r="G114" s="350" t="s">
        <v>69</v>
      </c>
      <c r="H114" s="351" t="s">
        <v>454</v>
      </c>
      <c r="I114" s="356">
        <v>15801986024</v>
      </c>
      <c r="J114" s="361" t="s">
        <v>455</v>
      </c>
      <c r="K114" s="356">
        <v>1000</v>
      </c>
      <c r="L114" s="362"/>
      <c r="M114" s="362"/>
      <c r="N114" s="362">
        <f t="shared" si="3"/>
        <v>0</v>
      </c>
      <c r="O114" s="356" t="s">
        <v>52</v>
      </c>
      <c r="P114" s="356"/>
      <c r="Q114" s="356"/>
      <c r="R114" s="356"/>
      <c r="S114" s="356"/>
      <c r="T114" s="356"/>
      <c r="U114" s="372"/>
      <c r="V114" s="372"/>
      <c r="W114" s="372"/>
      <c r="X114" s="373">
        <v>1</v>
      </c>
      <c r="Y114" s="348"/>
      <c r="Z114" s="348"/>
      <c r="AA114" s="348"/>
    </row>
    <row r="115" s="331" customFormat="1" ht="17" customHeight="1" spans="1:27">
      <c r="A115" s="550" t="s">
        <v>456</v>
      </c>
      <c r="B115" s="348" t="s">
        <v>160</v>
      </c>
      <c r="C115" s="348" t="s">
        <v>275</v>
      </c>
      <c r="D115" s="349" t="s">
        <v>162</v>
      </c>
      <c r="E115" s="336">
        <v>43528</v>
      </c>
      <c r="F115" s="336">
        <v>43527</v>
      </c>
      <c r="G115" s="350"/>
      <c r="H115" s="351" t="s">
        <v>457</v>
      </c>
      <c r="I115" s="356">
        <v>18930800681</v>
      </c>
      <c r="J115" s="361" t="s">
        <v>458</v>
      </c>
      <c r="K115" s="356">
        <v>1000</v>
      </c>
      <c r="L115" s="362"/>
      <c r="M115" s="362"/>
      <c r="N115" s="362">
        <f t="shared" ref="N115:N146" si="4">L115+M115</f>
        <v>0</v>
      </c>
      <c r="O115" s="356"/>
      <c r="P115" s="356">
        <v>1</v>
      </c>
      <c r="Q115" s="356"/>
      <c r="R115" s="356"/>
      <c r="S115" s="356"/>
      <c r="T115" s="356"/>
      <c r="U115" s="372" t="s">
        <v>459</v>
      </c>
      <c r="V115" s="372"/>
      <c r="W115" s="372"/>
      <c r="X115" s="373"/>
      <c r="Y115" s="348" t="s">
        <v>418</v>
      </c>
      <c r="Z115" s="348"/>
      <c r="AA115" s="348"/>
    </row>
    <row r="116" s="331" customFormat="1" ht="15" customHeight="1" spans="1:27">
      <c r="A116" s="550" t="s">
        <v>460</v>
      </c>
      <c r="B116" s="348" t="s">
        <v>58</v>
      </c>
      <c r="C116" s="348" t="s">
        <v>59</v>
      </c>
      <c r="D116" s="349" t="s">
        <v>271</v>
      </c>
      <c r="E116" s="336">
        <v>43528</v>
      </c>
      <c r="F116" s="336">
        <v>43527</v>
      </c>
      <c r="G116" s="350"/>
      <c r="H116" s="351" t="s">
        <v>461</v>
      </c>
      <c r="I116" s="356">
        <v>13651806006</v>
      </c>
      <c r="J116" s="361" t="s">
        <v>462</v>
      </c>
      <c r="K116" s="356">
        <v>3000</v>
      </c>
      <c r="L116" s="362"/>
      <c r="M116" s="362"/>
      <c r="N116" s="362">
        <f t="shared" si="4"/>
        <v>0</v>
      </c>
      <c r="O116" s="356"/>
      <c r="P116" s="365" t="s">
        <v>52</v>
      </c>
      <c r="Q116" s="356"/>
      <c r="R116" s="356"/>
      <c r="S116" s="356"/>
      <c r="T116" s="356"/>
      <c r="U116" s="387">
        <v>43641</v>
      </c>
      <c r="V116" s="372"/>
      <c r="W116" s="372"/>
      <c r="X116" s="373"/>
      <c r="Y116" s="348"/>
      <c r="Z116" s="348"/>
      <c r="AA116" s="348"/>
    </row>
    <row r="117" s="331" customFormat="1" ht="17" customHeight="1" spans="1:27">
      <c r="A117" s="348">
        <v>2022088</v>
      </c>
      <c r="B117" s="348" t="s">
        <v>123</v>
      </c>
      <c r="C117" s="348" t="s">
        <v>124</v>
      </c>
      <c r="D117" s="349" t="s">
        <v>125</v>
      </c>
      <c r="E117" s="336">
        <v>43528</v>
      </c>
      <c r="F117" s="336">
        <v>43527</v>
      </c>
      <c r="G117" s="336">
        <v>43676</v>
      </c>
      <c r="H117" s="334" t="s">
        <v>463</v>
      </c>
      <c r="I117" s="356">
        <v>18653892728</v>
      </c>
      <c r="J117" s="361" t="s">
        <v>464</v>
      </c>
      <c r="K117" s="356">
        <v>1000</v>
      </c>
      <c r="L117" s="334">
        <v>20866</v>
      </c>
      <c r="M117" s="334">
        <v>1104</v>
      </c>
      <c r="N117" s="362">
        <f t="shared" si="4"/>
        <v>21970</v>
      </c>
      <c r="O117" s="356"/>
      <c r="P117" s="356"/>
      <c r="Q117" s="356"/>
      <c r="R117" s="356"/>
      <c r="S117" s="356"/>
      <c r="T117" s="356"/>
      <c r="U117" s="372"/>
      <c r="V117" s="372"/>
      <c r="W117" s="372"/>
      <c r="X117" s="373"/>
      <c r="Y117" s="348" t="s">
        <v>465</v>
      </c>
      <c r="Z117" s="348"/>
      <c r="AA117" s="348"/>
    </row>
    <row r="118" s="331" customFormat="1" ht="17" customHeight="1" spans="1:27">
      <c r="A118" s="348">
        <v>2066177</v>
      </c>
      <c r="B118" s="348" t="s">
        <v>87</v>
      </c>
      <c r="C118" s="348" t="s">
        <v>466</v>
      </c>
      <c r="D118" s="349" t="s">
        <v>89</v>
      </c>
      <c r="E118" s="336">
        <v>43528</v>
      </c>
      <c r="F118" s="336">
        <v>43528</v>
      </c>
      <c r="G118" s="350"/>
      <c r="H118" s="351" t="s">
        <v>467</v>
      </c>
      <c r="I118" s="356">
        <v>13916856688</v>
      </c>
      <c r="J118" s="361" t="s">
        <v>468</v>
      </c>
      <c r="K118" s="356">
        <v>2534</v>
      </c>
      <c r="L118" s="362"/>
      <c r="M118" s="362"/>
      <c r="N118" s="362">
        <f t="shared" si="4"/>
        <v>0</v>
      </c>
      <c r="O118" s="356"/>
      <c r="P118" s="356"/>
      <c r="Q118" s="356"/>
      <c r="R118" s="356"/>
      <c r="S118" s="356"/>
      <c r="T118" s="356"/>
      <c r="U118" s="372" t="s">
        <v>63</v>
      </c>
      <c r="V118" s="372"/>
      <c r="W118" s="372"/>
      <c r="X118" s="373"/>
      <c r="Y118" s="348" t="s">
        <v>92</v>
      </c>
      <c r="Z118" s="348"/>
      <c r="AA118" s="348"/>
    </row>
    <row r="119" s="331" customFormat="1" ht="17" customHeight="1" spans="1:27">
      <c r="A119" s="348"/>
      <c r="B119" s="348" t="s">
        <v>405</v>
      </c>
      <c r="C119" s="348" t="s">
        <v>43</v>
      </c>
      <c r="D119" s="349" t="s">
        <v>407</v>
      </c>
      <c r="E119" s="336">
        <v>43528</v>
      </c>
      <c r="F119" s="336">
        <v>43525</v>
      </c>
      <c r="G119" s="350" t="s">
        <v>469</v>
      </c>
      <c r="H119" s="334" t="s">
        <v>470</v>
      </c>
      <c r="I119" s="348">
        <v>13918160936</v>
      </c>
      <c r="J119" s="361" t="s">
        <v>471</v>
      </c>
      <c r="K119" s="356">
        <v>1000</v>
      </c>
      <c r="L119" s="362"/>
      <c r="M119" s="362"/>
      <c r="N119" s="362" t="s">
        <v>472</v>
      </c>
      <c r="O119" s="356"/>
      <c r="P119" s="356"/>
      <c r="Q119" s="356"/>
      <c r="R119" s="356"/>
      <c r="S119" s="356"/>
      <c r="T119" s="356"/>
      <c r="U119" s="372"/>
      <c r="V119" s="372"/>
      <c r="W119" s="372"/>
      <c r="X119" s="373"/>
      <c r="Y119" s="348" t="s">
        <v>473</v>
      </c>
      <c r="Z119" s="348"/>
      <c r="AA119" s="348"/>
    </row>
    <row r="120" s="331" customFormat="1" ht="17" customHeight="1" spans="1:27">
      <c r="A120" s="348"/>
      <c r="B120" s="348" t="s">
        <v>405</v>
      </c>
      <c r="C120" s="348" t="s">
        <v>43</v>
      </c>
      <c r="D120" s="349" t="s">
        <v>407</v>
      </c>
      <c r="E120" s="336">
        <v>43528</v>
      </c>
      <c r="F120" s="336">
        <v>43526</v>
      </c>
      <c r="G120" s="350"/>
      <c r="H120" s="334" t="s">
        <v>474</v>
      </c>
      <c r="I120" s="348">
        <v>15821381609</v>
      </c>
      <c r="J120" s="361" t="s">
        <v>475</v>
      </c>
      <c r="K120" s="356">
        <v>1000</v>
      </c>
      <c r="L120" s="380"/>
      <c r="M120" s="380"/>
      <c r="N120" s="362">
        <f t="shared" si="4"/>
        <v>0</v>
      </c>
      <c r="O120" s="348"/>
      <c r="P120" s="348"/>
      <c r="Q120" s="348"/>
      <c r="R120" s="348"/>
      <c r="S120" s="348"/>
      <c r="T120" s="348"/>
      <c r="U120" s="372" t="s">
        <v>40</v>
      </c>
      <c r="V120" s="352"/>
      <c r="W120" s="352"/>
      <c r="X120" s="381"/>
      <c r="Y120" s="348" t="s">
        <v>473</v>
      </c>
      <c r="Z120" s="348"/>
      <c r="AA120" s="348"/>
    </row>
    <row r="121" s="331" customFormat="1" ht="17" customHeight="1" spans="1:27">
      <c r="A121" s="348"/>
      <c r="B121" s="348" t="s">
        <v>130</v>
      </c>
      <c r="C121" s="348" t="s">
        <v>366</v>
      </c>
      <c r="D121" s="352" t="s">
        <v>132</v>
      </c>
      <c r="E121" s="336">
        <v>43528</v>
      </c>
      <c r="F121" s="336">
        <v>43526</v>
      </c>
      <c r="G121" s="350" t="s">
        <v>69</v>
      </c>
      <c r="H121" s="334" t="s">
        <v>476</v>
      </c>
      <c r="I121" s="348">
        <v>13818886850</v>
      </c>
      <c r="J121" s="361" t="s">
        <v>477</v>
      </c>
      <c r="K121" s="356">
        <v>1000</v>
      </c>
      <c r="L121" s="380"/>
      <c r="M121" s="380"/>
      <c r="N121" s="362">
        <f t="shared" si="4"/>
        <v>0</v>
      </c>
      <c r="O121" s="348"/>
      <c r="P121" s="348"/>
      <c r="Q121" s="348"/>
      <c r="R121" s="348"/>
      <c r="S121" s="348"/>
      <c r="T121" s="348"/>
      <c r="U121" s="372"/>
      <c r="V121" s="352"/>
      <c r="W121" s="352"/>
      <c r="X121" s="381"/>
      <c r="Y121" s="348" t="s">
        <v>473</v>
      </c>
      <c r="Z121" s="348"/>
      <c r="AA121" s="348"/>
    </row>
    <row r="122" s="331" customFormat="1" ht="17" customHeight="1" spans="1:27">
      <c r="A122" s="348"/>
      <c r="B122" s="348" t="s">
        <v>405</v>
      </c>
      <c r="C122" s="348" t="s">
        <v>43</v>
      </c>
      <c r="D122" s="349" t="s">
        <v>407</v>
      </c>
      <c r="E122" s="336">
        <v>43528</v>
      </c>
      <c r="F122" s="336">
        <v>43526</v>
      </c>
      <c r="G122" s="350"/>
      <c r="H122" s="334" t="s">
        <v>478</v>
      </c>
      <c r="I122" s="348">
        <v>13162507179</v>
      </c>
      <c r="J122" s="361" t="s">
        <v>479</v>
      </c>
      <c r="K122" s="356">
        <v>1000</v>
      </c>
      <c r="L122" s="380"/>
      <c r="M122" s="380"/>
      <c r="N122" s="362">
        <f t="shared" si="4"/>
        <v>0</v>
      </c>
      <c r="O122" s="348"/>
      <c r="P122" s="348"/>
      <c r="Q122" s="348"/>
      <c r="R122" s="348"/>
      <c r="S122" s="348"/>
      <c r="T122" s="348"/>
      <c r="U122" s="372" t="s">
        <v>40</v>
      </c>
      <c r="V122" s="352"/>
      <c r="W122" s="352"/>
      <c r="X122" s="381"/>
      <c r="Y122" s="348" t="s">
        <v>473</v>
      </c>
      <c r="Z122" s="348"/>
      <c r="AA122" s="348"/>
    </row>
    <row r="123" s="331" customFormat="1" ht="17" customHeight="1" spans="1:27">
      <c r="A123" s="348"/>
      <c r="B123" s="348" t="s">
        <v>137</v>
      </c>
      <c r="C123" s="348" t="s">
        <v>480</v>
      </c>
      <c r="D123" s="349" t="s">
        <v>139</v>
      </c>
      <c r="E123" s="336">
        <v>43528</v>
      </c>
      <c r="F123" s="336">
        <v>43527</v>
      </c>
      <c r="G123" s="336">
        <v>43665</v>
      </c>
      <c r="H123" s="334" t="s">
        <v>481</v>
      </c>
      <c r="I123" s="348">
        <v>13916722524</v>
      </c>
      <c r="J123" s="361" t="s">
        <v>482</v>
      </c>
      <c r="K123" s="356">
        <v>3000</v>
      </c>
      <c r="L123" s="334">
        <v>7765</v>
      </c>
      <c r="M123" s="380"/>
      <c r="N123" s="362">
        <f t="shared" si="4"/>
        <v>7765</v>
      </c>
      <c r="O123" s="348"/>
      <c r="P123" s="348"/>
      <c r="Q123" s="348"/>
      <c r="R123" s="348"/>
      <c r="S123" s="348"/>
      <c r="T123" s="348"/>
      <c r="U123" s="372"/>
      <c r="V123" s="352"/>
      <c r="W123" s="352"/>
      <c r="X123" s="381"/>
      <c r="Y123" s="348" t="s">
        <v>473</v>
      </c>
      <c r="Z123" s="348"/>
      <c r="AA123" s="348"/>
    </row>
    <row r="124" s="331" customFormat="1" ht="17" customHeight="1" spans="1:27">
      <c r="A124" s="348"/>
      <c r="B124" s="348" t="s">
        <v>153</v>
      </c>
      <c r="C124" s="334" t="s">
        <v>154</v>
      </c>
      <c r="D124" s="349" t="s">
        <v>155</v>
      </c>
      <c r="E124" s="336">
        <v>43528</v>
      </c>
      <c r="F124" s="336">
        <v>43527</v>
      </c>
      <c r="G124" s="350"/>
      <c r="H124" s="334" t="s">
        <v>483</v>
      </c>
      <c r="I124" s="348">
        <v>13601892869</v>
      </c>
      <c r="J124" s="361" t="s">
        <v>484</v>
      </c>
      <c r="K124" s="356">
        <v>1000</v>
      </c>
      <c r="L124" s="380"/>
      <c r="M124" s="380"/>
      <c r="N124" s="362">
        <f t="shared" si="4"/>
        <v>0</v>
      </c>
      <c r="O124" s="348"/>
      <c r="P124" s="348"/>
      <c r="Q124" s="348"/>
      <c r="R124" s="348"/>
      <c r="S124" s="348"/>
      <c r="T124" s="348"/>
      <c r="U124" s="388" t="s">
        <v>485</v>
      </c>
      <c r="V124" s="352"/>
      <c r="W124" s="352"/>
      <c r="X124" s="381"/>
      <c r="Y124" s="348" t="s">
        <v>473</v>
      </c>
      <c r="Z124" s="348"/>
      <c r="AA124" s="348"/>
    </row>
    <row r="125" s="331" customFormat="1" ht="17" customHeight="1" spans="1:27">
      <c r="A125" s="348"/>
      <c r="B125" s="348" t="s">
        <v>335</v>
      </c>
      <c r="C125" s="348" t="s">
        <v>399</v>
      </c>
      <c r="D125" s="349" t="s">
        <v>337</v>
      </c>
      <c r="E125" s="336">
        <v>43528</v>
      </c>
      <c r="F125" s="336">
        <v>43527</v>
      </c>
      <c r="G125" s="350"/>
      <c r="H125" s="334" t="s">
        <v>486</v>
      </c>
      <c r="I125" s="348">
        <v>18673960406</v>
      </c>
      <c r="J125" s="361" t="s">
        <v>487</v>
      </c>
      <c r="K125" s="356">
        <v>1000</v>
      </c>
      <c r="L125" s="380"/>
      <c r="M125" s="380"/>
      <c r="N125" s="362">
        <f t="shared" si="4"/>
        <v>0</v>
      </c>
      <c r="O125" s="348" t="s">
        <v>488</v>
      </c>
      <c r="P125" s="348"/>
      <c r="Q125" s="348"/>
      <c r="R125" s="348"/>
      <c r="S125" s="348"/>
      <c r="T125" s="348"/>
      <c r="U125" s="372"/>
      <c r="V125" s="352"/>
      <c r="W125" s="352"/>
      <c r="X125" s="381">
        <v>1</v>
      </c>
      <c r="Y125" s="348" t="s">
        <v>473</v>
      </c>
      <c r="Z125" s="348"/>
      <c r="AA125" s="348"/>
    </row>
    <row r="126" s="331" customFormat="1" ht="17" customHeight="1" spans="1:27">
      <c r="A126" s="348"/>
      <c r="B126" s="348" t="s">
        <v>137</v>
      </c>
      <c r="C126" s="348" t="s">
        <v>191</v>
      </c>
      <c r="D126" s="334" t="s">
        <v>139</v>
      </c>
      <c r="E126" s="336">
        <v>43734</v>
      </c>
      <c r="F126" s="336">
        <v>43527</v>
      </c>
      <c r="G126" s="336">
        <v>43732</v>
      </c>
      <c r="H126" s="334" t="s">
        <v>489</v>
      </c>
      <c r="I126" s="348">
        <v>18601661180</v>
      </c>
      <c r="J126" s="361" t="s">
        <v>490</v>
      </c>
      <c r="K126" s="356">
        <v>3000</v>
      </c>
      <c r="L126" s="334">
        <f>7728-736</f>
        <v>6992</v>
      </c>
      <c r="M126" s="334">
        <v>736</v>
      </c>
      <c r="N126" s="362">
        <f t="shared" si="4"/>
        <v>7728</v>
      </c>
      <c r="O126" s="348"/>
      <c r="P126" s="348"/>
      <c r="Q126" s="348"/>
      <c r="R126" s="356">
        <v>1</v>
      </c>
      <c r="S126" s="348"/>
      <c r="T126" s="348"/>
      <c r="U126" s="372"/>
      <c r="V126" s="352"/>
      <c r="W126" s="352"/>
      <c r="X126" s="381"/>
      <c r="Y126" s="348" t="s">
        <v>473</v>
      </c>
      <c r="Z126" s="348"/>
      <c r="AA126" s="348"/>
    </row>
    <row r="127" s="331" customFormat="1" ht="17" customHeight="1" spans="1:27">
      <c r="A127" s="348">
        <v>2019384</v>
      </c>
      <c r="B127" s="348" t="s">
        <v>281</v>
      </c>
      <c r="C127" s="348" t="s">
        <v>491</v>
      </c>
      <c r="D127" s="352" t="s">
        <v>49</v>
      </c>
      <c r="E127" s="336">
        <v>43530</v>
      </c>
      <c r="F127" s="336">
        <v>43530</v>
      </c>
      <c r="G127" s="350" t="s">
        <v>69</v>
      </c>
      <c r="H127" s="334" t="s">
        <v>492</v>
      </c>
      <c r="I127" s="356">
        <v>13918767800</v>
      </c>
      <c r="J127" s="361" t="s">
        <v>493</v>
      </c>
      <c r="K127" s="356">
        <v>1000</v>
      </c>
      <c r="L127" s="362"/>
      <c r="M127" s="362"/>
      <c r="N127" s="362">
        <f t="shared" si="4"/>
        <v>0</v>
      </c>
      <c r="O127" s="356"/>
      <c r="P127" s="356"/>
      <c r="Q127" s="356"/>
      <c r="R127" s="356"/>
      <c r="S127" s="356"/>
      <c r="T127" s="356"/>
      <c r="U127" s="372"/>
      <c r="V127" s="372"/>
      <c r="W127" s="372"/>
      <c r="X127" s="373"/>
      <c r="Y127" s="348"/>
      <c r="Z127" s="348"/>
      <c r="AA127" s="348"/>
    </row>
    <row r="128" s="57" customFormat="1" ht="17" customHeight="1" spans="1:27">
      <c r="A128" s="348">
        <v>2067411</v>
      </c>
      <c r="B128" s="348" t="s">
        <v>137</v>
      </c>
      <c r="C128" s="348" t="s">
        <v>494</v>
      </c>
      <c r="D128" s="349" t="s">
        <v>443</v>
      </c>
      <c r="E128" s="336">
        <v>43575</v>
      </c>
      <c r="F128" s="336">
        <v>43569</v>
      </c>
      <c r="G128" s="350"/>
      <c r="H128" s="334" t="s">
        <v>495</v>
      </c>
      <c r="I128" s="356">
        <v>13512186706</v>
      </c>
      <c r="J128" s="348" t="s">
        <v>496</v>
      </c>
      <c r="K128" s="356">
        <v>3000</v>
      </c>
      <c r="L128" s="362"/>
      <c r="M128" s="362"/>
      <c r="N128" s="362">
        <f t="shared" si="4"/>
        <v>0</v>
      </c>
      <c r="O128" s="356"/>
      <c r="P128" s="356"/>
      <c r="Q128" s="356">
        <v>1</v>
      </c>
      <c r="R128" s="356"/>
      <c r="S128" s="356"/>
      <c r="T128" s="356"/>
      <c r="U128" s="372"/>
      <c r="V128" s="372"/>
      <c r="W128" s="372"/>
      <c r="X128" s="373">
        <v>1</v>
      </c>
      <c r="Y128" s="348" t="s">
        <v>497</v>
      </c>
      <c r="Z128" s="348"/>
      <c r="AA128" s="348"/>
    </row>
    <row r="129" s="331" customFormat="1" ht="17" customHeight="1" spans="1:27">
      <c r="A129" s="348"/>
      <c r="B129" s="348" t="s">
        <v>281</v>
      </c>
      <c r="C129" s="348" t="s">
        <v>498</v>
      </c>
      <c r="D129" s="352" t="s">
        <v>49</v>
      </c>
      <c r="E129" s="336">
        <v>43635</v>
      </c>
      <c r="F129" s="336">
        <v>43631</v>
      </c>
      <c r="G129" s="362" t="s">
        <v>499</v>
      </c>
      <c r="H129" s="334" t="s">
        <v>116</v>
      </c>
      <c r="I129" s="356">
        <v>13524122251</v>
      </c>
      <c r="J129" s="361" t="s">
        <v>500</v>
      </c>
      <c r="K129" s="356">
        <v>1000</v>
      </c>
      <c r="L129" s="362"/>
      <c r="M129" s="362"/>
      <c r="N129" s="362">
        <f t="shared" si="4"/>
        <v>0</v>
      </c>
      <c r="O129" s="356"/>
      <c r="P129" s="356"/>
      <c r="Q129" s="356" t="s">
        <v>52</v>
      </c>
      <c r="R129" s="356"/>
      <c r="S129" s="356"/>
      <c r="T129" s="356"/>
      <c r="U129" s="372"/>
      <c r="V129" s="372"/>
      <c r="W129" s="372"/>
      <c r="X129" s="373"/>
      <c r="Y129" s="348" t="s">
        <v>501</v>
      </c>
      <c r="Z129" s="348"/>
      <c r="AA129" s="348"/>
    </row>
    <row r="130" s="331" customFormat="1" ht="17" customHeight="1" spans="1:27">
      <c r="A130" s="348">
        <v>2068236</v>
      </c>
      <c r="B130" s="348" t="s">
        <v>66</v>
      </c>
      <c r="C130" s="348" t="s">
        <v>67</v>
      </c>
      <c r="D130" s="349" t="s">
        <v>68</v>
      </c>
      <c r="E130" s="336"/>
      <c r="F130" s="336">
        <v>43530</v>
      </c>
      <c r="G130" s="350"/>
      <c r="H130" s="351" t="s">
        <v>502</v>
      </c>
      <c r="I130" s="356">
        <v>15000472986</v>
      </c>
      <c r="J130" s="361" t="s">
        <v>503</v>
      </c>
      <c r="K130" s="356">
        <v>200</v>
      </c>
      <c r="L130" s="362"/>
      <c r="M130" s="362"/>
      <c r="N130" s="362">
        <f t="shared" si="4"/>
        <v>0</v>
      </c>
      <c r="O130" s="390"/>
      <c r="P130" s="356"/>
      <c r="Q130" s="356"/>
      <c r="R130" s="356"/>
      <c r="S130" s="356"/>
      <c r="T130" s="356"/>
      <c r="U130" s="390" t="s">
        <v>12</v>
      </c>
      <c r="V130" s="372"/>
      <c r="W130" s="372"/>
      <c r="X130" s="373"/>
      <c r="Y130" s="348" t="s">
        <v>504</v>
      </c>
      <c r="Z130" s="348"/>
      <c r="AA130" s="348"/>
    </row>
    <row r="131" s="331" customFormat="1" ht="17" customHeight="1" spans="1:27">
      <c r="A131" s="348">
        <v>2020180</v>
      </c>
      <c r="B131" s="348" t="s">
        <v>66</v>
      </c>
      <c r="C131" s="348" t="s">
        <v>505</v>
      </c>
      <c r="D131" s="349" t="s">
        <v>68</v>
      </c>
      <c r="E131" s="336"/>
      <c r="F131" s="336">
        <v>43530</v>
      </c>
      <c r="G131" s="350"/>
      <c r="H131" s="351" t="s">
        <v>506</v>
      </c>
      <c r="I131" s="356">
        <v>13167100387</v>
      </c>
      <c r="J131" s="361" t="s">
        <v>507</v>
      </c>
      <c r="K131" s="356">
        <v>200</v>
      </c>
      <c r="L131" s="362"/>
      <c r="M131" s="362"/>
      <c r="N131" s="362">
        <f t="shared" si="4"/>
        <v>0</v>
      </c>
      <c r="O131" s="390"/>
      <c r="P131" s="356"/>
      <c r="Q131" s="356"/>
      <c r="R131" s="356"/>
      <c r="S131" s="356"/>
      <c r="T131" s="356"/>
      <c r="U131" s="390" t="s">
        <v>508</v>
      </c>
      <c r="V131" s="372"/>
      <c r="W131" s="372"/>
      <c r="X131" s="373"/>
      <c r="Y131" s="348" t="s">
        <v>504</v>
      </c>
      <c r="Z131" s="348"/>
      <c r="AA131" s="348"/>
    </row>
    <row r="132" s="331" customFormat="1" ht="17" customHeight="1" spans="1:27">
      <c r="A132" s="550" t="s">
        <v>509</v>
      </c>
      <c r="B132" s="348" t="s">
        <v>58</v>
      </c>
      <c r="C132" s="348" t="s">
        <v>451</v>
      </c>
      <c r="D132" s="349" t="s">
        <v>75</v>
      </c>
      <c r="E132" s="336" t="s">
        <v>510</v>
      </c>
      <c r="F132" s="336">
        <v>43530</v>
      </c>
      <c r="G132" s="336">
        <v>43671</v>
      </c>
      <c r="H132" s="351" t="s">
        <v>511</v>
      </c>
      <c r="I132" s="356">
        <v>13916628487</v>
      </c>
      <c r="J132" s="361" t="s">
        <v>512</v>
      </c>
      <c r="K132" s="356">
        <v>1000</v>
      </c>
      <c r="L132" s="334">
        <v>17940.5</v>
      </c>
      <c r="M132" s="334">
        <v>17940.5</v>
      </c>
      <c r="N132" s="362">
        <f t="shared" si="4"/>
        <v>35881</v>
      </c>
      <c r="O132" s="356"/>
      <c r="P132" s="356"/>
      <c r="Q132" s="356"/>
      <c r="R132" s="356"/>
      <c r="S132" s="356"/>
      <c r="T132" s="356"/>
      <c r="U132" s="372"/>
      <c r="V132" s="372"/>
      <c r="W132" s="372"/>
      <c r="X132" s="373"/>
      <c r="Y132" s="348" t="s">
        <v>504</v>
      </c>
      <c r="Z132" s="348"/>
      <c r="AA132" s="348"/>
    </row>
    <row r="133" s="331" customFormat="1" ht="17" customHeight="1" spans="1:27">
      <c r="A133" s="550" t="s">
        <v>513</v>
      </c>
      <c r="B133" s="348" t="s">
        <v>58</v>
      </c>
      <c r="C133" s="348" t="s">
        <v>514</v>
      </c>
      <c r="D133" s="352" t="s">
        <v>271</v>
      </c>
      <c r="E133" s="336"/>
      <c r="F133" s="336">
        <v>43531</v>
      </c>
      <c r="G133" s="350"/>
      <c r="H133" s="351" t="s">
        <v>515</v>
      </c>
      <c r="I133" s="356">
        <v>13983168015</v>
      </c>
      <c r="J133" s="361" t="s">
        <v>516</v>
      </c>
      <c r="K133" s="356">
        <v>200</v>
      </c>
      <c r="L133" s="362"/>
      <c r="M133" s="362"/>
      <c r="N133" s="362">
        <f t="shared" si="4"/>
        <v>0</v>
      </c>
      <c r="O133" s="356"/>
      <c r="P133" s="356"/>
      <c r="Q133" s="356"/>
      <c r="R133" s="356"/>
      <c r="S133" s="356"/>
      <c r="T133" s="356"/>
      <c r="U133" s="372">
        <v>43618</v>
      </c>
      <c r="V133" s="372"/>
      <c r="W133" s="372"/>
      <c r="X133" s="373">
        <v>1</v>
      </c>
      <c r="Y133" s="348" t="s">
        <v>504</v>
      </c>
      <c r="Z133" s="348"/>
      <c r="AA133" s="348"/>
    </row>
    <row r="134" s="331" customFormat="1" ht="17" customHeight="1" spans="1:27">
      <c r="A134" s="348"/>
      <c r="B134" s="348" t="s">
        <v>281</v>
      </c>
      <c r="C134" s="334" t="s">
        <v>517</v>
      </c>
      <c r="D134" s="334" t="s">
        <v>518</v>
      </c>
      <c r="E134" s="336">
        <v>43788</v>
      </c>
      <c r="F134" s="336">
        <v>43631</v>
      </c>
      <c r="G134" s="336">
        <v>43788</v>
      </c>
      <c r="H134" s="334" t="s">
        <v>519</v>
      </c>
      <c r="I134" s="356">
        <v>13524204520</v>
      </c>
      <c r="J134" s="361" t="s">
        <v>520</v>
      </c>
      <c r="K134" s="356">
        <v>1000</v>
      </c>
      <c r="L134" s="334">
        <v>9700</v>
      </c>
      <c r="M134" s="362"/>
      <c r="N134" s="362">
        <f t="shared" si="4"/>
        <v>9700</v>
      </c>
      <c r="O134" s="356"/>
      <c r="P134" s="356"/>
      <c r="Q134" s="356" t="s">
        <v>52</v>
      </c>
      <c r="R134" s="356"/>
      <c r="S134" s="356"/>
      <c r="T134" s="356"/>
      <c r="U134" s="372"/>
      <c r="V134" s="372"/>
      <c r="W134" s="372"/>
      <c r="X134" s="373"/>
      <c r="Y134" s="348" t="s">
        <v>501</v>
      </c>
      <c r="Z134" s="348"/>
      <c r="AA134" s="348"/>
    </row>
    <row r="135" s="331" customFormat="1" ht="17" customHeight="1" spans="1:27">
      <c r="A135" s="550" t="s">
        <v>521</v>
      </c>
      <c r="B135" s="348" t="s">
        <v>31</v>
      </c>
      <c r="C135" s="348" t="s">
        <v>377</v>
      </c>
      <c r="D135" s="349" t="s">
        <v>221</v>
      </c>
      <c r="E135" s="336"/>
      <c r="F135" s="336">
        <v>43530</v>
      </c>
      <c r="G135" s="350"/>
      <c r="H135" s="351" t="s">
        <v>522</v>
      </c>
      <c r="I135" s="356">
        <v>13761010950</v>
      </c>
      <c r="J135" s="361" t="s">
        <v>523</v>
      </c>
      <c r="K135" s="356">
        <v>200</v>
      </c>
      <c r="L135" s="362"/>
      <c r="M135" s="362"/>
      <c r="N135" s="362">
        <f t="shared" si="4"/>
        <v>0</v>
      </c>
      <c r="O135" s="356"/>
      <c r="P135" s="356"/>
      <c r="Q135" s="356"/>
      <c r="R135" s="356"/>
      <c r="S135" s="356"/>
      <c r="T135" s="356"/>
      <c r="U135" s="372">
        <v>7.22</v>
      </c>
      <c r="V135" s="372"/>
      <c r="W135" s="372"/>
      <c r="X135" s="373"/>
      <c r="Y135" s="348" t="s">
        <v>504</v>
      </c>
      <c r="Z135" s="348"/>
      <c r="AA135" s="348"/>
    </row>
    <row r="136" s="331" customFormat="1" ht="15" customHeight="1" spans="1:27">
      <c r="A136" s="550" t="s">
        <v>524</v>
      </c>
      <c r="B136" s="348" t="s">
        <v>58</v>
      </c>
      <c r="C136" s="348" t="s">
        <v>109</v>
      </c>
      <c r="D136" s="352" t="s">
        <v>110</v>
      </c>
      <c r="E136" s="336"/>
      <c r="F136" s="336">
        <v>43530</v>
      </c>
      <c r="G136" s="350"/>
      <c r="H136" s="351" t="s">
        <v>525</v>
      </c>
      <c r="I136" s="356">
        <v>15901779557</v>
      </c>
      <c r="J136" s="361" t="s">
        <v>526</v>
      </c>
      <c r="K136" s="356">
        <v>200</v>
      </c>
      <c r="L136" s="362"/>
      <c r="M136" s="362"/>
      <c r="N136" s="362">
        <f t="shared" si="4"/>
        <v>0</v>
      </c>
      <c r="O136" s="356"/>
      <c r="P136" s="356"/>
      <c r="Q136" s="366" t="s">
        <v>52</v>
      </c>
      <c r="R136" s="356"/>
      <c r="S136" s="356"/>
      <c r="T136" s="356"/>
      <c r="U136" s="372"/>
      <c r="V136" s="372"/>
      <c r="W136" s="372"/>
      <c r="X136" s="373"/>
      <c r="Y136" s="348" t="s">
        <v>504</v>
      </c>
      <c r="Z136" s="348"/>
      <c r="AA136" s="348"/>
    </row>
    <row r="137" s="331" customFormat="1" ht="17" customHeight="1" spans="1:27">
      <c r="A137" s="348">
        <v>2068180</v>
      </c>
      <c r="B137" s="348" t="s">
        <v>66</v>
      </c>
      <c r="C137" s="348" t="s">
        <v>514</v>
      </c>
      <c r="D137" s="349" t="s">
        <v>68</v>
      </c>
      <c r="E137" s="336"/>
      <c r="F137" s="336">
        <v>43530</v>
      </c>
      <c r="G137" s="350"/>
      <c r="H137" s="351" t="s">
        <v>527</v>
      </c>
      <c r="I137" s="356">
        <v>1512006626</v>
      </c>
      <c r="J137" s="361" t="s">
        <v>528</v>
      </c>
      <c r="K137" s="356">
        <v>200</v>
      </c>
      <c r="L137" s="362"/>
      <c r="M137" s="362"/>
      <c r="N137" s="362">
        <f t="shared" si="4"/>
        <v>0</v>
      </c>
      <c r="O137" s="356"/>
      <c r="P137" s="356"/>
      <c r="Q137" s="356"/>
      <c r="R137" s="356"/>
      <c r="S137" s="356"/>
      <c r="T137" s="356"/>
      <c r="U137" s="372" t="s">
        <v>136</v>
      </c>
      <c r="V137" s="372"/>
      <c r="W137" s="372"/>
      <c r="X137" s="373"/>
      <c r="Y137" s="348" t="s">
        <v>504</v>
      </c>
      <c r="Z137" s="348"/>
      <c r="AA137" s="348"/>
    </row>
    <row r="138" s="331" customFormat="1" ht="17" customHeight="1" spans="1:27">
      <c r="A138" s="348">
        <v>2024177</v>
      </c>
      <c r="B138" s="348" t="s">
        <v>137</v>
      </c>
      <c r="C138" s="348" t="s">
        <v>411</v>
      </c>
      <c r="D138" s="334" t="s">
        <v>443</v>
      </c>
      <c r="E138" s="336">
        <v>43797</v>
      </c>
      <c r="F138" s="336">
        <v>43530</v>
      </c>
      <c r="G138" s="336">
        <v>43797</v>
      </c>
      <c r="H138" s="351" t="s">
        <v>529</v>
      </c>
      <c r="I138" s="356">
        <v>18930336437</v>
      </c>
      <c r="J138" s="361" t="s">
        <v>530</v>
      </c>
      <c r="K138" s="356">
        <v>200</v>
      </c>
      <c r="L138" s="334">
        <v>16400</v>
      </c>
      <c r="M138" s="362"/>
      <c r="N138" s="362">
        <f t="shared" si="4"/>
        <v>16400</v>
      </c>
      <c r="O138" s="356"/>
      <c r="P138" s="356"/>
      <c r="Q138" s="356"/>
      <c r="R138" s="356">
        <v>1</v>
      </c>
      <c r="S138" s="356"/>
      <c r="T138" s="356"/>
      <c r="U138" s="372"/>
      <c r="V138" s="372"/>
      <c r="W138" s="372"/>
      <c r="X138" s="373"/>
      <c r="Y138" s="348" t="s">
        <v>504</v>
      </c>
      <c r="Z138" s="348"/>
      <c r="AA138" s="348"/>
    </row>
    <row r="139" s="331" customFormat="1" ht="17" customHeight="1" spans="1:27">
      <c r="A139" s="348">
        <v>2066178</v>
      </c>
      <c r="B139" s="348" t="s">
        <v>87</v>
      </c>
      <c r="C139" s="348" t="s">
        <v>466</v>
      </c>
      <c r="D139" s="349" t="s">
        <v>89</v>
      </c>
      <c r="E139" s="336" t="s">
        <v>133</v>
      </c>
      <c r="F139" s="336">
        <v>43530</v>
      </c>
      <c r="G139" s="350"/>
      <c r="H139" s="351" t="s">
        <v>531</v>
      </c>
      <c r="I139" s="356">
        <v>13764080686</v>
      </c>
      <c r="J139" s="361" t="s">
        <v>532</v>
      </c>
      <c r="K139" s="356">
        <v>1998</v>
      </c>
      <c r="L139" s="362"/>
      <c r="M139" s="362"/>
      <c r="N139" s="362">
        <f t="shared" si="4"/>
        <v>0</v>
      </c>
      <c r="O139" s="356"/>
      <c r="P139" s="356"/>
      <c r="Q139" s="356"/>
      <c r="R139" s="356"/>
      <c r="S139" s="356"/>
      <c r="T139" s="356"/>
      <c r="U139" s="372" t="s">
        <v>63</v>
      </c>
      <c r="V139" s="372"/>
      <c r="W139" s="372"/>
      <c r="X139" s="373"/>
      <c r="Y139" s="348" t="s">
        <v>504</v>
      </c>
      <c r="Z139" s="348"/>
      <c r="AA139" s="348"/>
    </row>
    <row r="140" s="331" customFormat="1" ht="17" customHeight="1" spans="1:27">
      <c r="A140" s="550" t="s">
        <v>533</v>
      </c>
      <c r="B140" s="348" t="s">
        <v>35</v>
      </c>
      <c r="C140" s="348" t="s">
        <v>36</v>
      </c>
      <c r="D140" s="352" t="s">
        <v>37</v>
      </c>
      <c r="E140" s="336">
        <v>43599</v>
      </c>
      <c r="F140" s="336">
        <v>43598</v>
      </c>
      <c r="G140" s="350"/>
      <c r="H140" s="334" t="s">
        <v>534</v>
      </c>
      <c r="I140" s="356">
        <v>13564073050</v>
      </c>
      <c r="J140" s="361" t="s">
        <v>535</v>
      </c>
      <c r="K140" s="356">
        <v>1667</v>
      </c>
      <c r="L140" s="362"/>
      <c r="M140" s="362"/>
      <c r="N140" s="362">
        <f t="shared" si="4"/>
        <v>0</v>
      </c>
      <c r="O140" s="356"/>
      <c r="P140" s="356"/>
      <c r="Q140" s="356"/>
      <c r="R140" s="356"/>
      <c r="S140" s="356"/>
      <c r="T140" s="356"/>
      <c r="U140" s="372" t="s">
        <v>40</v>
      </c>
      <c r="V140" s="372"/>
      <c r="W140" s="372"/>
      <c r="X140" s="373"/>
      <c r="Y140" s="348"/>
      <c r="Z140" s="348"/>
      <c r="AA140" s="348"/>
    </row>
    <row r="141" s="331" customFormat="1" ht="17" customHeight="1" spans="1:27">
      <c r="A141" s="348">
        <v>2068181</v>
      </c>
      <c r="B141" s="348" t="s">
        <v>66</v>
      </c>
      <c r="C141" s="348" t="s">
        <v>514</v>
      </c>
      <c r="D141" s="349" t="s">
        <v>68</v>
      </c>
      <c r="E141" s="336"/>
      <c r="F141" s="336">
        <v>43530</v>
      </c>
      <c r="G141" s="350"/>
      <c r="H141" s="351" t="s">
        <v>536</v>
      </c>
      <c r="I141" s="356"/>
      <c r="J141" s="361" t="s">
        <v>537</v>
      </c>
      <c r="K141" s="356">
        <v>200</v>
      </c>
      <c r="L141" s="362"/>
      <c r="M141" s="362"/>
      <c r="N141" s="362">
        <f t="shared" si="4"/>
        <v>0</v>
      </c>
      <c r="O141" s="356"/>
      <c r="P141" s="356"/>
      <c r="Q141" s="356"/>
      <c r="R141" s="356"/>
      <c r="S141" s="356"/>
      <c r="T141" s="356"/>
      <c r="U141" s="372" t="s">
        <v>136</v>
      </c>
      <c r="V141" s="372"/>
      <c r="W141" s="372"/>
      <c r="X141" s="373"/>
      <c r="Y141" s="348" t="s">
        <v>504</v>
      </c>
      <c r="Z141" s="348"/>
      <c r="AA141" s="348"/>
    </row>
    <row r="142" s="331" customFormat="1" ht="17" customHeight="1" spans="1:27">
      <c r="A142" s="550" t="s">
        <v>538</v>
      </c>
      <c r="B142" s="348" t="s">
        <v>31</v>
      </c>
      <c r="C142" s="348" t="s">
        <v>220</v>
      </c>
      <c r="D142" s="349" t="s">
        <v>221</v>
      </c>
      <c r="E142" s="336">
        <v>43641</v>
      </c>
      <c r="F142" s="336">
        <v>43634</v>
      </c>
      <c r="G142" s="350"/>
      <c r="H142" s="334" t="s">
        <v>539</v>
      </c>
      <c r="I142" s="356">
        <v>13564588842</v>
      </c>
      <c r="J142" s="361" t="s">
        <v>540</v>
      </c>
      <c r="K142" s="356">
        <v>1998</v>
      </c>
      <c r="L142" s="362"/>
      <c r="M142" s="362"/>
      <c r="N142" s="362">
        <f t="shared" si="4"/>
        <v>0</v>
      </c>
      <c r="O142" s="348" t="s">
        <v>19</v>
      </c>
      <c r="P142" s="356"/>
      <c r="Q142" s="356"/>
      <c r="R142" s="356"/>
      <c r="S142" s="356"/>
      <c r="T142" s="356"/>
      <c r="U142" s="372" t="s">
        <v>63</v>
      </c>
      <c r="V142" s="372"/>
      <c r="W142" s="372"/>
      <c r="X142" s="373"/>
      <c r="Y142" s="348" t="s">
        <v>92</v>
      </c>
      <c r="Z142" s="348"/>
      <c r="AA142" s="348"/>
    </row>
    <row r="143" s="331" customFormat="1" ht="17" customHeight="1" spans="1:27">
      <c r="A143" s="550" t="s">
        <v>541</v>
      </c>
      <c r="B143" s="348" t="s">
        <v>169</v>
      </c>
      <c r="C143" s="348" t="s">
        <v>542</v>
      </c>
      <c r="D143" s="349" t="s">
        <v>171</v>
      </c>
      <c r="E143" s="336"/>
      <c r="F143" s="336">
        <v>43530</v>
      </c>
      <c r="G143" s="350"/>
      <c r="H143" s="351" t="s">
        <v>543</v>
      </c>
      <c r="I143" s="356">
        <v>13916817819</v>
      </c>
      <c r="J143" s="361" t="s">
        <v>544</v>
      </c>
      <c r="K143" s="356">
        <v>200</v>
      </c>
      <c r="L143" s="362"/>
      <c r="M143" s="362"/>
      <c r="N143" s="362">
        <f t="shared" si="4"/>
        <v>0</v>
      </c>
      <c r="O143" s="356"/>
      <c r="P143" s="356"/>
      <c r="Q143" s="356"/>
      <c r="R143" s="356"/>
      <c r="S143" s="356"/>
      <c r="T143" s="356"/>
      <c r="U143" s="372" t="s">
        <v>545</v>
      </c>
      <c r="V143" s="372"/>
      <c r="W143" s="372"/>
      <c r="X143" s="373"/>
      <c r="Y143" s="348" t="s">
        <v>546</v>
      </c>
      <c r="Z143" s="348"/>
      <c r="AA143" s="348"/>
    </row>
    <row r="144" s="331" customFormat="1" ht="17" customHeight="1" spans="1:27">
      <c r="A144" s="348">
        <v>2026569</v>
      </c>
      <c r="B144" s="348" t="s">
        <v>160</v>
      </c>
      <c r="C144" s="348" t="s">
        <v>258</v>
      </c>
      <c r="D144" s="352" t="s">
        <v>132</v>
      </c>
      <c r="E144" s="336"/>
      <c r="F144" s="336">
        <v>43532</v>
      </c>
      <c r="G144" s="350" t="s">
        <v>231</v>
      </c>
      <c r="H144" s="351" t="s">
        <v>547</v>
      </c>
      <c r="I144" s="356">
        <v>13636596603</v>
      </c>
      <c r="J144" s="361" t="s">
        <v>548</v>
      </c>
      <c r="K144" s="356">
        <v>200</v>
      </c>
      <c r="L144" s="362"/>
      <c r="M144" s="362"/>
      <c r="N144" s="362">
        <f t="shared" si="4"/>
        <v>0</v>
      </c>
      <c r="O144" s="356"/>
      <c r="P144" s="356">
        <v>1</v>
      </c>
      <c r="Q144" s="356"/>
      <c r="R144" s="356"/>
      <c r="S144" s="356"/>
      <c r="T144" s="356"/>
      <c r="U144" s="372"/>
      <c r="V144" s="372"/>
      <c r="W144" s="372"/>
      <c r="X144" s="373"/>
      <c r="Y144" s="348" t="s">
        <v>549</v>
      </c>
      <c r="Z144" s="348"/>
      <c r="AA144" s="348"/>
    </row>
    <row r="145" s="331" customFormat="1" ht="17" customHeight="1" spans="1:27">
      <c r="A145" s="348">
        <v>2022759</v>
      </c>
      <c r="B145" s="348" t="s">
        <v>243</v>
      </c>
      <c r="C145" s="348" t="s">
        <v>244</v>
      </c>
      <c r="D145" s="352" t="s">
        <v>49</v>
      </c>
      <c r="E145" s="336">
        <v>43533</v>
      </c>
      <c r="F145" s="336">
        <v>43533</v>
      </c>
      <c r="G145" s="350">
        <v>43610</v>
      </c>
      <c r="H145" s="351" t="s">
        <v>550</v>
      </c>
      <c r="I145" s="356">
        <v>13817527933</v>
      </c>
      <c r="J145" s="361" t="s">
        <v>551</v>
      </c>
      <c r="K145" s="356">
        <v>1000</v>
      </c>
      <c r="L145" s="362"/>
      <c r="M145" s="362"/>
      <c r="N145" s="362">
        <f t="shared" si="4"/>
        <v>0</v>
      </c>
      <c r="O145" s="356"/>
      <c r="P145" s="356"/>
      <c r="Q145" s="356"/>
      <c r="R145" s="356"/>
      <c r="S145" s="356"/>
      <c r="T145" s="356"/>
      <c r="U145" s="372"/>
      <c r="V145" s="372"/>
      <c r="W145" s="372"/>
      <c r="X145" s="373"/>
      <c r="Y145" s="348"/>
      <c r="Z145" s="348"/>
      <c r="AA145" s="348"/>
    </row>
    <row r="146" s="331" customFormat="1" ht="19" customHeight="1" spans="1:27">
      <c r="A146" s="550" t="s">
        <v>552</v>
      </c>
      <c r="B146" s="348" t="s">
        <v>153</v>
      </c>
      <c r="C146" s="334" t="s">
        <v>154</v>
      </c>
      <c r="D146" s="349" t="s">
        <v>155</v>
      </c>
      <c r="E146" s="336">
        <v>43640</v>
      </c>
      <c r="F146" s="336">
        <v>43639</v>
      </c>
      <c r="G146" s="336">
        <v>43677</v>
      </c>
      <c r="H146" s="334" t="s">
        <v>357</v>
      </c>
      <c r="I146" s="356">
        <v>13585696478</v>
      </c>
      <c r="J146" s="361" t="s">
        <v>553</v>
      </c>
      <c r="K146" s="356">
        <f>3950+4000+1000</f>
        <v>8950</v>
      </c>
      <c r="L146" s="334">
        <v>4950</v>
      </c>
      <c r="M146" s="362"/>
      <c r="N146" s="362">
        <f t="shared" si="4"/>
        <v>4950</v>
      </c>
      <c r="O146" s="391" t="s">
        <v>554</v>
      </c>
      <c r="P146" s="356"/>
      <c r="Q146" s="356"/>
      <c r="R146" s="356"/>
      <c r="S146" s="356"/>
      <c r="T146" s="356"/>
      <c r="U146" s="372" t="s">
        <v>555</v>
      </c>
      <c r="V146" s="372"/>
      <c r="W146" s="372"/>
      <c r="X146" s="373"/>
      <c r="Y146" s="348"/>
      <c r="Z146" s="348"/>
      <c r="AA146" s="348"/>
    </row>
    <row r="147" s="331" customFormat="1" ht="17" customHeight="1" spans="1:27">
      <c r="A147" s="348">
        <v>2067393</v>
      </c>
      <c r="B147" s="348" t="s">
        <v>137</v>
      </c>
      <c r="C147" s="348" t="s">
        <v>138</v>
      </c>
      <c r="D147" s="349" t="s">
        <v>139</v>
      </c>
      <c r="E147" s="336">
        <v>43533</v>
      </c>
      <c r="F147" s="336">
        <v>43533</v>
      </c>
      <c r="G147" s="350"/>
      <c r="H147" s="351" t="s">
        <v>556</v>
      </c>
      <c r="I147" s="356">
        <v>13901835910</v>
      </c>
      <c r="J147" s="361" t="s">
        <v>557</v>
      </c>
      <c r="K147" s="356">
        <v>1000</v>
      </c>
      <c r="L147" s="362"/>
      <c r="M147" s="362"/>
      <c r="N147" s="362">
        <f t="shared" ref="N147:N178" si="5">L147+M147</f>
        <v>0</v>
      </c>
      <c r="O147" s="356"/>
      <c r="P147" s="356"/>
      <c r="Q147" s="356"/>
      <c r="R147" s="356"/>
      <c r="S147" s="356"/>
      <c r="T147" s="356"/>
      <c r="U147" s="376" t="s">
        <v>40</v>
      </c>
      <c r="V147" s="372"/>
      <c r="W147" s="372"/>
      <c r="X147" s="373"/>
      <c r="Y147" s="348" t="s">
        <v>558</v>
      </c>
      <c r="Z147" s="348"/>
      <c r="AA147" s="348"/>
    </row>
    <row r="148" s="331" customFormat="1" ht="17" customHeight="1" spans="1:27">
      <c r="A148" s="348">
        <v>2022192</v>
      </c>
      <c r="B148" s="348" t="s">
        <v>160</v>
      </c>
      <c r="C148" s="348" t="s">
        <v>258</v>
      </c>
      <c r="D148" s="352" t="s">
        <v>132</v>
      </c>
      <c r="E148" s="336">
        <v>43534</v>
      </c>
      <c r="F148" s="336">
        <v>43533</v>
      </c>
      <c r="G148" s="350" t="s">
        <v>231</v>
      </c>
      <c r="H148" s="351" t="s">
        <v>559</v>
      </c>
      <c r="I148" s="356">
        <v>13052022778</v>
      </c>
      <c r="J148" s="361" t="s">
        <v>560</v>
      </c>
      <c r="K148" s="356">
        <v>10000</v>
      </c>
      <c r="L148" s="362"/>
      <c r="M148" s="362"/>
      <c r="N148" s="362">
        <f t="shared" si="5"/>
        <v>0</v>
      </c>
      <c r="O148" s="356"/>
      <c r="P148" s="356"/>
      <c r="Q148" s="356"/>
      <c r="R148" s="356"/>
      <c r="S148" s="356"/>
      <c r="T148" s="356"/>
      <c r="U148" s="372"/>
      <c r="V148" s="372"/>
      <c r="W148" s="372"/>
      <c r="X148" s="373"/>
      <c r="Y148" s="348"/>
      <c r="Z148" s="348" t="s">
        <v>318</v>
      </c>
      <c r="AA148" s="348"/>
    </row>
    <row r="149" s="331" customFormat="1" ht="17" customHeight="1" spans="1:27">
      <c r="A149" s="348"/>
      <c r="B149" s="348" t="s">
        <v>130</v>
      </c>
      <c r="C149" s="348" t="s">
        <v>181</v>
      </c>
      <c r="D149" s="352" t="s">
        <v>132</v>
      </c>
      <c r="E149" s="336">
        <v>43534</v>
      </c>
      <c r="F149" s="336">
        <v>43533</v>
      </c>
      <c r="G149" s="350"/>
      <c r="H149" s="351" t="s">
        <v>561</v>
      </c>
      <c r="I149" s="356">
        <v>13716072619</v>
      </c>
      <c r="J149" s="361" t="s">
        <v>562</v>
      </c>
      <c r="K149" s="356">
        <v>2188</v>
      </c>
      <c r="L149" s="362"/>
      <c r="M149" s="362"/>
      <c r="N149" s="362">
        <f t="shared" si="5"/>
        <v>0</v>
      </c>
      <c r="O149" s="356"/>
      <c r="P149" s="356"/>
      <c r="Q149" s="356"/>
      <c r="R149" s="356"/>
      <c r="S149" s="356"/>
      <c r="T149" s="356"/>
      <c r="U149" s="372" t="s">
        <v>242</v>
      </c>
      <c r="V149" s="372"/>
      <c r="W149" s="372"/>
      <c r="X149" s="373"/>
      <c r="Y149" s="348"/>
      <c r="Z149" s="348"/>
      <c r="AA149" s="348"/>
    </row>
    <row r="150" s="57" customFormat="1" ht="17" customHeight="1" spans="1:27">
      <c r="A150" s="348"/>
      <c r="B150" s="348" t="s">
        <v>137</v>
      </c>
      <c r="C150" s="348" t="s">
        <v>411</v>
      </c>
      <c r="D150" s="349" t="s">
        <v>427</v>
      </c>
      <c r="E150" s="336">
        <v>43534</v>
      </c>
      <c r="F150" s="336">
        <v>43533</v>
      </c>
      <c r="G150" s="350"/>
      <c r="H150" s="353" t="s">
        <v>563</v>
      </c>
      <c r="I150" s="363">
        <v>16621059868</v>
      </c>
      <c r="J150" s="363" t="s">
        <v>564</v>
      </c>
      <c r="K150" s="356">
        <v>1000</v>
      </c>
      <c r="L150" s="362"/>
      <c r="M150" s="362"/>
      <c r="N150" s="362">
        <f t="shared" si="5"/>
        <v>0</v>
      </c>
      <c r="O150" s="366"/>
      <c r="P150" s="356"/>
      <c r="Q150" s="356"/>
      <c r="R150" s="356">
        <v>1</v>
      </c>
      <c r="S150" s="356"/>
      <c r="T150" s="356"/>
      <c r="U150" s="376" t="s">
        <v>12</v>
      </c>
      <c r="V150" s="372"/>
      <c r="W150" s="372"/>
      <c r="X150" s="373"/>
      <c r="Y150" s="363" t="s">
        <v>565</v>
      </c>
      <c r="Z150" s="348" t="s">
        <v>413</v>
      </c>
      <c r="AA150" s="348"/>
    </row>
    <row r="151" s="57" customFormat="1" ht="17" customHeight="1" spans="1:27">
      <c r="A151" s="348"/>
      <c r="B151" s="348" t="s">
        <v>137</v>
      </c>
      <c r="C151" s="348" t="s">
        <v>411</v>
      </c>
      <c r="D151" s="349" t="s">
        <v>427</v>
      </c>
      <c r="E151" s="336">
        <v>43534</v>
      </c>
      <c r="F151" s="336">
        <v>43533</v>
      </c>
      <c r="G151" s="350"/>
      <c r="H151" s="353" t="s">
        <v>566</v>
      </c>
      <c r="I151" s="363">
        <v>13127788527</v>
      </c>
      <c r="J151" s="363" t="s">
        <v>567</v>
      </c>
      <c r="K151" s="356">
        <v>1000</v>
      </c>
      <c r="L151" s="362"/>
      <c r="M151" s="362"/>
      <c r="N151" s="362">
        <f t="shared" si="5"/>
        <v>0</v>
      </c>
      <c r="O151" s="366"/>
      <c r="P151" s="356"/>
      <c r="Q151" s="356">
        <v>1</v>
      </c>
      <c r="R151" s="356"/>
      <c r="S151" s="356"/>
      <c r="T151" s="356"/>
      <c r="U151" s="376" t="s">
        <v>12</v>
      </c>
      <c r="V151" s="372"/>
      <c r="W151" s="372"/>
      <c r="X151" s="373"/>
      <c r="Y151" s="363" t="s">
        <v>565</v>
      </c>
      <c r="Z151" s="348" t="s">
        <v>413</v>
      </c>
      <c r="AA151" s="348"/>
    </row>
    <row r="152" s="57" customFormat="1" ht="17" customHeight="1" spans="1:27">
      <c r="A152" s="348"/>
      <c r="B152" s="348" t="s">
        <v>137</v>
      </c>
      <c r="C152" s="348" t="s">
        <v>411</v>
      </c>
      <c r="D152" s="349" t="s">
        <v>427</v>
      </c>
      <c r="E152" s="336">
        <v>43534</v>
      </c>
      <c r="F152" s="336">
        <v>43533</v>
      </c>
      <c r="G152" s="350"/>
      <c r="H152" s="353" t="s">
        <v>568</v>
      </c>
      <c r="I152" s="363">
        <v>13641764150</v>
      </c>
      <c r="J152" s="363" t="s">
        <v>569</v>
      </c>
      <c r="K152" s="356">
        <v>1000</v>
      </c>
      <c r="L152" s="362"/>
      <c r="M152" s="362"/>
      <c r="N152" s="362">
        <f t="shared" si="5"/>
        <v>0</v>
      </c>
      <c r="O152" s="366"/>
      <c r="P152" s="356">
        <v>1</v>
      </c>
      <c r="Q152" s="356"/>
      <c r="R152" s="356"/>
      <c r="S152" s="356"/>
      <c r="T152" s="356"/>
      <c r="U152" s="376" t="s">
        <v>12</v>
      </c>
      <c r="V152" s="372"/>
      <c r="W152" s="372"/>
      <c r="X152" s="373"/>
      <c r="Y152" s="363" t="s">
        <v>565</v>
      </c>
      <c r="Z152" s="348" t="s">
        <v>413</v>
      </c>
      <c r="AA152" s="348"/>
    </row>
    <row r="153" s="331" customFormat="1" ht="17" customHeight="1" spans="1:27">
      <c r="A153" s="348"/>
      <c r="B153" s="348" t="s">
        <v>137</v>
      </c>
      <c r="C153" s="348" t="s">
        <v>411</v>
      </c>
      <c r="D153" s="349" t="s">
        <v>427</v>
      </c>
      <c r="E153" s="336">
        <v>43534</v>
      </c>
      <c r="F153" s="336">
        <v>43533</v>
      </c>
      <c r="G153" s="336">
        <v>43665</v>
      </c>
      <c r="H153" s="353" t="s">
        <v>570</v>
      </c>
      <c r="I153" s="363">
        <v>13321873983</v>
      </c>
      <c r="J153" s="364" t="s">
        <v>571</v>
      </c>
      <c r="K153" s="356">
        <v>1000</v>
      </c>
      <c r="L153" s="334">
        <v>5597</v>
      </c>
      <c r="M153" s="334">
        <v>504</v>
      </c>
      <c r="N153" s="362">
        <f t="shared" si="5"/>
        <v>6101</v>
      </c>
      <c r="O153" s="356"/>
      <c r="P153" s="356"/>
      <c r="Q153" s="356"/>
      <c r="R153" s="356"/>
      <c r="S153" s="356"/>
      <c r="T153" s="356"/>
      <c r="U153" s="372"/>
      <c r="V153" s="372"/>
      <c r="W153" s="372"/>
      <c r="X153" s="373"/>
      <c r="Y153" s="363" t="s">
        <v>565</v>
      </c>
      <c r="Z153" s="348" t="s">
        <v>413</v>
      </c>
      <c r="AA153" s="348"/>
    </row>
    <row r="154" s="57" customFormat="1" ht="17" customHeight="1" spans="1:27">
      <c r="A154" s="348"/>
      <c r="B154" s="348" t="s">
        <v>137</v>
      </c>
      <c r="C154" s="348" t="s">
        <v>411</v>
      </c>
      <c r="D154" s="349" t="s">
        <v>427</v>
      </c>
      <c r="E154" s="336">
        <v>43534</v>
      </c>
      <c r="F154" s="336">
        <v>43533</v>
      </c>
      <c r="G154" s="350"/>
      <c r="H154" s="353" t="s">
        <v>572</v>
      </c>
      <c r="I154" s="363">
        <v>13761811702</v>
      </c>
      <c r="J154" s="363" t="s">
        <v>573</v>
      </c>
      <c r="K154" s="356">
        <v>1000</v>
      </c>
      <c r="L154" s="362"/>
      <c r="M154" s="362"/>
      <c r="N154" s="362">
        <f t="shared" si="5"/>
        <v>0</v>
      </c>
      <c r="O154" s="366"/>
      <c r="P154" s="356"/>
      <c r="Q154" s="366">
        <v>1</v>
      </c>
      <c r="R154" s="356"/>
      <c r="S154" s="356"/>
      <c r="T154" s="356"/>
      <c r="U154" s="376" t="s">
        <v>12</v>
      </c>
      <c r="V154" s="372"/>
      <c r="W154" s="372"/>
      <c r="X154" s="373"/>
      <c r="Y154" s="363" t="s">
        <v>565</v>
      </c>
      <c r="Z154" s="348" t="s">
        <v>413</v>
      </c>
      <c r="AA154" s="348"/>
    </row>
    <row r="155" s="57" customFormat="1" ht="17" customHeight="1" spans="1:27">
      <c r="A155" s="348"/>
      <c r="B155" s="348" t="s">
        <v>137</v>
      </c>
      <c r="C155" s="348" t="s">
        <v>411</v>
      </c>
      <c r="D155" s="349" t="s">
        <v>427</v>
      </c>
      <c r="E155" s="336">
        <v>43534</v>
      </c>
      <c r="F155" s="336">
        <v>43533</v>
      </c>
      <c r="G155" s="350"/>
      <c r="H155" s="353" t="s">
        <v>574</v>
      </c>
      <c r="I155" s="363">
        <v>17721137396</v>
      </c>
      <c r="J155" s="363" t="s">
        <v>575</v>
      </c>
      <c r="K155" s="356">
        <v>1000</v>
      </c>
      <c r="L155" s="362"/>
      <c r="M155" s="362"/>
      <c r="N155" s="362">
        <f t="shared" si="5"/>
        <v>0</v>
      </c>
      <c r="O155" s="356"/>
      <c r="P155" s="356">
        <v>1</v>
      </c>
      <c r="Q155" s="356"/>
      <c r="R155" s="366"/>
      <c r="S155" s="356"/>
      <c r="T155" s="356"/>
      <c r="U155" s="376" t="s">
        <v>12</v>
      </c>
      <c r="V155" s="372"/>
      <c r="W155" s="372"/>
      <c r="X155" s="373"/>
      <c r="Y155" s="363" t="s">
        <v>565</v>
      </c>
      <c r="Z155" s="348" t="s">
        <v>413</v>
      </c>
      <c r="AA155" s="348"/>
    </row>
    <row r="156" s="57" customFormat="1" ht="17" customHeight="1" spans="1:27">
      <c r="A156" s="348"/>
      <c r="B156" s="348" t="s">
        <v>137</v>
      </c>
      <c r="C156" s="348" t="s">
        <v>411</v>
      </c>
      <c r="D156" s="349" t="s">
        <v>427</v>
      </c>
      <c r="E156" s="336">
        <v>43534</v>
      </c>
      <c r="F156" s="336">
        <v>43533</v>
      </c>
      <c r="G156" s="350"/>
      <c r="H156" s="353" t="s">
        <v>576</v>
      </c>
      <c r="I156" s="363">
        <v>15601656663</v>
      </c>
      <c r="J156" s="363" t="s">
        <v>577</v>
      </c>
      <c r="K156" s="356">
        <v>1000</v>
      </c>
      <c r="L156" s="362"/>
      <c r="M156" s="362"/>
      <c r="N156" s="362">
        <f t="shared" si="5"/>
        <v>0</v>
      </c>
      <c r="O156" s="356">
        <v>1</v>
      </c>
      <c r="P156" s="356"/>
      <c r="Q156" s="356"/>
      <c r="R156" s="356"/>
      <c r="S156" s="366"/>
      <c r="T156" s="356"/>
      <c r="U156" s="376" t="s">
        <v>12</v>
      </c>
      <c r="V156" s="372"/>
      <c r="W156" s="372"/>
      <c r="X156" s="373"/>
      <c r="Y156" s="363" t="s">
        <v>565</v>
      </c>
      <c r="Z156" s="348" t="s">
        <v>413</v>
      </c>
      <c r="AA156" s="348"/>
    </row>
    <row r="157" s="57" customFormat="1" ht="17" customHeight="1" spans="1:27">
      <c r="A157" s="348"/>
      <c r="B157" s="348" t="s">
        <v>137</v>
      </c>
      <c r="C157" s="348" t="s">
        <v>411</v>
      </c>
      <c r="D157" s="349" t="s">
        <v>427</v>
      </c>
      <c r="E157" s="336">
        <v>43534</v>
      </c>
      <c r="F157" s="336">
        <v>43533</v>
      </c>
      <c r="G157" s="350"/>
      <c r="H157" s="353" t="s">
        <v>578</v>
      </c>
      <c r="I157" s="363">
        <v>15800618922</v>
      </c>
      <c r="J157" s="363" t="s">
        <v>579</v>
      </c>
      <c r="K157" s="356">
        <v>1000</v>
      </c>
      <c r="L157" s="362"/>
      <c r="M157" s="362"/>
      <c r="N157" s="362">
        <f t="shared" si="5"/>
        <v>0</v>
      </c>
      <c r="O157" s="356">
        <v>1</v>
      </c>
      <c r="P157" s="356"/>
      <c r="Q157" s="356"/>
      <c r="R157" s="356"/>
      <c r="S157" s="366"/>
      <c r="T157" s="356"/>
      <c r="U157" s="376" t="s">
        <v>12</v>
      </c>
      <c r="V157" s="372"/>
      <c r="W157" s="372"/>
      <c r="X157" s="373"/>
      <c r="Y157" s="363" t="s">
        <v>565</v>
      </c>
      <c r="Z157" s="348" t="s">
        <v>413</v>
      </c>
      <c r="AA157" s="348"/>
    </row>
    <row r="158" s="57" customFormat="1" ht="17" customHeight="1" spans="1:27">
      <c r="A158" s="348"/>
      <c r="B158" s="348" t="s">
        <v>137</v>
      </c>
      <c r="C158" s="348" t="s">
        <v>411</v>
      </c>
      <c r="D158" s="349" t="s">
        <v>427</v>
      </c>
      <c r="E158" s="336">
        <v>43534</v>
      </c>
      <c r="F158" s="336">
        <v>43533</v>
      </c>
      <c r="G158" s="350"/>
      <c r="H158" s="353" t="s">
        <v>580</v>
      </c>
      <c r="I158" s="363">
        <v>13818899350</v>
      </c>
      <c r="J158" s="363" t="s">
        <v>581</v>
      </c>
      <c r="K158" s="356">
        <v>1000</v>
      </c>
      <c r="L158" s="362"/>
      <c r="M158" s="362"/>
      <c r="N158" s="362">
        <f t="shared" si="5"/>
        <v>0</v>
      </c>
      <c r="O158" s="356">
        <v>1</v>
      </c>
      <c r="P158" s="356"/>
      <c r="Q158" s="356"/>
      <c r="R158" s="356"/>
      <c r="S158" s="366"/>
      <c r="T158" s="356"/>
      <c r="U158" s="376" t="s">
        <v>12</v>
      </c>
      <c r="V158" s="372"/>
      <c r="W158" s="372"/>
      <c r="X158" s="373"/>
      <c r="Y158" s="363" t="s">
        <v>565</v>
      </c>
      <c r="Z158" s="348" t="s">
        <v>413</v>
      </c>
      <c r="AA158" s="348"/>
    </row>
    <row r="159" s="57" customFormat="1" ht="17" customHeight="1" spans="1:27">
      <c r="A159" s="348"/>
      <c r="B159" s="348" t="s">
        <v>137</v>
      </c>
      <c r="C159" s="348" t="s">
        <v>411</v>
      </c>
      <c r="D159" s="349" t="s">
        <v>427</v>
      </c>
      <c r="E159" s="336">
        <v>43534</v>
      </c>
      <c r="F159" s="336">
        <v>43533</v>
      </c>
      <c r="G159" s="350"/>
      <c r="H159" s="353" t="s">
        <v>582</v>
      </c>
      <c r="I159" s="363">
        <v>15921249630</v>
      </c>
      <c r="J159" s="363" t="s">
        <v>583</v>
      </c>
      <c r="K159" s="356">
        <v>1000</v>
      </c>
      <c r="L159" s="362"/>
      <c r="M159" s="362"/>
      <c r="N159" s="362">
        <f t="shared" si="5"/>
        <v>0</v>
      </c>
      <c r="O159" s="356">
        <v>1</v>
      </c>
      <c r="P159" s="356"/>
      <c r="Q159" s="356"/>
      <c r="R159" s="366"/>
      <c r="S159" s="366"/>
      <c r="T159" s="356"/>
      <c r="U159" s="376" t="s">
        <v>12</v>
      </c>
      <c r="V159" s="372"/>
      <c r="W159" s="372"/>
      <c r="X159" s="373"/>
      <c r="Y159" s="363" t="s">
        <v>565</v>
      </c>
      <c r="Z159" s="348" t="s">
        <v>413</v>
      </c>
      <c r="AA159" s="348"/>
    </row>
    <row r="160" s="57" customFormat="1" ht="17" customHeight="1" spans="1:27">
      <c r="A160" s="348"/>
      <c r="B160" s="348" t="s">
        <v>137</v>
      </c>
      <c r="C160" s="348" t="s">
        <v>411</v>
      </c>
      <c r="D160" s="349" t="s">
        <v>427</v>
      </c>
      <c r="E160" s="336" t="s">
        <v>584</v>
      </c>
      <c r="F160" s="336">
        <v>43533</v>
      </c>
      <c r="G160" s="350"/>
      <c r="H160" s="353" t="s">
        <v>585</v>
      </c>
      <c r="I160" s="363">
        <v>13818362726</v>
      </c>
      <c r="J160" s="363" t="s">
        <v>586</v>
      </c>
      <c r="K160" s="356">
        <v>1000</v>
      </c>
      <c r="L160" s="362"/>
      <c r="M160" s="362"/>
      <c r="N160" s="362">
        <f t="shared" si="5"/>
        <v>0</v>
      </c>
      <c r="O160" s="356">
        <v>1</v>
      </c>
      <c r="P160" s="356"/>
      <c r="Q160" s="356"/>
      <c r="R160" s="366"/>
      <c r="S160" s="356"/>
      <c r="T160" s="356"/>
      <c r="U160" s="376" t="s">
        <v>12</v>
      </c>
      <c r="V160" s="372"/>
      <c r="W160" s="372"/>
      <c r="X160" s="373"/>
      <c r="Y160" s="363" t="s">
        <v>565</v>
      </c>
      <c r="Z160" s="348" t="s">
        <v>413</v>
      </c>
      <c r="AA160" s="348"/>
    </row>
    <row r="161" s="331" customFormat="1" ht="17" customHeight="1" spans="1:27">
      <c r="A161" s="348">
        <v>2019386</v>
      </c>
      <c r="B161" s="348" t="s">
        <v>281</v>
      </c>
      <c r="C161" s="334" t="s">
        <v>587</v>
      </c>
      <c r="D161" s="352" t="s">
        <v>49</v>
      </c>
      <c r="E161" s="336">
        <v>43689</v>
      </c>
      <c r="F161" s="336">
        <v>43533</v>
      </c>
      <c r="G161" s="336">
        <v>43689</v>
      </c>
      <c r="H161" s="351" t="s">
        <v>588</v>
      </c>
      <c r="I161" s="356">
        <v>13761014253</v>
      </c>
      <c r="J161" s="361" t="s">
        <v>589</v>
      </c>
      <c r="K161" s="356">
        <f>1000+1000</f>
        <v>2000</v>
      </c>
      <c r="L161" s="334">
        <v>8762</v>
      </c>
      <c r="M161" s="362"/>
      <c r="N161" s="362">
        <f t="shared" si="5"/>
        <v>8762</v>
      </c>
      <c r="O161" s="356"/>
      <c r="P161" s="356"/>
      <c r="Q161" s="356" t="s">
        <v>52</v>
      </c>
      <c r="R161" s="356"/>
      <c r="S161" s="356"/>
      <c r="T161" s="356"/>
      <c r="U161" s="372"/>
      <c r="V161" s="372"/>
      <c r="W161" s="372"/>
      <c r="X161" s="373"/>
      <c r="Y161" s="348"/>
      <c r="Z161" s="348"/>
      <c r="AA161" s="348"/>
    </row>
    <row r="162" s="331" customFormat="1" ht="17" customHeight="1" spans="1:27">
      <c r="A162" s="348">
        <v>2019387</v>
      </c>
      <c r="B162" s="348" t="s">
        <v>281</v>
      </c>
      <c r="C162" s="389" t="s">
        <v>491</v>
      </c>
      <c r="D162" s="352" t="s">
        <v>49</v>
      </c>
      <c r="E162" s="336">
        <v>43534</v>
      </c>
      <c r="F162" s="336">
        <v>43533</v>
      </c>
      <c r="G162" s="350"/>
      <c r="H162" s="351" t="s">
        <v>590</v>
      </c>
      <c r="I162" s="356">
        <v>18501641189</v>
      </c>
      <c r="J162" s="361" t="s">
        <v>591</v>
      </c>
      <c r="K162" s="356">
        <v>1000</v>
      </c>
      <c r="L162" s="362"/>
      <c r="M162" s="362"/>
      <c r="N162" s="362">
        <f t="shared" si="5"/>
        <v>0</v>
      </c>
      <c r="O162" s="356"/>
      <c r="P162" s="356"/>
      <c r="Q162" s="356"/>
      <c r="R162" s="356"/>
      <c r="S162" s="356"/>
      <c r="T162" s="356"/>
      <c r="U162" s="379">
        <v>4.15</v>
      </c>
      <c r="V162" s="372"/>
      <c r="W162" s="372"/>
      <c r="X162" s="373"/>
      <c r="Y162" s="348"/>
      <c r="Z162" s="348"/>
      <c r="AA162" s="348"/>
    </row>
    <row r="163" s="331" customFormat="1" ht="15" customHeight="1" spans="1:27">
      <c r="A163" s="550" t="s">
        <v>592</v>
      </c>
      <c r="B163" s="348" t="s">
        <v>405</v>
      </c>
      <c r="C163" s="348" t="s">
        <v>406</v>
      </c>
      <c r="D163" s="349" t="s">
        <v>407</v>
      </c>
      <c r="E163" s="336">
        <v>43534</v>
      </c>
      <c r="F163" s="336">
        <v>43533</v>
      </c>
      <c r="G163" s="350"/>
      <c r="H163" s="351" t="s">
        <v>593</v>
      </c>
      <c r="I163" s="356">
        <v>18602114326</v>
      </c>
      <c r="J163" s="361" t="s">
        <v>594</v>
      </c>
      <c r="K163" s="356">
        <v>1000</v>
      </c>
      <c r="L163" s="362"/>
      <c r="M163" s="362"/>
      <c r="N163" s="362">
        <f t="shared" si="5"/>
        <v>0</v>
      </c>
      <c r="O163" s="356"/>
      <c r="P163" s="356"/>
      <c r="Q163" s="356"/>
      <c r="R163" s="356" t="s">
        <v>52</v>
      </c>
      <c r="S163" s="356"/>
      <c r="T163" s="356"/>
      <c r="U163" s="392" t="s">
        <v>595</v>
      </c>
      <c r="V163" s="372">
        <v>7.31</v>
      </c>
      <c r="W163" s="372"/>
      <c r="X163" s="373"/>
      <c r="Y163" s="348"/>
      <c r="Z163" s="348"/>
      <c r="AA163" s="348"/>
    </row>
    <row r="164" s="331" customFormat="1" ht="17" customHeight="1" spans="1:27">
      <c r="A164" s="348"/>
      <c r="B164" s="348" t="s">
        <v>130</v>
      </c>
      <c r="C164" s="348" t="s">
        <v>131</v>
      </c>
      <c r="D164" s="352" t="s">
        <v>182</v>
      </c>
      <c r="E164" s="336">
        <v>43534</v>
      </c>
      <c r="F164" s="336">
        <v>43534</v>
      </c>
      <c r="G164" s="350"/>
      <c r="H164" s="351" t="s">
        <v>596</v>
      </c>
      <c r="I164" s="356">
        <v>15017508697</v>
      </c>
      <c r="J164" s="361" t="s">
        <v>597</v>
      </c>
      <c r="K164" s="356">
        <v>1000</v>
      </c>
      <c r="L164" s="362"/>
      <c r="M164" s="362"/>
      <c r="N164" s="362">
        <f t="shared" si="5"/>
        <v>0</v>
      </c>
      <c r="O164" s="356"/>
      <c r="P164" s="356"/>
      <c r="Q164" s="356"/>
      <c r="R164" s="356"/>
      <c r="S164" s="356"/>
      <c r="T164" s="356"/>
      <c r="U164" s="372" t="s">
        <v>242</v>
      </c>
      <c r="V164" s="372"/>
      <c r="W164" s="372"/>
      <c r="X164" s="373">
        <v>1</v>
      </c>
      <c r="Y164" s="348"/>
      <c r="Z164" s="348"/>
      <c r="AA164" s="348"/>
    </row>
    <row r="165" s="331" customFormat="1" ht="17" customHeight="1" spans="1:27">
      <c r="A165" s="550" t="s">
        <v>598</v>
      </c>
      <c r="B165" s="348" t="s">
        <v>147</v>
      </c>
      <c r="C165" s="348" t="s">
        <v>599</v>
      </c>
      <c r="D165" s="352" t="s">
        <v>149</v>
      </c>
      <c r="E165" s="336">
        <v>43534</v>
      </c>
      <c r="F165" s="336">
        <v>43534</v>
      </c>
      <c r="G165" s="350"/>
      <c r="H165" s="351" t="s">
        <v>600</v>
      </c>
      <c r="I165" s="356">
        <v>13585833472</v>
      </c>
      <c r="J165" s="361" t="s">
        <v>601</v>
      </c>
      <c r="K165" s="356">
        <v>1000</v>
      </c>
      <c r="L165" s="362"/>
      <c r="M165" s="362"/>
      <c r="N165" s="362">
        <f t="shared" si="5"/>
        <v>0</v>
      </c>
      <c r="O165" s="356"/>
      <c r="P165" s="356"/>
      <c r="Q165" s="356"/>
      <c r="R165" s="356"/>
      <c r="S165" s="356"/>
      <c r="T165" s="356"/>
      <c r="U165" s="372" t="s">
        <v>63</v>
      </c>
      <c r="V165" s="372"/>
      <c r="W165" s="372"/>
      <c r="X165" s="373"/>
      <c r="Y165" s="348" t="s">
        <v>602</v>
      </c>
      <c r="Z165" s="348"/>
      <c r="AA165" s="348"/>
    </row>
    <row r="166" s="331" customFormat="1" ht="17" customHeight="1" spans="1:27">
      <c r="A166" s="348">
        <v>2068328</v>
      </c>
      <c r="B166" s="348" t="s">
        <v>153</v>
      </c>
      <c r="C166" s="334" t="s">
        <v>154</v>
      </c>
      <c r="D166" s="349" t="s">
        <v>155</v>
      </c>
      <c r="E166" s="336">
        <v>43536</v>
      </c>
      <c r="F166" s="336">
        <v>43534</v>
      </c>
      <c r="G166" s="350"/>
      <c r="H166" s="351" t="s">
        <v>603</v>
      </c>
      <c r="I166" s="356">
        <v>13817212696</v>
      </c>
      <c r="J166" s="361"/>
      <c r="K166" s="356">
        <v>1000</v>
      </c>
      <c r="L166" s="362"/>
      <c r="M166" s="362"/>
      <c r="N166" s="362">
        <f t="shared" si="5"/>
        <v>0</v>
      </c>
      <c r="O166" s="356"/>
      <c r="P166" s="356"/>
      <c r="Q166" s="356"/>
      <c r="R166" s="356"/>
      <c r="S166" s="356"/>
      <c r="T166" s="356"/>
      <c r="U166" s="372" t="s">
        <v>12</v>
      </c>
      <c r="V166" s="372"/>
      <c r="W166" s="372"/>
      <c r="X166" s="373"/>
      <c r="Y166" s="348"/>
      <c r="Z166" s="348"/>
      <c r="AA166" s="348"/>
    </row>
    <row r="167" s="331" customFormat="1" ht="17" customHeight="1" spans="1:27">
      <c r="A167" s="348">
        <v>2026570</v>
      </c>
      <c r="B167" s="348" t="s">
        <v>160</v>
      </c>
      <c r="C167" s="348" t="s">
        <v>161</v>
      </c>
      <c r="D167" s="349" t="s">
        <v>162</v>
      </c>
      <c r="E167" s="336">
        <v>43534</v>
      </c>
      <c r="F167" s="336">
        <v>43534</v>
      </c>
      <c r="G167" s="350"/>
      <c r="H167" s="334" t="s">
        <v>604</v>
      </c>
      <c r="I167" s="356">
        <v>13816899747</v>
      </c>
      <c r="J167" s="361" t="s">
        <v>605</v>
      </c>
      <c r="K167" s="356">
        <v>1000</v>
      </c>
      <c r="L167" s="362"/>
      <c r="M167" s="362"/>
      <c r="N167" s="362">
        <f t="shared" si="5"/>
        <v>0</v>
      </c>
      <c r="O167" s="356"/>
      <c r="P167" s="356"/>
      <c r="Q167" s="356"/>
      <c r="R167" s="356"/>
      <c r="S167" s="356"/>
      <c r="T167" s="356"/>
      <c r="U167" s="372" t="s">
        <v>242</v>
      </c>
      <c r="V167" s="372"/>
      <c r="W167" s="372"/>
      <c r="X167" s="373"/>
      <c r="Y167" s="348"/>
      <c r="Z167" s="348"/>
      <c r="AA167" s="348"/>
    </row>
    <row r="168" s="331" customFormat="1" ht="17" customHeight="1" spans="1:27">
      <c r="A168" s="348">
        <v>2023480</v>
      </c>
      <c r="B168" s="348" t="s">
        <v>73</v>
      </c>
      <c r="C168" s="348" t="s">
        <v>498</v>
      </c>
      <c r="D168" s="349" t="s">
        <v>75</v>
      </c>
      <c r="E168" s="336">
        <v>43535</v>
      </c>
      <c r="F168" s="336">
        <v>43534</v>
      </c>
      <c r="G168" s="350"/>
      <c r="H168" s="351" t="s">
        <v>606</v>
      </c>
      <c r="I168" s="356">
        <v>15800602916</v>
      </c>
      <c r="J168" s="361" t="s">
        <v>607</v>
      </c>
      <c r="K168" s="356">
        <v>1000</v>
      </c>
      <c r="L168" s="362"/>
      <c r="M168" s="362"/>
      <c r="N168" s="362">
        <f t="shared" si="5"/>
        <v>0</v>
      </c>
      <c r="O168" s="356"/>
      <c r="P168" s="356"/>
      <c r="Q168" s="366"/>
      <c r="R168" s="366" t="s">
        <v>52</v>
      </c>
      <c r="S168" s="356"/>
      <c r="T168" s="356"/>
      <c r="U168" s="372" t="s">
        <v>78</v>
      </c>
      <c r="V168" s="372"/>
      <c r="W168" s="372"/>
      <c r="X168" s="373"/>
      <c r="Y168" s="348"/>
      <c r="Z168" s="348" t="s">
        <v>79</v>
      </c>
      <c r="AA168" s="348"/>
    </row>
    <row r="169" s="331" customFormat="1" ht="17" customHeight="1" spans="1:27">
      <c r="A169" s="348"/>
      <c r="B169" s="348" t="s">
        <v>130</v>
      </c>
      <c r="C169" s="348" t="s">
        <v>131</v>
      </c>
      <c r="D169" s="352" t="s">
        <v>132</v>
      </c>
      <c r="E169" s="336">
        <v>43535</v>
      </c>
      <c r="F169" s="336">
        <v>43534</v>
      </c>
      <c r="G169" s="350"/>
      <c r="H169" s="334" t="s">
        <v>608</v>
      </c>
      <c r="I169" s="356">
        <v>18147351598</v>
      </c>
      <c r="J169" s="361" t="s">
        <v>609</v>
      </c>
      <c r="K169" s="356">
        <v>1000</v>
      </c>
      <c r="L169" s="362"/>
      <c r="M169" s="362"/>
      <c r="N169" s="362">
        <f t="shared" si="5"/>
        <v>0</v>
      </c>
      <c r="O169" s="356"/>
      <c r="P169" s="356"/>
      <c r="Q169" s="356"/>
      <c r="R169" s="356"/>
      <c r="S169" s="356"/>
      <c r="T169" s="356"/>
      <c r="U169" s="372" t="s">
        <v>136</v>
      </c>
      <c r="V169" s="372"/>
      <c r="W169" s="372"/>
      <c r="X169" s="373"/>
      <c r="Y169" s="348" t="s">
        <v>610</v>
      </c>
      <c r="Z169" s="348"/>
      <c r="AA169" s="348"/>
    </row>
    <row r="170" s="331" customFormat="1" ht="17" customHeight="1" spans="1:27">
      <c r="A170" s="348">
        <v>2022531</v>
      </c>
      <c r="B170" s="348" t="s">
        <v>58</v>
      </c>
      <c r="C170" s="348" t="s">
        <v>342</v>
      </c>
      <c r="D170" s="352" t="s">
        <v>271</v>
      </c>
      <c r="E170" s="336">
        <v>43535</v>
      </c>
      <c r="F170" s="336">
        <v>43534</v>
      </c>
      <c r="G170" s="350"/>
      <c r="H170" s="334" t="s">
        <v>611</v>
      </c>
      <c r="I170" s="356">
        <v>13661612602</v>
      </c>
      <c r="J170" s="361" t="s">
        <v>612</v>
      </c>
      <c r="K170" s="356">
        <v>1000</v>
      </c>
      <c r="L170" s="362"/>
      <c r="M170" s="362"/>
      <c r="N170" s="362">
        <f t="shared" si="5"/>
        <v>0</v>
      </c>
      <c r="O170" s="356"/>
      <c r="P170" s="356"/>
      <c r="Q170" s="356"/>
      <c r="R170" s="356"/>
      <c r="S170" s="356"/>
      <c r="T170" s="356"/>
      <c r="U170" s="372">
        <v>43638</v>
      </c>
      <c r="V170" s="372"/>
      <c r="W170" s="372"/>
      <c r="X170" s="373"/>
      <c r="Y170" s="348" t="s">
        <v>610</v>
      </c>
      <c r="Z170" s="348"/>
      <c r="AA170" s="348"/>
    </row>
    <row r="171" s="331" customFormat="1" ht="17" customHeight="1" spans="1:27">
      <c r="A171" s="348"/>
      <c r="B171" s="348" t="s">
        <v>160</v>
      </c>
      <c r="C171" s="348" t="s">
        <v>258</v>
      </c>
      <c r="D171" s="352" t="s">
        <v>132</v>
      </c>
      <c r="E171" s="336">
        <v>43535</v>
      </c>
      <c r="F171" s="336">
        <v>43535</v>
      </c>
      <c r="G171" s="350" t="s">
        <v>69</v>
      </c>
      <c r="H171" s="334" t="s">
        <v>613</v>
      </c>
      <c r="I171" s="356">
        <v>13917627240</v>
      </c>
      <c r="J171" s="361" t="s">
        <v>614</v>
      </c>
      <c r="K171" s="356">
        <v>1000</v>
      </c>
      <c r="L171" s="362"/>
      <c r="M171" s="362"/>
      <c r="N171" s="362">
        <f t="shared" si="5"/>
        <v>0</v>
      </c>
      <c r="O171" s="356"/>
      <c r="P171" s="356"/>
      <c r="Q171" s="356"/>
      <c r="R171" s="356"/>
      <c r="S171" s="356"/>
      <c r="T171" s="356"/>
      <c r="U171" s="372"/>
      <c r="V171" s="372"/>
      <c r="W171" s="372"/>
      <c r="X171" s="373"/>
      <c r="Y171" s="348"/>
      <c r="Z171" s="348">
        <v>1000</v>
      </c>
      <c r="AA171" s="348"/>
    </row>
    <row r="172" s="331" customFormat="1" ht="17" customHeight="1" spans="1:27">
      <c r="A172" s="348">
        <v>202393</v>
      </c>
      <c r="B172" s="348" t="s">
        <v>335</v>
      </c>
      <c r="C172" s="348" t="s">
        <v>615</v>
      </c>
      <c r="D172" s="349" t="s">
        <v>337</v>
      </c>
      <c r="E172" s="336">
        <v>43537</v>
      </c>
      <c r="F172" s="336">
        <v>43537</v>
      </c>
      <c r="G172" s="350"/>
      <c r="H172" s="351" t="s">
        <v>616</v>
      </c>
      <c r="I172" s="356">
        <v>17701823300</v>
      </c>
      <c r="J172" s="361" t="s">
        <v>617</v>
      </c>
      <c r="K172" s="356">
        <v>3000</v>
      </c>
      <c r="L172" s="362"/>
      <c r="M172" s="362"/>
      <c r="N172" s="362">
        <f t="shared" si="5"/>
        <v>0</v>
      </c>
      <c r="O172" s="356"/>
      <c r="P172" s="356"/>
      <c r="Q172" s="356"/>
      <c r="R172" s="356"/>
      <c r="S172" s="356"/>
      <c r="T172" s="356"/>
      <c r="U172" s="356" t="s">
        <v>40</v>
      </c>
      <c r="V172" s="372"/>
      <c r="W172" s="372"/>
      <c r="X172" s="373"/>
      <c r="Y172" s="348"/>
      <c r="Z172" s="348"/>
      <c r="AA172" s="348"/>
    </row>
    <row r="173" s="331" customFormat="1" ht="17" customHeight="1" spans="1:27">
      <c r="A173" s="550" t="s">
        <v>618</v>
      </c>
      <c r="B173" s="348" t="s">
        <v>153</v>
      </c>
      <c r="C173" s="334" t="s">
        <v>154</v>
      </c>
      <c r="D173" s="349" t="s">
        <v>155</v>
      </c>
      <c r="E173" s="336">
        <v>43537</v>
      </c>
      <c r="F173" s="336">
        <v>43537</v>
      </c>
      <c r="G173" s="350" t="s">
        <v>69</v>
      </c>
      <c r="H173" s="351" t="s">
        <v>619</v>
      </c>
      <c r="I173" s="356">
        <v>13321867277</v>
      </c>
      <c r="J173" s="361" t="s">
        <v>620</v>
      </c>
      <c r="K173" s="356">
        <v>1000</v>
      </c>
      <c r="L173" s="362"/>
      <c r="M173" s="362"/>
      <c r="N173" s="362">
        <f t="shared" si="5"/>
        <v>0</v>
      </c>
      <c r="O173" s="356"/>
      <c r="P173" s="356"/>
      <c r="Q173" s="356"/>
      <c r="R173" s="356"/>
      <c r="S173" s="356"/>
      <c r="T173" s="356"/>
      <c r="U173" s="372"/>
      <c r="V173" s="372"/>
      <c r="W173" s="372"/>
      <c r="X173" s="373"/>
      <c r="Y173" s="348" t="s">
        <v>621</v>
      </c>
      <c r="Z173" s="348"/>
      <c r="AA173" s="348"/>
    </row>
    <row r="174" s="331" customFormat="1" ht="15" customHeight="1" spans="1:27">
      <c r="A174" s="348">
        <v>2022532</v>
      </c>
      <c r="B174" s="348" t="s">
        <v>58</v>
      </c>
      <c r="C174" s="348" t="s">
        <v>451</v>
      </c>
      <c r="D174" s="352" t="s">
        <v>271</v>
      </c>
      <c r="E174" s="336">
        <v>43537</v>
      </c>
      <c r="F174" s="336">
        <v>43537</v>
      </c>
      <c r="G174" s="350"/>
      <c r="H174" s="351" t="s">
        <v>622</v>
      </c>
      <c r="I174" s="356">
        <v>19821941270</v>
      </c>
      <c r="J174" s="361" t="s">
        <v>623</v>
      </c>
      <c r="K174" s="356">
        <v>1000</v>
      </c>
      <c r="L174" s="362"/>
      <c r="M174" s="362"/>
      <c r="N174" s="362">
        <f t="shared" si="5"/>
        <v>0</v>
      </c>
      <c r="O174" s="356"/>
      <c r="P174" s="356"/>
      <c r="Q174" s="356"/>
      <c r="R174" s="356"/>
      <c r="S174" s="356"/>
      <c r="T174" s="356"/>
      <c r="U174" s="386">
        <v>43683</v>
      </c>
      <c r="V174" s="372"/>
      <c r="W174" s="372"/>
      <c r="X174" s="373"/>
      <c r="Y174" s="348" t="s">
        <v>610</v>
      </c>
      <c r="Z174" s="348"/>
      <c r="AA174" s="348"/>
    </row>
    <row r="175" s="331" customFormat="1" ht="17" customHeight="1" spans="1:27">
      <c r="A175" s="550" t="s">
        <v>624</v>
      </c>
      <c r="B175" s="348" t="s">
        <v>47</v>
      </c>
      <c r="C175" s="348" t="s">
        <v>53</v>
      </c>
      <c r="D175" s="352" t="s">
        <v>49</v>
      </c>
      <c r="E175" s="336">
        <v>43538</v>
      </c>
      <c r="F175" s="336">
        <v>43538</v>
      </c>
      <c r="G175" s="336">
        <v>43677</v>
      </c>
      <c r="H175" s="351" t="s">
        <v>625</v>
      </c>
      <c r="I175" s="356">
        <v>13524068408</v>
      </c>
      <c r="J175" s="361" t="s">
        <v>626</v>
      </c>
      <c r="K175" s="356">
        <v>2000</v>
      </c>
      <c r="L175" s="334">
        <v>51500</v>
      </c>
      <c r="M175" s="362"/>
      <c r="N175" s="362">
        <f t="shared" si="5"/>
        <v>51500</v>
      </c>
      <c r="O175" s="356"/>
      <c r="P175" s="356"/>
      <c r="Q175" s="356"/>
      <c r="R175" s="356"/>
      <c r="S175" s="356" t="s">
        <v>52</v>
      </c>
      <c r="T175" s="356"/>
      <c r="U175" s="372"/>
      <c r="V175" s="372"/>
      <c r="W175" s="372"/>
      <c r="X175" s="373"/>
      <c r="Y175" s="348"/>
      <c r="Z175" s="348"/>
      <c r="AA175" s="348"/>
    </row>
    <row r="176" s="331" customFormat="1" ht="17" customHeight="1" spans="1:27">
      <c r="A176" s="550" t="s">
        <v>627</v>
      </c>
      <c r="B176" s="348" t="s">
        <v>47</v>
      </c>
      <c r="C176" s="348" t="s">
        <v>53</v>
      </c>
      <c r="D176" s="352" t="s">
        <v>49</v>
      </c>
      <c r="E176" s="336">
        <v>43539</v>
      </c>
      <c r="F176" s="336">
        <v>43539</v>
      </c>
      <c r="G176" s="350"/>
      <c r="H176" s="334" t="s">
        <v>628</v>
      </c>
      <c r="I176" s="356">
        <v>18516279355</v>
      </c>
      <c r="J176" s="361" t="s">
        <v>629</v>
      </c>
      <c r="K176" s="356">
        <v>1000</v>
      </c>
      <c r="L176" s="362"/>
      <c r="M176" s="362"/>
      <c r="N176" s="362">
        <f t="shared" si="5"/>
        <v>0</v>
      </c>
      <c r="O176" s="356"/>
      <c r="P176" s="356"/>
      <c r="Q176" s="356"/>
      <c r="R176" s="356"/>
      <c r="S176" s="356"/>
      <c r="T176" s="356" t="s">
        <v>52</v>
      </c>
      <c r="U176" s="375" t="s">
        <v>630</v>
      </c>
      <c r="V176" s="375"/>
      <c r="W176" s="372"/>
      <c r="X176" s="373"/>
      <c r="Y176" s="348"/>
      <c r="Z176" s="348"/>
      <c r="AA176" s="348"/>
    </row>
    <row r="177" s="331" customFormat="1" ht="17" customHeight="1" spans="1:27">
      <c r="A177" s="348">
        <v>2022906</v>
      </c>
      <c r="B177" s="348" t="s">
        <v>243</v>
      </c>
      <c r="C177" s="348" t="s">
        <v>304</v>
      </c>
      <c r="D177" s="352" t="s">
        <v>49</v>
      </c>
      <c r="E177" s="336">
        <v>43539</v>
      </c>
      <c r="F177" s="336">
        <v>43539</v>
      </c>
      <c r="G177" s="350"/>
      <c r="H177" s="351" t="s">
        <v>631</v>
      </c>
      <c r="I177" s="356">
        <v>15021866018</v>
      </c>
      <c r="J177" s="361" t="s">
        <v>632</v>
      </c>
      <c r="K177" s="356">
        <v>500</v>
      </c>
      <c r="L177" s="362"/>
      <c r="M177" s="362"/>
      <c r="N177" s="362">
        <f t="shared" si="5"/>
        <v>0</v>
      </c>
      <c r="O177" s="356"/>
      <c r="P177" s="356"/>
      <c r="Q177" s="356"/>
      <c r="R177" s="356"/>
      <c r="S177" s="356"/>
      <c r="T177" s="356"/>
      <c r="U177" s="372" t="s">
        <v>56</v>
      </c>
      <c r="V177" s="372"/>
      <c r="W177" s="372"/>
      <c r="X177" s="373"/>
      <c r="Y177" s="348"/>
      <c r="Z177" s="348"/>
      <c r="AA177" s="348"/>
    </row>
    <row r="178" s="331" customFormat="1" ht="17" customHeight="1" spans="1:27">
      <c r="A178" s="550" t="s">
        <v>633</v>
      </c>
      <c r="B178" s="348" t="s">
        <v>169</v>
      </c>
      <c r="C178" s="348" t="s">
        <v>634</v>
      </c>
      <c r="D178" s="349" t="s">
        <v>635</v>
      </c>
      <c r="E178" s="336">
        <v>43540</v>
      </c>
      <c r="F178" s="336">
        <v>43539</v>
      </c>
      <c r="G178" s="350"/>
      <c r="H178" s="351" t="s">
        <v>636</v>
      </c>
      <c r="I178" s="356">
        <v>18616029884</v>
      </c>
      <c r="J178" s="361" t="s">
        <v>637</v>
      </c>
      <c r="K178" s="356">
        <v>500</v>
      </c>
      <c r="L178" s="362"/>
      <c r="M178" s="362"/>
      <c r="N178" s="362">
        <f t="shared" si="5"/>
        <v>0</v>
      </c>
      <c r="O178" s="356"/>
      <c r="P178" s="356"/>
      <c r="Q178" s="356"/>
      <c r="R178" s="356" t="s">
        <v>22</v>
      </c>
      <c r="S178" s="356"/>
      <c r="T178" s="356"/>
      <c r="U178" s="372" t="s">
        <v>174</v>
      </c>
      <c r="V178" s="372"/>
      <c r="W178" s="372"/>
      <c r="X178" s="373"/>
      <c r="Y178" s="348"/>
      <c r="Z178" s="348"/>
      <c r="AA178" s="348"/>
    </row>
    <row r="179" s="331" customFormat="1" ht="17" customHeight="1" spans="1:27">
      <c r="A179" s="348">
        <v>2023420</v>
      </c>
      <c r="B179" s="348" t="s">
        <v>73</v>
      </c>
      <c r="C179" s="348" t="s">
        <v>178</v>
      </c>
      <c r="D179" s="352" t="s">
        <v>75</v>
      </c>
      <c r="E179" s="336">
        <v>43540</v>
      </c>
      <c r="F179" s="336">
        <v>43540</v>
      </c>
      <c r="G179" s="350"/>
      <c r="H179" s="351" t="s">
        <v>638</v>
      </c>
      <c r="I179" s="356">
        <v>18301906239</v>
      </c>
      <c r="J179" s="361" t="s">
        <v>639</v>
      </c>
      <c r="K179" s="356">
        <v>1000</v>
      </c>
      <c r="L179" s="362"/>
      <c r="M179" s="362"/>
      <c r="N179" s="362">
        <f t="shared" ref="N179:N221" si="6">L179+M179</f>
        <v>0</v>
      </c>
      <c r="O179" s="356"/>
      <c r="P179" s="356"/>
      <c r="Q179" s="366"/>
      <c r="R179" s="366" t="s">
        <v>52</v>
      </c>
      <c r="S179" s="356"/>
      <c r="T179" s="356"/>
      <c r="U179" s="372" t="s">
        <v>78</v>
      </c>
      <c r="V179" s="372"/>
      <c r="W179" s="372"/>
      <c r="X179" s="373"/>
      <c r="Y179" s="348" t="s">
        <v>621</v>
      </c>
      <c r="Z179" s="348" t="s">
        <v>79</v>
      </c>
      <c r="AA179" s="348"/>
    </row>
    <row r="180" s="331" customFormat="1" ht="17" customHeight="1" spans="1:27">
      <c r="A180" s="348">
        <v>2022908</v>
      </c>
      <c r="B180" s="348" t="s">
        <v>243</v>
      </c>
      <c r="C180" s="348" t="s">
        <v>309</v>
      </c>
      <c r="D180" s="352" t="s">
        <v>49</v>
      </c>
      <c r="E180" s="336">
        <v>43692</v>
      </c>
      <c r="F180" s="336">
        <v>43539</v>
      </c>
      <c r="G180" s="336">
        <v>43682</v>
      </c>
      <c r="H180" s="351" t="s">
        <v>640</v>
      </c>
      <c r="I180" s="356">
        <v>13818027804</v>
      </c>
      <c r="J180" s="361" t="s">
        <v>641</v>
      </c>
      <c r="K180" s="356">
        <v>500</v>
      </c>
      <c r="L180" s="334">
        <f>32472-788</f>
        <v>31684</v>
      </c>
      <c r="M180" s="334">
        <v>788</v>
      </c>
      <c r="N180" s="362">
        <f t="shared" si="6"/>
        <v>32472</v>
      </c>
      <c r="O180" s="356"/>
      <c r="P180" s="356"/>
      <c r="Q180" s="356"/>
      <c r="R180" s="356" t="s">
        <v>52</v>
      </c>
      <c r="S180" s="356"/>
      <c r="T180" s="356"/>
      <c r="U180" s="372"/>
      <c r="V180" s="372"/>
      <c r="W180" s="372"/>
      <c r="X180" s="373"/>
      <c r="Y180" s="348"/>
      <c r="Z180" s="348"/>
      <c r="AA180" s="348"/>
    </row>
    <row r="181" s="331" customFormat="1" ht="17" customHeight="1" spans="1:27">
      <c r="A181" s="348">
        <v>2025098</v>
      </c>
      <c r="B181" s="348" t="s">
        <v>354</v>
      </c>
      <c r="C181" s="348" t="s">
        <v>355</v>
      </c>
      <c r="D181" s="349" t="s">
        <v>149</v>
      </c>
      <c r="E181" s="336">
        <v>43540</v>
      </c>
      <c r="F181" s="336">
        <v>43540</v>
      </c>
      <c r="G181" s="350"/>
      <c r="H181" s="351" t="s">
        <v>642</v>
      </c>
      <c r="I181" s="356">
        <v>18502152303</v>
      </c>
      <c r="J181" s="361" t="s">
        <v>643</v>
      </c>
      <c r="K181" s="356">
        <v>1000</v>
      </c>
      <c r="L181" s="362"/>
      <c r="M181" s="362"/>
      <c r="N181" s="362">
        <f t="shared" si="6"/>
        <v>0</v>
      </c>
      <c r="O181" s="356" t="s">
        <v>52</v>
      </c>
      <c r="P181" s="356"/>
      <c r="Q181" s="356"/>
      <c r="R181" s="356"/>
      <c r="S181" s="356"/>
      <c r="T181" s="356"/>
      <c r="U181" s="372"/>
      <c r="V181" s="372"/>
      <c r="W181" s="372"/>
      <c r="X181" s="373"/>
      <c r="Y181" s="348"/>
      <c r="Z181" s="348"/>
      <c r="AA181" s="348"/>
    </row>
    <row r="182" s="331" customFormat="1" ht="17" customHeight="1" spans="1:27">
      <c r="A182" s="348">
        <v>2066172</v>
      </c>
      <c r="B182" s="348" t="s">
        <v>87</v>
      </c>
      <c r="C182" s="348" t="s">
        <v>88</v>
      </c>
      <c r="D182" s="349" t="s">
        <v>89</v>
      </c>
      <c r="E182" s="336">
        <v>43541</v>
      </c>
      <c r="F182" s="336">
        <v>43540</v>
      </c>
      <c r="G182" s="350"/>
      <c r="H182" s="351" t="s">
        <v>644</v>
      </c>
      <c r="I182" s="356">
        <v>17660747955</v>
      </c>
      <c r="J182" s="361" t="s">
        <v>645</v>
      </c>
      <c r="K182" s="356">
        <v>1000</v>
      </c>
      <c r="L182" s="362"/>
      <c r="M182" s="362"/>
      <c r="N182" s="362">
        <f t="shared" si="6"/>
        <v>0</v>
      </c>
      <c r="O182" s="356"/>
      <c r="P182" s="356"/>
      <c r="Q182" s="356"/>
      <c r="R182" s="356"/>
      <c r="S182" s="356"/>
      <c r="T182" s="356"/>
      <c r="U182" s="393" t="s">
        <v>40</v>
      </c>
      <c r="V182" s="372"/>
      <c r="W182" s="372" t="s">
        <v>646</v>
      </c>
      <c r="X182" s="373"/>
      <c r="Y182" s="348" t="s">
        <v>621</v>
      </c>
      <c r="Z182" s="348"/>
      <c r="AA182" s="348"/>
    </row>
    <row r="183" s="331" customFormat="1" ht="17" customHeight="1" spans="1:27">
      <c r="A183" s="550" t="s">
        <v>647</v>
      </c>
      <c r="B183" s="348" t="s">
        <v>147</v>
      </c>
      <c r="C183" s="348" t="s">
        <v>148</v>
      </c>
      <c r="D183" s="349" t="s">
        <v>89</v>
      </c>
      <c r="E183" s="336">
        <v>43541</v>
      </c>
      <c r="F183" s="336">
        <v>43540</v>
      </c>
      <c r="G183" s="336">
        <v>43649</v>
      </c>
      <c r="H183" s="351" t="s">
        <v>648</v>
      </c>
      <c r="I183" s="356">
        <v>13761750077</v>
      </c>
      <c r="J183" s="361" t="s">
        <v>649</v>
      </c>
      <c r="K183" s="356">
        <v>500</v>
      </c>
      <c r="L183" s="334">
        <v>21000</v>
      </c>
      <c r="M183" s="362"/>
      <c r="N183" s="362">
        <f t="shared" si="6"/>
        <v>21000</v>
      </c>
      <c r="O183" s="356"/>
      <c r="P183" s="356"/>
      <c r="Q183" s="356"/>
      <c r="R183" s="356"/>
      <c r="S183" s="356"/>
      <c r="T183" s="356"/>
      <c r="U183" s="372"/>
      <c r="V183" s="372"/>
      <c r="W183" s="372"/>
      <c r="X183" s="373"/>
      <c r="Y183" s="348"/>
      <c r="Z183" s="348"/>
      <c r="AA183" s="348"/>
    </row>
    <row r="184" s="332" customFormat="1" ht="15" customHeight="1" spans="1:27">
      <c r="A184" s="348">
        <v>2068646</v>
      </c>
      <c r="B184" s="348" t="s">
        <v>405</v>
      </c>
      <c r="C184" s="348" t="s">
        <v>43</v>
      </c>
      <c r="D184" s="349" t="s">
        <v>407</v>
      </c>
      <c r="E184" s="336">
        <v>43541</v>
      </c>
      <c r="F184" s="336">
        <v>43540</v>
      </c>
      <c r="G184" s="350"/>
      <c r="H184" s="351" t="s">
        <v>650</v>
      </c>
      <c r="I184" s="356">
        <v>13301606915</v>
      </c>
      <c r="J184" s="361" t="s">
        <v>651</v>
      </c>
      <c r="K184" s="356">
        <v>1000</v>
      </c>
      <c r="L184" s="362"/>
      <c r="M184" s="362"/>
      <c r="N184" s="362">
        <f t="shared" si="6"/>
        <v>0</v>
      </c>
      <c r="O184" s="356" t="s">
        <v>52</v>
      </c>
      <c r="P184" s="356"/>
      <c r="Q184" s="356"/>
      <c r="R184" s="356"/>
      <c r="S184" s="356"/>
      <c r="T184" s="356"/>
      <c r="U184" s="372"/>
      <c r="V184" s="372"/>
      <c r="W184" s="372"/>
      <c r="X184" s="373"/>
      <c r="Y184" s="348" t="s">
        <v>652</v>
      </c>
      <c r="Z184" s="348"/>
      <c r="AA184" s="348"/>
    </row>
    <row r="185" s="331" customFormat="1" ht="17" customHeight="1" spans="1:27">
      <c r="A185" s="348">
        <v>2068645</v>
      </c>
      <c r="B185" s="348" t="s">
        <v>405</v>
      </c>
      <c r="C185" s="348" t="s">
        <v>43</v>
      </c>
      <c r="D185" s="349" t="s">
        <v>407</v>
      </c>
      <c r="E185" s="336">
        <v>43541</v>
      </c>
      <c r="F185" s="336">
        <v>43540</v>
      </c>
      <c r="G185" s="350"/>
      <c r="H185" s="351" t="s">
        <v>653</v>
      </c>
      <c r="I185" s="356">
        <v>13761892606</v>
      </c>
      <c r="J185" s="361" t="s">
        <v>654</v>
      </c>
      <c r="K185" s="356">
        <v>1000</v>
      </c>
      <c r="L185" s="362"/>
      <c r="M185" s="362"/>
      <c r="N185" s="362">
        <f t="shared" si="6"/>
        <v>0</v>
      </c>
      <c r="O185" s="356"/>
      <c r="P185" s="356"/>
      <c r="Q185" s="356"/>
      <c r="R185" s="356"/>
      <c r="S185" s="356"/>
      <c r="T185" s="356"/>
      <c r="U185" s="372" t="s">
        <v>40</v>
      </c>
      <c r="V185" s="372"/>
      <c r="W185" s="372"/>
      <c r="X185" s="373"/>
      <c r="Y185" s="348" t="s">
        <v>652</v>
      </c>
      <c r="Z185" s="348"/>
      <c r="AA185" s="348"/>
    </row>
    <row r="186" s="331" customFormat="1" ht="17" customHeight="1" spans="1:28">
      <c r="A186" s="550" t="s">
        <v>655</v>
      </c>
      <c r="B186" s="348" t="s">
        <v>123</v>
      </c>
      <c r="C186" s="348" t="s">
        <v>124</v>
      </c>
      <c r="D186" s="349" t="s">
        <v>125</v>
      </c>
      <c r="E186" s="336">
        <v>43541</v>
      </c>
      <c r="F186" s="336">
        <v>43541</v>
      </c>
      <c r="G186" s="350"/>
      <c r="H186" s="351" t="s">
        <v>656</v>
      </c>
      <c r="I186" s="356">
        <v>13061761471</v>
      </c>
      <c r="J186" s="361" t="s">
        <v>657</v>
      </c>
      <c r="K186" s="356">
        <v>500</v>
      </c>
      <c r="L186" s="362"/>
      <c r="M186" s="362"/>
      <c r="N186" s="362">
        <f t="shared" si="6"/>
        <v>0</v>
      </c>
      <c r="O186" s="356"/>
      <c r="P186" s="356"/>
      <c r="Q186" s="356"/>
      <c r="R186" s="356"/>
      <c r="S186" s="356"/>
      <c r="T186" s="356"/>
      <c r="U186" s="372" t="s">
        <v>40</v>
      </c>
      <c r="V186" s="372"/>
      <c r="W186" s="372"/>
      <c r="X186" s="373"/>
      <c r="Y186" s="348" t="s">
        <v>658</v>
      </c>
      <c r="Z186" s="348"/>
      <c r="AA186" s="348"/>
      <c r="AB186" s="331" t="s">
        <v>659</v>
      </c>
    </row>
    <row r="187" s="331" customFormat="1" ht="17" customHeight="1" spans="1:27">
      <c r="A187" s="348">
        <v>2023487</v>
      </c>
      <c r="B187" s="348" t="s">
        <v>73</v>
      </c>
      <c r="C187" s="348" t="s">
        <v>74</v>
      </c>
      <c r="D187" s="352" t="s">
        <v>143</v>
      </c>
      <c r="E187" s="336">
        <v>43541</v>
      </c>
      <c r="F187" s="336">
        <v>43541</v>
      </c>
      <c r="G187" s="350">
        <v>43576</v>
      </c>
      <c r="H187" s="351" t="s">
        <v>660</v>
      </c>
      <c r="I187" s="356">
        <v>13917201772</v>
      </c>
      <c r="J187" s="361" t="s">
        <v>661</v>
      </c>
      <c r="K187" s="356">
        <v>1000</v>
      </c>
      <c r="L187" s="362"/>
      <c r="M187" s="362"/>
      <c r="N187" s="362">
        <f t="shared" si="6"/>
        <v>0</v>
      </c>
      <c r="O187" s="356"/>
      <c r="P187" s="356"/>
      <c r="Q187" s="356"/>
      <c r="R187" s="356"/>
      <c r="S187" s="356"/>
      <c r="T187" s="356"/>
      <c r="U187" s="372"/>
      <c r="V187" s="372"/>
      <c r="W187" s="372"/>
      <c r="X187" s="373"/>
      <c r="Y187" s="348"/>
      <c r="Z187" s="348" t="s">
        <v>79</v>
      </c>
      <c r="AA187" s="348"/>
    </row>
    <row r="188" s="331" customFormat="1" ht="17" customHeight="1" spans="1:27">
      <c r="A188" s="348">
        <v>2025532</v>
      </c>
      <c r="B188" s="348" t="s">
        <v>335</v>
      </c>
      <c r="C188" s="348" t="s">
        <v>615</v>
      </c>
      <c r="D188" s="349" t="s">
        <v>337</v>
      </c>
      <c r="E188" s="336">
        <v>43688</v>
      </c>
      <c r="F188" s="336">
        <v>43608</v>
      </c>
      <c r="G188" s="336">
        <v>43686</v>
      </c>
      <c r="H188" s="334" t="s">
        <v>662</v>
      </c>
      <c r="I188" s="356">
        <v>13585884850</v>
      </c>
      <c r="J188" s="361" t="s">
        <v>663</v>
      </c>
      <c r="K188" s="356">
        <v>500</v>
      </c>
      <c r="L188" s="334">
        <v>26703</v>
      </c>
      <c r="M188" s="334">
        <v>1520</v>
      </c>
      <c r="N188" s="362">
        <f t="shared" si="6"/>
        <v>28223</v>
      </c>
      <c r="O188" s="356"/>
      <c r="P188" s="356"/>
      <c r="Q188" s="356"/>
      <c r="R188" s="356" t="s">
        <v>22</v>
      </c>
      <c r="S188" s="356"/>
      <c r="T188" s="356"/>
      <c r="U188" s="372"/>
      <c r="V188" s="372" t="s">
        <v>664</v>
      </c>
      <c r="W188" s="372"/>
      <c r="X188" s="373"/>
      <c r="Y188" s="348" t="s">
        <v>549</v>
      </c>
      <c r="Z188" s="348"/>
      <c r="AA188" s="348"/>
    </row>
    <row r="189" s="331" customFormat="1" ht="17" customHeight="1" spans="1:27">
      <c r="A189" s="550" t="s">
        <v>665</v>
      </c>
      <c r="B189" s="348" t="s">
        <v>281</v>
      </c>
      <c r="C189" s="348" t="s">
        <v>517</v>
      </c>
      <c r="D189" s="352" t="s">
        <v>49</v>
      </c>
      <c r="E189" s="336">
        <v>43591</v>
      </c>
      <c r="F189" s="336">
        <v>43588</v>
      </c>
      <c r="G189" s="350" t="s">
        <v>69</v>
      </c>
      <c r="H189" s="334" t="s">
        <v>666</v>
      </c>
      <c r="I189" s="356">
        <v>13601650201</v>
      </c>
      <c r="J189" s="361" t="s">
        <v>667</v>
      </c>
      <c r="K189" s="356">
        <f>1000+3000</f>
        <v>4000</v>
      </c>
      <c r="L189" s="362"/>
      <c r="M189" s="362"/>
      <c r="N189" s="362">
        <f t="shared" si="6"/>
        <v>0</v>
      </c>
      <c r="O189" s="356"/>
      <c r="P189" s="356"/>
      <c r="Q189" s="356"/>
      <c r="R189" s="356"/>
      <c r="S189" s="356"/>
      <c r="T189" s="356"/>
      <c r="U189" s="372"/>
      <c r="V189" s="372"/>
      <c r="W189" s="372"/>
      <c r="X189" s="373"/>
      <c r="Y189" s="348"/>
      <c r="Z189" s="348"/>
      <c r="AA189" s="348"/>
    </row>
    <row r="190" s="331" customFormat="1" ht="17" customHeight="1" spans="1:27">
      <c r="A190" s="550" t="s">
        <v>668</v>
      </c>
      <c r="B190" s="348" t="s">
        <v>153</v>
      </c>
      <c r="C190" s="348" t="s">
        <v>302</v>
      </c>
      <c r="D190" s="349" t="s">
        <v>155</v>
      </c>
      <c r="E190" s="336">
        <v>43541</v>
      </c>
      <c r="F190" s="336">
        <v>43541</v>
      </c>
      <c r="G190" s="350"/>
      <c r="H190" s="334" t="s">
        <v>669</v>
      </c>
      <c r="I190" s="356">
        <v>13884460394</v>
      </c>
      <c r="J190" s="361" t="s">
        <v>670</v>
      </c>
      <c r="K190" s="356">
        <v>3000</v>
      </c>
      <c r="L190" s="362"/>
      <c r="M190" s="362"/>
      <c r="N190" s="362">
        <f t="shared" si="6"/>
        <v>0</v>
      </c>
      <c r="O190" s="356"/>
      <c r="P190" s="356"/>
      <c r="Q190" s="356"/>
      <c r="R190" s="356"/>
      <c r="S190" s="356"/>
      <c r="T190" s="356"/>
      <c r="U190" s="375" t="s">
        <v>12</v>
      </c>
      <c r="V190" s="372"/>
      <c r="W190" s="372"/>
      <c r="X190" s="373"/>
      <c r="Y190" s="348" t="s">
        <v>671</v>
      </c>
      <c r="Z190" s="348"/>
      <c r="AA190" s="348"/>
    </row>
    <row r="191" s="331" customFormat="1" ht="17" customHeight="1" spans="1:27">
      <c r="A191" s="550" t="s">
        <v>672</v>
      </c>
      <c r="B191" s="348" t="s">
        <v>87</v>
      </c>
      <c r="C191" s="348" t="s">
        <v>466</v>
      </c>
      <c r="D191" s="349" t="s">
        <v>89</v>
      </c>
      <c r="E191" s="336">
        <v>43730</v>
      </c>
      <c r="F191" s="336">
        <v>43541</v>
      </c>
      <c r="G191" s="336">
        <v>43730</v>
      </c>
      <c r="H191" s="334" t="s">
        <v>673</v>
      </c>
      <c r="I191" s="356">
        <v>18616829137</v>
      </c>
      <c r="J191" s="361" t="s">
        <v>674</v>
      </c>
      <c r="K191" s="356">
        <v>3000</v>
      </c>
      <c r="L191" s="334">
        <v>18433</v>
      </c>
      <c r="M191" s="362"/>
      <c r="N191" s="362">
        <f t="shared" si="6"/>
        <v>18433</v>
      </c>
      <c r="O191" s="356" t="s">
        <v>52</v>
      </c>
      <c r="P191" s="356"/>
      <c r="Q191" s="356"/>
      <c r="R191" s="356"/>
      <c r="S191" s="356"/>
      <c r="T191" s="356"/>
      <c r="U191" s="372" t="s">
        <v>12</v>
      </c>
      <c r="V191" s="372"/>
      <c r="W191" s="372"/>
      <c r="X191" s="373"/>
      <c r="Y191" s="348" t="s">
        <v>621</v>
      </c>
      <c r="Z191" s="348"/>
      <c r="AA191" s="348"/>
    </row>
    <row r="192" s="331" customFormat="1" ht="17" customHeight="1" spans="1:27">
      <c r="A192" s="550" t="s">
        <v>675</v>
      </c>
      <c r="B192" s="348" t="s">
        <v>31</v>
      </c>
      <c r="C192" s="348" t="s">
        <v>220</v>
      </c>
      <c r="D192" s="349" t="s">
        <v>221</v>
      </c>
      <c r="E192" s="336">
        <v>43762</v>
      </c>
      <c r="F192" s="336">
        <v>43631</v>
      </c>
      <c r="G192" s="336">
        <v>43758</v>
      </c>
      <c r="H192" s="334" t="s">
        <v>676</v>
      </c>
      <c r="I192" s="356">
        <v>13601732577</v>
      </c>
      <c r="J192" s="361" t="s">
        <v>677</v>
      </c>
      <c r="K192" s="356">
        <f>1000+5000</f>
        <v>6000</v>
      </c>
      <c r="L192" s="334">
        <v>18558</v>
      </c>
      <c r="M192" s="362"/>
      <c r="N192" s="362">
        <f t="shared" si="6"/>
        <v>18558</v>
      </c>
      <c r="O192" s="356"/>
      <c r="P192" s="356"/>
      <c r="Q192" s="356"/>
      <c r="R192" s="356"/>
      <c r="S192" s="356"/>
      <c r="T192" s="356"/>
      <c r="U192" s="372"/>
      <c r="V192" s="372"/>
      <c r="W192" s="372"/>
      <c r="X192" s="373"/>
      <c r="Y192" s="348"/>
      <c r="Z192" s="348"/>
      <c r="AA192" s="348"/>
    </row>
    <row r="193" s="331" customFormat="1" ht="17" customHeight="1" spans="1:27">
      <c r="A193" s="348">
        <v>2019395</v>
      </c>
      <c r="B193" s="348" t="s">
        <v>281</v>
      </c>
      <c r="C193" s="348" t="s">
        <v>491</v>
      </c>
      <c r="D193" s="352" t="s">
        <v>49</v>
      </c>
      <c r="E193" s="336">
        <v>43542</v>
      </c>
      <c r="F193" s="336">
        <v>43541</v>
      </c>
      <c r="G193" s="350"/>
      <c r="H193" s="334" t="s">
        <v>678</v>
      </c>
      <c r="I193" s="356">
        <v>16621023200</v>
      </c>
      <c r="J193" s="361" t="s">
        <v>679</v>
      </c>
      <c r="K193" s="356">
        <v>500</v>
      </c>
      <c r="L193" s="362"/>
      <c r="M193" s="362"/>
      <c r="N193" s="362">
        <f t="shared" si="6"/>
        <v>0</v>
      </c>
      <c r="O193" s="356"/>
      <c r="P193" s="356"/>
      <c r="Q193" s="356" t="s">
        <v>52</v>
      </c>
      <c r="R193" s="356"/>
      <c r="S193" s="356"/>
      <c r="T193" s="356"/>
      <c r="U193" s="394" t="s">
        <v>12</v>
      </c>
      <c r="V193" s="372"/>
      <c r="W193" s="372"/>
      <c r="X193" s="373"/>
      <c r="Y193" s="348"/>
      <c r="Z193" s="348"/>
      <c r="AA193" s="348"/>
    </row>
    <row r="194" s="331" customFormat="1" ht="17" customHeight="1" spans="1:27">
      <c r="A194" s="348">
        <v>2019396</v>
      </c>
      <c r="B194" s="348" t="s">
        <v>281</v>
      </c>
      <c r="C194" s="348" t="s">
        <v>491</v>
      </c>
      <c r="D194" s="352" t="s">
        <v>49</v>
      </c>
      <c r="E194" s="336">
        <v>43542</v>
      </c>
      <c r="F194" s="336">
        <v>43541</v>
      </c>
      <c r="G194" s="350"/>
      <c r="H194" s="334" t="s">
        <v>680</v>
      </c>
      <c r="I194" s="356">
        <v>15921042143</v>
      </c>
      <c r="J194" s="361" t="s">
        <v>681</v>
      </c>
      <c r="K194" s="356">
        <v>1000</v>
      </c>
      <c r="L194" s="362"/>
      <c r="M194" s="362"/>
      <c r="N194" s="362">
        <f t="shared" si="6"/>
        <v>0</v>
      </c>
      <c r="O194" s="356"/>
      <c r="P194" s="356"/>
      <c r="Q194" s="356"/>
      <c r="R194" s="356"/>
      <c r="S194" s="356"/>
      <c r="T194" s="356"/>
      <c r="U194" s="379">
        <v>4.21</v>
      </c>
      <c r="V194" s="372"/>
      <c r="W194" s="372"/>
      <c r="X194" s="373"/>
      <c r="Y194" s="348"/>
      <c r="Z194" s="348"/>
      <c r="AA194" s="348"/>
    </row>
    <row r="195" s="331" customFormat="1" ht="17" customHeight="1" spans="1:27">
      <c r="A195" s="348">
        <v>2019399</v>
      </c>
      <c r="B195" s="348" t="s">
        <v>281</v>
      </c>
      <c r="C195" s="348" t="s">
        <v>491</v>
      </c>
      <c r="D195" s="352" t="s">
        <v>49</v>
      </c>
      <c r="E195" s="336">
        <v>43542</v>
      </c>
      <c r="F195" s="336">
        <v>43541</v>
      </c>
      <c r="G195" s="350" t="s">
        <v>69</v>
      </c>
      <c r="H195" s="334" t="s">
        <v>682</v>
      </c>
      <c r="I195" s="356">
        <v>17717917416</v>
      </c>
      <c r="J195" s="361" t="s">
        <v>683</v>
      </c>
      <c r="K195" s="356">
        <v>500</v>
      </c>
      <c r="L195" s="362"/>
      <c r="M195" s="362"/>
      <c r="N195" s="362">
        <f t="shared" si="6"/>
        <v>0</v>
      </c>
      <c r="O195" s="356"/>
      <c r="P195" s="356"/>
      <c r="Q195" s="356"/>
      <c r="R195" s="356"/>
      <c r="S195" s="356"/>
      <c r="T195" s="356"/>
      <c r="U195" s="372"/>
      <c r="V195" s="372"/>
      <c r="W195" s="372"/>
      <c r="X195" s="373"/>
      <c r="Y195" s="348"/>
      <c r="Z195" s="348"/>
      <c r="AA195" s="348"/>
    </row>
    <row r="196" s="331" customFormat="1" ht="17" customHeight="1" spans="1:27">
      <c r="A196" s="348">
        <v>2019397</v>
      </c>
      <c r="B196" s="348" t="s">
        <v>281</v>
      </c>
      <c r="C196" s="348" t="s">
        <v>491</v>
      </c>
      <c r="D196" s="352" t="s">
        <v>49</v>
      </c>
      <c r="E196" s="336">
        <v>43542</v>
      </c>
      <c r="F196" s="336">
        <v>43541</v>
      </c>
      <c r="G196" s="350"/>
      <c r="H196" s="334" t="s">
        <v>684</v>
      </c>
      <c r="I196" s="356">
        <v>15002109818</v>
      </c>
      <c r="J196" s="361" t="s">
        <v>685</v>
      </c>
      <c r="K196" s="356">
        <v>1000</v>
      </c>
      <c r="L196" s="362"/>
      <c r="M196" s="362"/>
      <c r="N196" s="362">
        <f t="shared" si="6"/>
        <v>0</v>
      </c>
      <c r="O196" s="356"/>
      <c r="P196" s="356"/>
      <c r="Q196" s="356"/>
      <c r="R196" s="356"/>
      <c r="S196" s="356"/>
      <c r="T196" s="356"/>
      <c r="U196" s="379">
        <v>5.25</v>
      </c>
      <c r="V196" s="372"/>
      <c r="W196" s="372"/>
      <c r="X196" s="373"/>
      <c r="Y196" s="348"/>
      <c r="Z196" s="348"/>
      <c r="AA196" s="348"/>
    </row>
    <row r="197" s="331" customFormat="1" ht="17" customHeight="1" spans="1:27">
      <c r="A197" s="348">
        <v>2023449</v>
      </c>
      <c r="B197" s="348" t="s">
        <v>73</v>
      </c>
      <c r="C197" s="348" t="s">
        <v>74</v>
      </c>
      <c r="D197" s="349" t="s">
        <v>132</v>
      </c>
      <c r="E197" s="336">
        <v>43575</v>
      </c>
      <c r="F197" s="336">
        <v>43575</v>
      </c>
      <c r="G197" s="336">
        <v>43666</v>
      </c>
      <c r="H197" s="334" t="s">
        <v>686</v>
      </c>
      <c r="I197" s="356">
        <v>13601749608</v>
      </c>
      <c r="J197" s="361" t="s">
        <v>687</v>
      </c>
      <c r="K197" s="356">
        <f>1000+1000</f>
        <v>2000</v>
      </c>
      <c r="L197" s="334">
        <v>23761</v>
      </c>
      <c r="M197" s="362"/>
      <c r="N197" s="362">
        <f t="shared" si="6"/>
        <v>23761</v>
      </c>
      <c r="O197" s="356"/>
      <c r="P197" s="356"/>
      <c r="Q197" s="356"/>
      <c r="R197" s="356"/>
      <c r="S197" s="356"/>
      <c r="T197" s="356"/>
      <c r="U197" s="372"/>
      <c r="V197" s="372"/>
      <c r="W197" s="372"/>
      <c r="X197" s="373"/>
      <c r="Y197" s="348"/>
      <c r="Z197" s="348" t="s">
        <v>79</v>
      </c>
      <c r="AA197" s="348"/>
    </row>
    <row r="198" s="331" customFormat="1" ht="17" customHeight="1" spans="1:27">
      <c r="A198" s="348">
        <v>2022702</v>
      </c>
      <c r="B198" s="348" t="s">
        <v>354</v>
      </c>
      <c r="C198" s="348" t="s">
        <v>355</v>
      </c>
      <c r="D198" s="349" t="s">
        <v>149</v>
      </c>
      <c r="E198" s="336">
        <v>43542</v>
      </c>
      <c r="F198" s="336">
        <v>43542</v>
      </c>
      <c r="G198" s="350"/>
      <c r="H198" s="334" t="s">
        <v>688</v>
      </c>
      <c r="I198" s="356">
        <v>13817779277</v>
      </c>
      <c r="J198" s="361" t="s">
        <v>689</v>
      </c>
      <c r="K198" s="356">
        <v>2767</v>
      </c>
      <c r="L198" s="362"/>
      <c r="M198" s="362"/>
      <c r="N198" s="362">
        <f t="shared" si="6"/>
        <v>0</v>
      </c>
      <c r="O198" s="356"/>
      <c r="P198" s="356"/>
      <c r="Q198" s="356"/>
      <c r="R198" s="356"/>
      <c r="S198" s="356"/>
      <c r="T198" s="356"/>
      <c r="U198" s="372"/>
      <c r="V198" s="372"/>
      <c r="W198" s="372"/>
      <c r="X198" s="373"/>
      <c r="Y198" s="348"/>
      <c r="Z198" s="348"/>
      <c r="AA198" s="348"/>
    </row>
    <row r="199" s="331" customFormat="1" ht="17" customHeight="1" spans="1:27">
      <c r="A199" s="550" t="s">
        <v>690</v>
      </c>
      <c r="B199" s="348" t="s">
        <v>123</v>
      </c>
      <c r="C199" s="348" t="s">
        <v>124</v>
      </c>
      <c r="D199" s="349" t="s">
        <v>125</v>
      </c>
      <c r="E199" s="336">
        <v>43542</v>
      </c>
      <c r="F199" s="336">
        <v>43541</v>
      </c>
      <c r="G199" s="350" t="s">
        <v>691</v>
      </c>
      <c r="H199" s="334" t="s">
        <v>692</v>
      </c>
      <c r="I199" s="356">
        <v>13482568880</v>
      </c>
      <c r="J199" s="361" t="s">
        <v>693</v>
      </c>
      <c r="K199" s="356">
        <v>500</v>
      </c>
      <c r="L199" s="362"/>
      <c r="M199" s="362"/>
      <c r="N199" s="362">
        <f t="shared" si="6"/>
        <v>0</v>
      </c>
      <c r="O199" s="356"/>
      <c r="P199" s="356"/>
      <c r="Q199" s="356"/>
      <c r="R199" s="356"/>
      <c r="S199" s="356"/>
      <c r="T199" s="356"/>
      <c r="U199" s="372"/>
      <c r="V199" s="372"/>
      <c r="W199" s="372"/>
      <c r="X199" s="373"/>
      <c r="Y199" s="348"/>
      <c r="Z199" s="348"/>
      <c r="AA199" s="348"/>
    </row>
    <row r="200" s="331" customFormat="1" ht="17" customHeight="1" spans="1:27">
      <c r="A200" s="550" t="s">
        <v>694</v>
      </c>
      <c r="B200" s="348" t="s">
        <v>42</v>
      </c>
      <c r="C200" s="348" t="s">
        <v>195</v>
      </c>
      <c r="D200" s="349" t="s">
        <v>125</v>
      </c>
      <c r="E200" s="336">
        <v>43699</v>
      </c>
      <c r="F200" s="336">
        <v>43542</v>
      </c>
      <c r="G200" s="336">
        <v>43517</v>
      </c>
      <c r="H200" s="334" t="s">
        <v>695</v>
      </c>
      <c r="I200" s="356">
        <v>18616309922</v>
      </c>
      <c r="J200" s="361" t="s">
        <v>696</v>
      </c>
      <c r="K200" s="356">
        <v>500</v>
      </c>
      <c r="L200" s="334">
        <v>6550</v>
      </c>
      <c r="M200" s="362"/>
      <c r="N200" s="362">
        <f t="shared" si="6"/>
        <v>6550</v>
      </c>
      <c r="O200" s="356"/>
      <c r="P200" s="356"/>
      <c r="Q200" s="356"/>
      <c r="R200" s="356"/>
      <c r="S200" s="356"/>
      <c r="T200" s="356"/>
      <c r="U200" s="372"/>
      <c r="V200" s="372"/>
      <c r="W200" s="372"/>
      <c r="X200" s="373">
        <v>1</v>
      </c>
      <c r="Y200" s="348" t="s">
        <v>549</v>
      </c>
      <c r="Z200" s="348"/>
      <c r="AA200" s="348"/>
    </row>
    <row r="201" s="331" customFormat="1" ht="17" customHeight="1" spans="1:27">
      <c r="A201" s="348"/>
      <c r="B201" s="348" t="s">
        <v>58</v>
      </c>
      <c r="C201" s="348" t="s">
        <v>342</v>
      </c>
      <c r="D201" s="352" t="s">
        <v>271</v>
      </c>
      <c r="E201" s="336">
        <v>43542</v>
      </c>
      <c r="F201" s="336">
        <v>43541</v>
      </c>
      <c r="G201" s="350"/>
      <c r="H201" s="334" t="s">
        <v>697</v>
      </c>
      <c r="I201" s="356">
        <v>13817770520</v>
      </c>
      <c r="J201" s="361" t="s">
        <v>698</v>
      </c>
      <c r="K201" s="356">
        <v>500</v>
      </c>
      <c r="L201" s="362"/>
      <c r="M201" s="362"/>
      <c r="N201" s="362">
        <f t="shared" si="6"/>
        <v>0</v>
      </c>
      <c r="O201" s="356"/>
      <c r="P201" s="356"/>
      <c r="Q201" s="356"/>
      <c r="R201" s="356"/>
      <c r="S201" s="356"/>
      <c r="T201" s="356"/>
      <c r="U201" s="372">
        <v>43638</v>
      </c>
      <c r="V201" s="372"/>
      <c r="W201" s="372"/>
      <c r="X201" s="373"/>
      <c r="Y201" s="348"/>
      <c r="Z201" s="348"/>
      <c r="AA201" s="348"/>
    </row>
    <row r="202" s="331" customFormat="1" ht="17" customHeight="1" spans="1:27">
      <c r="A202" s="550" t="s">
        <v>699</v>
      </c>
      <c r="B202" s="348" t="s">
        <v>160</v>
      </c>
      <c r="C202" s="348" t="s">
        <v>161</v>
      </c>
      <c r="D202" s="349" t="s">
        <v>162</v>
      </c>
      <c r="E202" s="336">
        <v>43542</v>
      </c>
      <c r="F202" s="336">
        <v>43541</v>
      </c>
      <c r="G202" s="336">
        <v>43664</v>
      </c>
      <c r="H202" s="334" t="s">
        <v>700</v>
      </c>
      <c r="I202" s="356">
        <v>18516153530</v>
      </c>
      <c r="J202" s="361" t="s">
        <v>701</v>
      </c>
      <c r="K202" s="356">
        <v>500</v>
      </c>
      <c r="L202" s="334">
        <v>13680</v>
      </c>
      <c r="M202" s="362"/>
      <c r="N202" s="362">
        <f t="shared" si="6"/>
        <v>13680</v>
      </c>
      <c r="O202" s="356"/>
      <c r="P202" s="356"/>
      <c r="Q202" s="356"/>
      <c r="R202" s="356"/>
      <c r="S202" s="356"/>
      <c r="T202" s="356"/>
      <c r="U202" s="372"/>
      <c r="V202" s="372"/>
      <c r="W202" s="372"/>
      <c r="X202" s="373"/>
      <c r="Y202" s="348" t="s">
        <v>621</v>
      </c>
      <c r="Z202" s="348"/>
      <c r="AA202" s="348"/>
    </row>
    <row r="203" s="331" customFormat="1" ht="17" customHeight="1" spans="1:27">
      <c r="A203" s="550" t="s">
        <v>702</v>
      </c>
      <c r="B203" s="348" t="s">
        <v>236</v>
      </c>
      <c r="C203" s="348" t="s">
        <v>703</v>
      </c>
      <c r="D203" s="352" t="s">
        <v>143</v>
      </c>
      <c r="E203" s="336">
        <v>43542</v>
      </c>
      <c r="F203" s="336">
        <v>43541</v>
      </c>
      <c r="G203" s="350"/>
      <c r="H203" s="334" t="s">
        <v>704</v>
      </c>
      <c r="I203" s="356">
        <v>13641942364</v>
      </c>
      <c r="J203" s="361" t="s">
        <v>705</v>
      </c>
      <c r="K203" s="356">
        <v>8338</v>
      </c>
      <c r="L203" s="362"/>
      <c r="M203" s="362"/>
      <c r="N203" s="362">
        <f t="shared" si="6"/>
        <v>0</v>
      </c>
      <c r="O203" s="356"/>
      <c r="P203" s="356"/>
      <c r="Q203" s="356"/>
      <c r="R203" s="356"/>
      <c r="S203" s="356"/>
      <c r="T203" s="356"/>
      <c r="U203" s="372" t="s">
        <v>706</v>
      </c>
      <c r="V203" s="372"/>
      <c r="W203" s="372"/>
      <c r="X203" s="373"/>
      <c r="Y203" s="348" t="s">
        <v>621</v>
      </c>
      <c r="Z203" s="348"/>
      <c r="AA203" s="348"/>
    </row>
    <row r="204" s="331" customFormat="1" ht="17" customHeight="1" spans="1:27">
      <c r="A204" s="348">
        <v>2066316</v>
      </c>
      <c r="B204" s="348" t="s">
        <v>205</v>
      </c>
      <c r="C204" s="348" t="s">
        <v>206</v>
      </c>
      <c r="D204" s="334" t="s">
        <v>407</v>
      </c>
      <c r="E204" s="336">
        <v>43705</v>
      </c>
      <c r="F204" s="336">
        <v>43541</v>
      </c>
      <c r="G204" s="336">
        <v>43705</v>
      </c>
      <c r="H204" s="334" t="s">
        <v>707</v>
      </c>
      <c r="I204" s="356">
        <v>18676665273</v>
      </c>
      <c r="J204" s="361" t="s">
        <v>708</v>
      </c>
      <c r="K204" s="356">
        <v>3000</v>
      </c>
      <c r="L204" s="334">
        <v>6072</v>
      </c>
      <c r="M204" s="362"/>
      <c r="N204" s="362">
        <f t="shared" si="6"/>
        <v>6072</v>
      </c>
      <c r="O204" s="356" t="s">
        <v>19</v>
      </c>
      <c r="P204" s="356"/>
      <c r="Q204" s="356"/>
      <c r="R204" s="356"/>
      <c r="S204" s="356"/>
      <c r="T204" s="356"/>
      <c r="U204" s="372"/>
      <c r="V204" s="376"/>
      <c r="W204" s="372"/>
      <c r="X204" s="373"/>
      <c r="Y204" s="348" t="s">
        <v>671</v>
      </c>
      <c r="Z204" s="348"/>
      <c r="AA204" s="348"/>
    </row>
    <row r="205" s="331" customFormat="1" ht="17" customHeight="1" spans="1:27">
      <c r="A205" s="348">
        <v>2068830</v>
      </c>
      <c r="B205" s="348" t="s">
        <v>66</v>
      </c>
      <c r="C205" s="348" t="s">
        <v>505</v>
      </c>
      <c r="D205" s="349" t="s">
        <v>68</v>
      </c>
      <c r="E205" s="336">
        <v>43542</v>
      </c>
      <c r="F205" s="336">
        <v>43541</v>
      </c>
      <c r="G205" s="350"/>
      <c r="H205" s="334" t="s">
        <v>709</v>
      </c>
      <c r="I205" s="356">
        <v>13817274041</v>
      </c>
      <c r="J205" s="361" t="s">
        <v>710</v>
      </c>
      <c r="K205" s="356">
        <v>501</v>
      </c>
      <c r="L205" s="362"/>
      <c r="M205" s="362"/>
      <c r="N205" s="362">
        <f t="shared" si="6"/>
        <v>0</v>
      </c>
      <c r="O205" s="356"/>
      <c r="P205" s="356"/>
      <c r="Q205" s="356"/>
      <c r="R205" s="356"/>
      <c r="S205" s="356"/>
      <c r="T205" s="356"/>
      <c r="U205" s="372" t="s">
        <v>136</v>
      </c>
      <c r="V205" s="372"/>
      <c r="W205" s="372"/>
      <c r="X205" s="373"/>
      <c r="Y205" s="348" t="s">
        <v>711</v>
      </c>
      <c r="Z205" s="348"/>
      <c r="AA205" s="348"/>
    </row>
    <row r="206" s="331" customFormat="1" ht="17" customHeight="1" spans="1:27">
      <c r="A206" s="348">
        <v>2066398</v>
      </c>
      <c r="B206" s="348" t="s">
        <v>35</v>
      </c>
      <c r="C206" s="348" t="s">
        <v>392</v>
      </c>
      <c r="D206" s="352" t="s">
        <v>37</v>
      </c>
      <c r="E206" s="336"/>
      <c r="F206" s="336">
        <v>43542</v>
      </c>
      <c r="G206" s="350"/>
      <c r="H206" s="334" t="s">
        <v>712</v>
      </c>
      <c r="I206" s="356">
        <v>13262691978</v>
      </c>
      <c r="J206" s="361" t="s">
        <v>713</v>
      </c>
      <c r="K206" s="356">
        <v>500</v>
      </c>
      <c r="L206" s="362"/>
      <c r="M206" s="362"/>
      <c r="N206" s="362">
        <f t="shared" si="6"/>
        <v>0</v>
      </c>
      <c r="O206" s="356"/>
      <c r="P206" s="356"/>
      <c r="Q206" s="356" t="s">
        <v>52</v>
      </c>
      <c r="R206" s="356"/>
      <c r="S206" s="356"/>
      <c r="T206" s="356"/>
      <c r="U206" s="372" t="s">
        <v>40</v>
      </c>
      <c r="V206" s="372"/>
      <c r="W206" s="372"/>
      <c r="X206" s="373"/>
      <c r="Y206" s="348" t="s">
        <v>714</v>
      </c>
      <c r="Z206" s="348"/>
      <c r="AA206" s="348"/>
    </row>
    <row r="207" s="331" customFormat="1" ht="17" customHeight="1" spans="1:27">
      <c r="A207" s="348">
        <v>2024190</v>
      </c>
      <c r="B207" s="348" t="s">
        <v>137</v>
      </c>
      <c r="C207" s="348" t="s">
        <v>426</v>
      </c>
      <c r="D207" s="349" t="s">
        <v>60</v>
      </c>
      <c r="E207" s="336"/>
      <c r="F207" s="336">
        <v>43541</v>
      </c>
      <c r="G207" s="350"/>
      <c r="H207" s="334" t="s">
        <v>715</v>
      </c>
      <c r="I207" s="356">
        <v>13601653550</v>
      </c>
      <c r="J207" s="361" t="s">
        <v>716</v>
      </c>
      <c r="K207" s="356">
        <v>500</v>
      </c>
      <c r="L207" s="362"/>
      <c r="M207" s="362"/>
      <c r="N207" s="362">
        <f t="shared" si="6"/>
        <v>0</v>
      </c>
      <c r="O207" s="356"/>
      <c r="P207" s="356"/>
      <c r="Q207" s="356"/>
      <c r="R207" s="366"/>
      <c r="S207" s="356"/>
      <c r="T207" s="356"/>
      <c r="U207" s="372">
        <v>1</v>
      </c>
      <c r="V207" s="372"/>
      <c r="W207" s="372"/>
      <c r="X207" s="373">
        <v>1</v>
      </c>
      <c r="Y207" s="348"/>
      <c r="Z207" s="348"/>
      <c r="AA207" s="348"/>
    </row>
    <row r="208" s="331" customFormat="1" ht="17" customHeight="1" spans="1:27">
      <c r="A208" s="348">
        <v>2023426</v>
      </c>
      <c r="B208" s="348" t="s">
        <v>73</v>
      </c>
      <c r="C208" s="348" t="s">
        <v>178</v>
      </c>
      <c r="D208" s="334" t="s">
        <v>717</v>
      </c>
      <c r="E208" s="336">
        <v>43717</v>
      </c>
      <c r="F208" s="336">
        <v>43544</v>
      </c>
      <c r="G208" s="336">
        <v>43714</v>
      </c>
      <c r="H208" s="334" t="s">
        <v>718</v>
      </c>
      <c r="I208" s="356">
        <v>13801740342</v>
      </c>
      <c r="J208" s="361" t="s">
        <v>719</v>
      </c>
      <c r="K208" s="356">
        <v>1000</v>
      </c>
      <c r="L208" s="334">
        <v>81145</v>
      </c>
      <c r="M208" s="362"/>
      <c r="N208" s="362">
        <f t="shared" si="6"/>
        <v>81145</v>
      </c>
      <c r="O208" s="356"/>
      <c r="P208" s="356"/>
      <c r="Q208" s="366"/>
      <c r="R208" s="366" t="s">
        <v>52</v>
      </c>
      <c r="S208" s="356"/>
      <c r="T208" s="356"/>
      <c r="U208" s="372"/>
      <c r="V208" s="372"/>
      <c r="W208" s="372"/>
      <c r="X208" s="373"/>
      <c r="Y208" s="348"/>
      <c r="Z208" s="348" t="s">
        <v>79</v>
      </c>
      <c r="AA208" s="348"/>
    </row>
    <row r="209" s="331" customFormat="1" ht="17" customHeight="1" spans="1:27">
      <c r="A209" s="348">
        <v>2021395</v>
      </c>
      <c r="B209" s="348" t="s">
        <v>47</v>
      </c>
      <c r="C209" s="348" t="s">
        <v>53</v>
      </c>
      <c r="D209" s="334" t="s">
        <v>75</v>
      </c>
      <c r="E209" s="336">
        <v>43735</v>
      </c>
      <c r="F209" s="336">
        <v>43544</v>
      </c>
      <c r="G209" s="336">
        <v>43735</v>
      </c>
      <c r="H209" s="334" t="s">
        <v>720</v>
      </c>
      <c r="I209" s="356">
        <v>13681882008</v>
      </c>
      <c r="J209" s="361" t="s">
        <v>721</v>
      </c>
      <c r="K209" s="356">
        <v>20000</v>
      </c>
      <c r="L209" s="334">
        <v>186289</v>
      </c>
      <c r="M209" s="362"/>
      <c r="N209" s="362">
        <f t="shared" si="6"/>
        <v>186289</v>
      </c>
      <c r="O209" s="356"/>
      <c r="P209" s="356"/>
      <c r="Q209" s="356"/>
      <c r="R209" s="356"/>
      <c r="S209" s="356" t="s">
        <v>52</v>
      </c>
      <c r="T209" s="356"/>
      <c r="U209" s="372"/>
      <c r="V209" s="372"/>
      <c r="W209" s="372"/>
      <c r="X209" s="373">
        <v>1</v>
      </c>
      <c r="Y209" s="348"/>
      <c r="Z209" s="348"/>
      <c r="AA209" s="348"/>
    </row>
    <row r="210" s="331" customFormat="1" ht="17" customHeight="1" spans="1:27">
      <c r="A210" s="348"/>
      <c r="B210" s="348" t="s">
        <v>130</v>
      </c>
      <c r="C210" s="348" t="s">
        <v>722</v>
      </c>
      <c r="D210" s="352" t="s">
        <v>182</v>
      </c>
      <c r="E210" s="336">
        <v>43544</v>
      </c>
      <c r="F210" s="336">
        <v>43544</v>
      </c>
      <c r="G210" s="350"/>
      <c r="H210" s="334" t="s">
        <v>723</v>
      </c>
      <c r="I210" s="356">
        <v>13671788303</v>
      </c>
      <c r="J210" s="361" t="s">
        <v>724</v>
      </c>
      <c r="K210" s="356">
        <v>1000</v>
      </c>
      <c r="L210" s="362"/>
      <c r="M210" s="362"/>
      <c r="N210" s="362">
        <f t="shared" si="6"/>
        <v>0</v>
      </c>
      <c r="O210" s="356"/>
      <c r="P210" s="356"/>
      <c r="Q210" s="356"/>
      <c r="R210" s="356"/>
      <c r="S210" s="356"/>
      <c r="T210" s="356"/>
      <c r="U210" s="372" t="s">
        <v>725</v>
      </c>
      <c r="V210" s="372"/>
      <c r="W210" s="372"/>
      <c r="X210" s="373"/>
      <c r="Y210" s="348"/>
      <c r="Z210" s="348"/>
      <c r="AA210" s="348"/>
    </row>
    <row r="211" s="331" customFormat="1" ht="17" customHeight="1" spans="1:27">
      <c r="A211" s="348">
        <v>2068744</v>
      </c>
      <c r="B211" s="348" t="s">
        <v>726</v>
      </c>
      <c r="C211" s="348" t="s">
        <v>727</v>
      </c>
      <c r="D211" s="352" t="s">
        <v>149</v>
      </c>
      <c r="E211" s="336">
        <v>43546</v>
      </c>
      <c r="F211" s="336">
        <v>43546</v>
      </c>
      <c r="G211" s="350"/>
      <c r="H211" s="334" t="s">
        <v>728</v>
      </c>
      <c r="I211" s="356">
        <v>13701988958</v>
      </c>
      <c r="J211" s="361" t="s">
        <v>729</v>
      </c>
      <c r="K211" s="356">
        <v>500</v>
      </c>
      <c r="L211" s="362"/>
      <c r="M211" s="362"/>
      <c r="N211" s="362">
        <f t="shared" si="6"/>
        <v>0</v>
      </c>
      <c r="O211" s="356"/>
      <c r="P211" s="356"/>
      <c r="Q211" s="356"/>
      <c r="R211" s="356"/>
      <c r="S211" s="356"/>
      <c r="T211" s="356"/>
      <c r="U211" s="372" t="s">
        <v>730</v>
      </c>
      <c r="V211" s="372"/>
      <c r="W211" s="372"/>
      <c r="X211" s="373"/>
      <c r="Y211" s="348"/>
      <c r="Z211" s="348"/>
      <c r="AA211" s="348"/>
    </row>
    <row r="212" s="331" customFormat="1" ht="17" customHeight="1" spans="1:27">
      <c r="A212" s="550" t="s">
        <v>731</v>
      </c>
      <c r="B212" s="348" t="s">
        <v>335</v>
      </c>
      <c r="C212" s="348" t="s">
        <v>615</v>
      </c>
      <c r="D212" s="349" t="s">
        <v>337</v>
      </c>
      <c r="E212" s="336">
        <v>43547</v>
      </c>
      <c r="F212" s="336">
        <v>43547</v>
      </c>
      <c r="G212" s="350"/>
      <c r="H212" s="334" t="s">
        <v>732</v>
      </c>
      <c r="I212" s="356">
        <v>15921036568</v>
      </c>
      <c r="J212" s="361" t="s">
        <v>733</v>
      </c>
      <c r="K212" s="356">
        <v>1000</v>
      </c>
      <c r="L212" s="362"/>
      <c r="M212" s="362"/>
      <c r="N212" s="362">
        <f t="shared" si="6"/>
        <v>0</v>
      </c>
      <c r="O212" s="356"/>
      <c r="P212" s="356"/>
      <c r="Q212" s="356"/>
      <c r="R212" s="356"/>
      <c r="S212" s="356"/>
      <c r="T212" s="356"/>
      <c r="U212" s="372" t="s">
        <v>734</v>
      </c>
      <c r="V212" s="372"/>
      <c r="W212" s="372"/>
      <c r="X212" s="373"/>
      <c r="Y212" s="348"/>
      <c r="Z212" s="348"/>
      <c r="AA212" s="348"/>
    </row>
    <row r="213" s="331" customFormat="1" ht="17" customHeight="1" spans="1:27">
      <c r="A213" s="348">
        <v>2023491</v>
      </c>
      <c r="B213" s="348" t="s">
        <v>73</v>
      </c>
      <c r="C213" s="348" t="s">
        <v>178</v>
      </c>
      <c r="D213" s="349" t="s">
        <v>132</v>
      </c>
      <c r="E213" s="336">
        <v>43547</v>
      </c>
      <c r="F213" s="336">
        <v>43547</v>
      </c>
      <c r="G213" s="336">
        <v>43670</v>
      </c>
      <c r="H213" s="334" t="s">
        <v>735</v>
      </c>
      <c r="I213" s="356">
        <v>13816828766</v>
      </c>
      <c r="J213" s="361" t="s">
        <v>736</v>
      </c>
      <c r="K213" s="356">
        <v>1000</v>
      </c>
      <c r="L213" s="334">
        <v>9478</v>
      </c>
      <c r="M213" s="334">
        <v>1022</v>
      </c>
      <c r="N213" s="362">
        <f t="shared" si="6"/>
        <v>10500</v>
      </c>
      <c r="O213" s="356"/>
      <c r="P213" s="356"/>
      <c r="Q213" s="366"/>
      <c r="R213" s="366" t="s">
        <v>52</v>
      </c>
      <c r="S213" s="356"/>
      <c r="T213" s="356"/>
      <c r="U213" s="372"/>
      <c r="V213" s="372"/>
      <c r="W213" s="372"/>
      <c r="X213" s="373"/>
      <c r="Y213" s="348"/>
      <c r="Z213" s="348" t="s">
        <v>79</v>
      </c>
      <c r="AA213" s="348"/>
    </row>
    <row r="214" s="331" customFormat="1" ht="17" customHeight="1" spans="1:27">
      <c r="A214" s="348"/>
      <c r="B214" s="348" t="s">
        <v>160</v>
      </c>
      <c r="C214" s="348" t="s">
        <v>258</v>
      </c>
      <c r="D214" s="352" t="s">
        <v>132</v>
      </c>
      <c r="E214" s="336">
        <v>43548</v>
      </c>
      <c r="F214" s="336">
        <v>43542</v>
      </c>
      <c r="G214" s="350" t="s">
        <v>231</v>
      </c>
      <c r="H214" s="334" t="s">
        <v>737</v>
      </c>
      <c r="I214" s="356">
        <v>13003271189</v>
      </c>
      <c r="J214" s="361" t="s">
        <v>738</v>
      </c>
      <c r="K214" s="356">
        <v>1000</v>
      </c>
      <c r="L214" s="362"/>
      <c r="M214" s="362"/>
      <c r="N214" s="362">
        <f t="shared" si="6"/>
        <v>0</v>
      </c>
      <c r="O214" s="356">
        <v>1</v>
      </c>
      <c r="P214" s="356"/>
      <c r="Q214" s="356"/>
      <c r="R214" s="356"/>
      <c r="S214" s="356"/>
      <c r="T214" s="356"/>
      <c r="U214" s="372"/>
      <c r="V214" s="372"/>
      <c r="W214" s="372"/>
      <c r="X214" s="373"/>
      <c r="Y214" s="348"/>
      <c r="Z214" s="348" t="s">
        <v>318</v>
      </c>
      <c r="AA214" s="348"/>
    </row>
    <row r="215" s="331" customFormat="1" ht="17" customHeight="1" spans="1:27">
      <c r="A215" s="348">
        <v>2021400</v>
      </c>
      <c r="B215" s="348" t="s">
        <v>47</v>
      </c>
      <c r="C215" s="348" t="s">
        <v>80</v>
      </c>
      <c r="D215" s="352" t="s">
        <v>49</v>
      </c>
      <c r="E215" s="336">
        <v>43548</v>
      </c>
      <c r="F215" s="336">
        <v>43548</v>
      </c>
      <c r="G215" s="350">
        <v>43666</v>
      </c>
      <c r="H215" s="334" t="s">
        <v>739</v>
      </c>
      <c r="I215" s="356">
        <v>18751261727</v>
      </c>
      <c r="J215" s="361" t="s">
        <v>740</v>
      </c>
      <c r="K215" s="356">
        <v>1000</v>
      </c>
      <c r="L215" s="362"/>
      <c r="M215" s="362"/>
      <c r="N215" s="362">
        <f t="shared" si="6"/>
        <v>0</v>
      </c>
      <c r="O215" s="356"/>
      <c r="P215" s="356"/>
      <c r="Q215" s="356"/>
      <c r="R215" s="356"/>
      <c r="S215" s="356" t="s">
        <v>52</v>
      </c>
      <c r="T215" s="356"/>
      <c r="U215" s="372"/>
      <c r="V215" s="372"/>
      <c r="W215" s="372"/>
      <c r="X215" s="373"/>
      <c r="Y215" s="348" t="s">
        <v>741</v>
      </c>
      <c r="Z215" s="348"/>
      <c r="AA215" s="348"/>
    </row>
    <row r="216" s="331" customFormat="1" ht="17" customHeight="1" spans="1:27">
      <c r="A216" s="550" t="s">
        <v>742</v>
      </c>
      <c r="B216" s="348" t="s">
        <v>94</v>
      </c>
      <c r="C216" s="348" t="s">
        <v>101</v>
      </c>
      <c r="D216" s="352" t="s">
        <v>49</v>
      </c>
      <c r="E216" s="336">
        <v>43548</v>
      </c>
      <c r="F216" s="336">
        <v>43548</v>
      </c>
      <c r="G216" s="350"/>
      <c r="H216" s="334" t="s">
        <v>743</v>
      </c>
      <c r="I216" s="356">
        <v>13311999208</v>
      </c>
      <c r="J216" s="361" t="s">
        <v>744</v>
      </c>
      <c r="K216" s="356">
        <v>1000</v>
      </c>
      <c r="L216" s="362"/>
      <c r="M216" s="362"/>
      <c r="N216" s="362">
        <f t="shared" si="6"/>
        <v>0</v>
      </c>
      <c r="O216" s="356"/>
      <c r="P216" s="366" t="s">
        <v>52</v>
      </c>
      <c r="Q216" s="356"/>
      <c r="R216" s="356"/>
      <c r="S216" s="356"/>
      <c r="T216" s="356"/>
      <c r="U216" s="372" t="s">
        <v>63</v>
      </c>
      <c r="V216" s="372"/>
      <c r="W216" s="372"/>
      <c r="X216" s="373"/>
      <c r="Y216" s="348" t="s">
        <v>745</v>
      </c>
      <c r="Z216" s="348"/>
      <c r="AA216" s="348"/>
    </row>
    <row r="217" s="331" customFormat="1" ht="17" customHeight="1" spans="1:27">
      <c r="A217" s="550" t="s">
        <v>746</v>
      </c>
      <c r="B217" s="348" t="s">
        <v>94</v>
      </c>
      <c r="C217" s="348" t="s">
        <v>101</v>
      </c>
      <c r="D217" s="352" t="s">
        <v>49</v>
      </c>
      <c r="E217" s="336">
        <v>43721</v>
      </c>
      <c r="F217" s="336">
        <v>43548</v>
      </c>
      <c r="G217" s="336">
        <v>43699</v>
      </c>
      <c r="H217" s="334" t="s">
        <v>747</v>
      </c>
      <c r="I217" s="356">
        <v>18916501399</v>
      </c>
      <c r="J217" s="361" t="s">
        <v>748</v>
      </c>
      <c r="K217" s="356">
        <v>5000</v>
      </c>
      <c r="L217" s="334">
        <v>5600</v>
      </c>
      <c r="M217" s="362"/>
      <c r="N217" s="362">
        <f t="shared" si="6"/>
        <v>5600</v>
      </c>
      <c r="O217" s="356"/>
      <c r="P217" s="356"/>
      <c r="Q217" s="356"/>
      <c r="R217" s="356"/>
      <c r="S217" s="356"/>
      <c r="T217" s="356"/>
      <c r="U217" s="372"/>
      <c r="V217" s="372"/>
      <c r="W217" s="372" t="s">
        <v>98</v>
      </c>
      <c r="X217" s="373"/>
      <c r="Y217" s="348"/>
      <c r="Z217" s="348"/>
      <c r="AA217" s="348"/>
    </row>
    <row r="218" s="331" customFormat="1" ht="17" customHeight="1" spans="1:27">
      <c r="A218" s="550" t="s">
        <v>749</v>
      </c>
      <c r="B218" s="348" t="s">
        <v>94</v>
      </c>
      <c r="C218" s="348" t="s">
        <v>101</v>
      </c>
      <c r="D218" s="352" t="s">
        <v>49</v>
      </c>
      <c r="E218" s="336">
        <v>43555</v>
      </c>
      <c r="F218" s="336">
        <v>43548</v>
      </c>
      <c r="G218" s="336">
        <v>43655</v>
      </c>
      <c r="H218" s="334" t="s">
        <v>750</v>
      </c>
      <c r="I218" s="356">
        <v>13917673400</v>
      </c>
      <c r="J218" s="361" t="s">
        <v>751</v>
      </c>
      <c r="K218" s="356">
        <v>5000</v>
      </c>
      <c r="L218" s="334">
        <v>24000</v>
      </c>
      <c r="M218" s="334"/>
      <c r="N218" s="362">
        <f t="shared" si="6"/>
        <v>24000</v>
      </c>
      <c r="O218" s="356"/>
      <c r="P218" s="356"/>
      <c r="Q218" s="356"/>
      <c r="R218" s="356"/>
      <c r="S218" s="356"/>
      <c r="T218" s="356"/>
      <c r="U218" s="372"/>
      <c r="V218" s="372"/>
      <c r="W218" s="372"/>
      <c r="X218" s="373"/>
      <c r="Y218" s="348"/>
      <c r="Z218" s="348"/>
      <c r="AA218" s="348"/>
    </row>
    <row r="219" s="331" customFormat="1" ht="17" customHeight="1" spans="1:27">
      <c r="A219" s="550" t="s">
        <v>752</v>
      </c>
      <c r="B219" s="348" t="s">
        <v>31</v>
      </c>
      <c r="C219" s="348" t="s">
        <v>115</v>
      </c>
      <c r="D219" s="349" t="s">
        <v>162</v>
      </c>
      <c r="E219" s="336">
        <v>43548</v>
      </c>
      <c r="F219" s="336">
        <v>43547</v>
      </c>
      <c r="G219" s="336">
        <v>43657</v>
      </c>
      <c r="H219" s="334" t="s">
        <v>753</v>
      </c>
      <c r="I219" s="356">
        <v>18149736087</v>
      </c>
      <c r="J219" s="361" t="s">
        <v>754</v>
      </c>
      <c r="K219" s="356">
        <v>1000</v>
      </c>
      <c r="L219" s="334">
        <v>9300</v>
      </c>
      <c r="M219" s="334"/>
      <c r="N219" s="362">
        <f t="shared" si="6"/>
        <v>9300</v>
      </c>
      <c r="O219" s="356"/>
      <c r="P219" s="356"/>
      <c r="Q219" s="356"/>
      <c r="R219" s="356"/>
      <c r="S219" s="356"/>
      <c r="T219" s="356"/>
      <c r="U219" s="372"/>
      <c r="V219" s="372"/>
      <c r="W219" s="372"/>
      <c r="X219" s="373"/>
      <c r="Y219" s="348" t="s">
        <v>755</v>
      </c>
      <c r="Z219" s="348"/>
      <c r="AA219" s="348"/>
    </row>
    <row r="220" s="57" customFormat="1" ht="17" customHeight="1" spans="1:27">
      <c r="A220" s="348"/>
      <c r="B220" s="348" t="s">
        <v>137</v>
      </c>
      <c r="C220" s="348" t="s">
        <v>406</v>
      </c>
      <c r="D220" s="349" t="s">
        <v>443</v>
      </c>
      <c r="E220" s="336">
        <v>43548</v>
      </c>
      <c r="F220" s="336">
        <v>43547</v>
      </c>
      <c r="G220" s="350"/>
      <c r="H220" s="334" t="s">
        <v>756</v>
      </c>
      <c r="I220" s="356">
        <v>18151588880</v>
      </c>
      <c r="J220" s="348" t="s">
        <v>757</v>
      </c>
      <c r="K220" s="356">
        <v>1000</v>
      </c>
      <c r="L220" s="362"/>
      <c r="M220" s="362"/>
      <c r="N220" s="362">
        <f t="shared" si="6"/>
        <v>0</v>
      </c>
      <c r="O220" s="356">
        <v>1</v>
      </c>
      <c r="P220" s="356"/>
      <c r="Q220" s="366"/>
      <c r="R220" s="356"/>
      <c r="S220" s="356"/>
      <c r="T220" s="356"/>
      <c r="U220" s="376" t="s">
        <v>12</v>
      </c>
      <c r="V220" s="372"/>
      <c r="W220" s="372"/>
      <c r="X220" s="373">
        <v>1</v>
      </c>
      <c r="Y220" s="348" t="s">
        <v>745</v>
      </c>
      <c r="Z220" s="348"/>
      <c r="AA220" s="348"/>
    </row>
    <row r="221" s="331" customFormat="1" ht="17" customHeight="1" spans="1:27">
      <c r="A221" s="348">
        <v>2022705</v>
      </c>
      <c r="B221" s="348" t="s">
        <v>354</v>
      </c>
      <c r="C221" s="348" t="s">
        <v>758</v>
      </c>
      <c r="D221" s="349" t="s">
        <v>149</v>
      </c>
      <c r="E221" s="336">
        <v>43548</v>
      </c>
      <c r="F221" s="336">
        <v>43541</v>
      </c>
      <c r="G221" s="350"/>
      <c r="H221" s="334" t="s">
        <v>759</v>
      </c>
      <c r="I221" s="356">
        <v>13017083782</v>
      </c>
      <c r="J221" s="361" t="s">
        <v>760</v>
      </c>
      <c r="K221" s="356">
        <v>12462</v>
      </c>
      <c r="L221" s="362"/>
      <c r="M221" s="362"/>
      <c r="N221" s="362">
        <f t="shared" si="6"/>
        <v>0</v>
      </c>
      <c r="O221" s="356"/>
      <c r="P221" s="356"/>
      <c r="Q221" s="356"/>
      <c r="R221" s="356"/>
      <c r="S221" s="356"/>
      <c r="T221" s="356"/>
      <c r="U221" s="372"/>
      <c r="V221" s="372"/>
      <c r="W221" s="372"/>
      <c r="X221" s="373"/>
      <c r="Y221" s="348"/>
      <c r="Z221" s="348"/>
      <c r="AA221" s="348"/>
    </row>
    <row r="222" s="331" customFormat="1" ht="17" customHeight="1" spans="1:27">
      <c r="A222" s="550" t="s">
        <v>761</v>
      </c>
      <c r="B222" s="348" t="s">
        <v>169</v>
      </c>
      <c r="C222" s="348" t="s">
        <v>542</v>
      </c>
      <c r="D222" s="349" t="s">
        <v>171</v>
      </c>
      <c r="E222" s="336">
        <v>43548</v>
      </c>
      <c r="F222" s="336">
        <v>43548</v>
      </c>
      <c r="G222" s="356"/>
      <c r="H222" s="334" t="s">
        <v>762</v>
      </c>
      <c r="I222" s="356">
        <v>13636381333</v>
      </c>
      <c r="J222" s="361" t="s">
        <v>763</v>
      </c>
      <c r="K222" s="356">
        <v>1000</v>
      </c>
      <c r="L222" s="362"/>
      <c r="M222" s="362"/>
      <c r="N222" s="362">
        <f t="shared" ref="N222:N248" si="7">L222+M222</f>
        <v>0</v>
      </c>
      <c r="O222" s="356" t="s">
        <v>764</v>
      </c>
      <c r="P222" s="356"/>
      <c r="Q222" s="356"/>
      <c r="R222" s="356"/>
      <c r="S222" s="356"/>
      <c r="T222" s="356"/>
      <c r="U222" s="372"/>
      <c r="V222" s="372" t="s">
        <v>765</v>
      </c>
      <c r="W222" s="372"/>
      <c r="X222" s="373"/>
      <c r="Y222" s="348"/>
      <c r="Z222" s="348"/>
      <c r="AA222" s="348"/>
    </row>
    <row r="223" s="331" customFormat="1" ht="17" customHeight="1" spans="1:27">
      <c r="A223" s="348">
        <v>2023494</v>
      </c>
      <c r="B223" s="348" t="s">
        <v>73</v>
      </c>
      <c r="C223" s="348" t="s">
        <v>74</v>
      </c>
      <c r="D223" s="334" t="s">
        <v>139</v>
      </c>
      <c r="E223" s="336">
        <v>43745</v>
      </c>
      <c r="F223" s="336">
        <v>43548</v>
      </c>
      <c r="G223" s="336">
        <v>43745</v>
      </c>
      <c r="H223" s="334" t="s">
        <v>766</v>
      </c>
      <c r="I223" s="356">
        <v>13801812106</v>
      </c>
      <c r="J223" s="361" t="s">
        <v>767</v>
      </c>
      <c r="K223" s="356">
        <v>1000</v>
      </c>
      <c r="L223" s="334">
        <v>21808</v>
      </c>
      <c r="M223" s="362"/>
      <c r="N223" s="362">
        <f t="shared" si="7"/>
        <v>21808</v>
      </c>
      <c r="O223" s="356"/>
      <c r="P223" s="356"/>
      <c r="Q223" s="366" t="s">
        <v>52</v>
      </c>
      <c r="R223" s="366"/>
      <c r="S223" s="356"/>
      <c r="T223" s="356"/>
      <c r="U223" s="372"/>
      <c r="V223" s="372"/>
      <c r="W223" s="372"/>
      <c r="X223" s="373"/>
      <c r="Y223" s="348" t="s">
        <v>745</v>
      </c>
      <c r="Z223" s="348" t="s">
        <v>79</v>
      </c>
      <c r="AA223" s="348"/>
    </row>
    <row r="224" s="331" customFormat="1" ht="17" customHeight="1" spans="1:27">
      <c r="A224" s="348">
        <v>2022708</v>
      </c>
      <c r="B224" s="348" t="s">
        <v>354</v>
      </c>
      <c r="C224" s="348" t="s">
        <v>355</v>
      </c>
      <c r="D224" s="349" t="s">
        <v>149</v>
      </c>
      <c r="E224" s="336">
        <v>43549</v>
      </c>
      <c r="F224" s="336">
        <v>43548</v>
      </c>
      <c r="G224" s="350"/>
      <c r="H224" s="334" t="s">
        <v>768</v>
      </c>
      <c r="I224" s="356">
        <v>18917122721</v>
      </c>
      <c r="J224" s="361" t="s">
        <v>769</v>
      </c>
      <c r="K224" s="356">
        <v>5700</v>
      </c>
      <c r="L224" s="362"/>
      <c r="M224" s="362"/>
      <c r="N224" s="362">
        <f t="shared" si="7"/>
        <v>0</v>
      </c>
      <c r="O224" s="356"/>
      <c r="P224" s="356"/>
      <c r="Q224" s="356"/>
      <c r="R224" s="356"/>
      <c r="S224" s="356"/>
      <c r="T224" s="356"/>
      <c r="U224" s="372"/>
      <c r="V224" s="372"/>
      <c r="W224" s="372"/>
      <c r="X224" s="373"/>
      <c r="Y224" s="348"/>
      <c r="Z224" s="348"/>
      <c r="AA224" s="348"/>
    </row>
    <row r="225" s="331" customFormat="1" ht="17" customHeight="1" spans="1:27">
      <c r="A225" s="348"/>
      <c r="B225" s="348" t="s">
        <v>58</v>
      </c>
      <c r="C225" s="348" t="s">
        <v>342</v>
      </c>
      <c r="D225" s="352" t="s">
        <v>271</v>
      </c>
      <c r="E225" s="336">
        <v>43549</v>
      </c>
      <c r="F225" s="336">
        <v>43549</v>
      </c>
      <c r="G225" s="350"/>
      <c r="H225" s="334" t="s">
        <v>770</v>
      </c>
      <c r="I225" s="356">
        <v>17602125958</v>
      </c>
      <c r="J225" s="361" t="s">
        <v>771</v>
      </c>
      <c r="K225" s="356">
        <v>6698</v>
      </c>
      <c r="L225" s="362"/>
      <c r="M225" s="362"/>
      <c r="N225" s="362">
        <f t="shared" si="7"/>
        <v>0</v>
      </c>
      <c r="O225" s="356"/>
      <c r="P225" s="356"/>
      <c r="Q225" s="356"/>
      <c r="R225" s="356"/>
      <c r="S225" s="356"/>
      <c r="T225" s="356"/>
      <c r="U225" s="372">
        <v>43639</v>
      </c>
      <c r="V225" s="372"/>
      <c r="W225" s="372"/>
      <c r="X225" s="373"/>
      <c r="Y225" s="348"/>
      <c r="Z225" s="348"/>
      <c r="AA225" s="348"/>
    </row>
    <row r="226" s="331" customFormat="1" ht="17" customHeight="1" spans="1:27">
      <c r="A226" s="550" t="s">
        <v>772</v>
      </c>
      <c r="B226" s="348" t="s">
        <v>147</v>
      </c>
      <c r="C226" s="348" t="s">
        <v>148</v>
      </c>
      <c r="D226" s="352" t="s">
        <v>149</v>
      </c>
      <c r="E226" s="336">
        <v>43549</v>
      </c>
      <c r="F226" s="336">
        <v>43547</v>
      </c>
      <c r="G226" s="350"/>
      <c r="H226" s="334" t="s">
        <v>773</v>
      </c>
      <c r="I226" s="356">
        <v>18601703697</v>
      </c>
      <c r="J226" s="361" t="s">
        <v>774</v>
      </c>
      <c r="K226" s="356">
        <v>1000</v>
      </c>
      <c r="L226" s="362"/>
      <c r="M226" s="362"/>
      <c r="N226" s="362">
        <f t="shared" si="7"/>
        <v>0</v>
      </c>
      <c r="O226" s="356"/>
      <c r="P226" s="356"/>
      <c r="Q226" s="356"/>
      <c r="R226" s="356"/>
      <c r="S226" s="356"/>
      <c r="T226" s="356"/>
      <c r="U226" s="376" t="s">
        <v>775</v>
      </c>
      <c r="V226" s="372"/>
      <c r="W226" s="372"/>
      <c r="X226" s="373"/>
      <c r="Y226" s="348" t="s">
        <v>745</v>
      </c>
      <c r="Z226" s="348"/>
      <c r="AA226" s="348"/>
    </row>
    <row r="227" s="331" customFormat="1" ht="17" customHeight="1" spans="1:28">
      <c r="A227" s="348">
        <v>2068748</v>
      </c>
      <c r="B227" s="348" t="s">
        <v>726</v>
      </c>
      <c r="C227" s="348" t="s">
        <v>727</v>
      </c>
      <c r="D227" s="352" t="s">
        <v>149</v>
      </c>
      <c r="E227" s="336">
        <v>43550</v>
      </c>
      <c r="F227" s="336">
        <v>43549</v>
      </c>
      <c r="G227" s="356" t="s">
        <v>776</v>
      </c>
      <c r="H227" s="334" t="s">
        <v>777</v>
      </c>
      <c r="I227" s="356">
        <v>13764044169</v>
      </c>
      <c r="J227" s="361" t="s">
        <v>778</v>
      </c>
      <c r="K227" s="356">
        <v>2199</v>
      </c>
      <c r="L227" s="362"/>
      <c r="M227" s="362"/>
      <c r="N227" s="362">
        <f t="shared" si="7"/>
        <v>0</v>
      </c>
      <c r="O227" s="356"/>
      <c r="P227" s="356"/>
      <c r="Q227" s="356"/>
      <c r="R227" s="356"/>
      <c r="S227" s="356"/>
      <c r="T227" s="356"/>
      <c r="U227" s="372"/>
      <c r="V227" s="372"/>
      <c r="W227" s="372"/>
      <c r="X227" s="373"/>
      <c r="Y227" s="348"/>
      <c r="Z227" s="348"/>
      <c r="AA227" s="348"/>
      <c r="AB227" s="348" t="s">
        <v>764</v>
      </c>
    </row>
    <row r="228" s="331" customFormat="1" ht="15" customHeight="1" spans="1:27">
      <c r="A228" s="348">
        <v>2023013</v>
      </c>
      <c r="B228" s="348" t="s">
        <v>58</v>
      </c>
      <c r="C228" s="348" t="s">
        <v>109</v>
      </c>
      <c r="D228" s="352" t="s">
        <v>110</v>
      </c>
      <c r="E228" s="336">
        <v>43550</v>
      </c>
      <c r="F228" s="336">
        <v>43550</v>
      </c>
      <c r="G228" s="350"/>
      <c r="H228" s="334" t="s">
        <v>779</v>
      </c>
      <c r="I228" s="356">
        <v>13761325582</v>
      </c>
      <c r="J228" s="361" t="s">
        <v>780</v>
      </c>
      <c r="K228" s="356">
        <v>7440</v>
      </c>
      <c r="L228" s="362"/>
      <c r="M228" s="362"/>
      <c r="N228" s="362">
        <f t="shared" si="7"/>
        <v>0</v>
      </c>
      <c r="O228" s="356"/>
      <c r="P228" s="356"/>
      <c r="Q228" s="356"/>
      <c r="R228" s="366" t="s">
        <v>52</v>
      </c>
      <c r="S228" s="356"/>
      <c r="T228" s="356"/>
      <c r="U228" s="372" t="s">
        <v>781</v>
      </c>
      <c r="V228" s="372"/>
      <c r="W228" s="372"/>
      <c r="X228" s="373"/>
      <c r="Y228" s="348" t="s">
        <v>92</v>
      </c>
      <c r="Z228" s="348"/>
      <c r="AA228" s="348"/>
    </row>
    <row r="229" s="331" customFormat="1" ht="17" customHeight="1" spans="1:27">
      <c r="A229" s="348">
        <v>2067343</v>
      </c>
      <c r="B229" s="348" t="s">
        <v>31</v>
      </c>
      <c r="C229" s="348" t="s">
        <v>32</v>
      </c>
      <c r="D229" s="349" t="s">
        <v>33</v>
      </c>
      <c r="E229" s="336">
        <v>43552</v>
      </c>
      <c r="F229" s="336">
        <v>43552</v>
      </c>
      <c r="G229" s="350"/>
      <c r="H229" s="334" t="s">
        <v>782</v>
      </c>
      <c r="I229" s="356">
        <v>1381747893</v>
      </c>
      <c r="J229" s="361" t="s">
        <v>783</v>
      </c>
      <c r="K229" s="356">
        <v>1000</v>
      </c>
      <c r="L229" s="362"/>
      <c r="M229" s="362"/>
      <c r="N229" s="362">
        <f t="shared" si="7"/>
        <v>0</v>
      </c>
      <c r="O229" s="356"/>
      <c r="P229" s="356"/>
      <c r="Q229" s="356"/>
      <c r="R229" s="356"/>
      <c r="S229" s="356"/>
      <c r="T229" s="356"/>
      <c r="U229" s="372" t="s">
        <v>12</v>
      </c>
      <c r="V229" s="372"/>
      <c r="W229" s="372"/>
      <c r="X229" s="373"/>
      <c r="Y229" s="348" t="s">
        <v>380</v>
      </c>
      <c r="Z229" s="348"/>
      <c r="AA229" s="348"/>
    </row>
    <row r="230" s="331" customFormat="1" ht="17" customHeight="1" spans="1:27">
      <c r="A230" s="550" t="s">
        <v>784</v>
      </c>
      <c r="B230" s="348" t="s">
        <v>137</v>
      </c>
      <c r="C230" s="348" t="s">
        <v>480</v>
      </c>
      <c r="D230" s="349" t="s">
        <v>717</v>
      </c>
      <c r="E230" s="336">
        <v>43618</v>
      </c>
      <c r="F230" s="336">
        <v>43617</v>
      </c>
      <c r="G230" s="336">
        <v>43675</v>
      </c>
      <c r="H230" s="334" t="s">
        <v>785</v>
      </c>
      <c r="I230" s="356">
        <v>13601920863</v>
      </c>
      <c r="J230" s="361" t="s">
        <v>786</v>
      </c>
      <c r="K230" s="356">
        <f>800+1000</f>
        <v>1800</v>
      </c>
      <c r="L230" s="334">
        <v>9035</v>
      </c>
      <c r="M230" s="362"/>
      <c r="N230" s="362">
        <f t="shared" si="7"/>
        <v>9035</v>
      </c>
      <c r="O230" s="356"/>
      <c r="P230" s="356">
        <v>1</v>
      </c>
      <c r="Q230" s="366"/>
      <c r="R230" s="356"/>
      <c r="S230" s="356"/>
      <c r="T230" s="356"/>
      <c r="U230" s="372"/>
      <c r="V230" s="372"/>
      <c r="W230" s="372"/>
      <c r="X230" s="373"/>
      <c r="Y230" s="348" t="s">
        <v>787</v>
      </c>
      <c r="Z230" s="348"/>
      <c r="AA230" s="348"/>
    </row>
    <row r="231" s="331" customFormat="1" ht="17" customHeight="1" spans="1:27">
      <c r="A231" s="348">
        <v>2068698</v>
      </c>
      <c r="B231" s="348" t="s">
        <v>137</v>
      </c>
      <c r="C231" s="348" t="s">
        <v>480</v>
      </c>
      <c r="D231" s="349" t="s">
        <v>139</v>
      </c>
      <c r="E231" s="336">
        <v>43552</v>
      </c>
      <c r="F231" s="336">
        <v>43552</v>
      </c>
      <c r="G231" s="336">
        <v>43659</v>
      </c>
      <c r="H231" s="334" t="s">
        <v>788</v>
      </c>
      <c r="I231" s="356">
        <v>13817082063</v>
      </c>
      <c r="J231" s="361" t="s">
        <v>789</v>
      </c>
      <c r="K231" s="356">
        <v>1000</v>
      </c>
      <c r="L231" s="334">
        <v>21230</v>
      </c>
      <c r="M231" s="362"/>
      <c r="N231" s="362">
        <f t="shared" si="7"/>
        <v>21230</v>
      </c>
      <c r="O231" s="356"/>
      <c r="P231" s="356">
        <v>1</v>
      </c>
      <c r="Q231" s="356"/>
      <c r="R231" s="356"/>
      <c r="S231" s="356"/>
      <c r="T231" s="356"/>
      <c r="U231" s="372"/>
      <c r="V231" s="372"/>
      <c r="W231" s="372"/>
      <c r="X231" s="373"/>
      <c r="Y231" s="348"/>
      <c r="Z231" s="348"/>
      <c r="AA231" s="348"/>
    </row>
    <row r="232" s="331" customFormat="1" ht="17" customHeight="1" spans="1:27">
      <c r="A232" s="348"/>
      <c r="B232" s="348" t="s">
        <v>160</v>
      </c>
      <c r="C232" s="348" t="s">
        <v>275</v>
      </c>
      <c r="D232" s="349" t="s">
        <v>162</v>
      </c>
      <c r="E232" s="336">
        <v>43554</v>
      </c>
      <c r="F232" s="336">
        <v>43552</v>
      </c>
      <c r="G232" s="350" t="s">
        <v>69</v>
      </c>
      <c r="H232" s="334" t="s">
        <v>790</v>
      </c>
      <c r="I232" s="356">
        <v>13661814758</v>
      </c>
      <c r="J232" s="361" t="s">
        <v>791</v>
      </c>
      <c r="K232" s="356">
        <v>500</v>
      </c>
      <c r="L232" s="362"/>
      <c r="M232" s="362"/>
      <c r="N232" s="362">
        <f t="shared" si="7"/>
        <v>0</v>
      </c>
      <c r="O232" s="356"/>
      <c r="P232" s="356"/>
      <c r="Q232" s="356"/>
      <c r="R232" s="356"/>
      <c r="S232" s="356"/>
      <c r="T232" s="356"/>
      <c r="U232" s="372"/>
      <c r="V232" s="372"/>
      <c r="W232" s="372"/>
      <c r="X232" s="373"/>
      <c r="Y232" s="348" t="s">
        <v>792</v>
      </c>
      <c r="Z232" s="348"/>
      <c r="AA232" s="348"/>
    </row>
    <row r="233" s="331" customFormat="1" ht="17" customHeight="1" spans="1:27">
      <c r="A233" s="550" t="s">
        <v>793</v>
      </c>
      <c r="B233" s="348" t="s">
        <v>58</v>
      </c>
      <c r="C233" s="348" t="s">
        <v>794</v>
      </c>
      <c r="D233" s="352" t="s">
        <v>110</v>
      </c>
      <c r="E233" s="336">
        <v>43620</v>
      </c>
      <c r="F233" s="336">
        <v>43618</v>
      </c>
      <c r="G233" s="350">
        <v>43638</v>
      </c>
      <c r="H233" s="334" t="s">
        <v>795</v>
      </c>
      <c r="I233" s="356">
        <v>13601945765</v>
      </c>
      <c r="J233" s="361" t="s">
        <v>796</v>
      </c>
      <c r="K233" s="356">
        <v>1000</v>
      </c>
      <c r="L233" s="362"/>
      <c r="M233" s="362"/>
      <c r="N233" s="362">
        <f t="shared" si="7"/>
        <v>0</v>
      </c>
      <c r="O233" s="356"/>
      <c r="P233" s="356"/>
      <c r="Q233" s="356"/>
      <c r="R233" s="356"/>
      <c r="S233" s="356"/>
      <c r="T233" s="356"/>
      <c r="U233" s="372"/>
      <c r="V233" s="372"/>
      <c r="W233" s="372"/>
      <c r="X233" s="373"/>
      <c r="Y233" s="348"/>
      <c r="Z233" s="348"/>
      <c r="AA233" s="348"/>
    </row>
    <row r="234" s="331" customFormat="1" ht="17" customHeight="1" spans="1:28">
      <c r="A234" s="550" t="s">
        <v>797</v>
      </c>
      <c r="B234" s="348" t="s">
        <v>123</v>
      </c>
      <c r="C234" s="348" t="s">
        <v>124</v>
      </c>
      <c r="D234" s="349" t="s">
        <v>125</v>
      </c>
      <c r="E234" s="336">
        <v>43553</v>
      </c>
      <c r="F234" s="336">
        <v>43552</v>
      </c>
      <c r="G234" s="350"/>
      <c r="H234" s="334" t="s">
        <v>798</v>
      </c>
      <c r="I234" s="356">
        <v>13262253615</v>
      </c>
      <c r="J234" s="361" t="s">
        <v>799</v>
      </c>
      <c r="K234" s="356">
        <v>4860</v>
      </c>
      <c r="L234" s="362"/>
      <c r="M234" s="362"/>
      <c r="N234" s="362">
        <f t="shared" si="7"/>
        <v>0</v>
      </c>
      <c r="O234" s="356"/>
      <c r="P234" s="356"/>
      <c r="Q234" s="366" t="s">
        <v>52</v>
      </c>
      <c r="R234" s="356"/>
      <c r="S234" s="356"/>
      <c r="T234" s="356"/>
      <c r="U234" s="372"/>
      <c r="V234" s="372"/>
      <c r="W234" s="372"/>
      <c r="X234" s="373"/>
      <c r="Y234" s="348"/>
      <c r="Z234" s="348"/>
      <c r="AA234" s="348"/>
      <c r="AB234" s="331" t="s">
        <v>659</v>
      </c>
    </row>
    <row r="235" s="331" customFormat="1" ht="17" customHeight="1" spans="1:27">
      <c r="A235" s="348">
        <v>2025727</v>
      </c>
      <c r="B235" s="348" t="s">
        <v>35</v>
      </c>
      <c r="C235" s="348" t="s">
        <v>328</v>
      </c>
      <c r="D235" s="352" t="s">
        <v>37</v>
      </c>
      <c r="E235" s="336">
        <v>43554</v>
      </c>
      <c r="F235" s="336" t="s">
        <v>800</v>
      </c>
      <c r="G235" s="336">
        <v>43658</v>
      </c>
      <c r="H235" s="334" t="s">
        <v>801</v>
      </c>
      <c r="I235" s="356">
        <v>13482292982</v>
      </c>
      <c r="J235" s="361" t="s">
        <v>802</v>
      </c>
      <c r="K235" s="356">
        <v>500</v>
      </c>
      <c r="L235" s="362"/>
      <c r="M235" s="334">
        <v>522</v>
      </c>
      <c r="N235" s="362">
        <f t="shared" si="7"/>
        <v>522</v>
      </c>
      <c r="O235" s="356"/>
      <c r="P235" s="356"/>
      <c r="Q235" s="356"/>
      <c r="R235" s="356"/>
      <c r="S235" s="356"/>
      <c r="T235" s="356"/>
      <c r="U235" s="372"/>
      <c r="V235" s="372"/>
      <c r="W235" s="372"/>
      <c r="X235" s="373"/>
      <c r="Y235" s="348" t="s">
        <v>792</v>
      </c>
      <c r="Z235" s="348"/>
      <c r="AA235" s="348"/>
    </row>
    <row r="236" s="331" customFormat="1" ht="17" customHeight="1" spans="1:27">
      <c r="A236" s="348"/>
      <c r="B236" s="348" t="s">
        <v>243</v>
      </c>
      <c r="C236" s="348" t="s">
        <v>244</v>
      </c>
      <c r="D236" s="352" t="s">
        <v>49</v>
      </c>
      <c r="E236" s="336">
        <v>43554</v>
      </c>
      <c r="F236" s="336">
        <v>43554</v>
      </c>
      <c r="G236" s="350">
        <v>43624</v>
      </c>
      <c r="H236" s="334" t="s">
        <v>803</v>
      </c>
      <c r="I236" s="356">
        <v>13681898713</v>
      </c>
      <c r="J236" s="361"/>
      <c r="K236" s="356">
        <v>1000</v>
      </c>
      <c r="L236" s="362"/>
      <c r="M236" s="362"/>
      <c r="N236" s="362">
        <f t="shared" si="7"/>
        <v>0</v>
      </c>
      <c r="O236" s="356"/>
      <c r="P236" s="356"/>
      <c r="Q236" s="356"/>
      <c r="R236" s="356"/>
      <c r="S236" s="356"/>
      <c r="T236" s="356"/>
      <c r="U236" s="372"/>
      <c r="V236" s="372"/>
      <c r="W236" s="372"/>
      <c r="X236" s="373"/>
      <c r="Y236" s="348"/>
      <c r="Z236" s="348"/>
      <c r="AA236" s="348"/>
    </row>
    <row r="237" s="331" customFormat="1" ht="17" customHeight="1" spans="1:27">
      <c r="A237" s="550" t="s">
        <v>804</v>
      </c>
      <c r="B237" s="348" t="s">
        <v>805</v>
      </c>
      <c r="C237" s="348" t="s">
        <v>806</v>
      </c>
      <c r="D237" s="349" t="s">
        <v>139</v>
      </c>
      <c r="E237" s="336">
        <v>43682</v>
      </c>
      <c r="F237" s="336">
        <v>43548</v>
      </c>
      <c r="G237" s="336">
        <v>43681</v>
      </c>
      <c r="H237" s="334" t="s">
        <v>807</v>
      </c>
      <c r="I237" s="356">
        <v>13587519511</v>
      </c>
      <c r="J237" s="361" t="s">
        <v>808</v>
      </c>
      <c r="K237" s="356">
        <v>1000</v>
      </c>
      <c r="L237" s="334">
        <v>14831</v>
      </c>
      <c r="M237" s="334">
        <v>1840</v>
      </c>
      <c r="N237" s="362">
        <f t="shared" si="7"/>
        <v>16671</v>
      </c>
      <c r="O237" s="356"/>
      <c r="P237" s="356"/>
      <c r="Q237" s="356"/>
      <c r="R237" s="356"/>
      <c r="S237" s="356"/>
      <c r="T237" s="356"/>
      <c r="U237" s="372"/>
      <c r="V237" s="372"/>
      <c r="W237" s="372" t="s">
        <v>809</v>
      </c>
      <c r="X237" s="373"/>
      <c r="Y237" s="348"/>
      <c r="Z237" s="348"/>
      <c r="AA237" s="348"/>
    </row>
    <row r="238" s="331" customFormat="1" ht="17" customHeight="1" spans="1:27">
      <c r="A238" s="550" t="s">
        <v>810</v>
      </c>
      <c r="B238" s="348" t="s">
        <v>805</v>
      </c>
      <c r="C238" s="348" t="s">
        <v>191</v>
      </c>
      <c r="D238" s="352" t="s">
        <v>171</v>
      </c>
      <c r="E238" s="336">
        <v>43554</v>
      </c>
      <c r="F238" s="336">
        <v>43547</v>
      </c>
      <c r="G238" s="350"/>
      <c r="H238" s="334" t="s">
        <v>811</v>
      </c>
      <c r="I238" s="356">
        <v>13501904188</v>
      </c>
      <c r="J238" s="361" t="s">
        <v>812</v>
      </c>
      <c r="K238" s="356">
        <v>1000</v>
      </c>
      <c r="L238" s="362"/>
      <c r="M238" s="362"/>
      <c r="N238" s="362">
        <f t="shared" si="7"/>
        <v>0</v>
      </c>
      <c r="O238" s="356"/>
      <c r="P238" s="356"/>
      <c r="Q238" s="356"/>
      <c r="R238" s="356"/>
      <c r="S238" s="356"/>
      <c r="T238" s="356"/>
      <c r="U238" s="379">
        <v>5.16</v>
      </c>
      <c r="V238" s="372"/>
      <c r="W238" s="372"/>
      <c r="X238" s="373"/>
      <c r="Y238" s="348"/>
      <c r="Z238" s="348"/>
      <c r="AA238" s="348"/>
    </row>
    <row r="239" s="331" customFormat="1" ht="17" customHeight="1" spans="1:27">
      <c r="A239" s="550" t="s">
        <v>813</v>
      </c>
      <c r="B239" s="348" t="s">
        <v>147</v>
      </c>
      <c r="C239" s="348" t="s">
        <v>148</v>
      </c>
      <c r="D239" s="334" t="s">
        <v>182</v>
      </c>
      <c r="E239" s="336">
        <v>43710</v>
      </c>
      <c r="F239" s="336">
        <v>43544</v>
      </c>
      <c r="G239" s="336">
        <v>43710</v>
      </c>
      <c r="H239" s="334" t="s">
        <v>814</v>
      </c>
      <c r="I239" s="356">
        <v>13524621910</v>
      </c>
      <c r="J239" s="361" t="s">
        <v>815</v>
      </c>
      <c r="K239" s="356">
        <v>500</v>
      </c>
      <c r="L239" s="362"/>
      <c r="M239" s="334">
        <v>-3290</v>
      </c>
      <c r="N239" s="362">
        <f t="shared" si="7"/>
        <v>-3290</v>
      </c>
      <c r="O239" s="356"/>
      <c r="P239" s="356"/>
      <c r="Q239" s="356"/>
      <c r="R239" s="391"/>
      <c r="S239" s="356" t="s">
        <v>816</v>
      </c>
      <c r="T239" s="356"/>
      <c r="U239" s="372"/>
      <c r="V239" s="372"/>
      <c r="W239" s="372"/>
      <c r="X239" s="373"/>
      <c r="Y239" s="348" t="s">
        <v>817</v>
      </c>
      <c r="Z239" s="348"/>
      <c r="AA239" s="348"/>
    </row>
    <row r="240" s="331" customFormat="1" ht="17" customHeight="1" spans="1:27">
      <c r="A240" s="348">
        <v>2021800</v>
      </c>
      <c r="B240" s="348" t="s">
        <v>130</v>
      </c>
      <c r="C240" s="348" t="s">
        <v>395</v>
      </c>
      <c r="D240" s="352" t="s">
        <v>171</v>
      </c>
      <c r="E240" s="336">
        <v>43554</v>
      </c>
      <c r="F240" s="336">
        <v>43552</v>
      </c>
      <c r="G240" s="350" t="s">
        <v>69</v>
      </c>
      <c r="H240" s="351" t="s">
        <v>818</v>
      </c>
      <c r="I240" s="356">
        <v>15821662066</v>
      </c>
      <c r="J240" s="361" t="s">
        <v>819</v>
      </c>
      <c r="K240" s="356">
        <v>500</v>
      </c>
      <c r="L240" s="362"/>
      <c r="M240" s="362"/>
      <c r="N240" s="362">
        <f t="shared" si="7"/>
        <v>0</v>
      </c>
      <c r="O240" s="356"/>
      <c r="P240" s="356"/>
      <c r="Q240" s="356"/>
      <c r="R240" s="356"/>
      <c r="S240" s="356"/>
      <c r="T240" s="356"/>
      <c r="U240" s="372"/>
      <c r="V240" s="372"/>
      <c r="W240" s="372"/>
      <c r="X240" s="373"/>
      <c r="Y240" s="348" t="s">
        <v>817</v>
      </c>
      <c r="Z240" s="348"/>
      <c r="AA240" s="348"/>
    </row>
    <row r="241" s="331" customFormat="1" ht="17" customHeight="1" spans="1:27">
      <c r="A241" s="550" t="s">
        <v>820</v>
      </c>
      <c r="B241" s="348" t="s">
        <v>185</v>
      </c>
      <c r="C241" s="348" t="s">
        <v>186</v>
      </c>
      <c r="D241" s="352" t="s">
        <v>171</v>
      </c>
      <c r="E241" s="336">
        <v>43554</v>
      </c>
      <c r="F241" s="336">
        <v>43554</v>
      </c>
      <c r="G241" s="350"/>
      <c r="H241" s="334" t="s">
        <v>821</v>
      </c>
      <c r="I241" s="356">
        <v>17721161170</v>
      </c>
      <c r="J241" s="361" t="s">
        <v>822</v>
      </c>
      <c r="K241" s="356">
        <v>1000</v>
      </c>
      <c r="L241" s="362"/>
      <c r="M241" s="362"/>
      <c r="N241" s="362">
        <f t="shared" si="7"/>
        <v>0</v>
      </c>
      <c r="O241" s="356" t="s">
        <v>52</v>
      </c>
      <c r="P241" s="356"/>
      <c r="Q241" s="356"/>
      <c r="R241" s="356"/>
      <c r="S241" s="356"/>
      <c r="T241" s="356"/>
      <c r="V241" s="372"/>
      <c r="W241" s="372"/>
      <c r="X241" s="373"/>
      <c r="Y241" s="348" t="s">
        <v>380</v>
      </c>
      <c r="Z241" s="348"/>
      <c r="AA241" s="348"/>
    </row>
    <row r="242" s="331" customFormat="1" ht="17" customHeight="1" spans="1:27">
      <c r="A242" s="348"/>
      <c r="B242" s="348" t="s">
        <v>405</v>
      </c>
      <c r="C242" s="348" t="s">
        <v>823</v>
      </c>
      <c r="D242" s="349" t="s">
        <v>407</v>
      </c>
      <c r="E242" s="336">
        <v>43644</v>
      </c>
      <c r="F242" s="336">
        <v>43644</v>
      </c>
      <c r="G242" s="336">
        <v>43673</v>
      </c>
      <c r="H242" s="334" t="s">
        <v>824</v>
      </c>
      <c r="I242" s="356">
        <v>13611641559</v>
      </c>
      <c r="J242" s="361" t="s">
        <v>825</v>
      </c>
      <c r="K242" s="356">
        <f>14000+1000</f>
        <v>15000</v>
      </c>
      <c r="L242" s="334">
        <v>12665</v>
      </c>
      <c r="M242" s="362"/>
      <c r="N242" s="362">
        <f t="shared" si="7"/>
        <v>12665</v>
      </c>
      <c r="O242" s="356"/>
      <c r="P242" s="356"/>
      <c r="Q242" s="356" t="s">
        <v>52</v>
      </c>
      <c r="R242" s="356"/>
      <c r="S242" s="356"/>
      <c r="T242" s="356"/>
      <c r="U242" s="372"/>
      <c r="V242" s="372"/>
      <c r="W242" s="372"/>
      <c r="X242" s="373"/>
      <c r="Y242" s="348"/>
      <c r="Z242" s="348"/>
      <c r="AA242" s="348"/>
    </row>
    <row r="243" s="331" customFormat="1" ht="17" customHeight="1" spans="1:27">
      <c r="A243" s="550" t="s">
        <v>826</v>
      </c>
      <c r="B243" s="348" t="s">
        <v>805</v>
      </c>
      <c r="C243" s="348" t="s">
        <v>806</v>
      </c>
      <c r="D243" s="352" t="s">
        <v>171</v>
      </c>
      <c r="E243" s="336">
        <v>43555</v>
      </c>
      <c r="F243" s="336">
        <v>43554</v>
      </c>
      <c r="G243" s="350"/>
      <c r="H243" s="334"/>
      <c r="I243" s="356">
        <v>18017463471</v>
      </c>
      <c r="J243" s="361" t="s">
        <v>827</v>
      </c>
      <c r="K243" s="356">
        <v>0</v>
      </c>
      <c r="L243" s="362"/>
      <c r="M243" s="362"/>
      <c r="N243" s="362">
        <f t="shared" si="7"/>
        <v>0</v>
      </c>
      <c r="O243" s="356"/>
      <c r="P243" s="356"/>
      <c r="Q243" s="356"/>
      <c r="R243" s="356"/>
      <c r="S243" s="356"/>
      <c r="T243" s="356"/>
      <c r="U243" s="379">
        <v>5.4</v>
      </c>
      <c r="V243" s="372"/>
      <c r="W243" s="372"/>
      <c r="X243" s="373"/>
      <c r="Y243" s="348"/>
      <c r="Z243" s="348"/>
      <c r="AA243" s="348"/>
    </row>
    <row r="244" s="331" customFormat="1" ht="17" customHeight="1" spans="1:27">
      <c r="A244" s="550" t="s">
        <v>828</v>
      </c>
      <c r="B244" s="348" t="s">
        <v>805</v>
      </c>
      <c r="C244" s="348" t="s">
        <v>806</v>
      </c>
      <c r="D244" s="352" t="s">
        <v>171</v>
      </c>
      <c r="E244" s="336">
        <v>43555</v>
      </c>
      <c r="F244" s="336">
        <v>43554</v>
      </c>
      <c r="G244" s="350"/>
      <c r="H244" s="334" t="s">
        <v>829</v>
      </c>
      <c r="I244" s="356">
        <v>15900985118</v>
      </c>
      <c r="J244" s="361" t="s">
        <v>830</v>
      </c>
      <c r="K244" s="356">
        <v>1000</v>
      </c>
      <c r="L244" s="362"/>
      <c r="M244" s="362"/>
      <c r="N244" s="362">
        <f t="shared" si="7"/>
        <v>0</v>
      </c>
      <c r="O244" s="356" t="s">
        <v>52</v>
      </c>
      <c r="P244" s="356"/>
      <c r="Q244" s="356"/>
      <c r="R244" s="356"/>
      <c r="S244" s="356"/>
      <c r="T244" s="356"/>
      <c r="U244" s="372"/>
      <c r="V244" s="372"/>
      <c r="W244" s="372"/>
      <c r="X244" s="373"/>
      <c r="Y244" s="348"/>
      <c r="Z244" s="348"/>
      <c r="AA244" s="348"/>
    </row>
    <row r="245" s="331" customFormat="1" ht="17" customHeight="1" spans="1:27">
      <c r="A245" s="348"/>
      <c r="B245" s="348" t="s">
        <v>160</v>
      </c>
      <c r="C245" s="348" t="s">
        <v>161</v>
      </c>
      <c r="D245" s="352" t="s">
        <v>171</v>
      </c>
      <c r="E245" s="336">
        <v>43555</v>
      </c>
      <c r="F245" s="336">
        <v>43555</v>
      </c>
      <c r="G245" s="350"/>
      <c r="H245" s="334" t="s">
        <v>831</v>
      </c>
      <c r="I245" s="356">
        <v>13764136985</v>
      </c>
      <c r="J245" s="361" t="s">
        <v>832</v>
      </c>
      <c r="K245" s="356">
        <v>2997</v>
      </c>
      <c r="L245" s="362"/>
      <c r="M245" s="362"/>
      <c r="N245" s="362">
        <f t="shared" si="7"/>
        <v>0</v>
      </c>
      <c r="O245" s="356"/>
      <c r="P245" s="356"/>
      <c r="Q245" s="356"/>
      <c r="R245" s="356"/>
      <c r="S245" s="356"/>
      <c r="T245" s="356"/>
      <c r="U245" s="372" t="s">
        <v>833</v>
      </c>
      <c r="V245" s="372"/>
      <c r="W245" s="372"/>
      <c r="X245" s="373"/>
      <c r="Y245" s="348"/>
      <c r="Z245" s="348"/>
      <c r="AA245" s="348"/>
    </row>
    <row r="246" s="331" customFormat="1" ht="17" customHeight="1" spans="1:27">
      <c r="A246" s="348">
        <v>2025486</v>
      </c>
      <c r="B246" s="348" t="s">
        <v>94</v>
      </c>
      <c r="C246" s="348" t="s">
        <v>95</v>
      </c>
      <c r="D246" s="352" t="s">
        <v>171</v>
      </c>
      <c r="E246" s="336">
        <v>43555</v>
      </c>
      <c r="F246" s="336">
        <v>43554</v>
      </c>
      <c r="G246" s="350"/>
      <c r="H246" s="334" t="s">
        <v>834</v>
      </c>
      <c r="I246" s="356">
        <v>1817650560</v>
      </c>
      <c r="J246" s="361" t="s">
        <v>835</v>
      </c>
      <c r="K246" s="356">
        <v>1000</v>
      </c>
      <c r="L246" s="362"/>
      <c r="M246" s="362"/>
      <c r="N246" s="362">
        <f t="shared" si="7"/>
        <v>0</v>
      </c>
      <c r="O246" s="356"/>
      <c r="P246" s="366" t="s">
        <v>52</v>
      </c>
      <c r="Q246" s="356"/>
      <c r="R246" s="356"/>
      <c r="S246" s="356"/>
      <c r="T246" s="356"/>
      <c r="U246" s="372"/>
      <c r="V246" s="372"/>
      <c r="W246" s="372"/>
      <c r="X246" s="373"/>
      <c r="Y246" s="348"/>
      <c r="Z246" s="348" t="s">
        <v>836</v>
      </c>
      <c r="AA246" s="348"/>
    </row>
    <row r="247" s="331" customFormat="1" ht="17" customHeight="1" spans="1:27">
      <c r="A247" s="348">
        <v>2025545</v>
      </c>
      <c r="B247" s="348" t="s">
        <v>335</v>
      </c>
      <c r="C247" s="348" t="s">
        <v>336</v>
      </c>
      <c r="D247" s="352" t="s">
        <v>171</v>
      </c>
      <c r="E247" s="336">
        <v>43632</v>
      </c>
      <c r="F247" s="336">
        <v>43631</v>
      </c>
      <c r="G247" s="350"/>
      <c r="H247" s="334" t="s">
        <v>837</v>
      </c>
      <c r="I247" s="356">
        <v>13611645306</v>
      </c>
      <c r="J247" s="361" t="s">
        <v>838</v>
      </c>
      <c r="K247" s="356">
        <f>2000+3000</f>
        <v>5000</v>
      </c>
      <c r="L247" s="362"/>
      <c r="M247" s="362"/>
      <c r="N247" s="362">
        <f t="shared" si="7"/>
        <v>0</v>
      </c>
      <c r="O247" s="356"/>
      <c r="P247" s="356"/>
      <c r="Q247" s="356"/>
      <c r="R247" s="356"/>
      <c r="S247" s="356"/>
      <c r="T247" s="356"/>
      <c r="U247" s="372"/>
      <c r="V247" s="372"/>
      <c r="W247" s="372"/>
      <c r="X247" s="373"/>
      <c r="Y247" s="348" t="s">
        <v>839</v>
      </c>
      <c r="Z247" s="348"/>
      <c r="AA247" s="348"/>
    </row>
    <row r="248" s="331" customFormat="1" ht="17" customHeight="1" spans="1:27">
      <c r="A248" s="348">
        <v>2025481</v>
      </c>
      <c r="B248" s="348" t="s">
        <v>94</v>
      </c>
      <c r="C248" s="348" t="s">
        <v>95</v>
      </c>
      <c r="D248" s="352" t="s">
        <v>171</v>
      </c>
      <c r="E248" s="336">
        <v>43555</v>
      </c>
      <c r="F248" s="336">
        <v>43554</v>
      </c>
      <c r="G248" s="350"/>
      <c r="H248" s="334" t="s">
        <v>840</v>
      </c>
      <c r="I248" s="356">
        <v>13916409017</v>
      </c>
      <c r="J248" s="361" t="s">
        <v>841</v>
      </c>
      <c r="K248" s="356">
        <v>1000</v>
      </c>
      <c r="L248" s="362"/>
      <c r="M248" s="362"/>
      <c r="N248" s="362">
        <f t="shared" si="7"/>
        <v>0</v>
      </c>
      <c r="O248" s="356"/>
      <c r="P248" s="356"/>
      <c r="Q248" s="356"/>
      <c r="R248" s="356"/>
      <c r="S248" s="356"/>
      <c r="T248" s="356"/>
      <c r="U248" s="372" t="s">
        <v>104</v>
      </c>
      <c r="V248" s="372"/>
      <c r="W248" s="372"/>
      <c r="X248" s="373"/>
      <c r="Y248" s="348"/>
      <c r="Z248" s="348" t="s">
        <v>836</v>
      </c>
      <c r="AA248" s="348"/>
    </row>
    <row r="249" s="331" customFormat="1" ht="17" customHeight="1" spans="1:27">
      <c r="A249" s="348">
        <v>2025483</v>
      </c>
      <c r="B249" s="348" t="s">
        <v>94</v>
      </c>
      <c r="C249" s="348" t="s">
        <v>451</v>
      </c>
      <c r="D249" s="352" t="s">
        <v>49</v>
      </c>
      <c r="E249" s="336">
        <v>43555</v>
      </c>
      <c r="F249" s="336">
        <v>43554</v>
      </c>
      <c r="G249" s="350"/>
      <c r="H249" s="334" t="s">
        <v>842</v>
      </c>
      <c r="I249" s="356">
        <v>13816080918</v>
      </c>
      <c r="J249" s="361" t="s">
        <v>843</v>
      </c>
      <c r="K249" s="356">
        <v>1000</v>
      </c>
      <c r="L249" s="362"/>
      <c r="M249" s="362"/>
      <c r="N249" s="362">
        <f t="shared" ref="N249:N293" si="8">L249+M249</f>
        <v>0</v>
      </c>
      <c r="O249" s="356"/>
      <c r="P249" s="356"/>
      <c r="Q249" s="356"/>
      <c r="R249" s="356"/>
      <c r="S249" s="366" t="s">
        <v>52</v>
      </c>
      <c r="T249" s="356"/>
      <c r="U249" s="372"/>
      <c r="V249" s="372"/>
      <c r="W249" s="372"/>
      <c r="X249" s="373"/>
      <c r="Y249" s="348"/>
      <c r="Z249" s="348" t="s">
        <v>836</v>
      </c>
      <c r="AA249" s="348"/>
    </row>
    <row r="250" s="331" customFormat="1" ht="17" customHeight="1" spans="1:27">
      <c r="A250" s="348">
        <v>2025485</v>
      </c>
      <c r="B250" s="348" t="s">
        <v>94</v>
      </c>
      <c r="C250" s="348" t="s">
        <v>451</v>
      </c>
      <c r="D250" s="352" t="s">
        <v>49</v>
      </c>
      <c r="E250" s="336">
        <v>43555</v>
      </c>
      <c r="F250" s="336">
        <v>43554</v>
      </c>
      <c r="G250" s="350"/>
      <c r="H250" s="334" t="s">
        <v>844</v>
      </c>
      <c r="I250" s="356">
        <v>13248315597</v>
      </c>
      <c r="J250" s="361" t="s">
        <v>845</v>
      </c>
      <c r="K250" s="356">
        <v>1000</v>
      </c>
      <c r="L250" s="362"/>
      <c r="M250" s="362"/>
      <c r="N250" s="362">
        <f t="shared" si="8"/>
        <v>0</v>
      </c>
      <c r="O250" s="356"/>
      <c r="P250" s="356"/>
      <c r="Q250" s="366" t="s">
        <v>52</v>
      </c>
      <c r="R250" s="356"/>
      <c r="S250" s="356"/>
      <c r="T250" s="356"/>
      <c r="U250" s="372" t="s">
        <v>846</v>
      </c>
      <c r="V250" s="372"/>
      <c r="W250" s="372"/>
      <c r="X250" s="373"/>
      <c r="Y250" s="348"/>
      <c r="Z250" s="348" t="s">
        <v>836</v>
      </c>
      <c r="AA250" s="348"/>
    </row>
    <row r="251" s="331" customFormat="1" ht="17" customHeight="1" spans="1:27">
      <c r="A251" s="550" t="s">
        <v>847</v>
      </c>
      <c r="B251" s="348" t="s">
        <v>185</v>
      </c>
      <c r="C251" s="348" t="s">
        <v>186</v>
      </c>
      <c r="D251" s="349" t="s">
        <v>44</v>
      </c>
      <c r="E251" s="336">
        <v>43555</v>
      </c>
      <c r="F251" s="336">
        <v>43555</v>
      </c>
      <c r="G251" s="336">
        <v>43666</v>
      </c>
      <c r="H251" s="334" t="s">
        <v>848</v>
      </c>
      <c r="I251" s="356">
        <v>18621116223</v>
      </c>
      <c r="J251" s="361" t="s">
        <v>849</v>
      </c>
      <c r="K251" s="356">
        <v>1000</v>
      </c>
      <c r="L251" s="334">
        <v>4298</v>
      </c>
      <c r="M251" s="334">
        <v>736</v>
      </c>
      <c r="N251" s="362">
        <f t="shared" si="8"/>
        <v>5034</v>
      </c>
      <c r="O251" s="356"/>
      <c r="P251" s="356"/>
      <c r="Q251" s="356"/>
      <c r="R251" s="356"/>
      <c r="S251" s="356"/>
      <c r="T251" s="356"/>
      <c r="U251" s="372"/>
      <c r="V251" s="372"/>
      <c r="W251" s="372"/>
      <c r="X251" s="373"/>
      <c r="Y251" s="348"/>
      <c r="Z251" s="348"/>
      <c r="AA251" s="348"/>
    </row>
    <row r="252" s="331" customFormat="1" ht="17" customHeight="1" spans="1:27">
      <c r="A252" s="550" t="s">
        <v>850</v>
      </c>
      <c r="B252" s="348" t="s">
        <v>58</v>
      </c>
      <c r="C252" s="348" t="s">
        <v>347</v>
      </c>
      <c r="D252" s="349" t="s">
        <v>343</v>
      </c>
      <c r="E252" s="336">
        <v>43688</v>
      </c>
      <c r="F252" s="336">
        <v>43618</v>
      </c>
      <c r="G252" s="336">
        <v>43684</v>
      </c>
      <c r="H252" s="334" t="s">
        <v>851</v>
      </c>
      <c r="I252" s="356">
        <v>13621763179</v>
      </c>
      <c r="J252" s="361" t="s">
        <v>852</v>
      </c>
      <c r="K252" s="356">
        <f>6000+1000</f>
        <v>7000</v>
      </c>
      <c r="L252" s="334">
        <v>13364</v>
      </c>
      <c r="M252" s="362"/>
      <c r="N252" s="362">
        <f t="shared" si="8"/>
        <v>13364</v>
      </c>
      <c r="O252" s="366" t="s">
        <v>52</v>
      </c>
      <c r="P252" s="356"/>
      <c r="Q252" s="356"/>
      <c r="R252" s="356"/>
      <c r="S252" s="356"/>
      <c r="T252" s="356"/>
      <c r="U252" s="372"/>
      <c r="V252" s="372"/>
      <c r="W252" s="372"/>
      <c r="X252" s="373"/>
      <c r="Y252" s="348"/>
      <c r="Z252" s="348"/>
      <c r="AA252" s="348"/>
    </row>
    <row r="253" s="331" customFormat="1" ht="17" customHeight="1" spans="1:27">
      <c r="A253" s="550" t="s">
        <v>853</v>
      </c>
      <c r="B253" s="348" t="s">
        <v>58</v>
      </c>
      <c r="C253" s="348" t="s">
        <v>347</v>
      </c>
      <c r="D253" s="349" t="s">
        <v>343</v>
      </c>
      <c r="E253" s="336">
        <v>43635</v>
      </c>
      <c r="F253" s="336">
        <v>43634</v>
      </c>
      <c r="G253" s="336">
        <v>43669</v>
      </c>
      <c r="H253" s="334" t="s">
        <v>854</v>
      </c>
      <c r="I253" s="356">
        <v>13636632306</v>
      </c>
      <c r="J253" s="361" t="s">
        <v>855</v>
      </c>
      <c r="K253" s="356">
        <f>5000+5000</f>
        <v>10000</v>
      </c>
      <c r="L253" s="334">
        <v>10628</v>
      </c>
      <c r="M253" s="362">
        <f>368+1104</f>
        <v>1472</v>
      </c>
      <c r="N253" s="362">
        <f t="shared" si="8"/>
        <v>12100</v>
      </c>
      <c r="O253" s="356"/>
      <c r="P253" s="356"/>
      <c r="Q253" s="356"/>
      <c r="R253" s="356"/>
      <c r="S253" s="356"/>
      <c r="T253" s="356"/>
      <c r="U253" s="372"/>
      <c r="V253" s="372"/>
      <c r="W253" s="372">
        <v>7.22</v>
      </c>
      <c r="X253" s="373"/>
      <c r="Y253" s="348" t="s">
        <v>856</v>
      </c>
      <c r="Z253" s="348"/>
      <c r="AA253" s="348"/>
    </row>
    <row r="254" s="331" customFormat="1" ht="17" customHeight="1" spans="1:27">
      <c r="A254" s="348"/>
      <c r="B254" s="348" t="s">
        <v>31</v>
      </c>
      <c r="C254" s="348" t="s">
        <v>419</v>
      </c>
      <c r="D254" s="349" t="s">
        <v>221</v>
      </c>
      <c r="E254" s="336">
        <v>43717</v>
      </c>
      <c r="F254" s="336">
        <v>43555</v>
      </c>
      <c r="G254" s="336">
        <v>43716</v>
      </c>
      <c r="H254" s="334" t="s">
        <v>857</v>
      </c>
      <c r="I254" s="356">
        <v>13601738148</v>
      </c>
      <c r="J254" s="361" t="s">
        <v>858</v>
      </c>
      <c r="K254" s="356">
        <v>3000</v>
      </c>
      <c r="L254" s="334">
        <v>8053</v>
      </c>
      <c r="M254" s="362"/>
      <c r="N254" s="362">
        <f t="shared" si="8"/>
        <v>8053</v>
      </c>
      <c r="O254" s="356"/>
      <c r="P254" s="356"/>
      <c r="Q254" s="366" t="s">
        <v>52</v>
      </c>
      <c r="R254" s="356"/>
      <c r="S254" s="356"/>
      <c r="T254" s="356"/>
      <c r="U254" s="372"/>
      <c r="V254" s="372"/>
      <c r="W254" s="372"/>
      <c r="X254" s="373"/>
      <c r="Y254" s="348"/>
      <c r="Z254" s="348"/>
      <c r="AA254" s="348"/>
    </row>
    <row r="255" s="331" customFormat="1" ht="17" customHeight="1" spans="1:27">
      <c r="A255" s="348"/>
      <c r="B255" s="348" t="s">
        <v>160</v>
      </c>
      <c r="C255" s="348" t="s">
        <v>258</v>
      </c>
      <c r="D255" s="352" t="s">
        <v>132</v>
      </c>
      <c r="E255" s="336">
        <v>43555</v>
      </c>
      <c r="F255" s="336">
        <v>43555</v>
      </c>
      <c r="G255" s="350" t="s">
        <v>231</v>
      </c>
      <c r="H255" s="334" t="s">
        <v>859</v>
      </c>
      <c r="I255" s="356">
        <v>18616660399</v>
      </c>
      <c r="J255" s="361" t="s">
        <v>860</v>
      </c>
      <c r="K255" s="356">
        <v>1000</v>
      </c>
      <c r="L255" s="362"/>
      <c r="M255" s="362"/>
      <c r="N255" s="362">
        <f t="shared" si="8"/>
        <v>0</v>
      </c>
      <c r="O255" s="356">
        <v>1</v>
      </c>
      <c r="P255" s="356"/>
      <c r="Q255" s="356"/>
      <c r="R255" s="356"/>
      <c r="S255" s="356"/>
      <c r="T255" s="356"/>
      <c r="U255" s="372"/>
      <c r="V255" s="372"/>
      <c r="W255" s="372"/>
      <c r="X255" s="373"/>
      <c r="Y255" s="348" t="s">
        <v>72</v>
      </c>
      <c r="Z255" s="348"/>
      <c r="AA255" s="348"/>
    </row>
    <row r="256" s="331" customFormat="1" ht="17" customHeight="1" spans="1:27">
      <c r="A256" s="348">
        <v>2024061</v>
      </c>
      <c r="B256" s="348" t="s">
        <v>137</v>
      </c>
      <c r="C256" s="348" t="s">
        <v>861</v>
      </c>
      <c r="D256" s="349" t="s">
        <v>427</v>
      </c>
      <c r="E256" s="336">
        <v>43737</v>
      </c>
      <c r="F256" s="336">
        <v>43555</v>
      </c>
      <c r="G256" s="336">
        <v>43737</v>
      </c>
      <c r="H256" s="334" t="s">
        <v>862</v>
      </c>
      <c r="I256" s="356">
        <v>13061758516</v>
      </c>
      <c r="J256" s="361" t="s">
        <v>863</v>
      </c>
      <c r="K256" s="356">
        <v>1000</v>
      </c>
      <c r="L256" s="334">
        <v>41000</v>
      </c>
      <c r="M256" s="362"/>
      <c r="N256" s="362">
        <f t="shared" si="8"/>
        <v>41000</v>
      </c>
      <c r="O256" s="356"/>
      <c r="P256" s="356">
        <v>1</v>
      </c>
      <c r="Q256" s="356"/>
      <c r="R256" s="366"/>
      <c r="S256" s="356"/>
      <c r="T256" s="356"/>
      <c r="U256" s="372"/>
      <c r="V256" s="372"/>
      <c r="W256" s="372"/>
      <c r="X256" s="373"/>
      <c r="Y256" s="348"/>
      <c r="Z256" s="348"/>
      <c r="AA256" s="348"/>
    </row>
    <row r="257" s="331" customFormat="1" ht="17" customHeight="1" spans="1:27">
      <c r="A257" s="550" t="s">
        <v>864</v>
      </c>
      <c r="B257" s="348" t="s">
        <v>47</v>
      </c>
      <c r="C257" s="348" t="s">
        <v>53</v>
      </c>
      <c r="D257" s="352" t="s">
        <v>49</v>
      </c>
      <c r="E257" s="336">
        <v>43555</v>
      </c>
      <c r="F257" s="336">
        <v>43555</v>
      </c>
      <c r="G257" s="350">
        <v>43555</v>
      </c>
      <c r="H257" s="334" t="s">
        <v>865</v>
      </c>
      <c r="I257" s="356">
        <v>13817502258</v>
      </c>
      <c r="J257" s="361" t="s">
        <v>866</v>
      </c>
      <c r="K257" s="356">
        <v>1000</v>
      </c>
      <c r="L257" s="354">
        <v>8600</v>
      </c>
      <c r="M257" s="362"/>
      <c r="N257" s="362">
        <f t="shared" si="8"/>
        <v>8600</v>
      </c>
      <c r="O257" s="356"/>
      <c r="P257" s="356"/>
      <c r="Q257" s="356"/>
      <c r="R257" s="356"/>
      <c r="S257" s="356"/>
      <c r="T257" s="356"/>
      <c r="U257" s="372"/>
      <c r="V257" s="372"/>
      <c r="W257" s="372"/>
      <c r="X257" s="373"/>
      <c r="Y257" s="348"/>
      <c r="Z257" s="348"/>
      <c r="AA257" s="348"/>
    </row>
    <row r="258" s="331" customFormat="1" ht="17" customHeight="1" spans="1:27">
      <c r="A258" s="550" t="s">
        <v>867</v>
      </c>
      <c r="B258" s="348" t="s">
        <v>137</v>
      </c>
      <c r="C258" s="348" t="s">
        <v>480</v>
      </c>
      <c r="D258" s="349" t="s">
        <v>139</v>
      </c>
      <c r="E258" s="336">
        <v>43726</v>
      </c>
      <c r="F258" s="336">
        <v>43555</v>
      </c>
      <c r="G258" s="336">
        <v>43726</v>
      </c>
      <c r="H258" s="334" t="s">
        <v>868</v>
      </c>
      <c r="I258" s="356">
        <v>13818773142</v>
      </c>
      <c r="J258" s="361" t="s">
        <v>869</v>
      </c>
      <c r="K258" s="356">
        <v>1000</v>
      </c>
      <c r="L258" s="334">
        <v>30184</v>
      </c>
      <c r="M258" s="362"/>
      <c r="N258" s="362">
        <f t="shared" si="8"/>
        <v>30184</v>
      </c>
      <c r="O258" s="356"/>
      <c r="P258" s="356">
        <v>1</v>
      </c>
      <c r="Q258" s="356"/>
      <c r="R258" s="366"/>
      <c r="S258" s="356"/>
      <c r="T258" s="356"/>
      <c r="U258" s="372"/>
      <c r="V258" s="372"/>
      <c r="W258" s="372"/>
      <c r="X258" s="373"/>
      <c r="Y258" s="348" t="s">
        <v>870</v>
      </c>
      <c r="Z258" s="348"/>
      <c r="AA258" s="348"/>
    </row>
    <row r="259" s="331" customFormat="1" ht="17" customHeight="1" spans="1:27">
      <c r="A259" s="348">
        <v>2066803</v>
      </c>
      <c r="B259" s="348" t="s">
        <v>73</v>
      </c>
      <c r="C259" s="348" t="s">
        <v>178</v>
      </c>
      <c r="D259" s="334" t="s">
        <v>143</v>
      </c>
      <c r="E259" s="336">
        <v>43708</v>
      </c>
      <c r="F259" s="336">
        <v>43555</v>
      </c>
      <c r="G259" s="336">
        <v>43707</v>
      </c>
      <c r="H259" s="334" t="s">
        <v>871</v>
      </c>
      <c r="I259" s="356">
        <v>13918742423</v>
      </c>
      <c r="J259" s="361" t="s">
        <v>872</v>
      </c>
      <c r="K259" s="356">
        <v>1000</v>
      </c>
      <c r="L259" s="334">
        <v>44908.02</v>
      </c>
      <c r="M259" s="362"/>
      <c r="N259" s="362">
        <f t="shared" si="8"/>
        <v>44908.02</v>
      </c>
      <c r="O259" s="356"/>
      <c r="P259" s="356"/>
      <c r="Q259" s="356"/>
      <c r="R259" s="356"/>
      <c r="S259" s="356"/>
      <c r="T259" s="356"/>
      <c r="U259" s="372"/>
      <c r="V259" s="372"/>
      <c r="W259" s="372"/>
      <c r="X259" s="373"/>
      <c r="Y259" s="348"/>
      <c r="Z259" s="348" t="s">
        <v>79</v>
      </c>
      <c r="AA259" s="348"/>
    </row>
    <row r="260" s="331" customFormat="1" ht="17" customHeight="1" spans="1:27">
      <c r="A260" s="348">
        <v>2008740</v>
      </c>
      <c r="B260" s="348" t="s">
        <v>726</v>
      </c>
      <c r="C260" s="348" t="s">
        <v>727</v>
      </c>
      <c r="D260" s="352" t="s">
        <v>149</v>
      </c>
      <c r="E260" s="336">
        <v>43555</v>
      </c>
      <c r="F260" s="336">
        <v>43555</v>
      </c>
      <c r="G260" s="350"/>
      <c r="H260" s="334" t="s">
        <v>873</v>
      </c>
      <c r="I260" s="356">
        <v>17521081142</v>
      </c>
      <c r="J260" s="361" t="s">
        <v>874</v>
      </c>
      <c r="K260" s="356">
        <v>1000</v>
      </c>
      <c r="L260" s="362"/>
      <c r="M260" s="362"/>
      <c r="N260" s="362">
        <f t="shared" si="8"/>
        <v>0</v>
      </c>
      <c r="O260" s="356"/>
      <c r="P260" s="356"/>
      <c r="Q260" s="356"/>
      <c r="R260" s="356"/>
      <c r="S260" s="356"/>
      <c r="T260" s="356"/>
      <c r="U260" s="372" t="s">
        <v>875</v>
      </c>
      <c r="V260" s="372"/>
      <c r="W260" s="372"/>
      <c r="X260" s="373"/>
      <c r="Y260" s="348"/>
      <c r="Z260" s="348"/>
      <c r="AA260" s="348"/>
    </row>
    <row r="261" s="331" customFormat="1" ht="17" customHeight="1" spans="1:27">
      <c r="A261" s="550" t="s">
        <v>876</v>
      </c>
      <c r="B261" s="348" t="s">
        <v>236</v>
      </c>
      <c r="C261" s="348" t="s">
        <v>195</v>
      </c>
      <c r="D261" s="352" t="s">
        <v>143</v>
      </c>
      <c r="E261" s="336"/>
      <c r="F261" s="336">
        <v>43555</v>
      </c>
      <c r="G261" s="336">
        <v>43646</v>
      </c>
      <c r="H261" s="334" t="s">
        <v>877</v>
      </c>
      <c r="I261" s="356">
        <v>18217419135</v>
      </c>
      <c r="J261" s="361" t="s">
        <v>878</v>
      </c>
      <c r="K261" s="356">
        <v>500</v>
      </c>
      <c r="L261" s="362">
        <v>2027</v>
      </c>
      <c r="M261" s="362"/>
      <c r="N261" s="362">
        <f t="shared" si="8"/>
        <v>2027</v>
      </c>
      <c r="O261" s="356"/>
      <c r="P261" s="356"/>
      <c r="Q261" s="356"/>
      <c r="R261" s="356"/>
      <c r="S261" s="356"/>
      <c r="T261" s="356"/>
      <c r="U261" s="372"/>
      <c r="V261" s="372"/>
      <c r="W261" s="372"/>
      <c r="X261" s="373"/>
      <c r="Y261" s="348" t="s">
        <v>142</v>
      </c>
      <c r="Z261" s="348"/>
      <c r="AA261" s="348"/>
    </row>
    <row r="262" s="331" customFormat="1" ht="17" customHeight="1" spans="1:27">
      <c r="A262" s="348">
        <v>2023438</v>
      </c>
      <c r="B262" s="348" t="s">
        <v>73</v>
      </c>
      <c r="C262" s="348" t="s">
        <v>178</v>
      </c>
      <c r="D262" s="349" t="s">
        <v>132</v>
      </c>
      <c r="E262" s="336">
        <v>43682</v>
      </c>
      <c r="F262" s="336">
        <v>43556</v>
      </c>
      <c r="G262" s="336">
        <v>43681</v>
      </c>
      <c r="H262" s="334" t="s">
        <v>879</v>
      </c>
      <c r="I262" s="356">
        <v>13817559677</v>
      </c>
      <c r="J262" s="361" t="s">
        <v>880</v>
      </c>
      <c r="K262" s="356">
        <v>1000</v>
      </c>
      <c r="L262" s="334">
        <v>12381</v>
      </c>
      <c r="M262" s="362"/>
      <c r="N262" s="362">
        <f t="shared" si="8"/>
        <v>12381</v>
      </c>
      <c r="O262" s="356"/>
      <c r="P262" s="356"/>
      <c r="Q262" s="366" t="s">
        <v>52</v>
      </c>
      <c r="R262" s="356"/>
      <c r="S262" s="356"/>
      <c r="T262" s="356"/>
      <c r="U262" s="372"/>
      <c r="V262" s="372"/>
      <c r="W262" s="372"/>
      <c r="X262" s="373"/>
      <c r="Y262" s="348"/>
      <c r="Z262" s="348" t="s">
        <v>79</v>
      </c>
      <c r="AA262" s="348"/>
    </row>
    <row r="263" s="331" customFormat="1" ht="17" customHeight="1" spans="1:27">
      <c r="A263" s="348">
        <v>2022717</v>
      </c>
      <c r="B263" s="348" t="s">
        <v>354</v>
      </c>
      <c r="C263" s="348" t="s">
        <v>355</v>
      </c>
      <c r="D263" s="349" t="s">
        <v>149</v>
      </c>
      <c r="E263" s="336">
        <v>43557</v>
      </c>
      <c r="F263" s="336">
        <v>43556</v>
      </c>
      <c r="G263" s="350"/>
      <c r="H263" s="334" t="s">
        <v>881</v>
      </c>
      <c r="I263" s="356">
        <v>17765154262</v>
      </c>
      <c r="J263" s="361" t="s">
        <v>882</v>
      </c>
      <c r="K263" s="356">
        <v>3000</v>
      </c>
      <c r="L263" s="362"/>
      <c r="M263" s="362"/>
      <c r="N263" s="362">
        <f t="shared" si="8"/>
        <v>0</v>
      </c>
      <c r="O263" s="356"/>
      <c r="P263" s="356"/>
      <c r="Q263" s="356"/>
      <c r="R263" s="356"/>
      <c r="S263" s="356"/>
      <c r="T263" s="356"/>
      <c r="U263" s="372"/>
      <c r="V263" s="372"/>
      <c r="W263" s="372"/>
      <c r="X263" s="373"/>
      <c r="Y263" s="348"/>
      <c r="Z263" s="348"/>
      <c r="AA263" s="348"/>
    </row>
    <row r="264" s="331" customFormat="1" ht="17" customHeight="1" spans="1:27">
      <c r="A264" s="348">
        <v>2025665</v>
      </c>
      <c r="B264" s="348" t="s">
        <v>281</v>
      </c>
      <c r="C264" s="348" t="s">
        <v>517</v>
      </c>
      <c r="D264" s="349" t="s">
        <v>518</v>
      </c>
      <c r="E264" s="336">
        <v>43691</v>
      </c>
      <c r="F264" s="336">
        <v>43557</v>
      </c>
      <c r="G264" s="336">
        <v>43689</v>
      </c>
      <c r="H264" s="334" t="s">
        <v>883</v>
      </c>
      <c r="I264" s="356">
        <v>13761332206</v>
      </c>
      <c r="J264" s="361" t="s">
        <v>884</v>
      </c>
      <c r="K264" s="356">
        <v>1000</v>
      </c>
      <c r="L264" s="334">
        <f>19000</f>
        <v>19000</v>
      </c>
      <c r="M264" s="362"/>
      <c r="N264" s="362">
        <f t="shared" si="8"/>
        <v>19000</v>
      </c>
      <c r="O264" s="356"/>
      <c r="P264" s="356"/>
      <c r="Q264" s="356" t="s">
        <v>52</v>
      </c>
      <c r="R264" s="356"/>
      <c r="S264" s="356"/>
      <c r="T264" s="356"/>
      <c r="U264" s="372"/>
      <c r="V264" s="372"/>
      <c r="W264" s="372"/>
      <c r="X264" s="373"/>
      <c r="Y264" s="348"/>
      <c r="Z264" s="348"/>
      <c r="AA264" s="348"/>
    </row>
    <row r="265" s="331" customFormat="1" ht="17" customHeight="1" spans="1:27">
      <c r="A265" s="550" t="s">
        <v>885</v>
      </c>
      <c r="B265" s="348" t="s">
        <v>185</v>
      </c>
      <c r="C265" s="348" t="s">
        <v>886</v>
      </c>
      <c r="D265" s="349" t="s">
        <v>187</v>
      </c>
      <c r="E265" s="336">
        <v>43559</v>
      </c>
      <c r="F265" s="336">
        <v>43559</v>
      </c>
      <c r="G265" s="350"/>
      <c r="H265" s="334" t="s">
        <v>887</v>
      </c>
      <c r="I265" s="356">
        <v>13386284825</v>
      </c>
      <c r="J265" s="361" t="s">
        <v>888</v>
      </c>
      <c r="K265" s="356">
        <v>2667</v>
      </c>
      <c r="L265" s="362"/>
      <c r="M265" s="362"/>
      <c r="N265" s="362">
        <f t="shared" si="8"/>
        <v>0</v>
      </c>
      <c r="O265" s="356"/>
      <c r="P265" s="356"/>
      <c r="Q265" s="356" t="s">
        <v>52</v>
      </c>
      <c r="R265" s="356"/>
      <c r="S265" s="356"/>
      <c r="T265" s="356"/>
      <c r="U265" s="372" t="s">
        <v>889</v>
      </c>
      <c r="V265" s="372"/>
      <c r="W265" s="372"/>
      <c r="X265" s="373"/>
      <c r="Y265" s="348"/>
      <c r="Z265" s="348"/>
      <c r="AA265" s="348"/>
    </row>
    <row r="266" s="331" customFormat="1" ht="17" customHeight="1" spans="1:27">
      <c r="A266" s="550" t="s">
        <v>890</v>
      </c>
      <c r="B266" s="348" t="s">
        <v>47</v>
      </c>
      <c r="C266" s="348" t="s">
        <v>80</v>
      </c>
      <c r="D266" s="352" t="s">
        <v>49</v>
      </c>
      <c r="E266" s="336">
        <v>43741</v>
      </c>
      <c r="F266" s="336">
        <v>43560</v>
      </c>
      <c r="G266" s="336">
        <v>43740</v>
      </c>
      <c r="H266" s="334" t="s">
        <v>891</v>
      </c>
      <c r="I266" s="356">
        <v>13818364963</v>
      </c>
      <c r="J266" s="361" t="s">
        <v>892</v>
      </c>
      <c r="K266" s="356">
        <v>2000</v>
      </c>
      <c r="L266" s="334">
        <v>13500</v>
      </c>
      <c r="M266" s="362"/>
      <c r="N266" s="362">
        <f t="shared" si="8"/>
        <v>13500</v>
      </c>
      <c r="O266" s="356"/>
      <c r="P266" s="356"/>
      <c r="Q266" s="356" t="s">
        <v>52</v>
      </c>
      <c r="R266" s="356"/>
      <c r="S266" s="356"/>
      <c r="T266" s="356"/>
      <c r="U266" s="372"/>
      <c r="V266" s="372"/>
      <c r="W266" s="372"/>
      <c r="X266" s="373">
        <v>1</v>
      </c>
      <c r="Y266" s="348"/>
      <c r="Z266" s="348"/>
      <c r="AA266" s="348"/>
    </row>
    <row r="267" s="331" customFormat="1" ht="17" customHeight="1" spans="1:27">
      <c r="A267" s="550" t="s">
        <v>893</v>
      </c>
      <c r="B267" s="348" t="s">
        <v>31</v>
      </c>
      <c r="C267" s="348" t="s">
        <v>251</v>
      </c>
      <c r="D267" s="334" t="s">
        <v>221</v>
      </c>
      <c r="E267" s="336">
        <v>43768</v>
      </c>
      <c r="F267" s="336">
        <v>43561</v>
      </c>
      <c r="G267" s="336">
        <v>43767</v>
      </c>
      <c r="H267" s="334" t="s">
        <v>894</v>
      </c>
      <c r="I267" s="356">
        <v>18964890693</v>
      </c>
      <c r="J267" s="361" t="s">
        <v>895</v>
      </c>
      <c r="K267" s="356">
        <v>1000</v>
      </c>
      <c r="L267" s="334">
        <v>25547</v>
      </c>
      <c r="M267" s="362"/>
      <c r="N267" s="362">
        <f t="shared" si="8"/>
        <v>25547</v>
      </c>
      <c r="O267" s="356"/>
      <c r="P267" s="356"/>
      <c r="Q267" s="366" t="s">
        <v>52</v>
      </c>
      <c r="R267" s="356"/>
      <c r="S267" s="356"/>
      <c r="T267" s="356"/>
      <c r="U267" s="372"/>
      <c r="V267" s="372"/>
      <c r="W267" s="372"/>
      <c r="X267" s="373">
        <v>1</v>
      </c>
      <c r="Y267" s="348"/>
      <c r="Z267" s="348"/>
      <c r="AA267" s="348"/>
    </row>
    <row r="268" s="331" customFormat="1" ht="17" customHeight="1" spans="1:27">
      <c r="A268" s="348"/>
      <c r="B268" s="348" t="s">
        <v>160</v>
      </c>
      <c r="C268" s="348" t="s">
        <v>161</v>
      </c>
      <c r="D268" s="349" t="s">
        <v>162</v>
      </c>
      <c r="E268" s="336">
        <v>43561</v>
      </c>
      <c r="F268" s="336">
        <v>43561</v>
      </c>
      <c r="G268" s="350"/>
      <c r="H268" s="334" t="s">
        <v>896</v>
      </c>
      <c r="I268" s="356">
        <v>15901953620</v>
      </c>
      <c r="J268" s="361" t="s">
        <v>897</v>
      </c>
      <c r="K268" s="356">
        <v>1000</v>
      </c>
      <c r="L268" s="362"/>
      <c r="M268" s="362"/>
      <c r="N268" s="362">
        <f t="shared" si="8"/>
        <v>0</v>
      </c>
      <c r="O268" s="356"/>
      <c r="P268" s="356"/>
      <c r="Q268" s="356"/>
      <c r="R268" s="356"/>
      <c r="S268" s="356"/>
      <c r="T268" s="356"/>
      <c r="U268" s="372" t="s">
        <v>833</v>
      </c>
      <c r="V268" s="372"/>
      <c r="W268" s="372"/>
      <c r="X268" s="373"/>
      <c r="Y268" s="348"/>
      <c r="Z268" s="348"/>
      <c r="AA268" s="348"/>
    </row>
    <row r="269" s="331" customFormat="1" ht="17" customHeight="1" spans="1:27">
      <c r="A269" s="348">
        <v>2025393</v>
      </c>
      <c r="B269" s="348" t="s">
        <v>73</v>
      </c>
      <c r="C269" s="348" t="s">
        <v>74</v>
      </c>
      <c r="D269" s="352" t="s">
        <v>75</v>
      </c>
      <c r="E269" s="336">
        <v>43561</v>
      </c>
      <c r="F269" s="336">
        <v>43561</v>
      </c>
      <c r="G269" s="350"/>
      <c r="H269" s="334" t="s">
        <v>898</v>
      </c>
      <c r="I269" s="356">
        <v>1360725065</v>
      </c>
      <c r="J269" s="361" t="s">
        <v>899</v>
      </c>
      <c r="K269" s="356">
        <v>1000</v>
      </c>
      <c r="L269" s="362"/>
      <c r="M269" s="362"/>
      <c r="N269" s="362">
        <f t="shared" si="8"/>
        <v>0</v>
      </c>
      <c r="O269" s="356"/>
      <c r="P269" s="356"/>
      <c r="Q269" s="356"/>
      <c r="R269" s="356"/>
      <c r="S269" s="366" t="s">
        <v>52</v>
      </c>
      <c r="T269" s="356"/>
      <c r="U269" s="372" t="s">
        <v>78</v>
      </c>
      <c r="V269" s="372"/>
      <c r="W269" s="372"/>
      <c r="X269" s="373"/>
      <c r="Y269" s="348" t="s">
        <v>900</v>
      </c>
      <c r="Z269" s="348"/>
      <c r="AA269" s="348"/>
    </row>
    <row r="270" s="331" customFormat="1" ht="17" customHeight="1" spans="1:27">
      <c r="A270" s="550" t="s">
        <v>901</v>
      </c>
      <c r="B270" s="348" t="s">
        <v>123</v>
      </c>
      <c r="C270" s="348" t="s">
        <v>902</v>
      </c>
      <c r="D270" s="349" t="s">
        <v>125</v>
      </c>
      <c r="E270" s="336">
        <v>43562</v>
      </c>
      <c r="F270" s="336">
        <v>43561</v>
      </c>
      <c r="G270" s="350"/>
      <c r="H270" s="334" t="s">
        <v>903</v>
      </c>
      <c r="I270" s="356">
        <v>13816900797</v>
      </c>
      <c r="J270" s="361" t="s">
        <v>904</v>
      </c>
      <c r="K270" s="356">
        <v>1000</v>
      </c>
      <c r="L270" s="362"/>
      <c r="M270" s="362"/>
      <c r="N270" s="362">
        <f t="shared" si="8"/>
        <v>0</v>
      </c>
      <c r="O270" s="356"/>
      <c r="P270" s="356"/>
      <c r="Q270" s="356"/>
      <c r="R270" s="356"/>
      <c r="S270" s="356"/>
      <c r="T270" s="356"/>
      <c r="U270" s="372" t="s">
        <v>40</v>
      </c>
      <c r="V270" s="372"/>
      <c r="W270" s="372"/>
      <c r="X270" s="373"/>
      <c r="Y270" s="348" t="s">
        <v>905</v>
      </c>
      <c r="Z270" s="348"/>
      <c r="AA270" s="348"/>
    </row>
    <row r="271" s="331" customFormat="1" ht="17" customHeight="1" spans="1:27">
      <c r="A271" s="550" t="s">
        <v>906</v>
      </c>
      <c r="B271" s="348" t="s">
        <v>123</v>
      </c>
      <c r="C271" s="348" t="s">
        <v>902</v>
      </c>
      <c r="D271" s="349" t="s">
        <v>125</v>
      </c>
      <c r="E271" s="336">
        <v>43562</v>
      </c>
      <c r="F271" s="336">
        <v>43557</v>
      </c>
      <c r="G271" s="350" t="s">
        <v>69</v>
      </c>
      <c r="H271" s="334" t="s">
        <v>907</v>
      </c>
      <c r="I271" s="356">
        <v>15317860209</v>
      </c>
      <c r="J271" s="361" t="s">
        <v>908</v>
      </c>
      <c r="K271" s="356">
        <v>1000</v>
      </c>
      <c r="L271" s="362"/>
      <c r="M271" s="362"/>
      <c r="N271" s="362">
        <f t="shared" si="8"/>
        <v>0</v>
      </c>
      <c r="O271" s="356"/>
      <c r="P271" s="356"/>
      <c r="Q271" s="356"/>
      <c r="R271" s="356"/>
      <c r="S271" s="356"/>
      <c r="T271" s="356"/>
      <c r="U271" s="372"/>
      <c r="V271" s="372"/>
      <c r="W271" s="372"/>
      <c r="X271" s="373"/>
      <c r="Y271" s="348"/>
      <c r="Z271" s="348"/>
      <c r="AA271" s="348"/>
    </row>
    <row r="272" s="331" customFormat="1" ht="17" customHeight="1" spans="1:27">
      <c r="A272" s="348">
        <v>2066409</v>
      </c>
      <c r="B272" s="348" t="s">
        <v>35</v>
      </c>
      <c r="C272" s="348" t="s">
        <v>36</v>
      </c>
      <c r="D272" s="352" t="s">
        <v>37</v>
      </c>
      <c r="E272" s="336"/>
      <c r="F272" s="336">
        <v>43562</v>
      </c>
      <c r="G272" s="350"/>
      <c r="H272" s="334" t="s">
        <v>909</v>
      </c>
      <c r="I272" s="356">
        <v>15000556180</v>
      </c>
      <c r="J272" s="361" t="s">
        <v>910</v>
      </c>
      <c r="K272" s="356">
        <v>999</v>
      </c>
      <c r="L272" s="362"/>
      <c r="M272" s="362"/>
      <c r="N272" s="362">
        <f t="shared" si="8"/>
        <v>0</v>
      </c>
      <c r="O272" s="356"/>
      <c r="P272" s="356"/>
      <c r="Q272" s="356"/>
      <c r="R272" s="356"/>
      <c r="S272" s="356"/>
      <c r="T272" s="356"/>
      <c r="U272" s="372" t="s">
        <v>40</v>
      </c>
      <c r="V272" s="372"/>
      <c r="W272" s="372"/>
      <c r="X272" s="373"/>
      <c r="Y272" s="348"/>
      <c r="Z272" s="348"/>
      <c r="AA272" s="348"/>
    </row>
    <row r="273" s="331" customFormat="1" ht="15" customHeight="1" spans="1:27">
      <c r="A273" s="550" t="s">
        <v>911</v>
      </c>
      <c r="B273" s="348" t="s">
        <v>58</v>
      </c>
      <c r="C273" s="348" t="s">
        <v>59</v>
      </c>
      <c r="D273" s="349" t="s">
        <v>271</v>
      </c>
      <c r="E273" s="336">
        <v>43724</v>
      </c>
      <c r="F273" s="336">
        <v>43625</v>
      </c>
      <c r="G273" s="336">
        <v>43723</v>
      </c>
      <c r="H273" s="334" t="s">
        <v>912</v>
      </c>
      <c r="I273" s="356">
        <v>13641605641</v>
      </c>
      <c r="J273" s="361" t="s">
        <v>913</v>
      </c>
      <c r="K273" s="356">
        <f>5000+3000</f>
        <v>8000</v>
      </c>
      <c r="L273" s="334">
        <v>14129</v>
      </c>
      <c r="M273" s="362"/>
      <c r="N273" s="362">
        <f t="shared" si="8"/>
        <v>14129</v>
      </c>
      <c r="O273" s="356"/>
      <c r="P273" s="365" t="s">
        <v>52</v>
      </c>
      <c r="Q273" s="356"/>
      <c r="R273" s="356"/>
      <c r="S273" s="356"/>
      <c r="T273" s="356"/>
      <c r="U273" s="372"/>
      <c r="V273" s="372"/>
      <c r="W273" s="372"/>
      <c r="X273" s="373"/>
      <c r="Y273" s="348" t="s">
        <v>914</v>
      </c>
      <c r="Z273" s="348"/>
      <c r="AA273" s="348"/>
    </row>
    <row r="274" s="331" customFormat="1" ht="17" customHeight="1" spans="1:27">
      <c r="A274" s="348">
        <v>2023443</v>
      </c>
      <c r="B274" s="348" t="s">
        <v>73</v>
      </c>
      <c r="C274" s="348" t="s">
        <v>74</v>
      </c>
      <c r="D274" s="352" t="s">
        <v>75</v>
      </c>
      <c r="E274" s="336">
        <v>43562</v>
      </c>
      <c r="F274" s="336">
        <v>43561</v>
      </c>
      <c r="G274" s="350"/>
      <c r="H274" s="334" t="s">
        <v>915</v>
      </c>
      <c r="I274" s="356">
        <v>13301782173</v>
      </c>
      <c r="J274" s="361" t="s">
        <v>916</v>
      </c>
      <c r="K274" s="356">
        <v>1000</v>
      </c>
      <c r="L274" s="362"/>
      <c r="M274" s="362"/>
      <c r="N274" s="362">
        <f t="shared" si="8"/>
        <v>0</v>
      </c>
      <c r="O274" s="356"/>
      <c r="P274" s="356"/>
      <c r="Q274" s="366" t="s">
        <v>52</v>
      </c>
      <c r="R274" s="356"/>
      <c r="S274" s="356"/>
      <c r="T274" s="356"/>
      <c r="U274" s="372" t="s">
        <v>78</v>
      </c>
      <c r="V274" s="372"/>
      <c r="W274" s="372"/>
      <c r="X274" s="373"/>
      <c r="Y274" s="348" t="s">
        <v>900</v>
      </c>
      <c r="Z274" s="348" t="s">
        <v>79</v>
      </c>
      <c r="AA274" s="348"/>
    </row>
    <row r="275" s="331" customFormat="1" ht="17" customHeight="1" spans="1:27">
      <c r="A275" s="348">
        <v>2025395</v>
      </c>
      <c r="B275" s="348" t="s">
        <v>73</v>
      </c>
      <c r="C275" s="348" t="s">
        <v>74</v>
      </c>
      <c r="D275" s="352" t="s">
        <v>75</v>
      </c>
      <c r="E275" s="336">
        <v>43562</v>
      </c>
      <c r="F275" s="336">
        <v>43561</v>
      </c>
      <c r="G275" s="350"/>
      <c r="H275" s="334" t="s">
        <v>917</v>
      </c>
      <c r="I275" s="356">
        <v>18616885163</v>
      </c>
      <c r="J275" s="361" t="s">
        <v>918</v>
      </c>
      <c r="K275" s="356">
        <v>1000</v>
      </c>
      <c r="L275" s="362"/>
      <c r="M275" s="362"/>
      <c r="N275" s="362">
        <f t="shared" si="8"/>
        <v>0</v>
      </c>
      <c r="O275" s="356"/>
      <c r="P275" s="366"/>
      <c r="Q275" s="366" t="s">
        <v>52</v>
      </c>
      <c r="R275" s="356"/>
      <c r="S275" s="356"/>
      <c r="T275" s="356"/>
      <c r="U275" s="372" t="s">
        <v>78</v>
      </c>
      <c r="V275" s="372"/>
      <c r="W275" s="372"/>
      <c r="X275" s="373"/>
      <c r="Y275" s="348" t="s">
        <v>900</v>
      </c>
      <c r="Z275" s="348" t="s">
        <v>79</v>
      </c>
      <c r="AA275" s="348"/>
    </row>
    <row r="276" s="331" customFormat="1" ht="17" customHeight="1" spans="1:27">
      <c r="A276" s="348">
        <v>2022842</v>
      </c>
      <c r="B276" s="348" t="s">
        <v>243</v>
      </c>
      <c r="C276" s="348" t="s">
        <v>244</v>
      </c>
      <c r="D276" s="352" t="s">
        <v>49</v>
      </c>
      <c r="E276" s="336">
        <v>43562</v>
      </c>
      <c r="F276" s="336">
        <v>43562</v>
      </c>
      <c r="G276" s="336">
        <v>43660</v>
      </c>
      <c r="H276" s="334" t="s">
        <v>919</v>
      </c>
      <c r="I276" s="356">
        <v>13816903942</v>
      </c>
      <c r="J276" s="361" t="s">
        <v>920</v>
      </c>
      <c r="K276" s="356">
        <v>1000</v>
      </c>
      <c r="L276" s="334">
        <v>19758</v>
      </c>
      <c r="M276" s="334">
        <v>500</v>
      </c>
      <c r="N276" s="362">
        <f t="shared" si="8"/>
        <v>20258</v>
      </c>
      <c r="O276" s="356"/>
      <c r="P276" s="356"/>
      <c r="Q276" s="356"/>
      <c r="R276" s="356"/>
      <c r="S276" s="356"/>
      <c r="T276" s="356"/>
      <c r="U276" s="372"/>
      <c r="V276" s="372"/>
      <c r="W276" s="372"/>
      <c r="X276" s="373"/>
      <c r="Y276" s="348"/>
      <c r="Z276" s="348"/>
      <c r="AA276" s="348"/>
    </row>
    <row r="277" s="331" customFormat="1" ht="17" customHeight="1" spans="1:27">
      <c r="A277" s="348">
        <v>2067240</v>
      </c>
      <c r="B277" s="348" t="s">
        <v>87</v>
      </c>
      <c r="C277" s="348" t="s">
        <v>199</v>
      </c>
      <c r="D277" s="349" t="s">
        <v>89</v>
      </c>
      <c r="E277" s="336">
        <v>43563</v>
      </c>
      <c r="F277" s="336">
        <v>43562</v>
      </c>
      <c r="G277" s="350"/>
      <c r="H277" s="334" t="s">
        <v>921</v>
      </c>
      <c r="I277" s="356">
        <v>18301812901</v>
      </c>
      <c r="J277" s="361" t="s">
        <v>922</v>
      </c>
      <c r="K277" s="356">
        <v>1000</v>
      </c>
      <c r="L277" s="362"/>
      <c r="M277" s="362"/>
      <c r="N277" s="362">
        <f t="shared" si="8"/>
        <v>0</v>
      </c>
      <c r="O277" s="356"/>
      <c r="P277" s="356"/>
      <c r="Q277" s="356"/>
      <c r="R277" s="356"/>
      <c r="S277" s="356"/>
      <c r="T277" s="356"/>
      <c r="U277" s="356" t="s">
        <v>12</v>
      </c>
      <c r="V277" s="372"/>
      <c r="W277" s="372"/>
      <c r="X277" s="373"/>
      <c r="Y277" s="348" t="s">
        <v>923</v>
      </c>
      <c r="Z277" s="348"/>
      <c r="AA277" s="348"/>
    </row>
    <row r="278" s="331" customFormat="1" ht="17" customHeight="1" spans="1:27">
      <c r="A278" s="550" t="s">
        <v>924</v>
      </c>
      <c r="B278" s="348" t="s">
        <v>236</v>
      </c>
      <c r="C278" s="348" t="s">
        <v>703</v>
      </c>
      <c r="D278" s="352" t="s">
        <v>143</v>
      </c>
      <c r="E278" s="336">
        <v>43563</v>
      </c>
      <c r="F278" s="336">
        <v>43562</v>
      </c>
      <c r="G278" s="350"/>
      <c r="H278" s="334" t="s">
        <v>925</v>
      </c>
      <c r="I278" s="356">
        <v>15502191562</v>
      </c>
      <c r="J278" s="361" t="s">
        <v>926</v>
      </c>
      <c r="K278" s="356">
        <v>7555</v>
      </c>
      <c r="L278" s="362"/>
      <c r="M278" s="362"/>
      <c r="N278" s="362">
        <f t="shared" si="8"/>
        <v>0</v>
      </c>
      <c r="O278" s="356"/>
      <c r="P278" s="356"/>
      <c r="Q278" s="356"/>
      <c r="R278" s="356"/>
      <c r="S278" s="356"/>
      <c r="T278" s="356"/>
      <c r="U278" s="372" t="s">
        <v>63</v>
      </c>
      <c r="V278" s="372"/>
      <c r="W278" s="372"/>
      <c r="X278" s="373"/>
      <c r="Y278" s="348" t="s">
        <v>142</v>
      </c>
      <c r="Z278" s="348"/>
      <c r="AA278" s="348"/>
    </row>
    <row r="279" s="331" customFormat="1" customHeight="1" spans="1:27">
      <c r="A279" s="550" t="s">
        <v>927</v>
      </c>
      <c r="B279" s="348" t="s">
        <v>236</v>
      </c>
      <c r="C279" s="348" t="s">
        <v>703</v>
      </c>
      <c r="D279" s="352" t="s">
        <v>237</v>
      </c>
      <c r="E279" s="336">
        <v>43563</v>
      </c>
      <c r="F279" s="336">
        <v>43562</v>
      </c>
      <c r="G279" s="350"/>
      <c r="H279" s="334" t="s">
        <v>928</v>
      </c>
      <c r="I279" s="356">
        <v>18601727019</v>
      </c>
      <c r="J279" s="361" t="s">
        <v>929</v>
      </c>
      <c r="K279" s="356">
        <v>1000</v>
      </c>
      <c r="L279" s="362"/>
      <c r="M279" s="362"/>
      <c r="N279" s="362">
        <f t="shared" si="8"/>
        <v>0</v>
      </c>
      <c r="O279" s="356" t="s">
        <v>19</v>
      </c>
      <c r="P279" s="356"/>
      <c r="Q279" s="356"/>
      <c r="R279" s="356"/>
      <c r="S279" s="356"/>
      <c r="T279" s="356"/>
      <c r="U279" s="372"/>
      <c r="V279" s="372"/>
      <c r="W279" s="372"/>
      <c r="X279" s="373"/>
      <c r="Y279" s="348" t="s">
        <v>142</v>
      </c>
      <c r="Z279" s="348"/>
      <c r="AA279" s="348"/>
    </row>
    <row r="280" s="331" customFormat="1" ht="17" customHeight="1" spans="1:27">
      <c r="A280" s="550" t="s">
        <v>930</v>
      </c>
      <c r="B280" s="348" t="s">
        <v>58</v>
      </c>
      <c r="C280" s="348" t="s">
        <v>342</v>
      </c>
      <c r="D280" s="349" t="s">
        <v>343</v>
      </c>
      <c r="E280" s="336">
        <v>43563</v>
      </c>
      <c r="F280" s="336">
        <v>43562</v>
      </c>
      <c r="G280" s="336">
        <v>43660</v>
      </c>
      <c r="H280" s="334" t="s">
        <v>931</v>
      </c>
      <c r="I280" s="356">
        <v>13064742278</v>
      </c>
      <c r="J280" s="361" t="s">
        <v>932</v>
      </c>
      <c r="K280" s="356">
        <v>1000</v>
      </c>
      <c r="L280" s="334">
        <v>11109</v>
      </c>
      <c r="M280" s="334"/>
      <c r="N280" s="362">
        <f t="shared" si="8"/>
        <v>11109</v>
      </c>
      <c r="O280" s="356"/>
      <c r="P280" s="356"/>
      <c r="Q280" s="356"/>
      <c r="R280" s="356"/>
      <c r="S280" s="356"/>
      <c r="T280" s="356"/>
      <c r="U280" s="372"/>
      <c r="V280" s="372"/>
      <c r="W280" s="372"/>
      <c r="X280" s="373"/>
      <c r="Y280" s="348"/>
      <c r="Z280" s="348"/>
      <c r="AA280" s="348"/>
    </row>
    <row r="281" s="331" customFormat="1" ht="17" customHeight="1" spans="1:27">
      <c r="A281" s="348"/>
      <c r="B281" s="348" t="s">
        <v>160</v>
      </c>
      <c r="C281" s="348" t="s">
        <v>161</v>
      </c>
      <c r="D281" s="349" t="s">
        <v>162</v>
      </c>
      <c r="E281" s="336">
        <v>43563</v>
      </c>
      <c r="F281" s="336">
        <v>43563</v>
      </c>
      <c r="G281" s="350"/>
      <c r="H281" s="334" t="s">
        <v>933</v>
      </c>
      <c r="I281" s="356">
        <v>13916725808</v>
      </c>
      <c r="J281" s="361" t="s">
        <v>934</v>
      </c>
      <c r="K281" s="356">
        <v>3068</v>
      </c>
      <c r="L281" s="362"/>
      <c r="M281" s="362"/>
      <c r="N281" s="362">
        <f t="shared" si="8"/>
        <v>0</v>
      </c>
      <c r="O281" s="356"/>
      <c r="P281" s="356"/>
      <c r="Q281" s="356"/>
      <c r="R281" s="356"/>
      <c r="S281" s="356"/>
      <c r="T281" s="356"/>
      <c r="U281" s="372" t="s">
        <v>833</v>
      </c>
      <c r="V281" s="372"/>
      <c r="W281" s="372"/>
      <c r="X281" s="373"/>
      <c r="Y281" s="348"/>
      <c r="Z281" s="348"/>
      <c r="AA281" s="348"/>
    </row>
    <row r="282" s="331" customFormat="1" ht="17" customHeight="1" spans="1:27">
      <c r="A282" s="348">
        <v>2025666</v>
      </c>
      <c r="B282" s="348" t="s">
        <v>281</v>
      </c>
      <c r="C282" s="348" t="s">
        <v>587</v>
      </c>
      <c r="D282" s="352" t="s">
        <v>49</v>
      </c>
      <c r="E282" s="336"/>
      <c r="F282" s="336">
        <v>43560</v>
      </c>
      <c r="G282" s="350"/>
      <c r="H282" s="334" t="s">
        <v>935</v>
      </c>
      <c r="I282" s="356">
        <v>13524304821</v>
      </c>
      <c r="J282" s="361" t="s">
        <v>936</v>
      </c>
      <c r="K282" s="356">
        <v>500</v>
      </c>
      <c r="L282" s="362"/>
      <c r="M282" s="362"/>
      <c r="N282" s="362">
        <f t="shared" si="8"/>
        <v>0</v>
      </c>
      <c r="O282" s="356" t="s">
        <v>52</v>
      </c>
      <c r="P282" s="356"/>
      <c r="Q282" s="356"/>
      <c r="R282" s="356"/>
      <c r="S282" s="356"/>
      <c r="T282" s="356"/>
      <c r="U282" s="396" t="s">
        <v>12</v>
      </c>
      <c r="V282" s="372"/>
      <c r="W282" s="372"/>
      <c r="X282" s="373"/>
      <c r="Y282" s="348"/>
      <c r="Z282" s="348"/>
      <c r="AA282" s="348"/>
    </row>
    <row r="283" s="331" customFormat="1" ht="17" customHeight="1" spans="1:27">
      <c r="A283" s="348"/>
      <c r="B283" s="348" t="s">
        <v>160</v>
      </c>
      <c r="C283" s="348" t="s">
        <v>275</v>
      </c>
      <c r="D283" s="349" t="s">
        <v>162</v>
      </c>
      <c r="E283" s="336">
        <v>43565</v>
      </c>
      <c r="F283" s="336">
        <v>43565</v>
      </c>
      <c r="G283" s="336">
        <v>43657</v>
      </c>
      <c r="H283" s="334" t="s">
        <v>937</v>
      </c>
      <c r="I283" s="356">
        <v>13301763703</v>
      </c>
      <c r="J283" s="361" t="s">
        <v>938</v>
      </c>
      <c r="K283" s="356">
        <v>1000</v>
      </c>
      <c r="L283" s="334">
        <v>12989</v>
      </c>
      <c r="M283" s="334">
        <v>611</v>
      </c>
      <c r="N283" s="362">
        <f t="shared" si="8"/>
        <v>13600</v>
      </c>
      <c r="O283" s="356"/>
      <c r="P283" s="356"/>
      <c r="Q283" s="356"/>
      <c r="R283" s="356"/>
      <c r="S283" s="356"/>
      <c r="T283" s="356"/>
      <c r="U283" s="372"/>
      <c r="V283" s="372"/>
      <c r="W283" s="372"/>
      <c r="X283" s="373"/>
      <c r="Y283" s="348"/>
      <c r="Z283" s="348"/>
      <c r="AA283" s="348"/>
    </row>
    <row r="284" s="331" customFormat="1" ht="17" customHeight="1" spans="1:27">
      <c r="A284" s="348"/>
      <c r="B284" s="348" t="s">
        <v>47</v>
      </c>
      <c r="C284" s="348" t="s">
        <v>80</v>
      </c>
      <c r="D284" s="352" t="s">
        <v>49</v>
      </c>
      <c r="E284" s="336">
        <v>43566</v>
      </c>
      <c r="F284" s="336">
        <v>43566</v>
      </c>
      <c r="G284" s="350"/>
      <c r="H284" s="334" t="s">
        <v>939</v>
      </c>
      <c r="I284" s="356">
        <v>15121798656</v>
      </c>
      <c r="J284" s="361" t="s">
        <v>940</v>
      </c>
      <c r="K284" s="356">
        <v>5000</v>
      </c>
      <c r="L284" s="362"/>
      <c r="M284" s="362"/>
      <c r="N284" s="362">
        <f t="shared" si="8"/>
        <v>0</v>
      </c>
      <c r="O284" s="356"/>
      <c r="P284" s="356"/>
      <c r="Q284" s="356"/>
      <c r="R284" s="356"/>
      <c r="S284" s="356"/>
      <c r="T284" s="356"/>
      <c r="U284" s="372" t="s">
        <v>941</v>
      </c>
      <c r="V284" s="372"/>
      <c r="W284" s="372"/>
      <c r="X284" s="373"/>
      <c r="Y284" s="348"/>
      <c r="Z284" s="348"/>
      <c r="AA284" s="348"/>
    </row>
    <row r="285" s="331" customFormat="1" ht="17" customHeight="1" spans="1:27">
      <c r="A285" s="550" t="s">
        <v>942</v>
      </c>
      <c r="B285" s="348" t="s">
        <v>236</v>
      </c>
      <c r="C285" s="348" t="s">
        <v>703</v>
      </c>
      <c r="D285" s="352" t="s">
        <v>143</v>
      </c>
      <c r="E285" s="336"/>
      <c r="F285" s="336">
        <v>43485</v>
      </c>
      <c r="G285" s="350"/>
      <c r="H285" s="334" t="s">
        <v>943</v>
      </c>
      <c r="I285" s="356">
        <v>13651878858</v>
      </c>
      <c r="J285" s="361" t="s">
        <v>944</v>
      </c>
      <c r="K285" s="356">
        <v>500</v>
      </c>
      <c r="L285" s="362"/>
      <c r="M285" s="362"/>
      <c r="N285" s="362">
        <f t="shared" si="8"/>
        <v>0</v>
      </c>
      <c r="O285" s="356"/>
      <c r="P285" s="356"/>
      <c r="Q285" s="356"/>
      <c r="R285" s="356"/>
      <c r="S285" s="356"/>
      <c r="T285" s="356"/>
      <c r="U285" s="356" t="s">
        <v>63</v>
      </c>
      <c r="V285" s="372"/>
      <c r="W285" s="372"/>
      <c r="X285" s="373"/>
      <c r="Y285" s="348" t="s">
        <v>210</v>
      </c>
      <c r="Z285" s="348"/>
      <c r="AA285" s="348"/>
    </row>
    <row r="286" s="331" customFormat="1" ht="17" customHeight="1" spans="1:27">
      <c r="A286" s="348">
        <v>2025513</v>
      </c>
      <c r="B286" s="348" t="s">
        <v>335</v>
      </c>
      <c r="C286" s="348" t="s">
        <v>399</v>
      </c>
      <c r="D286" s="349" t="s">
        <v>337</v>
      </c>
      <c r="E286" s="336" t="s">
        <v>945</v>
      </c>
      <c r="F286" s="336">
        <v>43566</v>
      </c>
      <c r="G286" s="356" t="s">
        <v>400</v>
      </c>
      <c r="H286" s="334" t="s">
        <v>946</v>
      </c>
      <c r="I286" s="334">
        <v>13901832412</v>
      </c>
      <c r="J286" s="367" t="s">
        <v>947</v>
      </c>
      <c r="K286" s="356">
        <v>49922</v>
      </c>
      <c r="L286" s="362"/>
      <c r="M286" s="362"/>
      <c r="N286" s="362">
        <f t="shared" si="8"/>
        <v>0</v>
      </c>
      <c r="O286" s="356"/>
      <c r="P286" s="356"/>
      <c r="Q286" s="356"/>
      <c r="R286" s="356"/>
      <c r="S286" s="356"/>
      <c r="T286" s="356"/>
      <c r="U286" s="372"/>
      <c r="V286" s="372"/>
      <c r="W286" s="372"/>
      <c r="X286" s="373"/>
      <c r="Y286" s="348"/>
      <c r="Z286" s="348"/>
      <c r="AA286" s="348"/>
    </row>
    <row r="287" s="331" customFormat="1" ht="17" customHeight="1" spans="1:27">
      <c r="A287" s="348">
        <v>2023446</v>
      </c>
      <c r="B287" s="348" t="s">
        <v>73</v>
      </c>
      <c r="C287" s="348" t="s">
        <v>74</v>
      </c>
      <c r="D287" s="352" t="s">
        <v>75</v>
      </c>
      <c r="E287" s="336">
        <v>43567</v>
      </c>
      <c r="F287" s="336">
        <v>43566</v>
      </c>
      <c r="G287" s="350"/>
      <c r="H287" s="334" t="s">
        <v>948</v>
      </c>
      <c r="I287" s="356">
        <v>13816611333</v>
      </c>
      <c r="J287" s="361" t="s">
        <v>949</v>
      </c>
      <c r="K287" s="356">
        <v>1000</v>
      </c>
      <c r="L287" s="362"/>
      <c r="M287" s="362"/>
      <c r="N287" s="362">
        <f t="shared" si="8"/>
        <v>0</v>
      </c>
      <c r="O287" s="356"/>
      <c r="P287" s="366"/>
      <c r="Q287" s="366"/>
      <c r="R287" s="366" t="s">
        <v>52</v>
      </c>
      <c r="S287" s="356"/>
      <c r="T287" s="356"/>
      <c r="U287" s="372" t="s">
        <v>78</v>
      </c>
      <c r="V287" s="372"/>
      <c r="W287" s="372"/>
      <c r="X287" s="373"/>
      <c r="Y287" s="348"/>
      <c r="Z287" s="348" t="s">
        <v>79</v>
      </c>
      <c r="AA287" s="348"/>
    </row>
    <row r="288" s="331" customFormat="1" ht="17" customHeight="1" spans="1:27">
      <c r="A288" s="550" t="s">
        <v>950</v>
      </c>
      <c r="B288" s="348" t="s">
        <v>66</v>
      </c>
      <c r="C288" s="348" t="s">
        <v>951</v>
      </c>
      <c r="D288" s="349" t="s">
        <v>68</v>
      </c>
      <c r="E288" s="336"/>
      <c r="F288" s="336">
        <v>43567</v>
      </c>
      <c r="G288" s="350"/>
      <c r="H288" s="334" t="s">
        <v>952</v>
      </c>
      <c r="I288" s="356">
        <v>18721212969</v>
      </c>
      <c r="J288" s="361" t="s">
        <v>953</v>
      </c>
      <c r="K288" s="356">
        <v>200</v>
      </c>
      <c r="L288" s="362"/>
      <c r="M288" s="362"/>
      <c r="N288" s="362">
        <f t="shared" si="8"/>
        <v>0</v>
      </c>
      <c r="O288" s="356"/>
      <c r="P288" s="356"/>
      <c r="Q288" s="356"/>
      <c r="R288" s="356"/>
      <c r="S288" s="356"/>
      <c r="T288" s="356"/>
      <c r="U288" s="372" t="s">
        <v>12</v>
      </c>
      <c r="V288" s="372"/>
      <c r="W288" s="372"/>
      <c r="X288" s="373"/>
      <c r="Y288" s="348"/>
      <c r="Z288" s="348"/>
      <c r="AA288" s="348"/>
    </row>
    <row r="289" s="331" customFormat="1" ht="17" customHeight="1" spans="1:27">
      <c r="A289" s="348">
        <v>2066986</v>
      </c>
      <c r="B289" s="348" t="s">
        <v>31</v>
      </c>
      <c r="C289" s="348" t="s">
        <v>419</v>
      </c>
      <c r="D289" s="334" t="s">
        <v>954</v>
      </c>
      <c r="E289" s="336">
        <v>43830</v>
      </c>
      <c r="F289" s="336">
        <v>43567</v>
      </c>
      <c r="G289" s="336" t="s">
        <v>955</v>
      </c>
      <c r="H289" s="334" t="s">
        <v>956</v>
      </c>
      <c r="I289" s="356">
        <v>13917212646</v>
      </c>
      <c r="J289" s="361" t="s">
        <v>957</v>
      </c>
      <c r="K289" s="356">
        <v>200</v>
      </c>
      <c r="L289" s="334">
        <v>8296</v>
      </c>
      <c r="M289" s="362"/>
      <c r="N289" s="362">
        <f t="shared" si="8"/>
        <v>8296</v>
      </c>
      <c r="O289" s="366"/>
      <c r="P289" s="356"/>
      <c r="Q289" s="366" t="s">
        <v>52</v>
      </c>
      <c r="R289" s="356"/>
      <c r="S289" s="356"/>
      <c r="T289" s="356"/>
      <c r="U289" s="372"/>
      <c r="V289" s="372"/>
      <c r="W289" s="372"/>
      <c r="X289" s="373">
        <v>1</v>
      </c>
      <c r="Y289" s="348" t="s">
        <v>958</v>
      </c>
      <c r="Z289" s="348"/>
      <c r="AA289" s="348"/>
    </row>
    <row r="290" s="331" customFormat="1" ht="17" customHeight="1" spans="1:27">
      <c r="A290" s="348"/>
      <c r="B290" s="348" t="s">
        <v>160</v>
      </c>
      <c r="C290" s="348" t="s">
        <v>161</v>
      </c>
      <c r="D290" s="349" t="s">
        <v>162</v>
      </c>
      <c r="E290" s="336">
        <v>43568</v>
      </c>
      <c r="F290" s="336">
        <v>43568</v>
      </c>
      <c r="G290" s="350"/>
      <c r="H290" s="334" t="s">
        <v>959</v>
      </c>
      <c r="I290" s="356">
        <v>13761054305</v>
      </c>
      <c r="J290" s="361" t="s">
        <v>960</v>
      </c>
      <c r="K290" s="356">
        <v>2199</v>
      </c>
      <c r="L290" s="362"/>
      <c r="M290" s="362"/>
      <c r="N290" s="362">
        <f t="shared" si="8"/>
        <v>0</v>
      </c>
      <c r="O290" s="356">
        <v>1</v>
      </c>
      <c r="P290" s="356"/>
      <c r="Q290" s="356"/>
      <c r="R290" s="356"/>
      <c r="S290" s="356"/>
      <c r="T290" s="356"/>
      <c r="U290" s="372"/>
      <c r="V290" s="372"/>
      <c r="W290" s="372"/>
      <c r="X290" s="373"/>
      <c r="Y290" s="348" t="s">
        <v>961</v>
      </c>
      <c r="Z290" s="348"/>
      <c r="AA290" s="348"/>
    </row>
    <row r="291" s="331" customFormat="1" ht="17" customHeight="1" spans="1:27">
      <c r="A291" s="550" t="s">
        <v>962</v>
      </c>
      <c r="B291" s="348" t="s">
        <v>169</v>
      </c>
      <c r="C291" s="348" t="s">
        <v>634</v>
      </c>
      <c r="D291" s="349" t="s">
        <v>139</v>
      </c>
      <c r="E291" s="336">
        <v>43568</v>
      </c>
      <c r="F291" s="336">
        <v>43568</v>
      </c>
      <c r="G291" s="336">
        <v>43667</v>
      </c>
      <c r="H291" s="334" t="s">
        <v>963</v>
      </c>
      <c r="I291" s="356">
        <v>13564833456</v>
      </c>
      <c r="J291" s="361" t="s">
        <v>964</v>
      </c>
      <c r="K291" s="356">
        <v>1000</v>
      </c>
      <c r="L291" s="334">
        <v>6882</v>
      </c>
      <c r="M291" s="362"/>
      <c r="N291" s="362">
        <f t="shared" si="8"/>
        <v>6882</v>
      </c>
      <c r="O291" s="356"/>
      <c r="P291" s="356"/>
      <c r="Q291" s="356"/>
      <c r="R291" s="356"/>
      <c r="S291" s="356"/>
      <c r="T291" s="356"/>
      <c r="U291" s="372"/>
      <c r="V291" s="372"/>
      <c r="W291" s="372"/>
      <c r="X291" s="373"/>
      <c r="Y291" s="348"/>
      <c r="Z291" s="348"/>
      <c r="AA291" s="348"/>
    </row>
    <row r="292" s="331" customFormat="1" ht="17" customHeight="1" spans="1:27">
      <c r="A292" s="348">
        <v>2066988</v>
      </c>
      <c r="B292" s="348" t="s">
        <v>31</v>
      </c>
      <c r="C292" s="348" t="s">
        <v>377</v>
      </c>
      <c r="D292" s="349" t="s">
        <v>221</v>
      </c>
      <c r="E292" s="336">
        <v>43568</v>
      </c>
      <c r="F292" s="336">
        <v>43568</v>
      </c>
      <c r="G292" s="350"/>
      <c r="H292" s="334" t="s">
        <v>965</v>
      </c>
      <c r="I292" s="356">
        <v>13816582693</v>
      </c>
      <c r="J292" s="361" t="s">
        <v>966</v>
      </c>
      <c r="K292" s="356">
        <v>1000</v>
      </c>
      <c r="L292" s="362"/>
      <c r="M292" s="362"/>
      <c r="N292" s="362">
        <f t="shared" si="8"/>
        <v>0</v>
      </c>
      <c r="O292" s="366" t="s">
        <v>52</v>
      </c>
      <c r="P292" s="356"/>
      <c r="Q292" s="356"/>
      <c r="R292" s="356"/>
      <c r="S292" s="356"/>
      <c r="T292" s="356"/>
      <c r="U292" s="372"/>
      <c r="V292" s="372"/>
      <c r="W292" s="372"/>
      <c r="X292" s="373"/>
      <c r="Y292" s="348"/>
      <c r="Z292" s="348"/>
      <c r="AA292" s="348"/>
    </row>
    <row r="293" s="331" customFormat="1" ht="17" customHeight="1" spans="1:27">
      <c r="A293" s="550" t="s">
        <v>967</v>
      </c>
      <c r="B293" s="348" t="s">
        <v>160</v>
      </c>
      <c r="C293" s="348" t="s">
        <v>275</v>
      </c>
      <c r="D293" s="349" t="s">
        <v>162</v>
      </c>
      <c r="E293" s="336">
        <v>43569</v>
      </c>
      <c r="F293" s="336">
        <v>43569</v>
      </c>
      <c r="G293" s="350"/>
      <c r="H293" s="334" t="s">
        <v>968</v>
      </c>
      <c r="I293" s="356">
        <v>15026795184</v>
      </c>
      <c r="J293" s="361" t="s">
        <v>969</v>
      </c>
      <c r="K293" s="356">
        <v>1267</v>
      </c>
      <c r="L293" s="362"/>
      <c r="M293" s="362"/>
      <c r="N293" s="362">
        <f t="shared" si="8"/>
        <v>0</v>
      </c>
      <c r="O293" s="356"/>
      <c r="P293" s="356"/>
      <c r="Q293" s="356"/>
      <c r="R293" s="356"/>
      <c r="S293" s="356"/>
      <c r="T293" s="356"/>
      <c r="U293" s="372" t="s">
        <v>242</v>
      </c>
      <c r="V293" s="372"/>
      <c r="W293" s="372"/>
      <c r="X293" s="373"/>
      <c r="Y293" s="348" t="s">
        <v>970</v>
      </c>
      <c r="Z293" s="348"/>
      <c r="AA293" s="348"/>
    </row>
    <row r="294" s="331" customFormat="1" ht="17" customHeight="1" spans="1:27">
      <c r="A294" s="348"/>
      <c r="B294" s="348" t="s">
        <v>35</v>
      </c>
      <c r="C294" s="348" t="s">
        <v>36</v>
      </c>
      <c r="D294" s="349" t="s">
        <v>356</v>
      </c>
      <c r="E294" s="336">
        <v>43646</v>
      </c>
      <c r="F294" s="336">
        <v>43646</v>
      </c>
      <c r="G294" s="336">
        <v>43659</v>
      </c>
      <c r="H294" s="334" t="s">
        <v>971</v>
      </c>
      <c r="I294" s="356">
        <v>13651911115</v>
      </c>
      <c r="J294" s="361" t="s">
        <v>972</v>
      </c>
      <c r="K294" s="356">
        <v>2000</v>
      </c>
      <c r="L294" s="334">
        <v>33497</v>
      </c>
      <c r="M294" s="334"/>
      <c r="N294" s="362">
        <f t="shared" ref="N294:N325" si="9">L294+M294</f>
        <v>33497</v>
      </c>
      <c r="O294" s="356"/>
      <c r="P294" s="356"/>
      <c r="Q294" s="356"/>
      <c r="R294" s="356"/>
      <c r="S294" s="356"/>
      <c r="T294" s="356"/>
      <c r="U294" s="372"/>
      <c r="V294" s="372"/>
      <c r="W294" s="372"/>
      <c r="X294" s="373"/>
      <c r="Y294" s="348"/>
      <c r="Z294" s="348"/>
      <c r="AA294" s="348"/>
    </row>
    <row r="295" s="331" customFormat="1" ht="17" customHeight="1" spans="1:27">
      <c r="A295" s="348"/>
      <c r="B295" s="348" t="s">
        <v>160</v>
      </c>
      <c r="C295" s="348" t="s">
        <v>275</v>
      </c>
      <c r="D295" s="349" t="s">
        <v>162</v>
      </c>
      <c r="E295" s="336">
        <v>43569</v>
      </c>
      <c r="F295" s="336">
        <v>43569</v>
      </c>
      <c r="G295" s="350"/>
      <c r="H295" s="334" t="s">
        <v>973</v>
      </c>
      <c r="I295" s="356">
        <v>13661562191</v>
      </c>
      <c r="J295" s="361" t="s">
        <v>974</v>
      </c>
      <c r="K295" s="356">
        <v>1998</v>
      </c>
      <c r="L295" s="362"/>
      <c r="M295" s="362"/>
      <c r="N295" s="362">
        <f t="shared" si="9"/>
        <v>0</v>
      </c>
      <c r="O295" s="356"/>
      <c r="P295" s="356"/>
      <c r="Q295" s="356"/>
      <c r="R295" s="356"/>
      <c r="S295" s="356"/>
      <c r="T295" s="356"/>
      <c r="U295" s="372" t="s">
        <v>833</v>
      </c>
      <c r="V295" s="372"/>
      <c r="W295" s="372"/>
      <c r="X295" s="373"/>
      <c r="Y295" s="348"/>
      <c r="Z295" s="348"/>
      <c r="AA295" s="348"/>
    </row>
    <row r="296" s="331" customFormat="1" ht="17" customHeight="1" spans="1:27">
      <c r="A296" s="348"/>
      <c r="B296" s="348" t="s">
        <v>281</v>
      </c>
      <c r="C296" s="334" t="s">
        <v>491</v>
      </c>
      <c r="D296" s="334" t="s">
        <v>518</v>
      </c>
      <c r="E296" s="336">
        <v>43822</v>
      </c>
      <c r="F296" s="336">
        <v>43631</v>
      </c>
      <c r="G296" s="336">
        <v>43822</v>
      </c>
      <c r="H296" s="334" t="s">
        <v>975</v>
      </c>
      <c r="I296" s="356">
        <v>13661726911</v>
      </c>
      <c r="J296" s="361" t="s">
        <v>976</v>
      </c>
      <c r="K296" s="356">
        <v>1000</v>
      </c>
      <c r="L296" s="334">
        <v>22500</v>
      </c>
      <c r="M296" s="362"/>
      <c r="N296" s="362">
        <f t="shared" si="9"/>
        <v>22500</v>
      </c>
      <c r="O296" s="356" t="s">
        <v>52</v>
      </c>
      <c r="P296" s="356"/>
      <c r="Q296" s="356"/>
      <c r="R296" s="356"/>
      <c r="S296" s="356"/>
      <c r="T296" s="356"/>
      <c r="U296" s="372"/>
      <c r="V296" s="372"/>
      <c r="W296" s="372"/>
      <c r="X296" s="373"/>
      <c r="Y296" s="348" t="s">
        <v>501</v>
      </c>
      <c r="Z296" s="348"/>
      <c r="AA296" s="348"/>
    </row>
    <row r="297" s="331" customFormat="1" ht="17" customHeight="1" spans="1:27">
      <c r="A297" s="550" t="s">
        <v>977</v>
      </c>
      <c r="B297" s="348" t="s">
        <v>185</v>
      </c>
      <c r="C297" s="348" t="s">
        <v>886</v>
      </c>
      <c r="D297" s="349" t="s">
        <v>187</v>
      </c>
      <c r="E297" s="336">
        <v>43569</v>
      </c>
      <c r="F297" s="336">
        <v>43569</v>
      </c>
      <c r="G297" s="350"/>
      <c r="H297" s="334" t="s">
        <v>978</v>
      </c>
      <c r="I297" s="356">
        <v>13611851107</v>
      </c>
      <c r="J297" s="361" t="s">
        <v>979</v>
      </c>
      <c r="K297" s="356">
        <v>6786</v>
      </c>
      <c r="L297" s="362"/>
      <c r="M297" s="362"/>
      <c r="N297" s="362">
        <f t="shared" si="9"/>
        <v>0</v>
      </c>
      <c r="O297" s="356"/>
      <c r="P297" s="356"/>
      <c r="Q297" s="356" t="s">
        <v>52</v>
      </c>
      <c r="R297" s="356"/>
      <c r="S297" s="356"/>
      <c r="T297" s="356"/>
      <c r="U297" s="372" t="s">
        <v>889</v>
      </c>
      <c r="V297" s="372"/>
      <c r="W297" s="372"/>
      <c r="X297" s="373"/>
      <c r="Y297" s="348"/>
      <c r="Z297" s="348"/>
      <c r="AA297" s="348"/>
    </row>
    <row r="298" s="331" customFormat="1" ht="17" customHeight="1" spans="1:27">
      <c r="A298" s="348">
        <v>2067414</v>
      </c>
      <c r="B298" s="348" t="s">
        <v>137</v>
      </c>
      <c r="C298" s="348" t="s">
        <v>480</v>
      </c>
      <c r="D298" s="349" t="s">
        <v>139</v>
      </c>
      <c r="E298" s="336">
        <v>43569</v>
      </c>
      <c r="F298" s="336">
        <v>43569</v>
      </c>
      <c r="G298" s="350"/>
      <c r="H298" s="334" t="s">
        <v>980</v>
      </c>
      <c r="I298" s="356" t="s">
        <v>981</v>
      </c>
      <c r="J298" s="361" t="s">
        <v>982</v>
      </c>
      <c r="K298" s="356">
        <v>1099</v>
      </c>
      <c r="L298" s="362"/>
      <c r="M298" s="362"/>
      <c r="N298" s="362">
        <f t="shared" si="9"/>
        <v>0</v>
      </c>
      <c r="O298" s="356"/>
      <c r="P298" s="356"/>
      <c r="Q298" s="356">
        <v>1</v>
      </c>
      <c r="R298" s="366"/>
      <c r="S298" s="356"/>
      <c r="T298" s="356"/>
      <c r="U298" s="393" t="s">
        <v>40</v>
      </c>
      <c r="V298" s="372"/>
      <c r="W298" s="372"/>
      <c r="X298" s="373"/>
      <c r="Y298" s="348"/>
      <c r="Z298" s="348"/>
      <c r="AA298" s="348"/>
    </row>
    <row r="299" s="331" customFormat="1" ht="17" customHeight="1" spans="1:27">
      <c r="A299" s="348">
        <v>2066989</v>
      </c>
      <c r="B299" s="348" t="s">
        <v>31</v>
      </c>
      <c r="C299" s="348" t="s">
        <v>377</v>
      </c>
      <c r="D299" s="349" t="s">
        <v>221</v>
      </c>
      <c r="E299" s="336">
        <v>43569</v>
      </c>
      <c r="F299" s="336">
        <v>43569</v>
      </c>
      <c r="G299" s="350"/>
      <c r="H299" s="334" t="s">
        <v>983</v>
      </c>
      <c r="I299" s="356">
        <v>13917759615</v>
      </c>
      <c r="J299" s="361" t="s">
        <v>984</v>
      </c>
      <c r="K299" s="356">
        <v>1000</v>
      </c>
      <c r="L299" s="362"/>
      <c r="M299" s="362"/>
      <c r="N299" s="362">
        <f t="shared" si="9"/>
        <v>0</v>
      </c>
      <c r="O299" s="356"/>
      <c r="P299" s="356"/>
      <c r="Q299" s="356"/>
      <c r="R299" s="356"/>
      <c r="S299" s="356"/>
      <c r="T299" s="356"/>
      <c r="U299" s="393" t="s">
        <v>40</v>
      </c>
      <c r="V299" s="372"/>
      <c r="W299" s="372"/>
      <c r="X299" s="373"/>
      <c r="Y299" s="348" t="s">
        <v>985</v>
      </c>
      <c r="Z299" s="348"/>
      <c r="AA299" s="348"/>
    </row>
    <row r="300" s="331" customFormat="1" ht="17" customHeight="1" spans="1:27">
      <c r="A300" s="348">
        <v>2067471</v>
      </c>
      <c r="B300" s="348" t="s">
        <v>137</v>
      </c>
      <c r="C300" s="348" t="s">
        <v>406</v>
      </c>
      <c r="D300" s="349" t="s">
        <v>139</v>
      </c>
      <c r="E300" s="336">
        <v>43647</v>
      </c>
      <c r="F300" s="336">
        <v>43646</v>
      </c>
      <c r="G300" s="336">
        <v>43653</v>
      </c>
      <c r="H300" s="334" t="s">
        <v>986</v>
      </c>
      <c r="I300" s="356">
        <v>13661878975</v>
      </c>
      <c r="J300" s="361" t="s">
        <v>987</v>
      </c>
      <c r="K300" s="356">
        <v>1000</v>
      </c>
      <c r="L300" s="334">
        <v>12319</v>
      </c>
      <c r="M300" s="334"/>
      <c r="N300" s="362">
        <f t="shared" si="9"/>
        <v>12319</v>
      </c>
      <c r="O300" s="356"/>
      <c r="P300" s="356"/>
      <c r="Q300" s="356"/>
      <c r="R300" s="356"/>
      <c r="S300" s="356"/>
      <c r="T300" s="356"/>
      <c r="U300" s="372"/>
      <c r="V300" s="372"/>
      <c r="W300" s="372"/>
      <c r="X300" s="373"/>
      <c r="Y300" s="348"/>
      <c r="Z300" s="348"/>
      <c r="AA300" s="348"/>
    </row>
    <row r="301" s="331" customFormat="1" ht="17" customHeight="1" spans="1:27">
      <c r="A301" s="348"/>
      <c r="B301" s="348" t="s">
        <v>160</v>
      </c>
      <c r="C301" s="348" t="s">
        <v>161</v>
      </c>
      <c r="D301" s="349" t="s">
        <v>162</v>
      </c>
      <c r="E301" s="336">
        <v>43569</v>
      </c>
      <c r="F301" s="336">
        <v>43569</v>
      </c>
      <c r="G301" s="350" t="s">
        <v>69</v>
      </c>
      <c r="H301" s="334" t="s">
        <v>988</v>
      </c>
      <c r="I301" s="356">
        <v>13764611559</v>
      </c>
      <c r="J301" s="361" t="s">
        <v>989</v>
      </c>
      <c r="K301" s="356">
        <v>1599</v>
      </c>
      <c r="L301" s="362"/>
      <c r="M301" s="362"/>
      <c r="N301" s="362">
        <f t="shared" si="9"/>
        <v>0</v>
      </c>
      <c r="O301" s="356"/>
      <c r="P301" s="356"/>
      <c r="Q301" s="356"/>
      <c r="R301" s="356"/>
      <c r="S301" s="356"/>
      <c r="T301" s="356"/>
      <c r="U301" s="372"/>
      <c r="V301" s="372"/>
      <c r="W301" s="372"/>
      <c r="X301" s="373"/>
      <c r="Y301" s="348"/>
      <c r="Z301" s="348"/>
      <c r="AA301" s="348"/>
    </row>
    <row r="302" s="331" customFormat="1" ht="17" customHeight="1" spans="1:27">
      <c r="A302" s="550" t="s">
        <v>990</v>
      </c>
      <c r="B302" s="348" t="s">
        <v>805</v>
      </c>
      <c r="C302" s="348" t="s">
        <v>991</v>
      </c>
      <c r="D302" s="349" t="s">
        <v>60</v>
      </c>
      <c r="E302" s="336">
        <v>43569</v>
      </c>
      <c r="F302" s="336">
        <v>43562</v>
      </c>
      <c r="G302" s="336">
        <v>43653</v>
      </c>
      <c r="H302" s="269" t="s">
        <v>992</v>
      </c>
      <c r="I302" s="356">
        <v>18001836556</v>
      </c>
      <c r="J302" s="361" t="s">
        <v>993</v>
      </c>
      <c r="K302" s="356">
        <v>1000</v>
      </c>
      <c r="L302" s="334">
        <v>9783</v>
      </c>
      <c r="M302" s="334">
        <v>662</v>
      </c>
      <c r="N302" s="362">
        <f t="shared" si="9"/>
        <v>10445</v>
      </c>
      <c r="O302" s="356"/>
      <c r="P302" s="356"/>
      <c r="Q302" s="356"/>
      <c r="R302" s="356"/>
      <c r="S302" s="356"/>
      <c r="T302" s="356"/>
      <c r="U302" s="372"/>
      <c r="V302" s="372"/>
      <c r="W302" s="372"/>
      <c r="X302" s="373"/>
      <c r="Y302" s="348" t="s">
        <v>994</v>
      </c>
      <c r="Z302" s="348"/>
      <c r="AA302" s="348"/>
    </row>
    <row r="303" s="331" customFormat="1" ht="17" customHeight="1" spans="1:27">
      <c r="A303" s="348">
        <v>2023079</v>
      </c>
      <c r="B303" s="348" t="s">
        <v>58</v>
      </c>
      <c r="C303" s="348" t="s">
        <v>342</v>
      </c>
      <c r="D303" s="349" t="s">
        <v>343</v>
      </c>
      <c r="E303" s="336">
        <v>43632</v>
      </c>
      <c r="F303" s="336">
        <v>43631</v>
      </c>
      <c r="G303" s="336">
        <v>43675</v>
      </c>
      <c r="H303" s="334" t="s">
        <v>995</v>
      </c>
      <c r="I303" s="356">
        <v>13661957311</v>
      </c>
      <c r="J303" s="361" t="s">
        <v>996</v>
      </c>
      <c r="K303" s="356">
        <f>15000+13000</f>
        <v>28000</v>
      </c>
      <c r="L303" s="334">
        <v>37199</v>
      </c>
      <c r="M303" s="362"/>
      <c r="N303" s="362">
        <f t="shared" si="9"/>
        <v>37199</v>
      </c>
      <c r="O303" s="356"/>
      <c r="P303" s="356"/>
      <c r="Q303" s="356"/>
      <c r="R303" s="365" t="s">
        <v>52</v>
      </c>
      <c r="S303" s="356"/>
      <c r="T303" s="356"/>
      <c r="U303" s="372"/>
      <c r="V303" s="372"/>
      <c r="W303" s="372"/>
      <c r="X303" s="373">
        <v>1</v>
      </c>
      <c r="Y303" s="348"/>
      <c r="Z303" s="348"/>
      <c r="AA303" s="348"/>
    </row>
    <row r="304" s="331" customFormat="1" ht="17" customHeight="1" spans="1:27">
      <c r="A304" s="550" t="s">
        <v>997</v>
      </c>
      <c r="B304" s="348" t="s">
        <v>185</v>
      </c>
      <c r="C304" s="348" t="s">
        <v>886</v>
      </c>
      <c r="D304" s="349" t="s">
        <v>44</v>
      </c>
      <c r="E304" s="336">
        <v>43570</v>
      </c>
      <c r="F304" s="336">
        <v>43569</v>
      </c>
      <c r="G304" s="336">
        <v>43664</v>
      </c>
      <c r="H304" s="334" t="s">
        <v>998</v>
      </c>
      <c r="I304" s="356">
        <v>18168865565</v>
      </c>
      <c r="J304" s="361" t="s">
        <v>999</v>
      </c>
      <c r="K304" s="356">
        <v>2798</v>
      </c>
      <c r="L304" s="334">
        <v>9695</v>
      </c>
      <c r="M304" s="334"/>
      <c r="N304" s="362">
        <f t="shared" si="9"/>
        <v>9695</v>
      </c>
      <c r="O304" s="356"/>
      <c r="P304" s="356"/>
      <c r="Q304" s="356"/>
      <c r="R304" s="356"/>
      <c r="S304" s="356"/>
      <c r="T304" s="356"/>
      <c r="U304" s="372"/>
      <c r="V304" s="372"/>
      <c r="W304" s="372"/>
      <c r="X304" s="373"/>
      <c r="Y304" s="348"/>
      <c r="Z304" s="348"/>
      <c r="AA304" s="348"/>
    </row>
    <row r="305" s="331" customFormat="1" ht="17" customHeight="1" spans="1:27">
      <c r="A305" s="348"/>
      <c r="B305" s="348" t="s">
        <v>160</v>
      </c>
      <c r="C305" s="348" t="s">
        <v>161</v>
      </c>
      <c r="D305" s="349" t="s">
        <v>162</v>
      </c>
      <c r="E305" s="336">
        <v>43570</v>
      </c>
      <c r="F305" s="336">
        <v>43570</v>
      </c>
      <c r="G305" s="350"/>
      <c r="H305" s="334" t="s">
        <v>1000</v>
      </c>
      <c r="I305" s="356">
        <v>13816179771</v>
      </c>
      <c r="J305" s="361" t="s">
        <v>1001</v>
      </c>
      <c r="K305" s="356">
        <v>3598</v>
      </c>
      <c r="L305" s="362"/>
      <c r="M305" s="362"/>
      <c r="N305" s="362">
        <f t="shared" si="9"/>
        <v>0</v>
      </c>
      <c r="O305" s="356"/>
      <c r="P305" s="356"/>
      <c r="Q305" s="356"/>
      <c r="R305" s="356"/>
      <c r="S305" s="356"/>
      <c r="T305" s="356"/>
      <c r="U305" s="372" t="s">
        <v>242</v>
      </c>
      <c r="V305" s="372"/>
      <c r="W305" s="372"/>
      <c r="X305" s="373"/>
      <c r="Y305" s="348"/>
      <c r="Z305" s="348"/>
      <c r="AA305" s="348"/>
    </row>
    <row r="306" s="331" customFormat="1" ht="17" customHeight="1" spans="1:27">
      <c r="A306" s="550" t="s">
        <v>1002</v>
      </c>
      <c r="B306" s="348" t="s">
        <v>123</v>
      </c>
      <c r="C306" s="348" t="s">
        <v>124</v>
      </c>
      <c r="D306" s="349" t="s">
        <v>125</v>
      </c>
      <c r="E306" s="336">
        <v>43570</v>
      </c>
      <c r="F306" s="336">
        <v>43569</v>
      </c>
      <c r="G306" s="336">
        <v>43667</v>
      </c>
      <c r="H306" s="334" t="s">
        <v>1003</v>
      </c>
      <c r="I306" s="356">
        <v>13701653241</v>
      </c>
      <c r="J306" s="361" t="s">
        <v>1004</v>
      </c>
      <c r="K306" s="356">
        <v>1000</v>
      </c>
      <c r="L306" s="334">
        <v>16300</v>
      </c>
      <c r="M306" s="362"/>
      <c r="N306" s="362">
        <f t="shared" si="9"/>
        <v>16300</v>
      </c>
      <c r="O306" s="356"/>
      <c r="P306" s="356"/>
      <c r="Q306" s="356"/>
      <c r="R306" s="356"/>
      <c r="S306" s="356"/>
      <c r="T306" s="356"/>
      <c r="U306" s="372"/>
      <c r="V306" s="372"/>
      <c r="W306" s="372"/>
      <c r="X306" s="373"/>
      <c r="Y306" s="348" t="s">
        <v>1005</v>
      </c>
      <c r="Z306" s="348"/>
      <c r="AA306" s="348"/>
    </row>
    <row r="307" s="331" customFormat="1" ht="17" customHeight="1" spans="1:27">
      <c r="A307" s="550" t="s">
        <v>1006</v>
      </c>
      <c r="B307" s="348" t="s">
        <v>123</v>
      </c>
      <c r="C307" s="348" t="s">
        <v>124</v>
      </c>
      <c r="D307" s="349" t="s">
        <v>125</v>
      </c>
      <c r="E307" s="336"/>
      <c r="F307" s="336">
        <v>43569</v>
      </c>
      <c r="G307" s="350"/>
      <c r="H307" s="334" t="s">
        <v>1007</v>
      </c>
      <c r="I307" s="356">
        <v>13621807900</v>
      </c>
      <c r="J307" s="361" t="s">
        <v>1008</v>
      </c>
      <c r="K307" s="356">
        <v>999</v>
      </c>
      <c r="L307" s="362"/>
      <c r="M307" s="362"/>
      <c r="N307" s="362">
        <f t="shared" si="9"/>
        <v>0</v>
      </c>
      <c r="O307" s="356"/>
      <c r="P307" s="356"/>
      <c r="Q307" s="356"/>
      <c r="R307" s="356"/>
      <c r="S307" s="356"/>
      <c r="T307" s="356"/>
      <c r="U307" s="372" t="s">
        <v>40</v>
      </c>
      <c r="V307" s="372"/>
      <c r="W307" s="372"/>
      <c r="X307" s="373"/>
      <c r="Y307" s="348" t="s">
        <v>1005</v>
      </c>
      <c r="Z307" s="348"/>
      <c r="AA307" s="348"/>
    </row>
    <row r="308" s="331" customFormat="1" ht="17" customHeight="1" spans="1:27">
      <c r="A308" s="348"/>
      <c r="B308" s="348" t="s">
        <v>87</v>
      </c>
      <c r="C308" s="348" t="s">
        <v>466</v>
      </c>
      <c r="D308" s="349" t="s">
        <v>89</v>
      </c>
      <c r="E308" s="336">
        <v>43570</v>
      </c>
      <c r="F308" s="336">
        <v>43569</v>
      </c>
      <c r="G308" s="350"/>
      <c r="H308" s="334" t="s">
        <v>1009</v>
      </c>
      <c r="I308" s="356">
        <v>18930662862</v>
      </c>
      <c r="J308" s="361" t="s">
        <v>1010</v>
      </c>
      <c r="K308" s="356">
        <v>1000</v>
      </c>
      <c r="L308" s="362"/>
      <c r="M308" s="362"/>
      <c r="N308" s="362">
        <f t="shared" si="9"/>
        <v>0</v>
      </c>
      <c r="O308" s="356" t="s">
        <v>52</v>
      </c>
      <c r="P308" s="356"/>
      <c r="Q308" s="356"/>
      <c r="R308" s="356"/>
      <c r="S308" s="356"/>
      <c r="T308" s="356"/>
      <c r="U308" s="372"/>
      <c r="V308" s="372"/>
      <c r="W308" s="372"/>
      <c r="X308" s="373">
        <v>1</v>
      </c>
      <c r="Y308" s="348"/>
      <c r="Z308" s="348"/>
      <c r="AA308" s="348"/>
    </row>
    <row r="309" s="331" customFormat="1" ht="17" customHeight="1" spans="1:27">
      <c r="A309" s="550" t="s">
        <v>1011</v>
      </c>
      <c r="B309" s="348" t="s">
        <v>31</v>
      </c>
      <c r="C309" s="348" t="s">
        <v>220</v>
      </c>
      <c r="D309" s="349" t="s">
        <v>221</v>
      </c>
      <c r="E309" s="336"/>
      <c r="F309" s="336">
        <v>43569</v>
      </c>
      <c r="G309" s="350"/>
      <c r="H309" s="334" t="s">
        <v>1012</v>
      </c>
      <c r="I309" s="356">
        <v>13501989196</v>
      </c>
      <c r="J309" s="361" t="s">
        <v>1013</v>
      </c>
      <c r="K309" s="356">
        <v>1000</v>
      </c>
      <c r="L309" s="362"/>
      <c r="M309" s="362"/>
      <c r="N309" s="362">
        <f t="shared" si="9"/>
        <v>0</v>
      </c>
      <c r="O309" s="356"/>
      <c r="P309" s="356"/>
      <c r="Q309" s="366" t="s">
        <v>52</v>
      </c>
      <c r="R309" s="356"/>
      <c r="S309" s="356"/>
      <c r="T309" s="356"/>
      <c r="U309" s="372" t="s">
        <v>12</v>
      </c>
      <c r="V309" s="372"/>
      <c r="W309" s="372"/>
      <c r="X309" s="373"/>
      <c r="Y309" s="348" t="s">
        <v>549</v>
      </c>
      <c r="Z309" s="348"/>
      <c r="AA309" s="348"/>
    </row>
    <row r="310" s="331" customFormat="1" ht="17" customHeight="1" spans="1:27">
      <c r="A310" s="348">
        <v>2066419</v>
      </c>
      <c r="B310" s="348" t="s">
        <v>35</v>
      </c>
      <c r="C310" s="348" t="s">
        <v>328</v>
      </c>
      <c r="D310" s="352" t="s">
        <v>37</v>
      </c>
      <c r="E310" s="336">
        <v>43570</v>
      </c>
      <c r="F310" s="336">
        <v>43569</v>
      </c>
      <c r="G310" s="350"/>
      <c r="H310" s="334" t="s">
        <v>1014</v>
      </c>
      <c r="I310" s="356">
        <v>19971131208</v>
      </c>
      <c r="J310" s="361" t="s">
        <v>1015</v>
      </c>
      <c r="K310" s="356">
        <v>1399</v>
      </c>
      <c r="L310" s="362"/>
      <c r="M310" s="362"/>
      <c r="N310" s="362">
        <f t="shared" si="9"/>
        <v>0</v>
      </c>
      <c r="O310" s="356"/>
      <c r="P310" s="356"/>
      <c r="Q310" s="356"/>
      <c r="R310" s="356"/>
      <c r="S310" s="356"/>
      <c r="T310" s="356"/>
      <c r="U310" s="372" t="s">
        <v>40</v>
      </c>
      <c r="V310" s="372"/>
      <c r="W310" s="372"/>
      <c r="X310" s="373"/>
      <c r="Y310" s="348"/>
      <c r="Z310" s="348"/>
      <c r="AA310" s="348"/>
    </row>
    <row r="311" s="57" customFormat="1" ht="17" customHeight="1" spans="1:27">
      <c r="A311" s="348">
        <v>2024098</v>
      </c>
      <c r="B311" s="348" t="s">
        <v>137</v>
      </c>
      <c r="C311" s="348" t="s">
        <v>138</v>
      </c>
      <c r="D311" s="349" t="s">
        <v>139</v>
      </c>
      <c r="E311" s="336">
        <v>43570</v>
      </c>
      <c r="F311" s="336">
        <v>43569</v>
      </c>
      <c r="G311" s="350"/>
      <c r="H311" s="334" t="s">
        <v>1016</v>
      </c>
      <c r="I311" s="356">
        <v>13524838317</v>
      </c>
      <c r="J311" s="348" t="s">
        <v>1017</v>
      </c>
      <c r="K311" s="356">
        <v>1000</v>
      </c>
      <c r="L311" s="362"/>
      <c r="M311" s="362"/>
      <c r="N311" s="362">
        <f t="shared" si="9"/>
        <v>0</v>
      </c>
      <c r="O311" s="356"/>
      <c r="P311" s="356"/>
      <c r="Q311" s="366"/>
      <c r="R311" s="356">
        <v>1</v>
      </c>
      <c r="S311" s="356"/>
      <c r="T311" s="356"/>
      <c r="U311" s="376" t="s">
        <v>12</v>
      </c>
      <c r="V311" s="372"/>
      <c r="W311" s="372"/>
      <c r="X311" s="373"/>
      <c r="Y311" s="348" t="s">
        <v>142</v>
      </c>
      <c r="Z311" s="348"/>
      <c r="AA311" s="348"/>
    </row>
    <row r="312" s="331" customFormat="1" ht="17" customHeight="1" spans="1:27">
      <c r="A312" s="550" t="s">
        <v>1018</v>
      </c>
      <c r="B312" s="348" t="s">
        <v>35</v>
      </c>
      <c r="C312" s="348" t="s">
        <v>36</v>
      </c>
      <c r="D312" s="352" t="s">
        <v>37</v>
      </c>
      <c r="E312" s="336">
        <v>43570</v>
      </c>
      <c r="F312" s="336">
        <v>43569</v>
      </c>
      <c r="G312" s="350"/>
      <c r="H312" s="334" t="s">
        <v>1019</v>
      </c>
      <c r="I312" s="356">
        <v>18001558323</v>
      </c>
      <c r="J312" s="361" t="s">
        <v>1020</v>
      </c>
      <c r="K312" s="356">
        <v>1599</v>
      </c>
      <c r="L312" s="362"/>
      <c r="M312" s="362"/>
      <c r="N312" s="362">
        <f t="shared" si="9"/>
        <v>0</v>
      </c>
      <c r="O312" s="356"/>
      <c r="P312" s="356"/>
      <c r="Q312" s="356"/>
      <c r="R312" s="356"/>
      <c r="S312" s="356"/>
      <c r="T312" s="356"/>
      <c r="U312" s="372" t="s">
        <v>40</v>
      </c>
      <c r="V312" s="372"/>
      <c r="W312" s="372"/>
      <c r="X312" s="373"/>
      <c r="Y312" s="348"/>
      <c r="Z312" s="348"/>
      <c r="AA312" s="348"/>
    </row>
    <row r="313" s="331" customFormat="1" ht="17" customHeight="1" spans="1:27">
      <c r="A313" s="550" t="s">
        <v>1021</v>
      </c>
      <c r="B313" s="334" t="s">
        <v>31</v>
      </c>
      <c r="C313" s="334" t="s">
        <v>419</v>
      </c>
      <c r="D313" s="349" t="s">
        <v>221</v>
      </c>
      <c r="E313" s="336"/>
      <c r="F313" s="336">
        <v>43569</v>
      </c>
      <c r="G313" s="350"/>
      <c r="H313" s="334" t="s">
        <v>1022</v>
      </c>
      <c r="I313" s="356">
        <v>13816591337</v>
      </c>
      <c r="J313" s="361" t="s">
        <v>1023</v>
      </c>
      <c r="K313" s="356">
        <v>99</v>
      </c>
      <c r="L313" s="362"/>
      <c r="M313" s="362"/>
      <c r="N313" s="362">
        <f t="shared" si="9"/>
        <v>0</v>
      </c>
      <c r="O313" s="356"/>
      <c r="P313" s="356"/>
      <c r="Q313" s="356"/>
      <c r="R313" s="356"/>
      <c r="S313" s="356"/>
      <c r="T313" s="356"/>
      <c r="U313" s="372" t="s">
        <v>52</v>
      </c>
      <c r="V313" s="372"/>
      <c r="W313" s="372"/>
      <c r="X313" s="373"/>
      <c r="Y313" s="348"/>
      <c r="Z313" s="348"/>
      <c r="AA313" s="348"/>
    </row>
    <row r="314" s="331" customFormat="1" ht="17" customHeight="1" spans="1:27">
      <c r="A314" s="550" t="s">
        <v>1024</v>
      </c>
      <c r="B314" s="348" t="s">
        <v>94</v>
      </c>
      <c r="C314" s="348" t="s">
        <v>101</v>
      </c>
      <c r="D314" s="352" t="s">
        <v>49</v>
      </c>
      <c r="E314" s="336">
        <v>43570</v>
      </c>
      <c r="F314" s="336">
        <v>43569</v>
      </c>
      <c r="G314" s="350"/>
      <c r="H314" s="334" t="s">
        <v>1025</v>
      </c>
      <c r="I314" s="356">
        <v>18616712692</v>
      </c>
      <c r="J314" s="361" t="s">
        <v>1026</v>
      </c>
      <c r="K314" s="356">
        <v>1000</v>
      </c>
      <c r="L314" s="362"/>
      <c r="M314" s="362"/>
      <c r="N314" s="362">
        <f t="shared" si="9"/>
        <v>0</v>
      </c>
      <c r="O314" s="356"/>
      <c r="P314" s="356"/>
      <c r="Q314" s="356"/>
      <c r="R314" s="356"/>
      <c r="S314" s="356"/>
      <c r="T314" s="356"/>
      <c r="U314" s="372" t="s">
        <v>846</v>
      </c>
      <c r="V314" s="372"/>
      <c r="W314" s="372" t="s">
        <v>98</v>
      </c>
      <c r="X314" s="373"/>
      <c r="Y314" s="348"/>
      <c r="Z314" s="348"/>
      <c r="AA314" s="348"/>
    </row>
    <row r="315" s="331" customFormat="1" ht="17" customHeight="1" spans="1:27">
      <c r="A315" s="550" t="s">
        <v>1027</v>
      </c>
      <c r="B315" s="348" t="s">
        <v>47</v>
      </c>
      <c r="C315" s="348" t="s">
        <v>80</v>
      </c>
      <c r="D315" s="352" t="s">
        <v>49</v>
      </c>
      <c r="E315" s="336">
        <v>43696</v>
      </c>
      <c r="F315" s="336">
        <v>43569</v>
      </c>
      <c r="G315" s="336">
        <v>43696</v>
      </c>
      <c r="H315" s="334" t="s">
        <v>1028</v>
      </c>
      <c r="I315" s="356">
        <v>18721553442</v>
      </c>
      <c r="J315" s="361" t="s">
        <v>1029</v>
      </c>
      <c r="K315" s="356">
        <v>2000</v>
      </c>
      <c r="L315" s="334">
        <f>12000-1081.3</f>
        <v>10918.7</v>
      </c>
      <c r="M315" s="334">
        <v>1081.3</v>
      </c>
      <c r="N315" s="362">
        <f t="shared" si="9"/>
        <v>12000</v>
      </c>
      <c r="O315" s="356"/>
      <c r="P315" s="356"/>
      <c r="Q315" s="356"/>
      <c r="R315" s="356"/>
      <c r="S315" s="356"/>
      <c r="T315" s="356"/>
      <c r="U315" s="372"/>
      <c r="V315" s="372"/>
      <c r="W315" s="372"/>
      <c r="X315" s="373"/>
      <c r="Y315" s="348"/>
      <c r="Z315" s="348"/>
      <c r="AA315" s="348"/>
    </row>
    <row r="316" s="331" customFormat="1" ht="17" customHeight="1" spans="1:27">
      <c r="A316" s="550" t="s">
        <v>1030</v>
      </c>
      <c r="B316" s="348" t="s">
        <v>47</v>
      </c>
      <c r="C316" s="348" t="s">
        <v>53</v>
      </c>
      <c r="D316" s="352" t="s">
        <v>49</v>
      </c>
      <c r="E316" s="336">
        <v>43570</v>
      </c>
      <c r="F316" s="336">
        <v>43569</v>
      </c>
      <c r="G316" s="350"/>
      <c r="H316" s="334" t="s">
        <v>1031</v>
      </c>
      <c r="I316" s="356">
        <v>17717500093</v>
      </c>
      <c r="J316" s="361" t="s">
        <v>1032</v>
      </c>
      <c r="K316" s="356">
        <v>1000</v>
      </c>
      <c r="L316" s="362"/>
      <c r="M316" s="362"/>
      <c r="N316" s="362">
        <f t="shared" si="9"/>
        <v>0</v>
      </c>
      <c r="O316" s="356"/>
      <c r="P316" s="356"/>
      <c r="Q316" s="356"/>
      <c r="R316" s="356" t="s">
        <v>52</v>
      </c>
      <c r="S316" s="356"/>
      <c r="T316" s="356"/>
      <c r="U316" s="397">
        <v>43571</v>
      </c>
      <c r="V316" s="372"/>
      <c r="W316" s="372"/>
      <c r="X316" s="373"/>
      <c r="Y316" s="348"/>
      <c r="Z316" s="348"/>
      <c r="AA316" s="348"/>
    </row>
    <row r="317" s="331" customFormat="1" ht="17" customHeight="1" spans="1:27">
      <c r="A317" s="550" t="s">
        <v>1033</v>
      </c>
      <c r="B317" s="348" t="s">
        <v>805</v>
      </c>
      <c r="C317" s="348" t="s">
        <v>1034</v>
      </c>
      <c r="D317" s="352" t="s">
        <v>171</v>
      </c>
      <c r="E317" s="336">
        <v>43571</v>
      </c>
      <c r="F317" s="336">
        <v>43571</v>
      </c>
      <c r="G317" s="395">
        <v>43744</v>
      </c>
      <c r="H317" s="334" t="s">
        <v>1035</v>
      </c>
      <c r="I317" s="356">
        <v>13716839586</v>
      </c>
      <c r="J317" s="361" t="s">
        <v>1036</v>
      </c>
      <c r="K317" s="356">
        <v>1000</v>
      </c>
      <c r="L317" s="362"/>
      <c r="M317" s="362"/>
      <c r="N317" s="362">
        <f t="shared" si="9"/>
        <v>0</v>
      </c>
      <c r="O317" s="356"/>
      <c r="P317" s="356"/>
      <c r="Q317" s="356"/>
      <c r="R317" s="356"/>
      <c r="S317" s="356"/>
      <c r="T317" s="356"/>
      <c r="U317" s="372"/>
      <c r="V317" s="372"/>
      <c r="W317" s="372" t="s">
        <v>809</v>
      </c>
      <c r="X317" s="373"/>
      <c r="Y317" s="348"/>
      <c r="Z317" s="348"/>
      <c r="AA317" s="348"/>
    </row>
    <row r="318" s="331" customFormat="1" ht="17" customHeight="1" spans="1:27">
      <c r="A318" s="348"/>
      <c r="B318" s="348" t="s">
        <v>130</v>
      </c>
      <c r="C318" s="348" t="s">
        <v>722</v>
      </c>
      <c r="D318" s="349" t="s">
        <v>182</v>
      </c>
      <c r="E318" s="336">
        <v>43571</v>
      </c>
      <c r="F318" s="336">
        <v>43570</v>
      </c>
      <c r="G318" s="350"/>
      <c r="H318" s="334" t="s">
        <v>1037</v>
      </c>
      <c r="I318" s="356">
        <v>13901715387</v>
      </c>
      <c r="J318" s="361" t="s">
        <v>1038</v>
      </c>
      <c r="K318" s="356">
        <v>1000</v>
      </c>
      <c r="L318" s="362"/>
      <c r="M318" s="362"/>
      <c r="N318" s="362">
        <f t="shared" si="9"/>
        <v>0</v>
      </c>
      <c r="O318" s="356"/>
      <c r="P318" s="356"/>
      <c r="Q318" s="356"/>
      <c r="R318" s="356"/>
      <c r="S318" s="356"/>
      <c r="T318" s="356"/>
      <c r="U318" s="372" t="s">
        <v>725</v>
      </c>
      <c r="V318" s="372"/>
      <c r="W318" s="372"/>
      <c r="X318" s="373">
        <v>1</v>
      </c>
      <c r="Y318" s="348"/>
      <c r="Z318" s="348"/>
      <c r="AA318" s="348"/>
    </row>
    <row r="319" s="331" customFormat="1" ht="17" customHeight="1" spans="1:27">
      <c r="A319" s="348">
        <v>2023053</v>
      </c>
      <c r="B319" s="348" t="s">
        <v>58</v>
      </c>
      <c r="C319" s="348" t="s">
        <v>342</v>
      </c>
      <c r="D319" s="352" t="s">
        <v>271</v>
      </c>
      <c r="E319" s="336"/>
      <c r="F319" s="336">
        <v>43570</v>
      </c>
      <c r="G319" s="350"/>
      <c r="H319" s="334" t="s">
        <v>1039</v>
      </c>
      <c r="I319" s="356">
        <v>13816803061</v>
      </c>
      <c r="J319" s="361" t="s">
        <v>1040</v>
      </c>
      <c r="K319" s="356">
        <v>100</v>
      </c>
      <c r="L319" s="362"/>
      <c r="M319" s="362"/>
      <c r="N319" s="362">
        <f t="shared" si="9"/>
        <v>0</v>
      </c>
      <c r="O319" s="356"/>
      <c r="P319" s="356"/>
      <c r="Q319" s="356"/>
      <c r="R319" s="356"/>
      <c r="S319" s="356"/>
      <c r="T319" s="356"/>
      <c r="U319" s="372">
        <v>43641</v>
      </c>
      <c r="V319" s="372"/>
      <c r="W319" s="372"/>
      <c r="X319" s="373"/>
      <c r="Y319" s="348"/>
      <c r="Z319" s="348"/>
      <c r="AA319" s="348"/>
    </row>
    <row r="320" s="331" customFormat="1" ht="17" customHeight="1" spans="1:27">
      <c r="A320" s="348">
        <v>2024165</v>
      </c>
      <c r="B320" s="348" t="s">
        <v>137</v>
      </c>
      <c r="C320" s="348" t="s">
        <v>1041</v>
      </c>
      <c r="D320" s="349" t="s">
        <v>139</v>
      </c>
      <c r="E320" s="336"/>
      <c r="F320" s="336">
        <v>43570</v>
      </c>
      <c r="G320" s="350"/>
      <c r="H320" s="334" t="s">
        <v>1042</v>
      </c>
      <c r="I320" s="356">
        <v>13671760164</v>
      </c>
      <c r="J320" s="361" t="s">
        <v>1043</v>
      </c>
      <c r="K320" s="356">
        <v>200</v>
      </c>
      <c r="L320" s="362"/>
      <c r="M320" s="362"/>
      <c r="N320" s="362">
        <f t="shared" si="9"/>
        <v>0</v>
      </c>
      <c r="O320" s="356"/>
      <c r="P320" s="356"/>
      <c r="Q320" s="356"/>
      <c r="R320" s="356"/>
      <c r="S320" s="356"/>
      <c r="T320" s="356"/>
      <c r="U320" s="376" t="s">
        <v>40</v>
      </c>
      <c r="V320" s="372"/>
      <c r="W320" s="372"/>
      <c r="X320" s="373"/>
      <c r="Y320" s="348" t="s">
        <v>1044</v>
      </c>
      <c r="Z320" s="348"/>
      <c r="AA320" s="348"/>
    </row>
    <row r="321" s="331" customFormat="1" ht="17" customHeight="1" spans="1:27">
      <c r="A321" s="348">
        <v>2024164</v>
      </c>
      <c r="B321" s="348" t="s">
        <v>137</v>
      </c>
      <c r="C321" s="348" t="s">
        <v>138</v>
      </c>
      <c r="D321" s="349" t="s">
        <v>427</v>
      </c>
      <c r="E321" s="336">
        <v>43649</v>
      </c>
      <c r="F321" s="336">
        <v>43570</v>
      </c>
      <c r="G321" s="336">
        <v>43648</v>
      </c>
      <c r="H321" s="334" t="s">
        <v>1045</v>
      </c>
      <c r="I321" s="356">
        <v>13761734391</v>
      </c>
      <c r="J321" s="361" t="s">
        <v>1046</v>
      </c>
      <c r="K321" s="356">
        <v>200</v>
      </c>
      <c r="L321" s="334">
        <v>12000</v>
      </c>
      <c r="M321" s="334">
        <v>4578</v>
      </c>
      <c r="N321" s="362">
        <f t="shared" si="9"/>
        <v>16578</v>
      </c>
      <c r="O321" s="356"/>
      <c r="P321" s="356"/>
      <c r="Q321" s="356"/>
      <c r="R321" s="356"/>
      <c r="S321" s="356"/>
      <c r="T321" s="356"/>
      <c r="U321" s="372"/>
      <c r="V321" s="372"/>
      <c r="W321" s="372"/>
      <c r="X321" s="373"/>
      <c r="Y321" s="348" t="s">
        <v>1044</v>
      </c>
      <c r="Z321" s="348"/>
      <c r="AA321" s="348"/>
    </row>
    <row r="322" s="331" customFormat="1" ht="17" customHeight="1" spans="1:27">
      <c r="A322" s="550" t="s">
        <v>1047</v>
      </c>
      <c r="B322" s="348" t="s">
        <v>137</v>
      </c>
      <c r="C322" s="348" t="s">
        <v>1048</v>
      </c>
      <c r="D322" s="349" t="s">
        <v>427</v>
      </c>
      <c r="E322" s="336">
        <v>43572</v>
      </c>
      <c r="F322" s="336">
        <v>43571</v>
      </c>
      <c r="G322" s="350"/>
      <c r="H322" s="334" t="s">
        <v>1049</v>
      </c>
      <c r="I322" s="356">
        <v>13901692754</v>
      </c>
      <c r="J322" s="361" t="s">
        <v>1050</v>
      </c>
      <c r="K322" s="356">
        <v>3000</v>
      </c>
      <c r="L322" s="362"/>
      <c r="M322" s="362"/>
      <c r="N322" s="362">
        <f t="shared" si="9"/>
        <v>0</v>
      </c>
      <c r="O322" s="356"/>
      <c r="P322" s="356"/>
      <c r="Q322" s="356"/>
      <c r="R322" s="356">
        <v>1</v>
      </c>
      <c r="S322" s="356"/>
      <c r="T322" s="356"/>
      <c r="U322" s="400" t="s">
        <v>1051</v>
      </c>
      <c r="V322" s="372"/>
      <c r="W322" s="372"/>
      <c r="X322" s="373"/>
      <c r="Y322" s="348" t="s">
        <v>497</v>
      </c>
      <c r="Z322" s="348"/>
      <c r="AA322" s="348"/>
    </row>
    <row r="323" s="331" customFormat="1" ht="17" customHeight="1" spans="1:27">
      <c r="A323" s="348">
        <v>2000562</v>
      </c>
      <c r="B323" s="348" t="s">
        <v>726</v>
      </c>
      <c r="C323" s="348" t="s">
        <v>727</v>
      </c>
      <c r="D323" s="352" t="s">
        <v>149</v>
      </c>
      <c r="E323" s="336" t="s">
        <v>498</v>
      </c>
      <c r="F323" s="336">
        <v>43571</v>
      </c>
      <c r="G323" s="350"/>
      <c r="H323" s="334" t="s">
        <v>1052</v>
      </c>
      <c r="I323" s="356">
        <v>13003267507</v>
      </c>
      <c r="J323" s="361" t="s">
        <v>1053</v>
      </c>
      <c r="K323" s="356">
        <v>100</v>
      </c>
      <c r="L323" s="362"/>
      <c r="M323" s="362"/>
      <c r="N323" s="362">
        <f t="shared" si="9"/>
        <v>0</v>
      </c>
      <c r="O323" s="356"/>
      <c r="P323" s="356"/>
      <c r="Q323" s="356"/>
      <c r="R323" s="356"/>
      <c r="S323" s="356"/>
      <c r="T323" s="356"/>
      <c r="U323" s="372" t="s">
        <v>1054</v>
      </c>
      <c r="V323" s="372"/>
      <c r="W323" s="372"/>
      <c r="X323" s="373"/>
      <c r="Y323" s="348"/>
      <c r="Z323" s="348"/>
      <c r="AA323" s="348"/>
    </row>
    <row r="324" s="331" customFormat="1" ht="17" customHeight="1" spans="1:27">
      <c r="A324" s="550" t="s">
        <v>1055</v>
      </c>
      <c r="B324" s="348" t="s">
        <v>94</v>
      </c>
      <c r="C324" s="348" t="s">
        <v>101</v>
      </c>
      <c r="D324" s="352" t="s">
        <v>49</v>
      </c>
      <c r="E324" s="336">
        <v>43691</v>
      </c>
      <c r="F324" s="336">
        <v>43572</v>
      </c>
      <c r="G324" s="336">
        <v>43690</v>
      </c>
      <c r="H324" s="334" t="s">
        <v>1056</v>
      </c>
      <c r="I324" s="356">
        <v>17317878319</v>
      </c>
      <c r="J324" s="361" t="s">
        <v>1057</v>
      </c>
      <c r="K324" s="356">
        <v>200</v>
      </c>
      <c r="L324" s="334">
        <f>26551-1840</f>
        <v>24711</v>
      </c>
      <c r="M324" s="334">
        <f>1104+736</f>
        <v>1840</v>
      </c>
      <c r="N324" s="362">
        <f t="shared" si="9"/>
        <v>26551</v>
      </c>
      <c r="O324" s="366" t="s">
        <v>52</v>
      </c>
      <c r="P324" s="356"/>
      <c r="Q324" s="356"/>
      <c r="R324" s="356"/>
      <c r="S324" s="356"/>
      <c r="T324" s="356"/>
      <c r="U324" s="372"/>
      <c r="V324" s="372"/>
      <c r="W324" s="372"/>
      <c r="X324" s="373"/>
      <c r="Y324" s="348"/>
      <c r="Z324" s="348"/>
      <c r="AA324" s="348"/>
    </row>
    <row r="325" s="331" customFormat="1" ht="17" customHeight="1" spans="1:27">
      <c r="A325" s="348">
        <v>2025670</v>
      </c>
      <c r="B325" s="348" t="s">
        <v>281</v>
      </c>
      <c r="C325" s="348" t="s">
        <v>587</v>
      </c>
      <c r="D325" s="349" t="s">
        <v>518</v>
      </c>
      <c r="E325" s="336">
        <v>43572</v>
      </c>
      <c r="F325" s="336">
        <v>43571</v>
      </c>
      <c r="G325" s="336">
        <v>43662</v>
      </c>
      <c r="H325" s="334" t="s">
        <v>1058</v>
      </c>
      <c r="I325" s="356">
        <v>13524778619</v>
      </c>
      <c r="J325" s="361" t="s">
        <v>1059</v>
      </c>
      <c r="K325" s="356">
        <v>2580</v>
      </c>
      <c r="L325" s="334">
        <v>28500</v>
      </c>
      <c r="M325" s="334"/>
      <c r="N325" s="362">
        <f t="shared" si="9"/>
        <v>28500</v>
      </c>
      <c r="O325" s="356"/>
      <c r="P325" s="356"/>
      <c r="Q325" s="356"/>
      <c r="R325" s="356"/>
      <c r="S325" s="356"/>
      <c r="T325" s="356"/>
      <c r="U325" s="372"/>
      <c r="V325" s="372"/>
      <c r="W325" s="372"/>
      <c r="X325" s="373"/>
      <c r="Y325" s="348"/>
      <c r="Z325" s="348"/>
      <c r="AA325" s="348"/>
    </row>
    <row r="326" s="331" customFormat="1" ht="17" customHeight="1" spans="1:27">
      <c r="A326" s="550" t="s">
        <v>1060</v>
      </c>
      <c r="B326" s="348" t="s">
        <v>185</v>
      </c>
      <c r="C326" s="348" t="s">
        <v>186</v>
      </c>
      <c r="D326" s="349" t="s">
        <v>187</v>
      </c>
      <c r="E326" s="336" t="s">
        <v>133</v>
      </c>
      <c r="F326" s="336">
        <v>43570</v>
      </c>
      <c r="G326" s="350"/>
      <c r="H326" s="334" t="s">
        <v>1061</v>
      </c>
      <c r="I326" s="356">
        <v>13671537258</v>
      </c>
      <c r="J326" s="361" t="s">
        <v>1062</v>
      </c>
      <c r="K326" s="356">
        <f>2800+200</f>
        <v>3000</v>
      </c>
      <c r="L326" s="362"/>
      <c r="M326" s="362"/>
      <c r="N326" s="362">
        <f t="shared" ref="N326:N352" si="10">L326+M326</f>
        <v>0</v>
      </c>
      <c r="O326" s="356"/>
      <c r="P326" s="356"/>
      <c r="Q326" s="356"/>
      <c r="R326" s="356"/>
      <c r="S326" s="356"/>
      <c r="T326" s="356"/>
      <c r="U326" s="374">
        <v>43672</v>
      </c>
      <c r="V326" s="372"/>
      <c r="W326" s="372"/>
      <c r="X326" s="373"/>
      <c r="Y326" s="348" t="s">
        <v>1044</v>
      </c>
      <c r="Z326" s="348"/>
      <c r="AA326" s="348"/>
    </row>
    <row r="327" s="331" customFormat="1" ht="17" customHeight="1" spans="1:27">
      <c r="A327" s="348">
        <v>2067466</v>
      </c>
      <c r="B327" s="348" t="s">
        <v>137</v>
      </c>
      <c r="C327" s="334" t="s">
        <v>138</v>
      </c>
      <c r="D327" s="334" t="s">
        <v>139</v>
      </c>
      <c r="E327" s="336">
        <v>43737</v>
      </c>
      <c r="F327" s="336">
        <v>43574</v>
      </c>
      <c r="G327" s="336">
        <v>43737</v>
      </c>
      <c r="H327" s="334" t="s">
        <v>1063</v>
      </c>
      <c r="I327" s="356">
        <v>13524295254</v>
      </c>
      <c r="J327" s="361" t="s">
        <v>1064</v>
      </c>
      <c r="K327" s="356">
        <v>3000</v>
      </c>
      <c r="L327" s="334">
        <v>21000</v>
      </c>
      <c r="M327" s="362"/>
      <c r="N327" s="362">
        <f t="shared" si="10"/>
        <v>21000</v>
      </c>
      <c r="O327" s="356"/>
      <c r="P327" s="356"/>
      <c r="Q327" s="356">
        <v>1</v>
      </c>
      <c r="R327" s="356"/>
      <c r="S327" s="356"/>
      <c r="T327" s="356"/>
      <c r="U327" s="372"/>
      <c r="V327" s="372"/>
      <c r="W327" s="372"/>
      <c r="X327" s="373">
        <v>1</v>
      </c>
      <c r="Y327" s="348"/>
      <c r="Z327" s="348"/>
      <c r="AA327" s="348"/>
    </row>
    <row r="328" s="57" customFormat="1" ht="17" customHeight="1" spans="1:27">
      <c r="A328" s="550" t="s">
        <v>1065</v>
      </c>
      <c r="B328" s="348" t="s">
        <v>137</v>
      </c>
      <c r="C328" s="348" t="s">
        <v>1066</v>
      </c>
      <c r="D328" s="349" t="s">
        <v>187</v>
      </c>
      <c r="E328" s="336">
        <v>43575</v>
      </c>
      <c r="F328" s="336">
        <v>43569</v>
      </c>
      <c r="G328" s="350" t="s">
        <v>231</v>
      </c>
      <c r="H328" s="334" t="s">
        <v>1067</v>
      </c>
      <c r="I328" s="356">
        <v>18916765556</v>
      </c>
      <c r="J328" s="348" t="s">
        <v>1068</v>
      </c>
      <c r="K328" s="356">
        <v>3000</v>
      </c>
      <c r="L328" s="362"/>
      <c r="M328" s="362"/>
      <c r="N328" s="362">
        <f t="shared" si="10"/>
        <v>0</v>
      </c>
      <c r="O328" s="356"/>
      <c r="P328" s="356"/>
      <c r="Q328" s="356"/>
      <c r="R328" s="356"/>
      <c r="S328" s="356">
        <v>1</v>
      </c>
      <c r="T328" s="356"/>
      <c r="U328" s="372"/>
      <c r="V328" s="372"/>
      <c r="W328" s="372"/>
      <c r="X328" s="373">
        <v>1</v>
      </c>
      <c r="Y328" s="348" t="s">
        <v>497</v>
      </c>
      <c r="Z328" s="348"/>
      <c r="AA328" s="348"/>
    </row>
    <row r="329" s="57" customFormat="1" ht="17" customHeight="1" spans="1:27">
      <c r="A329" s="550" t="s">
        <v>1069</v>
      </c>
      <c r="B329" s="348" t="s">
        <v>137</v>
      </c>
      <c r="C329" s="348" t="s">
        <v>1066</v>
      </c>
      <c r="D329" s="349" t="s">
        <v>187</v>
      </c>
      <c r="E329" s="336">
        <v>43575</v>
      </c>
      <c r="F329" s="336">
        <v>43569</v>
      </c>
      <c r="G329" s="350"/>
      <c r="H329" s="334" t="s">
        <v>1070</v>
      </c>
      <c r="I329" s="356">
        <v>13681796527</v>
      </c>
      <c r="J329" s="348" t="s">
        <v>1071</v>
      </c>
      <c r="K329" s="356">
        <v>3000</v>
      </c>
      <c r="L329" s="362"/>
      <c r="M329" s="362"/>
      <c r="N329" s="362">
        <f t="shared" si="10"/>
        <v>0</v>
      </c>
      <c r="O329" s="356"/>
      <c r="P329" s="356">
        <v>1</v>
      </c>
      <c r="Q329" s="356"/>
      <c r="R329" s="356"/>
      <c r="S329" s="356"/>
      <c r="T329" s="356"/>
      <c r="U329" s="372" t="s">
        <v>12</v>
      </c>
      <c r="V329" s="372"/>
      <c r="W329" s="372"/>
      <c r="X329" s="373">
        <v>1</v>
      </c>
      <c r="Y329" s="348" t="s">
        <v>497</v>
      </c>
      <c r="Z329" s="348"/>
      <c r="AA329" s="348"/>
    </row>
    <row r="330" s="57" customFormat="1" ht="17" customHeight="1" spans="1:27">
      <c r="A330" s="550" t="s">
        <v>1072</v>
      </c>
      <c r="B330" s="348" t="s">
        <v>137</v>
      </c>
      <c r="C330" s="348" t="s">
        <v>1066</v>
      </c>
      <c r="D330" s="349" t="s">
        <v>187</v>
      </c>
      <c r="E330" s="336">
        <v>43575</v>
      </c>
      <c r="F330" s="336">
        <v>43569</v>
      </c>
      <c r="G330" s="350"/>
      <c r="H330" s="334" t="s">
        <v>1073</v>
      </c>
      <c r="I330" s="356">
        <v>17316310322</v>
      </c>
      <c r="J330" s="348" t="s">
        <v>1074</v>
      </c>
      <c r="K330" s="356">
        <v>3000</v>
      </c>
      <c r="L330" s="362"/>
      <c r="M330" s="362"/>
      <c r="N330" s="362">
        <f t="shared" si="10"/>
        <v>0</v>
      </c>
      <c r="O330" s="356">
        <v>1</v>
      </c>
      <c r="P330" s="356"/>
      <c r="Q330" s="356"/>
      <c r="R330" s="356"/>
      <c r="S330" s="356"/>
      <c r="T330" s="356"/>
      <c r="U330" s="385" t="s">
        <v>52</v>
      </c>
      <c r="V330" s="372"/>
      <c r="W330" s="372"/>
      <c r="X330" s="373">
        <v>1</v>
      </c>
      <c r="Y330" s="348" t="s">
        <v>497</v>
      </c>
      <c r="Z330" s="348"/>
      <c r="AA330" s="348"/>
    </row>
    <row r="331" s="57" customFormat="1" ht="17" customHeight="1" spans="1:27">
      <c r="A331" s="550" t="s">
        <v>1075</v>
      </c>
      <c r="B331" s="348" t="s">
        <v>137</v>
      </c>
      <c r="C331" s="348" t="s">
        <v>1066</v>
      </c>
      <c r="D331" s="349" t="s">
        <v>187</v>
      </c>
      <c r="E331" s="336">
        <v>43575</v>
      </c>
      <c r="F331" s="336">
        <v>43569</v>
      </c>
      <c r="G331" s="350"/>
      <c r="H331" s="334" t="s">
        <v>1076</v>
      </c>
      <c r="I331" s="356">
        <v>13621798197</v>
      </c>
      <c r="J331" s="348" t="s">
        <v>1077</v>
      </c>
      <c r="K331" s="356">
        <v>3000</v>
      </c>
      <c r="L331" s="362"/>
      <c r="M331" s="362"/>
      <c r="N331" s="362">
        <f t="shared" si="10"/>
        <v>0</v>
      </c>
      <c r="O331" s="356">
        <v>1</v>
      </c>
      <c r="P331" s="356"/>
      <c r="Q331" s="356"/>
      <c r="R331" s="356"/>
      <c r="S331" s="356"/>
      <c r="T331" s="356"/>
      <c r="U331" s="385" t="s">
        <v>52</v>
      </c>
      <c r="V331" s="372"/>
      <c r="W331" s="372"/>
      <c r="X331" s="373">
        <v>1</v>
      </c>
      <c r="Y331" s="348" t="s">
        <v>497</v>
      </c>
      <c r="Z331" s="348"/>
      <c r="AA331" s="348"/>
    </row>
    <row r="332" s="331" customFormat="1" ht="17" customHeight="1" spans="1:27">
      <c r="A332" s="550" t="s">
        <v>1078</v>
      </c>
      <c r="B332" s="348" t="s">
        <v>335</v>
      </c>
      <c r="C332" s="348" t="s">
        <v>615</v>
      </c>
      <c r="D332" s="349" t="s">
        <v>337</v>
      </c>
      <c r="E332" s="336">
        <v>43575</v>
      </c>
      <c r="F332" s="336">
        <v>43575</v>
      </c>
      <c r="G332" s="350"/>
      <c r="H332" s="334" t="s">
        <v>1079</v>
      </c>
      <c r="I332" s="356">
        <v>18616773827</v>
      </c>
      <c r="J332" s="361" t="s">
        <v>1080</v>
      </c>
      <c r="K332" s="356">
        <v>1000</v>
      </c>
      <c r="L332" s="362"/>
      <c r="M332" s="362"/>
      <c r="N332" s="362">
        <f t="shared" si="10"/>
        <v>0</v>
      </c>
      <c r="O332" s="356"/>
      <c r="P332" s="356"/>
      <c r="Q332" s="356"/>
      <c r="R332" s="356"/>
      <c r="S332" s="356"/>
      <c r="T332" s="356"/>
      <c r="U332" s="356" t="s">
        <v>40</v>
      </c>
      <c r="V332" s="372"/>
      <c r="W332" s="372"/>
      <c r="X332" s="373"/>
      <c r="Y332" s="348"/>
      <c r="Z332" s="348"/>
      <c r="AA332" s="348"/>
    </row>
    <row r="333" s="57" customFormat="1" ht="17" customHeight="1" spans="1:27">
      <c r="A333" s="348">
        <v>2067415</v>
      </c>
      <c r="B333" s="348" t="s">
        <v>137</v>
      </c>
      <c r="C333" s="348" t="s">
        <v>494</v>
      </c>
      <c r="D333" s="349" t="s">
        <v>443</v>
      </c>
      <c r="E333" s="336">
        <v>43821</v>
      </c>
      <c r="F333" s="336">
        <v>43569</v>
      </c>
      <c r="G333" s="336">
        <v>43820</v>
      </c>
      <c r="H333" s="334" t="s">
        <v>1081</v>
      </c>
      <c r="I333" s="356">
        <v>13166327536</v>
      </c>
      <c r="J333" s="348" t="s">
        <v>1082</v>
      </c>
      <c r="K333" s="356">
        <v>3000</v>
      </c>
      <c r="L333" s="334">
        <v>47000</v>
      </c>
      <c r="M333" s="362"/>
      <c r="N333" s="362">
        <f t="shared" si="10"/>
        <v>47000</v>
      </c>
      <c r="O333" s="356">
        <v>1</v>
      </c>
      <c r="P333" s="356"/>
      <c r="Q333" s="356"/>
      <c r="R333" s="356"/>
      <c r="S333" s="356"/>
      <c r="T333" s="356"/>
      <c r="U333" s="372"/>
      <c r="V333" s="372"/>
      <c r="W333" s="372"/>
      <c r="X333" s="373">
        <v>1</v>
      </c>
      <c r="Y333" s="348" t="s">
        <v>497</v>
      </c>
      <c r="Z333" s="348"/>
      <c r="AA333" s="348"/>
    </row>
    <row r="334" s="57" customFormat="1" ht="17" customHeight="1" spans="1:27">
      <c r="A334" s="550" t="s">
        <v>1083</v>
      </c>
      <c r="B334" s="348" t="s">
        <v>137</v>
      </c>
      <c r="C334" s="348" t="s">
        <v>494</v>
      </c>
      <c r="D334" s="349" t="s">
        <v>443</v>
      </c>
      <c r="E334" s="336">
        <v>43575</v>
      </c>
      <c r="F334" s="336">
        <v>43569</v>
      </c>
      <c r="G334" s="350"/>
      <c r="H334" s="334" t="s">
        <v>1084</v>
      </c>
      <c r="I334" s="356">
        <v>13817592172</v>
      </c>
      <c r="J334" s="348" t="s">
        <v>1085</v>
      </c>
      <c r="K334" s="356">
        <v>3000</v>
      </c>
      <c r="L334" s="362"/>
      <c r="M334" s="362"/>
      <c r="N334" s="362">
        <f t="shared" si="10"/>
        <v>0</v>
      </c>
      <c r="O334" s="356"/>
      <c r="P334" s="356">
        <v>1</v>
      </c>
      <c r="Q334" s="356"/>
      <c r="R334" s="356"/>
      <c r="S334" s="356"/>
      <c r="T334" s="356"/>
      <c r="U334" s="372"/>
      <c r="V334" s="372"/>
      <c r="W334" s="372"/>
      <c r="X334" s="373">
        <v>1</v>
      </c>
      <c r="Y334" s="348" t="s">
        <v>497</v>
      </c>
      <c r="Z334" s="348"/>
      <c r="AA334" s="348"/>
    </row>
    <row r="335" s="57" customFormat="1" ht="17" customHeight="1" spans="1:27">
      <c r="A335" s="348">
        <v>2067463</v>
      </c>
      <c r="B335" s="348" t="s">
        <v>137</v>
      </c>
      <c r="C335" s="348" t="s">
        <v>494</v>
      </c>
      <c r="D335" s="349" t="s">
        <v>443</v>
      </c>
      <c r="E335" s="336">
        <v>43575</v>
      </c>
      <c r="F335" s="336">
        <v>43569</v>
      </c>
      <c r="G335" s="350"/>
      <c r="H335" s="334" t="s">
        <v>1086</v>
      </c>
      <c r="I335" s="356">
        <v>18221218664</v>
      </c>
      <c r="J335" s="348" t="s">
        <v>1087</v>
      </c>
      <c r="K335" s="356">
        <v>3000</v>
      </c>
      <c r="L335" s="362"/>
      <c r="M335" s="362"/>
      <c r="N335" s="362">
        <f t="shared" si="10"/>
        <v>0</v>
      </c>
      <c r="O335" s="356"/>
      <c r="P335" s="356"/>
      <c r="Q335" s="356">
        <v>1</v>
      </c>
      <c r="R335" s="356"/>
      <c r="S335" s="356"/>
      <c r="T335" s="356"/>
      <c r="U335" s="372"/>
      <c r="V335" s="372"/>
      <c r="W335" s="372"/>
      <c r="X335" s="373">
        <v>1</v>
      </c>
      <c r="Y335" s="348" t="s">
        <v>497</v>
      </c>
      <c r="Z335" s="348"/>
      <c r="AA335" s="348"/>
    </row>
    <row r="336" s="331" customFormat="1" ht="17" customHeight="1" spans="1:27">
      <c r="A336" s="550" t="s">
        <v>1088</v>
      </c>
      <c r="B336" s="348" t="s">
        <v>58</v>
      </c>
      <c r="C336" s="348" t="s">
        <v>347</v>
      </c>
      <c r="D336" s="349" t="s">
        <v>343</v>
      </c>
      <c r="E336" s="336">
        <v>43702</v>
      </c>
      <c r="F336" s="336">
        <v>43639</v>
      </c>
      <c r="G336" s="336">
        <v>43697</v>
      </c>
      <c r="H336" s="334" t="s">
        <v>1089</v>
      </c>
      <c r="I336" s="356">
        <v>13681639182</v>
      </c>
      <c r="J336" s="361" t="s">
        <v>1090</v>
      </c>
      <c r="K336" s="356">
        <f>24000+1000</f>
        <v>25000</v>
      </c>
      <c r="L336" s="334">
        <v>23025</v>
      </c>
      <c r="M336" s="362"/>
      <c r="N336" s="362">
        <f t="shared" si="10"/>
        <v>23025</v>
      </c>
      <c r="O336" s="356"/>
      <c r="P336" s="356"/>
      <c r="Q336" s="366" t="s">
        <v>52</v>
      </c>
      <c r="R336" s="356"/>
      <c r="S336" s="356"/>
      <c r="T336" s="356"/>
      <c r="U336" s="372"/>
      <c r="V336" s="372"/>
      <c r="W336" s="372"/>
      <c r="X336" s="373">
        <v>1</v>
      </c>
      <c r="Y336" s="348" t="s">
        <v>274</v>
      </c>
      <c r="Z336" s="348"/>
      <c r="AA336" s="348" t="s">
        <v>1091</v>
      </c>
    </row>
    <row r="337" s="331" customFormat="1" ht="17" customHeight="1" spans="1:27">
      <c r="A337" s="550" t="s">
        <v>1092</v>
      </c>
      <c r="B337" s="348" t="s">
        <v>137</v>
      </c>
      <c r="C337" s="334" t="s">
        <v>406</v>
      </c>
      <c r="D337" s="334" t="s">
        <v>139</v>
      </c>
      <c r="E337" s="336">
        <v>43708</v>
      </c>
      <c r="F337" s="336">
        <v>43568</v>
      </c>
      <c r="G337" s="336">
        <v>43708</v>
      </c>
      <c r="H337" s="334" t="s">
        <v>1093</v>
      </c>
      <c r="I337" s="356">
        <v>13505193777</v>
      </c>
      <c r="J337" s="361" t="s">
        <v>1094</v>
      </c>
      <c r="K337" s="356">
        <v>3000</v>
      </c>
      <c r="L337" s="334">
        <v>18902</v>
      </c>
      <c r="M337" s="362"/>
      <c r="N337" s="362">
        <f t="shared" si="10"/>
        <v>18902</v>
      </c>
      <c r="O337" s="356"/>
      <c r="P337" s="356"/>
      <c r="Q337" s="356">
        <v>1</v>
      </c>
      <c r="R337" s="356"/>
      <c r="S337" s="356"/>
      <c r="T337" s="356"/>
      <c r="U337" s="372"/>
      <c r="V337" s="372"/>
      <c r="W337" s="372"/>
      <c r="X337" s="373">
        <v>1</v>
      </c>
      <c r="Y337" s="348" t="s">
        <v>497</v>
      </c>
      <c r="Z337" s="348"/>
      <c r="AA337" s="348"/>
    </row>
    <row r="338" s="57" customFormat="1" ht="17" customHeight="1" spans="1:27">
      <c r="A338" s="550" t="s">
        <v>1095</v>
      </c>
      <c r="B338" s="348" t="s">
        <v>137</v>
      </c>
      <c r="C338" s="348" t="s">
        <v>1096</v>
      </c>
      <c r="D338" s="349" t="s">
        <v>443</v>
      </c>
      <c r="E338" s="336">
        <v>43575</v>
      </c>
      <c r="F338" s="336">
        <v>43569</v>
      </c>
      <c r="G338" s="350"/>
      <c r="H338" s="334" t="s">
        <v>1097</v>
      </c>
      <c r="I338" s="356" t="s">
        <v>1098</v>
      </c>
      <c r="J338" s="348" t="s">
        <v>1099</v>
      </c>
      <c r="K338" s="356">
        <v>3000</v>
      </c>
      <c r="L338" s="362"/>
      <c r="M338" s="362"/>
      <c r="N338" s="362">
        <f t="shared" si="10"/>
        <v>0</v>
      </c>
      <c r="O338" s="356"/>
      <c r="P338" s="356"/>
      <c r="Q338" s="356">
        <v>1</v>
      </c>
      <c r="R338" s="356"/>
      <c r="S338" s="356"/>
      <c r="T338" s="356"/>
      <c r="U338" s="372"/>
      <c r="V338" s="372"/>
      <c r="W338" s="372"/>
      <c r="X338" s="373">
        <v>1</v>
      </c>
      <c r="Y338" s="348" t="s">
        <v>497</v>
      </c>
      <c r="Z338" s="348"/>
      <c r="AA338" s="348"/>
    </row>
    <row r="339" s="331" customFormat="1" ht="17" customHeight="1" spans="1:27">
      <c r="A339" s="348">
        <v>2067416</v>
      </c>
      <c r="B339" s="348" t="s">
        <v>137</v>
      </c>
      <c r="C339" s="348" t="s">
        <v>406</v>
      </c>
      <c r="D339" s="334" t="s">
        <v>139</v>
      </c>
      <c r="E339" s="336">
        <v>43722</v>
      </c>
      <c r="F339" s="336">
        <v>43569</v>
      </c>
      <c r="G339" s="336">
        <v>43722</v>
      </c>
      <c r="H339" s="334" t="s">
        <v>1100</v>
      </c>
      <c r="I339" s="356">
        <v>13331981733</v>
      </c>
      <c r="J339" s="361" t="s">
        <v>1101</v>
      </c>
      <c r="K339" s="356">
        <v>3000</v>
      </c>
      <c r="L339" s="334">
        <v>14792</v>
      </c>
      <c r="M339" s="362"/>
      <c r="N339" s="362">
        <f t="shared" si="10"/>
        <v>14792</v>
      </c>
      <c r="O339" s="356"/>
      <c r="P339" s="356"/>
      <c r="Q339" s="356">
        <v>1</v>
      </c>
      <c r="R339" s="356"/>
      <c r="S339" s="356"/>
      <c r="T339" s="356"/>
      <c r="U339" s="372"/>
      <c r="V339" s="372"/>
      <c r="W339" s="372"/>
      <c r="X339" s="373">
        <v>1</v>
      </c>
      <c r="Y339" s="348" t="s">
        <v>497</v>
      </c>
      <c r="Z339" s="348"/>
      <c r="AA339" s="348"/>
    </row>
    <row r="340" s="57" customFormat="1" ht="17" customHeight="1" spans="1:27">
      <c r="A340" s="348">
        <v>2024096</v>
      </c>
      <c r="B340" s="348" t="s">
        <v>137</v>
      </c>
      <c r="C340" s="348" t="s">
        <v>1041</v>
      </c>
      <c r="D340" s="349" t="s">
        <v>139</v>
      </c>
      <c r="E340" s="336">
        <v>43575</v>
      </c>
      <c r="F340" s="336">
        <v>43568</v>
      </c>
      <c r="G340" s="350"/>
      <c r="H340" s="334" t="s">
        <v>1102</v>
      </c>
      <c r="I340" s="356">
        <v>13910947193</v>
      </c>
      <c r="J340" s="348" t="s">
        <v>1103</v>
      </c>
      <c r="K340" s="356">
        <v>3000</v>
      </c>
      <c r="L340" s="362"/>
      <c r="M340" s="362"/>
      <c r="N340" s="362">
        <f t="shared" si="10"/>
        <v>0</v>
      </c>
      <c r="O340" s="356"/>
      <c r="P340" s="356"/>
      <c r="Q340" s="356">
        <v>1</v>
      </c>
      <c r="R340" s="356"/>
      <c r="S340" s="356"/>
      <c r="T340" s="356"/>
      <c r="U340" s="376" t="s">
        <v>12</v>
      </c>
      <c r="V340" s="372"/>
      <c r="W340" s="372"/>
      <c r="X340" s="373">
        <v>1</v>
      </c>
      <c r="Y340" s="348" t="s">
        <v>497</v>
      </c>
      <c r="Z340" s="348"/>
      <c r="AA340" s="348"/>
    </row>
    <row r="341" s="57" customFormat="1" ht="17" customHeight="1" spans="1:27">
      <c r="A341" s="348">
        <v>2067464</v>
      </c>
      <c r="B341" s="348" t="s">
        <v>137</v>
      </c>
      <c r="C341" s="348" t="s">
        <v>1041</v>
      </c>
      <c r="D341" s="349" t="s">
        <v>139</v>
      </c>
      <c r="E341" s="336">
        <v>43575</v>
      </c>
      <c r="F341" s="336">
        <v>43568</v>
      </c>
      <c r="G341" s="350"/>
      <c r="H341" s="334" t="s">
        <v>1104</v>
      </c>
      <c r="I341" s="356">
        <v>13524628169</v>
      </c>
      <c r="J341" s="348" t="s">
        <v>1105</v>
      </c>
      <c r="K341" s="356">
        <v>3000</v>
      </c>
      <c r="L341" s="362"/>
      <c r="M341" s="362"/>
      <c r="N341" s="362">
        <f t="shared" si="10"/>
        <v>0</v>
      </c>
      <c r="O341" s="356"/>
      <c r="P341" s="356"/>
      <c r="Q341" s="356">
        <v>1</v>
      </c>
      <c r="R341" s="356"/>
      <c r="S341" s="356"/>
      <c r="T341" s="356"/>
      <c r="U341" s="376" t="s">
        <v>12</v>
      </c>
      <c r="V341" s="372"/>
      <c r="W341" s="372"/>
      <c r="X341" s="373">
        <v>1</v>
      </c>
      <c r="Y341" s="348" t="s">
        <v>497</v>
      </c>
      <c r="Z341" s="348"/>
      <c r="AA341" s="348"/>
    </row>
    <row r="342" s="331" customFormat="1" ht="17" customHeight="1" spans="1:27">
      <c r="A342" s="348">
        <v>2067412</v>
      </c>
      <c r="B342" s="348" t="s">
        <v>137</v>
      </c>
      <c r="C342" s="348" t="s">
        <v>1048</v>
      </c>
      <c r="D342" s="334" t="s">
        <v>139</v>
      </c>
      <c r="E342" s="336">
        <v>43732</v>
      </c>
      <c r="F342" s="336">
        <v>43569</v>
      </c>
      <c r="G342" s="336">
        <v>43732</v>
      </c>
      <c r="H342" s="334" t="s">
        <v>1106</v>
      </c>
      <c r="I342" s="356">
        <v>13816927879</v>
      </c>
      <c r="J342" s="361" t="s">
        <v>1107</v>
      </c>
      <c r="K342" s="356">
        <v>3000</v>
      </c>
      <c r="L342" s="334">
        <v>20853</v>
      </c>
      <c r="M342" s="362"/>
      <c r="N342" s="362">
        <f t="shared" si="10"/>
        <v>20853</v>
      </c>
      <c r="O342" s="356"/>
      <c r="P342" s="356"/>
      <c r="Q342" s="356">
        <v>1</v>
      </c>
      <c r="R342" s="356"/>
      <c r="S342" s="356"/>
      <c r="T342" s="356"/>
      <c r="U342" s="372"/>
      <c r="V342" s="372"/>
      <c r="W342" s="372"/>
      <c r="X342" s="373">
        <v>1</v>
      </c>
      <c r="Y342" s="348" t="s">
        <v>497</v>
      </c>
      <c r="Z342" s="348"/>
      <c r="AA342" s="348"/>
    </row>
    <row r="343" s="331" customFormat="1" ht="17" customHeight="1" spans="1:27">
      <c r="A343" s="348">
        <v>2024197</v>
      </c>
      <c r="B343" s="348" t="s">
        <v>137</v>
      </c>
      <c r="C343" s="348" t="s">
        <v>1108</v>
      </c>
      <c r="D343" s="349" t="s">
        <v>139</v>
      </c>
      <c r="E343" s="336">
        <v>43575</v>
      </c>
      <c r="F343" s="336">
        <v>43569</v>
      </c>
      <c r="G343" s="350"/>
      <c r="H343" s="334" t="s">
        <v>1109</v>
      </c>
      <c r="I343" s="356">
        <v>13701671634</v>
      </c>
      <c r="J343" s="361" t="s">
        <v>1110</v>
      </c>
      <c r="K343" s="356">
        <v>3000</v>
      </c>
      <c r="L343" s="362"/>
      <c r="M343" s="362"/>
      <c r="N343" s="362">
        <f t="shared" si="10"/>
        <v>0</v>
      </c>
      <c r="O343" s="356">
        <v>1</v>
      </c>
      <c r="P343" s="356"/>
      <c r="Q343" s="356"/>
      <c r="R343" s="356"/>
      <c r="S343" s="356"/>
      <c r="T343" s="356"/>
      <c r="U343" s="336" t="s">
        <v>40</v>
      </c>
      <c r="V343" s="372"/>
      <c r="W343" s="372"/>
      <c r="X343" s="373">
        <v>1</v>
      </c>
      <c r="Y343" s="348" t="s">
        <v>497</v>
      </c>
      <c r="Z343" s="348"/>
      <c r="AA343" s="348"/>
    </row>
    <row r="344" s="331" customFormat="1" ht="17" customHeight="1" spans="1:27">
      <c r="A344" s="348"/>
      <c r="B344" s="348" t="s">
        <v>137</v>
      </c>
      <c r="C344" s="348" t="s">
        <v>480</v>
      </c>
      <c r="D344" s="349" t="s">
        <v>139</v>
      </c>
      <c r="E344" s="336">
        <v>43575</v>
      </c>
      <c r="F344" s="336">
        <v>43569</v>
      </c>
      <c r="G344" s="336">
        <v>43673</v>
      </c>
      <c r="H344" s="334" t="s">
        <v>1111</v>
      </c>
      <c r="I344" s="356">
        <v>13917728517</v>
      </c>
      <c r="J344" s="361" t="s">
        <v>1112</v>
      </c>
      <c r="K344" s="356">
        <v>3000</v>
      </c>
      <c r="L344" s="334">
        <v>37400</v>
      </c>
      <c r="M344" s="362"/>
      <c r="N344" s="362">
        <f t="shared" si="10"/>
        <v>37400</v>
      </c>
      <c r="O344" s="356">
        <v>1</v>
      </c>
      <c r="P344" s="356"/>
      <c r="Q344" s="356"/>
      <c r="R344" s="356"/>
      <c r="S344" s="356"/>
      <c r="T344" s="356"/>
      <c r="U344" s="372"/>
      <c r="V344" s="372"/>
      <c r="W344" s="372"/>
      <c r="X344" s="373">
        <v>1</v>
      </c>
      <c r="Y344" s="348" t="s">
        <v>497</v>
      </c>
      <c r="Z344" s="348"/>
      <c r="AA344" s="348"/>
    </row>
    <row r="345" s="331" customFormat="1" ht="17" customHeight="1" spans="1:27">
      <c r="A345" s="348"/>
      <c r="B345" s="348" t="s">
        <v>137</v>
      </c>
      <c r="C345" s="348" t="s">
        <v>1108</v>
      </c>
      <c r="D345" s="349" t="s">
        <v>139</v>
      </c>
      <c r="E345" s="336">
        <v>43575</v>
      </c>
      <c r="F345" s="336">
        <v>43569</v>
      </c>
      <c r="G345" s="336">
        <v>43671</v>
      </c>
      <c r="H345" s="334" t="s">
        <v>1113</v>
      </c>
      <c r="I345" s="356">
        <v>15801058013</v>
      </c>
      <c r="J345" s="361" t="s">
        <v>1114</v>
      </c>
      <c r="K345" s="356">
        <v>3000</v>
      </c>
      <c r="L345" s="334">
        <v>15468</v>
      </c>
      <c r="M345" s="362"/>
      <c r="N345" s="362">
        <f t="shared" si="10"/>
        <v>15468</v>
      </c>
      <c r="O345" s="356">
        <v>1</v>
      </c>
      <c r="P345" s="356"/>
      <c r="Q345" s="356"/>
      <c r="R345" s="356"/>
      <c r="S345" s="356"/>
      <c r="T345" s="356"/>
      <c r="U345" s="372"/>
      <c r="V345" s="372"/>
      <c r="W345" s="372"/>
      <c r="X345" s="373">
        <v>1</v>
      </c>
      <c r="Y345" s="348" t="s">
        <v>497</v>
      </c>
      <c r="Z345" s="348"/>
      <c r="AA345" s="348"/>
    </row>
    <row r="346" s="57" customFormat="1" ht="17" customHeight="1" spans="1:27">
      <c r="A346" s="550" t="s">
        <v>1115</v>
      </c>
      <c r="B346" s="348" t="s">
        <v>137</v>
      </c>
      <c r="C346" s="348" t="s">
        <v>1108</v>
      </c>
      <c r="D346" s="349" t="s">
        <v>139</v>
      </c>
      <c r="E346" s="336">
        <v>43829</v>
      </c>
      <c r="F346" s="336">
        <v>43569</v>
      </c>
      <c r="G346" s="336">
        <v>43828</v>
      </c>
      <c r="H346" s="334" t="s">
        <v>1116</v>
      </c>
      <c r="I346" s="356">
        <v>18610569680</v>
      </c>
      <c r="J346" s="348" t="s">
        <v>1117</v>
      </c>
      <c r="K346" s="356">
        <v>3000</v>
      </c>
      <c r="L346" s="334">
        <v>3000</v>
      </c>
      <c r="M346" s="362"/>
      <c r="N346" s="362">
        <f t="shared" si="10"/>
        <v>3000</v>
      </c>
      <c r="O346" s="356" t="s">
        <v>1118</v>
      </c>
      <c r="P346" s="356"/>
      <c r="Q346" s="356"/>
      <c r="R346" s="356"/>
      <c r="S346" s="356"/>
      <c r="T346" s="356"/>
      <c r="U346" s="372"/>
      <c r="V346" s="372"/>
      <c r="W346" s="372"/>
      <c r="X346" s="373">
        <v>1</v>
      </c>
      <c r="Y346" s="348" t="s">
        <v>497</v>
      </c>
      <c r="Z346" s="348"/>
      <c r="AA346" s="348"/>
    </row>
    <row r="347" s="331" customFormat="1" ht="17" customHeight="1" spans="1:27">
      <c r="A347" s="550" t="s">
        <v>1119</v>
      </c>
      <c r="B347" s="348" t="s">
        <v>31</v>
      </c>
      <c r="C347" s="348" t="s">
        <v>419</v>
      </c>
      <c r="D347" s="349" t="s">
        <v>33</v>
      </c>
      <c r="E347" s="336">
        <v>43575</v>
      </c>
      <c r="F347" s="336">
        <v>43575</v>
      </c>
      <c r="G347" s="336">
        <v>43661</v>
      </c>
      <c r="H347" s="334" t="s">
        <v>1120</v>
      </c>
      <c r="I347" s="356">
        <v>13917019419</v>
      </c>
      <c r="J347" s="361" t="s">
        <v>1121</v>
      </c>
      <c r="K347" s="356">
        <v>1000</v>
      </c>
      <c r="L347" s="334">
        <v>7118</v>
      </c>
      <c r="M347" s="334"/>
      <c r="N347" s="362">
        <f t="shared" si="10"/>
        <v>7118</v>
      </c>
      <c r="O347" s="356"/>
      <c r="P347" s="356"/>
      <c r="Q347" s="356"/>
      <c r="R347" s="356"/>
      <c r="S347" s="356"/>
      <c r="T347" s="356"/>
      <c r="U347" s="372"/>
      <c r="V347" s="372"/>
      <c r="W347" s="372"/>
      <c r="X347" s="373"/>
      <c r="Y347" s="348"/>
      <c r="Z347" s="348"/>
      <c r="AA347" s="348"/>
    </row>
    <row r="348" s="331" customFormat="1" ht="17" customHeight="1" spans="1:27">
      <c r="A348" s="348"/>
      <c r="B348" s="348" t="s">
        <v>130</v>
      </c>
      <c r="C348" s="348" t="s">
        <v>230</v>
      </c>
      <c r="D348" s="349" t="s">
        <v>182</v>
      </c>
      <c r="E348" s="336">
        <v>43575</v>
      </c>
      <c r="F348" s="336">
        <v>43575</v>
      </c>
      <c r="G348" s="350"/>
      <c r="H348" s="334" t="s">
        <v>1122</v>
      </c>
      <c r="I348" s="356">
        <v>13918620809</v>
      </c>
      <c r="J348" s="361" t="s">
        <v>1123</v>
      </c>
      <c r="K348" s="356">
        <v>1000</v>
      </c>
      <c r="L348" s="362"/>
      <c r="M348" s="362"/>
      <c r="N348" s="362">
        <f t="shared" si="10"/>
        <v>0</v>
      </c>
      <c r="O348" s="356"/>
      <c r="P348" s="356"/>
      <c r="Q348" s="356"/>
      <c r="R348" s="356"/>
      <c r="S348" s="356"/>
      <c r="T348" s="356"/>
      <c r="U348" s="372" t="s">
        <v>833</v>
      </c>
      <c r="V348" s="372"/>
      <c r="W348" s="372"/>
      <c r="X348" s="373"/>
      <c r="Y348" s="348"/>
      <c r="Z348" s="348"/>
      <c r="AA348" s="348"/>
    </row>
    <row r="349" s="331" customFormat="1" ht="17" customHeight="1" spans="1:27">
      <c r="A349" s="348">
        <v>2023556</v>
      </c>
      <c r="B349" s="348" t="s">
        <v>73</v>
      </c>
      <c r="C349" s="348" t="s">
        <v>74</v>
      </c>
      <c r="D349" s="352" t="s">
        <v>75</v>
      </c>
      <c r="E349" s="336">
        <v>43575</v>
      </c>
      <c r="F349" s="336">
        <v>43575</v>
      </c>
      <c r="G349" s="398" t="s">
        <v>69</v>
      </c>
      <c r="H349" s="334" t="s">
        <v>1124</v>
      </c>
      <c r="I349" s="356">
        <v>13816678899</v>
      </c>
      <c r="J349" s="361" t="s">
        <v>1125</v>
      </c>
      <c r="K349" s="356">
        <v>1000</v>
      </c>
      <c r="L349" s="362"/>
      <c r="M349" s="362"/>
      <c r="N349" s="362">
        <f t="shared" si="10"/>
        <v>0</v>
      </c>
      <c r="O349" s="356"/>
      <c r="P349" s="366"/>
      <c r="Q349" s="366"/>
      <c r="R349" s="366" t="s">
        <v>52</v>
      </c>
      <c r="S349" s="356"/>
      <c r="T349" s="356"/>
      <c r="U349" s="372"/>
      <c r="V349" s="372"/>
      <c r="W349" s="372"/>
      <c r="X349" s="373"/>
      <c r="Y349" s="348" t="s">
        <v>1126</v>
      </c>
      <c r="Z349" s="348" t="s">
        <v>79</v>
      </c>
      <c r="AA349" s="348"/>
    </row>
    <row r="350" s="331" customFormat="1" ht="17" customHeight="1" spans="1:27">
      <c r="A350" s="348"/>
      <c r="B350" s="348" t="s">
        <v>130</v>
      </c>
      <c r="C350" s="348" t="s">
        <v>366</v>
      </c>
      <c r="D350" s="352" t="s">
        <v>132</v>
      </c>
      <c r="E350" s="336">
        <v>43679</v>
      </c>
      <c r="F350" s="336">
        <v>43575</v>
      </c>
      <c r="G350" s="336">
        <v>43678</v>
      </c>
      <c r="H350" s="334" t="s">
        <v>1127</v>
      </c>
      <c r="I350" s="356">
        <v>18964740871</v>
      </c>
      <c r="J350" s="361" t="s">
        <v>1128</v>
      </c>
      <c r="K350" s="356">
        <v>1000</v>
      </c>
      <c r="L350" s="334">
        <v>4098</v>
      </c>
      <c r="M350" s="334">
        <v>736</v>
      </c>
      <c r="N350" s="362">
        <f t="shared" si="10"/>
        <v>4834</v>
      </c>
      <c r="O350" s="356"/>
      <c r="P350" s="356">
        <v>1</v>
      </c>
      <c r="Q350" s="356"/>
      <c r="R350" s="356"/>
      <c r="S350" s="356"/>
      <c r="T350" s="356"/>
      <c r="U350" s="372"/>
      <c r="V350" s="372"/>
      <c r="W350" s="372"/>
      <c r="X350" s="373"/>
      <c r="Y350" s="348" t="s">
        <v>1129</v>
      </c>
      <c r="Z350" s="348"/>
      <c r="AA350" s="348"/>
    </row>
    <row r="351" s="331" customFormat="1" ht="17" customHeight="1" spans="1:27">
      <c r="A351" s="348">
        <v>2023555</v>
      </c>
      <c r="B351" s="348" t="s">
        <v>73</v>
      </c>
      <c r="C351" s="348" t="s">
        <v>1130</v>
      </c>
      <c r="D351" s="349" t="s">
        <v>75</v>
      </c>
      <c r="E351" s="336">
        <v>43573</v>
      </c>
      <c r="F351" s="336">
        <v>43573</v>
      </c>
      <c r="G351" s="350"/>
      <c r="H351" s="334" t="s">
        <v>1131</v>
      </c>
      <c r="I351" s="356">
        <v>19946063495</v>
      </c>
      <c r="J351" s="361" t="s">
        <v>1132</v>
      </c>
      <c r="K351" s="356">
        <v>1000</v>
      </c>
      <c r="L351" s="362"/>
      <c r="M351" s="362"/>
      <c r="N351" s="362">
        <f t="shared" si="10"/>
        <v>0</v>
      </c>
      <c r="O351" s="356"/>
      <c r="P351" s="356"/>
      <c r="Q351" s="366"/>
      <c r="R351" s="366" t="s">
        <v>52</v>
      </c>
      <c r="S351" s="356"/>
      <c r="T351" s="356"/>
      <c r="U351" s="372" t="s">
        <v>78</v>
      </c>
      <c r="V351" s="372"/>
      <c r="W351" s="372"/>
      <c r="X351" s="373"/>
      <c r="Y351" s="348"/>
      <c r="Z351" s="348" t="s">
        <v>79</v>
      </c>
      <c r="AA351" s="348"/>
    </row>
    <row r="352" s="331" customFormat="1" ht="17" customHeight="1" spans="1:27">
      <c r="A352" s="348">
        <v>2024884</v>
      </c>
      <c r="B352" s="348" t="s">
        <v>185</v>
      </c>
      <c r="C352" s="348" t="s">
        <v>1133</v>
      </c>
      <c r="D352" s="349" t="s">
        <v>44</v>
      </c>
      <c r="E352" s="336">
        <v>43576</v>
      </c>
      <c r="F352" s="336">
        <v>43575</v>
      </c>
      <c r="G352" s="336">
        <v>43647</v>
      </c>
      <c r="H352" s="334" t="s">
        <v>1134</v>
      </c>
      <c r="I352" s="356">
        <v>18918588789</v>
      </c>
      <c r="J352" s="361" t="s">
        <v>1135</v>
      </c>
      <c r="K352" s="356">
        <v>3000</v>
      </c>
      <c r="L352" s="334">
        <v>9708</v>
      </c>
      <c r="M352" s="334">
        <v>6368</v>
      </c>
      <c r="N352" s="362">
        <f t="shared" si="10"/>
        <v>16076</v>
      </c>
      <c r="O352" s="356"/>
      <c r="P352" s="356"/>
      <c r="Q352" s="356"/>
      <c r="R352" s="356"/>
      <c r="S352" s="356"/>
      <c r="T352" s="356"/>
      <c r="U352" s="372"/>
      <c r="V352" s="372"/>
      <c r="W352" s="372"/>
      <c r="X352" s="373"/>
      <c r="Y352" s="348" t="s">
        <v>380</v>
      </c>
      <c r="Z352" s="348"/>
      <c r="AA352" s="348"/>
    </row>
    <row r="353" s="331" customFormat="1" ht="17" customHeight="1" spans="1:27">
      <c r="A353" s="550" t="s">
        <v>1136</v>
      </c>
      <c r="B353" s="348" t="s">
        <v>236</v>
      </c>
      <c r="C353" s="348" t="s">
        <v>195</v>
      </c>
      <c r="D353" s="352" t="s">
        <v>143</v>
      </c>
      <c r="E353" s="336">
        <v>43576</v>
      </c>
      <c r="F353" s="336">
        <v>43575</v>
      </c>
      <c r="G353" s="350"/>
      <c r="H353" s="334" t="s">
        <v>1137</v>
      </c>
      <c r="I353" s="356">
        <v>13916034675</v>
      </c>
      <c r="J353" s="361" t="s">
        <v>1138</v>
      </c>
      <c r="K353" s="356">
        <v>1000</v>
      </c>
      <c r="L353" s="362"/>
      <c r="M353" s="362"/>
      <c r="N353" s="362">
        <f t="shared" ref="N353:N391" si="11">L353+M353</f>
        <v>0</v>
      </c>
      <c r="O353" s="356"/>
      <c r="P353" s="356"/>
      <c r="Q353" s="356"/>
      <c r="R353" s="356"/>
      <c r="S353" s="356"/>
      <c r="T353" s="356"/>
      <c r="U353" s="356" t="s">
        <v>1139</v>
      </c>
      <c r="V353" s="372"/>
      <c r="W353" s="372"/>
      <c r="X353" s="373"/>
      <c r="Y353" s="348" t="s">
        <v>142</v>
      </c>
      <c r="Z353" s="348"/>
      <c r="AA353" s="348"/>
    </row>
    <row r="354" s="331" customFormat="1" ht="17" customHeight="1" spans="1:27">
      <c r="A354" s="348"/>
      <c r="B354" s="348" t="s">
        <v>243</v>
      </c>
      <c r="C354" s="348" t="s">
        <v>244</v>
      </c>
      <c r="D354" s="352" t="s">
        <v>49</v>
      </c>
      <c r="E354" s="336">
        <v>43576</v>
      </c>
      <c r="F354" s="336">
        <v>43575</v>
      </c>
      <c r="G354" s="399" t="s">
        <v>1140</v>
      </c>
      <c r="H354" s="334" t="s">
        <v>1141</v>
      </c>
      <c r="I354" s="356">
        <v>13564906688</v>
      </c>
      <c r="J354" s="361" t="s">
        <v>1142</v>
      </c>
      <c r="K354" s="356">
        <v>2000</v>
      </c>
      <c r="L354" s="362"/>
      <c r="M354" s="362"/>
      <c r="N354" s="362">
        <f t="shared" si="11"/>
        <v>0</v>
      </c>
      <c r="O354" s="356" t="s">
        <v>52</v>
      </c>
      <c r="P354" s="356"/>
      <c r="Q354" s="356"/>
      <c r="R354" s="356"/>
      <c r="S354" s="356"/>
      <c r="T354" s="356"/>
      <c r="U354" s="372"/>
      <c r="V354" s="372"/>
      <c r="W354" s="372"/>
      <c r="X354" s="373"/>
      <c r="Y354" s="348" t="s">
        <v>1143</v>
      </c>
      <c r="Z354" s="348"/>
      <c r="AA354" s="348"/>
    </row>
    <row r="355" s="57" customFormat="1" ht="17" customHeight="1" spans="1:27">
      <c r="A355" s="348">
        <v>206769</v>
      </c>
      <c r="B355" s="348" t="s">
        <v>137</v>
      </c>
      <c r="C355" s="334" t="s">
        <v>861</v>
      </c>
      <c r="D355" s="334" t="s">
        <v>443</v>
      </c>
      <c r="E355" s="336">
        <v>43792</v>
      </c>
      <c r="F355" s="336">
        <v>43575</v>
      </c>
      <c r="G355" s="336">
        <v>43792</v>
      </c>
      <c r="H355" s="334" t="s">
        <v>1144</v>
      </c>
      <c r="I355" s="356">
        <v>18016273007</v>
      </c>
      <c r="J355" s="348" t="s">
        <v>1145</v>
      </c>
      <c r="K355" s="356">
        <v>3000</v>
      </c>
      <c r="L355" s="334">
        <v>25159</v>
      </c>
      <c r="M355" s="362"/>
      <c r="N355" s="362">
        <f t="shared" si="11"/>
        <v>25159</v>
      </c>
      <c r="O355" s="356">
        <v>1</v>
      </c>
      <c r="P355" s="356"/>
      <c r="Q355" s="356"/>
      <c r="R355" s="356"/>
      <c r="S355" s="356"/>
      <c r="T355" s="356"/>
      <c r="U355" s="372"/>
      <c r="V355" s="372"/>
      <c r="W355" s="372"/>
      <c r="X355" s="373">
        <v>1</v>
      </c>
      <c r="Y355" s="348"/>
      <c r="Z355" s="348"/>
      <c r="AA355" s="348"/>
    </row>
    <row r="356" s="331" customFormat="1" ht="17" customHeight="1" spans="1:27">
      <c r="A356" s="550" t="s">
        <v>1146</v>
      </c>
      <c r="B356" s="348" t="s">
        <v>31</v>
      </c>
      <c r="C356" s="348" t="s">
        <v>377</v>
      </c>
      <c r="D356" s="349" t="s">
        <v>162</v>
      </c>
      <c r="E356" s="336">
        <v>43576</v>
      </c>
      <c r="F356" s="336">
        <v>43576</v>
      </c>
      <c r="G356" s="336">
        <v>43660</v>
      </c>
      <c r="H356" s="334" t="s">
        <v>1147</v>
      </c>
      <c r="I356" s="356">
        <v>13681657617</v>
      </c>
      <c r="J356" s="361" t="s">
        <v>1148</v>
      </c>
      <c r="K356" s="356">
        <v>1000</v>
      </c>
      <c r="L356" s="334">
        <v>5608</v>
      </c>
      <c r="M356" s="334"/>
      <c r="N356" s="362">
        <f t="shared" si="11"/>
        <v>5608</v>
      </c>
      <c r="O356" s="356"/>
      <c r="P356" s="356"/>
      <c r="Q356" s="356"/>
      <c r="R356" s="356"/>
      <c r="S356" s="356"/>
      <c r="T356" s="356"/>
      <c r="U356" s="372"/>
      <c r="V356" s="372"/>
      <c r="W356" s="372"/>
      <c r="X356" s="373"/>
      <c r="Y356" s="348"/>
      <c r="Z356" s="348"/>
      <c r="AA356" s="348"/>
    </row>
    <row r="357" s="331" customFormat="1" ht="17" customHeight="1" spans="1:27">
      <c r="A357" s="550" t="s">
        <v>1149</v>
      </c>
      <c r="B357" s="348" t="s">
        <v>31</v>
      </c>
      <c r="C357" s="348" t="s">
        <v>377</v>
      </c>
      <c r="D357" s="349" t="s">
        <v>221</v>
      </c>
      <c r="E357" s="336">
        <v>43576</v>
      </c>
      <c r="F357" s="336">
        <v>43576</v>
      </c>
      <c r="G357" s="336">
        <v>43663</v>
      </c>
      <c r="H357" s="334" t="s">
        <v>1150</v>
      </c>
      <c r="I357" s="356">
        <v>13906166758</v>
      </c>
      <c r="J357" s="361" t="s">
        <v>1151</v>
      </c>
      <c r="K357" s="356">
        <v>2000</v>
      </c>
      <c r="L357" s="334">
        <v>69550</v>
      </c>
      <c r="M357" s="334"/>
      <c r="N357" s="362">
        <f t="shared" si="11"/>
        <v>69550</v>
      </c>
      <c r="O357" s="356"/>
      <c r="P357" s="356"/>
      <c r="Q357" s="356"/>
      <c r="R357" s="356"/>
      <c r="S357" s="356"/>
      <c r="T357" s="356"/>
      <c r="U357" s="372"/>
      <c r="V357" s="372"/>
      <c r="W357" s="372"/>
      <c r="X357" s="373"/>
      <c r="Y357" s="348"/>
      <c r="Z357" s="348"/>
      <c r="AA357" s="348"/>
    </row>
    <row r="358" s="331" customFormat="1" ht="17" customHeight="1" spans="1:27">
      <c r="A358" s="348">
        <v>2023558</v>
      </c>
      <c r="B358" s="348" t="s">
        <v>73</v>
      </c>
      <c r="C358" s="348" t="s">
        <v>74</v>
      </c>
      <c r="D358" s="352" t="s">
        <v>75</v>
      </c>
      <c r="E358" s="336">
        <v>43576</v>
      </c>
      <c r="F358" s="336">
        <v>43575</v>
      </c>
      <c r="G358" s="350"/>
      <c r="H358" s="334" t="s">
        <v>1152</v>
      </c>
      <c r="I358" s="356">
        <v>18939821891</v>
      </c>
      <c r="J358" s="361" t="s">
        <v>1153</v>
      </c>
      <c r="K358" s="356">
        <v>1000</v>
      </c>
      <c r="L358" s="362"/>
      <c r="M358" s="362"/>
      <c r="N358" s="362">
        <f t="shared" si="11"/>
        <v>0</v>
      </c>
      <c r="O358" s="356"/>
      <c r="P358" s="366"/>
      <c r="Q358" s="366" t="s">
        <v>52</v>
      </c>
      <c r="R358" s="356"/>
      <c r="S358" s="356"/>
      <c r="T358" s="356"/>
      <c r="U358" s="372" t="s">
        <v>78</v>
      </c>
      <c r="V358" s="372"/>
      <c r="W358" s="372"/>
      <c r="X358" s="373"/>
      <c r="Y358" s="348" t="s">
        <v>1126</v>
      </c>
      <c r="Z358" s="348" t="s">
        <v>79</v>
      </c>
      <c r="AA358" s="348"/>
    </row>
    <row r="359" s="57" customFormat="1" ht="17" customHeight="1" spans="1:27">
      <c r="A359" s="550" t="s">
        <v>1154</v>
      </c>
      <c r="B359" s="348" t="s">
        <v>137</v>
      </c>
      <c r="C359" s="334" t="s">
        <v>406</v>
      </c>
      <c r="D359" s="334" t="s">
        <v>443</v>
      </c>
      <c r="E359" s="336">
        <v>43818</v>
      </c>
      <c r="F359" s="336">
        <v>43569</v>
      </c>
      <c r="G359" s="336">
        <v>43815</v>
      </c>
      <c r="H359" s="334" t="s">
        <v>1155</v>
      </c>
      <c r="I359" s="356">
        <v>13611604690</v>
      </c>
      <c r="J359" s="348" t="s">
        <v>1156</v>
      </c>
      <c r="K359" s="356">
        <v>3000</v>
      </c>
      <c r="L359" s="334">
        <v>2925</v>
      </c>
      <c r="M359" s="362"/>
      <c r="N359" s="362">
        <f t="shared" si="11"/>
        <v>2925</v>
      </c>
      <c r="O359" s="356">
        <v>1</v>
      </c>
      <c r="P359" s="356"/>
      <c r="Q359" s="356"/>
      <c r="R359" s="356"/>
      <c r="S359" s="356"/>
      <c r="T359" s="356"/>
      <c r="U359" s="372"/>
      <c r="V359" s="372"/>
      <c r="W359" s="372"/>
      <c r="X359" s="373">
        <v>1</v>
      </c>
      <c r="Y359" s="348" t="s">
        <v>497</v>
      </c>
      <c r="Z359" s="348"/>
      <c r="AA359" s="348"/>
    </row>
    <row r="360" s="57" customFormat="1" ht="17" customHeight="1" spans="1:27">
      <c r="A360" s="348">
        <v>2024199</v>
      </c>
      <c r="B360" s="348" t="s">
        <v>137</v>
      </c>
      <c r="C360" s="334" t="s">
        <v>406</v>
      </c>
      <c r="D360" s="334" t="s">
        <v>443</v>
      </c>
      <c r="E360" s="336">
        <v>43796</v>
      </c>
      <c r="F360" s="336">
        <v>43569</v>
      </c>
      <c r="G360" s="336">
        <v>43795</v>
      </c>
      <c r="H360" s="334" t="s">
        <v>1157</v>
      </c>
      <c r="I360" s="356">
        <v>13764152344</v>
      </c>
      <c r="J360" s="348" t="s">
        <v>1158</v>
      </c>
      <c r="K360" s="356">
        <v>3000</v>
      </c>
      <c r="L360" s="334">
        <f>-888+16222</f>
        <v>15334</v>
      </c>
      <c r="M360" s="334">
        <v>888</v>
      </c>
      <c r="N360" s="362">
        <f t="shared" si="11"/>
        <v>16222</v>
      </c>
      <c r="O360" s="356">
        <v>1</v>
      </c>
      <c r="P360" s="356"/>
      <c r="Q360" s="356"/>
      <c r="R360" s="356"/>
      <c r="S360" s="356"/>
      <c r="T360" s="356"/>
      <c r="U360" s="372"/>
      <c r="V360" s="372"/>
      <c r="W360" s="372"/>
      <c r="X360" s="373">
        <v>1</v>
      </c>
      <c r="Y360" s="348" t="s">
        <v>497</v>
      </c>
      <c r="Z360" s="348"/>
      <c r="AA360" s="348"/>
    </row>
    <row r="361" s="57" customFormat="1" ht="17" customHeight="1" spans="1:27">
      <c r="A361" s="550" t="s">
        <v>1159</v>
      </c>
      <c r="B361" s="348" t="s">
        <v>137</v>
      </c>
      <c r="C361" s="348" t="s">
        <v>1160</v>
      </c>
      <c r="D361" s="352" t="s">
        <v>443</v>
      </c>
      <c r="E361" s="336">
        <v>43577</v>
      </c>
      <c r="F361" s="336">
        <v>43569</v>
      </c>
      <c r="G361" s="350"/>
      <c r="H361" s="334" t="s">
        <v>1161</v>
      </c>
      <c r="I361" s="356">
        <v>13651665018</v>
      </c>
      <c r="J361" s="348" t="s">
        <v>1162</v>
      </c>
      <c r="K361" s="356">
        <v>3000</v>
      </c>
      <c r="L361" s="362"/>
      <c r="M361" s="362"/>
      <c r="N361" s="362">
        <f t="shared" si="11"/>
        <v>0</v>
      </c>
      <c r="O361" s="356"/>
      <c r="P361" s="356"/>
      <c r="Q361" s="356"/>
      <c r="R361" s="356">
        <v>1</v>
      </c>
      <c r="S361" s="356"/>
      <c r="T361" s="356"/>
      <c r="U361" s="372"/>
      <c r="V361" s="372"/>
      <c r="W361" s="372"/>
      <c r="X361" s="373">
        <v>1</v>
      </c>
      <c r="Y361" s="348" t="s">
        <v>497</v>
      </c>
      <c r="Z361" s="348"/>
      <c r="AA361" s="348"/>
    </row>
    <row r="362" s="331" customFormat="1" ht="17" customHeight="1" spans="1:27">
      <c r="A362" s="348">
        <v>2023063</v>
      </c>
      <c r="B362" s="348" t="s">
        <v>58</v>
      </c>
      <c r="C362" s="348" t="s">
        <v>794</v>
      </c>
      <c r="D362" s="352" t="s">
        <v>110</v>
      </c>
      <c r="E362" s="336">
        <v>43577</v>
      </c>
      <c r="F362" s="336">
        <v>43576</v>
      </c>
      <c r="G362" s="350"/>
      <c r="H362" s="334" t="s">
        <v>1163</v>
      </c>
      <c r="I362" s="356">
        <v>15921265555</v>
      </c>
      <c r="J362" s="361" t="s">
        <v>1164</v>
      </c>
      <c r="K362" s="356">
        <v>1000</v>
      </c>
      <c r="L362" s="362"/>
      <c r="M362" s="362"/>
      <c r="N362" s="362">
        <f t="shared" si="11"/>
        <v>0</v>
      </c>
      <c r="O362" s="356"/>
      <c r="P362" s="356"/>
      <c r="Q362" s="356"/>
      <c r="R362" s="356"/>
      <c r="S362" s="356"/>
      <c r="T362" s="356"/>
      <c r="U362" s="372">
        <v>5.17</v>
      </c>
      <c r="V362" s="372"/>
      <c r="W362" s="372"/>
      <c r="X362" s="373"/>
      <c r="Y362" s="348" t="s">
        <v>1165</v>
      </c>
      <c r="Z362" s="348"/>
      <c r="AA362" s="348"/>
    </row>
    <row r="363" s="331" customFormat="1" ht="17" customHeight="1" spans="1:27">
      <c r="A363" s="550" t="s">
        <v>1166</v>
      </c>
      <c r="B363" s="348" t="s">
        <v>31</v>
      </c>
      <c r="C363" s="348" t="s">
        <v>251</v>
      </c>
      <c r="D363" s="349" t="s">
        <v>33</v>
      </c>
      <c r="E363" s="336">
        <v>43577</v>
      </c>
      <c r="F363" s="336">
        <v>43576</v>
      </c>
      <c r="G363" s="350"/>
      <c r="H363" s="334" t="s">
        <v>1167</v>
      </c>
      <c r="I363" s="356">
        <v>18602104345</v>
      </c>
      <c r="J363" s="361" t="s">
        <v>1168</v>
      </c>
      <c r="K363" s="356">
        <v>1000</v>
      </c>
      <c r="L363" s="362"/>
      <c r="M363" s="362"/>
      <c r="N363" s="362">
        <f t="shared" si="11"/>
        <v>0</v>
      </c>
      <c r="O363" s="356"/>
      <c r="P363" s="356"/>
      <c r="Q363" s="356"/>
      <c r="R363" s="366" t="s">
        <v>52</v>
      </c>
      <c r="S363" s="356"/>
      <c r="T363" s="356"/>
      <c r="U363" s="385" t="s">
        <v>52</v>
      </c>
      <c r="V363" s="372"/>
      <c r="W363" s="372"/>
      <c r="X363" s="373"/>
      <c r="Y363" s="348"/>
      <c r="Z363" s="348"/>
      <c r="AA363" s="348"/>
    </row>
    <row r="364" s="331" customFormat="1" ht="17" customHeight="1" spans="1:27">
      <c r="A364" s="550" t="s">
        <v>1169</v>
      </c>
      <c r="B364" s="348" t="s">
        <v>31</v>
      </c>
      <c r="C364" s="348" t="s">
        <v>251</v>
      </c>
      <c r="D364" s="349" t="s">
        <v>1170</v>
      </c>
      <c r="E364" s="336">
        <v>43577</v>
      </c>
      <c r="F364" s="336">
        <v>43576</v>
      </c>
      <c r="G364" s="336">
        <v>43659</v>
      </c>
      <c r="H364" s="334" t="s">
        <v>1171</v>
      </c>
      <c r="I364" s="356">
        <v>18501785096</v>
      </c>
      <c r="J364" s="361" t="s">
        <v>1172</v>
      </c>
      <c r="K364" s="356">
        <v>1000</v>
      </c>
      <c r="L364" s="334">
        <v>9129</v>
      </c>
      <c r="M364" s="334"/>
      <c r="N364" s="362">
        <f t="shared" si="11"/>
        <v>9129</v>
      </c>
      <c r="O364" s="356"/>
      <c r="P364" s="356"/>
      <c r="Q364" s="356"/>
      <c r="R364" s="356"/>
      <c r="S364" s="356"/>
      <c r="T364" s="356"/>
      <c r="U364" s="372"/>
      <c r="V364" s="372"/>
      <c r="W364" s="372"/>
      <c r="X364" s="373"/>
      <c r="Y364" s="348"/>
      <c r="Z364" s="348"/>
      <c r="AA364" s="348"/>
    </row>
    <row r="365" s="331" customFormat="1" ht="17" customHeight="1" spans="1:27">
      <c r="A365" s="550" t="s">
        <v>1173</v>
      </c>
      <c r="B365" s="348" t="s">
        <v>94</v>
      </c>
      <c r="C365" s="348" t="s">
        <v>101</v>
      </c>
      <c r="D365" s="352" t="s">
        <v>49</v>
      </c>
      <c r="E365" s="336">
        <v>43577</v>
      </c>
      <c r="F365" s="336">
        <v>43576</v>
      </c>
      <c r="G365" s="350"/>
      <c r="H365" s="334" t="s">
        <v>1174</v>
      </c>
      <c r="I365" s="356">
        <v>13641605531</v>
      </c>
      <c r="J365" s="361" t="s">
        <v>1175</v>
      </c>
      <c r="K365" s="356">
        <v>1000</v>
      </c>
      <c r="L365" s="362"/>
      <c r="M365" s="362"/>
      <c r="N365" s="362">
        <f t="shared" si="11"/>
        <v>0</v>
      </c>
      <c r="O365" s="356"/>
      <c r="P365" s="356"/>
      <c r="Q365" s="356"/>
      <c r="R365" s="356"/>
      <c r="S365" s="356"/>
      <c r="T365" s="356"/>
      <c r="U365" s="372"/>
      <c r="V365" s="372"/>
      <c r="W365" s="372"/>
      <c r="X365" s="373"/>
      <c r="Y365" s="348"/>
      <c r="Z365" s="348"/>
      <c r="AA365" s="348"/>
    </row>
    <row r="366" s="331" customFormat="1" ht="17" customHeight="1" spans="1:27">
      <c r="A366" s="550" t="s">
        <v>1176</v>
      </c>
      <c r="B366" s="348" t="s">
        <v>31</v>
      </c>
      <c r="C366" s="348" t="s">
        <v>220</v>
      </c>
      <c r="D366" s="349" t="s">
        <v>33</v>
      </c>
      <c r="E366" s="336">
        <v>43577</v>
      </c>
      <c r="F366" s="336">
        <v>43576</v>
      </c>
      <c r="G366" s="336">
        <v>43651</v>
      </c>
      <c r="H366" s="334" t="s">
        <v>1177</v>
      </c>
      <c r="I366" s="356">
        <v>13122023576</v>
      </c>
      <c r="J366" s="361" t="s">
        <v>1178</v>
      </c>
      <c r="K366" s="356">
        <v>5000</v>
      </c>
      <c r="L366" s="334">
        <v>9563</v>
      </c>
      <c r="M366" s="334"/>
      <c r="N366" s="362">
        <f t="shared" si="11"/>
        <v>9563</v>
      </c>
      <c r="O366" s="356"/>
      <c r="P366" s="356"/>
      <c r="Q366" s="356"/>
      <c r="R366" s="356"/>
      <c r="S366" s="356"/>
      <c r="T366" s="356"/>
      <c r="U366" s="372"/>
      <c r="V366" s="372"/>
      <c r="W366" s="372"/>
      <c r="X366" s="373"/>
      <c r="Y366" s="348" t="s">
        <v>142</v>
      </c>
      <c r="Z366" s="348"/>
      <c r="AA366" s="348"/>
    </row>
    <row r="367" s="331" customFormat="1" ht="17" customHeight="1" spans="1:27">
      <c r="A367" s="348">
        <v>2024544</v>
      </c>
      <c r="B367" s="348" t="s">
        <v>73</v>
      </c>
      <c r="C367" s="348" t="s">
        <v>74</v>
      </c>
      <c r="D367" s="334" t="s">
        <v>75</v>
      </c>
      <c r="E367" s="336">
        <v>43769</v>
      </c>
      <c r="F367" s="336">
        <v>43639</v>
      </c>
      <c r="G367" s="336">
        <v>43769</v>
      </c>
      <c r="H367" s="334" t="s">
        <v>1179</v>
      </c>
      <c r="I367" s="356">
        <v>13681684225</v>
      </c>
      <c r="J367" s="348" t="s">
        <v>1180</v>
      </c>
      <c r="K367" s="356">
        <v>1000</v>
      </c>
      <c r="L367" s="334">
        <v>129823</v>
      </c>
      <c r="M367" s="362"/>
      <c r="N367" s="362">
        <f t="shared" si="11"/>
        <v>129823</v>
      </c>
      <c r="O367" s="366" t="s">
        <v>52</v>
      </c>
      <c r="P367" s="356"/>
      <c r="Q367" s="356"/>
      <c r="R367" s="356"/>
      <c r="S367" s="356"/>
      <c r="T367" s="356"/>
      <c r="U367" s="372"/>
      <c r="V367" s="372"/>
      <c r="W367" s="372"/>
      <c r="X367" s="373">
        <v>1</v>
      </c>
      <c r="Y367" s="348" t="s">
        <v>1181</v>
      </c>
      <c r="Z367" s="348" t="s">
        <v>79</v>
      </c>
      <c r="AA367" s="348"/>
    </row>
    <row r="368" s="331" customFormat="1" ht="17" customHeight="1" spans="1:27">
      <c r="A368" s="348">
        <v>2068143</v>
      </c>
      <c r="B368" s="348" t="s">
        <v>66</v>
      </c>
      <c r="C368" s="348" t="s">
        <v>119</v>
      </c>
      <c r="D368" s="349" t="s">
        <v>68</v>
      </c>
      <c r="E368" s="336">
        <v>43577</v>
      </c>
      <c r="F368" s="336">
        <v>43576</v>
      </c>
      <c r="G368" s="336">
        <v>43654</v>
      </c>
      <c r="H368" s="334" t="s">
        <v>1182</v>
      </c>
      <c r="I368" s="356">
        <v>18918085320</v>
      </c>
      <c r="J368" s="361" t="s">
        <v>1183</v>
      </c>
      <c r="K368" s="356">
        <v>3000</v>
      </c>
      <c r="L368" s="334">
        <v>7025</v>
      </c>
      <c r="M368" s="334"/>
      <c r="N368" s="362">
        <f t="shared" si="11"/>
        <v>7025</v>
      </c>
      <c r="O368" s="356"/>
      <c r="P368" s="356"/>
      <c r="Q368" s="356"/>
      <c r="R368" s="356"/>
      <c r="S368" s="356"/>
      <c r="T368" s="356"/>
      <c r="U368" s="372"/>
      <c r="V368" s="372"/>
      <c r="W368" s="372"/>
      <c r="X368" s="373"/>
      <c r="Y368" s="348"/>
      <c r="Z368" s="348"/>
      <c r="AA368" s="348"/>
    </row>
    <row r="369" s="331" customFormat="1" ht="17" customHeight="1" spans="1:27">
      <c r="A369" s="550" t="s">
        <v>1184</v>
      </c>
      <c r="B369" s="348" t="s">
        <v>160</v>
      </c>
      <c r="C369" s="348" t="s">
        <v>258</v>
      </c>
      <c r="D369" s="352" t="s">
        <v>132</v>
      </c>
      <c r="E369" s="336">
        <v>43577</v>
      </c>
      <c r="F369" s="336">
        <v>43576</v>
      </c>
      <c r="G369" s="350"/>
      <c r="H369" s="334" t="s">
        <v>1185</v>
      </c>
      <c r="I369" s="356">
        <v>13564958667</v>
      </c>
      <c r="J369" s="361" t="s">
        <v>1186</v>
      </c>
      <c r="K369" s="356">
        <v>3000</v>
      </c>
      <c r="L369" s="362"/>
      <c r="M369" s="362"/>
      <c r="N369" s="362">
        <f t="shared" si="11"/>
        <v>0</v>
      </c>
      <c r="O369" s="356">
        <v>1</v>
      </c>
      <c r="P369" s="356"/>
      <c r="Q369" s="356"/>
      <c r="R369" s="356"/>
      <c r="S369" s="356"/>
      <c r="T369" s="356"/>
      <c r="U369" s="336" t="s">
        <v>40</v>
      </c>
      <c r="V369" s="372"/>
      <c r="W369" s="372"/>
      <c r="X369" s="373"/>
      <c r="Y369" s="348" t="s">
        <v>380</v>
      </c>
      <c r="Z369" s="348"/>
      <c r="AA369" s="348"/>
    </row>
    <row r="370" s="331" customFormat="1" ht="17" customHeight="1" spans="1:27">
      <c r="A370" s="550" t="s">
        <v>1187</v>
      </c>
      <c r="B370" s="348" t="s">
        <v>185</v>
      </c>
      <c r="C370" s="348" t="s">
        <v>186</v>
      </c>
      <c r="D370" s="349" t="s">
        <v>187</v>
      </c>
      <c r="E370" s="336">
        <v>43577</v>
      </c>
      <c r="F370" s="336">
        <v>43576</v>
      </c>
      <c r="G370" s="336">
        <v>43673</v>
      </c>
      <c r="H370" s="334" t="s">
        <v>1188</v>
      </c>
      <c r="I370" s="356">
        <v>15021221500</v>
      </c>
      <c r="J370" s="361" t="s">
        <v>1189</v>
      </c>
      <c r="K370" s="356">
        <v>1000</v>
      </c>
      <c r="L370" s="334">
        <v>7799</v>
      </c>
      <c r="M370" s="362"/>
      <c r="N370" s="362">
        <f t="shared" si="11"/>
        <v>7799</v>
      </c>
      <c r="O370" s="356"/>
      <c r="P370" s="356"/>
      <c r="Q370" s="356"/>
      <c r="R370" s="356"/>
      <c r="S370" s="356"/>
      <c r="T370" s="356"/>
      <c r="U370" s="372"/>
      <c r="V370" s="372"/>
      <c r="W370" s="372"/>
      <c r="X370" s="373"/>
      <c r="Y370" s="348" t="s">
        <v>1165</v>
      </c>
      <c r="Z370" s="348"/>
      <c r="AA370" s="348"/>
    </row>
    <row r="371" s="331" customFormat="1" ht="17" customHeight="1" spans="1:27">
      <c r="A371" s="550" t="s">
        <v>1190</v>
      </c>
      <c r="B371" s="348" t="s">
        <v>35</v>
      </c>
      <c r="C371" s="348" t="s">
        <v>1191</v>
      </c>
      <c r="D371" s="352" t="s">
        <v>37</v>
      </c>
      <c r="E371" s="336">
        <v>43578</v>
      </c>
      <c r="F371" s="336">
        <v>43577</v>
      </c>
      <c r="G371" s="350"/>
      <c r="H371" s="334" t="s">
        <v>1192</v>
      </c>
      <c r="I371" s="356">
        <v>13646896582</v>
      </c>
      <c r="J371" s="361" t="s">
        <v>1193</v>
      </c>
      <c r="K371" s="356">
        <v>1399</v>
      </c>
      <c r="L371" s="362"/>
      <c r="M371" s="362"/>
      <c r="N371" s="362">
        <f t="shared" si="11"/>
        <v>0</v>
      </c>
      <c r="O371" s="356"/>
      <c r="P371" s="356"/>
      <c r="Q371" s="356"/>
      <c r="R371" s="356"/>
      <c r="S371" s="356"/>
      <c r="T371" s="356"/>
      <c r="U371" s="372" t="s">
        <v>40</v>
      </c>
      <c r="V371" s="372"/>
      <c r="W371" s="372"/>
      <c r="X371" s="373"/>
      <c r="Y371" s="348"/>
      <c r="Z371" s="348"/>
      <c r="AA371" s="348"/>
    </row>
    <row r="372" s="57" customFormat="1" ht="17" customHeight="1" spans="1:27">
      <c r="A372" s="550" t="s">
        <v>1194</v>
      </c>
      <c r="B372" s="348" t="s">
        <v>137</v>
      </c>
      <c r="C372" s="348" t="s">
        <v>1195</v>
      </c>
      <c r="D372" s="352" t="s">
        <v>139</v>
      </c>
      <c r="E372" s="336">
        <v>43578</v>
      </c>
      <c r="F372" s="336">
        <v>43569</v>
      </c>
      <c r="G372" s="350"/>
      <c r="H372" s="334" t="s">
        <v>1196</v>
      </c>
      <c r="I372" s="356">
        <v>13918227305</v>
      </c>
      <c r="J372" s="348" t="s">
        <v>1197</v>
      </c>
      <c r="K372" s="356">
        <v>3000</v>
      </c>
      <c r="L372" s="362"/>
      <c r="M372" s="362"/>
      <c r="N372" s="362">
        <f t="shared" si="11"/>
        <v>0</v>
      </c>
      <c r="O372" s="356"/>
      <c r="P372" s="356"/>
      <c r="Q372" s="356"/>
      <c r="R372" s="356">
        <v>1</v>
      </c>
      <c r="S372" s="356"/>
      <c r="T372" s="356"/>
      <c r="U372" s="372"/>
      <c r="V372" s="372"/>
      <c r="W372" s="372"/>
      <c r="X372" s="373">
        <v>1</v>
      </c>
      <c r="Y372" s="348" t="s">
        <v>497</v>
      </c>
      <c r="Z372" s="348"/>
      <c r="AA372" s="348"/>
    </row>
    <row r="373" s="331" customFormat="1" ht="17" customHeight="1" spans="1:27">
      <c r="A373" s="550" t="s">
        <v>1198</v>
      </c>
      <c r="B373" s="348" t="s">
        <v>137</v>
      </c>
      <c r="C373" s="348" t="s">
        <v>1195</v>
      </c>
      <c r="D373" s="352" t="s">
        <v>139</v>
      </c>
      <c r="E373" s="336">
        <v>43784</v>
      </c>
      <c r="F373" s="336">
        <v>43569</v>
      </c>
      <c r="G373" s="336">
        <v>43770</v>
      </c>
      <c r="H373" s="334" t="s">
        <v>1199</v>
      </c>
      <c r="I373" s="356">
        <v>13681802118</v>
      </c>
      <c r="J373" s="361" t="s">
        <v>1200</v>
      </c>
      <c r="K373" s="356">
        <v>3000</v>
      </c>
      <c r="L373" s="334">
        <v>18165</v>
      </c>
      <c r="M373" s="362"/>
      <c r="N373" s="362">
        <f t="shared" si="11"/>
        <v>18165</v>
      </c>
      <c r="O373" s="356"/>
      <c r="P373" s="356"/>
      <c r="Q373" s="356"/>
      <c r="R373" s="356">
        <v>1</v>
      </c>
      <c r="S373" s="356"/>
      <c r="T373" s="356"/>
      <c r="U373" s="372"/>
      <c r="V373" s="372"/>
      <c r="W373" s="372"/>
      <c r="X373" s="373">
        <v>1</v>
      </c>
      <c r="Y373" s="348" t="s">
        <v>497</v>
      </c>
      <c r="Z373" s="348"/>
      <c r="AA373" s="348"/>
    </row>
    <row r="374" s="331" customFormat="1" ht="17" customHeight="1" spans="1:27">
      <c r="A374" s="348">
        <v>2027526</v>
      </c>
      <c r="B374" s="348" t="s">
        <v>73</v>
      </c>
      <c r="C374" s="348" t="s">
        <v>74</v>
      </c>
      <c r="D374" s="349" t="s">
        <v>132</v>
      </c>
      <c r="E374" s="336">
        <v>43579</v>
      </c>
      <c r="F374" s="336">
        <v>43579</v>
      </c>
      <c r="G374" s="336">
        <v>43653</v>
      </c>
      <c r="H374" s="334" t="s">
        <v>1201</v>
      </c>
      <c r="I374" s="356">
        <v>13764241948</v>
      </c>
      <c r="J374" s="361" t="s">
        <v>1202</v>
      </c>
      <c r="K374" s="356">
        <v>1000</v>
      </c>
      <c r="L374" s="334">
        <v>15518</v>
      </c>
      <c r="M374" s="334"/>
      <c r="N374" s="362">
        <f t="shared" si="11"/>
        <v>15518</v>
      </c>
      <c r="O374" s="356"/>
      <c r="P374" s="356"/>
      <c r="Q374" s="356"/>
      <c r="R374" s="356"/>
      <c r="S374" s="356"/>
      <c r="T374" s="356"/>
      <c r="U374" s="372"/>
      <c r="V374" s="372"/>
      <c r="W374" s="372"/>
      <c r="X374" s="373"/>
      <c r="Y374" s="348"/>
      <c r="Z374" s="348" t="s">
        <v>79</v>
      </c>
      <c r="AA374" s="348"/>
    </row>
    <row r="375" s="331" customFormat="1" ht="17" customHeight="1" spans="1:27">
      <c r="A375" s="550" t="s">
        <v>1203</v>
      </c>
      <c r="B375" s="348" t="s">
        <v>185</v>
      </c>
      <c r="C375" s="348" t="s">
        <v>1204</v>
      </c>
      <c r="D375" s="349" t="s">
        <v>44</v>
      </c>
      <c r="E375" s="336">
        <v>43792</v>
      </c>
      <c r="F375" s="336">
        <v>43579</v>
      </c>
      <c r="G375" s="336">
        <v>43792</v>
      </c>
      <c r="H375" s="334" t="s">
        <v>1205</v>
      </c>
      <c r="I375" s="356">
        <v>13311925031</v>
      </c>
      <c r="J375" s="361" t="s">
        <v>1206</v>
      </c>
      <c r="K375" s="356">
        <v>3000</v>
      </c>
      <c r="L375" s="334">
        <v>23400</v>
      </c>
      <c r="M375" s="362"/>
      <c r="N375" s="362">
        <f t="shared" si="11"/>
        <v>23400</v>
      </c>
      <c r="O375" s="356" t="s">
        <v>52</v>
      </c>
      <c r="P375" s="356"/>
      <c r="Q375" s="356"/>
      <c r="R375" s="356"/>
      <c r="S375" s="356"/>
      <c r="T375" s="356"/>
      <c r="U375" s="372"/>
      <c r="V375" s="372"/>
      <c r="W375" s="372"/>
      <c r="X375" s="373"/>
      <c r="Y375" s="348" t="s">
        <v>142</v>
      </c>
      <c r="Z375" s="348"/>
      <c r="AA375" s="348"/>
    </row>
    <row r="376" s="331" customFormat="1" ht="17" customHeight="1" spans="1:27">
      <c r="A376" s="550" t="s">
        <v>1207</v>
      </c>
      <c r="B376" s="348" t="s">
        <v>31</v>
      </c>
      <c r="C376" s="348" t="s">
        <v>115</v>
      </c>
      <c r="D376" s="352" t="s">
        <v>33</v>
      </c>
      <c r="E376" s="336">
        <v>43580</v>
      </c>
      <c r="F376" s="336">
        <v>43580</v>
      </c>
      <c r="G376" s="336">
        <v>43677</v>
      </c>
      <c r="H376" s="334" t="s">
        <v>1208</v>
      </c>
      <c r="I376" s="356">
        <v>13917665476</v>
      </c>
      <c r="J376" s="361" t="s">
        <v>1209</v>
      </c>
      <c r="K376" s="356">
        <v>1000</v>
      </c>
      <c r="L376" s="334">
        <v>18000</v>
      </c>
      <c r="M376" s="362"/>
      <c r="N376" s="362">
        <f t="shared" si="11"/>
        <v>18000</v>
      </c>
      <c r="O376" s="356"/>
      <c r="P376" s="356"/>
      <c r="Q376" s="356"/>
      <c r="R376" s="356"/>
      <c r="S376" s="356"/>
      <c r="T376" s="356"/>
      <c r="U376" s="372"/>
      <c r="V376" s="372"/>
      <c r="W376" s="372"/>
      <c r="X376" s="373"/>
      <c r="Y376" s="348"/>
      <c r="Z376" s="348"/>
      <c r="AA376" s="348"/>
    </row>
    <row r="377" s="331" customFormat="1" ht="17" customHeight="1" spans="1:27">
      <c r="A377" s="348"/>
      <c r="B377" s="348" t="s">
        <v>66</v>
      </c>
      <c r="C377" s="348" t="s">
        <v>505</v>
      </c>
      <c r="D377" s="349" t="s">
        <v>115</v>
      </c>
      <c r="E377" s="336">
        <v>43635</v>
      </c>
      <c r="F377" s="336">
        <v>43635</v>
      </c>
      <c r="G377" s="336">
        <v>43647</v>
      </c>
      <c r="H377" s="269" t="s">
        <v>1210</v>
      </c>
      <c r="I377" s="356">
        <v>13681752780</v>
      </c>
      <c r="J377" s="361" t="s">
        <v>1211</v>
      </c>
      <c r="K377" s="356">
        <v>4948</v>
      </c>
      <c r="L377" s="334">
        <v>7163</v>
      </c>
      <c r="M377" s="362"/>
      <c r="N377" s="362">
        <f t="shared" si="11"/>
        <v>7163</v>
      </c>
      <c r="O377" s="356"/>
      <c r="P377" s="356"/>
      <c r="Q377" s="356"/>
      <c r="R377" s="356"/>
      <c r="S377" s="356"/>
      <c r="T377" s="356"/>
      <c r="U377" s="372"/>
      <c r="V377" s="372"/>
      <c r="W377" s="372"/>
      <c r="X377" s="373"/>
      <c r="Y377" s="348" t="s">
        <v>856</v>
      </c>
      <c r="Z377" s="348"/>
      <c r="AA377" s="348"/>
    </row>
    <row r="378" s="57" customFormat="1" ht="17" customHeight="1" spans="1:27">
      <c r="A378" s="348">
        <v>2067419</v>
      </c>
      <c r="B378" s="348" t="s">
        <v>137</v>
      </c>
      <c r="C378" s="348" t="s">
        <v>406</v>
      </c>
      <c r="D378" s="349" t="s">
        <v>443</v>
      </c>
      <c r="E378" s="336">
        <v>43581</v>
      </c>
      <c r="F378" s="336">
        <v>43581</v>
      </c>
      <c r="G378" s="350"/>
      <c r="H378" s="334" t="s">
        <v>1212</v>
      </c>
      <c r="I378" s="356">
        <v>13816802399</v>
      </c>
      <c r="J378" s="348" t="s">
        <v>1213</v>
      </c>
      <c r="K378" s="356">
        <v>3000</v>
      </c>
      <c r="L378" s="362"/>
      <c r="M378" s="362"/>
      <c r="N378" s="362">
        <f t="shared" si="11"/>
        <v>0</v>
      </c>
      <c r="O378" s="356"/>
      <c r="P378" s="356"/>
      <c r="Q378" s="356"/>
      <c r="R378" s="356">
        <v>1</v>
      </c>
      <c r="S378" s="356"/>
      <c r="T378" s="356"/>
      <c r="U378" s="385" t="s">
        <v>52</v>
      </c>
      <c r="V378" s="372"/>
      <c r="W378" s="372"/>
      <c r="X378" s="373">
        <v>1</v>
      </c>
      <c r="Y378" s="348"/>
      <c r="Z378" s="348"/>
      <c r="AA378" s="348"/>
    </row>
    <row r="379" s="331" customFormat="1" ht="17" customHeight="1" spans="1:27">
      <c r="A379" s="348">
        <v>2027522</v>
      </c>
      <c r="B379" s="348" t="s">
        <v>73</v>
      </c>
      <c r="C379" s="348" t="s">
        <v>74</v>
      </c>
      <c r="D379" s="352" t="s">
        <v>75</v>
      </c>
      <c r="E379" s="336">
        <v>43576</v>
      </c>
      <c r="F379" s="336">
        <v>43576</v>
      </c>
      <c r="G379" s="350"/>
      <c r="H379" s="334" t="s">
        <v>1214</v>
      </c>
      <c r="I379" s="356">
        <v>13501751109</v>
      </c>
      <c r="J379" s="361" t="s">
        <v>1215</v>
      </c>
      <c r="K379" s="356">
        <v>1000</v>
      </c>
      <c r="L379" s="362"/>
      <c r="M379" s="362"/>
      <c r="N379" s="362">
        <f t="shared" si="11"/>
        <v>0</v>
      </c>
      <c r="O379" s="356"/>
      <c r="P379" s="366"/>
      <c r="Q379" s="366" t="s">
        <v>52</v>
      </c>
      <c r="R379" s="356"/>
      <c r="S379" s="356"/>
      <c r="T379" s="356"/>
      <c r="U379" s="372" t="s">
        <v>78</v>
      </c>
      <c r="V379" s="372"/>
      <c r="W379" s="372"/>
      <c r="X379" s="373"/>
      <c r="Y379" s="348"/>
      <c r="Z379" s="348" t="s">
        <v>79</v>
      </c>
      <c r="AA379" s="348"/>
    </row>
    <row r="380" s="331" customFormat="1" ht="17" customHeight="1" spans="1:27">
      <c r="A380" s="348">
        <v>2067262</v>
      </c>
      <c r="B380" s="348" t="s">
        <v>805</v>
      </c>
      <c r="C380" s="348" t="s">
        <v>806</v>
      </c>
      <c r="D380" s="352" t="s">
        <v>171</v>
      </c>
      <c r="E380" s="336">
        <v>43581</v>
      </c>
      <c r="F380" s="336">
        <v>43581</v>
      </c>
      <c r="G380" s="350"/>
      <c r="H380" s="334" t="s">
        <v>1216</v>
      </c>
      <c r="I380" s="356">
        <v>17740839225</v>
      </c>
      <c r="J380" s="361" t="s">
        <v>1217</v>
      </c>
      <c r="K380" s="356">
        <v>1000</v>
      </c>
      <c r="L380" s="362"/>
      <c r="M380" s="362"/>
      <c r="N380" s="362">
        <f t="shared" si="11"/>
        <v>0</v>
      </c>
      <c r="O380" s="356"/>
      <c r="P380" s="356"/>
      <c r="Q380" s="356"/>
      <c r="R380" s="356"/>
      <c r="S380" s="356"/>
      <c r="T380" s="356"/>
      <c r="U380" s="379">
        <v>6.2</v>
      </c>
      <c r="V380" s="372"/>
      <c r="W380" s="372"/>
      <c r="X380" s="373"/>
      <c r="Y380" s="348"/>
      <c r="Z380" s="348"/>
      <c r="AA380" s="348"/>
    </row>
    <row r="381" s="331" customFormat="1" ht="17" customHeight="1" spans="1:27">
      <c r="A381" s="550" t="s">
        <v>1218</v>
      </c>
      <c r="B381" s="348" t="s">
        <v>185</v>
      </c>
      <c r="C381" s="348" t="s">
        <v>1204</v>
      </c>
      <c r="D381" s="334" t="s">
        <v>187</v>
      </c>
      <c r="E381" s="336">
        <v>43713</v>
      </c>
      <c r="F381" s="336">
        <v>43581</v>
      </c>
      <c r="G381" s="336">
        <v>43712</v>
      </c>
      <c r="H381" s="334" t="s">
        <v>1219</v>
      </c>
      <c r="I381" s="356">
        <v>18217063707</v>
      </c>
      <c r="J381" s="361" t="s">
        <v>1220</v>
      </c>
      <c r="K381" s="356">
        <v>3000</v>
      </c>
      <c r="L381" s="334">
        <v>12420</v>
      </c>
      <c r="M381" s="362"/>
      <c r="N381" s="362">
        <f t="shared" si="11"/>
        <v>12420</v>
      </c>
      <c r="O381" s="356"/>
      <c r="P381" s="356"/>
      <c r="Q381" s="356"/>
      <c r="R381" s="356"/>
      <c r="S381" s="356"/>
      <c r="T381" s="356"/>
      <c r="U381" s="372"/>
      <c r="V381" s="372"/>
      <c r="W381" s="372">
        <v>9.4</v>
      </c>
      <c r="X381" s="373"/>
      <c r="Y381" s="348"/>
      <c r="Z381" s="348"/>
      <c r="AA381" s="348"/>
    </row>
    <row r="382" s="331" customFormat="1" ht="17" customHeight="1" spans="1:27">
      <c r="A382" s="348"/>
      <c r="B382" s="348" t="s">
        <v>130</v>
      </c>
      <c r="C382" s="348" t="s">
        <v>181</v>
      </c>
      <c r="D382" s="349" t="s">
        <v>717</v>
      </c>
      <c r="E382" s="336">
        <v>43581</v>
      </c>
      <c r="F382" s="336">
        <v>43581</v>
      </c>
      <c r="G382" s="336">
        <v>43667</v>
      </c>
      <c r="H382" s="334" t="s">
        <v>1221</v>
      </c>
      <c r="I382" s="356">
        <v>13482712925</v>
      </c>
      <c r="J382" s="361" t="s">
        <v>1222</v>
      </c>
      <c r="K382" s="356">
        <v>3000</v>
      </c>
      <c r="L382" s="334">
        <v>33879</v>
      </c>
      <c r="M382" s="362"/>
      <c r="N382" s="362">
        <f t="shared" si="11"/>
        <v>33879</v>
      </c>
      <c r="O382" s="356"/>
      <c r="P382" s="356"/>
      <c r="Q382" s="356"/>
      <c r="R382" s="356"/>
      <c r="S382" s="356"/>
      <c r="T382" s="356"/>
      <c r="U382" s="372"/>
      <c r="V382" s="372"/>
      <c r="W382" s="372"/>
      <c r="X382" s="373"/>
      <c r="Y382" s="348" t="s">
        <v>1223</v>
      </c>
      <c r="Z382" s="348"/>
      <c r="AA382" s="348"/>
    </row>
    <row r="383" s="331" customFormat="1" ht="17" customHeight="1" spans="1:27">
      <c r="A383" s="550" t="s">
        <v>1224</v>
      </c>
      <c r="B383" s="348" t="s">
        <v>335</v>
      </c>
      <c r="C383" s="348" t="s">
        <v>336</v>
      </c>
      <c r="D383" s="349" t="s">
        <v>337</v>
      </c>
      <c r="E383" s="336" t="s">
        <v>1225</v>
      </c>
      <c r="F383" s="336">
        <v>43618</v>
      </c>
      <c r="G383" s="336">
        <v>43673</v>
      </c>
      <c r="H383" s="334" t="s">
        <v>1226</v>
      </c>
      <c r="I383" s="356">
        <v>13681790602</v>
      </c>
      <c r="J383" s="361" t="s">
        <v>1227</v>
      </c>
      <c r="K383" s="356">
        <v>3000</v>
      </c>
      <c r="L383" s="334">
        <v>15875</v>
      </c>
      <c r="M383" s="362"/>
      <c r="N383" s="362">
        <f t="shared" si="11"/>
        <v>15875</v>
      </c>
      <c r="O383" s="356"/>
      <c r="P383" s="356"/>
      <c r="Q383" s="356" t="s">
        <v>21</v>
      </c>
      <c r="R383" s="356"/>
      <c r="S383" s="356"/>
      <c r="T383" s="356"/>
      <c r="U383" s="372"/>
      <c r="V383" s="372"/>
      <c r="W383" s="372"/>
      <c r="X383" s="373"/>
      <c r="Y383" s="348" t="s">
        <v>1228</v>
      </c>
      <c r="Z383" s="348"/>
      <c r="AA383" s="348"/>
    </row>
    <row r="384" s="331" customFormat="1" ht="17" customHeight="1" spans="1:27">
      <c r="A384" s="348">
        <v>2027523</v>
      </c>
      <c r="B384" s="348" t="s">
        <v>73</v>
      </c>
      <c r="C384" s="348" t="s">
        <v>74</v>
      </c>
      <c r="D384" s="352" t="s">
        <v>75</v>
      </c>
      <c r="E384" s="336">
        <v>43576</v>
      </c>
      <c r="F384" s="336">
        <v>43576</v>
      </c>
      <c r="G384" s="350"/>
      <c r="H384" s="334" t="s">
        <v>666</v>
      </c>
      <c r="I384" s="356">
        <v>13916513803</v>
      </c>
      <c r="J384" s="361" t="s">
        <v>1229</v>
      </c>
      <c r="K384" s="356">
        <v>1000</v>
      </c>
      <c r="L384" s="362"/>
      <c r="M384" s="362"/>
      <c r="N384" s="362">
        <f t="shared" si="11"/>
        <v>0</v>
      </c>
      <c r="O384" s="356"/>
      <c r="Q384" s="356"/>
      <c r="R384" s="356"/>
      <c r="S384" s="366" t="s">
        <v>52</v>
      </c>
      <c r="T384" s="356"/>
      <c r="U384" s="372" t="s">
        <v>78</v>
      </c>
      <c r="V384" s="372"/>
      <c r="W384" s="372"/>
      <c r="X384" s="373"/>
      <c r="Y384" s="348"/>
      <c r="Z384" s="348" t="s">
        <v>79</v>
      </c>
      <c r="AA384" s="348"/>
    </row>
    <row r="385" s="331" customFormat="1" ht="17" customHeight="1" spans="1:27">
      <c r="A385" s="348">
        <v>2022934</v>
      </c>
      <c r="B385" s="348" t="s">
        <v>243</v>
      </c>
      <c r="C385" s="348" t="s">
        <v>244</v>
      </c>
      <c r="D385" s="352" t="s">
        <v>49</v>
      </c>
      <c r="E385" s="336">
        <v>43732</v>
      </c>
      <c r="F385" s="336">
        <v>43582</v>
      </c>
      <c r="G385" s="336">
        <v>43714</v>
      </c>
      <c r="H385" s="334" t="s">
        <v>1230</v>
      </c>
      <c r="I385" s="356">
        <v>13002102231</v>
      </c>
      <c r="J385" s="361" t="s">
        <v>1231</v>
      </c>
      <c r="K385" s="356">
        <v>3000</v>
      </c>
      <c r="L385" s="334">
        <v>17808</v>
      </c>
      <c r="M385" s="362"/>
      <c r="N385" s="362">
        <f t="shared" si="11"/>
        <v>17808</v>
      </c>
      <c r="O385" s="356"/>
      <c r="P385" s="356"/>
      <c r="Q385" s="356"/>
      <c r="R385" s="356" t="s">
        <v>52</v>
      </c>
      <c r="S385" s="356"/>
      <c r="T385" s="356"/>
      <c r="U385" s="372"/>
      <c r="V385" s="372"/>
      <c r="W385" s="372"/>
      <c r="X385" s="373"/>
      <c r="Y385" s="348"/>
      <c r="Z385" s="348"/>
      <c r="AA385" s="348"/>
    </row>
    <row r="386" s="331" customFormat="1" ht="17" customHeight="1" spans="1:27">
      <c r="A386" s="348"/>
      <c r="B386" s="348" t="s">
        <v>281</v>
      </c>
      <c r="C386" s="348" t="s">
        <v>498</v>
      </c>
      <c r="D386" s="352" t="s">
        <v>49</v>
      </c>
      <c r="E386" s="336">
        <v>43635</v>
      </c>
      <c r="F386" s="336">
        <v>43631</v>
      </c>
      <c r="G386" s="350"/>
      <c r="H386" s="334" t="s">
        <v>144</v>
      </c>
      <c r="I386" s="356">
        <v>13701714722</v>
      </c>
      <c r="J386" s="361" t="s">
        <v>1232</v>
      </c>
      <c r="K386" s="356">
        <v>1000</v>
      </c>
      <c r="L386" s="362"/>
      <c r="M386" s="362"/>
      <c r="N386" s="362">
        <f t="shared" si="11"/>
        <v>0</v>
      </c>
      <c r="O386" s="356" t="s">
        <v>52</v>
      </c>
      <c r="P386" s="356"/>
      <c r="Q386" s="356"/>
      <c r="R386" s="356"/>
      <c r="S386" s="356"/>
      <c r="T386" s="356"/>
      <c r="U386" s="396" t="s">
        <v>12</v>
      </c>
      <c r="V386" s="372"/>
      <c r="W386" s="372"/>
      <c r="X386" s="373"/>
      <c r="Y386" s="348" t="s">
        <v>501</v>
      </c>
      <c r="Z386" s="348"/>
      <c r="AA386" s="348"/>
    </row>
    <row r="387" s="331" customFormat="1" ht="15" customHeight="1" spans="1:27">
      <c r="A387" s="550" t="s">
        <v>1233</v>
      </c>
      <c r="B387" s="348" t="s">
        <v>58</v>
      </c>
      <c r="C387" s="348" t="s">
        <v>1234</v>
      </c>
      <c r="D387" s="352" t="s">
        <v>75</v>
      </c>
      <c r="E387" s="336">
        <v>43646</v>
      </c>
      <c r="F387" s="336">
        <v>43646</v>
      </c>
      <c r="G387" s="350"/>
      <c r="H387" s="334" t="s">
        <v>1235</v>
      </c>
      <c r="I387" s="356">
        <v>13759697749</v>
      </c>
      <c r="J387" s="361" t="s">
        <v>1236</v>
      </c>
      <c r="K387" s="356">
        <v>1000</v>
      </c>
      <c r="L387" s="362"/>
      <c r="M387" s="362"/>
      <c r="N387" s="362">
        <f t="shared" si="11"/>
        <v>0</v>
      </c>
      <c r="O387" s="356"/>
      <c r="P387" s="356"/>
      <c r="Q387" s="356"/>
      <c r="R387" s="356"/>
      <c r="S387" s="356"/>
      <c r="T387" s="356"/>
      <c r="U387" s="393" t="s">
        <v>40</v>
      </c>
      <c r="V387" s="372"/>
      <c r="W387" s="372"/>
      <c r="X387" s="373"/>
      <c r="Y387" s="348"/>
      <c r="Z387" s="348"/>
      <c r="AA387" s="348"/>
    </row>
    <row r="388" s="331" customFormat="1" ht="17" customHeight="1" spans="1:27">
      <c r="A388" s="348">
        <v>2022771</v>
      </c>
      <c r="B388" s="348" t="s">
        <v>243</v>
      </c>
      <c r="C388" s="348" t="s">
        <v>304</v>
      </c>
      <c r="D388" s="352" t="s">
        <v>49</v>
      </c>
      <c r="E388" s="336">
        <v>43582</v>
      </c>
      <c r="F388" s="336">
        <v>43582</v>
      </c>
      <c r="G388" s="350"/>
      <c r="H388" s="334" t="s">
        <v>1237</v>
      </c>
      <c r="I388" s="356">
        <v>13621908979</v>
      </c>
      <c r="J388" s="361" t="s">
        <v>1238</v>
      </c>
      <c r="K388" s="356">
        <v>1000</v>
      </c>
      <c r="L388" s="362"/>
      <c r="M388" s="362"/>
      <c r="N388" s="362">
        <f t="shared" si="11"/>
        <v>0</v>
      </c>
      <c r="O388" s="356"/>
      <c r="P388" s="356"/>
      <c r="Q388" s="356"/>
      <c r="R388" s="356"/>
      <c r="S388" s="356"/>
      <c r="T388" s="356"/>
      <c r="U388" s="372" t="s">
        <v>1239</v>
      </c>
      <c r="V388" s="372"/>
      <c r="W388" s="372"/>
      <c r="X388" s="373"/>
      <c r="Y388" s="348" t="s">
        <v>1143</v>
      </c>
      <c r="Z388" s="348"/>
      <c r="AA388" s="348"/>
    </row>
    <row r="389" s="331" customFormat="1" ht="17" customHeight="1" spans="1:27">
      <c r="A389" s="550" t="s">
        <v>1240</v>
      </c>
      <c r="B389" s="348" t="s">
        <v>185</v>
      </c>
      <c r="C389" s="348" t="s">
        <v>1133</v>
      </c>
      <c r="D389" s="349" t="s">
        <v>44</v>
      </c>
      <c r="E389" s="336">
        <v>43582</v>
      </c>
      <c r="F389" s="336">
        <v>43582</v>
      </c>
      <c r="G389" s="350"/>
      <c r="H389" s="334" t="s">
        <v>1241</v>
      </c>
      <c r="I389" s="356">
        <v>1561858590</v>
      </c>
      <c r="J389" s="361" t="s">
        <v>1242</v>
      </c>
      <c r="K389" s="356">
        <v>2000</v>
      </c>
      <c r="L389" s="362"/>
      <c r="M389" s="362"/>
      <c r="N389" s="362">
        <f t="shared" si="11"/>
        <v>0</v>
      </c>
      <c r="O389" s="356"/>
      <c r="P389" s="356"/>
      <c r="Q389" s="356"/>
      <c r="R389" s="356"/>
      <c r="S389" s="356"/>
      <c r="T389" s="356"/>
      <c r="U389" s="374">
        <v>43615</v>
      </c>
      <c r="V389" s="372"/>
      <c r="W389" s="372"/>
      <c r="X389" s="373"/>
      <c r="Y389" s="348" t="s">
        <v>380</v>
      </c>
      <c r="Z389" s="348"/>
      <c r="AA389" s="348"/>
    </row>
    <row r="390" s="331" customFormat="1" ht="17" customHeight="1" spans="1:27">
      <c r="A390" s="550" t="s">
        <v>1243</v>
      </c>
      <c r="B390" s="348" t="s">
        <v>123</v>
      </c>
      <c r="C390" s="348" t="s">
        <v>124</v>
      </c>
      <c r="D390" s="349" t="s">
        <v>125</v>
      </c>
      <c r="E390" s="336">
        <v>43582</v>
      </c>
      <c r="F390" s="336">
        <v>43582</v>
      </c>
      <c r="G390" s="336">
        <v>43652</v>
      </c>
      <c r="H390" s="334" t="s">
        <v>1244</v>
      </c>
      <c r="I390" s="356">
        <v>13761081028</v>
      </c>
      <c r="J390" s="361" t="s">
        <v>1245</v>
      </c>
      <c r="K390" s="356">
        <v>3000</v>
      </c>
      <c r="L390" s="334">
        <v>19500</v>
      </c>
      <c r="M390" s="334"/>
      <c r="N390" s="362">
        <f t="shared" si="11"/>
        <v>19500</v>
      </c>
      <c r="O390" s="356"/>
      <c r="P390" s="356"/>
      <c r="Q390" s="356"/>
      <c r="R390" s="356"/>
      <c r="S390" s="356"/>
      <c r="T390" s="356"/>
      <c r="U390" s="372"/>
      <c r="V390" s="372"/>
      <c r="W390" s="372"/>
      <c r="X390" s="373"/>
      <c r="Y390" s="348" t="s">
        <v>380</v>
      </c>
      <c r="Z390" s="348"/>
      <c r="AA390" s="348"/>
    </row>
    <row r="391" s="331" customFormat="1" ht="17" customHeight="1" spans="1:27">
      <c r="A391" s="348">
        <v>2027530</v>
      </c>
      <c r="B391" s="348" t="s">
        <v>73</v>
      </c>
      <c r="C391" s="348" t="s">
        <v>74</v>
      </c>
      <c r="D391" s="352" t="s">
        <v>75</v>
      </c>
      <c r="E391" s="336">
        <v>43581</v>
      </c>
      <c r="F391" s="336">
        <v>43581</v>
      </c>
      <c r="G391" s="350"/>
      <c r="H391" s="334" t="s">
        <v>1246</v>
      </c>
      <c r="I391" s="356">
        <v>18302111667</v>
      </c>
      <c r="J391" s="361" t="s">
        <v>1247</v>
      </c>
      <c r="K391" s="356">
        <v>1000</v>
      </c>
      <c r="L391" s="362"/>
      <c r="M391" s="362"/>
      <c r="N391" s="362">
        <f t="shared" si="11"/>
        <v>0</v>
      </c>
      <c r="O391" s="356"/>
      <c r="P391" s="366"/>
      <c r="Q391" s="366" t="s">
        <v>52</v>
      </c>
      <c r="R391" s="356"/>
      <c r="S391" s="356"/>
      <c r="T391" s="356"/>
      <c r="U391" s="372" t="s">
        <v>78</v>
      </c>
      <c r="V391" s="372"/>
      <c r="W391" s="372"/>
      <c r="X391" s="373">
        <v>1</v>
      </c>
      <c r="Y391" s="348"/>
      <c r="Z391" s="348" t="s">
        <v>79</v>
      </c>
      <c r="AA391" s="348"/>
    </row>
    <row r="392" s="331" customFormat="1" ht="17" customHeight="1" spans="1:27">
      <c r="A392" s="348"/>
      <c r="B392" s="348" t="s">
        <v>58</v>
      </c>
      <c r="C392" s="348" t="s">
        <v>347</v>
      </c>
      <c r="D392" s="349" t="s">
        <v>717</v>
      </c>
      <c r="E392" s="336">
        <v>43696</v>
      </c>
      <c r="F392" s="336">
        <v>43582</v>
      </c>
      <c r="G392" s="336">
        <v>43693</v>
      </c>
      <c r="H392" s="334" t="s">
        <v>1248</v>
      </c>
      <c r="I392" s="356">
        <v>13918434741</v>
      </c>
      <c r="J392" s="361" t="s">
        <v>1249</v>
      </c>
      <c r="K392" s="356">
        <v>3000</v>
      </c>
      <c r="L392" s="334">
        <v>51305</v>
      </c>
      <c r="M392" s="362"/>
      <c r="N392" s="362">
        <f t="shared" ref="N391:N422" si="12">L392+M392</f>
        <v>51305</v>
      </c>
      <c r="O392" s="356"/>
      <c r="P392" s="366"/>
      <c r="Q392" s="356"/>
      <c r="R392" s="356"/>
      <c r="S392" s="356"/>
      <c r="T392" s="356"/>
      <c r="U392" s="372"/>
      <c r="V392" s="372"/>
      <c r="W392" s="372"/>
      <c r="X392" s="373"/>
      <c r="Y392" s="348"/>
      <c r="Z392" s="348"/>
      <c r="AA392" s="348"/>
    </row>
    <row r="393" s="331" customFormat="1" ht="17" customHeight="1" spans="1:27">
      <c r="A393" s="550" t="s">
        <v>1250</v>
      </c>
      <c r="B393" s="334" t="s">
        <v>130</v>
      </c>
      <c r="C393" s="348" t="s">
        <v>181</v>
      </c>
      <c r="D393" s="352" t="s">
        <v>182</v>
      </c>
      <c r="E393" s="336">
        <v>43583</v>
      </c>
      <c r="F393" s="336">
        <v>43581</v>
      </c>
      <c r="G393" s="350" t="s">
        <v>69</v>
      </c>
      <c r="H393" s="334" t="s">
        <v>1251</v>
      </c>
      <c r="I393" s="334">
        <v>13601908948</v>
      </c>
      <c r="J393" s="367" t="s">
        <v>1252</v>
      </c>
      <c r="K393" s="356">
        <v>0</v>
      </c>
      <c r="L393" s="362"/>
      <c r="M393" s="362"/>
      <c r="N393" s="362">
        <f t="shared" si="12"/>
        <v>0</v>
      </c>
      <c r="O393" s="356"/>
      <c r="P393" s="356"/>
      <c r="Q393" s="356"/>
      <c r="R393" s="356"/>
      <c r="S393" s="356"/>
      <c r="T393" s="356"/>
      <c r="U393" s="372"/>
      <c r="V393" s="372"/>
      <c r="W393" s="372"/>
      <c r="X393" s="373"/>
      <c r="Y393" s="348"/>
      <c r="Z393" s="348"/>
      <c r="AA393" s="348"/>
    </row>
    <row r="394" s="331" customFormat="1" ht="17" customHeight="1" spans="1:27">
      <c r="A394" s="550" t="s">
        <v>1253</v>
      </c>
      <c r="B394" s="348" t="s">
        <v>58</v>
      </c>
      <c r="C394" s="348" t="s">
        <v>342</v>
      </c>
      <c r="D394" s="349" t="s">
        <v>343</v>
      </c>
      <c r="E394" s="336">
        <v>43692</v>
      </c>
      <c r="F394" s="336">
        <v>43582</v>
      </c>
      <c r="G394" s="336">
        <v>43691</v>
      </c>
      <c r="H394" s="334" t="s">
        <v>1254</v>
      </c>
      <c r="I394" s="356">
        <v>13801668130</v>
      </c>
      <c r="J394" s="361" t="s">
        <v>1255</v>
      </c>
      <c r="K394" s="356">
        <v>3000</v>
      </c>
      <c r="L394" s="334">
        <v>6920</v>
      </c>
      <c r="M394" s="362"/>
      <c r="N394" s="362">
        <f t="shared" si="12"/>
        <v>6920</v>
      </c>
      <c r="O394" s="356"/>
      <c r="P394" s="356"/>
      <c r="Q394" s="356"/>
      <c r="R394" s="366" t="s">
        <v>52</v>
      </c>
      <c r="S394" s="356"/>
      <c r="T394" s="356"/>
      <c r="U394" s="372"/>
      <c r="V394" s="372"/>
      <c r="W394" s="372"/>
      <c r="X394" s="373"/>
      <c r="Y394" s="348"/>
      <c r="Z394" s="348"/>
      <c r="AA394" s="348"/>
    </row>
    <row r="395" s="331" customFormat="1" ht="17" customHeight="1" spans="1:27">
      <c r="A395" s="550" t="s">
        <v>1256</v>
      </c>
      <c r="B395" s="348" t="s">
        <v>130</v>
      </c>
      <c r="C395" s="348" t="s">
        <v>722</v>
      </c>
      <c r="D395" s="349" t="s">
        <v>132</v>
      </c>
      <c r="E395" s="336">
        <v>43583</v>
      </c>
      <c r="F395" s="336">
        <v>43582</v>
      </c>
      <c r="G395" s="350"/>
      <c r="H395" s="334" t="s">
        <v>1257</v>
      </c>
      <c r="I395" s="356">
        <v>18019118126</v>
      </c>
      <c r="J395" s="361" t="s">
        <v>1258</v>
      </c>
      <c r="K395" s="356">
        <v>3000</v>
      </c>
      <c r="L395" s="362"/>
      <c r="M395" s="362"/>
      <c r="N395" s="362">
        <f t="shared" si="12"/>
        <v>0</v>
      </c>
      <c r="O395" s="356">
        <v>1</v>
      </c>
      <c r="P395" s="356"/>
      <c r="Q395" s="356"/>
      <c r="R395" s="356"/>
      <c r="S395" s="356"/>
      <c r="T395" s="356"/>
      <c r="U395" s="372"/>
      <c r="V395" s="372"/>
      <c r="W395" s="372"/>
      <c r="X395" s="373"/>
      <c r="Y395" s="348"/>
      <c r="Z395" s="348"/>
      <c r="AA395" s="348"/>
    </row>
    <row r="396" s="331" customFormat="1" ht="17" customHeight="1" spans="1:27">
      <c r="A396" s="550" t="s">
        <v>1259</v>
      </c>
      <c r="B396" s="348" t="s">
        <v>58</v>
      </c>
      <c r="C396" s="348" t="s">
        <v>347</v>
      </c>
      <c r="D396" s="349" t="s">
        <v>271</v>
      </c>
      <c r="E396" s="336">
        <v>43583</v>
      </c>
      <c r="F396" s="336">
        <v>43582</v>
      </c>
      <c r="G396" s="336">
        <v>43653</v>
      </c>
      <c r="H396" s="334" t="s">
        <v>1260</v>
      </c>
      <c r="I396" s="356">
        <v>15901979968</v>
      </c>
      <c r="J396" s="361" t="s">
        <v>1261</v>
      </c>
      <c r="K396" s="356">
        <v>3000</v>
      </c>
      <c r="L396" s="334">
        <v>11480</v>
      </c>
      <c r="M396" s="334"/>
      <c r="N396" s="362">
        <f t="shared" si="12"/>
        <v>11480</v>
      </c>
      <c r="O396" s="356"/>
      <c r="P396" s="356"/>
      <c r="Q396" s="356"/>
      <c r="R396" s="356"/>
      <c r="S396" s="356"/>
      <c r="T396" s="356"/>
      <c r="U396" s="372"/>
      <c r="V396" s="372"/>
      <c r="W396" s="372"/>
      <c r="X396" s="373"/>
      <c r="Y396" s="348"/>
      <c r="Z396" s="348"/>
      <c r="AA396" s="348"/>
    </row>
    <row r="397" s="331" customFormat="1" ht="17" customHeight="1" spans="1:27">
      <c r="A397" s="550" t="s">
        <v>1262</v>
      </c>
      <c r="B397" s="348" t="s">
        <v>123</v>
      </c>
      <c r="C397" s="348" t="s">
        <v>124</v>
      </c>
      <c r="D397" s="349" t="s">
        <v>125</v>
      </c>
      <c r="E397" s="336">
        <v>43583</v>
      </c>
      <c r="F397" s="336">
        <v>43582</v>
      </c>
      <c r="G397" s="350"/>
      <c r="H397" s="334" t="s">
        <v>1263</v>
      </c>
      <c r="I397" s="356">
        <v>15618660681</v>
      </c>
      <c r="J397" s="361" t="s">
        <v>1264</v>
      </c>
      <c r="K397" s="356">
        <v>1000</v>
      </c>
      <c r="L397" s="362"/>
      <c r="M397" s="362"/>
      <c r="N397" s="362">
        <f t="shared" si="12"/>
        <v>0</v>
      </c>
      <c r="O397" s="356"/>
      <c r="P397" s="356"/>
      <c r="Q397" s="356"/>
      <c r="R397" s="356"/>
      <c r="S397" s="356"/>
      <c r="T397" s="356"/>
      <c r="U397" s="372" t="s">
        <v>40</v>
      </c>
      <c r="V397" s="372"/>
      <c r="W397" s="372"/>
      <c r="X397" s="373"/>
      <c r="Y397" s="348"/>
      <c r="Z397" s="348"/>
      <c r="AA397" s="348"/>
    </row>
    <row r="398" s="331" customFormat="1" ht="17" customHeight="1" spans="1:27">
      <c r="A398" s="348"/>
      <c r="B398" s="348" t="s">
        <v>169</v>
      </c>
      <c r="C398" s="348" t="s">
        <v>1265</v>
      </c>
      <c r="D398" s="352" t="s">
        <v>171</v>
      </c>
      <c r="E398" s="336">
        <v>43583</v>
      </c>
      <c r="F398" s="336">
        <v>43582</v>
      </c>
      <c r="G398" s="356"/>
      <c r="H398" s="334" t="s">
        <v>1266</v>
      </c>
      <c r="I398" s="356">
        <v>13918724371</v>
      </c>
      <c r="J398" s="361" t="s">
        <v>1267</v>
      </c>
      <c r="K398" s="356">
        <v>1000</v>
      </c>
      <c r="L398" s="362"/>
      <c r="M398" s="362"/>
      <c r="N398" s="362">
        <f t="shared" si="12"/>
        <v>0</v>
      </c>
      <c r="O398" s="356"/>
      <c r="P398" s="356"/>
      <c r="Q398" s="356"/>
      <c r="R398" s="356"/>
      <c r="S398" s="356"/>
      <c r="T398" s="356"/>
      <c r="U398" s="400" t="s">
        <v>1268</v>
      </c>
      <c r="V398" s="372"/>
      <c r="W398" s="372"/>
      <c r="X398" s="373"/>
      <c r="Y398" s="348" t="s">
        <v>1269</v>
      </c>
      <c r="Z398" s="348"/>
      <c r="AA398" s="348"/>
    </row>
    <row r="399" s="331" customFormat="1" ht="17" customHeight="1" spans="1:27">
      <c r="A399" s="348">
        <v>2023929</v>
      </c>
      <c r="B399" s="348" t="s">
        <v>335</v>
      </c>
      <c r="C399" s="348" t="s">
        <v>615</v>
      </c>
      <c r="D399" s="349" t="s">
        <v>337</v>
      </c>
      <c r="E399" s="336"/>
      <c r="F399" s="336">
        <v>43483</v>
      </c>
      <c r="G399" s="350"/>
      <c r="H399" s="351" t="s">
        <v>973</v>
      </c>
      <c r="I399" s="356">
        <v>13761018618</v>
      </c>
      <c r="J399" s="361" t="s">
        <v>1270</v>
      </c>
      <c r="K399" s="356">
        <v>500</v>
      </c>
      <c r="L399" s="362"/>
      <c r="M399" s="362"/>
      <c r="N399" s="362">
        <f t="shared" si="12"/>
        <v>0</v>
      </c>
      <c r="O399" s="356"/>
      <c r="P399" s="356"/>
      <c r="Q399" s="356"/>
      <c r="R399" s="356"/>
      <c r="S399" s="356"/>
      <c r="T399" s="356"/>
      <c r="U399" s="356" t="s">
        <v>40</v>
      </c>
      <c r="V399" s="372"/>
      <c r="W399" s="372"/>
      <c r="X399" s="373"/>
      <c r="Y399" s="348" t="s">
        <v>152</v>
      </c>
      <c r="Z399" s="348"/>
      <c r="AA399" s="348"/>
    </row>
    <row r="400" s="331" customFormat="1" ht="17" customHeight="1" spans="1:27">
      <c r="A400" s="550" t="s">
        <v>1271</v>
      </c>
      <c r="B400" s="348" t="s">
        <v>58</v>
      </c>
      <c r="C400" s="348" t="s">
        <v>59</v>
      </c>
      <c r="D400" s="349" t="s">
        <v>343</v>
      </c>
      <c r="E400" s="336">
        <v>43628</v>
      </c>
      <c r="F400" s="336">
        <v>43618</v>
      </c>
      <c r="G400" s="336">
        <v>43656</v>
      </c>
      <c r="H400" s="334" t="s">
        <v>1272</v>
      </c>
      <c r="I400" s="356">
        <v>13761101407</v>
      </c>
      <c r="J400" s="361" t="s">
        <v>1273</v>
      </c>
      <c r="K400" s="356">
        <f>6000+500</f>
        <v>6500</v>
      </c>
      <c r="L400" s="334">
        <v>12118</v>
      </c>
      <c r="M400" s="334"/>
      <c r="N400" s="362">
        <f t="shared" si="12"/>
        <v>12118</v>
      </c>
      <c r="O400" s="356"/>
      <c r="P400" s="356"/>
      <c r="Q400" s="356"/>
      <c r="R400" s="356"/>
      <c r="S400" s="356"/>
      <c r="T400" s="356"/>
      <c r="U400" s="372"/>
      <c r="V400" s="372"/>
      <c r="W400" s="372"/>
      <c r="X400" s="373"/>
      <c r="Y400" s="348"/>
      <c r="Z400" s="348"/>
      <c r="AA400" s="348"/>
    </row>
    <row r="401" s="331" customFormat="1" ht="17" customHeight="1" spans="1:27">
      <c r="A401" s="550" t="s">
        <v>1274</v>
      </c>
      <c r="B401" s="348" t="s">
        <v>35</v>
      </c>
      <c r="C401" s="348" t="s">
        <v>392</v>
      </c>
      <c r="D401" s="352" t="s">
        <v>37</v>
      </c>
      <c r="E401" s="336">
        <v>43583</v>
      </c>
      <c r="F401" s="336">
        <v>43582</v>
      </c>
      <c r="G401" s="350"/>
      <c r="H401" s="334" t="s">
        <v>1275</v>
      </c>
      <c r="I401" s="356">
        <v>13611936507</v>
      </c>
      <c r="J401" s="361" t="s">
        <v>1276</v>
      </c>
      <c r="K401" s="356">
        <v>1000</v>
      </c>
      <c r="L401" s="362"/>
      <c r="M401" s="362"/>
      <c r="N401" s="362">
        <f t="shared" si="12"/>
        <v>0</v>
      </c>
      <c r="O401" s="356"/>
      <c r="P401" s="356"/>
      <c r="Q401" s="356"/>
      <c r="R401" s="356"/>
      <c r="S401" s="356"/>
      <c r="T401" s="356"/>
      <c r="U401" s="372" t="s">
        <v>12</v>
      </c>
      <c r="V401" s="372"/>
      <c r="W401" s="372"/>
      <c r="X401" s="373"/>
      <c r="Y401" s="348"/>
      <c r="Z401" s="348"/>
      <c r="AA401" s="348"/>
    </row>
    <row r="402" s="331" customFormat="1" ht="17" customHeight="1" spans="1:27">
      <c r="A402" s="550" t="s">
        <v>1277</v>
      </c>
      <c r="B402" s="348" t="s">
        <v>87</v>
      </c>
      <c r="C402" s="348" t="s">
        <v>199</v>
      </c>
      <c r="D402" s="349" t="s">
        <v>89</v>
      </c>
      <c r="E402" s="336">
        <v>43583</v>
      </c>
      <c r="F402" s="336">
        <v>43583</v>
      </c>
      <c r="G402" s="350"/>
      <c r="H402" s="334" t="s">
        <v>1278</v>
      </c>
      <c r="I402" s="356">
        <v>13602099720</v>
      </c>
      <c r="J402" s="361" t="s">
        <v>1279</v>
      </c>
      <c r="K402" s="356">
        <v>3000</v>
      </c>
      <c r="L402" s="362"/>
      <c r="M402" s="362"/>
      <c r="N402" s="362">
        <f t="shared" si="12"/>
        <v>0</v>
      </c>
      <c r="O402" s="356"/>
      <c r="P402" s="356"/>
      <c r="Q402" s="356"/>
      <c r="R402" s="356"/>
      <c r="S402" s="356"/>
      <c r="T402" s="356"/>
      <c r="U402" s="356" t="s">
        <v>12</v>
      </c>
      <c r="V402" s="372"/>
      <c r="W402" s="372"/>
      <c r="X402" s="373"/>
      <c r="Y402" s="348"/>
      <c r="Z402" s="348"/>
      <c r="AA402" s="348"/>
    </row>
    <row r="403" s="331" customFormat="1" ht="17" customHeight="1" spans="1:27">
      <c r="A403" s="348"/>
      <c r="B403" s="348" t="s">
        <v>87</v>
      </c>
      <c r="C403" s="348" t="s">
        <v>199</v>
      </c>
      <c r="D403" s="349" t="s">
        <v>89</v>
      </c>
      <c r="E403" s="336">
        <v>43583</v>
      </c>
      <c r="F403" s="336">
        <v>43582</v>
      </c>
      <c r="G403" s="350"/>
      <c r="H403" s="334" t="s">
        <v>1280</v>
      </c>
      <c r="I403" s="334">
        <v>13162557134</v>
      </c>
      <c r="J403" s="361" t="s">
        <v>1281</v>
      </c>
      <c r="K403" s="356">
        <v>1000</v>
      </c>
      <c r="L403" s="362"/>
      <c r="M403" s="362"/>
      <c r="N403" s="362">
        <f t="shared" si="12"/>
        <v>0</v>
      </c>
      <c r="O403" s="356" t="s">
        <v>52</v>
      </c>
      <c r="P403" s="356"/>
      <c r="Q403" s="356"/>
      <c r="R403" s="356"/>
      <c r="S403" s="356"/>
      <c r="T403" s="356"/>
      <c r="U403" s="372" t="s">
        <v>12</v>
      </c>
      <c r="V403" s="372"/>
      <c r="W403" s="372"/>
      <c r="X403" s="373"/>
      <c r="Y403" s="348" t="s">
        <v>1269</v>
      </c>
      <c r="Z403" s="348"/>
      <c r="AA403" s="348"/>
    </row>
    <row r="404" s="331" customFormat="1" ht="17" customHeight="1" spans="1:27">
      <c r="A404" s="348"/>
      <c r="B404" s="348" t="s">
        <v>130</v>
      </c>
      <c r="C404" s="348" t="s">
        <v>395</v>
      </c>
      <c r="D404" s="349" t="s">
        <v>89</v>
      </c>
      <c r="E404" s="336">
        <v>43583</v>
      </c>
      <c r="F404" s="336">
        <v>43582</v>
      </c>
      <c r="G404" s="336">
        <v>43674</v>
      </c>
      <c r="H404" s="334" t="s">
        <v>1282</v>
      </c>
      <c r="I404" s="356">
        <v>18901880788</v>
      </c>
      <c r="J404" s="361" t="s">
        <v>1283</v>
      </c>
      <c r="K404" s="356">
        <v>1000</v>
      </c>
      <c r="L404" s="334">
        <v>22300</v>
      </c>
      <c r="M404" s="362"/>
      <c r="N404" s="362">
        <f t="shared" si="12"/>
        <v>22300</v>
      </c>
      <c r="O404" s="356"/>
      <c r="P404" s="356"/>
      <c r="Q404" s="356"/>
      <c r="R404" s="356"/>
      <c r="S404" s="356"/>
      <c r="T404" s="356"/>
      <c r="U404" s="372"/>
      <c r="V404" s="372"/>
      <c r="W404" s="372"/>
      <c r="X404" s="373"/>
      <c r="Y404" s="348"/>
      <c r="Z404" s="348"/>
      <c r="AA404" s="348"/>
    </row>
    <row r="405" s="331" customFormat="1" ht="17" customHeight="1" spans="1:27">
      <c r="A405" s="550" t="s">
        <v>1284</v>
      </c>
      <c r="B405" s="348" t="s">
        <v>31</v>
      </c>
      <c r="C405" s="348" t="s">
        <v>32</v>
      </c>
      <c r="D405" s="349" t="s">
        <v>33</v>
      </c>
      <c r="E405" s="336">
        <v>43583</v>
      </c>
      <c r="F405" s="336">
        <v>43583</v>
      </c>
      <c r="G405" s="350"/>
      <c r="H405" s="334" t="s">
        <v>1285</v>
      </c>
      <c r="I405" s="356">
        <v>18956526597</v>
      </c>
      <c r="J405" s="361" t="s">
        <v>1286</v>
      </c>
      <c r="K405" s="356">
        <v>1000</v>
      </c>
      <c r="L405" s="362"/>
      <c r="M405" s="362"/>
      <c r="N405" s="362">
        <f t="shared" si="12"/>
        <v>0</v>
      </c>
      <c r="O405" s="356"/>
      <c r="P405" s="356"/>
      <c r="Q405" s="356"/>
      <c r="R405" s="356"/>
      <c r="S405" s="356"/>
      <c r="T405" s="356"/>
      <c r="U405" s="372" t="s">
        <v>12</v>
      </c>
      <c r="V405" s="372"/>
      <c r="W405" s="372"/>
      <c r="X405" s="373"/>
      <c r="Y405" s="348"/>
      <c r="Z405" s="348"/>
      <c r="AA405" s="348"/>
    </row>
    <row r="406" s="331" customFormat="1" ht="17" customHeight="1" spans="1:27">
      <c r="A406" s="550" t="s">
        <v>1287</v>
      </c>
      <c r="B406" s="348" t="s">
        <v>160</v>
      </c>
      <c r="C406" s="348" t="s">
        <v>161</v>
      </c>
      <c r="D406" s="349" t="s">
        <v>162</v>
      </c>
      <c r="E406" s="336">
        <v>43583</v>
      </c>
      <c r="F406" s="336">
        <v>43583</v>
      </c>
      <c r="G406" s="350"/>
      <c r="H406" s="334" t="s">
        <v>1288</v>
      </c>
      <c r="I406" s="356">
        <v>13671595140</v>
      </c>
      <c r="J406" s="361" t="s">
        <v>1289</v>
      </c>
      <c r="K406" s="356">
        <v>1998</v>
      </c>
      <c r="L406" s="362"/>
      <c r="M406" s="362"/>
      <c r="N406" s="362">
        <f t="shared" si="12"/>
        <v>0</v>
      </c>
      <c r="O406" s="356"/>
      <c r="P406" s="356"/>
      <c r="Q406" s="356"/>
      <c r="R406" s="356"/>
      <c r="S406" s="356"/>
      <c r="T406" s="356"/>
      <c r="U406" s="372" t="s">
        <v>833</v>
      </c>
      <c r="V406" s="372"/>
      <c r="W406" s="372"/>
      <c r="X406" s="373"/>
      <c r="Y406" s="348"/>
      <c r="Z406" s="348"/>
      <c r="AA406" s="348"/>
    </row>
    <row r="407" s="331" customFormat="1" ht="17" customHeight="1" spans="1:27">
      <c r="A407" s="550" t="s">
        <v>1290</v>
      </c>
      <c r="B407" s="348" t="s">
        <v>31</v>
      </c>
      <c r="C407" s="348" t="s">
        <v>377</v>
      </c>
      <c r="D407" s="349" t="s">
        <v>221</v>
      </c>
      <c r="E407" s="336">
        <v>43534</v>
      </c>
      <c r="F407" s="336">
        <v>43533</v>
      </c>
      <c r="G407" s="348" t="s">
        <v>469</v>
      </c>
      <c r="H407" s="351" t="s">
        <v>1291</v>
      </c>
      <c r="I407" s="356">
        <v>13761158045</v>
      </c>
      <c r="J407" s="361" t="s">
        <v>1292</v>
      </c>
      <c r="K407" s="356">
        <f>200+800</f>
        <v>1000</v>
      </c>
      <c r="L407" s="362"/>
      <c r="M407" s="362"/>
      <c r="N407" s="362">
        <f t="shared" si="12"/>
        <v>0</v>
      </c>
      <c r="O407" s="356"/>
      <c r="P407" s="356"/>
      <c r="Q407" s="356"/>
      <c r="R407" s="356"/>
      <c r="S407" s="356"/>
      <c r="T407" s="356"/>
      <c r="U407" s="372"/>
      <c r="V407" s="372"/>
      <c r="W407" s="372"/>
      <c r="X407" s="373"/>
      <c r="Y407" s="348"/>
      <c r="Z407" s="348"/>
      <c r="AA407" s="348"/>
    </row>
    <row r="408" s="331" customFormat="1" ht="17" customHeight="1" spans="1:27">
      <c r="A408" s="348">
        <v>2023569</v>
      </c>
      <c r="B408" s="348" t="s">
        <v>73</v>
      </c>
      <c r="C408" s="348" t="s">
        <v>74</v>
      </c>
      <c r="D408" s="349" t="s">
        <v>132</v>
      </c>
      <c r="E408" s="336">
        <v>43699</v>
      </c>
      <c r="F408" s="336">
        <v>43583</v>
      </c>
      <c r="G408" s="336">
        <v>43699</v>
      </c>
      <c r="H408" s="334" t="s">
        <v>1293</v>
      </c>
      <c r="I408" s="356">
        <v>13901948411</v>
      </c>
      <c r="J408" s="361" t="s">
        <v>1294</v>
      </c>
      <c r="K408" s="356">
        <v>1000</v>
      </c>
      <c r="L408" s="334">
        <v>24932</v>
      </c>
      <c r="M408" s="362"/>
      <c r="N408" s="362">
        <f t="shared" si="12"/>
        <v>24932</v>
      </c>
      <c r="O408" s="356"/>
      <c r="P408" s="356"/>
      <c r="Q408" s="356"/>
      <c r="R408" s="356"/>
      <c r="S408" s="366" t="s">
        <v>52</v>
      </c>
      <c r="T408" s="356"/>
      <c r="U408" s="372"/>
      <c r="V408" s="372"/>
      <c r="W408" s="372"/>
      <c r="X408" s="373">
        <v>1</v>
      </c>
      <c r="Y408" s="348"/>
      <c r="Z408" s="348" t="s">
        <v>79</v>
      </c>
      <c r="AA408" s="348"/>
    </row>
    <row r="409" s="331" customFormat="1" ht="17" customHeight="1" spans="1:27">
      <c r="A409" s="550" t="s">
        <v>1159</v>
      </c>
      <c r="B409" s="348" t="s">
        <v>58</v>
      </c>
      <c r="C409" s="348" t="s">
        <v>794</v>
      </c>
      <c r="D409" s="352" t="s">
        <v>110</v>
      </c>
      <c r="E409" s="336">
        <v>43589</v>
      </c>
      <c r="F409" s="336">
        <v>43588</v>
      </c>
      <c r="G409" s="350">
        <v>43638</v>
      </c>
      <c r="H409" s="334" t="s">
        <v>1179</v>
      </c>
      <c r="I409" s="356">
        <v>13761169108</v>
      </c>
      <c r="J409" s="361" t="s">
        <v>1295</v>
      </c>
      <c r="K409" s="356">
        <v>1000</v>
      </c>
      <c r="L409" s="362"/>
      <c r="M409" s="362"/>
      <c r="N409" s="362">
        <f t="shared" si="12"/>
        <v>0</v>
      </c>
      <c r="O409" s="356"/>
      <c r="P409" s="356"/>
      <c r="Q409" s="356"/>
      <c r="R409" s="356"/>
      <c r="S409" s="356"/>
      <c r="T409" s="356"/>
      <c r="U409" s="372"/>
      <c r="V409" s="372"/>
      <c r="W409" s="372"/>
      <c r="X409" s="373"/>
      <c r="Y409" s="348"/>
      <c r="Z409" s="348" t="s">
        <v>1296</v>
      </c>
      <c r="AA409" s="348"/>
    </row>
    <row r="410" s="331" customFormat="1" ht="17" customHeight="1" spans="1:27">
      <c r="A410" s="348"/>
      <c r="B410" s="348" t="s">
        <v>160</v>
      </c>
      <c r="C410" s="348" t="s">
        <v>275</v>
      </c>
      <c r="D410" s="349" t="s">
        <v>162</v>
      </c>
      <c r="E410" s="336">
        <v>43584</v>
      </c>
      <c r="F410" s="336">
        <v>43584</v>
      </c>
      <c r="G410" s="350" t="s">
        <v>69</v>
      </c>
      <c r="H410" s="334" t="s">
        <v>1297</v>
      </c>
      <c r="I410" s="356">
        <v>13564517107</v>
      </c>
      <c r="J410" s="361" t="s">
        <v>1298</v>
      </c>
      <c r="K410" s="356">
        <v>1000</v>
      </c>
      <c r="L410" s="362"/>
      <c r="M410" s="362"/>
      <c r="N410" s="362">
        <f t="shared" si="12"/>
        <v>0</v>
      </c>
      <c r="O410" s="356"/>
      <c r="P410" s="356"/>
      <c r="Q410" s="356"/>
      <c r="R410" s="356">
        <v>1</v>
      </c>
      <c r="S410" s="356"/>
      <c r="T410" s="356"/>
      <c r="U410" s="372"/>
      <c r="V410" s="372"/>
      <c r="W410" s="372"/>
      <c r="X410" s="373"/>
      <c r="Y410" s="348"/>
      <c r="Z410" s="348"/>
      <c r="AA410" s="348"/>
    </row>
    <row r="411" s="331" customFormat="1" ht="17" customHeight="1" spans="1:27">
      <c r="A411" s="348"/>
      <c r="B411" s="348" t="s">
        <v>160</v>
      </c>
      <c r="C411" s="348" t="s">
        <v>161</v>
      </c>
      <c r="D411" s="349" t="s">
        <v>162</v>
      </c>
      <c r="E411" s="336">
        <v>43584</v>
      </c>
      <c r="F411" s="336">
        <v>43584</v>
      </c>
      <c r="G411" s="350"/>
      <c r="H411" s="334" t="s">
        <v>1299</v>
      </c>
      <c r="I411" s="356">
        <v>18017578200</v>
      </c>
      <c r="J411" s="361" t="s">
        <v>1300</v>
      </c>
      <c r="K411" s="356">
        <v>3198</v>
      </c>
      <c r="L411" s="362"/>
      <c r="M411" s="362"/>
      <c r="N411" s="362">
        <f t="shared" si="12"/>
        <v>0</v>
      </c>
      <c r="O411" s="356">
        <v>1</v>
      </c>
      <c r="P411" s="356"/>
      <c r="Q411" s="356"/>
      <c r="R411" s="356"/>
      <c r="S411" s="356"/>
      <c r="T411" s="356"/>
      <c r="U411" s="372" t="s">
        <v>459</v>
      </c>
      <c r="V411" s="372"/>
      <c r="W411" s="372"/>
      <c r="X411" s="373"/>
      <c r="Y411" s="348"/>
      <c r="Z411" s="348"/>
      <c r="AA411" s="348"/>
    </row>
    <row r="412" s="331" customFormat="1" ht="17" customHeight="1" spans="1:27">
      <c r="A412" s="550" t="s">
        <v>1301</v>
      </c>
      <c r="B412" s="348" t="s">
        <v>236</v>
      </c>
      <c r="C412" s="348" t="s">
        <v>703</v>
      </c>
      <c r="D412" s="352" t="s">
        <v>143</v>
      </c>
      <c r="E412" s="336">
        <v>43584</v>
      </c>
      <c r="F412" s="336">
        <v>43582</v>
      </c>
      <c r="G412" s="350"/>
      <c r="H412" s="334" t="s">
        <v>1302</v>
      </c>
      <c r="I412" s="356">
        <v>15902194709</v>
      </c>
      <c r="J412" s="361" t="s">
        <v>1303</v>
      </c>
      <c r="K412" s="356">
        <v>1000</v>
      </c>
      <c r="L412" s="362"/>
      <c r="M412" s="362"/>
      <c r="N412" s="362">
        <f t="shared" si="12"/>
        <v>0</v>
      </c>
      <c r="O412" s="356"/>
      <c r="P412" s="356"/>
      <c r="Q412" s="356"/>
      <c r="R412" s="356"/>
      <c r="S412" s="356"/>
      <c r="T412" s="356"/>
      <c r="U412" s="356" t="s">
        <v>63</v>
      </c>
      <c r="V412" s="372"/>
      <c r="W412" s="372"/>
      <c r="X412" s="373"/>
      <c r="Y412" s="348" t="s">
        <v>1304</v>
      </c>
      <c r="Z412" s="348"/>
      <c r="AA412" s="348"/>
    </row>
    <row r="413" s="331" customFormat="1" ht="17" customHeight="1" spans="1:27">
      <c r="A413" s="550" t="s">
        <v>1305</v>
      </c>
      <c r="B413" s="348" t="s">
        <v>147</v>
      </c>
      <c r="C413" s="348" t="s">
        <v>599</v>
      </c>
      <c r="D413" s="352" t="s">
        <v>149</v>
      </c>
      <c r="E413" s="336">
        <v>43585</v>
      </c>
      <c r="F413" s="336">
        <v>43585</v>
      </c>
      <c r="G413" s="350"/>
      <c r="H413" s="334" t="s">
        <v>1306</v>
      </c>
      <c r="I413" s="356">
        <v>13818845881</v>
      </c>
      <c r="J413" s="361" t="s">
        <v>1307</v>
      </c>
      <c r="K413" s="356">
        <v>8075</v>
      </c>
      <c r="L413" s="362"/>
      <c r="M413" s="362"/>
      <c r="N413" s="362">
        <f t="shared" si="12"/>
        <v>0</v>
      </c>
      <c r="O413" s="356"/>
      <c r="P413" s="356"/>
      <c r="Q413" s="356"/>
      <c r="R413" s="356"/>
      <c r="S413" s="356"/>
      <c r="T413" s="356"/>
      <c r="U413" s="372"/>
      <c r="V413" s="372"/>
      <c r="W413" s="372"/>
      <c r="X413" s="373"/>
      <c r="Y413" s="348"/>
      <c r="Z413" s="348"/>
      <c r="AA413" s="348"/>
    </row>
    <row r="414" s="331" customFormat="1" ht="17" customHeight="1" spans="1:27">
      <c r="A414" s="550" t="s">
        <v>1308</v>
      </c>
      <c r="B414" s="348" t="s">
        <v>185</v>
      </c>
      <c r="C414" s="348" t="s">
        <v>886</v>
      </c>
      <c r="D414" s="349" t="s">
        <v>187</v>
      </c>
      <c r="E414" s="336">
        <v>43585</v>
      </c>
      <c r="F414" s="336">
        <v>43570</v>
      </c>
      <c r="G414" s="350"/>
      <c r="H414" s="334" t="s">
        <v>1309</v>
      </c>
      <c r="I414" s="356">
        <v>15316731835</v>
      </c>
      <c r="J414" s="361" t="s">
        <v>1310</v>
      </c>
      <c r="K414" s="356">
        <v>1998</v>
      </c>
      <c r="L414" s="362"/>
      <c r="M414" s="362"/>
      <c r="N414" s="362">
        <f t="shared" si="12"/>
        <v>0</v>
      </c>
      <c r="O414" s="356"/>
      <c r="P414" s="356"/>
      <c r="Q414" s="356"/>
      <c r="R414" s="356" t="s">
        <v>52</v>
      </c>
      <c r="S414" s="356"/>
      <c r="T414" s="356"/>
      <c r="U414" s="374">
        <v>43586</v>
      </c>
      <c r="V414" s="372"/>
      <c r="W414" s="372"/>
      <c r="X414" s="373"/>
      <c r="Y414" s="348"/>
      <c r="Z414" s="348"/>
      <c r="AA414" s="348"/>
    </row>
    <row r="415" s="331" customFormat="1" ht="17" customHeight="1" spans="1:27">
      <c r="A415" s="550" t="s">
        <v>1311</v>
      </c>
      <c r="B415" s="348" t="s">
        <v>58</v>
      </c>
      <c r="C415" s="348" t="s">
        <v>109</v>
      </c>
      <c r="D415" s="352" t="s">
        <v>110</v>
      </c>
      <c r="E415" s="336">
        <v>43585</v>
      </c>
      <c r="F415" s="336">
        <v>43585</v>
      </c>
      <c r="G415" s="336">
        <v>43677</v>
      </c>
      <c r="H415" s="334" t="s">
        <v>1312</v>
      </c>
      <c r="I415" s="356">
        <v>18918699716</v>
      </c>
      <c r="J415" s="361" t="s">
        <v>1313</v>
      </c>
      <c r="K415" s="356">
        <v>1000</v>
      </c>
      <c r="L415" s="334">
        <v>6347</v>
      </c>
      <c r="M415" s="334">
        <v>6511</v>
      </c>
      <c r="N415" s="362">
        <f t="shared" si="12"/>
        <v>12858</v>
      </c>
      <c r="O415" s="366" t="s">
        <v>52</v>
      </c>
      <c r="P415" s="356"/>
      <c r="Q415" s="356"/>
      <c r="R415" s="356"/>
      <c r="S415" s="356"/>
      <c r="T415" s="356"/>
      <c r="U415" s="372"/>
      <c r="V415" s="372"/>
      <c r="W415" s="372"/>
      <c r="X415" s="373"/>
      <c r="Y415" s="348" t="s">
        <v>1304</v>
      </c>
      <c r="Z415" s="348" t="s">
        <v>1314</v>
      </c>
      <c r="AA415" s="348"/>
    </row>
    <row r="416" s="331" customFormat="1" ht="17" customHeight="1" spans="1:27">
      <c r="A416" s="348"/>
      <c r="B416" s="334" t="s">
        <v>405</v>
      </c>
      <c r="C416" s="334" t="s">
        <v>823</v>
      </c>
      <c r="D416" s="334" t="s">
        <v>407</v>
      </c>
      <c r="E416" s="336">
        <v>43799</v>
      </c>
      <c r="F416" s="336">
        <v>43584</v>
      </c>
      <c r="G416" s="336">
        <v>43798</v>
      </c>
      <c r="H416" s="334" t="s">
        <v>1315</v>
      </c>
      <c r="I416" s="356">
        <v>13472517260</v>
      </c>
      <c r="J416" s="361" t="s">
        <v>1316</v>
      </c>
      <c r="K416" s="356">
        <v>3999</v>
      </c>
      <c r="L416" s="334">
        <v>85500</v>
      </c>
      <c r="M416" s="362"/>
      <c r="N416" s="362">
        <f t="shared" si="12"/>
        <v>85500</v>
      </c>
      <c r="O416" s="356"/>
      <c r="P416" s="356"/>
      <c r="Q416" s="356"/>
      <c r="R416" s="356"/>
      <c r="S416" s="356"/>
      <c r="T416" s="356"/>
      <c r="U416" s="372" t="s">
        <v>136</v>
      </c>
      <c r="V416" s="372"/>
      <c r="W416" s="372"/>
      <c r="X416" s="373"/>
      <c r="Y416" s="348" t="s">
        <v>1317</v>
      </c>
      <c r="Z416" s="348"/>
      <c r="AA416" s="348"/>
    </row>
    <row r="417" s="331" customFormat="1" ht="17" customHeight="1" spans="1:27">
      <c r="A417" s="348"/>
      <c r="B417" s="348" t="s">
        <v>160</v>
      </c>
      <c r="C417" s="348" t="s">
        <v>161</v>
      </c>
      <c r="D417" s="349" t="s">
        <v>162</v>
      </c>
      <c r="E417" s="336">
        <v>43585</v>
      </c>
      <c r="F417" s="336">
        <v>43583</v>
      </c>
      <c r="G417" s="336">
        <v>43673</v>
      </c>
      <c r="H417" s="334" t="s">
        <v>1318</v>
      </c>
      <c r="I417" s="356">
        <v>13817302290</v>
      </c>
      <c r="J417" s="361" t="s">
        <v>1319</v>
      </c>
      <c r="K417" s="356">
        <v>1999</v>
      </c>
      <c r="L417" s="334">
        <v>8449</v>
      </c>
      <c r="M417" s="362"/>
      <c r="N417" s="362">
        <f t="shared" si="12"/>
        <v>8449</v>
      </c>
      <c r="O417" s="356"/>
      <c r="P417" s="356"/>
      <c r="Q417" s="356"/>
      <c r="R417" s="356"/>
      <c r="S417" s="356">
        <v>1</v>
      </c>
      <c r="T417" s="356"/>
      <c r="U417" s="372"/>
      <c r="V417" s="372"/>
      <c r="W417" s="372"/>
      <c r="X417" s="373"/>
      <c r="Y417" s="348"/>
      <c r="Z417" s="348"/>
      <c r="AA417" s="348"/>
    </row>
    <row r="418" s="331" customFormat="1" ht="17" customHeight="1" spans="1:27">
      <c r="A418" s="550" t="s">
        <v>1320</v>
      </c>
      <c r="B418" s="348" t="s">
        <v>66</v>
      </c>
      <c r="C418" s="348" t="s">
        <v>67</v>
      </c>
      <c r="D418" s="349" t="s">
        <v>162</v>
      </c>
      <c r="E418" s="336">
        <v>43585</v>
      </c>
      <c r="F418" s="336">
        <v>43585</v>
      </c>
      <c r="G418" s="350"/>
      <c r="H418" s="334" t="s">
        <v>1321</v>
      </c>
      <c r="I418" s="356">
        <v>18918118333</v>
      </c>
      <c r="J418" s="361" t="s">
        <v>1322</v>
      </c>
      <c r="K418" s="356">
        <v>1000</v>
      </c>
      <c r="L418" s="362"/>
      <c r="M418" s="362"/>
      <c r="N418" s="362">
        <f t="shared" si="12"/>
        <v>0</v>
      </c>
      <c r="O418" s="356" t="s">
        <v>19</v>
      </c>
      <c r="P418" s="356"/>
      <c r="Q418" s="356"/>
      <c r="R418" s="356"/>
      <c r="S418" s="356"/>
      <c r="T418" s="356"/>
      <c r="U418" s="372" t="s">
        <v>1323</v>
      </c>
      <c r="V418" s="372"/>
      <c r="W418" s="372"/>
      <c r="X418" s="373"/>
      <c r="Y418" s="348" t="s">
        <v>1324</v>
      </c>
      <c r="Z418" s="348"/>
      <c r="AA418" s="348"/>
    </row>
    <row r="419" s="331" customFormat="1" ht="17" customHeight="1" spans="1:27">
      <c r="A419" s="550" t="s">
        <v>1325</v>
      </c>
      <c r="B419" s="348" t="s">
        <v>153</v>
      </c>
      <c r="C419" s="348" t="s">
        <v>302</v>
      </c>
      <c r="D419" s="349" t="s">
        <v>155</v>
      </c>
      <c r="E419" s="336">
        <v>43741</v>
      </c>
      <c r="F419" s="336">
        <v>43585</v>
      </c>
      <c r="G419" s="336">
        <v>43740</v>
      </c>
      <c r="H419" s="334" t="s">
        <v>1326</v>
      </c>
      <c r="I419" s="356">
        <v>18616097757</v>
      </c>
      <c r="J419" s="361" t="s">
        <v>1327</v>
      </c>
      <c r="K419" s="356">
        <v>1000</v>
      </c>
      <c r="L419" s="334">
        <v>5038</v>
      </c>
      <c r="M419" s="362"/>
      <c r="N419" s="362">
        <f t="shared" si="12"/>
        <v>5038</v>
      </c>
      <c r="O419" s="356"/>
      <c r="P419" s="356"/>
      <c r="Q419" s="356"/>
      <c r="R419" s="356"/>
      <c r="S419" s="356"/>
      <c r="T419" s="356"/>
      <c r="U419" s="372"/>
      <c r="V419" s="372" t="s">
        <v>1328</v>
      </c>
      <c r="W419" s="372"/>
      <c r="X419" s="373"/>
      <c r="Y419" s="348" t="s">
        <v>1329</v>
      </c>
      <c r="Z419" s="348"/>
      <c r="AA419" s="348"/>
    </row>
    <row r="420" s="331" customFormat="1" ht="17" customHeight="1" spans="1:27">
      <c r="A420" s="550" t="s">
        <v>1330</v>
      </c>
      <c r="B420" s="348" t="s">
        <v>35</v>
      </c>
      <c r="C420" s="348" t="s">
        <v>36</v>
      </c>
      <c r="D420" s="349" t="s">
        <v>162</v>
      </c>
      <c r="E420" s="336">
        <v>43586</v>
      </c>
      <c r="F420" s="336">
        <v>43586</v>
      </c>
      <c r="G420" s="350"/>
      <c r="H420" s="334" t="s">
        <v>1331</v>
      </c>
      <c r="I420" s="356">
        <v>18501673886</v>
      </c>
      <c r="J420" s="361" t="s">
        <v>1332</v>
      </c>
      <c r="K420" s="356">
        <v>1000</v>
      </c>
      <c r="L420" s="362"/>
      <c r="M420" s="362"/>
      <c r="N420" s="362">
        <f t="shared" si="12"/>
        <v>0</v>
      </c>
      <c r="O420" s="356"/>
      <c r="P420" s="356"/>
      <c r="Q420" s="356"/>
      <c r="R420" s="356"/>
      <c r="S420" s="356"/>
      <c r="T420" s="356"/>
      <c r="U420" s="372" t="s">
        <v>40</v>
      </c>
      <c r="V420" s="372"/>
      <c r="W420" s="372"/>
      <c r="X420" s="373"/>
      <c r="Y420" s="348" t="s">
        <v>1333</v>
      </c>
      <c r="Z420" s="348"/>
      <c r="AA420" s="348"/>
    </row>
    <row r="421" s="331" customFormat="1" ht="17" customHeight="1" spans="1:27">
      <c r="A421" s="348"/>
      <c r="B421" s="348" t="s">
        <v>160</v>
      </c>
      <c r="C421" s="348" t="s">
        <v>258</v>
      </c>
      <c r="D421" s="349" t="s">
        <v>162</v>
      </c>
      <c r="E421" s="336">
        <v>43586</v>
      </c>
      <c r="F421" s="336">
        <v>43586</v>
      </c>
      <c r="G421" s="350"/>
      <c r="H421" s="334" t="s">
        <v>1334</v>
      </c>
      <c r="I421" s="356">
        <v>15921435667</v>
      </c>
      <c r="J421" s="361" t="s">
        <v>1335</v>
      </c>
      <c r="K421" s="356">
        <v>3000</v>
      </c>
      <c r="L421" s="362"/>
      <c r="M421" s="362"/>
      <c r="N421" s="362">
        <f t="shared" si="12"/>
        <v>0</v>
      </c>
      <c r="O421" s="356"/>
      <c r="P421" s="356"/>
      <c r="Q421" s="356"/>
      <c r="R421" s="356"/>
      <c r="S421" s="356"/>
      <c r="T421" s="356"/>
      <c r="U421" s="372" t="s">
        <v>12</v>
      </c>
      <c r="V421" s="372"/>
      <c r="W421" s="372"/>
      <c r="X421" s="373"/>
      <c r="Y421" s="348"/>
      <c r="Z421" s="348"/>
      <c r="AA421" s="348"/>
    </row>
    <row r="422" s="331" customFormat="1" ht="17" customHeight="1" spans="1:27">
      <c r="A422" s="348">
        <v>2025517</v>
      </c>
      <c r="B422" s="348" t="s">
        <v>335</v>
      </c>
      <c r="C422" s="348" t="s">
        <v>615</v>
      </c>
      <c r="D422" s="349" t="s">
        <v>162</v>
      </c>
      <c r="E422" s="336">
        <v>43586</v>
      </c>
      <c r="F422" s="336">
        <v>43586</v>
      </c>
      <c r="G422" s="356" t="s">
        <v>469</v>
      </c>
      <c r="H422" s="334" t="s">
        <v>1336</v>
      </c>
      <c r="I422" s="356">
        <v>18901893890</v>
      </c>
      <c r="J422" s="361" t="s">
        <v>1337</v>
      </c>
      <c r="K422" s="356">
        <v>3000</v>
      </c>
      <c r="L422" s="362"/>
      <c r="M422" s="362"/>
      <c r="N422" s="362">
        <f t="shared" ref="N422:N438" si="13">L422+M422</f>
        <v>0</v>
      </c>
      <c r="O422" s="356"/>
      <c r="P422" s="356"/>
      <c r="Q422" s="356"/>
      <c r="R422" s="356" t="s">
        <v>22</v>
      </c>
      <c r="S422" s="356"/>
      <c r="T422" s="356"/>
      <c r="U422" s="372"/>
      <c r="V422" s="372"/>
      <c r="W422" s="372"/>
      <c r="X422" s="373"/>
      <c r="Y422" s="348" t="s">
        <v>1338</v>
      </c>
      <c r="Z422" s="348"/>
      <c r="AA422" s="348"/>
    </row>
    <row r="423" s="331" customFormat="1" ht="17" customHeight="1" spans="1:27">
      <c r="A423" s="550" t="s">
        <v>1339</v>
      </c>
      <c r="B423" s="348" t="s">
        <v>185</v>
      </c>
      <c r="C423" s="348" t="s">
        <v>1204</v>
      </c>
      <c r="D423" s="349" t="s">
        <v>44</v>
      </c>
      <c r="E423" s="336">
        <v>43586</v>
      </c>
      <c r="F423" s="336">
        <v>43586</v>
      </c>
      <c r="G423" s="336">
        <v>43653</v>
      </c>
      <c r="H423" s="334" t="s">
        <v>1340</v>
      </c>
      <c r="I423" s="334">
        <v>15021215890</v>
      </c>
      <c r="J423" s="361" t="s">
        <v>1341</v>
      </c>
      <c r="K423" s="356">
        <v>3000</v>
      </c>
      <c r="L423" s="334">
        <v>25000</v>
      </c>
      <c r="M423" s="334"/>
      <c r="N423" s="362">
        <f t="shared" si="13"/>
        <v>25000</v>
      </c>
      <c r="O423" s="356"/>
      <c r="P423" s="356"/>
      <c r="Q423" s="356"/>
      <c r="R423" s="356"/>
      <c r="S423" s="356"/>
      <c r="T423" s="356"/>
      <c r="U423" s="372"/>
      <c r="V423" s="372"/>
      <c r="W423" s="372"/>
      <c r="X423" s="373"/>
      <c r="Y423" s="348"/>
      <c r="Z423" s="348"/>
      <c r="AA423" s="348"/>
    </row>
    <row r="424" s="331" customFormat="1" ht="17" customHeight="1" spans="1:27">
      <c r="A424" s="348">
        <v>2068872</v>
      </c>
      <c r="B424" s="348" t="s">
        <v>66</v>
      </c>
      <c r="C424" s="348" t="s">
        <v>67</v>
      </c>
      <c r="D424" s="334" t="s">
        <v>68</v>
      </c>
      <c r="E424" s="336">
        <v>43723</v>
      </c>
      <c r="F424" s="336">
        <v>43586</v>
      </c>
      <c r="G424" s="336">
        <v>43722</v>
      </c>
      <c r="H424" s="334" t="s">
        <v>1342</v>
      </c>
      <c r="I424" s="356">
        <v>18621696766</v>
      </c>
      <c r="J424" s="361" t="s">
        <v>1343</v>
      </c>
      <c r="K424" s="356">
        <v>3000</v>
      </c>
      <c r="L424" s="334">
        <v>18050</v>
      </c>
      <c r="M424" s="362"/>
      <c r="N424" s="362">
        <f t="shared" si="13"/>
        <v>18050</v>
      </c>
      <c r="O424" s="356"/>
      <c r="P424" s="356"/>
      <c r="Q424" s="356"/>
      <c r="R424" s="356"/>
      <c r="S424" s="356"/>
      <c r="T424" s="356" t="s">
        <v>52</v>
      </c>
      <c r="U424" s="372"/>
      <c r="V424" s="372"/>
      <c r="W424" s="372"/>
      <c r="X424" s="373">
        <v>1</v>
      </c>
      <c r="Y424" s="348" t="s">
        <v>1338</v>
      </c>
      <c r="Z424" s="348"/>
      <c r="AA424" s="348"/>
    </row>
    <row r="425" s="331" customFormat="1" ht="17" customHeight="1" spans="1:27">
      <c r="A425" s="348"/>
      <c r="B425" s="348" t="s">
        <v>31</v>
      </c>
      <c r="C425" s="348" t="s">
        <v>419</v>
      </c>
      <c r="D425" s="349" t="s">
        <v>33</v>
      </c>
      <c r="E425" s="336">
        <v>43586</v>
      </c>
      <c r="F425" s="336">
        <v>43586</v>
      </c>
      <c r="G425" s="336">
        <v>43662</v>
      </c>
      <c r="H425" s="334" t="s">
        <v>1344</v>
      </c>
      <c r="I425" s="356">
        <v>13701932349</v>
      </c>
      <c r="J425" s="361" t="s">
        <v>1345</v>
      </c>
      <c r="K425" s="356">
        <v>3000</v>
      </c>
      <c r="L425" s="334">
        <v>15500</v>
      </c>
      <c r="M425" s="334"/>
      <c r="N425" s="362">
        <f t="shared" si="13"/>
        <v>15500</v>
      </c>
      <c r="O425" s="356"/>
      <c r="P425" s="356"/>
      <c r="Q425" s="356"/>
      <c r="R425" s="356"/>
      <c r="S425" s="356"/>
      <c r="T425" s="356"/>
      <c r="U425" s="372"/>
      <c r="V425" s="372"/>
      <c r="W425" s="372"/>
      <c r="X425" s="373"/>
      <c r="Y425" s="348"/>
      <c r="Z425" s="348"/>
      <c r="AA425" s="348"/>
    </row>
    <row r="426" s="331" customFormat="1" ht="17" customHeight="1" spans="1:27">
      <c r="A426" s="348">
        <v>2066494</v>
      </c>
      <c r="B426" s="348" t="s">
        <v>243</v>
      </c>
      <c r="C426" s="348" t="s">
        <v>244</v>
      </c>
      <c r="D426" s="349" t="s">
        <v>162</v>
      </c>
      <c r="E426" s="336">
        <v>43587</v>
      </c>
      <c r="F426" s="336">
        <v>43586</v>
      </c>
      <c r="G426" s="350"/>
      <c r="H426" s="334" t="s">
        <v>1346</v>
      </c>
      <c r="I426" s="356">
        <v>18964778258</v>
      </c>
      <c r="J426" s="361" t="s">
        <v>1347</v>
      </c>
      <c r="K426" s="356">
        <v>3000</v>
      </c>
      <c r="L426" s="362"/>
      <c r="M426" s="362"/>
      <c r="N426" s="362">
        <f t="shared" si="13"/>
        <v>0</v>
      </c>
      <c r="O426" s="356"/>
      <c r="P426" s="356"/>
      <c r="Q426" s="356"/>
      <c r="R426" s="356"/>
      <c r="S426" s="356"/>
      <c r="T426" s="356"/>
      <c r="U426" s="372" t="s">
        <v>1348</v>
      </c>
      <c r="V426" s="372"/>
      <c r="W426" s="372"/>
      <c r="X426" s="373"/>
      <c r="Y426" s="348"/>
      <c r="Z426" s="348"/>
      <c r="AA426" s="348"/>
    </row>
    <row r="427" s="331" customFormat="1" ht="17" customHeight="1" spans="1:27">
      <c r="A427" s="348">
        <v>2025682</v>
      </c>
      <c r="B427" s="348" t="s">
        <v>281</v>
      </c>
      <c r="C427" s="348" t="s">
        <v>587</v>
      </c>
      <c r="D427" s="349" t="s">
        <v>518</v>
      </c>
      <c r="E427" s="336">
        <v>43586</v>
      </c>
      <c r="F427" s="336">
        <v>43586</v>
      </c>
      <c r="G427" s="336">
        <v>43658</v>
      </c>
      <c r="H427" s="334" t="s">
        <v>1349</v>
      </c>
      <c r="I427" s="356">
        <v>18117000502</v>
      </c>
      <c r="J427" s="361" t="s">
        <v>1350</v>
      </c>
      <c r="K427" s="356">
        <v>3000</v>
      </c>
      <c r="L427" s="334">
        <v>10393</v>
      </c>
      <c r="M427" s="334">
        <v>2480</v>
      </c>
      <c r="N427" s="362">
        <f t="shared" si="13"/>
        <v>12873</v>
      </c>
      <c r="O427" s="356"/>
      <c r="P427" s="356"/>
      <c r="Q427" s="356"/>
      <c r="R427" s="356"/>
      <c r="S427" s="356"/>
      <c r="T427" s="356"/>
      <c r="U427" s="372"/>
      <c r="V427" s="372"/>
      <c r="W427" s="372"/>
      <c r="X427" s="373"/>
      <c r="Y427" s="348" t="s">
        <v>1338</v>
      </c>
      <c r="Z427" s="348"/>
      <c r="AA427" s="348"/>
    </row>
    <row r="428" s="331" customFormat="1" ht="17" customHeight="1" spans="1:27">
      <c r="A428" s="348">
        <v>2023580</v>
      </c>
      <c r="B428" s="348" t="s">
        <v>73</v>
      </c>
      <c r="C428" s="348" t="s">
        <v>1130</v>
      </c>
      <c r="D428" s="349" t="s">
        <v>162</v>
      </c>
      <c r="E428" s="336">
        <v>43587</v>
      </c>
      <c r="F428" s="336">
        <v>43586</v>
      </c>
      <c r="G428" s="336">
        <v>43649</v>
      </c>
      <c r="H428" s="334" t="s">
        <v>1351</v>
      </c>
      <c r="I428" s="356">
        <v>13611819619</v>
      </c>
      <c r="J428" s="361" t="s">
        <v>1352</v>
      </c>
      <c r="K428" s="356">
        <v>1000</v>
      </c>
      <c r="L428" s="334">
        <v>23866</v>
      </c>
      <c r="M428" s="334"/>
      <c r="N428" s="362">
        <f t="shared" si="13"/>
        <v>23866</v>
      </c>
      <c r="O428" s="356"/>
      <c r="P428" s="356"/>
      <c r="Q428" s="356"/>
      <c r="R428" s="356"/>
      <c r="S428" s="356"/>
      <c r="T428" s="356"/>
      <c r="U428" s="372"/>
      <c r="V428" s="372"/>
      <c r="W428" s="372"/>
      <c r="X428" s="373"/>
      <c r="Y428" s="348" t="s">
        <v>1353</v>
      </c>
      <c r="Z428" s="348"/>
      <c r="AA428" s="348" t="s">
        <v>79</v>
      </c>
    </row>
    <row r="429" s="331" customFormat="1" ht="17" customHeight="1" spans="1:27">
      <c r="A429" s="348"/>
      <c r="B429" s="348" t="s">
        <v>31</v>
      </c>
      <c r="C429" s="348" t="s">
        <v>115</v>
      </c>
      <c r="D429" s="349" t="s">
        <v>221</v>
      </c>
      <c r="E429" s="336">
        <v>43685</v>
      </c>
      <c r="F429" s="336">
        <v>43586</v>
      </c>
      <c r="G429" s="336">
        <v>43685</v>
      </c>
      <c r="H429" s="334" t="s">
        <v>1354</v>
      </c>
      <c r="I429" s="356">
        <v>18001934606</v>
      </c>
      <c r="J429" s="361" t="s">
        <v>1355</v>
      </c>
      <c r="K429" s="356">
        <v>5000</v>
      </c>
      <c r="L429" s="334">
        <v>13443</v>
      </c>
      <c r="M429" s="362"/>
      <c r="N429" s="362">
        <f t="shared" si="13"/>
        <v>13443</v>
      </c>
      <c r="O429" s="356"/>
      <c r="P429" s="356"/>
      <c r="Q429" s="356"/>
      <c r="R429" s="356"/>
      <c r="S429" s="356"/>
      <c r="T429" s="356"/>
      <c r="U429" s="372"/>
      <c r="V429" s="372"/>
      <c r="W429" s="372"/>
      <c r="X429" s="373"/>
      <c r="Y429" s="348" t="s">
        <v>1223</v>
      </c>
      <c r="Z429" s="348"/>
      <c r="AA429" s="348"/>
    </row>
    <row r="430" s="331" customFormat="1" ht="17" customHeight="1" spans="1:27">
      <c r="A430" s="348">
        <v>2066853</v>
      </c>
      <c r="B430" s="348" t="s">
        <v>726</v>
      </c>
      <c r="C430" s="348" t="s">
        <v>727</v>
      </c>
      <c r="D430" s="349" t="s">
        <v>356</v>
      </c>
      <c r="E430" s="336">
        <v>43619</v>
      </c>
      <c r="F430" s="336">
        <v>43618</v>
      </c>
      <c r="G430" s="336">
        <v>43656</v>
      </c>
      <c r="H430" s="334" t="s">
        <v>1356</v>
      </c>
      <c r="I430" s="356">
        <v>13761531059</v>
      </c>
      <c r="J430" s="361" t="s">
        <v>1357</v>
      </c>
      <c r="K430" s="356">
        <f>10000+1000</f>
        <v>11000</v>
      </c>
      <c r="L430" s="334">
        <v>23267</v>
      </c>
      <c r="M430" s="334">
        <v>7798</v>
      </c>
      <c r="N430" s="362">
        <f t="shared" si="13"/>
        <v>31065</v>
      </c>
      <c r="O430" s="356"/>
      <c r="P430" s="356"/>
      <c r="Q430" s="356"/>
      <c r="R430" s="356"/>
      <c r="S430" s="356"/>
      <c r="T430" s="356"/>
      <c r="U430" s="372"/>
      <c r="V430" s="372"/>
      <c r="W430" s="372"/>
      <c r="X430" s="373"/>
      <c r="Y430" s="348"/>
      <c r="Z430" s="348"/>
      <c r="AA430" s="348"/>
    </row>
    <row r="431" s="331" customFormat="1" ht="17" customHeight="1" spans="1:27">
      <c r="A431" s="348">
        <v>2027525</v>
      </c>
      <c r="B431" s="348" t="s">
        <v>73</v>
      </c>
      <c r="C431" s="348" t="s">
        <v>74</v>
      </c>
      <c r="D431" s="352" t="s">
        <v>75</v>
      </c>
      <c r="E431" s="336">
        <v>43582</v>
      </c>
      <c r="F431" s="336">
        <v>43582</v>
      </c>
      <c r="G431" s="350"/>
      <c r="H431" s="334" t="s">
        <v>1358</v>
      </c>
      <c r="I431" s="356">
        <v>13792806656</v>
      </c>
      <c r="J431" s="361" t="s">
        <v>1359</v>
      </c>
      <c r="K431" s="356">
        <v>1000</v>
      </c>
      <c r="L431" s="362"/>
      <c r="M431" s="362"/>
      <c r="N431" s="362">
        <f t="shared" si="13"/>
        <v>0</v>
      </c>
      <c r="O431" s="356"/>
      <c r="P431" s="356"/>
      <c r="Q431" s="366" t="s">
        <v>52</v>
      </c>
      <c r="R431" s="356"/>
      <c r="S431" s="356"/>
      <c r="T431" s="356"/>
      <c r="U431" s="372" t="s">
        <v>78</v>
      </c>
      <c r="V431" s="372"/>
      <c r="W431" s="372"/>
      <c r="X431" s="373"/>
      <c r="Y431" s="348"/>
      <c r="Z431" s="348" t="s">
        <v>79</v>
      </c>
      <c r="AA431" s="348"/>
    </row>
    <row r="432" s="331" customFormat="1" ht="17" customHeight="1" spans="1:27">
      <c r="A432" s="348">
        <v>2025519</v>
      </c>
      <c r="B432" s="348" t="s">
        <v>335</v>
      </c>
      <c r="C432" s="348" t="s">
        <v>1360</v>
      </c>
      <c r="D432" s="349" t="s">
        <v>635</v>
      </c>
      <c r="E432" s="336">
        <v>43587</v>
      </c>
      <c r="F432" s="336">
        <v>43586</v>
      </c>
      <c r="G432" s="336">
        <v>43664</v>
      </c>
      <c r="H432" s="334" t="s">
        <v>1361</v>
      </c>
      <c r="I432" s="356">
        <v>15300832865</v>
      </c>
      <c r="J432" s="361" t="s">
        <v>1362</v>
      </c>
      <c r="K432" s="356">
        <v>3000</v>
      </c>
      <c r="L432" s="334">
        <v>17998</v>
      </c>
      <c r="M432" s="362"/>
      <c r="N432" s="362">
        <f t="shared" si="13"/>
        <v>17998</v>
      </c>
      <c r="O432" s="356"/>
      <c r="P432" s="356"/>
      <c r="Q432" s="356"/>
      <c r="R432" s="356"/>
      <c r="S432" s="356"/>
      <c r="T432" s="356"/>
      <c r="U432" s="372"/>
      <c r="V432" s="372"/>
      <c r="W432" s="372"/>
      <c r="X432" s="373"/>
      <c r="Y432" s="348" t="s">
        <v>1223</v>
      </c>
      <c r="Z432" s="348"/>
      <c r="AA432" s="348"/>
    </row>
    <row r="433" s="331" customFormat="1" ht="17" customHeight="1" spans="1:27">
      <c r="A433" s="550" t="s">
        <v>1363</v>
      </c>
      <c r="B433" s="348" t="s">
        <v>160</v>
      </c>
      <c r="C433" s="348" t="s">
        <v>275</v>
      </c>
      <c r="D433" s="349" t="s">
        <v>162</v>
      </c>
      <c r="E433" s="336">
        <v>43587</v>
      </c>
      <c r="F433" s="336">
        <v>43586</v>
      </c>
      <c r="G433" s="350" t="s">
        <v>69</v>
      </c>
      <c r="H433" s="334" t="s">
        <v>1364</v>
      </c>
      <c r="I433" s="356">
        <v>18616652379</v>
      </c>
      <c r="J433" s="361" t="s">
        <v>1365</v>
      </c>
      <c r="K433" s="356">
        <v>3000</v>
      </c>
      <c r="L433" s="362"/>
      <c r="M433" s="362"/>
      <c r="N433" s="362">
        <f t="shared" si="13"/>
        <v>0</v>
      </c>
      <c r="O433" s="356"/>
      <c r="P433" s="356"/>
      <c r="Q433" s="356"/>
      <c r="R433" s="356">
        <v>1</v>
      </c>
      <c r="S433" s="356"/>
      <c r="T433" s="356"/>
      <c r="U433" s="372"/>
      <c r="V433" s="372"/>
      <c r="W433" s="372"/>
      <c r="X433" s="373"/>
      <c r="Y433" s="348"/>
      <c r="Z433" s="348"/>
      <c r="AA433" s="348"/>
    </row>
    <row r="434" s="331" customFormat="1" ht="17" customHeight="1" spans="1:27">
      <c r="A434" s="550" t="s">
        <v>1366</v>
      </c>
      <c r="B434" s="348" t="s">
        <v>35</v>
      </c>
      <c r="C434" s="348" t="s">
        <v>328</v>
      </c>
      <c r="D434" s="349" t="s">
        <v>162</v>
      </c>
      <c r="E434" s="336">
        <v>43587</v>
      </c>
      <c r="F434" s="336">
        <v>43586</v>
      </c>
      <c r="G434" s="350"/>
      <c r="H434" s="334" t="s">
        <v>1367</v>
      </c>
      <c r="I434" s="356">
        <v>15921885695</v>
      </c>
      <c r="J434" s="361" t="s">
        <v>1368</v>
      </c>
      <c r="K434" s="356">
        <v>1000</v>
      </c>
      <c r="L434" s="362"/>
      <c r="M434" s="362"/>
      <c r="N434" s="362">
        <f t="shared" si="13"/>
        <v>0</v>
      </c>
      <c r="O434" s="356"/>
      <c r="P434" s="356"/>
      <c r="Q434" s="356"/>
      <c r="R434" s="356"/>
      <c r="S434" s="356"/>
      <c r="T434" s="356"/>
      <c r="U434" s="372" t="s">
        <v>40</v>
      </c>
      <c r="V434" s="372"/>
      <c r="W434" s="372"/>
      <c r="X434" s="373"/>
      <c r="Y434" s="348" t="s">
        <v>1223</v>
      </c>
      <c r="Z434" s="348"/>
      <c r="AA434" s="348"/>
    </row>
    <row r="435" s="331" customFormat="1" ht="17" customHeight="1" spans="1:27">
      <c r="A435" s="348"/>
      <c r="B435" s="348" t="s">
        <v>281</v>
      </c>
      <c r="C435" s="348" t="s">
        <v>517</v>
      </c>
      <c r="D435" s="349" t="s">
        <v>518</v>
      </c>
      <c r="E435" s="336">
        <v>43635</v>
      </c>
      <c r="F435" s="336">
        <v>43631</v>
      </c>
      <c r="G435" s="336">
        <v>43658</v>
      </c>
      <c r="H435" s="334" t="s">
        <v>1369</v>
      </c>
      <c r="I435" s="356">
        <v>13761699295</v>
      </c>
      <c r="J435" s="361" t="s">
        <v>1370</v>
      </c>
      <c r="K435" s="356">
        <v>1000</v>
      </c>
      <c r="L435" s="334">
        <v>20502</v>
      </c>
      <c r="M435" s="334">
        <v>958</v>
      </c>
      <c r="N435" s="362">
        <f t="shared" si="13"/>
        <v>21460</v>
      </c>
      <c r="O435" s="356"/>
      <c r="P435" s="356"/>
      <c r="Q435" s="356"/>
      <c r="R435" s="356"/>
      <c r="S435" s="356"/>
      <c r="T435" s="356"/>
      <c r="U435" s="372"/>
      <c r="V435" s="372"/>
      <c r="W435" s="372"/>
      <c r="X435" s="373"/>
      <c r="Y435" s="348" t="s">
        <v>501</v>
      </c>
      <c r="Z435" s="348"/>
      <c r="AA435" s="348"/>
    </row>
    <row r="436" s="331" customFormat="1" ht="17" customHeight="1" spans="1:27">
      <c r="A436" s="348">
        <v>2022734</v>
      </c>
      <c r="B436" s="348" t="s">
        <v>354</v>
      </c>
      <c r="C436" s="348" t="s">
        <v>355</v>
      </c>
      <c r="D436" s="349" t="s">
        <v>149</v>
      </c>
      <c r="E436" s="336">
        <v>43587</v>
      </c>
      <c r="F436" s="336">
        <v>43586</v>
      </c>
      <c r="G436" s="350"/>
      <c r="H436" s="334" t="s">
        <v>1371</v>
      </c>
      <c r="I436" s="356">
        <v>13818287060</v>
      </c>
      <c r="J436" s="361" t="s">
        <v>1372</v>
      </c>
      <c r="K436" s="356">
        <v>3000</v>
      </c>
      <c r="L436" s="362"/>
      <c r="M436" s="362"/>
      <c r="N436" s="362">
        <f t="shared" si="13"/>
        <v>0</v>
      </c>
      <c r="O436" s="356"/>
      <c r="P436" s="356"/>
      <c r="Q436" s="356"/>
      <c r="R436" s="356"/>
      <c r="S436" s="356"/>
      <c r="T436" s="356"/>
      <c r="U436" s="372"/>
      <c r="V436" s="372"/>
      <c r="W436" s="372"/>
      <c r="X436" s="373"/>
      <c r="Y436" s="348" t="s">
        <v>1223</v>
      </c>
      <c r="Z436" s="348"/>
      <c r="AA436" s="348"/>
    </row>
    <row r="437" s="331" customFormat="1" ht="17" customHeight="1" spans="1:27">
      <c r="A437" s="348"/>
      <c r="B437" s="348" t="s">
        <v>31</v>
      </c>
      <c r="C437" s="348" t="s">
        <v>220</v>
      </c>
      <c r="D437" s="349" t="s">
        <v>221</v>
      </c>
      <c r="E437" s="336">
        <v>43703</v>
      </c>
      <c r="F437" s="336">
        <v>43586</v>
      </c>
      <c r="G437" s="336">
        <v>43702</v>
      </c>
      <c r="H437" s="334" t="s">
        <v>1373</v>
      </c>
      <c r="I437" s="356">
        <v>13564967210</v>
      </c>
      <c r="J437" s="361" t="s">
        <v>1374</v>
      </c>
      <c r="K437" s="356">
        <v>3000</v>
      </c>
      <c r="L437" s="334">
        <v>31200</v>
      </c>
      <c r="M437" s="362"/>
      <c r="N437" s="362">
        <f t="shared" si="13"/>
        <v>31200</v>
      </c>
      <c r="O437" s="356"/>
      <c r="P437" s="356"/>
      <c r="Q437" s="366" t="s">
        <v>52</v>
      </c>
      <c r="R437" s="356"/>
      <c r="S437" s="356"/>
      <c r="T437" s="356"/>
      <c r="U437" s="372"/>
      <c r="V437" s="372"/>
      <c r="W437" s="372"/>
      <c r="X437" s="373"/>
      <c r="Y437" s="348" t="s">
        <v>1223</v>
      </c>
      <c r="Z437" s="348"/>
      <c r="AA437" s="348"/>
    </row>
    <row r="438" s="331" customFormat="1" ht="17" customHeight="1" spans="1:27">
      <c r="A438" s="348">
        <v>2027545</v>
      </c>
      <c r="B438" s="348" t="s">
        <v>73</v>
      </c>
      <c r="C438" s="348" t="s">
        <v>74</v>
      </c>
      <c r="D438" s="352" t="s">
        <v>75</v>
      </c>
      <c r="E438" s="336">
        <v>43587</v>
      </c>
      <c r="F438" s="336">
        <v>43587</v>
      </c>
      <c r="G438" s="350"/>
      <c r="H438" s="334" t="s">
        <v>1226</v>
      </c>
      <c r="I438" s="356">
        <v>13681790602</v>
      </c>
      <c r="J438" s="361" t="s">
        <v>1227</v>
      </c>
      <c r="K438" s="356">
        <v>1000</v>
      </c>
      <c r="L438" s="362"/>
      <c r="M438" s="362"/>
      <c r="N438" s="362">
        <f t="shared" si="13"/>
        <v>0</v>
      </c>
      <c r="O438" s="356"/>
      <c r="P438" s="366"/>
      <c r="Q438" s="366" t="s">
        <v>52</v>
      </c>
      <c r="R438" s="356"/>
      <c r="S438" s="356"/>
      <c r="T438" s="356"/>
      <c r="U438" s="372" t="s">
        <v>78</v>
      </c>
      <c r="V438" s="372"/>
      <c r="W438" s="372"/>
      <c r="X438" s="373"/>
      <c r="Y438" s="348" t="s">
        <v>1375</v>
      </c>
      <c r="Z438" s="348" t="s">
        <v>79</v>
      </c>
      <c r="AA438" s="348"/>
    </row>
    <row r="439" s="331" customFormat="1" ht="17" customHeight="1" spans="1:27">
      <c r="A439" s="348">
        <v>2023577</v>
      </c>
      <c r="B439" s="348" t="s">
        <v>73</v>
      </c>
      <c r="C439" s="348" t="s">
        <v>178</v>
      </c>
      <c r="D439" s="349" t="s">
        <v>132</v>
      </c>
      <c r="E439" s="336">
        <v>43587</v>
      </c>
      <c r="F439" s="336">
        <v>43586</v>
      </c>
      <c r="G439" s="336">
        <v>43674</v>
      </c>
      <c r="H439" s="334" t="s">
        <v>1376</v>
      </c>
      <c r="I439" s="356">
        <v>13764180077</v>
      </c>
      <c r="J439" s="361" t="s">
        <v>1377</v>
      </c>
      <c r="K439" s="356">
        <v>1000</v>
      </c>
      <c r="L439" s="334">
        <v>6821</v>
      </c>
      <c r="M439" s="362"/>
      <c r="N439" s="362">
        <f t="shared" ref="N439:N483" si="14">L439+M439</f>
        <v>6821</v>
      </c>
      <c r="O439" s="356"/>
      <c r="Q439" s="366" t="s">
        <v>52</v>
      </c>
      <c r="R439" s="356"/>
      <c r="S439" s="356"/>
      <c r="T439" s="356"/>
      <c r="U439" s="372"/>
      <c r="V439" s="372"/>
      <c r="W439" s="372"/>
      <c r="X439" s="373"/>
      <c r="Y439" s="348" t="s">
        <v>1223</v>
      </c>
      <c r="Z439" s="348" t="s">
        <v>73</v>
      </c>
      <c r="AA439" s="348"/>
    </row>
    <row r="440" s="331" customFormat="1" ht="17" customHeight="1" spans="1:27">
      <c r="A440" s="348">
        <v>1900408</v>
      </c>
      <c r="B440" s="348" t="s">
        <v>73</v>
      </c>
      <c r="C440" s="348" t="s">
        <v>74</v>
      </c>
      <c r="D440" s="349" t="s">
        <v>717</v>
      </c>
      <c r="E440" s="336">
        <v>43587</v>
      </c>
      <c r="F440" s="336">
        <v>43586</v>
      </c>
      <c r="G440" s="336">
        <v>43668</v>
      </c>
      <c r="H440" s="334" t="s">
        <v>1378</v>
      </c>
      <c r="I440" s="356">
        <v>13501993368</v>
      </c>
      <c r="J440" s="361" t="s">
        <v>1379</v>
      </c>
      <c r="K440" s="356">
        <v>1000</v>
      </c>
      <c r="L440" s="334">
        <v>18836</v>
      </c>
      <c r="M440" s="334">
        <v>2020</v>
      </c>
      <c r="N440" s="362">
        <f t="shared" si="14"/>
        <v>20856</v>
      </c>
      <c r="O440" s="356"/>
      <c r="Q440" s="366" t="s">
        <v>52</v>
      </c>
      <c r="R440" s="356"/>
      <c r="S440" s="356"/>
      <c r="T440" s="356"/>
      <c r="U440" s="372"/>
      <c r="V440" s="372"/>
      <c r="W440" s="372"/>
      <c r="X440" s="373"/>
      <c r="Y440" s="348"/>
      <c r="Z440" s="348" t="s">
        <v>73</v>
      </c>
      <c r="AA440" s="348"/>
    </row>
    <row r="441" s="331" customFormat="1" ht="17" customHeight="1" spans="1:27">
      <c r="A441" s="550" t="s">
        <v>1380</v>
      </c>
      <c r="B441" s="348" t="s">
        <v>160</v>
      </c>
      <c r="C441" s="348" t="s">
        <v>161</v>
      </c>
      <c r="D441" s="349" t="s">
        <v>162</v>
      </c>
      <c r="E441" s="336">
        <v>43587</v>
      </c>
      <c r="F441" s="336">
        <v>43586</v>
      </c>
      <c r="G441" s="350"/>
      <c r="H441" s="334" t="s">
        <v>1381</v>
      </c>
      <c r="I441" s="356"/>
      <c r="J441" s="361" t="s">
        <v>1382</v>
      </c>
      <c r="K441" s="356">
        <v>2734</v>
      </c>
      <c r="L441" s="362"/>
      <c r="M441" s="362"/>
      <c r="N441" s="362">
        <f t="shared" si="14"/>
        <v>0</v>
      </c>
      <c r="O441" s="356"/>
      <c r="Q441" s="356"/>
      <c r="R441" s="356"/>
      <c r="S441" s="356"/>
      <c r="T441" s="356"/>
      <c r="U441" s="372" t="s">
        <v>833</v>
      </c>
      <c r="V441" s="372"/>
      <c r="W441" s="372"/>
      <c r="X441" s="373"/>
      <c r="Y441" s="348"/>
      <c r="Z441" s="348"/>
      <c r="AA441" s="348"/>
    </row>
    <row r="442" s="331" customFormat="1" ht="17" customHeight="1" spans="1:27">
      <c r="A442" s="550" t="s">
        <v>1383</v>
      </c>
      <c r="B442" s="348" t="s">
        <v>58</v>
      </c>
      <c r="C442" s="348" t="s">
        <v>59</v>
      </c>
      <c r="D442" s="349" t="s">
        <v>162</v>
      </c>
      <c r="E442" s="336">
        <v>43587</v>
      </c>
      <c r="F442" s="336">
        <v>43586</v>
      </c>
      <c r="G442" s="350"/>
      <c r="H442" s="334" t="s">
        <v>1384</v>
      </c>
      <c r="I442" s="356" t="s">
        <v>1385</v>
      </c>
      <c r="J442" s="361" t="s">
        <v>1386</v>
      </c>
      <c r="K442" s="356">
        <v>5000</v>
      </c>
      <c r="L442" s="362"/>
      <c r="M442" s="362"/>
      <c r="N442" s="362">
        <f t="shared" si="14"/>
        <v>0</v>
      </c>
      <c r="O442" s="366" t="s">
        <v>52</v>
      </c>
      <c r="Q442" s="356"/>
      <c r="R442" s="356"/>
      <c r="S442" s="356"/>
      <c r="T442" s="356"/>
      <c r="U442" s="336" t="s">
        <v>40</v>
      </c>
      <c r="V442" s="372"/>
      <c r="W442" s="372"/>
      <c r="X442" s="373"/>
      <c r="Y442" s="348" t="s">
        <v>1223</v>
      </c>
      <c r="Z442" s="348"/>
      <c r="AA442" s="348"/>
    </row>
    <row r="443" s="331" customFormat="1" ht="15" customHeight="1" spans="1:27">
      <c r="A443" s="550" t="s">
        <v>1387</v>
      </c>
      <c r="B443" s="348" t="s">
        <v>58</v>
      </c>
      <c r="C443" s="348" t="s">
        <v>451</v>
      </c>
      <c r="D443" s="352" t="s">
        <v>271</v>
      </c>
      <c r="E443" s="336">
        <v>43587</v>
      </c>
      <c r="F443" s="336">
        <v>43586</v>
      </c>
      <c r="G443" s="350"/>
      <c r="H443" s="334" t="s">
        <v>1388</v>
      </c>
      <c r="I443" s="356" t="s">
        <v>1389</v>
      </c>
      <c r="J443" s="361" t="s">
        <v>1390</v>
      </c>
      <c r="K443" s="356">
        <v>5000</v>
      </c>
      <c r="L443" s="362"/>
      <c r="M443" s="362"/>
      <c r="N443" s="362">
        <f t="shared" si="14"/>
        <v>0</v>
      </c>
      <c r="O443" s="356"/>
      <c r="Q443" s="356"/>
      <c r="R443" s="356"/>
      <c r="S443" s="356"/>
      <c r="T443" s="356"/>
      <c r="U443" s="386">
        <v>43683</v>
      </c>
      <c r="V443" s="372"/>
      <c r="W443" s="372"/>
      <c r="X443" s="373"/>
      <c r="Y443" s="348" t="s">
        <v>1223</v>
      </c>
      <c r="Z443" s="348"/>
      <c r="AA443" s="348"/>
    </row>
    <row r="444" s="331" customFormat="1" ht="15" customHeight="1" spans="1:27">
      <c r="A444" s="550" t="s">
        <v>1391</v>
      </c>
      <c r="B444" s="348" t="s">
        <v>58</v>
      </c>
      <c r="C444" s="348" t="s">
        <v>451</v>
      </c>
      <c r="D444" s="352" t="s">
        <v>271</v>
      </c>
      <c r="E444" s="336">
        <v>43587</v>
      </c>
      <c r="F444" s="336">
        <v>43586</v>
      </c>
      <c r="G444" s="355">
        <v>43739</v>
      </c>
      <c r="H444" s="334" t="s">
        <v>1392</v>
      </c>
      <c r="I444" s="356">
        <v>17765137497</v>
      </c>
      <c r="J444" s="361" t="s">
        <v>1393</v>
      </c>
      <c r="K444" s="356">
        <v>5000</v>
      </c>
      <c r="L444" s="362"/>
      <c r="M444" s="362"/>
      <c r="N444" s="362">
        <f t="shared" si="14"/>
        <v>0</v>
      </c>
      <c r="O444" s="356"/>
      <c r="Q444" s="356"/>
      <c r="R444" s="356"/>
      <c r="S444" s="356"/>
      <c r="T444" s="356"/>
      <c r="U444" s="372"/>
      <c r="V444" s="372"/>
      <c r="W444" s="372"/>
      <c r="X444" s="373"/>
      <c r="Y444" s="348"/>
      <c r="Z444" s="348"/>
      <c r="AA444" s="348"/>
    </row>
    <row r="445" s="331" customFormat="1" ht="15" customHeight="1" spans="1:27">
      <c r="A445" s="550" t="s">
        <v>1092</v>
      </c>
      <c r="B445" s="348" t="s">
        <v>58</v>
      </c>
      <c r="C445" s="348" t="s">
        <v>451</v>
      </c>
      <c r="D445" s="352" t="s">
        <v>271</v>
      </c>
      <c r="E445" s="336">
        <v>43587</v>
      </c>
      <c r="F445" s="336">
        <v>43586</v>
      </c>
      <c r="G445" s="350"/>
      <c r="H445" s="334" t="s">
        <v>1394</v>
      </c>
      <c r="I445" s="356">
        <v>13816800571</v>
      </c>
      <c r="J445" s="361" t="s">
        <v>1395</v>
      </c>
      <c r="K445" s="356">
        <v>10000</v>
      </c>
      <c r="L445" s="362"/>
      <c r="M445" s="362"/>
      <c r="N445" s="362">
        <f t="shared" si="14"/>
        <v>0</v>
      </c>
      <c r="O445" s="356"/>
      <c r="Q445" s="356"/>
      <c r="R445" s="356"/>
      <c r="S445" s="356"/>
      <c r="T445" s="356"/>
      <c r="U445" s="401">
        <v>43617</v>
      </c>
      <c r="V445" s="372"/>
      <c r="W445" s="372"/>
      <c r="X445" s="373"/>
      <c r="Y445" s="348" t="s">
        <v>1223</v>
      </c>
      <c r="Z445" s="348"/>
      <c r="AA445" s="348" t="s">
        <v>1396</v>
      </c>
    </row>
    <row r="446" s="331" customFormat="1" ht="17" customHeight="1" spans="1:27">
      <c r="A446" s="550" t="s">
        <v>1397</v>
      </c>
      <c r="B446" s="348" t="s">
        <v>35</v>
      </c>
      <c r="C446" s="348" t="s">
        <v>392</v>
      </c>
      <c r="D446" s="352" t="s">
        <v>37</v>
      </c>
      <c r="E446" s="336">
        <v>43587</v>
      </c>
      <c r="F446" s="336">
        <v>43586</v>
      </c>
      <c r="G446" s="336">
        <v>43648</v>
      </c>
      <c r="H446" s="334" t="s">
        <v>1398</v>
      </c>
      <c r="I446" s="356">
        <v>13867109020</v>
      </c>
      <c r="J446" s="361" t="s">
        <v>1399</v>
      </c>
      <c r="K446" s="356">
        <v>10000</v>
      </c>
      <c r="L446" s="334">
        <v>4925</v>
      </c>
      <c r="M446" s="362"/>
      <c r="N446" s="362">
        <f t="shared" si="14"/>
        <v>4925</v>
      </c>
      <c r="O446" s="356"/>
      <c r="Q446" s="356"/>
      <c r="R446" s="356"/>
      <c r="S446" s="356"/>
      <c r="T446" s="356"/>
      <c r="U446" s="372"/>
      <c r="V446" s="372"/>
      <c r="W446" s="372"/>
      <c r="X446" s="373"/>
      <c r="Y446" s="348" t="s">
        <v>1223</v>
      </c>
      <c r="Z446" s="348"/>
      <c r="AA446" s="348"/>
    </row>
    <row r="447" s="331" customFormat="1" ht="17" customHeight="1" spans="1:27">
      <c r="A447" s="550" t="s">
        <v>1400</v>
      </c>
      <c r="B447" s="348" t="s">
        <v>58</v>
      </c>
      <c r="C447" s="348" t="s">
        <v>109</v>
      </c>
      <c r="D447" s="349" t="s">
        <v>271</v>
      </c>
      <c r="E447" s="336">
        <v>43703</v>
      </c>
      <c r="F447" s="336">
        <v>43586</v>
      </c>
      <c r="G447" s="336">
        <v>43703</v>
      </c>
      <c r="H447" s="334" t="s">
        <v>1401</v>
      </c>
      <c r="I447" s="356">
        <v>18918581588</v>
      </c>
      <c r="J447" s="361" t="s">
        <v>1402</v>
      </c>
      <c r="K447" s="356">
        <v>1000</v>
      </c>
      <c r="L447" s="334">
        <v>4625</v>
      </c>
      <c r="M447" s="362"/>
      <c r="N447" s="362">
        <f t="shared" si="14"/>
        <v>4625</v>
      </c>
      <c r="O447" s="366" t="s">
        <v>52</v>
      </c>
      <c r="Q447" s="356"/>
      <c r="R447" s="356"/>
      <c r="S447" s="356"/>
      <c r="T447" s="356"/>
      <c r="U447" s="372"/>
      <c r="V447" s="372"/>
      <c r="W447" s="372"/>
      <c r="X447" s="373"/>
      <c r="Y447" s="348" t="s">
        <v>1223</v>
      </c>
      <c r="Z447" s="348"/>
      <c r="AA447" s="348"/>
    </row>
    <row r="448" s="331" customFormat="1" ht="15" customHeight="1" spans="1:27">
      <c r="A448" s="550" t="s">
        <v>1403</v>
      </c>
      <c r="B448" s="348" t="s">
        <v>58</v>
      </c>
      <c r="C448" s="348" t="s">
        <v>109</v>
      </c>
      <c r="D448" s="352" t="s">
        <v>110</v>
      </c>
      <c r="E448" s="336">
        <v>43587</v>
      </c>
      <c r="F448" s="336">
        <v>43586</v>
      </c>
      <c r="G448" s="350"/>
      <c r="H448" s="334" t="s">
        <v>1404</v>
      </c>
      <c r="I448" s="356">
        <v>15921557637</v>
      </c>
      <c r="J448" s="361" t="s">
        <v>1405</v>
      </c>
      <c r="K448" s="356">
        <v>2734</v>
      </c>
      <c r="L448" s="362"/>
      <c r="M448" s="362"/>
      <c r="N448" s="362">
        <f t="shared" si="14"/>
        <v>0</v>
      </c>
      <c r="O448" s="356"/>
      <c r="Q448" s="356"/>
      <c r="R448" s="356"/>
      <c r="S448" s="366" t="s">
        <v>52</v>
      </c>
      <c r="T448" s="356"/>
      <c r="U448" s="372" t="s">
        <v>781</v>
      </c>
      <c r="V448" s="372"/>
      <c r="W448" s="372"/>
      <c r="X448" s="373"/>
      <c r="Y448" s="348" t="s">
        <v>1223</v>
      </c>
      <c r="Z448" s="348"/>
      <c r="AA448" s="348"/>
    </row>
    <row r="449" s="331" customFormat="1" ht="17" customHeight="1" spans="1:27">
      <c r="A449" s="550" t="s">
        <v>1406</v>
      </c>
      <c r="B449" s="348" t="s">
        <v>236</v>
      </c>
      <c r="C449" s="348" t="s">
        <v>703</v>
      </c>
      <c r="D449" s="352" t="s">
        <v>143</v>
      </c>
      <c r="E449" s="336">
        <v>43587</v>
      </c>
      <c r="F449" s="336">
        <v>43586</v>
      </c>
      <c r="G449" s="350"/>
      <c r="H449" s="334" t="s">
        <v>1407</v>
      </c>
      <c r="I449" s="356">
        <v>18018683216</v>
      </c>
      <c r="J449" s="361" t="s">
        <v>1408</v>
      </c>
      <c r="K449" s="356">
        <v>15200</v>
      </c>
      <c r="L449" s="362"/>
      <c r="M449" s="362"/>
      <c r="N449" s="362">
        <f t="shared" si="14"/>
        <v>0</v>
      </c>
      <c r="O449" s="356"/>
      <c r="Q449" s="356"/>
      <c r="R449" s="356"/>
      <c r="S449" s="356"/>
      <c r="T449" s="356"/>
      <c r="U449" s="356" t="s">
        <v>63</v>
      </c>
      <c r="V449" s="372"/>
      <c r="W449" s="372"/>
      <c r="X449" s="373"/>
      <c r="Y449" s="348" t="s">
        <v>1223</v>
      </c>
      <c r="Z449" s="348"/>
      <c r="AA449" s="348"/>
    </row>
    <row r="450" s="331" customFormat="1" ht="17" customHeight="1" spans="1:27">
      <c r="A450" s="550" t="s">
        <v>1409</v>
      </c>
      <c r="B450" s="348" t="s">
        <v>66</v>
      </c>
      <c r="C450" s="348" t="s">
        <v>951</v>
      </c>
      <c r="D450" s="349" t="s">
        <v>68</v>
      </c>
      <c r="E450" s="336">
        <v>43587</v>
      </c>
      <c r="F450" s="336">
        <v>43586</v>
      </c>
      <c r="G450" s="336">
        <v>43651</v>
      </c>
      <c r="H450" s="334" t="s">
        <v>1410</v>
      </c>
      <c r="I450" s="356">
        <v>13052142200</v>
      </c>
      <c r="J450" s="361" t="s">
        <v>1411</v>
      </c>
      <c r="K450" s="356">
        <v>1000</v>
      </c>
      <c r="L450" s="369">
        <f>5148-736</f>
        <v>4412</v>
      </c>
      <c r="M450" s="369">
        <f>368+368+500</f>
        <v>1236</v>
      </c>
      <c r="N450" s="362">
        <f t="shared" si="14"/>
        <v>5648</v>
      </c>
      <c r="O450" s="356"/>
      <c r="Q450" s="356"/>
      <c r="R450" s="356"/>
      <c r="S450" s="356"/>
      <c r="T450" s="356"/>
      <c r="U450" s="372"/>
      <c r="V450" s="372"/>
      <c r="W450" s="372"/>
      <c r="X450" s="373"/>
      <c r="Y450" s="348" t="s">
        <v>1223</v>
      </c>
      <c r="Z450" s="348"/>
      <c r="AA450" s="348" t="s">
        <v>1412</v>
      </c>
    </row>
    <row r="451" s="331" customFormat="1" ht="17" customHeight="1" spans="1:27">
      <c r="A451" s="348">
        <v>2066569</v>
      </c>
      <c r="B451" s="348" t="s">
        <v>726</v>
      </c>
      <c r="C451" s="348" t="s">
        <v>727</v>
      </c>
      <c r="D451" s="349" t="s">
        <v>356</v>
      </c>
      <c r="E451" s="336">
        <v>43587</v>
      </c>
      <c r="F451" s="336">
        <v>43587</v>
      </c>
      <c r="G451" s="336">
        <v>43665</v>
      </c>
      <c r="H451" s="334" t="s">
        <v>1413</v>
      </c>
      <c r="I451" s="356">
        <v>13764337345</v>
      </c>
      <c r="J451" s="361" t="s">
        <v>1414</v>
      </c>
      <c r="K451" s="356">
        <v>5800</v>
      </c>
      <c r="L451" s="334">
        <v>6622</v>
      </c>
      <c r="M451" s="362"/>
      <c r="N451" s="362">
        <f t="shared" si="14"/>
        <v>6622</v>
      </c>
      <c r="O451" s="356"/>
      <c r="Q451" s="356"/>
      <c r="R451" s="356"/>
      <c r="S451" s="356"/>
      <c r="T451" s="356"/>
      <c r="U451" s="372"/>
      <c r="V451" s="372"/>
      <c r="W451" s="372"/>
      <c r="X451" s="373"/>
      <c r="Y451" s="348" t="s">
        <v>1415</v>
      </c>
      <c r="Z451" s="348"/>
      <c r="AA451" s="348"/>
    </row>
    <row r="452" s="331" customFormat="1" ht="17" customHeight="1" spans="1:27">
      <c r="A452" s="550" t="s">
        <v>1416</v>
      </c>
      <c r="B452" s="348" t="s">
        <v>42</v>
      </c>
      <c r="C452" s="348" t="s">
        <v>43</v>
      </c>
      <c r="D452" s="349" t="s">
        <v>356</v>
      </c>
      <c r="E452" s="336">
        <v>43587</v>
      </c>
      <c r="F452" s="336">
        <v>43587</v>
      </c>
      <c r="G452" s="336">
        <v>43656</v>
      </c>
      <c r="H452" s="334" t="s">
        <v>1417</v>
      </c>
      <c r="I452" s="356">
        <v>13564368212</v>
      </c>
      <c r="J452" s="361" t="s">
        <v>1418</v>
      </c>
      <c r="K452" s="356">
        <v>8282</v>
      </c>
      <c r="L452" s="334">
        <v>17424</v>
      </c>
      <c r="M452" s="334">
        <v>1472</v>
      </c>
      <c r="N452" s="362">
        <f t="shared" si="14"/>
        <v>18896</v>
      </c>
      <c r="O452" s="356"/>
      <c r="Q452" s="356"/>
      <c r="R452" s="356"/>
      <c r="S452" s="356"/>
      <c r="T452" s="356"/>
      <c r="U452" s="372"/>
      <c r="V452" s="372"/>
      <c r="W452" s="372"/>
      <c r="X452" s="373"/>
      <c r="Y452" s="348"/>
      <c r="Z452" s="348"/>
      <c r="AA452" s="348"/>
    </row>
    <row r="453" s="331" customFormat="1" ht="17" customHeight="1" spans="1:27">
      <c r="A453" s="550" t="s">
        <v>1419</v>
      </c>
      <c r="B453" s="348" t="s">
        <v>35</v>
      </c>
      <c r="C453" s="348" t="s">
        <v>36</v>
      </c>
      <c r="D453" s="352" t="s">
        <v>37</v>
      </c>
      <c r="E453" s="336">
        <v>43587</v>
      </c>
      <c r="F453" s="336">
        <v>43587</v>
      </c>
      <c r="G453" s="336">
        <v>43650</v>
      </c>
      <c r="H453" s="334" t="s">
        <v>1420</v>
      </c>
      <c r="I453" s="356">
        <v>13816725835</v>
      </c>
      <c r="J453" s="361" t="s">
        <v>1421</v>
      </c>
      <c r="K453" s="356">
        <v>10000</v>
      </c>
      <c r="L453" s="334">
        <f>13581-400</f>
        <v>13181</v>
      </c>
      <c r="M453" s="334"/>
      <c r="N453" s="362">
        <f t="shared" si="14"/>
        <v>13181</v>
      </c>
      <c r="O453" s="356"/>
      <c r="Q453" s="356"/>
      <c r="R453" s="356"/>
      <c r="S453" s="356"/>
      <c r="T453" s="356"/>
      <c r="U453" s="372"/>
      <c r="V453" s="372"/>
      <c r="W453" s="372"/>
      <c r="X453" s="373"/>
      <c r="Y453" s="348" t="s">
        <v>1223</v>
      </c>
      <c r="Z453" s="348"/>
      <c r="AA453" s="348"/>
    </row>
    <row r="454" s="331" customFormat="1" ht="17" customHeight="1" spans="1:27">
      <c r="A454" s="348">
        <v>2022773</v>
      </c>
      <c r="B454" s="348" t="s">
        <v>243</v>
      </c>
      <c r="C454" s="348" t="s">
        <v>244</v>
      </c>
      <c r="D454" s="334" t="s">
        <v>1422</v>
      </c>
      <c r="E454" s="336">
        <v>43587</v>
      </c>
      <c r="F454" s="336">
        <v>43586</v>
      </c>
      <c r="G454" s="336">
        <v>43655</v>
      </c>
      <c r="H454" s="334" t="s">
        <v>1423</v>
      </c>
      <c r="I454" s="356">
        <v>15000228009</v>
      </c>
      <c r="J454" s="361" t="s">
        <v>1424</v>
      </c>
      <c r="K454" s="356">
        <v>3000</v>
      </c>
      <c r="L454" s="334">
        <v>12819</v>
      </c>
      <c r="M454" s="334"/>
      <c r="N454" s="362">
        <f t="shared" si="14"/>
        <v>12819</v>
      </c>
      <c r="O454" s="356"/>
      <c r="Q454" s="356"/>
      <c r="R454" s="356"/>
      <c r="S454" s="356"/>
      <c r="T454" s="356"/>
      <c r="U454" s="372"/>
      <c r="V454" s="372"/>
      <c r="W454" s="372"/>
      <c r="X454" s="373"/>
      <c r="Y454" s="348"/>
      <c r="Z454" s="348"/>
      <c r="AA454" s="348"/>
    </row>
    <row r="455" s="331" customFormat="1" ht="17" customHeight="1" spans="1:27">
      <c r="A455" s="348">
        <v>2025685</v>
      </c>
      <c r="B455" s="348" t="s">
        <v>281</v>
      </c>
      <c r="C455" s="348" t="s">
        <v>587</v>
      </c>
      <c r="D455" s="352" t="s">
        <v>49</v>
      </c>
      <c r="E455" s="336">
        <v>43587</v>
      </c>
      <c r="F455" s="336">
        <v>43586</v>
      </c>
      <c r="G455" s="350"/>
      <c r="H455" s="334" t="s">
        <v>1425</v>
      </c>
      <c r="I455" s="356">
        <v>13917184756</v>
      </c>
      <c r="J455" s="361" t="s">
        <v>1426</v>
      </c>
      <c r="K455" s="356">
        <v>1000</v>
      </c>
      <c r="L455" s="362"/>
      <c r="M455" s="362"/>
      <c r="N455" s="362">
        <f t="shared" si="14"/>
        <v>0</v>
      </c>
      <c r="O455" s="356"/>
      <c r="Q455" s="356"/>
      <c r="R455" s="356"/>
      <c r="S455" s="356"/>
      <c r="T455" s="356"/>
      <c r="U455" s="379" t="s">
        <v>40</v>
      </c>
      <c r="V455" s="372"/>
      <c r="W455" s="372"/>
      <c r="X455" s="373"/>
      <c r="Y455" s="348" t="s">
        <v>1223</v>
      </c>
      <c r="Z455" s="348"/>
      <c r="AA455" s="348"/>
    </row>
    <row r="456" s="331" customFormat="1" ht="17" customHeight="1" spans="1:27">
      <c r="A456" s="550" t="s">
        <v>1427</v>
      </c>
      <c r="B456" s="348" t="s">
        <v>805</v>
      </c>
      <c r="C456" s="348" t="s">
        <v>806</v>
      </c>
      <c r="D456" s="352" t="s">
        <v>171</v>
      </c>
      <c r="E456" s="336">
        <v>43702</v>
      </c>
      <c r="F456" s="336">
        <v>43587</v>
      </c>
      <c r="G456" s="336">
        <v>43698</v>
      </c>
      <c r="H456" s="334" t="s">
        <v>1428</v>
      </c>
      <c r="I456" s="356">
        <v>13916658461</v>
      </c>
      <c r="J456" s="361" t="s">
        <v>1429</v>
      </c>
      <c r="K456" s="356">
        <v>10000</v>
      </c>
      <c r="L456" s="362"/>
      <c r="M456" s="334">
        <v>1635</v>
      </c>
      <c r="N456" s="362">
        <f t="shared" si="14"/>
        <v>1635</v>
      </c>
      <c r="O456" s="356"/>
      <c r="Q456" s="356"/>
      <c r="R456" s="356"/>
      <c r="S456" s="356"/>
      <c r="T456" s="356"/>
      <c r="U456" s="372"/>
      <c r="V456" s="372"/>
      <c r="W456" s="372" t="s">
        <v>809</v>
      </c>
      <c r="X456" s="373"/>
      <c r="Y456" s="348" t="s">
        <v>1223</v>
      </c>
      <c r="Z456" s="348"/>
      <c r="AA456" s="348"/>
    </row>
    <row r="457" s="331" customFormat="1" ht="17" customHeight="1" spans="1:27">
      <c r="A457" s="550" t="s">
        <v>1430</v>
      </c>
      <c r="B457" s="348" t="s">
        <v>130</v>
      </c>
      <c r="C457" s="348" t="s">
        <v>1431</v>
      </c>
      <c r="D457" s="349" t="s">
        <v>155</v>
      </c>
      <c r="E457" s="336">
        <v>43587</v>
      </c>
      <c r="F457" s="336">
        <v>43586</v>
      </c>
      <c r="G457" s="336">
        <v>43650</v>
      </c>
      <c r="H457" s="334" t="s">
        <v>1432</v>
      </c>
      <c r="I457" s="356" t="s">
        <v>1433</v>
      </c>
      <c r="J457" s="361" t="s">
        <v>1434</v>
      </c>
      <c r="K457" s="356">
        <v>3000</v>
      </c>
      <c r="L457" s="334">
        <v>9648</v>
      </c>
      <c r="M457" s="362"/>
      <c r="N457" s="362">
        <f t="shared" si="14"/>
        <v>9648</v>
      </c>
      <c r="O457" s="356"/>
      <c r="Q457" s="356"/>
      <c r="R457" s="356"/>
      <c r="S457" s="356"/>
      <c r="T457" s="356"/>
      <c r="U457" s="372"/>
      <c r="V457" s="372"/>
      <c r="W457" s="372"/>
      <c r="X457" s="373"/>
      <c r="Y457" s="348"/>
      <c r="Z457" s="348"/>
      <c r="AA457" s="348"/>
    </row>
    <row r="458" s="331" customFormat="1" ht="17" customHeight="1" spans="1:27">
      <c r="A458" s="550" t="s">
        <v>1435</v>
      </c>
      <c r="B458" s="348" t="s">
        <v>66</v>
      </c>
      <c r="C458" s="348" t="s">
        <v>67</v>
      </c>
      <c r="D458" s="352" t="s">
        <v>1436</v>
      </c>
      <c r="E458" s="336">
        <v>43587</v>
      </c>
      <c r="F458" s="336">
        <v>43587</v>
      </c>
      <c r="G458" s="350"/>
      <c r="H458" s="334" t="s">
        <v>1437</v>
      </c>
      <c r="I458" s="356" t="s">
        <v>1438</v>
      </c>
      <c r="J458" s="361" t="s">
        <v>1439</v>
      </c>
      <c r="K458" s="356">
        <v>1000</v>
      </c>
      <c r="L458" s="362"/>
      <c r="M458" s="362"/>
      <c r="N458" s="362">
        <f t="shared" si="14"/>
        <v>0</v>
      </c>
      <c r="O458" s="356"/>
      <c r="Q458" s="356"/>
      <c r="R458" s="391" t="s">
        <v>1440</v>
      </c>
      <c r="S458" s="356"/>
      <c r="T458" s="356"/>
      <c r="U458" s="372"/>
      <c r="V458" s="372"/>
      <c r="W458" s="372"/>
      <c r="X458" s="373"/>
      <c r="Y458" s="348" t="s">
        <v>1223</v>
      </c>
      <c r="Z458" s="348"/>
      <c r="AA458" s="348"/>
    </row>
    <row r="459" s="331" customFormat="1" ht="17" customHeight="1" spans="1:27">
      <c r="A459" s="348">
        <v>2025686</v>
      </c>
      <c r="B459" s="348" t="s">
        <v>281</v>
      </c>
      <c r="C459" s="348" t="s">
        <v>517</v>
      </c>
      <c r="D459" s="349" t="s">
        <v>518</v>
      </c>
      <c r="E459" s="336">
        <v>43587</v>
      </c>
      <c r="F459" s="336">
        <v>43587</v>
      </c>
      <c r="G459" s="336">
        <v>43670</v>
      </c>
      <c r="H459" s="334" t="s">
        <v>1441</v>
      </c>
      <c r="I459" s="356">
        <v>13386221718</v>
      </c>
      <c r="J459" s="361" t="s">
        <v>1442</v>
      </c>
      <c r="K459" s="356">
        <v>3000</v>
      </c>
      <c r="L459" s="334">
        <v>10209</v>
      </c>
      <c r="M459" s="362"/>
      <c r="N459" s="362">
        <f t="shared" si="14"/>
        <v>10209</v>
      </c>
      <c r="O459" s="356"/>
      <c r="Q459" s="356" t="s">
        <v>52</v>
      </c>
      <c r="R459" s="356"/>
      <c r="S459" s="356"/>
      <c r="T459" s="356"/>
      <c r="U459" s="372"/>
      <c r="V459" s="372"/>
      <c r="W459" s="372"/>
      <c r="X459" s="373"/>
      <c r="Y459" s="348" t="s">
        <v>1223</v>
      </c>
      <c r="Z459" s="348"/>
      <c r="AA459" s="348"/>
    </row>
    <row r="460" s="331" customFormat="1" ht="17" customHeight="1" spans="1:27">
      <c r="A460" s="348">
        <v>2022937</v>
      </c>
      <c r="B460" s="348" t="s">
        <v>243</v>
      </c>
      <c r="C460" s="348" t="s">
        <v>309</v>
      </c>
      <c r="D460" s="352" t="s">
        <v>49</v>
      </c>
      <c r="E460" s="336">
        <v>43587</v>
      </c>
      <c r="F460" s="336">
        <v>43587</v>
      </c>
      <c r="G460" s="350"/>
      <c r="H460" s="334" t="s">
        <v>1443</v>
      </c>
      <c r="I460" s="356">
        <v>18512192799</v>
      </c>
      <c r="J460" s="361" t="s">
        <v>1444</v>
      </c>
      <c r="K460" s="356">
        <v>500</v>
      </c>
      <c r="L460" s="362"/>
      <c r="M460" s="362"/>
      <c r="N460" s="362">
        <f t="shared" si="14"/>
        <v>0</v>
      </c>
      <c r="O460" s="356"/>
      <c r="Q460" s="356" t="s">
        <v>52</v>
      </c>
      <c r="R460" s="356"/>
      <c r="S460" s="356"/>
      <c r="T460" s="356"/>
      <c r="U460" s="372"/>
      <c r="V460" s="372"/>
      <c r="W460" s="372"/>
      <c r="X460" s="373"/>
      <c r="Y460" s="348" t="s">
        <v>1445</v>
      </c>
      <c r="Z460" s="348"/>
      <c r="AA460" s="348"/>
    </row>
    <row r="461" s="331" customFormat="1" ht="17" customHeight="1" spans="1:27">
      <c r="A461" s="348">
        <v>2023584</v>
      </c>
      <c r="B461" s="348" t="s">
        <v>73</v>
      </c>
      <c r="C461" s="348" t="s">
        <v>1130</v>
      </c>
      <c r="D461" s="349" t="s">
        <v>1170</v>
      </c>
      <c r="E461" s="336">
        <v>43702</v>
      </c>
      <c r="F461" s="336">
        <v>43587</v>
      </c>
      <c r="G461" s="336">
        <v>43702</v>
      </c>
      <c r="H461" s="334" t="s">
        <v>1446</v>
      </c>
      <c r="I461" s="356">
        <v>13917305330</v>
      </c>
      <c r="J461" s="361" t="s">
        <v>1447</v>
      </c>
      <c r="K461" s="356">
        <v>1000</v>
      </c>
      <c r="L461" s="334">
        <v>12537</v>
      </c>
      <c r="M461" s="362"/>
      <c r="N461" s="362">
        <f t="shared" si="14"/>
        <v>12537</v>
      </c>
      <c r="O461" s="356"/>
      <c r="Q461" s="366" t="s">
        <v>52</v>
      </c>
      <c r="R461" s="356"/>
      <c r="S461" s="356"/>
      <c r="T461" s="356"/>
      <c r="U461" s="372"/>
      <c r="V461" s="372"/>
      <c r="W461" s="372"/>
      <c r="X461" s="373">
        <v>1</v>
      </c>
      <c r="Y461" s="348" t="s">
        <v>1223</v>
      </c>
      <c r="Z461" s="348" t="s">
        <v>79</v>
      </c>
      <c r="AA461" s="348"/>
    </row>
    <row r="462" s="57" customFormat="1" ht="17" customHeight="1" spans="1:27">
      <c r="A462" s="550" t="s">
        <v>1448</v>
      </c>
      <c r="B462" s="348" t="s">
        <v>137</v>
      </c>
      <c r="C462" s="348" t="s">
        <v>138</v>
      </c>
      <c r="D462" s="352" t="s">
        <v>139</v>
      </c>
      <c r="E462" s="336">
        <v>43797</v>
      </c>
      <c r="F462" s="336">
        <v>43587</v>
      </c>
      <c r="G462" s="336">
        <v>43797</v>
      </c>
      <c r="H462" s="334" t="s">
        <v>1449</v>
      </c>
      <c r="I462" s="356">
        <v>13817935173</v>
      </c>
      <c r="J462" s="348" t="s">
        <v>1450</v>
      </c>
      <c r="K462" s="356">
        <v>17400</v>
      </c>
      <c r="L462" s="334">
        <v>17400</v>
      </c>
      <c r="M462" s="362"/>
      <c r="N462" s="362">
        <f t="shared" si="14"/>
        <v>17400</v>
      </c>
      <c r="O462" s="356"/>
      <c r="Q462" s="356"/>
      <c r="R462" s="356">
        <v>1</v>
      </c>
      <c r="S462" s="356"/>
      <c r="T462" s="356"/>
      <c r="U462" s="372"/>
      <c r="V462" s="372"/>
      <c r="W462" s="372"/>
      <c r="X462" s="373"/>
      <c r="Y462" s="348"/>
      <c r="Z462" s="348"/>
      <c r="AA462" s="348"/>
    </row>
    <row r="463" s="331" customFormat="1" ht="17" customHeight="1" spans="1:27">
      <c r="A463" s="550" t="s">
        <v>1451</v>
      </c>
      <c r="B463" s="348" t="s">
        <v>805</v>
      </c>
      <c r="C463" s="348" t="s">
        <v>806</v>
      </c>
      <c r="D463" s="349" t="s">
        <v>60</v>
      </c>
      <c r="E463" s="336">
        <v>43587</v>
      </c>
      <c r="F463" s="336">
        <v>43587</v>
      </c>
      <c r="G463" s="336">
        <v>43659</v>
      </c>
      <c r="H463" s="334" t="s">
        <v>1452</v>
      </c>
      <c r="I463" s="356">
        <v>13671557239</v>
      </c>
      <c r="J463" s="361" t="s">
        <v>1453</v>
      </c>
      <c r="K463" s="356">
        <v>3000</v>
      </c>
      <c r="L463" s="334">
        <v>16694</v>
      </c>
      <c r="M463" s="334"/>
      <c r="N463" s="362">
        <f t="shared" si="14"/>
        <v>16694</v>
      </c>
      <c r="O463" s="356"/>
      <c r="Q463" s="356"/>
      <c r="R463" s="356"/>
      <c r="S463" s="356"/>
      <c r="T463" s="356"/>
      <c r="U463" s="372"/>
      <c r="V463" s="372"/>
      <c r="W463" s="372"/>
      <c r="X463" s="373"/>
      <c r="Y463" s="348" t="s">
        <v>1223</v>
      </c>
      <c r="Z463" s="348"/>
      <c r="AA463" s="348"/>
    </row>
    <row r="464" s="331" customFormat="1" ht="17" customHeight="1" spans="1:27">
      <c r="A464" s="550" t="s">
        <v>1454</v>
      </c>
      <c r="B464" s="348" t="s">
        <v>805</v>
      </c>
      <c r="C464" s="348" t="s">
        <v>806</v>
      </c>
      <c r="D464" s="352" t="s">
        <v>171</v>
      </c>
      <c r="E464" s="336">
        <v>43587</v>
      </c>
      <c r="F464" s="336">
        <v>43587</v>
      </c>
      <c r="G464" s="350"/>
      <c r="H464" s="334" t="s">
        <v>1455</v>
      </c>
      <c r="I464" s="356">
        <v>13661699193</v>
      </c>
      <c r="J464" s="361" t="s">
        <v>1456</v>
      </c>
      <c r="K464" s="356">
        <v>3000</v>
      </c>
      <c r="L464" s="362"/>
      <c r="M464" s="362"/>
      <c r="N464" s="362">
        <f t="shared" si="14"/>
        <v>0</v>
      </c>
      <c r="O464" s="356" t="s">
        <v>52</v>
      </c>
      <c r="Q464" s="356"/>
      <c r="R464" s="356"/>
      <c r="S464" s="356"/>
      <c r="T464" s="356"/>
      <c r="U464" s="374">
        <v>43771</v>
      </c>
      <c r="V464" s="372"/>
      <c r="W464" s="372"/>
      <c r="X464" s="373"/>
      <c r="Y464" s="348"/>
      <c r="Z464" s="348"/>
      <c r="AA464" s="348"/>
    </row>
    <row r="465" s="331" customFormat="1" ht="17" customHeight="1" spans="1:27">
      <c r="A465" s="550" t="s">
        <v>1457</v>
      </c>
      <c r="B465" s="348" t="s">
        <v>805</v>
      </c>
      <c r="C465" s="348" t="s">
        <v>1458</v>
      </c>
      <c r="D465" s="349" t="s">
        <v>171</v>
      </c>
      <c r="E465" s="336">
        <v>43587</v>
      </c>
      <c r="F465" s="336">
        <v>43587</v>
      </c>
      <c r="G465" s="336">
        <v>43666</v>
      </c>
      <c r="H465" s="334" t="s">
        <v>1459</v>
      </c>
      <c r="I465" s="356">
        <v>13916326540</v>
      </c>
      <c r="J465" s="361" t="s">
        <v>1460</v>
      </c>
      <c r="K465" s="356">
        <v>3000</v>
      </c>
      <c r="L465" s="334">
        <v>13000</v>
      </c>
      <c r="M465" s="362"/>
      <c r="N465" s="362">
        <f t="shared" si="14"/>
        <v>13000</v>
      </c>
      <c r="O465" s="356"/>
      <c r="Q465" s="356"/>
      <c r="R465" s="356"/>
      <c r="S465" s="356"/>
      <c r="T465" s="356"/>
      <c r="U465" s="372"/>
      <c r="V465" s="372"/>
      <c r="W465" s="372"/>
      <c r="X465" s="373"/>
      <c r="Y465" s="348" t="s">
        <v>1223</v>
      </c>
      <c r="Z465" s="348"/>
      <c r="AA465" s="348"/>
    </row>
    <row r="466" s="331" customFormat="1" ht="17" customHeight="1" spans="1:27">
      <c r="A466" s="550" t="s">
        <v>1461</v>
      </c>
      <c r="B466" s="348" t="s">
        <v>35</v>
      </c>
      <c r="C466" s="348" t="s">
        <v>328</v>
      </c>
      <c r="D466" s="352" t="s">
        <v>37</v>
      </c>
      <c r="E466" s="336">
        <v>43587</v>
      </c>
      <c r="F466" s="336">
        <v>43586</v>
      </c>
      <c r="G466" s="336">
        <v>43677</v>
      </c>
      <c r="H466" s="334" t="s">
        <v>1462</v>
      </c>
      <c r="I466" s="356">
        <v>15901695069</v>
      </c>
      <c r="J466" s="361" t="s">
        <v>1463</v>
      </c>
      <c r="K466" s="356">
        <v>5000</v>
      </c>
      <c r="L466" s="334">
        <v>4300</v>
      </c>
      <c r="M466" s="362"/>
      <c r="N466" s="362">
        <f t="shared" si="14"/>
        <v>4300</v>
      </c>
      <c r="O466" s="356"/>
      <c r="Q466" s="356"/>
      <c r="R466" s="356"/>
      <c r="S466" s="356"/>
      <c r="T466" s="356"/>
      <c r="U466" s="372" t="s">
        <v>40</v>
      </c>
      <c r="V466" s="372"/>
      <c r="W466" s="372"/>
      <c r="X466" s="373"/>
      <c r="Y466" s="348" t="s">
        <v>1223</v>
      </c>
      <c r="Z466" s="348"/>
      <c r="AA466" s="348"/>
    </row>
    <row r="467" s="331" customFormat="1" ht="17" customHeight="1" spans="1:27">
      <c r="A467" s="550" t="s">
        <v>1464</v>
      </c>
      <c r="B467" s="348" t="s">
        <v>160</v>
      </c>
      <c r="C467" s="334" t="s">
        <v>230</v>
      </c>
      <c r="D467" s="352" t="s">
        <v>132</v>
      </c>
      <c r="E467" s="336">
        <v>43708</v>
      </c>
      <c r="F467" s="336">
        <v>43587</v>
      </c>
      <c r="G467" s="336">
        <v>43708</v>
      </c>
      <c r="H467" s="334" t="s">
        <v>1465</v>
      </c>
      <c r="I467" s="356">
        <v>13501699778</v>
      </c>
      <c r="J467" s="361" t="s">
        <v>1466</v>
      </c>
      <c r="K467" s="356">
        <v>5000</v>
      </c>
      <c r="L467" s="334">
        <v>10564</v>
      </c>
      <c r="M467" s="362"/>
      <c r="N467" s="362">
        <f t="shared" si="14"/>
        <v>10564</v>
      </c>
      <c r="O467" s="356">
        <v>1</v>
      </c>
      <c r="Q467" s="356"/>
      <c r="R467" s="356"/>
      <c r="S467" s="356"/>
      <c r="T467" s="356"/>
      <c r="U467" s="372"/>
      <c r="V467" s="372"/>
      <c r="W467" s="372"/>
      <c r="X467" s="373"/>
      <c r="Y467" s="348"/>
      <c r="Z467" s="348"/>
      <c r="AA467" s="348"/>
    </row>
    <row r="468" s="331" customFormat="1" ht="17" customHeight="1" spans="1:27">
      <c r="A468" s="348">
        <v>2066040</v>
      </c>
      <c r="B468" s="348" t="s">
        <v>205</v>
      </c>
      <c r="C468" s="348" t="s">
        <v>1467</v>
      </c>
      <c r="D468" s="349" t="s">
        <v>361</v>
      </c>
      <c r="E468" s="336">
        <v>43589</v>
      </c>
      <c r="F468" s="336">
        <v>43589</v>
      </c>
      <c r="G468" s="336">
        <v>43659</v>
      </c>
      <c r="H468" s="334" t="s">
        <v>1468</v>
      </c>
      <c r="I468" s="356">
        <v>13761747467</v>
      </c>
      <c r="J468" s="361" t="s">
        <v>1469</v>
      </c>
      <c r="K468" s="356">
        <v>4899</v>
      </c>
      <c r="L468" s="334">
        <v>40884</v>
      </c>
      <c r="M468" s="334"/>
      <c r="N468" s="362">
        <f t="shared" si="14"/>
        <v>40884</v>
      </c>
      <c r="O468" s="356"/>
      <c r="Q468" s="356"/>
      <c r="R468" s="356"/>
      <c r="S468" s="356"/>
      <c r="T468" s="356"/>
      <c r="U468" s="372">
        <v>43659</v>
      </c>
      <c r="V468" s="372"/>
      <c r="W468" s="372"/>
      <c r="X468" s="373"/>
      <c r="Y468" s="348" t="s">
        <v>1223</v>
      </c>
      <c r="Z468" s="348"/>
      <c r="AA468" s="348"/>
    </row>
    <row r="469" s="331" customFormat="1" ht="17" customHeight="1" spans="1:27">
      <c r="A469" s="348">
        <v>2068755</v>
      </c>
      <c r="B469" s="348" t="s">
        <v>726</v>
      </c>
      <c r="C469" s="348" t="s">
        <v>727</v>
      </c>
      <c r="D469" s="349" t="s">
        <v>271</v>
      </c>
      <c r="E469" s="336">
        <v>43680</v>
      </c>
      <c r="F469" s="336">
        <v>43587</v>
      </c>
      <c r="G469" s="336">
        <v>43679</v>
      </c>
      <c r="H469" s="334" t="s">
        <v>1470</v>
      </c>
      <c r="I469" s="356">
        <v>13681918881</v>
      </c>
      <c r="J469" s="361" t="s">
        <v>1471</v>
      </c>
      <c r="K469" s="356">
        <v>1000</v>
      </c>
      <c r="L469" s="334">
        <v>18437</v>
      </c>
      <c r="M469" s="334">
        <v>1900</v>
      </c>
      <c r="N469" s="362">
        <f t="shared" si="14"/>
        <v>20337</v>
      </c>
      <c r="O469" s="356"/>
      <c r="Q469" s="356"/>
      <c r="R469" s="356"/>
      <c r="S469" s="356"/>
      <c r="T469" s="356"/>
      <c r="U469" s="372"/>
      <c r="V469" s="372"/>
      <c r="W469" s="356" t="s">
        <v>1472</v>
      </c>
      <c r="X469" s="373"/>
      <c r="Y469" s="348" t="s">
        <v>1338</v>
      </c>
      <c r="Z469" s="348"/>
      <c r="AA469" s="348"/>
    </row>
    <row r="470" s="331" customFormat="1" ht="17" customHeight="1" spans="1:27">
      <c r="A470" s="550" t="s">
        <v>1473</v>
      </c>
      <c r="B470" s="348" t="s">
        <v>160</v>
      </c>
      <c r="C470" s="348" t="s">
        <v>275</v>
      </c>
      <c r="D470" s="352" t="s">
        <v>162</v>
      </c>
      <c r="E470" s="336">
        <v>43708</v>
      </c>
      <c r="F470" s="336">
        <v>43587</v>
      </c>
      <c r="G470" s="336">
        <v>43708</v>
      </c>
      <c r="H470" s="334" t="s">
        <v>1474</v>
      </c>
      <c r="I470" s="356">
        <v>18221836653</v>
      </c>
      <c r="J470" s="361" t="s">
        <v>1475</v>
      </c>
      <c r="K470" s="356">
        <v>1299</v>
      </c>
      <c r="L470" s="334">
        <v>17120</v>
      </c>
      <c r="M470" s="362"/>
      <c r="N470" s="362">
        <f t="shared" si="14"/>
        <v>17120</v>
      </c>
      <c r="O470" s="356"/>
      <c r="Q470" s="356"/>
      <c r="R470" s="356"/>
      <c r="S470" s="356"/>
      <c r="T470" s="356"/>
      <c r="U470" s="372" t="s">
        <v>833</v>
      </c>
      <c r="V470" s="372"/>
      <c r="W470" s="372"/>
      <c r="X470" s="373"/>
      <c r="Y470" s="348"/>
      <c r="Z470" s="348"/>
      <c r="AA470" s="348"/>
    </row>
    <row r="471" s="331" customFormat="1" ht="17" customHeight="1" spans="1:28">
      <c r="A471" s="348">
        <v>2067255</v>
      </c>
      <c r="B471" s="348" t="s">
        <v>87</v>
      </c>
      <c r="C471" s="348" t="s">
        <v>199</v>
      </c>
      <c r="D471" s="352" t="s">
        <v>89</v>
      </c>
      <c r="E471" s="336">
        <v>43588</v>
      </c>
      <c r="F471" s="336">
        <v>43587</v>
      </c>
      <c r="G471" s="336">
        <v>43671</v>
      </c>
      <c r="H471" s="334" t="s">
        <v>1476</v>
      </c>
      <c r="I471" s="356">
        <v>13058639646</v>
      </c>
      <c r="J471" s="361" t="s">
        <v>1477</v>
      </c>
      <c r="K471" s="356">
        <v>2998</v>
      </c>
      <c r="L471" s="334">
        <v>5537</v>
      </c>
      <c r="M471" s="362"/>
      <c r="N471" s="362">
        <f t="shared" si="14"/>
        <v>5537</v>
      </c>
      <c r="O471" s="356"/>
      <c r="Q471" s="356"/>
      <c r="R471" s="356" t="s">
        <v>52</v>
      </c>
      <c r="S471" s="356"/>
      <c r="T471" s="356"/>
      <c r="U471" s="372"/>
      <c r="V471" s="372"/>
      <c r="W471" s="372"/>
      <c r="X471" s="373"/>
      <c r="Y471" s="348"/>
      <c r="Z471" s="348"/>
      <c r="AA471" s="348"/>
      <c r="AB471" s="404" t="s">
        <v>691</v>
      </c>
    </row>
    <row r="472" s="331" customFormat="1" ht="17" customHeight="1" spans="1:28">
      <c r="A472" s="348">
        <v>2067253</v>
      </c>
      <c r="B472" s="348" t="s">
        <v>87</v>
      </c>
      <c r="C472" s="348" t="s">
        <v>199</v>
      </c>
      <c r="D472" s="352" t="s">
        <v>89</v>
      </c>
      <c r="E472" s="336">
        <v>43588</v>
      </c>
      <c r="F472" s="336">
        <v>43587</v>
      </c>
      <c r="G472" s="336">
        <v>43673</v>
      </c>
      <c r="H472" s="334" t="s">
        <v>1478</v>
      </c>
      <c r="I472" s="356" t="s">
        <v>1479</v>
      </c>
      <c r="J472" s="361" t="s">
        <v>1480</v>
      </c>
      <c r="K472" s="356">
        <v>2999</v>
      </c>
      <c r="L472" s="334">
        <v>22969</v>
      </c>
      <c r="M472" s="362"/>
      <c r="N472" s="362">
        <f t="shared" si="14"/>
        <v>22969</v>
      </c>
      <c r="O472" s="356"/>
      <c r="Q472" s="356"/>
      <c r="R472" s="356" t="s">
        <v>52</v>
      </c>
      <c r="S472" s="356"/>
      <c r="T472" s="356"/>
      <c r="U472" s="372"/>
      <c r="V472" s="372"/>
      <c r="W472" s="372"/>
      <c r="X472" s="373">
        <v>1</v>
      </c>
      <c r="Y472" s="348" t="s">
        <v>1223</v>
      </c>
      <c r="Z472" s="348"/>
      <c r="AA472" s="348"/>
      <c r="AB472" s="404" t="s">
        <v>1481</v>
      </c>
    </row>
    <row r="473" s="331" customFormat="1" ht="17" customHeight="1" spans="1:28">
      <c r="A473" s="348">
        <v>2067252</v>
      </c>
      <c r="B473" s="348" t="s">
        <v>87</v>
      </c>
      <c r="C473" s="348" t="s">
        <v>199</v>
      </c>
      <c r="D473" s="352" t="s">
        <v>89</v>
      </c>
      <c r="E473" s="336">
        <v>43588</v>
      </c>
      <c r="F473" s="336">
        <v>43587</v>
      </c>
      <c r="G473" s="336">
        <v>43673</v>
      </c>
      <c r="H473" s="334" t="s">
        <v>1482</v>
      </c>
      <c r="I473" s="356">
        <v>13761523967</v>
      </c>
      <c r="J473" s="361" t="s">
        <v>1483</v>
      </c>
      <c r="K473" s="356">
        <v>2999</v>
      </c>
      <c r="L473" s="334">
        <v>10621</v>
      </c>
      <c r="M473" s="362"/>
      <c r="N473" s="362">
        <f t="shared" si="14"/>
        <v>10621</v>
      </c>
      <c r="O473" s="356"/>
      <c r="Q473" s="356"/>
      <c r="R473" s="356"/>
      <c r="S473" s="356"/>
      <c r="T473" s="356"/>
      <c r="U473" s="372"/>
      <c r="V473" s="372"/>
      <c r="W473" s="372"/>
      <c r="X473" s="373"/>
      <c r="Y473" s="348" t="s">
        <v>1223</v>
      </c>
      <c r="Z473" s="348"/>
      <c r="AA473" s="348"/>
      <c r="AB473" s="404" t="s">
        <v>1481</v>
      </c>
    </row>
    <row r="474" s="57" customFormat="1" ht="17" customHeight="1" spans="1:27">
      <c r="A474" s="348">
        <v>2024343</v>
      </c>
      <c r="B474" s="348" t="s">
        <v>137</v>
      </c>
      <c r="C474" s="348" t="s">
        <v>191</v>
      </c>
      <c r="D474" s="352" t="s">
        <v>443</v>
      </c>
      <c r="E474" s="336">
        <v>43588</v>
      </c>
      <c r="F474" s="336">
        <v>43587</v>
      </c>
      <c r="G474" s="350"/>
      <c r="H474" s="334" t="s">
        <v>1484</v>
      </c>
      <c r="I474" s="356">
        <v>18019708952</v>
      </c>
      <c r="J474" s="348" t="s">
        <v>1485</v>
      </c>
      <c r="K474" s="356">
        <v>3000</v>
      </c>
      <c r="L474" s="362"/>
      <c r="M474" s="362"/>
      <c r="N474" s="362">
        <f t="shared" si="14"/>
        <v>0</v>
      </c>
      <c r="O474" s="356"/>
      <c r="Q474" s="356"/>
      <c r="R474" s="356"/>
      <c r="S474" s="356"/>
      <c r="T474" s="356"/>
      <c r="U474" s="372"/>
      <c r="V474" s="372"/>
      <c r="W474" s="372"/>
      <c r="X474" s="373"/>
      <c r="Y474" s="348" t="s">
        <v>1223</v>
      </c>
      <c r="Z474" s="348"/>
      <c r="AA474" s="348"/>
    </row>
    <row r="475" s="331" customFormat="1" ht="17" customHeight="1" spans="1:27">
      <c r="A475" s="550" t="s">
        <v>1486</v>
      </c>
      <c r="B475" s="348" t="s">
        <v>35</v>
      </c>
      <c r="C475" s="348" t="s">
        <v>392</v>
      </c>
      <c r="D475" s="352" t="s">
        <v>143</v>
      </c>
      <c r="E475" s="336">
        <v>43752</v>
      </c>
      <c r="F475" s="336">
        <v>43587</v>
      </c>
      <c r="G475" s="336">
        <v>43751</v>
      </c>
      <c r="H475" s="334" t="s">
        <v>1487</v>
      </c>
      <c r="I475" s="356">
        <v>18602187469</v>
      </c>
      <c r="J475" s="361" t="s">
        <v>1488</v>
      </c>
      <c r="K475" s="356">
        <v>1000</v>
      </c>
      <c r="L475" s="334">
        <v>50000</v>
      </c>
      <c r="M475" s="362"/>
      <c r="N475" s="362">
        <f t="shared" si="14"/>
        <v>50000</v>
      </c>
      <c r="O475" s="356"/>
      <c r="Q475" s="356"/>
      <c r="R475" s="356" t="s">
        <v>52</v>
      </c>
      <c r="S475" s="356"/>
      <c r="T475" s="356"/>
      <c r="U475" s="372"/>
      <c r="V475" s="372"/>
      <c r="W475" s="372"/>
      <c r="X475" s="373"/>
      <c r="Y475" s="348" t="s">
        <v>1223</v>
      </c>
      <c r="Z475" s="348"/>
      <c r="AA475" s="348"/>
    </row>
    <row r="476" s="331" customFormat="1" ht="17" customHeight="1" spans="1:27">
      <c r="A476" s="348">
        <v>2066039</v>
      </c>
      <c r="B476" s="348" t="s">
        <v>205</v>
      </c>
      <c r="C476" s="348" t="s">
        <v>1467</v>
      </c>
      <c r="D476" s="349" t="s">
        <v>1170</v>
      </c>
      <c r="E476" s="336">
        <v>43588</v>
      </c>
      <c r="F476" s="336">
        <v>43587</v>
      </c>
      <c r="G476" s="356" t="s">
        <v>469</v>
      </c>
      <c r="H476" s="334" t="s">
        <v>1489</v>
      </c>
      <c r="I476" s="356">
        <v>13801859805</v>
      </c>
      <c r="J476" s="361" t="s">
        <v>1490</v>
      </c>
      <c r="K476" s="356">
        <v>4283</v>
      </c>
      <c r="L476" s="362"/>
      <c r="M476" s="362"/>
      <c r="N476" s="362">
        <f t="shared" si="14"/>
        <v>0</v>
      </c>
      <c r="O476" s="356"/>
      <c r="Q476" s="356"/>
      <c r="R476" s="356"/>
      <c r="S476" s="356"/>
      <c r="T476" s="356"/>
      <c r="U476" s="372"/>
      <c r="V476" s="372"/>
      <c r="W476" s="372"/>
      <c r="X476" s="373"/>
      <c r="Y476" s="348"/>
      <c r="Z476" s="348"/>
      <c r="AA476" s="348"/>
    </row>
    <row r="477" s="331" customFormat="1" ht="15" customHeight="1" spans="1:27">
      <c r="A477" s="550" t="s">
        <v>1491</v>
      </c>
      <c r="B477" s="348" t="s">
        <v>58</v>
      </c>
      <c r="C477" s="348" t="s">
        <v>451</v>
      </c>
      <c r="D477" s="352" t="s">
        <v>75</v>
      </c>
      <c r="E477" s="336">
        <v>43588</v>
      </c>
      <c r="F477" s="336">
        <v>43587</v>
      </c>
      <c r="G477" s="350"/>
      <c r="H477" s="334" t="s">
        <v>1492</v>
      </c>
      <c r="I477" s="356">
        <v>18621910033</v>
      </c>
      <c r="J477" s="361" t="s">
        <v>1493</v>
      </c>
      <c r="K477" s="356">
        <v>5000</v>
      </c>
      <c r="L477" s="362"/>
      <c r="M477" s="362"/>
      <c r="N477" s="362">
        <f t="shared" si="14"/>
        <v>0</v>
      </c>
      <c r="O477" s="356"/>
      <c r="Q477" s="366"/>
      <c r="R477" s="356"/>
      <c r="S477" s="356"/>
      <c r="T477" s="356"/>
      <c r="U477" s="336" t="s">
        <v>40</v>
      </c>
      <c r="V477" s="372"/>
      <c r="W477" s="372"/>
      <c r="X477" s="373">
        <v>1</v>
      </c>
      <c r="Y477" s="348" t="s">
        <v>1494</v>
      </c>
      <c r="Z477" s="348"/>
      <c r="AA477" s="348"/>
    </row>
    <row r="478" s="331" customFormat="1" ht="17" customHeight="1" spans="1:27">
      <c r="A478" s="348">
        <v>2066454</v>
      </c>
      <c r="B478" s="348" t="s">
        <v>58</v>
      </c>
      <c r="C478" s="348" t="s">
        <v>1234</v>
      </c>
      <c r="D478" s="349" t="s">
        <v>110</v>
      </c>
      <c r="E478" s="336">
        <v>43588</v>
      </c>
      <c r="F478" s="336">
        <v>43587</v>
      </c>
      <c r="G478" s="336">
        <v>43658</v>
      </c>
      <c r="H478" s="334" t="s">
        <v>1495</v>
      </c>
      <c r="I478" s="356">
        <v>13918527104</v>
      </c>
      <c r="J478" s="361" t="s">
        <v>1496</v>
      </c>
      <c r="K478" s="356">
        <v>3578</v>
      </c>
      <c r="L478" s="334">
        <v>4010</v>
      </c>
      <c r="M478" s="334"/>
      <c r="N478" s="362">
        <f t="shared" si="14"/>
        <v>4010</v>
      </c>
      <c r="O478" s="356"/>
      <c r="Q478" s="356"/>
      <c r="R478" s="356"/>
      <c r="S478" s="356"/>
      <c r="T478" s="356"/>
      <c r="U478" s="372"/>
      <c r="V478" s="372"/>
      <c r="W478" s="372"/>
      <c r="X478" s="373"/>
      <c r="Y478" s="348"/>
      <c r="Z478" s="348"/>
      <c r="AA478" s="348"/>
    </row>
    <row r="479" s="331" customFormat="1" ht="17" customHeight="1" spans="1:27">
      <c r="A479" s="550" t="s">
        <v>1497</v>
      </c>
      <c r="B479" s="348" t="s">
        <v>153</v>
      </c>
      <c r="C479" s="348" t="s">
        <v>302</v>
      </c>
      <c r="D479" s="349" t="s">
        <v>155</v>
      </c>
      <c r="E479" s="336">
        <v>43588</v>
      </c>
      <c r="F479" s="336">
        <v>43587</v>
      </c>
      <c r="G479" s="350"/>
      <c r="H479" s="334" t="s">
        <v>1498</v>
      </c>
      <c r="I479" s="356">
        <v>13636600712</v>
      </c>
      <c r="J479" s="361" t="s">
        <v>1499</v>
      </c>
      <c r="K479" s="356">
        <v>1000</v>
      </c>
      <c r="L479" s="362"/>
      <c r="M479" s="362"/>
      <c r="N479" s="362">
        <f t="shared" si="14"/>
        <v>0</v>
      </c>
      <c r="O479" s="356"/>
      <c r="Q479" s="356"/>
      <c r="R479" s="356"/>
      <c r="S479" s="356"/>
      <c r="T479" s="356"/>
      <c r="U479" s="375" t="s">
        <v>12</v>
      </c>
      <c r="V479" s="372"/>
      <c r="W479" s="372"/>
      <c r="X479" s="373"/>
      <c r="Y479" s="348"/>
      <c r="Z479" s="348"/>
      <c r="AA479" s="348"/>
    </row>
    <row r="480" s="331" customFormat="1" ht="17" customHeight="1" spans="1:27">
      <c r="A480" s="550" t="s">
        <v>1500</v>
      </c>
      <c r="B480" s="348" t="s">
        <v>130</v>
      </c>
      <c r="C480" s="348" t="s">
        <v>722</v>
      </c>
      <c r="D480" s="349" t="s">
        <v>182</v>
      </c>
      <c r="E480" s="336">
        <v>43588</v>
      </c>
      <c r="F480" s="336">
        <v>43587</v>
      </c>
      <c r="G480" s="336">
        <v>43675</v>
      </c>
      <c r="H480" s="334" t="s">
        <v>1501</v>
      </c>
      <c r="I480" s="356">
        <v>13901810359</v>
      </c>
      <c r="J480" s="361" t="s">
        <v>1502</v>
      </c>
      <c r="K480" s="356">
        <v>1000</v>
      </c>
      <c r="L480" s="334">
        <v>7824</v>
      </c>
      <c r="M480" s="362"/>
      <c r="N480" s="362">
        <f t="shared" si="14"/>
        <v>7824</v>
      </c>
      <c r="O480" s="356"/>
      <c r="Q480" s="356"/>
      <c r="R480" s="356"/>
      <c r="S480" s="356"/>
      <c r="T480" s="356"/>
      <c r="U480" s="372"/>
      <c r="V480" s="372"/>
      <c r="W480" s="372"/>
      <c r="X480" s="373"/>
      <c r="Y480" s="348" t="s">
        <v>1223</v>
      </c>
      <c r="Z480" s="348"/>
      <c r="AA480" s="348"/>
    </row>
    <row r="481" s="331" customFormat="1" ht="17" customHeight="1" spans="1:27">
      <c r="A481" s="348"/>
      <c r="B481" s="348" t="s">
        <v>58</v>
      </c>
      <c r="C481" s="348" t="s">
        <v>342</v>
      </c>
      <c r="D481" s="349" t="s">
        <v>110</v>
      </c>
      <c r="E481" s="336">
        <v>43588</v>
      </c>
      <c r="F481" s="336">
        <v>43587</v>
      </c>
      <c r="G481" s="336">
        <v>43662</v>
      </c>
      <c r="H481" s="334" t="s">
        <v>1503</v>
      </c>
      <c r="I481" s="356">
        <v>13621942692</v>
      </c>
      <c r="J481" s="361" t="s">
        <v>1504</v>
      </c>
      <c r="K481" s="356">
        <v>3000</v>
      </c>
      <c r="L481" s="334">
        <v>11719</v>
      </c>
      <c r="M481" s="334"/>
      <c r="N481" s="362">
        <f t="shared" si="14"/>
        <v>11719</v>
      </c>
      <c r="O481" s="356"/>
      <c r="Q481" s="356"/>
      <c r="R481" s="356"/>
      <c r="S481" s="356"/>
      <c r="T481" s="356"/>
      <c r="U481" s="372"/>
      <c r="V481" s="372"/>
      <c r="W481" s="372"/>
      <c r="X481" s="373"/>
      <c r="Y481" s="348" t="s">
        <v>1223</v>
      </c>
      <c r="Z481" s="348"/>
      <c r="AA481" s="348"/>
    </row>
    <row r="482" s="331" customFormat="1" ht="15" customHeight="1" spans="1:27">
      <c r="A482" s="550" t="s">
        <v>1505</v>
      </c>
      <c r="B482" s="334" t="s">
        <v>58</v>
      </c>
      <c r="C482" s="334" t="s">
        <v>271</v>
      </c>
      <c r="D482" s="352" t="s">
        <v>271</v>
      </c>
      <c r="E482" s="336">
        <v>43588</v>
      </c>
      <c r="F482" s="336">
        <v>43587</v>
      </c>
      <c r="G482" s="350">
        <v>43641</v>
      </c>
      <c r="H482" s="334" t="s">
        <v>1506</v>
      </c>
      <c r="I482" s="356">
        <v>13916575960</v>
      </c>
      <c r="J482" s="361" t="s">
        <v>1507</v>
      </c>
      <c r="K482" s="356">
        <v>1000</v>
      </c>
      <c r="L482" s="362"/>
      <c r="M482" s="362"/>
      <c r="N482" s="362">
        <f t="shared" si="14"/>
        <v>0</v>
      </c>
      <c r="O482" s="366"/>
      <c r="Q482" s="366" t="s">
        <v>52</v>
      </c>
      <c r="R482" s="356"/>
      <c r="S482" s="356"/>
      <c r="T482" s="356"/>
      <c r="U482" s="372"/>
      <c r="V482" s="372"/>
      <c r="W482" s="372"/>
      <c r="X482" s="373"/>
      <c r="Y482" s="348" t="s">
        <v>1508</v>
      </c>
      <c r="Z482" s="348"/>
      <c r="AA482" s="348"/>
    </row>
    <row r="483" s="331" customFormat="1" ht="15" customHeight="1" spans="1:27">
      <c r="A483" s="348"/>
      <c r="B483" s="348" t="s">
        <v>58</v>
      </c>
      <c r="C483" s="348" t="s">
        <v>109</v>
      </c>
      <c r="D483" s="352" t="s">
        <v>110</v>
      </c>
      <c r="E483" s="336">
        <v>43519</v>
      </c>
      <c r="F483" s="336">
        <v>43518</v>
      </c>
      <c r="G483" s="350"/>
      <c r="H483" s="334" t="s">
        <v>1509</v>
      </c>
      <c r="I483" s="348">
        <v>13764435187</v>
      </c>
      <c r="J483" s="361" t="s">
        <v>1510</v>
      </c>
      <c r="K483" s="356">
        <v>500</v>
      </c>
      <c r="L483" s="362"/>
      <c r="M483" s="362"/>
      <c r="N483" s="362">
        <f t="shared" si="14"/>
        <v>0</v>
      </c>
      <c r="O483" s="366" t="s">
        <v>52</v>
      </c>
      <c r="Q483" s="356"/>
      <c r="R483" s="356"/>
      <c r="S483" s="356"/>
      <c r="T483" s="356"/>
      <c r="U483" s="372" t="s">
        <v>781</v>
      </c>
      <c r="V483" s="372"/>
      <c r="W483" s="372"/>
      <c r="X483" s="373"/>
      <c r="Y483" s="348" t="s">
        <v>278</v>
      </c>
      <c r="Z483" s="348"/>
      <c r="AA483" s="348"/>
    </row>
    <row r="484" s="331" customFormat="1" ht="17" customHeight="1" spans="1:27">
      <c r="A484" s="550" t="s">
        <v>1511</v>
      </c>
      <c r="B484" s="348" t="s">
        <v>354</v>
      </c>
      <c r="C484" s="348" t="s">
        <v>355</v>
      </c>
      <c r="D484" s="334" t="s">
        <v>191</v>
      </c>
      <c r="E484" s="336">
        <v>43704</v>
      </c>
      <c r="F484" s="336">
        <v>43587</v>
      </c>
      <c r="G484" s="336">
        <v>43704</v>
      </c>
      <c r="H484" s="334" t="s">
        <v>1512</v>
      </c>
      <c r="I484" s="356">
        <v>13801677930</v>
      </c>
      <c r="J484" s="361" t="s">
        <v>1513</v>
      </c>
      <c r="K484" s="356">
        <v>4000</v>
      </c>
      <c r="L484" s="334">
        <v>3607</v>
      </c>
      <c r="M484" s="362"/>
      <c r="N484" s="362">
        <f t="shared" ref="N484:N511" si="15">L484+M484</f>
        <v>3607</v>
      </c>
      <c r="O484" s="356"/>
      <c r="Q484" s="356"/>
      <c r="R484" s="356"/>
      <c r="S484" s="356"/>
      <c r="T484" s="356"/>
      <c r="U484" s="372"/>
      <c r="V484" s="403">
        <v>43707</v>
      </c>
      <c r="W484" s="372"/>
      <c r="X484" s="373"/>
      <c r="Y484" s="348" t="s">
        <v>1223</v>
      </c>
      <c r="Z484" s="348"/>
      <c r="AA484" s="348"/>
    </row>
    <row r="485" s="331" customFormat="1" ht="17" customHeight="1" spans="1:27">
      <c r="A485" s="348">
        <v>2067604</v>
      </c>
      <c r="B485" s="348" t="s">
        <v>31</v>
      </c>
      <c r="C485" s="348" t="s">
        <v>377</v>
      </c>
      <c r="D485" s="349" t="s">
        <v>221</v>
      </c>
      <c r="E485" s="336">
        <v>43588</v>
      </c>
      <c r="F485" s="336">
        <v>43588</v>
      </c>
      <c r="G485" s="350"/>
      <c r="H485" s="334" t="s">
        <v>1514</v>
      </c>
      <c r="I485" s="356">
        <v>1810197342</v>
      </c>
      <c r="J485" s="361" t="s">
        <v>1515</v>
      </c>
      <c r="K485" s="356">
        <v>5000</v>
      </c>
      <c r="L485" s="362"/>
      <c r="M485" s="362"/>
      <c r="N485" s="362">
        <f t="shared" si="15"/>
        <v>0</v>
      </c>
      <c r="O485" s="366" t="s">
        <v>52</v>
      </c>
      <c r="Q485" s="356"/>
      <c r="R485" s="356"/>
      <c r="S485" s="356"/>
      <c r="T485" s="356"/>
      <c r="U485" s="372"/>
      <c r="V485" s="372"/>
      <c r="W485" s="372"/>
      <c r="X485" s="373"/>
      <c r="Y485" s="348" t="s">
        <v>1508</v>
      </c>
      <c r="Z485" s="348"/>
      <c r="AA485" s="348"/>
    </row>
    <row r="486" s="57" customFormat="1" ht="17" customHeight="1" spans="1:27">
      <c r="A486" s="348">
        <v>2025333</v>
      </c>
      <c r="B486" s="348" t="s">
        <v>137</v>
      </c>
      <c r="C486" s="348" t="s">
        <v>480</v>
      </c>
      <c r="D486" s="349" t="s">
        <v>139</v>
      </c>
      <c r="E486" s="336">
        <v>43639</v>
      </c>
      <c r="F486" s="336">
        <v>43638</v>
      </c>
      <c r="G486" s="350"/>
      <c r="H486" s="334" t="s">
        <v>1516</v>
      </c>
      <c r="I486" s="356">
        <v>13764569810</v>
      </c>
      <c r="J486" s="348" t="s">
        <v>1517</v>
      </c>
      <c r="K486" s="356">
        <f>500+1000</f>
        <v>1500</v>
      </c>
      <c r="L486" s="362"/>
      <c r="M486" s="362"/>
      <c r="N486" s="362">
        <f t="shared" si="15"/>
        <v>0</v>
      </c>
      <c r="O486" s="356"/>
      <c r="Q486" s="356"/>
      <c r="R486" s="356"/>
      <c r="S486" s="356"/>
      <c r="T486" s="356"/>
      <c r="U486" s="372" t="s">
        <v>12</v>
      </c>
      <c r="V486" s="372">
        <v>1</v>
      </c>
      <c r="W486" s="372"/>
      <c r="X486" s="373"/>
      <c r="Y486" s="348"/>
      <c r="Z486" s="348"/>
      <c r="AA486" s="348"/>
    </row>
    <row r="487" s="331" customFormat="1" ht="17" customHeight="1" spans="1:27">
      <c r="A487" s="348"/>
      <c r="B487" s="348" t="s">
        <v>31</v>
      </c>
      <c r="C487" s="348" t="s">
        <v>115</v>
      </c>
      <c r="D487" s="352" t="s">
        <v>33</v>
      </c>
      <c r="E487" s="336">
        <v>43716</v>
      </c>
      <c r="F487" s="336">
        <v>43588</v>
      </c>
      <c r="G487" s="336">
        <v>43715</v>
      </c>
      <c r="H487" s="334" t="s">
        <v>1518</v>
      </c>
      <c r="I487" s="356">
        <v>15000895918</v>
      </c>
      <c r="J487" s="361" t="s">
        <v>1519</v>
      </c>
      <c r="K487" s="356">
        <v>4550</v>
      </c>
      <c r="L487" s="334">
        <v>11050</v>
      </c>
      <c r="M487" s="362"/>
      <c r="N487" s="362">
        <f t="shared" si="15"/>
        <v>11050</v>
      </c>
      <c r="O487" s="356"/>
      <c r="Q487" s="356"/>
      <c r="R487" s="356"/>
      <c r="S487" s="356"/>
      <c r="T487" s="356"/>
      <c r="U487" s="372"/>
      <c r="V487" s="372"/>
      <c r="W487" s="372"/>
      <c r="X487" s="373"/>
      <c r="Y487" s="348"/>
      <c r="Z487" s="348"/>
      <c r="AA487" s="348"/>
    </row>
    <row r="488" s="331" customFormat="1" ht="17" customHeight="1" spans="1:27">
      <c r="A488" s="348">
        <v>2025523</v>
      </c>
      <c r="B488" s="348" t="s">
        <v>335</v>
      </c>
      <c r="C488" s="348" t="s">
        <v>615</v>
      </c>
      <c r="D488" s="349" t="s">
        <v>337</v>
      </c>
      <c r="E488" s="336">
        <v>43588</v>
      </c>
      <c r="F488" s="336">
        <v>43588</v>
      </c>
      <c r="G488" s="350"/>
      <c r="H488" s="334" t="s">
        <v>1520</v>
      </c>
      <c r="I488" s="356">
        <v>13817361177</v>
      </c>
      <c r="J488" s="361" t="s">
        <v>1521</v>
      </c>
      <c r="K488" s="356">
        <v>3000</v>
      </c>
      <c r="L488" s="362"/>
      <c r="M488" s="362"/>
      <c r="N488" s="362">
        <f t="shared" si="15"/>
        <v>0</v>
      </c>
      <c r="O488" s="356" t="s">
        <v>19</v>
      </c>
      <c r="Q488" s="356"/>
      <c r="R488" s="356"/>
      <c r="S488" s="356"/>
      <c r="T488" s="356"/>
      <c r="U488" s="372" t="s">
        <v>555</v>
      </c>
      <c r="V488" s="372"/>
      <c r="W488" s="372"/>
      <c r="X488" s="373">
        <v>1</v>
      </c>
      <c r="Y488" s="348"/>
      <c r="Z488" s="348"/>
      <c r="AA488" s="348"/>
    </row>
    <row r="489" s="331" customFormat="1" ht="17" customHeight="1" spans="1:27">
      <c r="A489" s="348">
        <v>2067362</v>
      </c>
      <c r="B489" s="348" t="s">
        <v>405</v>
      </c>
      <c r="C489" s="348" t="s">
        <v>206</v>
      </c>
      <c r="D489" s="349" t="s">
        <v>407</v>
      </c>
      <c r="E489" s="336">
        <v>43588</v>
      </c>
      <c r="F489" s="336">
        <v>43588</v>
      </c>
      <c r="G489" s="336">
        <v>43654</v>
      </c>
      <c r="H489" s="334" t="s">
        <v>1522</v>
      </c>
      <c r="I489" s="356">
        <v>13564472209</v>
      </c>
      <c r="J489" s="361" t="s">
        <v>1523</v>
      </c>
      <c r="K489" s="356">
        <v>3000</v>
      </c>
      <c r="L489" s="334">
        <v>15872</v>
      </c>
      <c r="M489" s="334"/>
      <c r="N489" s="362">
        <f t="shared" si="15"/>
        <v>15872</v>
      </c>
      <c r="O489" s="356"/>
      <c r="Q489" s="356"/>
      <c r="R489" s="356"/>
      <c r="S489" s="356"/>
      <c r="T489" s="356"/>
      <c r="U489" s="372"/>
      <c r="V489" s="372"/>
      <c r="W489" s="372"/>
      <c r="X489" s="373"/>
      <c r="Y489" s="348" t="s">
        <v>1223</v>
      </c>
      <c r="Z489" s="348"/>
      <c r="AA489" s="348"/>
    </row>
    <row r="490" s="331" customFormat="1" ht="17" customHeight="1" spans="1:27">
      <c r="A490" s="348">
        <v>2025524</v>
      </c>
      <c r="B490" s="348" t="s">
        <v>335</v>
      </c>
      <c r="C490" s="348" t="s">
        <v>615</v>
      </c>
      <c r="D490" s="349" t="s">
        <v>337</v>
      </c>
      <c r="E490" s="336">
        <v>43589</v>
      </c>
      <c r="F490" s="336">
        <v>43588</v>
      </c>
      <c r="G490" s="350"/>
      <c r="H490" s="334" t="s">
        <v>1524</v>
      </c>
      <c r="I490" s="356">
        <v>13122602240</v>
      </c>
      <c r="J490" s="361" t="s">
        <v>1525</v>
      </c>
      <c r="K490" s="356">
        <v>10000</v>
      </c>
      <c r="L490" s="362"/>
      <c r="M490" s="362"/>
      <c r="N490" s="362">
        <f t="shared" si="15"/>
        <v>0</v>
      </c>
      <c r="O490" s="356"/>
      <c r="P490" s="356" t="s">
        <v>1526</v>
      </c>
      <c r="Q490" s="356"/>
      <c r="R490" s="356"/>
      <c r="S490" s="356"/>
      <c r="T490" s="356"/>
      <c r="U490" s="372" t="s">
        <v>40</v>
      </c>
      <c r="V490" s="372"/>
      <c r="W490" s="372"/>
      <c r="X490" s="373"/>
      <c r="Y490" s="348" t="s">
        <v>1223</v>
      </c>
      <c r="Z490" s="348"/>
      <c r="AA490" s="348"/>
    </row>
    <row r="491" s="331" customFormat="1" ht="17" customHeight="1" spans="1:27">
      <c r="A491" s="348">
        <v>2026705</v>
      </c>
      <c r="B491" s="348" t="s">
        <v>137</v>
      </c>
      <c r="C491" s="348" t="s">
        <v>138</v>
      </c>
      <c r="D491" s="349" t="s">
        <v>139</v>
      </c>
      <c r="E491" s="336">
        <v>43705</v>
      </c>
      <c r="F491" s="336">
        <v>43588</v>
      </c>
      <c r="G491" s="336">
        <v>43705</v>
      </c>
      <c r="H491" s="334" t="s">
        <v>1527</v>
      </c>
      <c r="I491" s="356">
        <v>13818105554</v>
      </c>
      <c r="J491" s="361" t="s">
        <v>1528</v>
      </c>
      <c r="K491" s="356">
        <v>3000</v>
      </c>
      <c r="L491" s="334">
        <v>8260</v>
      </c>
      <c r="M491" s="362"/>
      <c r="N491" s="362">
        <f t="shared" si="15"/>
        <v>8260</v>
      </c>
      <c r="O491" s="356">
        <v>1</v>
      </c>
      <c r="Q491" s="356"/>
      <c r="R491" s="356"/>
      <c r="S491" s="356"/>
      <c r="T491" s="356"/>
      <c r="U491" s="372"/>
      <c r="V491" s="372"/>
      <c r="W491" s="372"/>
      <c r="X491" s="373">
        <v>1</v>
      </c>
      <c r="Y491" s="348" t="s">
        <v>1223</v>
      </c>
      <c r="Z491" s="348"/>
      <c r="AA491" s="348"/>
    </row>
    <row r="492" s="331" customFormat="1" ht="17" customHeight="1" spans="1:27">
      <c r="A492" s="550" t="s">
        <v>1529</v>
      </c>
      <c r="B492" s="348" t="s">
        <v>185</v>
      </c>
      <c r="C492" s="348" t="s">
        <v>1530</v>
      </c>
      <c r="D492" s="352" t="s">
        <v>44</v>
      </c>
      <c r="E492" s="336">
        <v>43589</v>
      </c>
      <c r="F492" s="336">
        <v>43588</v>
      </c>
      <c r="G492" s="350"/>
      <c r="H492" s="334" t="s">
        <v>1531</v>
      </c>
      <c r="I492" s="356">
        <v>13166342792</v>
      </c>
      <c r="J492" s="361" t="s">
        <v>1532</v>
      </c>
      <c r="K492" s="356">
        <v>3000</v>
      </c>
      <c r="L492" s="362"/>
      <c r="M492" s="362"/>
      <c r="N492" s="362">
        <f t="shared" si="15"/>
        <v>0</v>
      </c>
      <c r="O492" s="356"/>
      <c r="Q492" s="356"/>
      <c r="R492" s="356" t="s">
        <v>52</v>
      </c>
      <c r="S492" s="356"/>
      <c r="T492" s="356"/>
      <c r="U492" s="372"/>
      <c r="V492" s="372"/>
      <c r="W492" s="372"/>
      <c r="X492" s="373"/>
      <c r="Y492" s="348" t="s">
        <v>1223</v>
      </c>
      <c r="Z492" s="348"/>
      <c r="AA492" s="348"/>
    </row>
    <row r="493" s="331" customFormat="1" ht="17" customHeight="1" spans="1:27">
      <c r="A493" s="348">
        <v>2068757</v>
      </c>
      <c r="B493" s="348" t="s">
        <v>726</v>
      </c>
      <c r="C493" s="348" t="s">
        <v>727</v>
      </c>
      <c r="D493" s="349" t="s">
        <v>75</v>
      </c>
      <c r="E493" s="336">
        <v>43589</v>
      </c>
      <c r="F493" s="336">
        <v>43588</v>
      </c>
      <c r="G493" s="336">
        <v>43653</v>
      </c>
      <c r="H493" s="334" t="s">
        <v>1533</v>
      </c>
      <c r="I493" s="356">
        <v>13761915371</v>
      </c>
      <c r="J493" s="361" t="s">
        <v>1534</v>
      </c>
      <c r="K493" s="356">
        <v>7600</v>
      </c>
      <c r="L493" s="334">
        <v>14033</v>
      </c>
      <c r="M493" s="334"/>
      <c r="N493" s="362">
        <f t="shared" si="15"/>
        <v>14033</v>
      </c>
      <c r="O493" s="356"/>
      <c r="Q493" s="356"/>
      <c r="R493" s="356"/>
      <c r="S493" s="356"/>
      <c r="T493" s="356"/>
      <c r="U493" s="372"/>
      <c r="V493" s="372"/>
      <c r="W493" s="372"/>
      <c r="X493" s="373"/>
      <c r="Y493" s="348" t="s">
        <v>1223</v>
      </c>
      <c r="Z493" s="348"/>
      <c r="AA493" s="348"/>
    </row>
    <row r="494" s="331" customFormat="1" ht="17" customHeight="1" spans="1:27">
      <c r="A494" s="348">
        <v>2023590</v>
      </c>
      <c r="B494" s="348" t="s">
        <v>73</v>
      </c>
      <c r="C494" s="348" t="s">
        <v>74</v>
      </c>
      <c r="D494" s="352" t="s">
        <v>75</v>
      </c>
      <c r="E494" s="336">
        <v>43589</v>
      </c>
      <c r="F494" s="336">
        <v>43588</v>
      </c>
      <c r="G494" s="350" t="s">
        <v>40</v>
      </c>
      <c r="H494" s="334" t="s">
        <v>1535</v>
      </c>
      <c r="I494" s="356">
        <v>13761103792</v>
      </c>
      <c r="J494" s="361" t="s">
        <v>1536</v>
      </c>
      <c r="K494" s="356">
        <v>1000</v>
      </c>
      <c r="L494" s="362"/>
      <c r="M494" s="362"/>
      <c r="N494" s="362">
        <f t="shared" si="15"/>
        <v>0</v>
      </c>
      <c r="O494" s="356"/>
      <c r="Q494" s="356"/>
      <c r="R494" s="366" t="s">
        <v>52</v>
      </c>
      <c r="S494" s="356"/>
      <c r="T494" s="356"/>
      <c r="U494" s="372"/>
      <c r="V494" s="372"/>
      <c r="W494" s="372"/>
      <c r="X494" s="373"/>
      <c r="Y494" s="348" t="s">
        <v>1223</v>
      </c>
      <c r="Z494" s="348" t="s">
        <v>79</v>
      </c>
      <c r="AA494" s="348"/>
    </row>
    <row r="495" s="331" customFormat="1" ht="17" customHeight="1" spans="1:27">
      <c r="A495" s="348">
        <v>2023574</v>
      </c>
      <c r="B495" s="348" t="s">
        <v>73</v>
      </c>
      <c r="C495" s="348" t="s">
        <v>1130</v>
      </c>
      <c r="D495" s="349" t="s">
        <v>162</v>
      </c>
      <c r="E495" s="336">
        <v>43587</v>
      </c>
      <c r="F495" s="336">
        <v>43586</v>
      </c>
      <c r="G495" s="350" t="s">
        <v>69</v>
      </c>
      <c r="H495" s="334" t="s">
        <v>1537</v>
      </c>
      <c r="I495" s="356">
        <v>13788938685</v>
      </c>
      <c r="J495" s="361" t="s">
        <v>1538</v>
      </c>
      <c r="K495" s="356">
        <v>3000</v>
      </c>
      <c r="L495" s="362"/>
      <c r="M495" s="362"/>
      <c r="N495" s="362">
        <f t="shared" si="15"/>
        <v>0</v>
      </c>
      <c r="O495" s="356"/>
      <c r="P495" s="402"/>
      <c r="Q495" s="366"/>
      <c r="R495" s="366" t="s">
        <v>52</v>
      </c>
      <c r="S495" s="356"/>
      <c r="T495" s="356"/>
      <c r="U495" s="372"/>
      <c r="V495" s="372"/>
      <c r="W495" s="372"/>
      <c r="X495" s="373"/>
      <c r="Y495" s="348" t="s">
        <v>1223</v>
      </c>
      <c r="Z495" s="348"/>
      <c r="AA495" s="348"/>
    </row>
    <row r="496" s="331" customFormat="1" ht="17" customHeight="1" spans="1:27">
      <c r="A496" s="348">
        <v>2024503</v>
      </c>
      <c r="B496" s="348" t="s">
        <v>73</v>
      </c>
      <c r="C496" s="348" t="s">
        <v>178</v>
      </c>
      <c r="D496" s="349" t="s">
        <v>75</v>
      </c>
      <c r="E496" s="336">
        <v>43589</v>
      </c>
      <c r="F496" s="336">
        <v>43588</v>
      </c>
      <c r="G496" s="350"/>
      <c r="H496" s="334" t="s">
        <v>1539</v>
      </c>
      <c r="I496" s="356">
        <v>13918480837</v>
      </c>
      <c r="J496" s="361" t="s">
        <v>1540</v>
      </c>
      <c r="K496" s="356">
        <v>1000</v>
      </c>
      <c r="L496" s="362"/>
      <c r="M496" s="362"/>
      <c r="N496" s="362">
        <f t="shared" si="15"/>
        <v>0</v>
      </c>
      <c r="O496" s="356"/>
      <c r="Q496" s="366" t="s">
        <v>52</v>
      </c>
      <c r="R496" s="356"/>
      <c r="S496" s="356"/>
      <c r="T496" s="356"/>
      <c r="U496" s="376" t="s">
        <v>12</v>
      </c>
      <c r="V496" s="372"/>
      <c r="W496" s="372"/>
      <c r="X496" s="373"/>
      <c r="Y496" s="348" t="s">
        <v>1223</v>
      </c>
      <c r="Z496" s="348" t="s">
        <v>79</v>
      </c>
      <c r="AA496" s="348"/>
    </row>
    <row r="497" s="331" customFormat="1" ht="17" customHeight="1" spans="1:27">
      <c r="A497" s="348">
        <v>2023587</v>
      </c>
      <c r="B497" s="348" t="s">
        <v>73</v>
      </c>
      <c r="C497" s="348" t="s">
        <v>74</v>
      </c>
      <c r="D497" s="352" t="s">
        <v>75</v>
      </c>
      <c r="E497" s="336">
        <v>43589</v>
      </c>
      <c r="F497" s="336">
        <v>43588</v>
      </c>
      <c r="G497" s="350" t="s">
        <v>69</v>
      </c>
      <c r="H497" s="334" t="s">
        <v>1541</v>
      </c>
      <c r="I497" s="356">
        <v>13918159859</v>
      </c>
      <c r="J497" s="361" t="s">
        <v>1542</v>
      </c>
      <c r="K497" s="356">
        <v>1000</v>
      </c>
      <c r="L497" s="362"/>
      <c r="M497" s="362"/>
      <c r="N497" s="362">
        <f t="shared" si="15"/>
        <v>0</v>
      </c>
      <c r="O497" s="356"/>
      <c r="Q497" s="356"/>
      <c r="R497" s="366" t="s">
        <v>52</v>
      </c>
      <c r="S497" s="356"/>
      <c r="T497" s="356"/>
      <c r="U497" s="372"/>
      <c r="V497" s="372"/>
      <c r="W497" s="372"/>
      <c r="X497" s="373"/>
      <c r="Y497" s="348" t="s">
        <v>1223</v>
      </c>
      <c r="Z497" s="348" t="s">
        <v>79</v>
      </c>
      <c r="AA497" s="348"/>
    </row>
    <row r="498" s="331" customFormat="1" ht="17" customHeight="1" spans="1:27">
      <c r="A498" s="348">
        <v>2027552</v>
      </c>
      <c r="B498" s="348" t="s">
        <v>73</v>
      </c>
      <c r="C498" s="348" t="s">
        <v>74</v>
      </c>
      <c r="D498" s="349" t="s">
        <v>143</v>
      </c>
      <c r="E498" s="336">
        <v>43589</v>
      </c>
      <c r="F498" s="336">
        <v>43588</v>
      </c>
      <c r="G498" s="336">
        <v>43655</v>
      </c>
      <c r="H498" s="334" t="s">
        <v>1543</v>
      </c>
      <c r="I498" s="356">
        <v>13601999597</v>
      </c>
      <c r="J498" s="361" t="s">
        <v>1544</v>
      </c>
      <c r="K498" s="356">
        <v>1000</v>
      </c>
      <c r="L498" s="334">
        <v>20165</v>
      </c>
      <c r="M498" s="334"/>
      <c r="N498" s="362">
        <f t="shared" si="15"/>
        <v>20165</v>
      </c>
      <c r="O498" s="356"/>
      <c r="P498" s="356"/>
      <c r="Q498" s="356"/>
      <c r="R498" s="356"/>
      <c r="S498" s="356"/>
      <c r="T498" s="356"/>
      <c r="U498" s="372"/>
      <c r="V498" s="372"/>
      <c r="W498" s="372"/>
      <c r="X498" s="373"/>
      <c r="Y498" s="348" t="s">
        <v>1223</v>
      </c>
      <c r="Z498" s="348" t="s">
        <v>79</v>
      </c>
      <c r="AA498" s="348"/>
    </row>
    <row r="499" s="331" customFormat="1" ht="17" customHeight="1" spans="1:27">
      <c r="A499" s="550" t="s">
        <v>1545</v>
      </c>
      <c r="B499" s="348" t="s">
        <v>94</v>
      </c>
      <c r="C499" s="348" t="s">
        <v>101</v>
      </c>
      <c r="D499" s="352" t="s">
        <v>49</v>
      </c>
      <c r="E499" s="336">
        <v>43589</v>
      </c>
      <c r="F499" s="336">
        <v>43588</v>
      </c>
      <c r="G499" s="350"/>
      <c r="H499" s="334" t="s">
        <v>1546</v>
      </c>
      <c r="I499" s="356">
        <v>15121177836</v>
      </c>
      <c r="J499" s="361" t="s">
        <v>1547</v>
      </c>
      <c r="K499" s="356">
        <v>1000</v>
      </c>
      <c r="L499" s="362"/>
      <c r="M499" s="362"/>
      <c r="N499" s="362">
        <f t="shared" si="15"/>
        <v>0</v>
      </c>
      <c r="O499" s="356"/>
      <c r="P499" s="356"/>
      <c r="Q499" s="356"/>
      <c r="R499" s="356"/>
      <c r="S499" s="356"/>
      <c r="T499" s="356"/>
      <c r="U499" s="372">
        <v>2019.8</v>
      </c>
      <c r="V499" s="372"/>
      <c r="W499" s="372" t="s">
        <v>98</v>
      </c>
      <c r="X499" s="373"/>
      <c r="Y499" s="348" t="s">
        <v>1223</v>
      </c>
      <c r="Z499" s="348"/>
      <c r="AA499" s="348"/>
    </row>
    <row r="500" s="331" customFormat="1" ht="17" customHeight="1" spans="1:27">
      <c r="A500" s="550" t="s">
        <v>1548</v>
      </c>
      <c r="B500" s="348" t="s">
        <v>130</v>
      </c>
      <c r="C500" s="348" t="s">
        <v>1431</v>
      </c>
      <c r="D500" s="352" t="s">
        <v>1431</v>
      </c>
      <c r="E500" s="336">
        <v>43589</v>
      </c>
      <c r="F500" s="336">
        <v>43588</v>
      </c>
      <c r="G500" s="350"/>
      <c r="H500" s="334" t="s">
        <v>1549</v>
      </c>
      <c r="I500" s="356">
        <v>13917166096</v>
      </c>
      <c r="J500" s="361" t="s">
        <v>1550</v>
      </c>
      <c r="K500" s="356">
        <v>1000</v>
      </c>
      <c r="L500" s="362"/>
      <c r="M500" s="362"/>
      <c r="N500" s="362">
        <f t="shared" si="15"/>
        <v>0</v>
      </c>
      <c r="O500" s="356"/>
      <c r="P500" s="356"/>
      <c r="Q500" s="356"/>
      <c r="R500" s="356"/>
      <c r="S500" s="356"/>
      <c r="T500" s="356"/>
      <c r="U500" s="372" t="s">
        <v>136</v>
      </c>
      <c r="V500" s="372"/>
      <c r="W500" s="372"/>
      <c r="X500" s="373"/>
      <c r="Y500" s="348" t="s">
        <v>418</v>
      </c>
      <c r="Z500" s="348"/>
      <c r="AA500" s="348"/>
    </row>
    <row r="501" s="331" customFormat="1" ht="17" customHeight="1" spans="1:27">
      <c r="A501" s="348">
        <v>2066477</v>
      </c>
      <c r="B501" s="348" t="s">
        <v>130</v>
      </c>
      <c r="C501" s="348" t="s">
        <v>1431</v>
      </c>
      <c r="D501" s="352" t="s">
        <v>1431</v>
      </c>
      <c r="E501" s="336">
        <v>43768</v>
      </c>
      <c r="F501" s="336">
        <v>43588</v>
      </c>
      <c r="G501" s="336">
        <v>43761</v>
      </c>
      <c r="H501" s="334" t="s">
        <v>1551</v>
      </c>
      <c r="I501" s="356">
        <v>13916364965</v>
      </c>
      <c r="J501" s="361" t="s">
        <v>1552</v>
      </c>
      <c r="K501" s="356">
        <v>1000</v>
      </c>
      <c r="L501" s="334">
        <v>3534</v>
      </c>
      <c r="M501" s="362"/>
      <c r="N501" s="362">
        <f t="shared" si="15"/>
        <v>3534</v>
      </c>
      <c r="O501" s="356"/>
      <c r="P501" s="356"/>
      <c r="Q501" s="356"/>
      <c r="R501" s="356">
        <v>1</v>
      </c>
      <c r="S501" s="356"/>
      <c r="T501" s="356"/>
      <c r="U501" s="372"/>
      <c r="V501" s="372"/>
      <c r="W501" s="372"/>
      <c r="X501" s="373">
        <v>1</v>
      </c>
      <c r="Y501" s="348" t="s">
        <v>418</v>
      </c>
      <c r="Z501" s="348"/>
      <c r="AA501" s="348"/>
    </row>
    <row r="502" s="331" customFormat="1" ht="17" customHeight="1" spans="1:27">
      <c r="A502" s="550" t="s">
        <v>1553</v>
      </c>
      <c r="B502" s="348" t="s">
        <v>123</v>
      </c>
      <c r="C502" s="348" t="s">
        <v>124</v>
      </c>
      <c r="D502" s="349" t="s">
        <v>125</v>
      </c>
      <c r="E502" s="336">
        <v>43589</v>
      </c>
      <c r="F502" s="336">
        <v>43586</v>
      </c>
      <c r="G502" s="350"/>
      <c r="H502" s="334" t="s">
        <v>1554</v>
      </c>
      <c r="I502" s="356">
        <v>13585761039</v>
      </c>
      <c r="J502" s="361" t="s">
        <v>1555</v>
      </c>
      <c r="K502" s="356">
        <v>1000</v>
      </c>
      <c r="L502" s="362"/>
      <c r="M502" s="362"/>
      <c r="N502" s="362">
        <f t="shared" si="15"/>
        <v>0</v>
      </c>
      <c r="O502" s="356"/>
      <c r="P502" s="356"/>
      <c r="Q502" s="356"/>
      <c r="R502" s="356"/>
      <c r="S502" s="356" t="s">
        <v>23</v>
      </c>
      <c r="T502" s="356"/>
      <c r="U502" s="372" t="s">
        <v>12</v>
      </c>
      <c r="V502" s="372"/>
      <c r="W502" s="372"/>
      <c r="X502" s="373"/>
      <c r="Y502" s="348" t="s">
        <v>418</v>
      </c>
      <c r="Z502" s="348"/>
      <c r="AA502" s="348"/>
    </row>
    <row r="503" s="331" customFormat="1" ht="17" customHeight="1" spans="1:27">
      <c r="A503" s="348">
        <v>2066457</v>
      </c>
      <c r="B503" s="348" t="s">
        <v>123</v>
      </c>
      <c r="C503" s="348" t="s">
        <v>124</v>
      </c>
      <c r="D503" s="349" t="s">
        <v>125</v>
      </c>
      <c r="E503" s="336">
        <v>43589</v>
      </c>
      <c r="F503" s="336">
        <v>43586</v>
      </c>
      <c r="G503" s="336">
        <v>43652</v>
      </c>
      <c r="H503" s="334" t="s">
        <v>1556</v>
      </c>
      <c r="I503" s="356">
        <v>15900765520</v>
      </c>
      <c r="J503" s="361" t="s">
        <v>1557</v>
      </c>
      <c r="K503" s="356">
        <v>1000</v>
      </c>
      <c r="L503" s="334">
        <v>3998</v>
      </c>
      <c r="M503" s="334">
        <v>736</v>
      </c>
      <c r="N503" s="362">
        <f t="shared" si="15"/>
        <v>4734</v>
      </c>
      <c r="O503" s="356"/>
      <c r="P503" s="356"/>
      <c r="Q503" s="356"/>
      <c r="R503" s="356"/>
      <c r="S503" s="356"/>
      <c r="T503" s="356"/>
      <c r="U503" s="372"/>
      <c r="V503" s="372"/>
      <c r="W503" s="372"/>
      <c r="X503" s="373"/>
      <c r="Y503" s="348" t="s">
        <v>418</v>
      </c>
      <c r="Z503" s="348"/>
      <c r="AA503" s="348"/>
    </row>
    <row r="504" s="331" customFormat="1" ht="17" customHeight="1" spans="1:27">
      <c r="A504" s="550" t="s">
        <v>1558</v>
      </c>
      <c r="B504" s="348" t="s">
        <v>123</v>
      </c>
      <c r="C504" s="348" t="s">
        <v>124</v>
      </c>
      <c r="D504" s="349" t="s">
        <v>125</v>
      </c>
      <c r="E504" s="336">
        <v>43589</v>
      </c>
      <c r="F504" s="336">
        <v>43587</v>
      </c>
      <c r="G504" s="336">
        <v>43666</v>
      </c>
      <c r="H504" s="334" t="s">
        <v>1559</v>
      </c>
      <c r="I504" s="356">
        <v>13671700199</v>
      </c>
      <c r="J504" s="361" t="s">
        <v>1560</v>
      </c>
      <c r="K504" s="356">
        <v>3000</v>
      </c>
      <c r="L504" s="334">
        <v>11561</v>
      </c>
      <c r="M504" s="362"/>
      <c r="N504" s="362">
        <f t="shared" si="15"/>
        <v>11561</v>
      </c>
      <c r="O504" s="356"/>
      <c r="P504" s="356"/>
      <c r="Q504" s="356"/>
      <c r="R504" s="356"/>
      <c r="S504" s="356"/>
      <c r="T504" s="356"/>
      <c r="U504" s="372"/>
      <c r="V504" s="372"/>
      <c r="W504" s="372"/>
      <c r="X504" s="373"/>
      <c r="Y504" s="348" t="s">
        <v>1338</v>
      </c>
      <c r="Z504" s="348"/>
      <c r="AA504" s="348"/>
    </row>
    <row r="505" s="331" customFormat="1" ht="17" customHeight="1" spans="1:27">
      <c r="A505" s="550" t="s">
        <v>1561</v>
      </c>
      <c r="B505" s="348" t="s">
        <v>123</v>
      </c>
      <c r="C505" s="348" t="s">
        <v>902</v>
      </c>
      <c r="D505" s="349" t="s">
        <v>37</v>
      </c>
      <c r="E505" s="336">
        <v>43589</v>
      </c>
      <c r="F505" s="336">
        <v>43588</v>
      </c>
      <c r="G505" s="336">
        <v>43661</v>
      </c>
      <c r="H505" s="334" t="s">
        <v>1562</v>
      </c>
      <c r="I505" s="356">
        <v>18516508618</v>
      </c>
      <c r="J505" s="361" t="s">
        <v>1563</v>
      </c>
      <c r="K505" s="356">
        <v>1000</v>
      </c>
      <c r="L505" s="334">
        <v>9325</v>
      </c>
      <c r="M505" s="334"/>
      <c r="N505" s="362">
        <f t="shared" si="15"/>
        <v>9325</v>
      </c>
      <c r="O505" s="356"/>
      <c r="P505" s="356"/>
      <c r="Q505" s="356"/>
      <c r="R505" s="356"/>
      <c r="S505" s="356"/>
      <c r="T505" s="356"/>
      <c r="U505" s="372"/>
      <c r="V505" s="372"/>
      <c r="W505" s="372"/>
      <c r="X505" s="373"/>
      <c r="Y505" s="348" t="s">
        <v>418</v>
      </c>
      <c r="Z505" s="348"/>
      <c r="AA505" s="348"/>
    </row>
    <row r="506" s="331" customFormat="1" ht="17" customHeight="1" spans="1:27">
      <c r="A506" s="550" t="s">
        <v>1564</v>
      </c>
      <c r="B506" s="348" t="s">
        <v>123</v>
      </c>
      <c r="C506" s="348" t="s">
        <v>124</v>
      </c>
      <c r="D506" s="349" t="s">
        <v>125</v>
      </c>
      <c r="E506" s="336">
        <v>43589</v>
      </c>
      <c r="F506" s="336">
        <v>43587</v>
      </c>
      <c r="G506" s="350"/>
      <c r="H506" s="334" t="s">
        <v>1565</v>
      </c>
      <c r="I506" s="356">
        <v>13524751468</v>
      </c>
      <c r="J506" s="361" t="s">
        <v>1566</v>
      </c>
      <c r="K506" s="356">
        <v>1000</v>
      </c>
      <c r="L506" s="362"/>
      <c r="M506" s="362"/>
      <c r="N506" s="362">
        <f t="shared" si="15"/>
        <v>0</v>
      </c>
      <c r="O506" s="356"/>
      <c r="P506" s="356"/>
      <c r="Q506" s="356"/>
      <c r="R506" s="356"/>
      <c r="S506" s="356" t="s">
        <v>52</v>
      </c>
      <c r="T506" s="356"/>
      <c r="U506" s="393" t="s">
        <v>40</v>
      </c>
      <c r="V506" s="372"/>
      <c r="W506" s="374"/>
      <c r="X506" s="373"/>
      <c r="Y506" s="348" t="s">
        <v>418</v>
      </c>
      <c r="Z506" s="348"/>
      <c r="AA506" s="348"/>
    </row>
    <row r="507" s="331" customFormat="1" ht="17" customHeight="1" spans="1:28">
      <c r="A507" s="550" t="s">
        <v>1567</v>
      </c>
      <c r="B507" s="348" t="s">
        <v>123</v>
      </c>
      <c r="C507" s="348" t="s">
        <v>124</v>
      </c>
      <c r="D507" s="349" t="s">
        <v>125</v>
      </c>
      <c r="E507" s="336">
        <v>43589</v>
      </c>
      <c r="F507" s="336">
        <v>43586</v>
      </c>
      <c r="G507" s="350"/>
      <c r="H507" s="334" t="s">
        <v>1568</v>
      </c>
      <c r="I507" s="356">
        <v>17621517354</v>
      </c>
      <c r="J507" s="361" t="s">
        <v>1569</v>
      </c>
      <c r="K507" s="356">
        <v>1000</v>
      </c>
      <c r="L507" s="362"/>
      <c r="M507" s="362"/>
      <c r="N507" s="362">
        <f t="shared" si="15"/>
        <v>0</v>
      </c>
      <c r="O507" s="356"/>
      <c r="P507" s="356"/>
      <c r="Q507" s="356" t="s">
        <v>52</v>
      </c>
      <c r="R507" s="356"/>
      <c r="S507" s="356"/>
      <c r="T507" s="356"/>
      <c r="U507" s="393" t="s">
        <v>40</v>
      </c>
      <c r="V507" s="374">
        <v>43697</v>
      </c>
      <c r="W507" s="372"/>
      <c r="X507" s="373"/>
      <c r="Y507" s="348" t="s">
        <v>418</v>
      </c>
      <c r="Z507" s="348"/>
      <c r="AA507" s="348"/>
      <c r="AB507" s="331" t="s">
        <v>659</v>
      </c>
    </row>
    <row r="508" s="331" customFormat="1" ht="17" customHeight="1" spans="1:28">
      <c r="A508" s="550" t="s">
        <v>1570</v>
      </c>
      <c r="B508" s="348" t="s">
        <v>123</v>
      </c>
      <c r="C508" s="348" t="s">
        <v>124</v>
      </c>
      <c r="D508" s="334" t="s">
        <v>132</v>
      </c>
      <c r="E508" s="336">
        <v>43704</v>
      </c>
      <c r="F508" s="336">
        <v>43587</v>
      </c>
      <c r="G508" s="336">
        <v>43703</v>
      </c>
      <c r="H508" s="334" t="s">
        <v>1571</v>
      </c>
      <c r="I508" s="356">
        <v>15601996013</v>
      </c>
      <c r="J508" s="361" t="s">
        <v>1572</v>
      </c>
      <c r="K508" s="356">
        <v>1000</v>
      </c>
      <c r="L508" s="334">
        <v>14100</v>
      </c>
      <c r="M508" s="362"/>
      <c r="N508" s="362">
        <f t="shared" si="15"/>
        <v>14100</v>
      </c>
      <c r="O508" s="356"/>
      <c r="P508" s="356"/>
      <c r="Q508" s="356" t="s">
        <v>52</v>
      </c>
      <c r="R508" s="356"/>
      <c r="S508" s="356"/>
      <c r="T508" s="356"/>
      <c r="U508" s="372"/>
      <c r="V508" s="374">
        <v>43692</v>
      </c>
      <c r="W508" s="372"/>
      <c r="X508" s="373"/>
      <c r="Y508" s="348" t="s">
        <v>418</v>
      </c>
      <c r="Z508" s="348"/>
      <c r="AA508" s="348"/>
      <c r="AB508" s="331" t="s">
        <v>659</v>
      </c>
    </row>
    <row r="509" s="331" customFormat="1" ht="17" customHeight="1" spans="1:27">
      <c r="A509" s="550" t="s">
        <v>1573</v>
      </c>
      <c r="B509" s="348" t="s">
        <v>185</v>
      </c>
      <c r="C509" s="348" t="s">
        <v>886</v>
      </c>
      <c r="D509" s="349" t="s">
        <v>187</v>
      </c>
      <c r="E509" s="336">
        <v>43736</v>
      </c>
      <c r="F509" s="336">
        <v>43587</v>
      </c>
      <c r="G509" s="336">
        <v>43736</v>
      </c>
      <c r="H509" s="334" t="s">
        <v>1574</v>
      </c>
      <c r="I509" s="356">
        <v>13501810076</v>
      </c>
      <c r="J509" s="361" t="s">
        <v>1575</v>
      </c>
      <c r="K509" s="356">
        <v>1000</v>
      </c>
      <c r="L509" s="334">
        <v>8010</v>
      </c>
      <c r="M509" s="362"/>
      <c r="N509" s="362">
        <f t="shared" si="15"/>
        <v>8010</v>
      </c>
      <c r="O509" s="356"/>
      <c r="P509" s="356"/>
      <c r="Q509" s="356"/>
      <c r="R509" s="356"/>
      <c r="S509" s="356" t="s">
        <v>52</v>
      </c>
      <c r="T509" s="356"/>
      <c r="U509" s="372"/>
      <c r="V509" s="372"/>
      <c r="W509" s="372"/>
      <c r="X509" s="373"/>
      <c r="Y509" s="348" t="s">
        <v>1223</v>
      </c>
      <c r="Z509" s="348"/>
      <c r="AA509" s="348"/>
    </row>
    <row r="510" s="331" customFormat="1" ht="17" customHeight="1" spans="1:27">
      <c r="A510" s="348"/>
      <c r="B510" s="348" t="s">
        <v>185</v>
      </c>
      <c r="C510" s="348" t="s">
        <v>886</v>
      </c>
      <c r="D510" s="349" t="s">
        <v>187</v>
      </c>
      <c r="E510" s="336">
        <v>43589</v>
      </c>
      <c r="F510" s="336">
        <v>43587</v>
      </c>
      <c r="G510" s="350"/>
      <c r="H510" s="334" t="s">
        <v>1576</v>
      </c>
      <c r="I510" s="356">
        <v>13682050005</v>
      </c>
      <c r="J510" s="361" t="s">
        <v>1577</v>
      </c>
      <c r="K510" s="356">
        <v>1000</v>
      </c>
      <c r="L510" s="362"/>
      <c r="M510" s="362"/>
      <c r="N510" s="362">
        <f t="shared" si="15"/>
        <v>0</v>
      </c>
      <c r="O510" s="356"/>
      <c r="P510" s="356"/>
      <c r="Q510" s="356"/>
      <c r="R510" s="356"/>
      <c r="S510" s="356"/>
      <c r="T510" s="356"/>
      <c r="U510" s="374">
        <v>43615</v>
      </c>
      <c r="V510" s="372"/>
      <c r="W510" s="372"/>
      <c r="X510" s="373"/>
      <c r="Y510" s="348" t="s">
        <v>418</v>
      </c>
      <c r="Z510" s="348"/>
      <c r="AA510" s="348"/>
    </row>
    <row r="511" s="331" customFormat="1" ht="17" customHeight="1" spans="1:27">
      <c r="A511" s="348">
        <v>2066460</v>
      </c>
      <c r="B511" s="348" t="s">
        <v>185</v>
      </c>
      <c r="C511" s="348" t="s">
        <v>886</v>
      </c>
      <c r="D511" s="349" t="s">
        <v>187</v>
      </c>
      <c r="E511" s="336">
        <v>43589</v>
      </c>
      <c r="F511" s="336">
        <v>43586</v>
      </c>
      <c r="G511" s="350"/>
      <c r="H511" s="334" t="s">
        <v>1578</v>
      </c>
      <c r="I511" s="356">
        <v>15821047320</v>
      </c>
      <c r="J511" s="361" t="s">
        <v>1579</v>
      </c>
      <c r="K511" s="356">
        <v>3000</v>
      </c>
      <c r="L511" s="362"/>
      <c r="M511" s="362"/>
      <c r="N511" s="362">
        <f t="shared" si="15"/>
        <v>0</v>
      </c>
      <c r="O511" s="356"/>
      <c r="P511" s="356"/>
      <c r="Q511" s="356"/>
      <c r="R511" s="356" t="s">
        <v>52</v>
      </c>
      <c r="S511" s="356"/>
      <c r="T511" s="356"/>
      <c r="U511" s="400" t="s">
        <v>1580</v>
      </c>
      <c r="V511" s="372"/>
      <c r="W511" s="372"/>
      <c r="X511" s="373"/>
      <c r="Y511" s="348"/>
      <c r="Z511" s="348"/>
      <c r="AA511" s="348"/>
    </row>
    <row r="512" s="331" customFormat="1" ht="17" customHeight="1" spans="1:27">
      <c r="A512" s="348">
        <v>2066464</v>
      </c>
      <c r="B512" s="348" t="s">
        <v>185</v>
      </c>
      <c r="C512" s="348" t="s">
        <v>886</v>
      </c>
      <c r="D512" s="349" t="s">
        <v>187</v>
      </c>
      <c r="E512" s="336">
        <v>43589</v>
      </c>
      <c r="F512" s="336">
        <v>43586</v>
      </c>
      <c r="G512" s="336">
        <v>43658</v>
      </c>
      <c r="H512" s="334" t="s">
        <v>1581</v>
      </c>
      <c r="I512" s="356">
        <v>18964728488</v>
      </c>
      <c r="J512" s="361" t="s">
        <v>1582</v>
      </c>
      <c r="K512" s="356">
        <v>3000</v>
      </c>
      <c r="L512" s="334">
        <v>6500</v>
      </c>
      <c r="M512" s="334"/>
      <c r="N512" s="362">
        <f t="shared" ref="N512:N545" si="16">L512+M512</f>
        <v>6500</v>
      </c>
      <c r="O512" s="356"/>
      <c r="P512" s="356"/>
      <c r="Q512" s="356"/>
      <c r="R512" s="356"/>
      <c r="S512" s="356"/>
      <c r="T512" s="356"/>
      <c r="U512" s="372"/>
      <c r="V512" s="372"/>
      <c r="W512" s="372"/>
      <c r="X512" s="373"/>
      <c r="Y512" s="348"/>
      <c r="Z512" s="348"/>
      <c r="AA512" s="348"/>
    </row>
    <row r="513" s="331" customFormat="1" ht="17" customHeight="1" spans="1:27">
      <c r="A513" s="550" t="s">
        <v>1583</v>
      </c>
      <c r="B513" s="348" t="s">
        <v>185</v>
      </c>
      <c r="C513" s="348" t="s">
        <v>886</v>
      </c>
      <c r="D513" s="349" t="s">
        <v>187</v>
      </c>
      <c r="E513" s="336">
        <v>43716</v>
      </c>
      <c r="F513" s="336">
        <v>43586</v>
      </c>
      <c r="G513" s="336">
        <v>43716</v>
      </c>
      <c r="H513" s="334" t="s">
        <v>1584</v>
      </c>
      <c r="I513" s="356">
        <v>13501969315</v>
      </c>
      <c r="J513" s="361" t="s">
        <v>1585</v>
      </c>
      <c r="K513" s="356">
        <v>3000</v>
      </c>
      <c r="L513" s="334">
        <v>10310</v>
      </c>
      <c r="M513" s="362"/>
      <c r="N513" s="362">
        <f t="shared" si="16"/>
        <v>10310</v>
      </c>
      <c r="O513" s="356"/>
      <c r="P513" s="356"/>
      <c r="Q513" s="356" t="s">
        <v>52</v>
      </c>
      <c r="R513" s="356"/>
      <c r="S513" s="356"/>
      <c r="T513" s="356"/>
      <c r="U513" s="372"/>
      <c r="V513" s="372"/>
      <c r="W513" s="372"/>
      <c r="X513" s="373"/>
      <c r="Y513" s="348"/>
      <c r="Z513" s="348"/>
      <c r="AA513" s="348"/>
    </row>
    <row r="514" s="331" customFormat="1" ht="17" customHeight="1" spans="1:27">
      <c r="A514" s="550" t="s">
        <v>1586</v>
      </c>
      <c r="B514" s="348" t="s">
        <v>160</v>
      </c>
      <c r="C514" s="348" t="s">
        <v>275</v>
      </c>
      <c r="D514" s="349" t="s">
        <v>162</v>
      </c>
      <c r="E514" s="336">
        <v>43625</v>
      </c>
      <c r="F514" s="336">
        <v>43625</v>
      </c>
      <c r="G514" s="336">
        <v>43668</v>
      </c>
      <c r="H514" s="334" t="s">
        <v>1587</v>
      </c>
      <c r="I514" s="356">
        <v>13764600700</v>
      </c>
      <c r="J514" s="361" t="s">
        <v>1588</v>
      </c>
      <c r="K514" s="356">
        <f>1000+1000</f>
        <v>2000</v>
      </c>
      <c r="L514" s="334">
        <v>5428</v>
      </c>
      <c r="M514" s="334">
        <v>2149</v>
      </c>
      <c r="N514" s="362">
        <f t="shared" si="16"/>
        <v>7577</v>
      </c>
      <c r="O514" s="356"/>
      <c r="P514" s="356"/>
      <c r="Q514" s="356"/>
      <c r="R514" s="356"/>
      <c r="S514" s="356"/>
      <c r="T514" s="356"/>
      <c r="U514" s="372"/>
      <c r="V514" s="372"/>
      <c r="W514" s="372"/>
      <c r="X514" s="373"/>
      <c r="Y514" s="348"/>
      <c r="Z514" s="348"/>
      <c r="AA514" s="348"/>
    </row>
    <row r="515" s="331" customFormat="1" ht="17" customHeight="1" spans="1:27">
      <c r="A515" s="550" t="s">
        <v>1589</v>
      </c>
      <c r="B515" s="348" t="s">
        <v>130</v>
      </c>
      <c r="C515" s="348" t="s">
        <v>366</v>
      </c>
      <c r="D515" s="334" t="s">
        <v>132</v>
      </c>
      <c r="E515" s="336">
        <v>43798</v>
      </c>
      <c r="F515" s="336">
        <v>43587</v>
      </c>
      <c r="G515" s="336">
        <v>43793</v>
      </c>
      <c r="H515" s="334" t="s">
        <v>1590</v>
      </c>
      <c r="I515" s="356">
        <v>13564695198</v>
      </c>
      <c r="J515" s="361" t="s">
        <v>1591</v>
      </c>
      <c r="K515" s="356">
        <f>4000+1000</f>
        <v>5000</v>
      </c>
      <c r="L515" s="334">
        <v>11900</v>
      </c>
      <c r="M515" s="362"/>
      <c r="N515" s="362">
        <f t="shared" si="16"/>
        <v>11900</v>
      </c>
      <c r="O515" s="356"/>
      <c r="P515" s="356"/>
      <c r="Q515" s="356">
        <v>1</v>
      </c>
      <c r="R515" s="356"/>
      <c r="S515" s="356"/>
      <c r="T515" s="356"/>
      <c r="U515" s="372"/>
      <c r="V515" s="372"/>
      <c r="W515" s="372"/>
      <c r="X515" s="373"/>
      <c r="Y515" s="348"/>
      <c r="Z515" s="348"/>
      <c r="AA515" s="348"/>
    </row>
    <row r="516" s="331" customFormat="1" ht="17" customHeight="1" spans="1:27">
      <c r="A516" s="550" t="s">
        <v>1592</v>
      </c>
      <c r="B516" s="348" t="s">
        <v>130</v>
      </c>
      <c r="C516" s="348" t="s">
        <v>230</v>
      </c>
      <c r="D516" s="349" t="s">
        <v>162</v>
      </c>
      <c r="E516" s="336">
        <v>43589</v>
      </c>
      <c r="F516" s="336">
        <v>43588</v>
      </c>
      <c r="G516" s="350"/>
      <c r="H516" s="334" t="s">
        <v>1593</v>
      </c>
      <c r="I516" s="356">
        <v>13611932914</v>
      </c>
      <c r="J516" s="361" t="s">
        <v>1594</v>
      </c>
      <c r="K516" s="356">
        <v>1000</v>
      </c>
      <c r="L516" s="362"/>
      <c r="M516" s="362"/>
      <c r="N516" s="362">
        <f t="shared" si="16"/>
        <v>0</v>
      </c>
      <c r="O516" s="356">
        <v>1</v>
      </c>
      <c r="P516" s="356"/>
      <c r="Q516" s="356"/>
      <c r="R516" s="356"/>
      <c r="S516" s="356"/>
      <c r="T516" s="356"/>
      <c r="U516" s="400" t="s">
        <v>1595</v>
      </c>
      <c r="V516" s="372"/>
      <c r="W516" s="372"/>
      <c r="X516" s="373"/>
      <c r="Y516" s="348" t="s">
        <v>418</v>
      </c>
      <c r="Z516" s="348"/>
      <c r="AA516" s="348"/>
    </row>
    <row r="517" s="331" customFormat="1" ht="17" customHeight="1" spans="1:27">
      <c r="A517" s="550" t="s">
        <v>1596</v>
      </c>
      <c r="B517" s="348" t="s">
        <v>185</v>
      </c>
      <c r="C517" s="348" t="s">
        <v>1204</v>
      </c>
      <c r="D517" s="349" t="s">
        <v>44</v>
      </c>
      <c r="E517" s="336">
        <v>43589</v>
      </c>
      <c r="F517" s="336">
        <v>43588</v>
      </c>
      <c r="G517" s="350"/>
      <c r="H517" s="334" t="s">
        <v>1597</v>
      </c>
      <c r="I517" s="356">
        <v>13818218899</v>
      </c>
      <c r="J517" s="361" t="s">
        <v>1598</v>
      </c>
      <c r="K517" s="356">
        <v>3000</v>
      </c>
      <c r="L517" s="362"/>
      <c r="M517" s="362"/>
      <c r="N517" s="362">
        <f t="shared" si="16"/>
        <v>0</v>
      </c>
      <c r="O517" s="356"/>
      <c r="P517" s="356"/>
      <c r="Q517" s="356"/>
      <c r="R517" s="356" t="s">
        <v>52</v>
      </c>
      <c r="S517" s="356"/>
      <c r="T517" s="356"/>
      <c r="U517" s="372"/>
      <c r="V517" s="372"/>
      <c r="W517" s="372"/>
      <c r="X517" s="373"/>
      <c r="Y517" s="348" t="s">
        <v>418</v>
      </c>
      <c r="Z517" s="348"/>
      <c r="AA517" s="348"/>
    </row>
    <row r="518" s="331" customFormat="1" ht="17" customHeight="1" spans="1:27">
      <c r="A518" s="550" t="s">
        <v>1599</v>
      </c>
      <c r="B518" s="348" t="s">
        <v>137</v>
      </c>
      <c r="C518" s="348" t="s">
        <v>138</v>
      </c>
      <c r="D518" s="349" t="s">
        <v>139</v>
      </c>
      <c r="E518" s="336">
        <v>43685</v>
      </c>
      <c r="F518" s="336">
        <v>43589</v>
      </c>
      <c r="G518" s="336">
        <v>43683</v>
      </c>
      <c r="H518" s="334" t="s">
        <v>1600</v>
      </c>
      <c r="I518" s="356">
        <v>13701618535</v>
      </c>
      <c r="J518" s="361" t="s">
        <v>1601</v>
      </c>
      <c r="K518" s="356">
        <v>3000</v>
      </c>
      <c r="L518" s="334">
        <v>17946</v>
      </c>
      <c r="M518" s="362"/>
      <c r="N518" s="362">
        <f t="shared" si="16"/>
        <v>17946</v>
      </c>
      <c r="O518" s="356">
        <v>1</v>
      </c>
      <c r="P518" s="356"/>
      <c r="Q518" s="356"/>
      <c r="R518" s="356"/>
      <c r="S518" s="356"/>
      <c r="T518" s="356"/>
      <c r="U518" s="372"/>
      <c r="V518" s="372"/>
      <c r="W518" s="372"/>
      <c r="X518" s="373"/>
      <c r="Y518" s="348" t="s">
        <v>1223</v>
      </c>
      <c r="Z518" s="348"/>
      <c r="AA518" s="348"/>
    </row>
    <row r="519" s="331" customFormat="1" ht="17" customHeight="1" spans="1:27">
      <c r="A519" s="348">
        <v>2066052</v>
      </c>
      <c r="B519" s="348" t="s">
        <v>354</v>
      </c>
      <c r="C519" s="348" t="s">
        <v>355</v>
      </c>
      <c r="D519" s="349" t="s">
        <v>149</v>
      </c>
      <c r="E519" s="336"/>
      <c r="F519" s="336">
        <v>43616</v>
      </c>
      <c r="G519" s="350"/>
      <c r="H519" s="334" t="s">
        <v>795</v>
      </c>
      <c r="I519" s="356">
        <v>13764795622</v>
      </c>
      <c r="J519" s="361" t="s">
        <v>1602</v>
      </c>
      <c r="K519" s="356">
        <v>500</v>
      </c>
      <c r="L519" s="362"/>
      <c r="M519" s="362"/>
      <c r="N519" s="362">
        <f t="shared" si="16"/>
        <v>0</v>
      </c>
      <c r="O519" s="356"/>
      <c r="P519" s="356"/>
      <c r="Q519" s="356"/>
      <c r="R519" s="356"/>
      <c r="S519" s="356"/>
      <c r="T519" s="356"/>
      <c r="U519" s="372"/>
      <c r="V519" s="372"/>
      <c r="W519" s="372"/>
      <c r="X519" s="373"/>
      <c r="Y519" s="348"/>
      <c r="Z519" s="348"/>
      <c r="AA519" s="348"/>
    </row>
    <row r="520" s="57" customFormat="1" ht="17" customHeight="1" spans="1:27">
      <c r="A520" s="348">
        <v>2067430</v>
      </c>
      <c r="B520" s="348" t="s">
        <v>137</v>
      </c>
      <c r="C520" s="348" t="s">
        <v>861</v>
      </c>
      <c r="D520" s="349" t="s">
        <v>427</v>
      </c>
      <c r="E520" s="336">
        <v>43589</v>
      </c>
      <c r="F520" s="336">
        <v>43586</v>
      </c>
      <c r="G520" s="350"/>
      <c r="H520" s="334" t="s">
        <v>1603</v>
      </c>
      <c r="I520" s="356">
        <v>13817017569</v>
      </c>
      <c r="J520" s="348" t="s">
        <v>1604</v>
      </c>
      <c r="K520" s="356">
        <v>3000</v>
      </c>
      <c r="L520" s="362"/>
      <c r="M520" s="362"/>
      <c r="N520" s="362">
        <f t="shared" si="16"/>
        <v>0</v>
      </c>
      <c r="O520" s="356">
        <v>1</v>
      </c>
      <c r="P520" s="356"/>
      <c r="Q520" s="356"/>
      <c r="R520" s="356"/>
      <c r="S520" s="356"/>
      <c r="T520" s="356"/>
      <c r="U520" s="385" t="s">
        <v>52</v>
      </c>
      <c r="V520" s="372"/>
      <c r="W520" s="372"/>
      <c r="X520" s="373"/>
      <c r="Y520" s="348"/>
      <c r="Z520" s="348"/>
      <c r="AA520" s="348"/>
    </row>
    <row r="521" s="57" customFormat="1" ht="17" customHeight="1" spans="1:27">
      <c r="A521" s="550" t="s">
        <v>1605</v>
      </c>
      <c r="B521" s="348" t="s">
        <v>137</v>
      </c>
      <c r="C521" s="348" t="s">
        <v>861</v>
      </c>
      <c r="D521" s="349" t="s">
        <v>427</v>
      </c>
      <c r="E521" s="336">
        <v>43589</v>
      </c>
      <c r="F521" s="336">
        <v>43588</v>
      </c>
      <c r="G521" s="350"/>
      <c r="H521" s="334" t="s">
        <v>1606</v>
      </c>
      <c r="I521" s="356">
        <v>18516142778</v>
      </c>
      <c r="J521" s="348" t="s">
        <v>1607</v>
      </c>
      <c r="K521" s="356">
        <v>1000</v>
      </c>
      <c r="L521" s="362"/>
      <c r="M521" s="362"/>
      <c r="N521" s="362">
        <f t="shared" si="16"/>
        <v>0</v>
      </c>
      <c r="O521" s="356" t="s">
        <v>1608</v>
      </c>
      <c r="P521" s="356"/>
      <c r="Q521" s="356"/>
      <c r="R521" s="356"/>
      <c r="S521" s="356"/>
      <c r="T521" s="356"/>
      <c r="U521" s="372"/>
      <c r="V521" s="372"/>
      <c r="W521" s="372"/>
      <c r="X521" s="373"/>
      <c r="Y521" s="348"/>
      <c r="Z521" s="348"/>
      <c r="AA521" s="348"/>
    </row>
    <row r="522" s="331" customFormat="1" ht="17" customHeight="1" spans="1:27">
      <c r="A522" s="550" t="s">
        <v>1609</v>
      </c>
      <c r="B522" s="348" t="s">
        <v>58</v>
      </c>
      <c r="C522" s="348" t="s">
        <v>794</v>
      </c>
      <c r="D522" s="352" t="s">
        <v>110</v>
      </c>
      <c r="E522" s="336">
        <v>43589</v>
      </c>
      <c r="F522" s="336">
        <v>43588</v>
      </c>
      <c r="G522" s="350"/>
      <c r="H522" s="334" t="s">
        <v>1610</v>
      </c>
      <c r="I522" s="356">
        <v>13918132262</v>
      </c>
      <c r="J522" s="361" t="s">
        <v>1611</v>
      </c>
      <c r="K522" s="356">
        <v>1000</v>
      </c>
      <c r="L522" s="362"/>
      <c r="M522" s="362"/>
      <c r="N522" s="362">
        <f t="shared" si="16"/>
        <v>0</v>
      </c>
      <c r="O522" s="356"/>
      <c r="P522" s="356"/>
      <c r="Q522" s="356"/>
      <c r="R522" s="356"/>
      <c r="S522" s="356"/>
      <c r="T522" s="356"/>
      <c r="U522" s="372">
        <v>7.15</v>
      </c>
      <c r="V522" s="372"/>
      <c r="W522" s="372"/>
      <c r="X522" s="373"/>
      <c r="Y522" s="348"/>
      <c r="Z522" s="348"/>
      <c r="AA522" s="348"/>
    </row>
    <row r="523" s="331" customFormat="1" ht="17" customHeight="1" spans="1:27">
      <c r="A523" s="348">
        <v>2024534</v>
      </c>
      <c r="B523" s="348" t="s">
        <v>73</v>
      </c>
      <c r="C523" s="348" t="s">
        <v>1130</v>
      </c>
      <c r="D523" s="349" t="s">
        <v>75</v>
      </c>
      <c r="E523" s="336">
        <v>43625</v>
      </c>
      <c r="F523" s="336">
        <v>43625</v>
      </c>
      <c r="G523" s="350"/>
      <c r="H523" s="334" t="s">
        <v>1612</v>
      </c>
      <c r="I523" s="356">
        <v>13774391807</v>
      </c>
      <c r="J523" s="361" t="s">
        <v>1613</v>
      </c>
      <c r="K523" s="356">
        <v>1000</v>
      </c>
      <c r="L523" s="362"/>
      <c r="M523" s="362"/>
      <c r="N523" s="362">
        <f t="shared" si="16"/>
        <v>0</v>
      </c>
      <c r="O523" s="366" t="s">
        <v>52</v>
      </c>
      <c r="P523" s="356"/>
      <c r="Q523" s="356"/>
      <c r="R523" s="356"/>
      <c r="S523" s="356"/>
      <c r="T523" s="356"/>
      <c r="U523" s="376" t="s">
        <v>1614</v>
      </c>
      <c r="V523" s="372"/>
      <c r="W523" s="372"/>
      <c r="X523" s="373"/>
      <c r="Y523" s="348"/>
      <c r="Z523" s="348" t="s">
        <v>79</v>
      </c>
      <c r="AA523" s="348"/>
    </row>
    <row r="524" s="331" customFormat="1" ht="17" customHeight="1" spans="1:27">
      <c r="A524" s="348">
        <v>2066473</v>
      </c>
      <c r="B524" s="348" t="s">
        <v>185</v>
      </c>
      <c r="C524" s="348" t="s">
        <v>1133</v>
      </c>
      <c r="D524" s="349" t="s">
        <v>44</v>
      </c>
      <c r="E524" s="336">
        <v>43589</v>
      </c>
      <c r="F524" s="336">
        <v>43586</v>
      </c>
      <c r="G524" s="350"/>
      <c r="H524" s="334" t="s">
        <v>1615</v>
      </c>
      <c r="I524" s="356">
        <v>15216680948</v>
      </c>
      <c r="J524" s="361" t="s">
        <v>1616</v>
      </c>
      <c r="K524" s="356">
        <v>3000</v>
      </c>
      <c r="L524" s="362"/>
      <c r="M524" s="362"/>
      <c r="N524" s="362">
        <f t="shared" si="16"/>
        <v>0</v>
      </c>
      <c r="O524" s="356" t="s">
        <v>52</v>
      </c>
      <c r="P524" s="356"/>
      <c r="Q524" s="356"/>
      <c r="R524" s="356"/>
      <c r="S524" s="356"/>
      <c r="T524" s="356"/>
      <c r="U524" s="374">
        <v>43674</v>
      </c>
      <c r="V524" s="372"/>
      <c r="W524" s="372"/>
      <c r="X524" s="373"/>
      <c r="Y524" s="348" t="s">
        <v>473</v>
      </c>
      <c r="Z524" s="348"/>
      <c r="AA524" s="348"/>
    </row>
    <row r="525" s="331" customFormat="1" ht="17" customHeight="1" spans="1:27">
      <c r="A525" s="348">
        <v>2066458</v>
      </c>
      <c r="B525" s="348" t="s">
        <v>185</v>
      </c>
      <c r="C525" s="348" t="s">
        <v>1133</v>
      </c>
      <c r="D525" s="349" t="s">
        <v>44</v>
      </c>
      <c r="E525" s="336">
        <v>43589</v>
      </c>
      <c r="F525" s="336">
        <v>43586</v>
      </c>
      <c r="G525" s="350"/>
      <c r="H525" s="334" t="s">
        <v>1617</v>
      </c>
      <c r="I525" s="356">
        <v>13917805651</v>
      </c>
      <c r="J525" s="361" t="s">
        <v>1618</v>
      </c>
      <c r="K525" s="356">
        <v>1000</v>
      </c>
      <c r="L525" s="362"/>
      <c r="M525" s="362"/>
      <c r="N525" s="362">
        <f t="shared" si="16"/>
        <v>0</v>
      </c>
      <c r="O525" s="356" t="s">
        <v>52</v>
      </c>
      <c r="P525" s="356"/>
      <c r="Q525" s="356"/>
      <c r="R525" s="356"/>
      <c r="S525" s="356"/>
      <c r="T525" s="356"/>
      <c r="U525" s="374">
        <v>43682</v>
      </c>
      <c r="V525" s="372"/>
      <c r="W525" s="372"/>
      <c r="X525" s="373"/>
      <c r="Y525" s="348" t="s">
        <v>473</v>
      </c>
      <c r="Z525" s="348"/>
      <c r="AA525" s="348"/>
    </row>
    <row r="526" s="331" customFormat="1" ht="17" customHeight="1" spans="1:27">
      <c r="A526" s="550" t="s">
        <v>1619</v>
      </c>
      <c r="B526" s="348" t="s">
        <v>185</v>
      </c>
      <c r="C526" s="334" t="s">
        <v>1620</v>
      </c>
      <c r="D526" s="349" t="s">
        <v>44</v>
      </c>
      <c r="E526" s="336">
        <v>43780</v>
      </c>
      <c r="F526" s="336">
        <v>43586</v>
      </c>
      <c r="G526" s="336">
        <v>43777</v>
      </c>
      <c r="H526" s="334" t="s">
        <v>1621</v>
      </c>
      <c r="I526" s="356">
        <v>13701733586</v>
      </c>
      <c r="J526" s="361" t="s">
        <v>1622</v>
      </c>
      <c r="K526" s="356">
        <v>3000</v>
      </c>
      <c r="L526" s="334">
        <v>25525</v>
      </c>
      <c r="M526" s="362"/>
      <c r="N526" s="362">
        <f t="shared" si="16"/>
        <v>25525</v>
      </c>
      <c r="O526" s="356" t="s">
        <v>52</v>
      </c>
      <c r="P526" s="356"/>
      <c r="Q526" s="356"/>
      <c r="R526" s="356"/>
      <c r="S526" s="356"/>
      <c r="T526" s="356"/>
      <c r="U526" s="372"/>
      <c r="V526" s="372"/>
      <c r="W526" s="372"/>
      <c r="X526" s="373"/>
      <c r="Y526" s="348" t="s">
        <v>473</v>
      </c>
      <c r="Z526" s="348"/>
      <c r="AA526" s="348"/>
    </row>
    <row r="527" s="331" customFormat="1" ht="17" customHeight="1" spans="1:27">
      <c r="A527" s="550" t="s">
        <v>1623</v>
      </c>
      <c r="B527" s="348" t="s">
        <v>185</v>
      </c>
      <c r="C527" s="348" t="s">
        <v>1133</v>
      </c>
      <c r="D527" s="349" t="s">
        <v>44</v>
      </c>
      <c r="E527" s="336">
        <v>43589</v>
      </c>
      <c r="F527" s="336">
        <v>43588</v>
      </c>
      <c r="G527" s="336">
        <v>43656</v>
      </c>
      <c r="H527" s="334" t="s">
        <v>1624</v>
      </c>
      <c r="I527" s="356">
        <v>15021054207</v>
      </c>
      <c r="J527" s="361" t="s">
        <v>1625</v>
      </c>
      <c r="K527" s="356">
        <v>1000</v>
      </c>
      <c r="L527" s="334">
        <v>10388</v>
      </c>
      <c r="M527" s="334"/>
      <c r="N527" s="362">
        <f t="shared" si="16"/>
        <v>10388</v>
      </c>
      <c r="O527" s="356"/>
      <c r="P527" s="356"/>
      <c r="Q527" s="356"/>
      <c r="R527" s="356"/>
      <c r="S527" s="356"/>
      <c r="T527" s="356"/>
      <c r="U527" s="372"/>
      <c r="V527" s="372"/>
      <c r="W527" s="372"/>
      <c r="X527" s="373"/>
      <c r="Y527" s="348" t="s">
        <v>473</v>
      </c>
      <c r="Z527" s="348"/>
      <c r="AA527" s="348"/>
    </row>
    <row r="528" s="331" customFormat="1" ht="17" customHeight="1" spans="1:27">
      <c r="A528" s="550" t="s">
        <v>1626</v>
      </c>
      <c r="B528" s="348" t="s">
        <v>66</v>
      </c>
      <c r="C528" s="348" t="s">
        <v>951</v>
      </c>
      <c r="D528" s="349" t="s">
        <v>143</v>
      </c>
      <c r="E528" s="336" t="s">
        <v>1627</v>
      </c>
      <c r="F528" s="336">
        <v>43646</v>
      </c>
      <c r="G528" s="336">
        <v>43665</v>
      </c>
      <c r="H528" s="334" t="s">
        <v>1612</v>
      </c>
      <c r="I528" s="356">
        <v>13774391807</v>
      </c>
      <c r="J528" s="361" t="s">
        <v>1628</v>
      </c>
      <c r="K528" s="356">
        <v>5000</v>
      </c>
      <c r="L528" s="334">
        <v>7757</v>
      </c>
      <c r="M528" s="334">
        <v>1472</v>
      </c>
      <c r="N528" s="362">
        <f t="shared" si="16"/>
        <v>9229</v>
      </c>
      <c r="O528" s="356"/>
      <c r="P528" s="356"/>
      <c r="Q528" s="356"/>
      <c r="R528" s="356"/>
      <c r="S528" s="356"/>
      <c r="T528" s="356"/>
      <c r="U528" s="372"/>
      <c r="V528" s="372"/>
      <c r="W528" s="372"/>
      <c r="X528" s="373"/>
      <c r="Y528" s="348"/>
      <c r="Z528" s="348"/>
      <c r="AA528" s="348"/>
    </row>
    <row r="529" s="331" customFormat="1" ht="17" customHeight="1" spans="1:27">
      <c r="A529" s="348"/>
      <c r="B529" s="348" t="s">
        <v>66</v>
      </c>
      <c r="C529" s="348" t="s">
        <v>67</v>
      </c>
      <c r="D529" s="352" t="s">
        <v>1436</v>
      </c>
      <c r="E529" s="336" t="s">
        <v>1627</v>
      </c>
      <c r="F529" s="336">
        <v>43589</v>
      </c>
      <c r="G529" s="350"/>
      <c r="H529" s="334" t="s">
        <v>1629</v>
      </c>
      <c r="I529" s="356">
        <v>13801701948</v>
      </c>
      <c r="J529" s="361" t="s">
        <v>1630</v>
      </c>
      <c r="K529" s="356">
        <v>1000</v>
      </c>
      <c r="L529" s="362"/>
      <c r="M529" s="362"/>
      <c r="N529" s="362">
        <f t="shared" si="16"/>
        <v>0</v>
      </c>
      <c r="O529" s="356"/>
      <c r="P529" s="356"/>
      <c r="Q529" s="356"/>
      <c r="R529" s="356"/>
      <c r="S529" s="356"/>
      <c r="T529" s="356"/>
      <c r="U529" s="372"/>
      <c r="V529" s="372"/>
      <c r="W529" s="372"/>
      <c r="X529" s="373"/>
      <c r="Y529" s="348" t="s">
        <v>1631</v>
      </c>
      <c r="Z529" s="348"/>
      <c r="AA529" s="348"/>
    </row>
    <row r="530" s="331" customFormat="1" ht="17" customHeight="1" spans="1:27">
      <c r="A530" s="550" t="s">
        <v>1632</v>
      </c>
      <c r="B530" s="348" t="s">
        <v>130</v>
      </c>
      <c r="C530" s="348" t="s">
        <v>131</v>
      </c>
      <c r="D530" s="349" t="s">
        <v>182</v>
      </c>
      <c r="E530" s="336">
        <v>43679</v>
      </c>
      <c r="F530" s="336">
        <v>43589</v>
      </c>
      <c r="G530" s="336">
        <v>43678</v>
      </c>
      <c r="H530" s="334" t="s">
        <v>1633</v>
      </c>
      <c r="I530" s="356">
        <v>13917705050</v>
      </c>
      <c r="J530" s="361" t="s">
        <v>1634</v>
      </c>
      <c r="K530" s="356">
        <v>5000</v>
      </c>
      <c r="L530" s="334">
        <v>15053</v>
      </c>
      <c r="M530" s="362"/>
      <c r="N530" s="362">
        <f t="shared" si="16"/>
        <v>15053</v>
      </c>
      <c r="O530" s="356"/>
      <c r="P530" s="356"/>
      <c r="Q530" s="356"/>
      <c r="R530" s="356"/>
      <c r="S530" s="356">
        <v>1</v>
      </c>
      <c r="T530" s="356"/>
      <c r="U530" s="372"/>
      <c r="V530" s="372"/>
      <c r="W530" s="372"/>
      <c r="X530" s="373"/>
      <c r="Y530" s="348"/>
      <c r="Z530" s="348"/>
      <c r="AA530" s="348"/>
    </row>
    <row r="531" s="331" customFormat="1" ht="17" customHeight="1" spans="1:27">
      <c r="A531" s="550" t="s">
        <v>1635</v>
      </c>
      <c r="B531" s="348" t="s">
        <v>185</v>
      </c>
      <c r="C531" s="348" t="s">
        <v>1530</v>
      </c>
      <c r="D531" s="334" t="s">
        <v>187</v>
      </c>
      <c r="E531" s="336">
        <v>43720</v>
      </c>
      <c r="F531" s="336">
        <v>43589</v>
      </c>
      <c r="G531" s="336">
        <v>43716</v>
      </c>
      <c r="H531" s="334" t="s">
        <v>1636</v>
      </c>
      <c r="I531" s="356">
        <v>18017082545</v>
      </c>
      <c r="J531" s="361" t="s">
        <v>1637</v>
      </c>
      <c r="K531" s="356">
        <v>1000</v>
      </c>
      <c r="L531" s="334">
        <v>11877</v>
      </c>
      <c r="M531" s="362"/>
      <c r="N531" s="362">
        <f t="shared" si="16"/>
        <v>11877</v>
      </c>
      <c r="O531" s="356"/>
      <c r="P531" s="356"/>
      <c r="Q531" s="356"/>
      <c r="R531" s="356"/>
      <c r="S531" s="356"/>
      <c r="T531" s="356"/>
      <c r="U531" s="372" t="s">
        <v>889</v>
      </c>
      <c r="V531" s="372"/>
      <c r="W531" s="372"/>
      <c r="X531" s="373"/>
      <c r="Y531" s="348" t="s">
        <v>1223</v>
      </c>
      <c r="Z531" s="348"/>
      <c r="AA531" s="348"/>
    </row>
    <row r="532" s="331" customFormat="1" ht="15" customHeight="1" spans="1:27">
      <c r="A532" s="550" t="s">
        <v>1638</v>
      </c>
      <c r="B532" s="348" t="s">
        <v>58</v>
      </c>
      <c r="C532" s="348" t="s">
        <v>347</v>
      </c>
      <c r="D532" s="352" t="s">
        <v>343</v>
      </c>
      <c r="E532" s="336">
        <v>43589</v>
      </c>
      <c r="F532" s="336">
        <v>43589</v>
      </c>
      <c r="G532" s="355">
        <v>43739</v>
      </c>
      <c r="H532" s="334" t="s">
        <v>1639</v>
      </c>
      <c r="I532" s="356">
        <v>13429872971</v>
      </c>
      <c r="J532" s="361" t="s">
        <v>1640</v>
      </c>
      <c r="K532" s="356">
        <v>3000</v>
      </c>
      <c r="L532" s="362"/>
      <c r="M532" s="362"/>
      <c r="N532" s="362">
        <f t="shared" si="16"/>
        <v>0</v>
      </c>
      <c r="O532" s="366" t="s">
        <v>52</v>
      </c>
      <c r="P532" s="356"/>
      <c r="Q532" s="356"/>
      <c r="R532" s="356"/>
      <c r="S532" s="356"/>
      <c r="T532" s="356"/>
      <c r="U532" s="372"/>
      <c r="V532" s="372"/>
      <c r="W532" s="372">
        <v>7.21</v>
      </c>
      <c r="X532" s="373"/>
      <c r="Y532" s="348"/>
      <c r="Z532" s="348" t="s">
        <v>1296</v>
      </c>
      <c r="AA532" s="348"/>
    </row>
    <row r="533" s="331" customFormat="1" ht="17" customHeight="1" spans="1:27">
      <c r="A533" s="348">
        <v>2022749</v>
      </c>
      <c r="B533" s="348" t="s">
        <v>354</v>
      </c>
      <c r="C533" s="348" t="s">
        <v>355</v>
      </c>
      <c r="D533" s="349" t="s">
        <v>343</v>
      </c>
      <c r="E533" s="336">
        <v>43691</v>
      </c>
      <c r="F533" s="336">
        <v>43603</v>
      </c>
      <c r="G533" s="336">
        <v>43686</v>
      </c>
      <c r="H533" s="334" t="s">
        <v>1641</v>
      </c>
      <c r="I533" s="356">
        <v>13774463473</v>
      </c>
      <c r="J533" s="361" t="s">
        <v>1642</v>
      </c>
      <c r="K533" s="356">
        <v>1000</v>
      </c>
      <c r="L533" s="334">
        <f>4096-736</f>
        <v>3360</v>
      </c>
      <c r="M533" s="334">
        <v>736</v>
      </c>
      <c r="N533" s="362">
        <f t="shared" si="16"/>
        <v>4096</v>
      </c>
      <c r="O533" s="356"/>
      <c r="P533" s="356"/>
      <c r="Q533" s="356"/>
      <c r="R533" s="356"/>
      <c r="S533" s="356"/>
      <c r="T533" s="356"/>
      <c r="U533" s="372"/>
      <c r="V533" s="403">
        <v>43687</v>
      </c>
      <c r="W533" s="372"/>
      <c r="X533" s="373"/>
      <c r="Y533" s="348"/>
      <c r="Z533" s="348"/>
      <c r="AA533" s="348"/>
    </row>
    <row r="534" s="331" customFormat="1" ht="17" customHeight="1" spans="1:27">
      <c r="A534" s="550" t="s">
        <v>1643</v>
      </c>
      <c r="B534" s="348" t="s">
        <v>35</v>
      </c>
      <c r="C534" s="348" t="s">
        <v>36</v>
      </c>
      <c r="D534" s="352" t="s">
        <v>37</v>
      </c>
      <c r="E534" s="336">
        <v>43704</v>
      </c>
      <c r="F534" s="336">
        <v>43589</v>
      </c>
      <c r="G534" s="336">
        <v>43700</v>
      </c>
      <c r="H534" s="334" t="s">
        <v>1644</v>
      </c>
      <c r="I534" s="356" t="s">
        <v>1645</v>
      </c>
      <c r="J534" s="361" t="s">
        <v>1646</v>
      </c>
      <c r="K534" s="356">
        <v>5000</v>
      </c>
      <c r="L534" s="334">
        <v>6862</v>
      </c>
      <c r="M534" s="362"/>
      <c r="N534" s="362">
        <f t="shared" si="16"/>
        <v>6862</v>
      </c>
      <c r="O534" s="356"/>
      <c r="P534" s="356"/>
      <c r="Q534" s="356" t="s">
        <v>52</v>
      </c>
      <c r="R534" s="356"/>
      <c r="S534" s="356"/>
      <c r="T534" s="356"/>
      <c r="U534" s="372"/>
      <c r="V534" s="372"/>
      <c r="W534" s="372"/>
      <c r="X534" s="373"/>
      <c r="Y534" s="348"/>
      <c r="Z534" s="348"/>
      <c r="AA534" s="348"/>
    </row>
    <row r="535" s="331" customFormat="1" ht="17" customHeight="1" spans="1:27">
      <c r="A535" s="550" t="s">
        <v>1647</v>
      </c>
      <c r="B535" s="348" t="s">
        <v>35</v>
      </c>
      <c r="C535" s="348" t="s">
        <v>36</v>
      </c>
      <c r="D535" s="352" t="s">
        <v>37</v>
      </c>
      <c r="E535" s="336">
        <v>43734</v>
      </c>
      <c r="F535" s="336">
        <v>43589</v>
      </c>
      <c r="G535" s="336">
        <v>43733</v>
      </c>
      <c r="H535" s="334" t="s">
        <v>1648</v>
      </c>
      <c r="I535" s="551" t="s">
        <v>1649</v>
      </c>
      <c r="J535" s="361" t="s">
        <v>1650</v>
      </c>
      <c r="K535" s="356">
        <v>5000</v>
      </c>
      <c r="L535" s="334">
        <v>7450</v>
      </c>
      <c r="M535" s="362"/>
      <c r="N535" s="362">
        <f t="shared" si="16"/>
        <v>7450</v>
      </c>
      <c r="O535" s="356"/>
      <c r="P535" s="356"/>
      <c r="Q535" s="356" t="s">
        <v>52</v>
      </c>
      <c r="R535" s="356"/>
      <c r="S535" s="356"/>
      <c r="T535" s="356"/>
      <c r="U535" s="372"/>
      <c r="V535" s="372"/>
      <c r="W535" s="372"/>
      <c r="X535" s="373"/>
      <c r="Y535" s="348"/>
      <c r="Z535" s="348"/>
      <c r="AA535" s="348"/>
    </row>
    <row r="536" s="331" customFormat="1" ht="17" customHeight="1" spans="1:27">
      <c r="A536" s="550" t="s">
        <v>1651</v>
      </c>
      <c r="B536" s="348" t="s">
        <v>35</v>
      </c>
      <c r="C536" s="348" t="s">
        <v>36</v>
      </c>
      <c r="D536" s="352" t="s">
        <v>37</v>
      </c>
      <c r="E536" s="336">
        <v>43589</v>
      </c>
      <c r="F536" s="336">
        <v>43589</v>
      </c>
      <c r="G536" s="350"/>
      <c r="H536" s="334" t="s">
        <v>1652</v>
      </c>
      <c r="I536" s="356">
        <v>13892822626</v>
      </c>
      <c r="J536" s="361" t="s">
        <v>1653</v>
      </c>
      <c r="K536" s="356">
        <v>1000</v>
      </c>
      <c r="L536" s="362"/>
      <c r="M536" s="362"/>
      <c r="N536" s="362">
        <f t="shared" si="16"/>
        <v>0</v>
      </c>
      <c r="O536" s="356"/>
      <c r="P536" s="356"/>
      <c r="Q536" s="356"/>
      <c r="R536" s="356"/>
      <c r="S536" s="356"/>
      <c r="T536" s="356"/>
      <c r="U536" s="372" t="s">
        <v>40</v>
      </c>
      <c r="V536" s="372"/>
      <c r="W536" s="372"/>
      <c r="X536" s="373"/>
      <c r="Y536" s="348"/>
      <c r="Z536" s="348"/>
      <c r="AA536" s="348"/>
    </row>
    <row r="537" s="331" customFormat="1" ht="17" customHeight="1" spans="1:27">
      <c r="A537" s="550" t="s">
        <v>1654</v>
      </c>
      <c r="B537" s="348" t="s">
        <v>130</v>
      </c>
      <c r="C537" s="348" t="s">
        <v>366</v>
      </c>
      <c r="D537" s="352" t="s">
        <v>132</v>
      </c>
      <c r="E537" s="336">
        <v>43703</v>
      </c>
      <c r="F537" s="336">
        <v>43589</v>
      </c>
      <c r="G537" s="336">
        <v>43701</v>
      </c>
      <c r="H537" s="334" t="s">
        <v>1655</v>
      </c>
      <c r="I537" s="356">
        <v>13818896432</v>
      </c>
      <c r="J537" s="361" t="s">
        <v>1656</v>
      </c>
      <c r="K537" s="356">
        <v>5000</v>
      </c>
      <c r="L537" s="334">
        <v>20510</v>
      </c>
      <c r="M537" s="362"/>
      <c r="N537" s="362">
        <f t="shared" si="16"/>
        <v>20510</v>
      </c>
      <c r="O537" s="356"/>
      <c r="P537" s="356"/>
      <c r="Q537" s="356"/>
      <c r="R537" s="356">
        <v>1</v>
      </c>
      <c r="S537" s="356"/>
      <c r="T537" s="356"/>
      <c r="U537" s="372"/>
      <c r="V537" s="372"/>
      <c r="W537" s="372"/>
      <c r="X537" s="373"/>
      <c r="Y537" s="348"/>
      <c r="Z537" s="348"/>
      <c r="AA537" s="348"/>
    </row>
    <row r="538" s="331" customFormat="1" ht="17" customHeight="1" spans="1:27">
      <c r="A538" s="348"/>
      <c r="B538" s="348" t="s">
        <v>160</v>
      </c>
      <c r="C538" s="348" t="s">
        <v>161</v>
      </c>
      <c r="D538" s="349" t="s">
        <v>162</v>
      </c>
      <c r="E538" s="336" t="s">
        <v>133</v>
      </c>
      <c r="F538" s="336">
        <v>43554</v>
      </c>
      <c r="G538" s="350"/>
      <c r="H538" s="334" t="s">
        <v>1657</v>
      </c>
      <c r="I538" s="356">
        <v>13795255556</v>
      </c>
      <c r="J538" s="361" t="s">
        <v>1658</v>
      </c>
      <c r="K538" s="356">
        <v>1000</v>
      </c>
      <c r="L538" s="362"/>
      <c r="M538" s="362"/>
      <c r="N538" s="362">
        <f t="shared" si="16"/>
        <v>0</v>
      </c>
      <c r="O538" s="356">
        <v>1</v>
      </c>
      <c r="P538" s="356"/>
      <c r="Q538" s="356"/>
      <c r="R538" s="356"/>
      <c r="S538" s="356"/>
      <c r="T538" s="356"/>
      <c r="U538" s="372" t="s">
        <v>459</v>
      </c>
      <c r="V538" s="372"/>
      <c r="W538" s="372"/>
      <c r="X538" s="373"/>
      <c r="Y538" s="348"/>
      <c r="Z538" s="348"/>
      <c r="AA538" s="348"/>
    </row>
    <row r="539" s="331" customFormat="1" ht="17" customHeight="1" spans="1:27">
      <c r="A539" s="550" t="s">
        <v>1659</v>
      </c>
      <c r="B539" s="348" t="s">
        <v>94</v>
      </c>
      <c r="C539" s="348" t="s">
        <v>101</v>
      </c>
      <c r="D539" s="352" t="s">
        <v>49</v>
      </c>
      <c r="E539" s="336">
        <v>43589</v>
      </c>
      <c r="F539" s="336">
        <v>43588</v>
      </c>
      <c r="G539" s="336">
        <v>43654</v>
      </c>
      <c r="H539" s="334" t="s">
        <v>1660</v>
      </c>
      <c r="I539" s="356">
        <v>18964055453</v>
      </c>
      <c r="J539" s="361" t="s">
        <v>1661</v>
      </c>
      <c r="K539" s="356">
        <v>1000</v>
      </c>
      <c r="L539" s="334">
        <v>17323</v>
      </c>
      <c r="M539" s="334"/>
      <c r="N539" s="362">
        <f t="shared" si="16"/>
        <v>17323</v>
      </c>
      <c r="O539" s="356"/>
      <c r="P539" s="356"/>
      <c r="Q539" s="356"/>
      <c r="R539" s="356"/>
      <c r="S539" s="356"/>
      <c r="T539" s="356"/>
      <c r="U539" s="372"/>
      <c r="V539" s="372"/>
      <c r="W539" s="372"/>
      <c r="X539" s="373"/>
      <c r="Y539" s="348"/>
      <c r="Z539" s="348"/>
      <c r="AA539" s="348"/>
    </row>
    <row r="540" s="331" customFormat="1" ht="17" customHeight="1" spans="1:27">
      <c r="A540" s="348">
        <v>2022943</v>
      </c>
      <c r="B540" s="348" t="s">
        <v>243</v>
      </c>
      <c r="C540" s="348" t="s">
        <v>244</v>
      </c>
      <c r="D540" s="352" t="s">
        <v>49</v>
      </c>
      <c r="E540" s="336">
        <v>43818</v>
      </c>
      <c r="F540" s="336">
        <v>43589</v>
      </c>
      <c r="G540" s="336">
        <v>43818</v>
      </c>
      <c r="H540" s="334" t="s">
        <v>1662</v>
      </c>
      <c r="I540" s="356">
        <v>13801755222</v>
      </c>
      <c r="J540" s="361" t="s">
        <v>1663</v>
      </c>
      <c r="K540" s="356">
        <v>1000</v>
      </c>
      <c r="L540" s="334">
        <v>13873</v>
      </c>
      <c r="M540" s="362"/>
      <c r="N540" s="362">
        <f t="shared" si="16"/>
        <v>13873</v>
      </c>
      <c r="O540" s="356"/>
      <c r="P540" s="356" t="s">
        <v>52</v>
      </c>
      <c r="Q540" s="356"/>
      <c r="R540" s="356"/>
      <c r="S540" s="356"/>
      <c r="T540" s="356"/>
      <c r="U540" s="372"/>
      <c r="V540" s="372"/>
      <c r="W540" s="372"/>
      <c r="X540" s="373"/>
      <c r="Y540" s="348" t="s">
        <v>1338</v>
      </c>
      <c r="Z540" s="348"/>
      <c r="AA540" s="348"/>
    </row>
    <row r="541" s="331" customFormat="1" ht="17" customHeight="1" spans="1:27">
      <c r="A541" s="348">
        <v>190108</v>
      </c>
      <c r="B541" s="348" t="s">
        <v>73</v>
      </c>
      <c r="C541" s="348" t="s">
        <v>178</v>
      </c>
      <c r="D541" s="349" t="s">
        <v>132</v>
      </c>
      <c r="E541" s="336">
        <v>43589</v>
      </c>
      <c r="F541" s="336">
        <v>43589</v>
      </c>
      <c r="G541" s="336">
        <v>43657</v>
      </c>
      <c r="H541" s="334" t="s">
        <v>1664</v>
      </c>
      <c r="I541" s="356">
        <v>13052451415</v>
      </c>
      <c r="J541" s="361" t="s">
        <v>1665</v>
      </c>
      <c r="K541" s="356">
        <v>1000</v>
      </c>
      <c r="L541" s="334">
        <v>9732</v>
      </c>
      <c r="M541" s="334"/>
      <c r="N541" s="362">
        <f t="shared" si="16"/>
        <v>9732</v>
      </c>
      <c r="O541" s="356"/>
      <c r="P541" s="356"/>
      <c r="Q541" s="356"/>
      <c r="R541" s="356"/>
      <c r="S541" s="356"/>
      <c r="T541" s="356"/>
      <c r="U541" s="372"/>
      <c r="V541" s="372"/>
      <c r="W541" s="372"/>
      <c r="X541" s="373"/>
      <c r="Y541" s="348"/>
      <c r="Z541" s="348" t="s">
        <v>79</v>
      </c>
      <c r="AA541" s="348"/>
    </row>
    <row r="542" s="331" customFormat="1" ht="15" customHeight="1" spans="1:27">
      <c r="A542" s="550" t="s">
        <v>1666</v>
      </c>
      <c r="B542" s="348" t="s">
        <v>58</v>
      </c>
      <c r="C542" s="348" t="s">
        <v>451</v>
      </c>
      <c r="D542" s="352" t="s">
        <v>75</v>
      </c>
      <c r="E542" s="336">
        <v>43589</v>
      </c>
      <c r="F542" s="336">
        <v>43589</v>
      </c>
      <c r="G542" s="350">
        <v>43709</v>
      </c>
      <c r="H542" s="334" t="s">
        <v>1667</v>
      </c>
      <c r="I542" s="356">
        <v>13681975588</v>
      </c>
      <c r="J542" s="361" t="s">
        <v>1668</v>
      </c>
      <c r="K542" s="356">
        <v>5000</v>
      </c>
      <c r="L542" s="362"/>
      <c r="M542" s="362"/>
      <c r="N542" s="362">
        <f t="shared" si="16"/>
        <v>0</v>
      </c>
      <c r="O542" s="356"/>
      <c r="P542" s="356"/>
      <c r="Q542" s="356"/>
      <c r="R542" s="356"/>
      <c r="S542" s="356"/>
      <c r="T542" s="356"/>
      <c r="U542" s="372"/>
      <c r="V542" s="372"/>
      <c r="W542" s="372"/>
      <c r="X542" s="373">
        <v>1</v>
      </c>
      <c r="Y542" s="348" t="s">
        <v>1494</v>
      </c>
      <c r="Z542" s="348"/>
      <c r="AA542" s="348"/>
    </row>
    <row r="543" s="331" customFormat="1" ht="17" customHeight="1" spans="1:27">
      <c r="A543" s="348">
        <v>2027539</v>
      </c>
      <c r="B543" s="348" t="s">
        <v>73</v>
      </c>
      <c r="C543" s="348" t="s">
        <v>74</v>
      </c>
      <c r="D543" s="349" t="s">
        <v>162</v>
      </c>
      <c r="E543" s="336">
        <v>43587</v>
      </c>
      <c r="F543" s="336">
        <v>43586</v>
      </c>
      <c r="G543" s="350"/>
      <c r="H543" s="334" t="s">
        <v>1669</v>
      </c>
      <c r="I543" s="356">
        <v>13331817690</v>
      </c>
      <c r="J543" s="361" t="s">
        <v>1670</v>
      </c>
      <c r="K543" s="356">
        <v>1000</v>
      </c>
      <c r="L543" s="362"/>
      <c r="M543" s="362"/>
      <c r="N543" s="362">
        <f t="shared" si="16"/>
        <v>0</v>
      </c>
      <c r="O543" s="366"/>
      <c r="P543" s="405"/>
      <c r="Q543" s="366" t="s">
        <v>52</v>
      </c>
      <c r="R543" s="356"/>
      <c r="S543" s="356"/>
      <c r="T543" s="356"/>
      <c r="U543" s="372" t="s">
        <v>78</v>
      </c>
      <c r="V543" s="372"/>
      <c r="W543" s="372"/>
      <c r="X543" s="373"/>
      <c r="Y543" s="348"/>
      <c r="Z543" s="348" t="s">
        <v>73</v>
      </c>
      <c r="AA543" s="348"/>
    </row>
    <row r="544" s="331" customFormat="1" ht="17" customHeight="1" spans="1:27">
      <c r="A544" s="550" t="s">
        <v>1671</v>
      </c>
      <c r="B544" s="348" t="s">
        <v>160</v>
      </c>
      <c r="C544" s="348" t="s">
        <v>161</v>
      </c>
      <c r="D544" s="349" t="s">
        <v>162</v>
      </c>
      <c r="E544" s="336" t="s">
        <v>1627</v>
      </c>
      <c r="F544" s="336">
        <v>43616</v>
      </c>
      <c r="G544" s="350" t="s">
        <v>69</v>
      </c>
      <c r="H544" s="334" t="s">
        <v>1672</v>
      </c>
      <c r="I544" s="356">
        <v>13801614587</v>
      </c>
      <c r="J544" s="361" t="s">
        <v>1673</v>
      </c>
      <c r="K544" s="356">
        <v>1297</v>
      </c>
      <c r="L544" s="362"/>
      <c r="M544" s="362"/>
      <c r="N544" s="362">
        <f t="shared" si="16"/>
        <v>0</v>
      </c>
      <c r="O544" s="356"/>
      <c r="Q544" s="356"/>
      <c r="R544" s="356"/>
      <c r="S544" s="356"/>
      <c r="T544" s="356"/>
      <c r="U544" s="372"/>
      <c r="V544" s="372"/>
      <c r="W544" s="372"/>
      <c r="X544" s="373"/>
      <c r="Y544" s="348"/>
      <c r="Z544" s="348"/>
      <c r="AA544" s="348"/>
    </row>
    <row r="545" s="331" customFormat="1" ht="15" customHeight="1" spans="1:27">
      <c r="A545" s="550" t="s">
        <v>1674</v>
      </c>
      <c r="B545" s="348" t="s">
        <v>58</v>
      </c>
      <c r="C545" s="348" t="s">
        <v>451</v>
      </c>
      <c r="D545" s="352" t="s">
        <v>75</v>
      </c>
      <c r="E545" s="336">
        <v>43589</v>
      </c>
      <c r="F545" s="336">
        <v>43589</v>
      </c>
      <c r="G545" s="350"/>
      <c r="H545" s="334" t="s">
        <v>1675</v>
      </c>
      <c r="I545" s="356">
        <v>13916966671</v>
      </c>
      <c r="J545" s="361" t="s">
        <v>1676</v>
      </c>
      <c r="K545" s="356">
        <v>1000</v>
      </c>
      <c r="L545" s="362"/>
      <c r="M545" s="362"/>
      <c r="N545" s="362">
        <f t="shared" si="16"/>
        <v>0</v>
      </c>
      <c r="O545" s="356"/>
      <c r="Q545" s="356"/>
      <c r="R545" s="356"/>
      <c r="S545" s="356"/>
      <c r="T545" s="356"/>
      <c r="U545" s="372"/>
      <c r="V545" s="372"/>
      <c r="W545" s="372"/>
      <c r="X545" s="373">
        <v>1</v>
      </c>
      <c r="Y545" s="348" t="s">
        <v>1494</v>
      </c>
      <c r="Z545" s="348"/>
      <c r="AA545" s="348"/>
    </row>
    <row r="546" s="331" customFormat="1" ht="17" customHeight="1" spans="1:27">
      <c r="A546" s="550" t="s">
        <v>1677</v>
      </c>
      <c r="B546" s="348" t="s">
        <v>153</v>
      </c>
      <c r="C546" s="348" t="s">
        <v>154</v>
      </c>
      <c r="D546" s="349" t="s">
        <v>155</v>
      </c>
      <c r="E546" s="336">
        <v>43616</v>
      </c>
      <c r="F546" s="336">
        <v>43616</v>
      </c>
      <c r="G546" s="336">
        <v>43663</v>
      </c>
      <c r="H546" s="334" t="s">
        <v>1678</v>
      </c>
      <c r="I546" s="356">
        <v>13801757744</v>
      </c>
      <c r="J546" s="361" t="s">
        <v>1679</v>
      </c>
      <c r="K546" s="356">
        <f>20000+1000</f>
        <v>21000</v>
      </c>
      <c r="L546" s="334">
        <v>19671</v>
      </c>
      <c r="M546" s="334"/>
      <c r="N546" s="362">
        <f t="shared" ref="N546:N577" si="17">L546+M546</f>
        <v>19671</v>
      </c>
      <c r="O546" s="356"/>
      <c r="Q546" s="356"/>
      <c r="R546" s="356"/>
      <c r="S546" s="356"/>
      <c r="T546" s="356"/>
      <c r="U546" s="372"/>
      <c r="V546" s="372"/>
      <c r="W546" s="372"/>
      <c r="X546" s="373"/>
      <c r="Y546" s="348"/>
      <c r="Z546" s="348"/>
      <c r="AA546" s="348"/>
    </row>
    <row r="547" s="331" customFormat="1" ht="17" customHeight="1" spans="1:27">
      <c r="A547" s="348">
        <v>2025525</v>
      </c>
      <c r="B547" s="348" t="s">
        <v>335</v>
      </c>
      <c r="C547" s="348" t="s">
        <v>399</v>
      </c>
      <c r="D547" s="349" t="s">
        <v>337</v>
      </c>
      <c r="E547" s="336">
        <v>43589</v>
      </c>
      <c r="F547" s="336">
        <v>43589</v>
      </c>
      <c r="G547" s="356" t="s">
        <v>400</v>
      </c>
      <c r="H547" s="334" t="s">
        <v>1680</v>
      </c>
      <c r="I547" s="356">
        <v>18016495727</v>
      </c>
      <c r="J547" s="361" t="s">
        <v>1681</v>
      </c>
      <c r="K547" s="356">
        <v>3000</v>
      </c>
      <c r="L547" s="362"/>
      <c r="M547" s="362"/>
      <c r="N547" s="362">
        <f t="shared" si="17"/>
        <v>0</v>
      </c>
      <c r="O547" s="356"/>
      <c r="Q547" s="356"/>
      <c r="R547" s="356"/>
      <c r="S547" s="356"/>
      <c r="T547" s="356"/>
      <c r="U547" s="372"/>
      <c r="V547" s="372"/>
      <c r="W547" s="372"/>
      <c r="X547" s="373"/>
      <c r="Y547" s="348" t="s">
        <v>1338</v>
      </c>
      <c r="Z547" s="348"/>
      <c r="AA547" s="348"/>
    </row>
    <row r="548" s="331" customFormat="1" ht="17" customHeight="1" spans="1:27">
      <c r="A548" s="348">
        <v>2023591</v>
      </c>
      <c r="B548" s="348" t="s">
        <v>73</v>
      </c>
      <c r="C548" s="348" t="s">
        <v>178</v>
      </c>
      <c r="D548" s="352" t="s">
        <v>75</v>
      </c>
      <c r="E548" s="336">
        <v>43589</v>
      </c>
      <c r="F548" s="336">
        <v>43588</v>
      </c>
      <c r="G548" s="350"/>
      <c r="H548" s="334" t="s">
        <v>1682</v>
      </c>
      <c r="I548" s="356">
        <v>13482684918</v>
      </c>
      <c r="J548" s="361" t="s">
        <v>1683</v>
      </c>
      <c r="K548" s="356">
        <v>1000</v>
      </c>
      <c r="L548" s="362"/>
      <c r="M548" s="362"/>
      <c r="N548" s="362">
        <f t="shared" si="17"/>
        <v>0</v>
      </c>
      <c r="O548" s="356"/>
      <c r="Q548" s="366" t="s">
        <v>52</v>
      </c>
      <c r="R548" s="356"/>
      <c r="S548" s="356"/>
      <c r="T548" s="356"/>
      <c r="U548" s="372" t="s">
        <v>78</v>
      </c>
      <c r="V548" s="372"/>
      <c r="W548" s="372"/>
      <c r="X548" s="373"/>
      <c r="Y548" s="348" t="s">
        <v>1223</v>
      </c>
      <c r="Z548" s="348" t="s">
        <v>79</v>
      </c>
      <c r="AA548" s="348"/>
    </row>
    <row r="549" s="331" customFormat="1" ht="17" customHeight="1" spans="1:27">
      <c r="A549" s="348">
        <v>2068827</v>
      </c>
      <c r="B549" s="348" t="s">
        <v>66</v>
      </c>
      <c r="C549" s="348" t="s">
        <v>119</v>
      </c>
      <c r="D549" s="349" t="s">
        <v>68</v>
      </c>
      <c r="E549" s="336">
        <v>43589</v>
      </c>
      <c r="F549" s="336">
        <v>43588</v>
      </c>
      <c r="G549" s="336">
        <v>43673</v>
      </c>
      <c r="H549" s="334" t="s">
        <v>1684</v>
      </c>
      <c r="I549" s="356">
        <v>19901710224</v>
      </c>
      <c r="J549" s="361" t="s">
        <v>1685</v>
      </c>
      <c r="K549" s="356">
        <v>3000</v>
      </c>
      <c r="L549" s="334">
        <v>19816</v>
      </c>
      <c r="M549" s="362"/>
      <c r="N549" s="362">
        <f t="shared" si="17"/>
        <v>19816</v>
      </c>
      <c r="O549" s="356"/>
      <c r="Q549" s="356" t="s">
        <v>1686</v>
      </c>
      <c r="R549" s="356"/>
      <c r="S549" s="356"/>
      <c r="T549" s="356"/>
      <c r="U549" s="372"/>
      <c r="V549" s="372"/>
      <c r="W549" s="372"/>
      <c r="X549" s="373"/>
      <c r="Y549" s="348" t="s">
        <v>1223</v>
      </c>
      <c r="Z549" s="348"/>
      <c r="AA549" s="348"/>
    </row>
    <row r="550" s="331" customFormat="1" ht="17" customHeight="1" spans="1:27">
      <c r="A550" s="550" t="s">
        <v>1687</v>
      </c>
      <c r="B550" s="348" t="s">
        <v>35</v>
      </c>
      <c r="C550" s="348" t="s">
        <v>392</v>
      </c>
      <c r="D550" s="352" t="s">
        <v>37</v>
      </c>
      <c r="E550" s="336">
        <v>43589</v>
      </c>
      <c r="F550" s="336">
        <v>43589</v>
      </c>
      <c r="G550" s="336">
        <v>43673</v>
      </c>
      <c r="H550" s="334" t="s">
        <v>1688</v>
      </c>
      <c r="I550" s="356">
        <v>18621906937</v>
      </c>
      <c r="J550" s="361" t="s">
        <v>1689</v>
      </c>
      <c r="K550" s="356">
        <v>3000</v>
      </c>
      <c r="L550" s="334">
        <v>19149</v>
      </c>
      <c r="M550" s="362"/>
      <c r="N550" s="362">
        <f t="shared" si="17"/>
        <v>19149</v>
      </c>
      <c r="O550" s="356"/>
      <c r="Q550" s="356"/>
      <c r="R550" s="356" t="s">
        <v>52</v>
      </c>
      <c r="S550" s="356"/>
      <c r="T550" s="356"/>
      <c r="U550" s="372"/>
      <c r="V550" s="372"/>
      <c r="W550" s="372"/>
      <c r="X550" s="373"/>
      <c r="Y550" s="348" t="s">
        <v>1338</v>
      </c>
      <c r="Z550" s="348"/>
      <c r="AA550" s="348"/>
    </row>
    <row r="551" s="331" customFormat="1" ht="17" customHeight="1" spans="1:27">
      <c r="A551" s="550" t="s">
        <v>1690</v>
      </c>
      <c r="B551" s="348" t="s">
        <v>35</v>
      </c>
      <c r="C551" s="348" t="s">
        <v>392</v>
      </c>
      <c r="D551" s="352" t="s">
        <v>37</v>
      </c>
      <c r="E551" s="336">
        <v>43708</v>
      </c>
      <c r="F551" s="336">
        <v>43589</v>
      </c>
      <c r="G551" s="336">
        <v>43708</v>
      </c>
      <c r="H551" s="334" t="s">
        <v>1691</v>
      </c>
      <c r="I551" s="356">
        <v>18221385981</v>
      </c>
      <c r="J551" s="361" t="s">
        <v>1692</v>
      </c>
      <c r="K551" s="356">
        <v>1000</v>
      </c>
      <c r="L551" s="334">
        <v>11000</v>
      </c>
      <c r="M551" s="362"/>
      <c r="N551" s="362">
        <f t="shared" si="17"/>
        <v>11000</v>
      </c>
      <c r="O551" s="356"/>
      <c r="Q551" s="356" t="s">
        <v>52</v>
      </c>
      <c r="R551" s="356"/>
      <c r="S551" s="356"/>
      <c r="T551" s="356"/>
      <c r="U551" s="372"/>
      <c r="V551" s="372"/>
      <c r="W551" s="372"/>
      <c r="X551" s="373"/>
      <c r="Y551" s="348"/>
      <c r="Z551" s="348"/>
      <c r="AA551" s="348"/>
    </row>
    <row r="552" s="331" customFormat="1" ht="17" customHeight="1" spans="1:27">
      <c r="A552" s="550" t="s">
        <v>1693</v>
      </c>
      <c r="B552" s="348" t="s">
        <v>35</v>
      </c>
      <c r="C552" s="348" t="s">
        <v>392</v>
      </c>
      <c r="D552" s="352" t="s">
        <v>37</v>
      </c>
      <c r="E552" s="336">
        <v>43589</v>
      </c>
      <c r="F552" s="336">
        <v>43589</v>
      </c>
      <c r="G552" s="350"/>
      <c r="H552" s="334" t="s">
        <v>1694</v>
      </c>
      <c r="I552" s="356" t="s">
        <v>1695</v>
      </c>
      <c r="J552" s="361" t="s">
        <v>1696</v>
      </c>
      <c r="K552" s="356">
        <v>1000</v>
      </c>
      <c r="L552" s="362"/>
      <c r="M552" s="362"/>
      <c r="N552" s="362">
        <f t="shared" si="17"/>
        <v>0</v>
      </c>
      <c r="O552" s="356"/>
      <c r="Q552" s="356"/>
      <c r="R552" s="356"/>
      <c r="S552" s="356" t="s">
        <v>52</v>
      </c>
      <c r="T552" s="356"/>
      <c r="U552" s="372"/>
      <c r="V552" s="372" t="s">
        <v>98</v>
      </c>
      <c r="W552" s="372"/>
      <c r="X552" s="373"/>
      <c r="Y552" s="348" t="s">
        <v>1223</v>
      </c>
      <c r="Z552" s="348"/>
      <c r="AA552" s="348"/>
    </row>
    <row r="553" s="331" customFormat="1" ht="17" customHeight="1" spans="1:27">
      <c r="A553" s="348">
        <v>2068266</v>
      </c>
      <c r="B553" s="348" t="s">
        <v>66</v>
      </c>
      <c r="C553" s="348" t="s">
        <v>119</v>
      </c>
      <c r="D553" s="349" t="s">
        <v>68</v>
      </c>
      <c r="E553" s="336">
        <v>43589</v>
      </c>
      <c r="F553" s="336">
        <v>43589</v>
      </c>
      <c r="G553" s="336">
        <v>43658</v>
      </c>
      <c r="H553" s="334" t="s">
        <v>1697</v>
      </c>
      <c r="I553" s="356">
        <v>18017801870</v>
      </c>
      <c r="J553" s="361" t="s">
        <v>1698</v>
      </c>
      <c r="K553" s="356">
        <v>3000</v>
      </c>
      <c r="L553" s="334">
        <v>12022</v>
      </c>
      <c r="M553" s="334"/>
      <c r="N553" s="362">
        <f t="shared" si="17"/>
        <v>12022</v>
      </c>
      <c r="O553" s="356"/>
      <c r="Q553" s="356"/>
      <c r="R553" s="356"/>
      <c r="S553" s="356"/>
      <c r="T553" s="356"/>
      <c r="U553" s="372"/>
      <c r="V553" s="372"/>
      <c r="W553" s="372"/>
      <c r="X553" s="373"/>
      <c r="Y553" s="348" t="s">
        <v>1223</v>
      </c>
      <c r="Z553" s="348"/>
      <c r="AA553" s="348"/>
    </row>
    <row r="554" s="331" customFormat="1" ht="17" customHeight="1" spans="1:27">
      <c r="A554" s="550" t="s">
        <v>1699</v>
      </c>
      <c r="B554" s="348" t="s">
        <v>31</v>
      </c>
      <c r="C554" s="348" t="s">
        <v>251</v>
      </c>
      <c r="D554" s="349" t="s">
        <v>337</v>
      </c>
      <c r="E554" s="336">
        <v>43687</v>
      </c>
      <c r="F554" s="336">
        <v>43589</v>
      </c>
      <c r="G554" s="336">
        <v>43686</v>
      </c>
      <c r="H554" s="334" t="s">
        <v>1700</v>
      </c>
      <c r="I554" s="356">
        <v>13764558328</v>
      </c>
      <c r="J554" s="361" t="s">
        <v>1701</v>
      </c>
      <c r="K554" s="356">
        <v>1000</v>
      </c>
      <c r="L554" s="334">
        <v>13122</v>
      </c>
      <c r="M554" s="362"/>
      <c r="N554" s="362">
        <f t="shared" si="17"/>
        <v>13122</v>
      </c>
      <c r="O554" s="356"/>
      <c r="Q554" s="366" t="s">
        <v>52</v>
      </c>
      <c r="R554" s="356"/>
      <c r="S554" s="356"/>
      <c r="T554" s="356"/>
      <c r="U554" s="372"/>
      <c r="V554" s="372"/>
      <c r="W554" s="372"/>
      <c r="X554" s="373"/>
      <c r="Y554" s="348"/>
      <c r="Z554" s="348"/>
      <c r="AA554" s="348"/>
    </row>
    <row r="555" s="57" customFormat="1" ht="17" customHeight="1" spans="1:27">
      <c r="A555" s="348">
        <v>2026706</v>
      </c>
      <c r="B555" s="348" t="s">
        <v>137</v>
      </c>
      <c r="C555" s="348" t="s">
        <v>480</v>
      </c>
      <c r="D555" s="349" t="s">
        <v>139</v>
      </c>
      <c r="E555" s="336">
        <v>43589</v>
      </c>
      <c r="F555" s="336">
        <v>43588</v>
      </c>
      <c r="G555" s="350"/>
      <c r="H555" s="334" t="s">
        <v>1702</v>
      </c>
      <c r="I555" s="356">
        <v>13795358434</v>
      </c>
      <c r="J555" s="348" t="s">
        <v>1703</v>
      </c>
      <c r="K555" s="356">
        <v>3000</v>
      </c>
      <c r="L555" s="362"/>
      <c r="M555" s="362"/>
      <c r="N555" s="362">
        <f t="shared" si="17"/>
        <v>0</v>
      </c>
      <c r="O555" s="356"/>
      <c r="P555" s="356">
        <v>1</v>
      </c>
      <c r="Q555" s="356"/>
      <c r="R555" s="356"/>
      <c r="S555" s="356"/>
      <c r="T555" s="356"/>
      <c r="U555" s="372" t="s">
        <v>12</v>
      </c>
      <c r="V555" s="372"/>
      <c r="W555" s="372"/>
      <c r="X555" s="373"/>
      <c r="Y555" s="348" t="s">
        <v>1223</v>
      </c>
      <c r="Z555" s="348"/>
      <c r="AA555" s="348"/>
    </row>
    <row r="556" s="331" customFormat="1" ht="17" customHeight="1" spans="1:27">
      <c r="A556" s="550" t="s">
        <v>1704</v>
      </c>
      <c r="B556" s="348" t="s">
        <v>35</v>
      </c>
      <c r="C556" s="348" t="s">
        <v>36</v>
      </c>
      <c r="D556" s="352" t="s">
        <v>37</v>
      </c>
      <c r="E556" s="336">
        <v>43589</v>
      </c>
      <c r="F556" s="336">
        <v>43589</v>
      </c>
      <c r="G556" s="350"/>
      <c r="H556" s="334" t="s">
        <v>1705</v>
      </c>
      <c r="I556" s="356">
        <v>18621722801</v>
      </c>
      <c r="J556" s="361" t="s">
        <v>1706</v>
      </c>
      <c r="K556" s="356">
        <v>1000</v>
      </c>
      <c r="L556" s="362"/>
      <c r="M556" s="362"/>
      <c r="N556" s="362">
        <f t="shared" si="17"/>
        <v>0</v>
      </c>
      <c r="O556" s="356"/>
      <c r="Q556" s="356"/>
      <c r="R556" s="356"/>
      <c r="S556" s="356"/>
      <c r="T556" s="356"/>
      <c r="U556" s="372" t="s">
        <v>40</v>
      </c>
      <c r="V556" s="372"/>
      <c r="W556" s="372"/>
      <c r="X556" s="373"/>
      <c r="Y556" s="348"/>
      <c r="Z556" s="348"/>
      <c r="AA556" s="348"/>
    </row>
    <row r="557" s="331" customFormat="1" ht="17" customHeight="1" spans="1:27">
      <c r="A557" s="550" t="s">
        <v>1707</v>
      </c>
      <c r="B557" s="348" t="s">
        <v>137</v>
      </c>
      <c r="C557" s="348" t="s">
        <v>1108</v>
      </c>
      <c r="D557" s="349" t="s">
        <v>75</v>
      </c>
      <c r="E557" s="336">
        <v>43680</v>
      </c>
      <c r="F557" s="336">
        <v>43589</v>
      </c>
      <c r="G557" s="336">
        <v>43680</v>
      </c>
      <c r="H557" s="334" t="s">
        <v>1708</v>
      </c>
      <c r="I557" s="356">
        <v>18516692460</v>
      </c>
      <c r="J557" s="361" t="s">
        <v>1709</v>
      </c>
      <c r="K557" s="356">
        <v>3000</v>
      </c>
      <c r="L557" s="334">
        <v>9808</v>
      </c>
      <c r="M557" s="362"/>
      <c r="N557" s="362">
        <f t="shared" si="17"/>
        <v>9808</v>
      </c>
      <c r="O557" s="356"/>
      <c r="Q557" s="356">
        <v>1</v>
      </c>
      <c r="R557" s="356"/>
      <c r="S557" s="356"/>
      <c r="T557" s="356"/>
      <c r="U557" s="372"/>
      <c r="V557" s="372"/>
      <c r="W557" s="372"/>
      <c r="X557" s="373">
        <v>1</v>
      </c>
      <c r="Y557" s="348" t="s">
        <v>497</v>
      </c>
      <c r="Z557" s="348"/>
      <c r="AA557" s="348"/>
    </row>
    <row r="558" s="331" customFormat="1" ht="17" customHeight="1" spans="1:27">
      <c r="A558" s="550" t="s">
        <v>1710</v>
      </c>
      <c r="B558" s="348" t="s">
        <v>123</v>
      </c>
      <c r="C558" s="348" t="s">
        <v>124</v>
      </c>
      <c r="D558" s="349" t="s">
        <v>125</v>
      </c>
      <c r="E558" s="336">
        <v>43589</v>
      </c>
      <c r="F558" s="336">
        <v>43589</v>
      </c>
      <c r="G558" s="336">
        <v>43652</v>
      </c>
      <c r="H558" s="334" t="s">
        <v>1711</v>
      </c>
      <c r="I558" s="356">
        <v>13248225089</v>
      </c>
      <c r="J558" s="361" t="s">
        <v>1712</v>
      </c>
      <c r="K558" s="356">
        <v>1000</v>
      </c>
      <c r="L558" s="334">
        <v>7100</v>
      </c>
      <c r="M558" s="334">
        <v>3100</v>
      </c>
      <c r="N558" s="362">
        <f t="shared" si="17"/>
        <v>10200</v>
      </c>
      <c r="O558" s="356"/>
      <c r="Q558" s="356"/>
      <c r="R558" s="356"/>
      <c r="S558" s="356"/>
      <c r="T558" s="356"/>
      <c r="U558" s="372"/>
      <c r="V558" s="372"/>
      <c r="W558" s="372"/>
      <c r="X558" s="373"/>
      <c r="Y558" s="348"/>
      <c r="Z558" s="348"/>
      <c r="AA558" s="348"/>
    </row>
    <row r="559" s="331" customFormat="1" ht="17" customHeight="1" spans="1:27">
      <c r="A559" s="348">
        <v>2066837</v>
      </c>
      <c r="B559" s="348" t="s">
        <v>31</v>
      </c>
      <c r="C559" s="348" t="s">
        <v>220</v>
      </c>
      <c r="D559" s="349" t="s">
        <v>221</v>
      </c>
      <c r="E559" s="336">
        <v>43689</v>
      </c>
      <c r="F559" s="336">
        <v>43589</v>
      </c>
      <c r="G559" s="336">
        <v>43688</v>
      </c>
      <c r="H559" s="334" t="s">
        <v>1713</v>
      </c>
      <c r="I559" s="356">
        <v>13801924038</v>
      </c>
      <c r="J559" s="361" t="s">
        <v>1714</v>
      </c>
      <c r="K559" s="356">
        <v>10000</v>
      </c>
      <c r="L559" s="334">
        <v>-14578</v>
      </c>
      <c r="M559" s="334">
        <v>-180</v>
      </c>
      <c r="N559" s="362">
        <f t="shared" si="17"/>
        <v>-14758</v>
      </c>
      <c r="O559" s="356"/>
      <c r="Q559" s="356"/>
      <c r="R559" s="366" t="s">
        <v>52</v>
      </c>
      <c r="S559" s="356"/>
      <c r="T559" s="356"/>
      <c r="U559" s="372"/>
      <c r="V559" s="372"/>
      <c r="W559" s="372"/>
      <c r="X559" s="373"/>
      <c r="Y559" s="348"/>
      <c r="Z559" s="348" t="s">
        <v>318</v>
      </c>
      <c r="AA559" s="348"/>
    </row>
    <row r="560" s="331" customFormat="1" ht="17" customHeight="1" spans="1:27">
      <c r="A560" s="348">
        <v>2066903</v>
      </c>
      <c r="B560" s="348" t="s">
        <v>185</v>
      </c>
      <c r="C560" s="348" t="s">
        <v>1204</v>
      </c>
      <c r="D560" s="349" t="s">
        <v>44</v>
      </c>
      <c r="E560" s="336">
        <v>43589</v>
      </c>
      <c r="F560" s="336">
        <v>43589</v>
      </c>
      <c r="G560" s="350"/>
      <c r="H560" s="334" t="s">
        <v>1715</v>
      </c>
      <c r="I560" s="356">
        <v>18516010934</v>
      </c>
      <c r="J560" s="361" t="s">
        <v>1716</v>
      </c>
      <c r="K560" s="356">
        <v>1000</v>
      </c>
      <c r="L560" s="362"/>
      <c r="M560" s="362"/>
      <c r="N560" s="362">
        <f t="shared" si="17"/>
        <v>0</v>
      </c>
      <c r="O560" s="356"/>
      <c r="Q560" s="356"/>
      <c r="R560" s="356"/>
      <c r="S560" s="356"/>
      <c r="T560" s="356"/>
      <c r="U560" s="374">
        <v>43636</v>
      </c>
      <c r="V560" s="372"/>
      <c r="W560" s="372"/>
      <c r="X560" s="373"/>
      <c r="Y560" s="348" t="s">
        <v>1631</v>
      </c>
      <c r="Z560" s="348"/>
      <c r="AA560" s="348"/>
    </row>
    <row r="561" s="331" customFormat="1" ht="17" customHeight="1" spans="1:27">
      <c r="A561" s="550" t="s">
        <v>1717</v>
      </c>
      <c r="B561" s="348" t="s">
        <v>66</v>
      </c>
      <c r="C561" s="348" t="s">
        <v>951</v>
      </c>
      <c r="D561" s="349" t="s">
        <v>68</v>
      </c>
      <c r="E561" s="336">
        <v>43589</v>
      </c>
      <c r="F561" s="336">
        <v>43589</v>
      </c>
      <c r="G561" s="350"/>
      <c r="H561" s="334" t="s">
        <v>1718</v>
      </c>
      <c r="I561" s="356">
        <v>13774232836</v>
      </c>
      <c r="J561" s="361" t="s">
        <v>1719</v>
      </c>
      <c r="K561" s="356">
        <v>3000</v>
      </c>
      <c r="L561" s="362"/>
      <c r="M561" s="362"/>
      <c r="N561" s="362">
        <f t="shared" si="17"/>
        <v>0</v>
      </c>
      <c r="O561" s="356"/>
      <c r="Q561" s="356"/>
      <c r="R561" s="356"/>
      <c r="S561" s="356"/>
      <c r="T561" s="356"/>
      <c r="U561" s="372" t="s">
        <v>12</v>
      </c>
      <c r="V561" s="372"/>
      <c r="W561" s="372"/>
      <c r="X561" s="373"/>
      <c r="Y561" s="348"/>
      <c r="Z561" s="348"/>
      <c r="AA561" s="348"/>
    </row>
    <row r="562" s="331" customFormat="1" ht="17" customHeight="1" spans="1:27">
      <c r="A562" s="550" t="s">
        <v>1720</v>
      </c>
      <c r="B562" s="348" t="s">
        <v>130</v>
      </c>
      <c r="C562" s="348" t="s">
        <v>366</v>
      </c>
      <c r="D562" s="352" t="s">
        <v>132</v>
      </c>
      <c r="E562" s="336">
        <v>43589</v>
      </c>
      <c r="F562" s="336">
        <v>43589</v>
      </c>
      <c r="G562" s="350"/>
      <c r="H562" s="334" t="s">
        <v>1721</v>
      </c>
      <c r="I562" s="356">
        <v>18101695797</v>
      </c>
      <c r="J562" s="361" t="s">
        <v>1722</v>
      </c>
      <c r="K562" s="356">
        <v>1000</v>
      </c>
      <c r="L562" s="362"/>
      <c r="M562" s="362"/>
      <c r="N562" s="362">
        <f t="shared" si="17"/>
        <v>0</v>
      </c>
      <c r="O562" s="356">
        <v>1</v>
      </c>
      <c r="Q562" s="356"/>
      <c r="R562" s="356"/>
      <c r="S562" s="356"/>
      <c r="T562" s="356"/>
      <c r="U562" s="372" t="s">
        <v>459</v>
      </c>
      <c r="V562" s="372"/>
      <c r="W562" s="372"/>
      <c r="X562" s="373"/>
      <c r="Y562" s="348" t="s">
        <v>1223</v>
      </c>
      <c r="Z562" s="348"/>
      <c r="AA562" s="348"/>
    </row>
    <row r="563" s="331" customFormat="1" ht="17" customHeight="1" spans="1:27">
      <c r="A563" s="550" t="s">
        <v>1723</v>
      </c>
      <c r="B563" s="348" t="s">
        <v>31</v>
      </c>
      <c r="C563" s="348" t="s">
        <v>251</v>
      </c>
      <c r="D563" s="349" t="s">
        <v>33</v>
      </c>
      <c r="E563" s="336">
        <v>43589</v>
      </c>
      <c r="F563" s="336">
        <v>43588</v>
      </c>
      <c r="G563" s="350"/>
      <c r="H563" s="334" t="s">
        <v>1724</v>
      </c>
      <c r="I563" s="356">
        <v>18964667819</v>
      </c>
      <c r="J563" s="361" t="s">
        <v>1725</v>
      </c>
      <c r="K563" s="356">
        <v>1000</v>
      </c>
      <c r="L563" s="362"/>
      <c r="M563" s="362"/>
      <c r="N563" s="362">
        <f t="shared" si="17"/>
        <v>0</v>
      </c>
      <c r="O563" s="356"/>
      <c r="Q563" s="366" t="s">
        <v>52</v>
      </c>
      <c r="R563" s="356"/>
      <c r="S563" s="356"/>
      <c r="T563" s="356"/>
      <c r="U563" s="400" t="s">
        <v>1726</v>
      </c>
      <c r="V563" s="372"/>
      <c r="W563" s="372"/>
      <c r="X563" s="373"/>
      <c r="Y563" s="348"/>
      <c r="Z563" s="348"/>
      <c r="AA563" s="348"/>
    </row>
    <row r="564" s="331" customFormat="1" ht="17" customHeight="1" spans="1:27">
      <c r="A564" s="550" t="s">
        <v>1727</v>
      </c>
      <c r="B564" s="348" t="s">
        <v>42</v>
      </c>
      <c r="C564" s="348" t="s">
        <v>1728</v>
      </c>
      <c r="D564" s="349" t="s">
        <v>356</v>
      </c>
      <c r="E564" s="336">
        <v>43589</v>
      </c>
      <c r="F564" s="336">
        <v>43589</v>
      </c>
      <c r="G564" s="350"/>
      <c r="H564" s="334" t="s">
        <v>1729</v>
      </c>
      <c r="I564" s="356">
        <v>13002117150</v>
      </c>
      <c r="J564" s="361" t="s">
        <v>1730</v>
      </c>
      <c r="K564" s="356">
        <v>1000</v>
      </c>
      <c r="L564" s="362"/>
      <c r="M564" s="362"/>
      <c r="N564" s="362">
        <f t="shared" si="17"/>
        <v>0</v>
      </c>
      <c r="O564" s="356"/>
      <c r="Q564" s="356"/>
      <c r="R564" s="356"/>
      <c r="S564" s="356"/>
      <c r="T564" s="356"/>
      <c r="U564" s="372" t="s">
        <v>1731</v>
      </c>
      <c r="V564" s="372"/>
      <c r="W564" s="372"/>
      <c r="X564" s="373"/>
      <c r="Y564" s="348"/>
      <c r="Z564" s="348"/>
      <c r="AA564" s="348"/>
    </row>
    <row r="565" s="57" customFormat="1" ht="17" customHeight="1" spans="1:27">
      <c r="A565" s="550" t="s">
        <v>1732</v>
      </c>
      <c r="B565" s="348" t="s">
        <v>137</v>
      </c>
      <c r="C565" s="348" t="s">
        <v>1041</v>
      </c>
      <c r="D565" s="349" t="s">
        <v>139</v>
      </c>
      <c r="E565" s="336">
        <v>43589</v>
      </c>
      <c r="F565" s="336">
        <v>43589</v>
      </c>
      <c r="G565" s="350"/>
      <c r="H565" s="334" t="s">
        <v>1733</v>
      </c>
      <c r="I565" s="356">
        <v>13916782050</v>
      </c>
      <c r="J565" s="348" t="s">
        <v>1734</v>
      </c>
      <c r="K565" s="356">
        <v>3000</v>
      </c>
      <c r="L565" s="362"/>
      <c r="M565" s="362"/>
      <c r="N565" s="362">
        <f t="shared" si="17"/>
        <v>0</v>
      </c>
      <c r="O565" s="356"/>
      <c r="Q565" s="356"/>
      <c r="R565" s="356">
        <v>1</v>
      </c>
      <c r="S565" s="356"/>
      <c r="T565" s="356"/>
      <c r="U565" s="372" t="s">
        <v>12</v>
      </c>
      <c r="V565" s="372"/>
      <c r="W565" s="372"/>
      <c r="X565" s="373">
        <v>1</v>
      </c>
      <c r="Y565" s="348" t="s">
        <v>497</v>
      </c>
      <c r="Z565" s="348"/>
      <c r="AA565" s="348"/>
    </row>
    <row r="566" s="331" customFormat="1" ht="17" customHeight="1" spans="1:27">
      <c r="A566" s="550" t="s">
        <v>1735</v>
      </c>
      <c r="B566" s="348" t="s">
        <v>130</v>
      </c>
      <c r="C566" s="348" t="s">
        <v>230</v>
      </c>
      <c r="D566" s="349" t="s">
        <v>182</v>
      </c>
      <c r="E566" s="336">
        <v>43589</v>
      </c>
      <c r="F566" s="336">
        <v>43589</v>
      </c>
      <c r="G566" s="336">
        <v>43658</v>
      </c>
      <c r="H566" s="334" t="s">
        <v>1736</v>
      </c>
      <c r="I566" s="356">
        <v>17701836585</v>
      </c>
      <c r="J566" s="361" t="s">
        <v>1737</v>
      </c>
      <c r="K566" s="356">
        <v>5000</v>
      </c>
      <c r="L566" s="334">
        <v>11601</v>
      </c>
      <c r="M566" s="334"/>
      <c r="N566" s="362">
        <f t="shared" si="17"/>
        <v>11601</v>
      </c>
      <c r="O566" s="356"/>
      <c r="Q566" s="356"/>
      <c r="R566" s="356"/>
      <c r="S566" s="356"/>
      <c r="T566" s="356"/>
      <c r="U566" s="372"/>
      <c r="V566" s="372"/>
      <c r="W566" s="372"/>
      <c r="X566" s="373"/>
      <c r="Y566" s="348" t="s">
        <v>1223</v>
      </c>
      <c r="Z566" s="348"/>
      <c r="AA566" s="348"/>
    </row>
    <row r="567" s="331" customFormat="1" ht="17" customHeight="1" spans="1:27">
      <c r="A567" s="348">
        <v>2067608</v>
      </c>
      <c r="B567" s="348" t="s">
        <v>31</v>
      </c>
      <c r="C567" s="348" t="s">
        <v>220</v>
      </c>
      <c r="D567" s="334" t="s">
        <v>33</v>
      </c>
      <c r="E567" s="336">
        <v>43765</v>
      </c>
      <c r="F567" s="336">
        <v>43589</v>
      </c>
      <c r="G567" s="336">
        <v>43764</v>
      </c>
      <c r="H567" s="334" t="s">
        <v>1738</v>
      </c>
      <c r="I567" s="356">
        <v>18121090509</v>
      </c>
      <c r="J567" s="361" t="s">
        <v>1739</v>
      </c>
      <c r="K567" s="356">
        <v>1000</v>
      </c>
      <c r="L567" s="334">
        <v>22000</v>
      </c>
      <c r="M567" s="362"/>
      <c r="N567" s="362">
        <f t="shared" si="17"/>
        <v>22000</v>
      </c>
      <c r="O567" s="356"/>
      <c r="Q567" s="348" t="s">
        <v>1740</v>
      </c>
      <c r="R567" s="356"/>
      <c r="S567" s="356"/>
      <c r="T567" s="356"/>
      <c r="U567" s="372"/>
      <c r="V567" s="372"/>
      <c r="W567" s="372"/>
      <c r="X567" s="373">
        <v>1</v>
      </c>
      <c r="Y567" s="348"/>
      <c r="Z567" s="348"/>
      <c r="AA567" s="348"/>
    </row>
    <row r="568" s="331" customFormat="1" ht="17" customHeight="1" spans="1:27">
      <c r="A568" s="550" t="s">
        <v>1741</v>
      </c>
      <c r="B568" s="348" t="s">
        <v>137</v>
      </c>
      <c r="C568" s="348" t="s">
        <v>861</v>
      </c>
      <c r="D568" s="349" t="s">
        <v>60</v>
      </c>
      <c r="E568" s="336">
        <v>43589</v>
      </c>
      <c r="F568" s="336">
        <v>43586</v>
      </c>
      <c r="G568" s="336">
        <v>43660</v>
      </c>
      <c r="H568" s="334" t="s">
        <v>1742</v>
      </c>
      <c r="I568" s="356">
        <v>17317583870</v>
      </c>
      <c r="J568" s="361" t="s">
        <v>1743</v>
      </c>
      <c r="K568" s="356">
        <v>1000</v>
      </c>
      <c r="L568" s="334">
        <v>4887</v>
      </c>
      <c r="M568" s="334">
        <f>368+368</f>
        <v>736</v>
      </c>
      <c r="N568" s="362">
        <f t="shared" si="17"/>
        <v>5623</v>
      </c>
      <c r="O568" s="356"/>
      <c r="Q568" s="356"/>
      <c r="R568" s="356"/>
      <c r="S568" s="356"/>
      <c r="T568" s="356"/>
      <c r="U568" s="372"/>
      <c r="V568" s="372"/>
      <c r="W568" s="372"/>
      <c r="X568" s="373"/>
      <c r="Y568" s="348" t="s">
        <v>1508</v>
      </c>
      <c r="Z568" s="348"/>
      <c r="AA568" s="348"/>
    </row>
    <row r="569" s="331" customFormat="1" ht="17" customHeight="1" spans="1:27">
      <c r="A569" s="550" t="s">
        <v>1744</v>
      </c>
      <c r="B569" s="348" t="s">
        <v>58</v>
      </c>
      <c r="C569" s="348" t="s">
        <v>451</v>
      </c>
      <c r="D569" s="349" t="s">
        <v>343</v>
      </c>
      <c r="E569" s="336">
        <v>43589</v>
      </c>
      <c r="F569" s="336">
        <v>43589</v>
      </c>
      <c r="G569" s="336">
        <v>43665</v>
      </c>
      <c r="H569" s="334" t="s">
        <v>1745</v>
      </c>
      <c r="I569" s="356">
        <v>18621930775</v>
      </c>
      <c r="J569" s="361" t="s">
        <v>1746</v>
      </c>
      <c r="K569" s="356">
        <v>3000</v>
      </c>
      <c r="L569" s="334">
        <v>15895</v>
      </c>
      <c r="M569" s="362"/>
      <c r="N569" s="362">
        <f t="shared" si="17"/>
        <v>15895</v>
      </c>
      <c r="O569" s="356"/>
      <c r="Q569" s="356"/>
      <c r="R569" s="356"/>
      <c r="S569" s="356"/>
      <c r="T569" s="356"/>
      <c r="U569" s="372"/>
      <c r="V569" s="372"/>
      <c r="W569" s="372"/>
      <c r="X569" s="373"/>
      <c r="Y569" s="348" t="s">
        <v>1223</v>
      </c>
      <c r="Z569" s="348"/>
      <c r="AA569" s="348" t="s">
        <v>1747</v>
      </c>
    </row>
    <row r="570" s="331" customFormat="1" ht="17" customHeight="1" spans="1:27">
      <c r="A570" s="550" t="s">
        <v>1748</v>
      </c>
      <c r="B570" s="348" t="s">
        <v>66</v>
      </c>
      <c r="C570" s="348" t="s">
        <v>1749</v>
      </c>
      <c r="D570" s="349" t="s">
        <v>89</v>
      </c>
      <c r="E570" s="336">
        <v>43589</v>
      </c>
      <c r="F570" s="336">
        <v>43589</v>
      </c>
      <c r="G570" s="336">
        <v>43656</v>
      </c>
      <c r="H570" s="334" t="s">
        <v>1750</v>
      </c>
      <c r="I570" s="356">
        <v>13916558136</v>
      </c>
      <c r="J570" s="361" t="s">
        <v>1751</v>
      </c>
      <c r="K570" s="356">
        <v>3000</v>
      </c>
      <c r="L570" s="334">
        <v>6287</v>
      </c>
      <c r="M570" s="334"/>
      <c r="N570" s="362">
        <f t="shared" si="17"/>
        <v>6287</v>
      </c>
      <c r="O570" s="356"/>
      <c r="Q570" s="356"/>
      <c r="R570" s="356"/>
      <c r="S570" s="356"/>
      <c r="T570" s="356"/>
      <c r="U570" s="372"/>
      <c r="V570" s="372"/>
      <c r="W570" s="372"/>
      <c r="X570" s="373"/>
      <c r="Y570" s="348" t="s">
        <v>1631</v>
      </c>
      <c r="Z570" s="348"/>
      <c r="AA570" s="348"/>
    </row>
    <row r="571" s="331" customFormat="1" ht="17" customHeight="1" spans="1:27">
      <c r="A571" s="550" t="s">
        <v>1752</v>
      </c>
      <c r="B571" s="348" t="s">
        <v>137</v>
      </c>
      <c r="C571" s="348" t="s">
        <v>1195</v>
      </c>
      <c r="D571" s="352" t="s">
        <v>271</v>
      </c>
      <c r="E571" s="336">
        <v>43589</v>
      </c>
      <c r="F571" s="336">
        <v>43589</v>
      </c>
      <c r="G571" s="350"/>
      <c r="H571" s="334" t="s">
        <v>1753</v>
      </c>
      <c r="I571" s="356">
        <v>13524369911</v>
      </c>
      <c r="J571" s="361" t="s">
        <v>1754</v>
      </c>
      <c r="K571" s="356">
        <v>3000</v>
      </c>
      <c r="L571" s="362"/>
      <c r="M571" s="362"/>
      <c r="N571" s="362">
        <f t="shared" si="17"/>
        <v>0</v>
      </c>
      <c r="O571" s="356"/>
      <c r="Q571" s="356"/>
      <c r="R571" s="356">
        <v>1</v>
      </c>
      <c r="S571" s="356"/>
      <c r="T571" s="356"/>
      <c r="U571" s="400" t="s">
        <v>1755</v>
      </c>
      <c r="V571" s="372"/>
      <c r="W571" s="372"/>
      <c r="X571" s="373">
        <v>1</v>
      </c>
      <c r="Y571" s="348" t="s">
        <v>497</v>
      </c>
      <c r="Z571" s="348"/>
      <c r="AA571" s="348"/>
    </row>
    <row r="572" s="331" customFormat="1" ht="17" customHeight="1" spans="1:27">
      <c r="A572" s="550" t="s">
        <v>1756</v>
      </c>
      <c r="B572" s="348" t="s">
        <v>87</v>
      </c>
      <c r="C572" s="348" t="s">
        <v>1757</v>
      </c>
      <c r="D572" s="352" t="s">
        <v>271</v>
      </c>
      <c r="E572" s="336">
        <v>43589</v>
      </c>
      <c r="F572" s="336">
        <v>43589</v>
      </c>
      <c r="G572" s="350"/>
      <c r="H572" s="334" t="s">
        <v>1758</v>
      </c>
      <c r="I572" s="356">
        <v>13003191761</v>
      </c>
      <c r="J572" s="361" t="s">
        <v>1759</v>
      </c>
      <c r="K572" s="356">
        <v>1000</v>
      </c>
      <c r="L572" s="362"/>
      <c r="M572" s="362"/>
      <c r="N572" s="362">
        <f t="shared" si="17"/>
        <v>0</v>
      </c>
      <c r="O572" s="356"/>
      <c r="Q572" s="356" t="s">
        <v>52</v>
      </c>
      <c r="R572" s="356"/>
      <c r="S572" s="356"/>
      <c r="T572" s="356"/>
      <c r="U572" s="400" t="s">
        <v>1760</v>
      </c>
      <c r="V572" s="372"/>
      <c r="W572" s="372"/>
      <c r="X572" s="373"/>
      <c r="Y572" s="348"/>
      <c r="Z572" s="348"/>
      <c r="AA572" s="348"/>
    </row>
    <row r="573" s="331" customFormat="1" ht="17" customHeight="1" spans="1:27">
      <c r="A573" s="550" t="s">
        <v>1761</v>
      </c>
      <c r="B573" s="348" t="s">
        <v>147</v>
      </c>
      <c r="C573" s="348" t="s">
        <v>599</v>
      </c>
      <c r="D573" s="334" t="s">
        <v>207</v>
      </c>
      <c r="E573" s="336">
        <v>43794</v>
      </c>
      <c r="F573" s="336">
        <v>43589</v>
      </c>
      <c r="G573" s="336">
        <v>43793</v>
      </c>
      <c r="H573" s="334" t="s">
        <v>1762</v>
      </c>
      <c r="I573" s="356">
        <v>13916688309</v>
      </c>
      <c r="J573" s="361" t="s">
        <v>1763</v>
      </c>
      <c r="K573" s="356">
        <v>3000</v>
      </c>
      <c r="L573" s="334">
        <v>10240</v>
      </c>
      <c r="M573" s="362"/>
      <c r="N573" s="362">
        <f t="shared" si="17"/>
        <v>10240</v>
      </c>
      <c r="O573" s="356"/>
      <c r="Q573" s="356"/>
      <c r="R573" s="356"/>
      <c r="S573" s="356"/>
      <c r="T573" s="356"/>
      <c r="U573" s="372"/>
      <c r="V573" s="372"/>
      <c r="W573" s="372"/>
      <c r="X573" s="373"/>
      <c r="Y573" s="348"/>
      <c r="Z573" s="348"/>
      <c r="AA573" s="348"/>
    </row>
    <row r="574" s="331" customFormat="1" ht="17" customHeight="1" spans="1:27">
      <c r="A574" s="550" t="s">
        <v>1764</v>
      </c>
      <c r="B574" s="348" t="s">
        <v>335</v>
      </c>
      <c r="C574" s="348" t="s">
        <v>1765</v>
      </c>
      <c r="D574" s="352" t="s">
        <v>337</v>
      </c>
      <c r="E574" s="336">
        <v>43702</v>
      </c>
      <c r="F574" s="336">
        <v>43589</v>
      </c>
      <c r="G574" s="336">
        <v>43697</v>
      </c>
      <c r="H574" s="334" t="s">
        <v>1766</v>
      </c>
      <c r="I574" s="334">
        <v>13315358080</v>
      </c>
      <c r="J574" s="361" t="s">
        <v>1767</v>
      </c>
      <c r="K574" s="356">
        <v>1000</v>
      </c>
      <c r="L574" s="334">
        <v>5997</v>
      </c>
      <c r="M574" s="362"/>
      <c r="N574" s="362">
        <f t="shared" si="17"/>
        <v>5997</v>
      </c>
      <c r="O574" s="356"/>
      <c r="Q574" s="356"/>
      <c r="R574" s="356"/>
      <c r="S574" s="356"/>
      <c r="T574" s="356"/>
      <c r="U574" s="372"/>
      <c r="V574" s="372"/>
      <c r="W574" s="372" t="s">
        <v>1768</v>
      </c>
      <c r="X574" s="373"/>
      <c r="Y574" s="348" t="s">
        <v>1223</v>
      </c>
      <c r="Z574" s="348"/>
      <c r="AA574" s="348"/>
    </row>
    <row r="575" s="331" customFormat="1" ht="17" customHeight="1" spans="1:27">
      <c r="A575" s="550" t="s">
        <v>1769</v>
      </c>
      <c r="B575" s="348" t="s">
        <v>335</v>
      </c>
      <c r="C575" s="348" t="s">
        <v>1765</v>
      </c>
      <c r="D575" s="349" t="s">
        <v>337</v>
      </c>
      <c r="E575" s="336">
        <v>43738</v>
      </c>
      <c r="F575" s="336">
        <v>43589</v>
      </c>
      <c r="G575" s="336">
        <v>43738</v>
      </c>
      <c r="H575" s="334" t="s">
        <v>1770</v>
      </c>
      <c r="I575" s="334">
        <v>18916612191</v>
      </c>
      <c r="J575" s="361" t="s">
        <v>1771</v>
      </c>
      <c r="K575" s="356">
        <v>3000</v>
      </c>
      <c r="L575" s="334">
        <v>11166</v>
      </c>
      <c r="M575" s="362"/>
      <c r="N575" s="362">
        <f t="shared" si="17"/>
        <v>11166</v>
      </c>
      <c r="O575" s="356" t="s">
        <v>1772</v>
      </c>
      <c r="Q575" s="356"/>
      <c r="R575" s="356"/>
      <c r="S575" s="356"/>
      <c r="T575" s="356"/>
      <c r="U575" s="372"/>
      <c r="V575" s="372"/>
      <c r="W575" s="372"/>
      <c r="X575" s="373"/>
      <c r="Y575" s="348" t="s">
        <v>1223</v>
      </c>
      <c r="Z575" s="348"/>
      <c r="AA575" s="348"/>
    </row>
    <row r="576" s="331" customFormat="1" ht="17" customHeight="1" spans="1:27">
      <c r="A576" s="550" t="s">
        <v>1773</v>
      </c>
      <c r="B576" s="348" t="s">
        <v>153</v>
      </c>
      <c r="C576" s="348" t="s">
        <v>154</v>
      </c>
      <c r="D576" s="349" t="s">
        <v>155</v>
      </c>
      <c r="E576" s="336"/>
      <c r="F576" s="336">
        <v>43610</v>
      </c>
      <c r="G576" s="350"/>
      <c r="H576" s="334" t="s">
        <v>1672</v>
      </c>
      <c r="I576" s="356">
        <v>13801776457</v>
      </c>
      <c r="J576" s="361" t="s">
        <v>1774</v>
      </c>
      <c r="K576" s="356">
        <v>500</v>
      </c>
      <c r="L576" s="362"/>
      <c r="M576" s="362"/>
      <c r="N576" s="362">
        <f t="shared" si="17"/>
        <v>0</v>
      </c>
      <c r="O576" s="356"/>
      <c r="Q576" s="356"/>
      <c r="R576" s="356"/>
      <c r="S576" s="356"/>
      <c r="T576" s="356"/>
      <c r="U576" s="375" t="s">
        <v>12</v>
      </c>
      <c r="V576" s="372"/>
      <c r="W576" s="372"/>
      <c r="X576" s="373"/>
      <c r="Y576" s="348"/>
      <c r="Z576" s="348"/>
      <c r="AA576" s="348"/>
    </row>
    <row r="577" s="331" customFormat="1" ht="17" customHeight="1" spans="1:27">
      <c r="A577" s="348">
        <v>2066451</v>
      </c>
      <c r="B577" s="348" t="s">
        <v>335</v>
      </c>
      <c r="C577" s="348" t="s">
        <v>399</v>
      </c>
      <c r="D577" s="334" t="s">
        <v>68</v>
      </c>
      <c r="E577" s="336">
        <v>43762</v>
      </c>
      <c r="F577" s="336">
        <v>43589</v>
      </c>
      <c r="G577" s="336">
        <v>43758</v>
      </c>
      <c r="H577" s="334" t="s">
        <v>1775</v>
      </c>
      <c r="I577" s="356" t="s">
        <v>1776</v>
      </c>
      <c r="J577" s="361" t="s">
        <v>1777</v>
      </c>
      <c r="K577" s="356">
        <v>3000</v>
      </c>
      <c r="L577" s="334">
        <v>7941</v>
      </c>
      <c r="M577" s="362"/>
      <c r="N577" s="362">
        <f t="shared" si="17"/>
        <v>7941</v>
      </c>
      <c r="O577" s="356" t="s">
        <v>1778</v>
      </c>
      <c r="Q577" s="356"/>
      <c r="R577" s="356"/>
      <c r="S577" s="356"/>
      <c r="T577" s="356"/>
      <c r="U577" s="372"/>
      <c r="V577" s="372"/>
      <c r="W577" s="372"/>
      <c r="X577" s="373"/>
      <c r="Y577" s="348" t="s">
        <v>1508</v>
      </c>
      <c r="Z577" s="348"/>
      <c r="AA577" s="348"/>
    </row>
    <row r="578" s="57" customFormat="1" ht="17" customHeight="1" spans="1:27">
      <c r="A578" s="348">
        <v>2024335</v>
      </c>
      <c r="B578" s="348" t="s">
        <v>137</v>
      </c>
      <c r="C578" s="348" t="s">
        <v>1041</v>
      </c>
      <c r="D578" s="349" t="s">
        <v>139</v>
      </c>
      <c r="E578" s="336">
        <v>43590</v>
      </c>
      <c r="F578" s="336">
        <v>43589</v>
      </c>
      <c r="G578" s="350"/>
      <c r="H578" s="334" t="s">
        <v>1779</v>
      </c>
      <c r="I578" s="356">
        <v>18621390919</v>
      </c>
      <c r="J578" s="348" t="s">
        <v>1780</v>
      </c>
      <c r="K578" s="356">
        <v>3000</v>
      </c>
      <c r="L578" s="362"/>
      <c r="M578" s="362"/>
      <c r="N578" s="362">
        <f t="shared" ref="N578:N606" si="18">L578+M578</f>
        <v>0</v>
      </c>
      <c r="O578" s="356"/>
      <c r="P578" s="356"/>
      <c r="R578" s="356">
        <v>1</v>
      </c>
      <c r="S578" s="356"/>
      <c r="T578" s="356"/>
      <c r="U578" s="372" t="s">
        <v>12</v>
      </c>
      <c r="V578" s="372"/>
      <c r="W578" s="372"/>
      <c r="X578" s="373">
        <v>1</v>
      </c>
      <c r="Y578" s="348"/>
      <c r="Z578" s="348"/>
      <c r="AA578" s="348"/>
    </row>
    <row r="579" s="331" customFormat="1" ht="17" customHeight="1" spans="1:27">
      <c r="A579" s="348">
        <v>1901079</v>
      </c>
      <c r="B579" s="348" t="s">
        <v>73</v>
      </c>
      <c r="C579" s="348" t="s">
        <v>1130</v>
      </c>
      <c r="D579" s="349" t="s">
        <v>75</v>
      </c>
      <c r="E579" s="336">
        <v>43589</v>
      </c>
      <c r="F579" s="336">
        <v>43589</v>
      </c>
      <c r="G579" s="350"/>
      <c r="H579" s="334" t="s">
        <v>1781</v>
      </c>
      <c r="I579" s="356">
        <v>18012660257</v>
      </c>
      <c r="J579" s="361" t="s">
        <v>1782</v>
      </c>
      <c r="K579" s="356">
        <v>1000</v>
      </c>
      <c r="L579" s="362"/>
      <c r="M579" s="362"/>
      <c r="N579" s="362">
        <f t="shared" si="18"/>
        <v>0</v>
      </c>
      <c r="O579" s="356"/>
      <c r="Q579" s="356"/>
      <c r="R579" s="366" t="s">
        <v>52</v>
      </c>
      <c r="S579" s="356"/>
      <c r="T579" s="356"/>
      <c r="U579" s="372" t="s">
        <v>78</v>
      </c>
      <c r="V579" s="372"/>
      <c r="W579" s="372"/>
      <c r="X579" s="373">
        <v>1</v>
      </c>
      <c r="Y579" s="348"/>
      <c r="Z579" s="348" t="s">
        <v>79</v>
      </c>
      <c r="AA579" s="348"/>
    </row>
    <row r="580" s="331" customFormat="1" ht="17" customHeight="1" spans="1:27">
      <c r="A580" s="550" t="s">
        <v>1783</v>
      </c>
      <c r="B580" s="348" t="s">
        <v>185</v>
      </c>
      <c r="C580" s="348" t="s">
        <v>886</v>
      </c>
      <c r="D580" s="349" t="s">
        <v>187</v>
      </c>
      <c r="E580" s="336">
        <v>43566</v>
      </c>
      <c r="F580" s="336">
        <v>43566</v>
      </c>
      <c r="G580" s="350"/>
      <c r="H580" s="334" t="s">
        <v>495</v>
      </c>
      <c r="I580" s="356">
        <v>13801812168</v>
      </c>
      <c r="J580" s="361" t="s">
        <v>1784</v>
      </c>
      <c r="K580" s="356">
        <v>47000</v>
      </c>
      <c r="L580" s="362"/>
      <c r="M580" s="362"/>
      <c r="N580" s="362">
        <f t="shared" si="18"/>
        <v>0</v>
      </c>
      <c r="O580" s="356"/>
      <c r="Q580" s="356"/>
      <c r="R580" s="356" t="s">
        <v>52</v>
      </c>
      <c r="S580" s="356"/>
      <c r="T580" s="356"/>
      <c r="U580" s="374">
        <v>43586</v>
      </c>
      <c r="V580" s="372"/>
      <c r="W580" s="372"/>
      <c r="X580" s="373"/>
      <c r="Y580" s="348"/>
      <c r="Z580" s="348" t="s">
        <v>1785</v>
      </c>
      <c r="AA580" s="348"/>
    </row>
    <row r="581" s="331" customFormat="1" ht="15" customHeight="1" spans="1:27">
      <c r="A581" s="550" t="s">
        <v>1786</v>
      </c>
      <c r="B581" s="348" t="s">
        <v>58</v>
      </c>
      <c r="C581" s="348" t="s">
        <v>451</v>
      </c>
      <c r="D581" s="352" t="s">
        <v>271</v>
      </c>
      <c r="E581" s="336"/>
      <c r="F581" s="336">
        <v>43588</v>
      </c>
      <c r="G581" s="350"/>
      <c r="H581" s="334" t="s">
        <v>1787</v>
      </c>
      <c r="I581" s="356" t="s">
        <v>1788</v>
      </c>
      <c r="J581" s="361" t="s">
        <v>1789</v>
      </c>
      <c r="K581" s="356">
        <v>200</v>
      </c>
      <c r="L581" s="362"/>
      <c r="M581" s="362"/>
      <c r="N581" s="362">
        <f t="shared" si="18"/>
        <v>0</v>
      </c>
      <c r="O581" s="356"/>
      <c r="Q581" s="356"/>
      <c r="R581" s="356"/>
      <c r="S581" s="356"/>
      <c r="T581" s="356"/>
      <c r="U581" s="372"/>
      <c r="V581" s="372"/>
      <c r="W581" s="372"/>
      <c r="X581" s="373"/>
      <c r="Y581" s="348" t="s">
        <v>1223</v>
      </c>
      <c r="Z581" s="348"/>
      <c r="AA581" s="348"/>
    </row>
    <row r="582" s="331" customFormat="1" ht="17" customHeight="1" spans="1:27">
      <c r="A582" s="550" t="s">
        <v>1790</v>
      </c>
      <c r="B582" s="348" t="s">
        <v>58</v>
      </c>
      <c r="C582" s="348" t="s">
        <v>451</v>
      </c>
      <c r="D582" s="349" t="s">
        <v>343</v>
      </c>
      <c r="E582" s="336">
        <v>43590</v>
      </c>
      <c r="F582" s="336">
        <v>43589</v>
      </c>
      <c r="G582" s="336">
        <v>43673</v>
      </c>
      <c r="H582" s="334" t="s">
        <v>1791</v>
      </c>
      <c r="I582" s="356">
        <v>13524195585</v>
      </c>
      <c r="J582" s="361" t="s">
        <v>1792</v>
      </c>
      <c r="K582" s="356">
        <v>1000</v>
      </c>
      <c r="L582" s="334">
        <v>8033</v>
      </c>
      <c r="M582" s="362"/>
      <c r="N582" s="362">
        <f t="shared" si="18"/>
        <v>8033</v>
      </c>
      <c r="O582" s="356"/>
      <c r="Q582" s="356"/>
      <c r="R582" s="356"/>
      <c r="S582" s="356"/>
      <c r="T582" s="356"/>
      <c r="U582" s="372"/>
      <c r="V582" s="372"/>
      <c r="W582" s="372"/>
      <c r="X582" s="373"/>
      <c r="Y582" s="348" t="s">
        <v>418</v>
      </c>
      <c r="Z582" s="348"/>
      <c r="AA582" s="348"/>
    </row>
    <row r="583" s="331" customFormat="1" ht="15" customHeight="1" spans="1:27">
      <c r="A583" s="550" t="s">
        <v>1793</v>
      </c>
      <c r="B583" s="348" t="s">
        <v>58</v>
      </c>
      <c r="C583" s="348" t="s">
        <v>451</v>
      </c>
      <c r="D583" s="352" t="s">
        <v>271</v>
      </c>
      <c r="E583" s="336">
        <v>43590</v>
      </c>
      <c r="F583" s="336">
        <v>43588</v>
      </c>
      <c r="G583" s="350"/>
      <c r="H583" s="334" t="s">
        <v>1794</v>
      </c>
      <c r="I583" s="356">
        <v>18918189177</v>
      </c>
      <c r="J583" s="361" t="s">
        <v>1795</v>
      </c>
      <c r="K583" s="356">
        <v>1000</v>
      </c>
      <c r="L583" s="362"/>
      <c r="M583" s="362"/>
      <c r="N583" s="362">
        <f t="shared" si="18"/>
        <v>0</v>
      </c>
      <c r="O583" s="356"/>
      <c r="Q583" s="356"/>
      <c r="R583" s="356"/>
      <c r="S583" s="356"/>
      <c r="T583" s="356"/>
      <c r="U583" s="400" t="s">
        <v>1796</v>
      </c>
      <c r="V583" s="372"/>
      <c r="W583" s="372"/>
      <c r="X583" s="373"/>
      <c r="Y583" s="348" t="s">
        <v>1223</v>
      </c>
      <c r="Z583" s="348"/>
      <c r="AA583" s="348"/>
    </row>
    <row r="584" s="331" customFormat="1" ht="15" customHeight="1" spans="1:27">
      <c r="A584" s="550" t="s">
        <v>1797</v>
      </c>
      <c r="B584" s="348" t="s">
        <v>58</v>
      </c>
      <c r="C584" s="348" t="s">
        <v>342</v>
      </c>
      <c r="D584" s="352" t="s">
        <v>343</v>
      </c>
      <c r="E584" s="336">
        <v>43590</v>
      </c>
      <c r="F584" s="336">
        <v>43589</v>
      </c>
      <c r="G584" s="350"/>
      <c r="H584" s="334" t="s">
        <v>1798</v>
      </c>
      <c r="I584" s="356">
        <v>13701859566</v>
      </c>
      <c r="J584" s="361" t="s">
        <v>1799</v>
      </c>
      <c r="K584" s="356">
        <v>1000</v>
      </c>
      <c r="L584" s="362"/>
      <c r="M584" s="362"/>
      <c r="N584" s="362">
        <f t="shared" si="18"/>
        <v>0</v>
      </c>
      <c r="O584" s="366"/>
      <c r="Q584" s="366" t="s">
        <v>52</v>
      </c>
      <c r="R584" s="356"/>
      <c r="S584" s="356"/>
      <c r="T584" s="356"/>
      <c r="U584" s="372"/>
      <c r="V584" s="372"/>
      <c r="W584" s="372"/>
      <c r="X584" s="373"/>
      <c r="Y584" s="348" t="s">
        <v>1223</v>
      </c>
      <c r="Z584" s="348"/>
      <c r="AA584" s="348"/>
    </row>
    <row r="585" s="331" customFormat="1" ht="17" customHeight="1" spans="1:27">
      <c r="A585" s="550" t="s">
        <v>1800</v>
      </c>
      <c r="B585" s="348" t="s">
        <v>236</v>
      </c>
      <c r="C585" s="348" t="s">
        <v>703</v>
      </c>
      <c r="D585" s="352" t="s">
        <v>125</v>
      </c>
      <c r="E585" s="336">
        <v>43723</v>
      </c>
      <c r="F585" s="336">
        <v>43589</v>
      </c>
      <c r="G585" s="336">
        <v>43723</v>
      </c>
      <c r="H585" s="334" t="s">
        <v>1801</v>
      </c>
      <c r="I585" s="356">
        <v>18616132656</v>
      </c>
      <c r="J585" s="361" t="s">
        <v>1802</v>
      </c>
      <c r="K585" s="356">
        <v>1000</v>
      </c>
      <c r="L585" s="334">
        <v>7200</v>
      </c>
      <c r="M585" s="362"/>
      <c r="N585" s="362">
        <f t="shared" si="18"/>
        <v>7200</v>
      </c>
      <c r="O585" s="356"/>
      <c r="P585" s="356"/>
      <c r="Q585" s="356"/>
      <c r="R585" s="356" t="s">
        <v>22</v>
      </c>
      <c r="S585" s="356"/>
      <c r="T585" s="356"/>
      <c r="U585" s="372"/>
      <c r="V585" s="372"/>
      <c r="W585" s="372"/>
      <c r="X585" s="373"/>
      <c r="Y585" s="348" t="s">
        <v>1223</v>
      </c>
      <c r="Z585" s="348"/>
      <c r="AA585" s="348"/>
    </row>
    <row r="586" s="331" customFormat="1" ht="17" customHeight="1" spans="1:27">
      <c r="A586" s="550" t="s">
        <v>1803</v>
      </c>
      <c r="B586" s="348" t="s">
        <v>137</v>
      </c>
      <c r="C586" s="348" t="s">
        <v>480</v>
      </c>
      <c r="D586" s="349" t="s">
        <v>139</v>
      </c>
      <c r="E586" s="336">
        <v>43683</v>
      </c>
      <c r="F586" s="336">
        <v>43590</v>
      </c>
      <c r="G586" s="336">
        <v>43682</v>
      </c>
      <c r="H586" s="334" t="s">
        <v>1804</v>
      </c>
      <c r="I586" s="356">
        <v>13761749609</v>
      </c>
      <c r="J586" s="361" t="s">
        <v>1805</v>
      </c>
      <c r="K586" s="356">
        <v>1000</v>
      </c>
      <c r="L586" s="334">
        <v>6973</v>
      </c>
      <c r="M586" s="362"/>
      <c r="N586" s="362">
        <f t="shared" si="18"/>
        <v>6973</v>
      </c>
      <c r="O586" s="356"/>
      <c r="P586" s="356"/>
      <c r="Q586" s="356">
        <v>1</v>
      </c>
      <c r="R586" s="356"/>
      <c r="S586" s="356"/>
      <c r="T586" s="356"/>
      <c r="U586" s="372"/>
      <c r="V586" s="372"/>
      <c r="W586" s="372"/>
      <c r="X586" s="373"/>
      <c r="Y586" s="348" t="s">
        <v>1223</v>
      </c>
      <c r="Z586" s="348"/>
      <c r="AA586" s="348"/>
    </row>
    <row r="587" s="331" customFormat="1" ht="17" customHeight="1" spans="1:27">
      <c r="A587" s="348">
        <v>2066838</v>
      </c>
      <c r="B587" s="348" t="s">
        <v>31</v>
      </c>
      <c r="C587" s="348" t="s">
        <v>419</v>
      </c>
      <c r="D587" s="349" t="s">
        <v>221</v>
      </c>
      <c r="E587" s="336">
        <v>43590</v>
      </c>
      <c r="F587" s="336">
        <v>43590</v>
      </c>
      <c r="G587" s="348" t="s">
        <v>69</v>
      </c>
      <c r="H587" s="334" t="s">
        <v>1806</v>
      </c>
      <c r="I587" s="356">
        <v>15121102001</v>
      </c>
      <c r="J587" s="361" t="s">
        <v>1807</v>
      </c>
      <c r="K587" s="356">
        <v>1000</v>
      </c>
      <c r="L587" s="362"/>
      <c r="M587" s="362"/>
      <c r="N587" s="362">
        <f t="shared" si="18"/>
        <v>0</v>
      </c>
      <c r="O587" s="356"/>
      <c r="Q587" s="356"/>
      <c r="R587" s="356"/>
      <c r="S587" s="356"/>
      <c r="T587" s="356"/>
      <c r="U587" s="372"/>
      <c r="V587" s="372"/>
      <c r="W587" s="372"/>
      <c r="X587" s="373"/>
      <c r="Y587" s="348"/>
      <c r="Z587" s="348"/>
      <c r="AA587" s="348"/>
    </row>
    <row r="588" s="331" customFormat="1" ht="17" customHeight="1" spans="1:27">
      <c r="A588" s="348">
        <v>2066840</v>
      </c>
      <c r="B588" s="348" t="s">
        <v>31</v>
      </c>
      <c r="C588" s="348" t="s">
        <v>377</v>
      </c>
      <c r="D588" s="334" t="s">
        <v>954</v>
      </c>
      <c r="E588" s="336">
        <v>43797</v>
      </c>
      <c r="F588" s="336">
        <v>43590</v>
      </c>
      <c r="G588" s="336">
        <v>43795</v>
      </c>
      <c r="H588" s="334" t="s">
        <v>1808</v>
      </c>
      <c r="I588" s="356">
        <v>18930457930</v>
      </c>
      <c r="J588" s="361" t="s">
        <v>1809</v>
      </c>
      <c r="K588" s="356">
        <v>3000</v>
      </c>
      <c r="L588" s="334">
        <v>15000</v>
      </c>
      <c r="M588" s="362"/>
      <c r="N588" s="362">
        <f t="shared" si="18"/>
        <v>15000</v>
      </c>
      <c r="O588" s="366" t="s">
        <v>52</v>
      </c>
      <c r="Q588" s="356"/>
      <c r="R588" s="356"/>
      <c r="S588" s="356"/>
      <c r="T588" s="356"/>
      <c r="U588" s="372"/>
      <c r="V588" s="372"/>
      <c r="W588" s="372"/>
      <c r="X588" s="373"/>
      <c r="Y588" s="348"/>
      <c r="Z588" s="348"/>
      <c r="AA588" s="348"/>
    </row>
    <row r="589" s="331" customFormat="1" ht="15" customHeight="1" spans="1:27">
      <c r="A589" s="550" t="s">
        <v>1810</v>
      </c>
      <c r="B589" s="348" t="s">
        <v>58</v>
      </c>
      <c r="C589" s="348" t="s">
        <v>1234</v>
      </c>
      <c r="D589" s="352" t="s">
        <v>271</v>
      </c>
      <c r="E589" s="336" t="s">
        <v>133</v>
      </c>
      <c r="F589" s="336">
        <v>43570</v>
      </c>
      <c r="G589" s="350"/>
      <c r="H589" s="334" t="s">
        <v>1811</v>
      </c>
      <c r="I589" s="356">
        <v>18930662950</v>
      </c>
      <c r="J589" s="361" t="s">
        <v>1812</v>
      </c>
      <c r="K589" s="356">
        <v>200</v>
      </c>
      <c r="L589" s="362"/>
      <c r="M589" s="362"/>
      <c r="N589" s="362">
        <f t="shared" si="18"/>
        <v>0</v>
      </c>
      <c r="O589" s="356"/>
      <c r="Q589" s="356"/>
      <c r="R589" s="356"/>
      <c r="S589" s="356"/>
      <c r="T589" s="356"/>
      <c r="U589" s="387">
        <v>43710</v>
      </c>
      <c r="V589" s="372"/>
      <c r="W589" s="372"/>
      <c r="X589" s="373"/>
      <c r="Y589" s="348"/>
      <c r="Z589" s="348"/>
      <c r="AA589" s="348"/>
    </row>
    <row r="590" s="331" customFormat="1" ht="17" customHeight="1" spans="1:27">
      <c r="A590" s="348">
        <v>2066041</v>
      </c>
      <c r="B590" s="348" t="s">
        <v>205</v>
      </c>
      <c r="C590" s="348" t="s">
        <v>1467</v>
      </c>
      <c r="D590" s="334" t="s">
        <v>89</v>
      </c>
      <c r="E590" s="336">
        <v>43704</v>
      </c>
      <c r="F590" s="336">
        <v>43588</v>
      </c>
      <c r="G590" s="336">
        <v>43676</v>
      </c>
      <c r="H590" s="334" t="s">
        <v>1813</v>
      </c>
      <c r="I590" s="356">
        <v>18917504976</v>
      </c>
      <c r="J590" s="361" t="s">
        <v>1814</v>
      </c>
      <c r="K590" s="356">
        <v>5299</v>
      </c>
      <c r="L590" s="334">
        <v>5194</v>
      </c>
      <c r="M590" s="362"/>
      <c r="N590" s="362">
        <f t="shared" si="18"/>
        <v>5194</v>
      </c>
      <c r="O590" s="356"/>
      <c r="Q590" s="356"/>
      <c r="R590" s="356"/>
      <c r="S590" s="356"/>
      <c r="T590" s="356"/>
      <c r="U590" s="372" t="s">
        <v>12</v>
      </c>
      <c r="V590" s="372"/>
      <c r="W590" s="372"/>
      <c r="X590" s="373"/>
      <c r="Y590" s="348" t="s">
        <v>1223</v>
      </c>
      <c r="Z590" s="348"/>
      <c r="AA590" s="348"/>
    </row>
    <row r="591" s="331" customFormat="1" ht="17" customHeight="1" spans="1:27">
      <c r="A591" s="550" t="s">
        <v>1815</v>
      </c>
      <c r="B591" s="348" t="s">
        <v>236</v>
      </c>
      <c r="C591" s="348" t="s">
        <v>195</v>
      </c>
      <c r="D591" s="352" t="s">
        <v>143</v>
      </c>
      <c r="E591" s="336">
        <v>43591</v>
      </c>
      <c r="F591" s="336">
        <v>43590</v>
      </c>
      <c r="G591" s="350"/>
      <c r="H591" s="334" t="s">
        <v>1816</v>
      </c>
      <c r="I591" s="334">
        <v>15618398179</v>
      </c>
      <c r="J591" s="361" t="s">
        <v>1817</v>
      </c>
      <c r="K591" s="356">
        <v>1000</v>
      </c>
      <c r="L591" s="362"/>
      <c r="M591" s="362"/>
      <c r="N591" s="362">
        <f t="shared" si="18"/>
        <v>0</v>
      </c>
      <c r="O591" s="356"/>
      <c r="Q591" s="356"/>
      <c r="R591" s="356"/>
      <c r="S591" s="356"/>
      <c r="T591" s="356"/>
      <c r="U591" s="356" t="s">
        <v>63</v>
      </c>
      <c r="V591" s="372"/>
      <c r="W591" s="372"/>
      <c r="X591" s="373"/>
      <c r="Y591" s="348"/>
      <c r="Z591" s="348"/>
      <c r="AA591" s="348"/>
    </row>
    <row r="592" s="331" customFormat="1" ht="17" customHeight="1" spans="1:27">
      <c r="A592" s="550" t="s">
        <v>1818</v>
      </c>
      <c r="B592" s="348" t="s">
        <v>236</v>
      </c>
      <c r="C592" s="348" t="s">
        <v>703</v>
      </c>
      <c r="D592" s="349" t="s">
        <v>356</v>
      </c>
      <c r="E592" s="336">
        <v>43591</v>
      </c>
      <c r="F592" s="336">
        <v>43590</v>
      </c>
      <c r="G592" s="336">
        <v>43676</v>
      </c>
      <c r="H592" s="334" t="s">
        <v>1819</v>
      </c>
      <c r="I592" s="356">
        <v>17721279167</v>
      </c>
      <c r="J592" s="361" t="s">
        <v>1820</v>
      </c>
      <c r="K592" s="356">
        <v>4999</v>
      </c>
      <c r="L592" s="334">
        <v>27823</v>
      </c>
      <c r="M592" s="362"/>
      <c r="N592" s="362">
        <f t="shared" si="18"/>
        <v>27823</v>
      </c>
      <c r="O592" s="356"/>
      <c r="Q592" s="356"/>
      <c r="R592" s="356"/>
      <c r="S592" s="356"/>
      <c r="T592" s="356"/>
      <c r="U592" s="356" t="s">
        <v>1821</v>
      </c>
      <c r="V592" s="372"/>
      <c r="W592" s="372"/>
      <c r="X592" s="373"/>
      <c r="Y592" s="348"/>
      <c r="Z592" s="348"/>
      <c r="AA592" s="348"/>
    </row>
    <row r="593" s="331" customFormat="1" ht="17" customHeight="1" spans="1:27">
      <c r="A593" s="348"/>
      <c r="B593" s="348" t="s">
        <v>153</v>
      </c>
      <c r="C593" s="348" t="s">
        <v>154</v>
      </c>
      <c r="D593" s="349" t="s">
        <v>155</v>
      </c>
      <c r="E593" s="336">
        <v>43591</v>
      </c>
      <c r="F593" s="336">
        <v>43590</v>
      </c>
      <c r="G593" s="406" t="s">
        <v>1822</v>
      </c>
      <c r="H593" s="334" t="s">
        <v>1823</v>
      </c>
      <c r="I593" s="356">
        <v>13795302003</v>
      </c>
      <c r="J593" s="361" t="s">
        <v>1824</v>
      </c>
      <c r="K593" s="356">
        <v>1000</v>
      </c>
      <c r="L593" s="362"/>
      <c r="M593" s="362"/>
      <c r="N593" s="362">
        <f t="shared" si="18"/>
        <v>0</v>
      </c>
      <c r="O593" s="356"/>
      <c r="Q593" s="356"/>
      <c r="R593" s="356"/>
      <c r="S593" s="356"/>
      <c r="T593" s="356"/>
      <c r="U593" s="372"/>
      <c r="V593" s="372"/>
      <c r="W593" s="372"/>
      <c r="X593" s="373"/>
      <c r="Y593" s="348"/>
      <c r="Z593" s="348"/>
      <c r="AA593" s="348"/>
    </row>
    <row r="594" s="331" customFormat="1" ht="17" customHeight="1" spans="1:27">
      <c r="A594" s="348">
        <v>2066846</v>
      </c>
      <c r="B594" s="348" t="s">
        <v>726</v>
      </c>
      <c r="C594" s="348" t="s">
        <v>727</v>
      </c>
      <c r="D594" s="352" t="s">
        <v>149</v>
      </c>
      <c r="E594" s="336">
        <v>43591</v>
      </c>
      <c r="F594" s="336">
        <v>43590</v>
      </c>
      <c r="G594" s="350"/>
      <c r="H594" s="334" t="s">
        <v>1825</v>
      </c>
      <c r="I594" s="356">
        <v>13524553880</v>
      </c>
      <c r="J594" s="361" t="s">
        <v>1826</v>
      </c>
      <c r="K594" s="356">
        <v>3000</v>
      </c>
      <c r="L594" s="362"/>
      <c r="M594" s="362"/>
      <c r="N594" s="362">
        <f t="shared" si="18"/>
        <v>0</v>
      </c>
      <c r="O594" s="356"/>
      <c r="Q594" s="356"/>
      <c r="R594" s="356"/>
      <c r="S594" s="356"/>
      <c r="T594" s="356"/>
      <c r="U594" s="372" t="s">
        <v>1827</v>
      </c>
      <c r="V594" s="372"/>
      <c r="W594" s="372"/>
      <c r="X594" s="373"/>
      <c r="Y594" s="348" t="s">
        <v>1223</v>
      </c>
      <c r="Z594" s="348"/>
      <c r="AA594" s="348"/>
    </row>
    <row r="595" s="331" customFormat="1" ht="17" customHeight="1" spans="1:27">
      <c r="A595" s="550" t="s">
        <v>1828</v>
      </c>
      <c r="B595" s="348" t="s">
        <v>58</v>
      </c>
      <c r="C595" s="348" t="s">
        <v>347</v>
      </c>
      <c r="D595" s="349" t="s">
        <v>75</v>
      </c>
      <c r="E595" s="336" t="s">
        <v>133</v>
      </c>
      <c r="F595" s="336">
        <v>43586</v>
      </c>
      <c r="G595" s="336">
        <v>43677</v>
      </c>
      <c r="H595" s="334" t="s">
        <v>1829</v>
      </c>
      <c r="I595" s="348">
        <v>13801827634</v>
      </c>
      <c r="J595" s="361" t="s">
        <v>1830</v>
      </c>
      <c r="K595" s="356">
        <f>500+20000</f>
        <v>20500</v>
      </c>
      <c r="L595" s="334">
        <v>20348</v>
      </c>
      <c r="M595" s="362"/>
      <c r="N595" s="362">
        <f t="shared" si="18"/>
        <v>20348</v>
      </c>
      <c r="O595" s="356"/>
      <c r="Q595" s="356"/>
      <c r="R595" s="356"/>
      <c r="S595" s="356"/>
      <c r="T595" s="356"/>
      <c r="U595" s="372"/>
      <c r="V595" s="372">
        <v>7.15</v>
      </c>
      <c r="W595" s="372"/>
      <c r="X595" s="373">
        <v>1</v>
      </c>
      <c r="Y595" s="348" t="s">
        <v>278</v>
      </c>
      <c r="Z595" s="348"/>
      <c r="AA595" s="348"/>
    </row>
    <row r="596" s="331" customFormat="1" ht="17" customHeight="1" spans="1:27">
      <c r="A596" s="348">
        <v>2025688</v>
      </c>
      <c r="B596" s="348" t="s">
        <v>281</v>
      </c>
      <c r="C596" s="334" t="s">
        <v>1831</v>
      </c>
      <c r="D596" s="334" t="s">
        <v>518</v>
      </c>
      <c r="E596" s="336">
        <v>43706</v>
      </c>
      <c r="F596" s="336">
        <v>43587</v>
      </c>
      <c r="G596" s="336">
        <v>43706</v>
      </c>
      <c r="H596" s="334" t="s">
        <v>1832</v>
      </c>
      <c r="I596" s="356">
        <v>13917891587</v>
      </c>
      <c r="J596" s="361" t="s">
        <v>1833</v>
      </c>
      <c r="K596" s="356">
        <v>3000</v>
      </c>
      <c r="L596" s="334">
        <v>19335</v>
      </c>
      <c r="M596" s="362"/>
      <c r="N596" s="362">
        <f t="shared" si="18"/>
        <v>19335</v>
      </c>
      <c r="O596" s="356"/>
      <c r="P596" s="356" t="s">
        <v>52</v>
      </c>
      <c r="Q596" s="356"/>
      <c r="R596" s="356"/>
      <c r="S596" s="356"/>
      <c r="T596" s="356"/>
      <c r="U596" s="372"/>
      <c r="V596" s="372"/>
      <c r="W596" s="372"/>
      <c r="X596" s="373"/>
      <c r="Y596" s="348"/>
      <c r="Z596" s="348"/>
      <c r="AA596" s="348"/>
    </row>
    <row r="597" s="331" customFormat="1" ht="17" customHeight="1" spans="1:27">
      <c r="A597" s="550" t="s">
        <v>1834</v>
      </c>
      <c r="B597" s="348" t="s">
        <v>281</v>
      </c>
      <c r="C597" s="348" t="s">
        <v>517</v>
      </c>
      <c r="D597" s="352" t="s">
        <v>49</v>
      </c>
      <c r="E597" s="336">
        <v>43591</v>
      </c>
      <c r="F597" s="336">
        <v>43590</v>
      </c>
      <c r="G597" s="350"/>
      <c r="H597" s="334" t="s">
        <v>1835</v>
      </c>
      <c r="I597" s="356">
        <v>17701868842</v>
      </c>
      <c r="J597" s="361" t="s">
        <v>1836</v>
      </c>
      <c r="K597" s="356">
        <v>3000</v>
      </c>
      <c r="L597" s="362"/>
      <c r="M597" s="362"/>
      <c r="N597" s="362">
        <f t="shared" si="18"/>
        <v>0</v>
      </c>
      <c r="O597" s="356"/>
      <c r="Q597" s="356"/>
      <c r="R597" s="356" t="s">
        <v>52</v>
      </c>
      <c r="S597" s="356"/>
      <c r="T597" s="356"/>
      <c r="U597" s="372"/>
      <c r="V597" s="372"/>
      <c r="W597" s="372"/>
      <c r="X597" s="373"/>
      <c r="Y597" s="348"/>
      <c r="Z597" s="348"/>
      <c r="AA597" s="348"/>
    </row>
    <row r="598" s="331" customFormat="1" ht="17" customHeight="1" spans="1:27">
      <c r="A598" s="348">
        <v>2066650</v>
      </c>
      <c r="B598" s="348" t="s">
        <v>335</v>
      </c>
      <c r="C598" s="348" t="s">
        <v>615</v>
      </c>
      <c r="D598" s="349" t="s">
        <v>635</v>
      </c>
      <c r="E598" s="336">
        <v>43591</v>
      </c>
      <c r="F598" s="336">
        <v>43590</v>
      </c>
      <c r="G598" s="336">
        <v>43664</v>
      </c>
      <c r="H598" s="334" t="s">
        <v>1837</v>
      </c>
      <c r="I598" s="356">
        <v>13671593380</v>
      </c>
      <c r="J598" s="361" t="s">
        <v>1838</v>
      </c>
      <c r="K598" s="356">
        <v>3000</v>
      </c>
      <c r="L598" s="334">
        <v>12000</v>
      </c>
      <c r="M598" s="334"/>
      <c r="N598" s="362">
        <f t="shared" si="18"/>
        <v>12000</v>
      </c>
      <c r="O598" s="356"/>
      <c r="Q598" s="356"/>
      <c r="R598" s="356"/>
      <c r="S598" s="356"/>
      <c r="T598" s="356"/>
      <c r="U598" s="372"/>
      <c r="V598" s="372"/>
      <c r="W598" s="372"/>
      <c r="X598" s="373"/>
      <c r="Y598" s="348" t="s">
        <v>1223</v>
      </c>
      <c r="Z598" s="348"/>
      <c r="AA598" s="348"/>
    </row>
    <row r="599" s="331" customFormat="1" ht="17" customHeight="1" spans="1:27">
      <c r="A599" s="550" t="s">
        <v>1839</v>
      </c>
      <c r="B599" s="348" t="s">
        <v>153</v>
      </c>
      <c r="C599" s="348" t="s">
        <v>302</v>
      </c>
      <c r="D599" s="349" t="s">
        <v>155</v>
      </c>
      <c r="E599" s="336">
        <v>43591</v>
      </c>
      <c r="F599" s="336">
        <v>43590</v>
      </c>
      <c r="G599" s="350"/>
      <c r="H599" s="334" t="s">
        <v>1840</v>
      </c>
      <c r="I599" s="356">
        <v>18019003066</v>
      </c>
      <c r="J599" s="361" t="s">
        <v>1841</v>
      </c>
      <c r="K599" s="356">
        <v>2399</v>
      </c>
      <c r="L599" s="362"/>
      <c r="M599" s="362"/>
      <c r="N599" s="362">
        <f t="shared" si="18"/>
        <v>0</v>
      </c>
      <c r="O599" s="356"/>
      <c r="Q599" s="356"/>
      <c r="R599" s="356"/>
      <c r="S599" s="356"/>
      <c r="T599" s="356"/>
      <c r="U599" s="379" t="s">
        <v>1842</v>
      </c>
      <c r="V599" s="372"/>
      <c r="W599" s="372"/>
      <c r="X599" s="373"/>
      <c r="Y599" s="348"/>
      <c r="Z599" s="348"/>
      <c r="AA599" s="348"/>
    </row>
    <row r="600" s="331" customFormat="1" ht="17" customHeight="1" spans="1:27">
      <c r="A600" s="550" t="s">
        <v>1843</v>
      </c>
      <c r="B600" s="348" t="s">
        <v>31</v>
      </c>
      <c r="C600" s="348" t="s">
        <v>32</v>
      </c>
      <c r="D600" s="349" t="s">
        <v>33</v>
      </c>
      <c r="E600" s="336">
        <v>43632</v>
      </c>
      <c r="F600" s="336">
        <v>43632</v>
      </c>
      <c r="G600" s="336">
        <v>43668</v>
      </c>
      <c r="H600" s="334" t="s">
        <v>1844</v>
      </c>
      <c r="I600" s="356">
        <v>13801885509</v>
      </c>
      <c r="J600" s="361" t="s">
        <v>1845</v>
      </c>
      <c r="K600" s="356">
        <f>1000+1000</f>
        <v>2000</v>
      </c>
      <c r="L600" s="334">
        <f>12409+7449</f>
        <v>19858</v>
      </c>
      <c r="M600" s="334"/>
      <c r="N600" s="362">
        <f t="shared" si="18"/>
        <v>19858</v>
      </c>
      <c r="O600" s="356"/>
      <c r="Q600" s="356"/>
      <c r="R600" s="356"/>
      <c r="S600" s="356"/>
      <c r="T600" s="356"/>
      <c r="U600" s="372"/>
      <c r="V600" s="372"/>
      <c r="W600" s="372"/>
      <c r="X600" s="373"/>
      <c r="Y600" s="348"/>
      <c r="Z600" s="348"/>
      <c r="AA600" s="348"/>
    </row>
    <row r="601" s="331" customFormat="1" ht="17" customHeight="1" spans="1:27">
      <c r="A601" s="550" t="s">
        <v>1846</v>
      </c>
      <c r="B601" s="348" t="s">
        <v>281</v>
      </c>
      <c r="C601" s="348" t="s">
        <v>517</v>
      </c>
      <c r="D601" s="334" t="s">
        <v>518</v>
      </c>
      <c r="E601" s="336">
        <v>43722</v>
      </c>
      <c r="F601" s="336">
        <v>43588</v>
      </c>
      <c r="G601" s="336">
        <v>43722</v>
      </c>
      <c r="H601" s="334" t="s">
        <v>1847</v>
      </c>
      <c r="I601" s="356">
        <v>13764510990</v>
      </c>
      <c r="J601" s="361" t="s">
        <v>1848</v>
      </c>
      <c r="K601" s="356">
        <v>5000</v>
      </c>
      <c r="L601" s="334">
        <v>19152</v>
      </c>
      <c r="M601" s="362"/>
      <c r="N601" s="362">
        <f t="shared" si="18"/>
        <v>19152</v>
      </c>
      <c r="O601" s="356" t="s">
        <v>52</v>
      </c>
      <c r="Q601" s="356"/>
      <c r="R601" s="356"/>
      <c r="S601" s="356"/>
      <c r="T601" s="356"/>
      <c r="U601" s="372"/>
      <c r="V601" s="372"/>
      <c r="W601" s="372"/>
      <c r="X601" s="373"/>
      <c r="Y601" s="348" t="s">
        <v>1223</v>
      </c>
      <c r="Z601" s="348"/>
      <c r="AA601" s="348"/>
    </row>
    <row r="602" s="331" customFormat="1" ht="17" customHeight="1" spans="1:27">
      <c r="A602" s="348">
        <v>2025683</v>
      </c>
      <c r="B602" s="348" t="s">
        <v>281</v>
      </c>
      <c r="C602" s="348" t="s">
        <v>491</v>
      </c>
      <c r="D602" s="352" t="s">
        <v>49</v>
      </c>
      <c r="E602" s="336">
        <v>43592</v>
      </c>
      <c r="F602" s="336">
        <v>43586</v>
      </c>
      <c r="G602" s="350"/>
      <c r="H602" s="334" t="s">
        <v>1849</v>
      </c>
      <c r="I602" s="356">
        <v>18621625925</v>
      </c>
      <c r="J602" s="361" t="s">
        <v>1850</v>
      </c>
      <c r="K602" s="356">
        <v>3000</v>
      </c>
      <c r="L602" s="362"/>
      <c r="M602" s="362"/>
      <c r="N602" s="362">
        <f t="shared" si="18"/>
        <v>0</v>
      </c>
      <c r="O602" s="356" t="s">
        <v>52</v>
      </c>
      <c r="Q602" s="356"/>
      <c r="R602" s="356"/>
      <c r="S602" s="356"/>
      <c r="T602" s="356"/>
      <c r="U602" s="407" t="s">
        <v>12</v>
      </c>
      <c r="V602" s="372"/>
      <c r="W602" s="372"/>
      <c r="X602" s="373"/>
      <c r="Y602" s="348" t="s">
        <v>1223</v>
      </c>
      <c r="Z602" s="348"/>
      <c r="AA602" s="348"/>
    </row>
    <row r="603" s="331" customFormat="1" ht="17" customHeight="1" spans="1:27">
      <c r="A603" s="550" t="s">
        <v>1851</v>
      </c>
      <c r="B603" s="348" t="s">
        <v>42</v>
      </c>
      <c r="C603" s="348" t="s">
        <v>43</v>
      </c>
      <c r="D603" s="349" t="s">
        <v>44</v>
      </c>
      <c r="E603" s="336">
        <v>43592</v>
      </c>
      <c r="F603" s="336">
        <v>43591</v>
      </c>
      <c r="G603" s="350"/>
      <c r="H603" s="334" t="s">
        <v>1852</v>
      </c>
      <c r="I603" s="356">
        <v>13681662363</v>
      </c>
      <c r="J603" s="361" t="s">
        <v>1853</v>
      </c>
      <c r="K603" s="356">
        <v>5147</v>
      </c>
      <c r="L603" s="362"/>
      <c r="M603" s="362"/>
      <c r="N603" s="362">
        <f t="shared" si="18"/>
        <v>0</v>
      </c>
      <c r="O603" s="391"/>
      <c r="Q603" s="356"/>
      <c r="R603" s="356"/>
      <c r="S603" s="356"/>
      <c r="T603" s="356"/>
      <c r="U603" s="372" t="s">
        <v>1854</v>
      </c>
      <c r="V603" s="374">
        <v>43675</v>
      </c>
      <c r="W603" s="372"/>
      <c r="X603" s="373"/>
      <c r="Y603" s="348"/>
      <c r="Z603" s="348"/>
      <c r="AA603" s="348"/>
    </row>
    <row r="604" s="331" customFormat="1" ht="17" customHeight="1" spans="1:27">
      <c r="A604" s="348">
        <v>2024336</v>
      </c>
      <c r="B604" s="348" t="s">
        <v>137</v>
      </c>
      <c r="C604" s="348" t="s">
        <v>426</v>
      </c>
      <c r="D604" s="334" t="s">
        <v>427</v>
      </c>
      <c r="E604" s="336">
        <v>43708</v>
      </c>
      <c r="F604" s="336">
        <v>43590</v>
      </c>
      <c r="G604" s="336">
        <v>43707</v>
      </c>
      <c r="H604" s="334" t="s">
        <v>1855</v>
      </c>
      <c r="I604" s="356">
        <v>13818174220</v>
      </c>
      <c r="J604" s="361" t="s">
        <v>1856</v>
      </c>
      <c r="K604" s="356">
        <v>3000</v>
      </c>
      <c r="L604" s="334">
        <v>24837</v>
      </c>
      <c r="M604" s="362"/>
      <c r="N604" s="362">
        <f t="shared" si="18"/>
        <v>24837</v>
      </c>
      <c r="O604" s="356"/>
      <c r="Q604" s="356">
        <v>1</v>
      </c>
      <c r="R604" s="356"/>
      <c r="S604" s="356"/>
      <c r="T604" s="356"/>
      <c r="U604" s="372"/>
      <c r="V604" s="372"/>
      <c r="W604" s="372"/>
      <c r="X604" s="373"/>
      <c r="Y604" s="348" t="s">
        <v>1223</v>
      </c>
      <c r="Z604" s="348"/>
      <c r="AA604" s="348"/>
    </row>
    <row r="605" s="331" customFormat="1" ht="17" customHeight="1" spans="1:27">
      <c r="A605" s="550" t="s">
        <v>1857</v>
      </c>
      <c r="B605" s="348" t="s">
        <v>137</v>
      </c>
      <c r="C605" s="334" t="s">
        <v>138</v>
      </c>
      <c r="D605" s="349" t="s">
        <v>75</v>
      </c>
      <c r="E605" s="336">
        <v>43686</v>
      </c>
      <c r="F605" s="336">
        <v>43590</v>
      </c>
      <c r="G605" s="336">
        <v>43680</v>
      </c>
      <c r="H605" s="334" t="s">
        <v>1858</v>
      </c>
      <c r="I605" s="356">
        <v>15801987988</v>
      </c>
      <c r="J605" s="361" t="s">
        <v>1859</v>
      </c>
      <c r="K605" s="356">
        <v>3000</v>
      </c>
      <c r="L605" s="334">
        <v>27000</v>
      </c>
      <c r="M605" s="362"/>
      <c r="N605" s="362">
        <f t="shared" si="18"/>
        <v>27000</v>
      </c>
      <c r="O605" s="356"/>
      <c r="Q605" s="356">
        <v>1</v>
      </c>
      <c r="R605" s="356"/>
      <c r="S605" s="356"/>
      <c r="T605" s="356"/>
      <c r="U605" s="372"/>
      <c r="V605" s="372"/>
      <c r="W605" s="372"/>
      <c r="X605" s="373"/>
      <c r="Y605" s="348" t="s">
        <v>1223</v>
      </c>
      <c r="Z605" s="348"/>
      <c r="AA605" s="348"/>
    </row>
    <row r="606" s="331" customFormat="1" ht="17" customHeight="1" spans="1:27">
      <c r="A606" s="550" t="s">
        <v>1860</v>
      </c>
      <c r="B606" s="348" t="s">
        <v>160</v>
      </c>
      <c r="C606" s="348" t="s">
        <v>258</v>
      </c>
      <c r="D606" s="352" t="s">
        <v>132</v>
      </c>
      <c r="E606" s="336">
        <v>43592</v>
      </c>
      <c r="F606" s="336">
        <v>43591</v>
      </c>
      <c r="G606" s="350" t="s">
        <v>69</v>
      </c>
      <c r="H606" s="334" t="s">
        <v>1861</v>
      </c>
      <c r="I606" s="356">
        <v>13044190480</v>
      </c>
      <c r="J606" s="361" t="s">
        <v>1862</v>
      </c>
      <c r="K606" s="356">
        <v>30502</v>
      </c>
      <c r="L606" s="362"/>
      <c r="M606" s="362"/>
      <c r="N606" s="362">
        <f t="shared" si="18"/>
        <v>0</v>
      </c>
      <c r="O606" s="356"/>
      <c r="Q606" s="356"/>
      <c r="R606" s="356"/>
      <c r="S606" s="356"/>
      <c r="T606" s="356"/>
      <c r="U606" s="372"/>
      <c r="V606" s="372"/>
      <c r="W606" s="372"/>
      <c r="X606" s="373"/>
      <c r="Y606" s="348"/>
      <c r="Z606" s="348" t="s">
        <v>1863</v>
      </c>
      <c r="AA606" s="348"/>
    </row>
    <row r="607" s="331" customFormat="1" ht="17" customHeight="1" spans="1:27">
      <c r="A607" s="348">
        <v>2023600</v>
      </c>
      <c r="B607" s="348" t="s">
        <v>73</v>
      </c>
      <c r="C607" s="348" t="s">
        <v>74</v>
      </c>
      <c r="D607" s="334" t="s">
        <v>717</v>
      </c>
      <c r="E607" s="336">
        <v>43738</v>
      </c>
      <c r="F607" s="336">
        <v>43592</v>
      </c>
      <c r="G607" s="336">
        <v>43738</v>
      </c>
      <c r="H607" s="334" t="s">
        <v>1864</v>
      </c>
      <c r="I607" s="356">
        <v>13817919821</v>
      </c>
      <c r="J607" s="361" t="s">
        <v>1865</v>
      </c>
      <c r="K607" s="356">
        <v>1000</v>
      </c>
      <c r="L607" s="334">
        <v>21671</v>
      </c>
      <c r="M607" s="362"/>
      <c r="N607" s="362">
        <f t="shared" ref="N607:N638" si="19">L607+M607</f>
        <v>21671</v>
      </c>
      <c r="O607" s="356"/>
      <c r="Q607" s="366" t="s">
        <v>52</v>
      </c>
      <c r="R607" s="356"/>
      <c r="S607" s="356"/>
      <c r="T607" s="356"/>
      <c r="U607" s="372"/>
      <c r="V607" s="372"/>
      <c r="W607" s="372"/>
      <c r="X607" s="373"/>
      <c r="Y607" s="348"/>
      <c r="Z607" s="348" t="s">
        <v>79</v>
      </c>
      <c r="AA607" s="348"/>
    </row>
    <row r="608" s="331" customFormat="1" ht="17" customHeight="1" spans="1:27">
      <c r="A608" s="348"/>
      <c r="B608" s="348" t="s">
        <v>153</v>
      </c>
      <c r="C608" s="348" t="s">
        <v>302</v>
      </c>
      <c r="D608" s="349" t="s">
        <v>155</v>
      </c>
      <c r="E608" s="336">
        <v>43698</v>
      </c>
      <c r="F608" s="336">
        <v>43592</v>
      </c>
      <c r="G608" s="336">
        <v>43697</v>
      </c>
      <c r="H608" s="334" t="s">
        <v>1866</v>
      </c>
      <c r="I608" s="356">
        <v>17602185165</v>
      </c>
      <c r="J608" s="361" t="s">
        <v>1867</v>
      </c>
      <c r="K608" s="356">
        <v>3000</v>
      </c>
      <c r="L608" s="334">
        <v>11368</v>
      </c>
      <c r="M608" s="362"/>
      <c r="N608" s="362">
        <f t="shared" si="19"/>
        <v>11368</v>
      </c>
      <c r="O608" s="356"/>
      <c r="Q608" s="356"/>
      <c r="R608" s="356"/>
      <c r="S608" s="356"/>
      <c r="T608" s="356"/>
      <c r="U608" s="372"/>
      <c r="V608" s="372" t="s">
        <v>1481</v>
      </c>
      <c r="W608" s="372"/>
      <c r="X608" s="373"/>
      <c r="Y608" s="348"/>
      <c r="Z608" s="348"/>
      <c r="AA608" s="348"/>
    </row>
    <row r="609" s="331" customFormat="1" ht="17" customHeight="1" spans="1:27">
      <c r="A609" s="348">
        <v>2066652</v>
      </c>
      <c r="B609" s="348" t="s">
        <v>335</v>
      </c>
      <c r="C609" s="348" t="s">
        <v>336</v>
      </c>
      <c r="D609" s="349" t="s">
        <v>337</v>
      </c>
      <c r="E609" s="336">
        <v>43688</v>
      </c>
      <c r="F609" s="336" t="s">
        <v>800</v>
      </c>
      <c r="G609" s="336">
        <v>43687</v>
      </c>
      <c r="H609" s="334" t="s">
        <v>1868</v>
      </c>
      <c r="I609" s="356">
        <v>13636678794</v>
      </c>
      <c r="J609" s="361" t="s">
        <v>1869</v>
      </c>
      <c r="K609" s="356">
        <v>1998</v>
      </c>
      <c r="L609" s="362"/>
      <c r="M609" s="334">
        <f>5301+3399</f>
        <v>8700</v>
      </c>
      <c r="N609" s="362">
        <f t="shared" si="19"/>
        <v>8700</v>
      </c>
      <c r="O609" s="366"/>
      <c r="Q609" s="356"/>
      <c r="R609" s="356"/>
      <c r="S609" s="356"/>
      <c r="T609" s="356"/>
      <c r="U609" s="372"/>
      <c r="V609" s="372"/>
      <c r="W609" s="376" t="s">
        <v>403</v>
      </c>
      <c r="X609" s="373"/>
      <c r="Y609" s="348"/>
      <c r="Z609" s="348"/>
      <c r="AA609" s="348"/>
    </row>
    <row r="610" s="331" customFormat="1" ht="17" customHeight="1" spans="1:27">
      <c r="A610" s="348">
        <v>1901085</v>
      </c>
      <c r="B610" s="348" t="s">
        <v>73</v>
      </c>
      <c r="C610" s="348" t="s">
        <v>1130</v>
      </c>
      <c r="D610" s="349" t="s">
        <v>75</v>
      </c>
      <c r="E610" s="336">
        <v>43589</v>
      </c>
      <c r="F610" s="336">
        <v>43586</v>
      </c>
      <c r="G610" s="350"/>
      <c r="H610" s="334" t="s">
        <v>1870</v>
      </c>
      <c r="I610" s="356">
        <v>13761014584</v>
      </c>
      <c r="J610" s="361" t="s">
        <v>1871</v>
      </c>
      <c r="K610" s="356">
        <v>1000</v>
      </c>
      <c r="L610" s="362"/>
      <c r="M610" s="362"/>
      <c r="N610" s="362">
        <f t="shared" si="19"/>
        <v>0</v>
      </c>
      <c r="O610" s="356"/>
      <c r="Q610" s="356"/>
      <c r="R610" s="356"/>
      <c r="S610" s="356"/>
      <c r="T610" s="356"/>
      <c r="U610" s="372" t="s">
        <v>78</v>
      </c>
      <c r="V610" s="372"/>
      <c r="W610" s="372"/>
      <c r="X610" s="373">
        <v>1</v>
      </c>
      <c r="Y610" s="348"/>
      <c r="Z610" s="348" t="s">
        <v>79</v>
      </c>
      <c r="AA610" s="348"/>
    </row>
    <row r="611" s="331" customFormat="1" ht="17" customHeight="1" spans="1:27">
      <c r="A611" s="348">
        <v>2068273</v>
      </c>
      <c r="B611" s="348" t="s">
        <v>66</v>
      </c>
      <c r="C611" s="348" t="s">
        <v>119</v>
      </c>
      <c r="D611" s="349" t="s">
        <v>68</v>
      </c>
      <c r="E611" s="336">
        <v>43594</v>
      </c>
      <c r="F611" s="336">
        <v>43594</v>
      </c>
      <c r="G611" s="350"/>
      <c r="H611" s="334" t="s">
        <v>1872</v>
      </c>
      <c r="I611" s="356">
        <v>18516239266</v>
      </c>
      <c r="J611" s="361" t="s">
        <v>1873</v>
      </c>
      <c r="K611" s="356">
        <v>1998</v>
      </c>
      <c r="L611" s="362"/>
      <c r="M611" s="362"/>
      <c r="N611" s="362">
        <f t="shared" si="19"/>
        <v>0</v>
      </c>
      <c r="O611" s="356"/>
      <c r="Q611" s="356"/>
      <c r="R611" s="356"/>
      <c r="S611" s="356"/>
      <c r="T611" s="356"/>
      <c r="U611" s="372" t="s">
        <v>12</v>
      </c>
      <c r="V611" s="372"/>
      <c r="W611" s="372"/>
      <c r="X611" s="373"/>
      <c r="Y611" s="348"/>
      <c r="Z611" s="348"/>
      <c r="AA611" s="348"/>
    </row>
    <row r="612" s="331" customFormat="1" ht="17" customHeight="1" spans="1:27">
      <c r="A612" s="550" t="s">
        <v>1874</v>
      </c>
      <c r="B612" s="348" t="s">
        <v>160</v>
      </c>
      <c r="C612" s="348" t="s">
        <v>275</v>
      </c>
      <c r="D612" s="349" t="s">
        <v>162</v>
      </c>
      <c r="E612" s="336">
        <v>43705</v>
      </c>
      <c r="F612" s="336">
        <v>43595</v>
      </c>
      <c r="G612" s="336">
        <v>43703</v>
      </c>
      <c r="H612" s="334" t="s">
        <v>1875</v>
      </c>
      <c r="I612" s="356">
        <v>13764120240</v>
      </c>
      <c r="J612" s="361" t="s">
        <v>1876</v>
      </c>
      <c r="K612" s="356">
        <v>1000</v>
      </c>
      <c r="L612" s="334">
        <v>18737</v>
      </c>
      <c r="M612" s="362"/>
      <c r="N612" s="362">
        <f t="shared" si="19"/>
        <v>18737</v>
      </c>
      <c r="O612" s="356"/>
      <c r="Q612" s="356"/>
      <c r="R612" s="356">
        <v>1</v>
      </c>
      <c r="S612" s="356"/>
      <c r="T612" s="356"/>
      <c r="U612" s="372"/>
      <c r="V612" s="372"/>
      <c r="W612" s="372"/>
      <c r="X612" s="373"/>
      <c r="Y612" s="348"/>
      <c r="Z612" s="348"/>
      <c r="AA612" s="348"/>
    </row>
    <row r="613" s="331" customFormat="1" ht="17" customHeight="1" spans="1:27">
      <c r="A613" s="550" t="s">
        <v>1877</v>
      </c>
      <c r="B613" s="348" t="s">
        <v>35</v>
      </c>
      <c r="C613" s="348" t="s">
        <v>392</v>
      </c>
      <c r="D613" s="352" t="s">
        <v>37</v>
      </c>
      <c r="E613" s="336">
        <v>43596</v>
      </c>
      <c r="F613" s="336">
        <v>43596</v>
      </c>
      <c r="G613" s="350"/>
      <c r="H613" s="334" t="s">
        <v>1878</v>
      </c>
      <c r="I613" s="356">
        <v>18019435818</v>
      </c>
      <c r="J613" s="361" t="s">
        <v>1879</v>
      </c>
      <c r="K613" s="356">
        <v>1000</v>
      </c>
      <c r="L613" s="362"/>
      <c r="M613" s="362"/>
      <c r="N613" s="362">
        <f t="shared" si="19"/>
        <v>0</v>
      </c>
      <c r="O613" s="356" t="s">
        <v>52</v>
      </c>
      <c r="Q613" s="356"/>
      <c r="R613" s="356"/>
      <c r="S613" s="356"/>
      <c r="T613" s="356"/>
      <c r="U613" s="372" t="s">
        <v>40</v>
      </c>
      <c r="V613" s="372"/>
      <c r="W613" s="372"/>
      <c r="X613" s="373"/>
      <c r="Y613" s="348"/>
      <c r="Z613" s="348"/>
      <c r="AA613" s="348"/>
    </row>
    <row r="614" s="331" customFormat="1" ht="17" customHeight="1" spans="1:27">
      <c r="A614" s="550" t="s">
        <v>1880</v>
      </c>
      <c r="B614" s="348" t="s">
        <v>35</v>
      </c>
      <c r="C614" s="348" t="s">
        <v>392</v>
      </c>
      <c r="D614" s="352" t="s">
        <v>37</v>
      </c>
      <c r="E614" s="336">
        <v>43596</v>
      </c>
      <c r="F614" s="336">
        <v>43596</v>
      </c>
      <c r="G614" s="350"/>
      <c r="H614" s="334" t="s">
        <v>1881</v>
      </c>
      <c r="I614" s="356">
        <v>18918066339</v>
      </c>
      <c r="J614" s="361" t="s">
        <v>1882</v>
      </c>
      <c r="K614" s="356">
        <v>1000</v>
      </c>
      <c r="L614" s="362"/>
      <c r="M614" s="362"/>
      <c r="N614" s="362">
        <f t="shared" si="19"/>
        <v>0</v>
      </c>
      <c r="O614" s="356" t="s">
        <v>52</v>
      </c>
      <c r="Q614" s="356"/>
      <c r="R614" s="356"/>
      <c r="S614" s="356"/>
      <c r="T614" s="356"/>
      <c r="U614" s="372" t="s">
        <v>40</v>
      </c>
      <c r="V614" s="372"/>
      <c r="W614" s="372"/>
      <c r="X614" s="373"/>
      <c r="Y614" s="348"/>
      <c r="Z614" s="348"/>
      <c r="AA614" s="348"/>
    </row>
    <row r="615" s="331" customFormat="1" ht="17" customHeight="1" spans="1:27">
      <c r="A615" s="348">
        <v>2066046</v>
      </c>
      <c r="B615" s="348" t="s">
        <v>205</v>
      </c>
      <c r="C615" s="348" t="s">
        <v>1467</v>
      </c>
      <c r="D615" s="349" t="s">
        <v>60</v>
      </c>
      <c r="E615" s="336">
        <v>43596</v>
      </c>
      <c r="F615" s="336">
        <v>43596</v>
      </c>
      <c r="G615" s="336">
        <v>43653</v>
      </c>
      <c r="H615" s="334" t="s">
        <v>1883</v>
      </c>
      <c r="I615" s="356">
        <v>18930062808</v>
      </c>
      <c r="J615" s="361" t="s">
        <v>1884</v>
      </c>
      <c r="K615" s="356">
        <v>3084</v>
      </c>
      <c r="L615" s="334">
        <v>3084</v>
      </c>
      <c r="M615" s="334"/>
      <c r="N615" s="362">
        <f t="shared" si="19"/>
        <v>3084</v>
      </c>
      <c r="O615" s="356"/>
      <c r="Q615" s="356"/>
      <c r="R615" s="356"/>
      <c r="S615" s="356"/>
      <c r="T615" s="356"/>
      <c r="U615" s="372"/>
      <c r="V615" s="372"/>
      <c r="W615" s="372"/>
      <c r="X615" s="373"/>
      <c r="Y615" s="348"/>
      <c r="Z615" s="348"/>
      <c r="AA615" s="348"/>
    </row>
    <row r="616" s="331" customFormat="1" ht="17" customHeight="1" spans="1:27">
      <c r="A616" s="348">
        <v>2026755</v>
      </c>
      <c r="B616" s="348" t="s">
        <v>73</v>
      </c>
      <c r="C616" s="348" t="s">
        <v>1130</v>
      </c>
      <c r="D616" s="349" t="s">
        <v>143</v>
      </c>
      <c r="E616" s="336">
        <v>43596</v>
      </c>
      <c r="F616" s="336">
        <v>43596</v>
      </c>
      <c r="G616" s="336">
        <v>43660</v>
      </c>
      <c r="H616" s="334" t="s">
        <v>1885</v>
      </c>
      <c r="I616" s="356">
        <v>13916674110</v>
      </c>
      <c r="J616" s="361" t="s">
        <v>1886</v>
      </c>
      <c r="K616" s="356">
        <v>1000</v>
      </c>
      <c r="L616" s="334">
        <v>4337</v>
      </c>
      <c r="M616" s="334"/>
      <c r="N616" s="362">
        <f t="shared" si="19"/>
        <v>4337</v>
      </c>
      <c r="O616" s="356"/>
      <c r="Q616" s="356"/>
      <c r="R616" s="356"/>
      <c r="S616" s="356"/>
      <c r="T616" s="356"/>
      <c r="U616" s="372"/>
      <c r="V616" s="372"/>
      <c r="W616" s="372"/>
      <c r="X616" s="373"/>
      <c r="Y616" s="348" t="s">
        <v>1353</v>
      </c>
      <c r="Z616" s="348" t="s">
        <v>79</v>
      </c>
      <c r="AA616" s="348"/>
    </row>
    <row r="617" s="331" customFormat="1" ht="17" customHeight="1" spans="1:27">
      <c r="A617" s="348">
        <v>2026753</v>
      </c>
      <c r="B617" s="348" t="s">
        <v>73</v>
      </c>
      <c r="C617" s="348" t="s">
        <v>178</v>
      </c>
      <c r="D617" s="349" t="s">
        <v>132</v>
      </c>
      <c r="E617" s="336">
        <v>43596</v>
      </c>
      <c r="F617" s="336">
        <v>43596</v>
      </c>
      <c r="G617" s="336">
        <v>43663</v>
      </c>
      <c r="H617" s="334" t="s">
        <v>1887</v>
      </c>
      <c r="I617" s="356">
        <v>15000754920</v>
      </c>
      <c r="J617" s="361" t="s">
        <v>1888</v>
      </c>
      <c r="K617" s="356">
        <v>1000</v>
      </c>
      <c r="L617" s="334">
        <v>17000</v>
      </c>
      <c r="M617" s="334"/>
      <c r="N617" s="362">
        <f t="shared" si="19"/>
        <v>17000</v>
      </c>
      <c r="O617" s="356"/>
      <c r="Q617" s="356"/>
      <c r="R617" s="356"/>
      <c r="S617" s="356"/>
      <c r="T617" s="356"/>
      <c r="U617" s="372"/>
      <c r="V617" s="372"/>
      <c r="W617" s="372"/>
      <c r="X617" s="373"/>
      <c r="Y617" s="348" t="s">
        <v>1353</v>
      </c>
      <c r="Z617" s="348" t="s">
        <v>79</v>
      </c>
      <c r="AA617" s="348"/>
    </row>
    <row r="618" s="331" customFormat="1" customHeight="1" spans="1:27">
      <c r="A618" s="550" t="s">
        <v>1889</v>
      </c>
      <c r="B618" s="348" t="s">
        <v>236</v>
      </c>
      <c r="C618" s="348" t="s">
        <v>703</v>
      </c>
      <c r="D618" s="352" t="s">
        <v>237</v>
      </c>
      <c r="E618" s="336"/>
      <c r="F618" s="336">
        <v>43485</v>
      </c>
      <c r="G618" s="350"/>
      <c r="H618" s="351" t="s">
        <v>1890</v>
      </c>
      <c r="I618" s="356">
        <v>13801887955</v>
      </c>
      <c r="J618" s="361" t="s">
        <v>1891</v>
      </c>
      <c r="K618" s="356">
        <v>500</v>
      </c>
      <c r="L618" s="362"/>
      <c r="M618" s="362"/>
      <c r="N618" s="362">
        <f t="shared" si="19"/>
        <v>0</v>
      </c>
      <c r="O618" s="356" t="s">
        <v>19</v>
      </c>
      <c r="Q618" s="356"/>
      <c r="R618" s="356"/>
      <c r="S618" s="356"/>
      <c r="T618" s="356"/>
      <c r="U618" s="372"/>
      <c r="V618" s="372"/>
      <c r="W618" s="372"/>
      <c r="X618" s="373"/>
      <c r="Y618" s="348" t="s">
        <v>210</v>
      </c>
      <c r="Z618" s="348"/>
      <c r="AA618" s="348"/>
    </row>
    <row r="619" s="331" customFormat="1" ht="17" customHeight="1" spans="1:27">
      <c r="A619" s="550" t="s">
        <v>1892</v>
      </c>
      <c r="B619" s="348" t="s">
        <v>153</v>
      </c>
      <c r="C619" s="348" t="s">
        <v>154</v>
      </c>
      <c r="D619" s="349" t="s">
        <v>139</v>
      </c>
      <c r="E619" s="336">
        <v>43596</v>
      </c>
      <c r="F619" s="336">
        <v>43596</v>
      </c>
      <c r="G619" s="336">
        <v>43665</v>
      </c>
      <c r="H619" s="334" t="s">
        <v>1893</v>
      </c>
      <c r="I619" s="356">
        <v>13817059640</v>
      </c>
      <c r="J619" s="361" t="s">
        <v>1894</v>
      </c>
      <c r="K619" s="356">
        <v>1000</v>
      </c>
      <c r="L619" s="334">
        <v>30000</v>
      </c>
      <c r="M619" s="362"/>
      <c r="N619" s="362">
        <f t="shared" si="19"/>
        <v>30000</v>
      </c>
      <c r="O619" s="356"/>
      <c r="Q619" s="356"/>
      <c r="R619" s="356"/>
      <c r="S619" s="356"/>
      <c r="T619" s="356"/>
      <c r="U619" s="372"/>
      <c r="V619" s="372"/>
      <c r="W619" s="372"/>
      <c r="X619" s="373">
        <v>1</v>
      </c>
      <c r="Y619" s="348"/>
      <c r="Z619" s="348"/>
      <c r="AA619" s="348"/>
    </row>
    <row r="620" s="331" customFormat="1" ht="17" customHeight="1" spans="1:27">
      <c r="A620" s="348">
        <v>2025527</v>
      </c>
      <c r="B620" s="348" t="s">
        <v>335</v>
      </c>
      <c r="C620" s="334" t="s">
        <v>615</v>
      </c>
      <c r="D620" s="349" t="s">
        <v>337</v>
      </c>
      <c r="E620" s="336">
        <v>43683</v>
      </c>
      <c r="F620" s="336">
        <v>43596</v>
      </c>
      <c r="G620" s="336">
        <v>43680</v>
      </c>
      <c r="H620" s="334" t="s">
        <v>1895</v>
      </c>
      <c r="I620" s="356">
        <v>13162179189</v>
      </c>
      <c r="J620" s="361" t="s">
        <v>1896</v>
      </c>
      <c r="K620" s="356">
        <v>3000</v>
      </c>
      <c r="L620" s="334">
        <v>18291</v>
      </c>
      <c r="M620" s="362"/>
      <c r="N620" s="362">
        <f t="shared" si="19"/>
        <v>18291</v>
      </c>
      <c r="O620" s="356"/>
      <c r="Q620" s="356"/>
      <c r="R620" s="356"/>
      <c r="S620" s="356"/>
      <c r="T620" s="356"/>
      <c r="U620" s="372"/>
      <c r="V620" s="372"/>
      <c r="W620" s="376" t="s">
        <v>403</v>
      </c>
      <c r="X620" s="373"/>
      <c r="Y620" s="348"/>
      <c r="Z620" s="348"/>
      <c r="AA620" s="348"/>
    </row>
    <row r="621" s="331" customFormat="1" ht="17" customHeight="1" spans="1:27">
      <c r="A621" s="348">
        <v>2066654</v>
      </c>
      <c r="B621" s="348" t="s">
        <v>335</v>
      </c>
      <c r="C621" s="348" t="s">
        <v>615</v>
      </c>
      <c r="D621" s="349" t="s">
        <v>337</v>
      </c>
      <c r="E621" s="336">
        <v>43714</v>
      </c>
      <c r="F621" s="336">
        <v>43596</v>
      </c>
      <c r="G621" s="336">
        <v>43713</v>
      </c>
      <c r="H621" s="334" t="s">
        <v>1897</v>
      </c>
      <c r="I621" s="356">
        <v>13361936321</v>
      </c>
      <c r="J621" s="361" t="s">
        <v>1898</v>
      </c>
      <c r="K621" s="356">
        <v>3000</v>
      </c>
      <c r="L621" s="334">
        <v>21079</v>
      </c>
      <c r="M621" s="362"/>
      <c r="N621" s="362">
        <f t="shared" si="19"/>
        <v>21079</v>
      </c>
      <c r="O621" s="356"/>
      <c r="Q621" s="356"/>
      <c r="R621" s="356" t="s">
        <v>22</v>
      </c>
      <c r="S621" s="356"/>
      <c r="T621" s="356"/>
      <c r="U621" s="372"/>
      <c r="V621" s="372"/>
      <c r="W621" s="372"/>
      <c r="X621" s="373"/>
      <c r="Y621" s="348"/>
      <c r="Z621" s="348"/>
      <c r="AA621" s="348"/>
    </row>
    <row r="622" s="331" customFormat="1" ht="17" customHeight="1" spans="1:27">
      <c r="A622" s="348">
        <v>2023593</v>
      </c>
      <c r="B622" s="348" t="s">
        <v>73</v>
      </c>
      <c r="C622" s="348" t="s">
        <v>74</v>
      </c>
      <c r="D622" s="352" t="s">
        <v>75</v>
      </c>
      <c r="E622" s="336">
        <v>43589</v>
      </c>
      <c r="F622" s="336">
        <v>43589</v>
      </c>
      <c r="G622" s="350" t="s">
        <v>69</v>
      </c>
      <c r="H622" s="334" t="s">
        <v>1899</v>
      </c>
      <c r="I622" s="356">
        <v>18621869077</v>
      </c>
      <c r="J622" s="361" t="s">
        <v>1900</v>
      </c>
      <c r="K622" s="356">
        <v>1000</v>
      </c>
      <c r="L622" s="362"/>
      <c r="M622" s="362"/>
      <c r="N622" s="362">
        <f t="shared" si="19"/>
        <v>0</v>
      </c>
      <c r="O622" s="366" t="s">
        <v>52</v>
      </c>
      <c r="P622" s="402"/>
      <c r="Q622" s="356"/>
      <c r="R622" s="356"/>
      <c r="S622" s="356"/>
      <c r="T622" s="356"/>
      <c r="U622" s="372"/>
      <c r="V622" s="372"/>
      <c r="W622" s="372"/>
      <c r="X622" s="373"/>
      <c r="Y622" s="348"/>
      <c r="Z622" s="348" t="s">
        <v>79</v>
      </c>
      <c r="AA622" s="348"/>
    </row>
    <row r="623" s="331" customFormat="1" ht="17" customHeight="1" spans="1:27">
      <c r="A623" s="348"/>
      <c r="B623" s="348" t="s">
        <v>243</v>
      </c>
      <c r="C623" s="348" t="s">
        <v>309</v>
      </c>
      <c r="D623" s="352" t="s">
        <v>49</v>
      </c>
      <c r="E623" s="336">
        <v>43596</v>
      </c>
      <c r="F623" s="336">
        <v>43596</v>
      </c>
      <c r="G623" s="350"/>
      <c r="H623" s="334" t="s">
        <v>1901</v>
      </c>
      <c r="I623" s="356">
        <v>13917354531</v>
      </c>
      <c r="J623" s="361" t="s">
        <v>1902</v>
      </c>
      <c r="K623" s="356">
        <v>1000</v>
      </c>
      <c r="L623" s="362"/>
      <c r="M623" s="362"/>
      <c r="N623" s="362">
        <f t="shared" si="19"/>
        <v>0</v>
      </c>
      <c r="O623" s="356"/>
      <c r="Q623" s="356"/>
      <c r="R623" s="356"/>
      <c r="S623" s="356"/>
      <c r="T623" s="356"/>
      <c r="U623" s="372">
        <v>7.15</v>
      </c>
      <c r="V623" s="372"/>
      <c r="W623" s="372"/>
      <c r="X623" s="373"/>
      <c r="Y623" s="348"/>
      <c r="Z623" s="348"/>
      <c r="AA623" s="348"/>
    </row>
    <row r="624" s="331" customFormat="1" ht="17" customHeight="1" spans="1:27">
      <c r="A624" s="550" t="s">
        <v>1903</v>
      </c>
      <c r="B624" s="348" t="s">
        <v>185</v>
      </c>
      <c r="C624" s="348" t="s">
        <v>1204</v>
      </c>
      <c r="D624" s="349" t="s">
        <v>44</v>
      </c>
      <c r="E624" s="336">
        <v>43768</v>
      </c>
      <c r="F624" s="336">
        <v>43596</v>
      </c>
      <c r="G624" s="336">
        <v>43767</v>
      </c>
      <c r="H624" s="334" t="s">
        <v>1904</v>
      </c>
      <c r="I624" s="356">
        <v>15710195518</v>
      </c>
      <c r="J624" s="361" t="s">
        <v>1905</v>
      </c>
      <c r="K624" s="356">
        <v>1000</v>
      </c>
      <c r="L624" s="334">
        <v>18212</v>
      </c>
      <c r="M624" s="362"/>
      <c r="N624" s="362">
        <f t="shared" si="19"/>
        <v>18212</v>
      </c>
      <c r="O624" s="356" t="s">
        <v>52</v>
      </c>
      <c r="Q624" s="356"/>
      <c r="R624" s="356"/>
      <c r="S624" s="356"/>
      <c r="T624" s="356"/>
      <c r="U624" s="372"/>
      <c r="V624" s="372"/>
      <c r="W624" s="372"/>
      <c r="X624" s="373"/>
      <c r="Y624" s="348"/>
      <c r="Z624" s="348"/>
      <c r="AA624" s="348"/>
    </row>
    <row r="625" s="331" customFormat="1" ht="17" customHeight="1" spans="1:27">
      <c r="A625" s="348">
        <v>2067611</v>
      </c>
      <c r="B625" s="348" t="s">
        <v>31</v>
      </c>
      <c r="C625" s="348" t="s">
        <v>377</v>
      </c>
      <c r="D625" s="349" t="s">
        <v>221</v>
      </c>
      <c r="E625" s="336">
        <v>43738</v>
      </c>
      <c r="F625" s="336">
        <v>43596</v>
      </c>
      <c r="G625" s="336">
        <v>43738</v>
      </c>
      <c r="H625" s="334" t="s">
        <v>1906</v>
      </c>
      <c r="I625" s="334" t="s">
        <v>1907</v>
      </c>
      <c r="J625" s="361" t="s">
        <v>1908</v>
      </c>
      <c r="K625" s="356">
        <v>1000</v>
      </c>
      <c r="L625" s="334">
        <v>21000</v>
      </c>
      <c r="M625" s="362"/>
      <c r="N625" s="362">
        <f t="shared" si="19"/>
        <v>21000</v>
      </c>
      <c r="O625" s="356"/>
      <c r="Q625" s="356"/>
      <c r="R625" s="366" t="s">
        <v>52</v>
      </c>
      <c r="S625" s="356"/>
      <c r="T625" s="356"/>
      <c r="U625" s="372"/>
      <c r="V625" s="372"/>
      <c r="W625" s="372"/>
      <c r="X625" s="373"/>
      <c r="Y625" s="348" t="s">
        <v>1329</v>
      </c>
      <c r="Z625" s="348"/>
      <c r="AA625" s="348"/>
    </row>
    <row r="626" s="331" customFormat="1" ht="17" customHeight="1" spans="1:27">
      <c r="A626" s="348">
        <v>2068124</v>
      </c>
      <c r="B626" s="348" t="s">
        <v>66</v>
      </c>
      <c r="C626" s="348" t="s">
        <v>514</v>
      </c>
      <c r="D626" s="349" t="s">
        <v>68</v>
      </c>
      <c r="E626" s="336">
        <v>43528</v>
      </c>
      <c r="F626" s="336">
        <v>43527</v>
      </c>
      <c r="G626" s="350"/>
      <c r="H626" s="351" t="s">
        <v>1890</v>
      </c>
      <c r="I626" s="356">
        <v>13801887955</v>
      </c>
      <c r="J626" s="361" t="s">
        <v>1891</v>
      </c>
      <c r="K626" s="356">
        <v>1000</v>
      </c>
      <c r="L626" s="362"/>
      <c r="M626" s="362"/>
      <c r="N626" s="362">
        <f t="shared" si="19"/>
        <v>0</v>
      </c>
      <c r="O626" s="356" t="s">
        <v>1909</v>
      </c>
      <c r="Q626" s="356"/>
      <c r="R626" s="356"/>
      <c r="S626" s="356"/>
      <c r="T626" s="356"/>
      <c r="U626" s="372"/>
      <c r="V626" s="372"/>
      <c r="W626" s="372"/>
      <c r="X626" s="373"/>
      <c r="Y626" s="348"/>
      <c r="Z626" s="348"/>
      <c r="AA626" s="348"/>
    </row>
    <row r="627" s="331" customFormat="1" ht="17" customHeight="1" spans="1:27">
      <c r="A627" s="550" t="s">
        <v>1910</v>
      </c>
      <c r="B627" s="348" t="s">
        <v>94</v>
      </c>
      <c r="C627" s="348" t="s">
        <v>95</v>
      </c>
      <c r="D627" s="352" t="s">
        <v>49</v>
      </c>
      <c r="E627" s="336">
        <v>43725</v>
      </c>
      <c r="F627" s="336">
        <v>43596</v>
      </c>
      <c r="G627" s="336">
        <v>43722</v>
      </c>
      <c r="H627" s="334" t="s">
        <v>1911</v>
      </c>
      <c r="I627" s="356">
        <v>18321336730</v>
      </c>
      <c r="J627" s="361" t="s">
        <v>1912</v>
      </c>
      <c r="K627" s="356">
        <v>3000</v>
      </c>
      <c r="L627" s="334">
        <v>6051</v>
      </c>
      <c r="M627" s="362"/>
      <c r="N627" s="362">
        <f t="shared" si="19"/>
        <v>6051</v>
      </c>
      <c r="O627" s="356"/>
      <c r="P627" s="366"/>
      <c r="Q627" s="366"/>
      <c r="R627" s="356"/>
      <c r="S627" s="366" t="s">
        <v>52</v>
      </c>
      <c r="T627" s="356"/>
      <c r="U627" s="372"/>
      <c r="V627" s="372" t="s">
        <v>1913</v>
      </c>
      <c r="W627" s="372"/>
      <c r="X627" s="373"/>
      <c r="Y627" s="348"/>
      <c r="Z627" s="348"/>
      <c r="AA627" s="348"/>
    </row>
    <row r="628" s="331" customFormat="1" ht="17" customHeight="1" spans="1:27">
      <c r="A628" s="348">
        <v>2022944</v>
      </c>
      <c r="B628" s="348" t="s">
        <v>243</v>
      </c>
      <c r="C628" s="348" t="s">
        <v>244</v>
      </c>
      <c r="D628" s="352" t="s">
        <v>49</v>
      </c>
      <c r="E628" s="336">
        <v>43597</v>
      </c>
      <c r="F628" s="336">
        <v>43596</v>
      </c>
      <c r="G628" s="336">
        <v>43667</v>
      </c>
      <c r="H628" s="334" t="s">
        <v>1914</v>
      </c>
      <c r="I628" s="356">
        <v>18817565022</v>
      </c>
      <c r="J628" s="361" t="s">
        <v>1915</v>
      </c>
      <c r="K628" s="356">
        <v>1000</v>
      </c>
      <c r="L628" s="334">
        <v>18555</v>
      </c>
      <c r="M628" s="362"/>
      <c r="N628" s="362">
        <f t="shared" si="19"/>
        <v>18555</v>
      </c>
      <c r="O628" s="356"/>
      <c r="Q628" s="356"/>
      <c r="R628" s="356"/>
      <c r="S628" s="356"/>
      <c r="T628" s="356"/>
      <c r="U628" s="372"/>
      <c r="V628" s="372"/>
      <c r="W628" s="372"/>
      <c r="X628" s="373"/>
      <c r="Y628" s="348"/>
      <c r="Z628" s="348"/>
      <c r="AA628" s="348"/>
    </row>
    <row r="629" s="331" customFormat="1" ht="17" customHeight="1" spans="1:27">
      <c r="A629" s="550" t="s">
        <v>1916</v>
      </c>
      <c r="B629" s="348" t="s">
        <v>47</v>
      </c>
      <c r="C629" s="348" t="s">
        <v>80</v>
      </c>
      <c r="D629" s="352" t="s">
        <v>49</v>
      </c>
      <c r="E629" s="336">
        <v>43597</v>
      </c>
      <c r="F629" s="336">
        <v>43596</v>
      </c>
      <c r="G629" s="336">
        <v>43649</v>
      </c>
      <c r="H629" s="334" t="s">
        <v>1917</v>
      </c>
      <c r="I629" s="356">
        <v>13818966887</v>
      </c>
      <c r="J629" s="361" t="s">
        <v>1918</v>
      </c>
      <c r="K629" s="356">
        <v>1988</v>
      </c>
      <c r="L629" s="334">
        <v>7725</v>
      </c>
      <c r="M629" s="362"/>
      <c r="N629" s="362">
        <f t="shared" si="19"/>
        <v>7725</v>
      </c>
      <c r="O629" s="356"/>
      <c r="Q629" s="356"/>
      <c r="R629" s="356"/>
      <c r="S629" s="356"/>
      <c r="T629" s="356"/>
      <c r="U629" s="372"/>
      <c r="V629" s="372"/>
      <c r="W629" s="372"/>
      <c r="X629" s="373"/>
      <c r="Y629" s="348"/>
      <c r="Z629" s="348"/>
      <c r="AA629" s="348"/>
    </row>
    <row r="630" s="331" customFormat="1" ht="17" customHeight="1" spans="1:27">
      <c r="A630" s="550" t="s">
        <v>1919</v>
      </c>
      <c r="B630" s="348" t="s">
        <v>805</v>
      </c>
      <c r="C630" s="348" t="s">
        <v>806</v>
      </c>
      <c r="D630" s="352" t="s">
        <v>171</v>
      </c>
      <c r="E630" s="336">
        <v>43680</v>
      </c>
      <c r="F630" s="336">
        <v>43596</v>
      </c>
      <c r="G630" s="336">
        <v>43680</v>
      </c>
      <c r="H630" s="334" t="s">
        <v>1920</v>
      </c>
      <c r="I630" s="356">
        <v>13564333269</v>
      </c>
      <c r="J630" s="361" t="s">
        <v>1921</v>
      </c>
      <c r="K630" s="356">
        <v>3000</v>
      </c>
      <c r="L630" s="334">
        <v>16116</v>
      </c>
      <c r="M630" s="362"/>
      <c r="N630" s="362">
        <f t="shared" si="19"/>
        <v>16116</v>
      </c>
      <c r="O630" s="356"/>
      <c r="Q630" s="356"/>
      <c r="R630" s="356"/>
      <c r="S630" s="356"/>
      <c r="T630" s="356"/>
      <c r="U630" s="372"/>
      <c r="V630" s="372"/>
      <c r="W630" s="372" t="s">
        <v>809</v>
      </c>
      <c r="X630" s="373"/>
      <c r="Y630" s="348"/>
      <c r="Z630" s="348"/>
      <c r="AA630" s="348"/>
    </row>
    <row r="631" s="331" customFormat="1" ht="17" customHeight="1" spans="1:27">
      <c r="A631" s="348">
        <v>2066656</v>
      </c>
      <c r="B631" s="348" t="s">
        <v>335</v>
      </c>
      <c r="C631" s="348" t="s">
        <v>336</v>
      </c>
      <c r="D631" s="349" t="s">
        <v>33</v>
      </c>
      <c r="E631" s="336">
        <v>43689</v>
      </c>
      <c r="F631" s="336" t="s">
        <v>800</v>
      </c>
      <c r="G631" s="336">
        <v>43688</v>
      </c>
      <c r="H631" s="334" t="s">
        <v>1922</v>
      </c>
      <c r="I631" s="356">
        <v>19946001614</v>
      </c>
      <c r="J631" s="361" t="s">
        <v>1923</v>
      </c>
      <c r="K631" s="356">
        <v>3999</v>
      </c>
      <c r="L631" s="362"/>
      <c r="M631" s="334">
        <f>3999-3999</f>
        <v>0</v>
      </c>
      <c r="N631" s="362">
        <f t="shared" si="19"/>
        <v>0</v>
      </c>
      <c r="O631" s="366" t="s">
        <v>52</v>
      </c>
      <c r="Q631" s="356"/>
      <c r="R631" s="356"/>
      <c r="S631" s="356"/>
      <c r="T631" s="356"/>
      <c r="U631" s="372"/>
      <c r="V631" s="372"/>
      <c r="W631" s="372"/>
      <c r="X631" s="373"/>
      <c r="Y631" s="348"/>
      <c r="Z631" s="348"/>
      <c r="AA631" s="348"/>
    </row>
    <row r="632" s="331" customFormat="1" ht="17" customHeight="1" spans="1:27">
      <c r="A632" s="550" t="s">
        <v>1924</v>
      </c>
      <c r="B632" s="348" t="s">
        <v>137</v>
      </c>
      <c r="C632" s="348" t="s">
        <v>426</v>
      </c>
      <c r="D632" s="349" t="s">
        <v>139</v>
      </c>
      <c r="E632" s="336">
        <v>43680</v>
      </c>
      <c r="F632" s="336">
        <v>43624</v>
      </c>
      <c r="G632" s="336">
        <v>43679</v>
      </c>
      <c r="H632" s="351" t="s">
        <v>1925</v>
      </c>
      <c r="I632" s="356">
        <v>13816116416</v>
      </c>
      <c r="J632" s="361" t="s">
        <v>1926</v>
      </c>
      <c r="K632" s="356">
        <f>200+3400</f>
        <v>3600</v>
      </c>
      <c r="L632" s="334">
        <v>5826</v>
      </c>
      <c r="M632" s="362"/>
      <c r="N632" s="362">
        <f t="shared" si="19"/>
        <v>5826</v>
      </c>
      <c r="O632" s="356"/>
      <c r="Q632" s="356">
        <v>1</v>
      </c>
      <c r="R632" s="356"/>
      <c r="S632" s="356"/>
      <c r="T632" s="356"/>
      <c r="U632" s="372"/>
      <c r="V632" s="372"/>
      <c r="W632" s="372"/>
      <c r="X632" s="373"/>
      <c r="Y632" s="348"/>
      <c r="Z632" s="348"/>
      <c r="AA632" s="348"/>
    </row>
    <row r="633" s="331" customFormat="1" ht="17" customHeight="1" spans="1:27">
      <c r="A633" s="550" t="s">
        <v>1927</v>
      </c>
      <c r="B633" s="348" t="s">
        <v>47</v>
      </c>
      <c r="C633" s="348" t="s">
        <v>53</v>
      </c>
      <c r="D633" s="352" t="s">
        <v>49</v>
      </c>
      <c r="E633" s="336">
        <v>43597</v>
      </c>
      <c r="F633" s="336">
        <v>43597</v>
      </c>
      <c r="G633" s="350"/>
      <c r="H633" s="334" t="s">
        <v>1928</v>
      </c>
      <c r="I633" s="356">
        <v>13661495038</v>
      </c>
      <c r="J633" s="361" t="s">
        <v>1929</v>
      </c>
      <c r="K633" s="356">
        <v>5000</v>
      </c>
      <c r="L633" s="362"/>
      <c r="M633" s="362"/>
      <c r="N633" s="362">
        <f t="shared" si="19"/>
        <v>0</v>
      </c>
      <c r="O633" s="356"/>
      <c r="Q633" s="356"/>
      <c r="R633" s="356" t="s">
        <v>52</v>
      </c>
      <c r="S633" s="356"/>
      <c r="T633" s="356"/>
      <c r="U633" s="372"/>
      <c r="V633" s="372"/>
      <c r="W633" s="372"/>
      <c r="X633" s="373">
        <v>1</v>
      </c>
      <c r="Y633" s="348" t="s">
        <v>1930</v>
      </c>
      <c r="Z633" s="348"/>
      <c r="AA633" s="348"/>
    </row>
    <row r="634" s="331" customFormat="1" ht="17" customHeight="1" spans="1:27">
      <c r="A634" s="550" t="s">
        <v>1931</v>
      </c>
      <c r="B634" s="348" t="s">
        <v>805</v>
      </c>
      <c r="C634" s="348" t="s">
        <v>806</v>
      </c>
      <c r="D634" s="352" t="s">
        <v>171</v>
      </c>
      <c r="E634" s="336">
        <v>43598</v>
      </c>
      <c r="F634" s="336">
        <v>43597</v>
      </c>
      <c r="G634" s="350"/>
      <c r="H634" s="334" t="s">
        <v>1932</v>
      </c>
      <c r="I634" s="356">
        <v>13761049988</v>
      </c>
      <c r="J634" s="361" t="s">
        <v>1933</v>
      </c>
      <c r="K634" s="356">
        <v>3000</v>
      </c>
      <c r="L634" s="362"/>
      <c r="M634" s="362"/>
      <c r="N634" s="362">
        <f t="shared" si="19"/>
        <v>0</v>
      </c>
      <c r="O634" s="356"/>
      <c r="Q634" s="356"/>
      <c r="R634" s="356"/>
      <c r="S634" s="356"/>
      <c r="T634" s="356"/>
      <c r="U634" s="379">
        <v>6.4</v>
      </c>
      <c r="V634" s="372"/>
      <c r="W634" s="372"/>
      <c r="X634" s="373"/>
      <c r="Y634" s="348"/>
      <c r="Z634" s="348"/>
      <c r="AA634" s="348"/>
    </row>
    <row r="635" s="331" customFormat="1" ht="17" customHeight="1" spans="1:27">
      <c r="A635" s="550" t="s">
        <v>1934</v>
      </c>
      <c r="B635" s="348" t="s">
        <v>123</v>
      </c>
      <c r="C635" s="348" t="s">
        <v>124</v>
      </c>
      <c r="D635" s="349" t="s">
        <v>143</v>
      </c>
      <c r="E635" s="336">
        <v>43598</v>
      </c>
      <c r="F635" s="336">
        <v>43597</v>
      </c>
      <c r="G635" s="336">
        <v>43659</v>
      </c>
      <c r="H635" s="334" t="s">
        <v>1935</v>
      </c>
      <c r="I635" s="356">
        <v>18516760850</v>
      </c>
      <c r="J635" s="361" t="s">
        <v>1936</v>
      </c>
      <c r="K635" s="356">
        <v>1000</v>
      </c>
      <c r="L635" s="334">
        <v>7044</v>
      </c>
      <c r="M635" s="334"/>
      <c r="N635" s="362">
        <f t="shared" si="19"/>
        <v>7044</v>
      </c>
      <c r="O635" s="356"/>
      <c r="Q635" s="356"/>
      <c r="R635" s="356"/>
      <c r="S635" s="356"/>
      <c r="T635" s="356"/>
      <c r="U635" s="372"/>
      <c r="V635" s="372"/>
      <c r="W635" s="372"/>
      <c r="X635" s="373"/>
      <c r="Y635" s="348"/>
      <c r="Z635" s="348"/>
      <c r="AA635" s="348"/>
    </row>
    <row r="636" s="331" customFormat="1" ht="17" customHeight="1" spans="1:27">
      <c r="A636" s="550" t="s">
        <v>1937</v>
      </c>
      <c r="B636" s="348" t="s">
        <v>58</v>
      </c>
      <c r="C636" s="348" t="s">
        <v>342</v>
      </c>
      <c r="D636" s="349" t="s">
        <v>110</v>
      </c>
      <c r="E636" s="336">
        <v>43598</v>
      </c>
      <c r="F636" s="336">
        <v>43597</v>
      </c>
      <c r="G636" s="336">
        <v>43664</v>
      </c>
      <c r="H636" s="334" t="s">
        <v>1938</v>
      </c>
      <c r="I636" s="356">
        <v>1352403106</v>
      </c>
      <c r="J636" s="361" t="s">
        <v>1939</v>
      </c>
      <c r="K636" s="356">
        <v>2598</v>
      </c>
      <c r="L636" s="334">
        <v>4700</v>
      </c>
      <c r="M636" s="334"/>
      <c r="N636" s="362">
        <f t="shared" si="19"/>
        <v>4700</v>
      </c>
      <c r="O636" s="356"/>
      <c r="Q636" s="356"/>
      <c r="R636" s="356"/>
      <c r="S636" s="356"/>
      <c r="T636" s="356"/>
      <c r="U636" s="372"/>
      <c r="V636" s="372"/>
      <c r="W636" s="372"/>
      <c r="X636" s="373"/>
      <c r="Y636" s="348" t="s">
        <v>1329</v>
      </c>
      <c r="Z636" s="348"/>
      <c r="AA636" s="348"/>
    </row>
    <row r="637" s="331" customFormat="1" ht="17" customHeight="1" spans="1:27">
      <c r="A637" s="550" t="s">
        <v>1940</v>
      </c>
      <c r="B637" s="348" t="s">
        <v>169</v>
      </c>
      <c r="C637" s="348" t="s">
        <v>634</v>
      </c>
      <c r="D637" s="349" t="s">
        <v>635</v>
      </c>
      <c r="E637" s="336">
        <v>43598</v>
      </c>
      <c r="F637" s="336">
        <v>43597</v>
      </c>
      <c r="G637" s="350"/>
      <c r="H637" s="334" t="s">
        <v>1941</v>
      </c>
      <c r="I637" s="356">
        <v>13601942192</v>
      </c>
      <c r="J637" s="361" t="s">
        <v>1942</v>
      </c>
      <c r="K637" s="356">
        <v>1000</v>
      </c>
      <c r="L637" s="362"/>
      <c r="M637" s="362"/>
      <c r="N637" s="362">
        <f t="shared" si="19"/>
        <v>0</v>
      </c>
      <c r="O637" s="356"/>
      <c r="Q637" s="356"/>
      <c r="R637" s="356"/>
      <c r="S637" s="356"/>
      <c r="T637" s="356"/>
      <c r="U637" s="356" t="s">
        <v>12</v>
      </c>
      <c r="V637" s="372"/>
      <c r="W637" s="372"/>
      <c r="X637" s="373"/>
      <c r="Y637" s="348"/>
      <c r="Z637" s="348"/>
      <c r="AA637" s="348"/>
    </row>
    <row r="638" s="331" customFormat="1" ht="17" customHeight="1" spans="1:28">
      <c r="A638" s="550" t="s">
        <v>1943</v>
      </c>
      <c r="B638" s="348" t="s">
        <v>147</v>
      </c>
      <c r="C638" s="348" t="s">
        <v>148</v>
      </c>
      <c r="D638" s="334" t="s">
        <v>1170</v>
      </c>
      <c r="E638" s="336">
        <v>43735</v>
      </c>
      <c r="F638" s="336">
        <v>43597</v>
      </c>
      <c r="G638" s="336">
        <v>43715</v>
      </c>
      <c r="H638" s="334" t="s">
        <v>1944</v>
      </c>
      <c r="I638" s="356">
        <v>13917834119</v>
      </c>
      <c r="J638" s="361" t="s">
        <v>1945</v>
      </c>
      <c r="K638" s="356">
        <v>1000</v>
      </c>
      <c r="L638" s="334">
        <v>24896</v>
      </c>
      <c r="M638" s="362"/>
      <c r="N638" s="362">
        <f t="shared" ref="N638:N673" si="20">L638+M638</f>
        <v>24896</v>
      </c>
      <c r="O638" s="356"/>
      <c r="Q638" s="356"/>
      <c r="R638" s="391"/>
      <c r="S638" s="356"/>
      <c r="T638" s="356" t="s">
        <v>1946</v>
      </c>
      <c r="U638" s="372"/>
      <c r="V638" s="356" t="s">
        <v>1946</v>
      </c>
      <c r="W638" s="372"/>
      <c r="X638" s="373"/>
      <c r="Y638" s="348"/>
      <c r="Z638" s="348"/>
      <c r="AA638" s="348"/>
      <c r="AB638" s="331" t="s">
        <v>1947</v>
      </c>
    </row>
    <row r="639" s="331" customFormat="1" ht="17" customHeight="1" spans="1:27">
      <c r="A639" s="550" t="s">
        <v>1948</v>
      </c>
      <c r="B639" s="348" t="s">
        <v>805</v>
      </c>
      <c r="C639" s="348" t="s">
        <v>806</v>
      </c>
      <c r="D639" s="352" t="s">
        <v>171</v>
      </c>
      <c r="E639" s="336">
        <v>43696</v>
      </c>
      <c r="F639" s="336">
        <v>43598</v>
      </c>
      <c r="G639" s="336">
        <v>43695</v>
      </c>
      <c r="H639" s="334" t="s">
        <v>1949</v>
      </c>
      <c r="I639" s="356">
        <v>15121013317</v>
      </c>
      <c r="J639" s="361" t="s">
        <v>1950</v>
      </c>
      <c r="K639" s="356">
        <v>2000</v>
      </c>
      <c r="L639" s="334">
        <f>9507-1104</f>
        <v>8403</v>
      </c>
      <c r="M639" s="334">
        <v>1104</v>
      </c>
      <c r="N639" s="362">
        <f t="shared" si="20"/>
        <v>9507</v>
      </c>
      <c r="O639" s="356"/>
      <c r="Q639" s="356"/>
      <c r="R639" s="356"/>
      <c r="S639" s="356"/>
      <c r="T639" s="356"/>
      <c r="U639" s="372"/>
      <c r="V639" s="372"/>
      <c r="W639" s="372" t="s">
        <v>809</v>
      </c>
      <c r="X639" s="373"/>
      <c r="Y639" s="348"/>
      <c r="Z639" s="348"/>
      <c r="AA639" s="348"/>
    </row>
    <row r="640" s="331" customFormat="1" ht="17" customHeight="1" spans="1:27">
      <c r="A640" s="348">
        <v>2067368</v>
      </c>
      <c r="B640" s="348" t="s">
        <v>405</v>
      </c>
      <c r="C640" s="348" t="s">
        <v>206</v>
      </c>
      <c r="D640" s="349" t="s">
        <v>407</v>
      </c>
      <c r="E640" s="336">
        <v>43598</v>
      </c>
      <c r="F640" s="336">
        <v>43598</v>
      </c>
      <c r="G640" s="350"/>
      <c r="H640" s="334" t="s">
        <v>1951</v>
      </c>
      <c r="I640" s="356">
        <v>13764201533</v>
      </c>
      <c r="J640" s="361" t="s">
        <v>1952</v>
      </c>
      <c r="K640" s="356">
        <v>1000</v>
      </c>
      <c r="L640" s="362"/>
      <c r="M640" s="362"/>
      <c r="N640" s="362">
        <f t="shared" si="20"/>
        <v>0</v>
      </c>
      <c r="O640" s="356"/>
      <c r="Q640" s="356"/>
      <c r="R640" s="356"/>
      <c r="S640" s="356"/>
      <c r="T640" s="356"/>
      <c r="U640" s="372" t="s">
        <v>40</v>
      </c>
      <c r="V640" s="372"/>
      <c r="W640" s="372"/>
      <c r="X640" s="373"/>
      <c r="Y640" s="348" t="s">
        <v>1953</v>
      </c>
      <c r="Z640" s="348"/>
      <c r="AA640" s="348"/>
    </row>
    <row r="641" s="331" customFormat="1" ht="17" customHeight="1" spans="1:27">
      <c r="A641" s="348">
        <v>2066818</v>
      </c>
      <c r="B641" s="348" t="s">
        <v>31</v>
      </c>
      <c r="C641" s="348" t="s">
        <v>32</v>
      </c>
      <c r="D641" s="349" t="s">
        <v>33</v>
      </c>
      <c r="E641" s="336">
        <v>43680</v>
      </c>
      <c r="F641" s="336" t="s">
        <v>800</v>
      </c>
      <c r="G641" s="336">
        <v>43680</v>
      </c>
      <c r="H641" s="334" t="s">
        <v>1954</v>
      </c>
      <c r="I641" s="356">
        <v>13916875641</v>
      </c>
      <c r="J641" s="361" t="s">
        <v>1955</v>
      </c>
      <c r="K641" s="356">
        <v>500</v>
      </c>
      <c r="L641" s="362"/>
      <c r="M641" s="334">
        <v>-7829</v>
      </c>
      <c r="N641" s="362">
        <f t="shared" si="20"/>
        <v>-7829</v>
      </c>
      <c r="O641" s="356"/>
      <c r="Q641" s="356"/>
      <c r="R641" s="356"/>
      <c r="S641" s="366" t="s">
        <v>52</v>
      </c>
      <c r="T641" s="356"/>
      <c r="U641" s="372"/>
      <c r="V641" s="372"/>
      <c r="W641" s="372"/>
      <c r="X641" s="373"/>
      <c r="Y641" s="348"/>
      <c r="Z641" s="348"/>
      <c r="AA641" s="348"/>
    </row>
    <row r="642" s="331" customFormat="1" ht="17" customHeight="1" spans="1:27">
      <c r="A642" s="550" t="s">
        <v>1956</v>
      </c>
      <c r="B642" s="348" t="s">
        <v>236</v>
      </c>
      <c r="C642" s="348" t="s">
        <v>195</v>
      </c>
      <c r="D642" s="352" t="s">
        <v>143</v>
      </c>
      <c r="E642" s="336"/>
      <c r="F642" s="336">
        <v>43596</v>
      </c>
      <c r="G642" s="350"/>
      <c r="H642" s="334" t="s">
        <v>1957</v>
      </c>
      <c r="I642" s="356">
        <v>18917812780</v>
      </c>
      <c r="J642" s="361" t="s">
        <v>1958</v>
      </c>
      <c r="K642" s="356">
        <v>200</v>
      </c>
      <c r="L642" s="362"/>
      <c r="M642" s="362"/>
      <c r="N642" s="362">
        <f t="shared" si="20"/>
        <v>0</v>
      </c>
      <c r="O642" s="356"/>
      <c r="Q642" s="356"/>
      <c r="R642" s="356"/>
      <c r="S642" s="356"/>
      <c r="T642" s="356"/>
      <c r="U642" s="356" t="s">
        <v>40</v>
      </c>
      <c r="V642" s="372"/>
      <c r="W642" s="372"/>
      <c r="X642" s="373"/>
      <c r="Y642" s="348" t="s">
        <v>1223</v>
      </c>
      <c r="Z642" s="348"/>
      <c r="AA642" s="348"/>
    </row>
    <row r="643" s="331" customFormat="1" ht="17" customHeight="1" spans="1:27">
      <c r="A643" s="348">
        <v>2020249</v>
      </c>
      <c r="B643" s="348" t="s">
        <v>137</v>
      </c>
      <c r="C643" s="348" t="s">
        <v>480</v>
      </c>
      <c r="D643" s="349" t="s">
        <v>139</v>
      </c>
      <c r="E643" s="336">
        <v>43634</v>
      </c>
      <c r="F643" s="336">
        <v>43634</v>
      </c>
      <c r="G643" s="336">
        <v>43675</v>
      </c>
      <c r="H643" s="334" t="s">
        <v>1959</v>
      </c>
      <c r="I643" s="356">
        <v>13818232059</v>
      </c>
      <c r="J643" s="361" t="s">
        <v>1960</v>
      </c>
      <c r="K643" s="356">
        <f>5000+1000</f>
        <v>6000</v>
      </c>
      <c r="L643" s="334">
        <v>5695</v>
      </c>
      <c r="M643" s="362"/>
      <c r="N643" s="362">
        <f t="shared" si="20"/>
        <v>5695</v>
      </c>
      <c r="O643" s="356"/>
      <c r="P643" s="356"/>
      <c r="Q643" s="356"/>
      <c r="R643" s="356"/>
      <c r="S643" s="356">
        <v>1</v>
      </c>
      <c r="T643" s="356"/>
      <c r="U643" s="372"/>
      <c r="V643" s="372"/>
      <c r="W643" s="372"/>
      <c r="X643" s="373"/>
      <c r="Y643" s="348"/>
      <c r="Z643" s="348"/>
      <c r="AA643" s="348"/>
    </row>
    <row r="644" s="331" customFormat="1" ht="17" customHeight="1" spans="1:27">
      <c r="A644" s="550" t="s">
        <v>1961</v>
      </c>
      <c r="B644" s="348" t="s">
        <v>66</v>
      </c>
      <c r="C644" s="348" t="s">
        <v>1749</v>
      </c>
      <c r="D644" s="349" t="s">
        <v>68</v>
      </c>
      <c r="E644" s="336">
        <v>43599</v>
      </c>
      <c r="F644" s="336">
        <v>43599</v>
      </c>
      <c r="G644" s="350"/>
      <c r="H644" s="334" t="s">
        <v>1962</v>
      </c>
      <c r="I644" s="356">
        <v>18621569756</v>
      </c>
      <c r="J644" s="361" t="s">
        <v>1963</v>
      </c>
      <c r="K644" s="356">
        <v>10000</v>
      </c>
      <c r="L644" s="362"/>
      <c r="M644" s="362"/>
      <c r="N644" s="362">
        <f t="shared" si="20"/>
        <v>0</v>
      </c>
      <c r="O644" s="356"/>
      <c r="Q644" s="356"/>
      <c r="R644" s="356"/>
      <c r="S644" s="356"/>
      <c r="T644" s="356"/>
      <c r="U644" s="372" t="s">
        <v>12</v>
      </c>
      <c r="V644" s="372"/>
      <c r="W644" s="372"/>
      <c r="X644" s="373"/>
      <c r="Y644" s="348"/>
      <c r="Z644" s="348"/>
      <c r="AA644" s="348"/>
    </row>
    <row r="645" s="331" customFormat="1" ht="17" customHeight="1" spans="1:27">
      <c r="A645" s="348"/>
      <c r="B645" s="348" t="s">
        <v>31</v>
      </c>
      <c r="C645" s="348" t="s">
        <v>220</v>
      </c>
      <c r="D645" s="349" t="s">
        <v>33</v>
      </c>
      <c r="E645" s="336">
        <v>43599</v>
      </c>
      <c r="F645" s="336">
        <v>43599</v>
      </c>
      <c r="G645" s="336">
        <v>43662</v>
      </c>
      <c r="H645" s="334" t="s">
        <v>1964</v>
      </c>
      <c r="I645" s="356">
        <v>13816983703</v>
      </c>
      <c r="J645" s="361" t="s">
        <v>1965</v>
      </c>
      <c r="K645" s="356">
        <v>2000</v>
      </c>
      <c r="L645" s="334">
        <v>24579</v>
      </c>
      <c r="M645" s="334"/>
      <c r="N645" s="362">
        <f t="shared" si="20"/>
        <v>24579</v>
      </c>
      <c r="O645" s="356"/>
      <c r="Q645" s="356"/>
      <c r="R645" s="356"/>
      <c r="S645" s="356"/>
      <c r="T645" s="356"/>
      <c r="U645" s="372"/>
      <c r="V645" s="372"/>
      <c r="W645" s="372"/>
      <c r="X645" s="373"/>
      <c r="Y645" s="348"/>
      <c r="Z645" s="348"/>
      <c r="AA645" s="348"/>
    </row>
    <row r="646" s="331" customFormat="1" ht="17" customHeight="1" spans="1:27">
      <c r="A646" s="550" t="s">
        <v>1966</v>
      </c>
      <c r="B646" s="348" t="s">
        <v>185</v>
      </c>
      <c r="C646" s="348" t="s">
        <v>186</v>
      </c>
      <c r="D646" s="349" t="s">
        <v>187</v>
      </c>
      <c r="E646" s="336">
        <v>43601</v>
      </c>
      <c r="F646" s="336">
        <v>43601</v>
      </c>
      <c r="G646" s="350"/>
      <c r="H646" s="334" t="s">
        <v>1967</v>
      </c>
      <c r="I646" s="356">
        <v>15316182789</v>
      </c>
      <c r="J646" s="361" t="s">
        <v>1968</v>
      </c>
      <c r="K646" s="356">
        <v>1000</v>
      </c>
      <c r="L646" s="362"/>
      <c r="M646" s="362"/>
      <c r="N646" s="362">
        <f t="shared" si="20"/>
        <v>0</v>
      </c>
      <c r="O646" s="356"/>
      <c r="Q646" s="356"/>
      <c r="R646" s="356"/>
      <c r="S646" s="356"/>
      <c r="T646" s="356"/>
      <c r="U646" s="374">
        <v>43694</v>
      </c>
      <c r="V646" s="372"/>
      <c r="W646" s="372"/>
      <c r="X646" s="373"/>
      <c r="Y646" s="348"/>
      <c r="Z646" s="348"/>
      <c r="AA646" s="348"/>
    </row>
    <row r="647" s="331" customFormat="1" ht="17" customHeight="1" spans="1:27">
      <c r="A647" s="348">
        <v>2066905</v>
      </c>
      <c r="B647" s="348" t="s">
        <v>185</v>
      </c>
      <c r="C647" s="348" t="s">
        <v>186</v>
      </c>
      <c r="D647" s="349" t="s">
        <v>44</v>
      </c>
      <c r="E647" s="336">
        <v>43683</v>
      </c>
      <c r="F647" s="336">
        <v>43599</v>
      </c>
      <c r="G647" s="336">
        <v>43679</v>
      </c>
      <c r="H647" s="334" t="s">
        <v>1969</v>
      </c>
      <c r="I647" s="356" t="s">
        <v>1970</v>
      </c>
      <c r="J647" s="361" t="s">
        <v>1971</v>
      </c>
      <c r="K647" s="356">
        <v>3000</v>
      </c>
      <c r="L647" s="334">
        <v>10521</v>
      </c>
      <c r="M647" s="362"/>
      <c r="N647" s="362">
        <f t="shared" si="20"/>
        <v>10521</v>
      </c>
      <c r="O647" s="356"/>
      <c r="Q647" s="356"/>
      <c r="R647" s="356"/>
      <c r="S647" s="356"/>
      <c r="T647" s="356"/>
      <c r="U647" s="372"/>
      <c r="V647" s="372"/>
      <c r="W647" s="372"/>
      <c r="X647" s="373"/>
      <c r="Y647" s="348" t="s">
        <v>1329</v>
      </c>
      <c r="Z647" s="348" t="s">
        <v>318</v>
      </c>
      <c r="AA647" s="348"/>
    </row>
    <row r="648" s="331" customFormat="1" ht="17" customHeight="1" spans="1:27">
      <c r="A648" s="550" t="s">
        <v>1972</v>
      </c>
      <c r="B648" s="348" t="s">
        <v>137</v>
      </c>
      <c r="C648" s="348" t="s">
        <v>138</v>
      </c>
      <c r="D648" s="349" t="s">
        <v>68</v>
      </c>
      <c r="E648" s="336">
        <v>43583</v>
      </c>
      <c r="F648" s="336">
        <v>43582</v>
      </c>
      <c r="G648" s="336">
        <v>43654</v>
      </c>
      <c r="H648" s="334" t="s">
        <v>1973</v>
      </c>
      <c r="I648" s="356">
        <v>13818393293</v>
      </c>
      <c r="J648" s="361" t="s">
        <v>1974</v>
      </c>
      <c r="K648" s="356">
        <f>3000+1000</f>
        <v>4000</v>
      </c>
      <c r="L648" s="334">
        <v>15498</v>
      </c>
      <c r="M648" s="334"/>
      <c r="N648" s="362">
        <f t="shared" si="20"/>
        <v>15498</v>
      </c>
      <c r="O648" s="356"/>
      <c r="Q648" s="356"/>
      <c r="R648" s="356"/>
      <c r="S648" s="356"/>
      <c r="T648" s="356"/>
      <c r="U648" s="372"/>
      <c r="V648" s="372"/>
      <c r="W648" s="372"/>
      <c r="X648" s="373"/>
      <c r="Y648" s="348"/>
      <c r="Z648" s="348"/>
      <c r="AA648" s="348"/>
    </row>
    <row r="649" s="331" customFormat="1" ht="17" customHeight="1" spans="1:27">
      <c r="A649" s="550" t="s">
        <v>1975</v>
      </c>
      <c r="B649" s="348" t="s">
        <v>805</v>
      </c>
      <c r="C649" s="348" t="s">
        <v>1458</v>
      </c>
      <c r="D649" s="352" t="s">
        <v>635</v>
      </c>
      <c r="E649" s="336">
        <v>43602</v>
      </c>
      <c r="F649" s="336">
        <v>43602</v>
      </c>
      <c r="G649" s="395">
        <v>43742</v>
      </c>
      <c r="H649" s="334" t="s">
        <v>1976</v>
      </c>
      <c r="I649" s="356" t="s">
        <v>1977</v>
      </c>
      <c r="J649" s="361" t="s">
        <v>1978</v>
      </c>
      <c r="K649" s="356">
        <v>3000</v>
      </c>
      <c r="L649" s="362"/>
      <c r="M649" s="362"/>
      <c r="N649" s="362">
        <f t="shared" si="20"/>
        <v>0</v>
      </c>
      <c r="O649" s="356"/>
      <c r="Q649" s="356"/>
      <c r="R649" s="356"/>
      <c r="S649" s="356"/>
      <c r="T649" s="356"/>
      <c r="U649" s="372"/>
      <c r="V649" s="372"/>
      <c r="W649" s="372" t="s">
        <v>809</v>
      </c>
      <c r="X649" s="373"/>
      <c r="Y649" s="348"/>
      <c r="Z649" s="348"/>
      <c r="AA649" s="348"/>
    </row>
    <row r="650" s="331" customFormat="1" ht="17" customHeight="1" spans="1:27">
      <c r="A650" s="550" t="s">
        <v>1979</v>
      </c>
      <c r="B650" s="348" t="s">
        <v>35</v>
      </c>
      <c r="C650" s="348" t="s">
        <v>36</v>
      </c>
      <c r="D650" s="352" t="s">
        <v>37</v>
      </c>
      <c r="E650" s="336">
        <v>43602</v>
      </c>
      <c r="F650" s="336">
        <v>43601</v>
      </c>
      <c r="G650" s="350"/>
      <c r="H650" s="334" t="s">
        <v>1980</v>
      </c>
      <c r="I650" s="356">
        <v>13917913609</v>
      </c>
      <c r="J650" s="361" t="s">
        <v>1981</v>
      </c>
      <c r="K650" s="356">
        <v>1000</v>
      </c>
      <c r="L650" s="362"/>
      <c r="M650" s="362"/>
      <c r="N650" s="362">
        <f t="shared" si="20"/>
        <v>0</v>
      </c>
      <c r="O650" s="356"/>
      <c r="Q650" s="356"/>
      <c r="R650" s="356"/>
      <c r="S650" s="356"/>
      <c r="T650" s="356"/>
      <c r="U650" s="372" t="s">
        <v>40</v>
      </c>
      <c r="V650" s="372"/>
      <c r="W650" s="372"/>
      <c r="X650" s="373"/>
      <c r="Y650" s="348"/>
      <c r="Z650" s="348"/>
      <c r="AA650" s="348"/>
    </row>
    <row r="651" s="331" customFormat="1" ht="17" customHeight="1" spans="1:27">
      <c r="A651" s="550" t="s">
        <v>1982</v>
      </c>
      <c r="B651" s="348" t="s">
        <v>160</v>
      </c>
      <c r="C651" s="348" t="s">
        <v>258</v>
      </c>
      <c r="D651" s="352" t="s">
        <v>132</v>
      </c>
      <c r="E651" s="336">
        <v>43602</v>
      </c>
      <c r="F651" s="336">
        <v>43589</v>
      </c>
      <c r="G651" s="336">
        <v>43674</v>
      </c>
      <c r="H651" s="334" t="s">
        <v>1983</v>
      </c>
      <c r="I651" s="356">
        <v>18521565915</v>
      </c>
      <c r="J651" s="361" t="s">
        <v>1984</v>
      </c>
      <c r="K651" s="356">
        <v>1000</v>
      </c>
      <c r="L651" s="334">
        <v>7616</v>
      </c>
      <c r="M651" s="362"/>
      <c r="N651" s="362">
        <f t="shared" si="20"/>
        <v>7616</v>
      </c>
      <c r="O651" s="356"/>
      <c r="Q651" s="356"/>
      <c r="R651" s="356"/>
      <c r="S651" s="356">
        <v>1</v>
      </c>
      <c r="T651" s="356"/>
      <c r="U651" s="372"/>
      <c r="V651" s="372"/>
      <c r="W651" s="372"/>
      <c r="X651" s="373"/>
      <c r="Y651" s="348"/>
      <c r="Z651" s="348"/>
      <c r="AA651" s="348"/>
    </row>
    <row r="652" s="331" customFormat="1" ht="17" customHeight="1" spans="1:27">
      <c r="A652" s="550" t="s">
        <v>1985</v>
      </c>
      <c r="B652" s="348" t="s">
        <v>31</v>
      </c>
      <c r="C652" s="348" t="s">
        <v>419</v>
      </c>
      <c r="D652" s="334" t="s">
        <v>33</v>
      </c>
      <c r="E652" s="336">
        <v>43830</v>
      </c>
      <c r="F652" s="336">
        <v>43582</v>
      </c>
      <c r="G652" s="336">
        <v>43830</v>
      </c>
      <c r="H652" s="334" t="s">
        <v>1986</v>
      </c>
      <c r="I652" s="356">
        <v>13818604641</v>
      </c>
      <c r="J652" s="361" t="s">
        <v>1987</v>
      </c>
      <c r="K652" s="356">
        <v>3000</v>
      </c>
      <c r="L652" s="334">
        <v>40088</v>
      </c>
      <c r="M652" s="362"/>
      <c r="N652" s="362">
        <f t="shared" si="20"/>
        <v>40088</v>
      </c>
      <c r="O652" s="356" t="s">
        <v>289</v>
      </c>
      <c r="Q652" s="356"/>
      <c r="R652" s="356"/>
      <c r="S652" s="356"/>
      <c r="T652" s="356"/>
      <c r="U652" s="372"/>
      <c r="V652" s="372"/>
      <c r="W652" s="372"/>
      <c r="X652" s="373"/>
      <c r="Y652" s="348" t="s">
        <v>380</v>
      </c>
      <c r="Z652" s="348"/>
      <c r="AA652" s="348"/>
    </row>
    <row r="653" s="331" customFormat="1" ht="17" customHeight="1" spans="1:27">
      <c r="A653" s="550" t="s">
        <v>1988</v>
      </c>
      <c r="B653" s="348" t="s">
        <v>31</v>
      </c>
      <c r="C653" s="348" t="s">
        <v>251</v>
      </c>
      <c r="D653" s="349" t="s">
        <v>221</v>
      </c>
      <c r="E653" s="336">
        <v>43602</v>
      </c>
      <c r="F653" s="336">
        <v>43602</v>
      </c>
      <c r="G653" s="336">
        <v>43653</v>
      </c>
      <c r="H653" s="334" t="s">
        <v>1989</v>
      </c>
      <c r="I653" s="356">
        <v>13916686337</v>
      </c>
      <c r="J653" s="361" t="s">
        <v>1990</v>
      </c>
      <c r="K653" s="356">
        <v>5000</v>
      </c>
      <c r="L653" s="334">
        <v>9499</v>
      </c>
      <c r="M653" s="334"/>
      <c r="N653" s="362">
        <f t="shared" si="20"/>
        <v>9499</v>
      </c>
      <c r="O653" s="356"/>
      <c r="Q653" s="356"/>
      <c r="R653" s="356"/>
      <c r="S653" s="356"/>
      <c r="T653" s="356"/>
      <c r="U653" s="372"/>
      <c r="V653" s="372"/>
      <c r="W653" s="372"/>
      <c r="X653" s="373"/>
      <c r="Y653" s="348"/>
      <c r="Z653" s="348"/>
      <c r="AA653" s="348"/>
    </row>
    <row r="654" s="331" customFormat="1" ht="17" customHeight="1" spans="1:27">
      <c r="A654" s="550" t="s">
        <v>1991</v>
      </c>
      <c r="B654" s="348" t="s">
        <v>137</v>
      </c>
      <c r="C654" s="348" t="s">
        <v>480</v>
      </c>
      <c r="D654" s="349" t="s">
        <v>139</v>
      </c>
      <c r="E654" s="336">
        <v>43603</v>
      </c>
      <c r="F654" s="336">
        <v>43602</v>
      </c>
      <c r="G654" s="336">
        <v>43664</v>
      </c>
      <c r="H654" s="334" t="s">
        <v>1992</v>
      </c>
      <c r="I654" s="356">
        <v>18117547050</v>
      </c>
      <c r="J654" s="361" t="s">
        <v>1993</v>
      </c>
      <c r="K654" s="356">
        <v>5000</v>
      </c>
      <c r="L654" s="334">
        <v>4522</v>
      </c>
      <c r="M654" s="334">
        <v>536</v>
      </c>
      <c r="N654" s="362">
        <f t="shared" si="20"/>
        <v>5058</v>
      </c>
      <c r="O654" s="356"/>
      <c r="Q654" s="356"/>
      <c r="R654" s="356"/>
      <c r="S654" s="356"/>
      <c r="T654" s="356"/>
      <c r="U654" s="372"/>
      <c r="V654" s="372"/>
      <c r="W654" s="372"/>
      <c r="X654" s="373"/>
      <c r="Y654" s="348" t="s">
        <v>1994</v>
      </c>
      <c r="Z654" s="348"/>
      <c r="AA654" s="348"/>
    </row>
    <row r="655" s="57" customFormat="1" ht="17" customHeight="1" spans="1:27">
      <c r="A655" s="550" t="s">
        <v>1995</v>
      </c>
      <c r="B655" s="348" t="s">
        <v>137</v>
      </c>
      <c r="C655" s="348" t="s">
        <v>480</v>
      </c>
      <c r="D655" s="349" t="s">
        <v>139</v>
      </c>
      <c r="E655" s="336" t="s">
        <v>133</v>
      </c>
      <c r="F655" s="336">
        <v>43602</v>
      </c>
      <c r="G655" s="350"/>
      <c r="H655" s="334" t="s">
        <v>1996</v>
      </c>
      <c r="I655" s="356">
        <v>13501886208</v>
      </c>
      <c r="J655" s="348" t="s">
        <v>1997</v>
      </c>
      <c r="K655" s="356">
        <v>30000</v>
      </c>
      <c r="L655" s="362"/>
      <c r="M655" s="362"/>
      <c r="N655" s="362">
        <f t="shared" si="20"/>
        <v>0</v>
      </c>
      <c r="O655" s="356"/>
      <c r="Q655" s="356"/>
      <c r="R655" s="356"/>
      <c r="S655" s="356">
        <v>1</v>
      </c>
      <c r="T655" s="356"/>
      <c r="U655" s="372" t="s">
        <v>12</v>
      </c>
      <c r="V655" s="372"/>
      <c r="W655" s="372"/>
      <c r="X655" s="373">
        <v>1</v>
      </c>
      <c r="Y655" s="348" t="s">
        <v>1994</v>
      </c>
      <c r="Z655" s="348"/>
      <c r="AA655" s="348"/>
    </row>
    <row r="656" s="331" customFormat="1" ht="17" customHeight="1" spans="1:27">
      <c r="A656" s="348">
        <v>2068939</v>
      </c>
      <c r="B656" s="348" t="s">
        <v>66</v>
      </c>
      <c r="C656" s="348" t="s">
        <v>67</v>
      </c>
      <c r="D656" s="349" t="s">
        <v>68</v>
      </c>
      <c r="E656" s="336">
        <v>43603</v>
      </c>
      <c r="F656" s="336">
        <v>43603</v>
      </c>
      <c r="G656" s="350"/>
      <c r="H656" s="334" t="s">
        <v>1998</v>
      </c>
      <c r="I656" s="356">
        <v>13816707552</v>
      </c>
      <c r="J656" s="361" t="s">
        <v>1999</v>
      </c>
      <c r="K656" s="356">
        <v>1998</v>
      </c>
      <c r="L656" s="362"/>
      <c r="M656" s="362"/>
      <c r="N656" s="362">
        <f t="shared" si="20"/>
        <v>0</v>
      </c>
      <c r="O656" s="356"/>
      <c r="Q656" s="356"/>
      <c r="R656" s="356"/>
      <c r="S656" s="356"/>
      <c r="T656" s="356"/>
      <c r="U656" s="356" t="s">
        <v>2000</v>
      </c>
      <c r="V656" s="372"/>
      <c r="W656" s="372"/>
      <c r="X656" s="373"/>
      <c r="Y656" s="348"/>
      <c r="Z656" s="348"/>
      <c r="AA656" s="348"/>
    </row>
    <row r="657" s="331" customFormat="1" ht="17" customHeight="1" spans="1:28">
      <c r="A657" s="348">
        <v>2066826</v>
      </c>
      <c r="B657" s="348" t="s">
        <v>31</v>
      </c>
      <c r="C657" s="348" t="s">
        <v>419</v>
      </c>
      <c r="D657" s="349" t="s">
        <v>33</v>
      </c>
      <c r="E657" s="336">
        <v>43603</v>
      </c>
      <c r="F657" s="336">
        <v>43603</v>
      </c>
      <c r="G657" s="336">
        <v>43675</v>
      </c>
      <c r="H657" s="334" t="s">
        <v>2001</v>
      </c>
      <c r="I657" s="356">
        <v>13917867123</v>
      </c>
      <c r="J657" s="361" t="s">
        <v>2002</v>
      </c>
      <c r="K657" s="356">
        <v>15000</v>
      </c>
      <c r="L657" s="334">
        <v>15073</v>
      </c>
      <c r="M657" s="334">
        <f>736+1104</f>
        <v>1840</v>
      </c>
      <c r="N657" s="362">
        <f t="shared" si="20"/>
        <v>16913</v>
      </c>
      <c r="O657" s="348"/>
      <c r="Q657" s="356"/>
      <c r="R657" s="356"/>
      <c r="S657" s="356"/>
      <c r="T657" s="356"/>
      <c r="U657" s="372"/>
      <c r="V657" s="372"/>
      <c r="W657" s="372"/>
      <c r="X657" s="373"/>
      <c r="Y657" s="348"/>
      <c r="Z657" s="348" t="s">
        <v>318</v>
      </c>
      <c r="AA657" s="348"/>
      <c r="AB657" s="348" t="s">
        <v>2003</v>
      </c>
    </row>
    <row r="658" s="332" customFormat="1" ht="17" customHeight="1" spans="1:27">
      <c r="A658" s="550" t="s">
        <v>2004</v>
      </c>
      <c r="B658" s="348" t="s">
        <v>42</v>
      </c>
      <c r="C658" s="334" t="s">
        <v>43</v>
      </c>
      <c r="D658" s="349" t="s">
        <v>125</v>
      </c>
      <c r="E658" s="336">
        <v>43708</v>
      </c>
      <c r="F658" s="336">
        <v>43603</v>
      </c>
      <c r="G658" s="336">
        <v>43708</v>
      </c>
      <c r="H658" s="334" t="s">
        <v>2005</v>
      </c>
      <c r="I658" s="356">
        <v>13973850589</v>
      </c>
      <c r="J658" s="361" t="s">
        <v>2006</v>
      </c>
      <c r="K658" s="356">
        <v>5000</v>
      </c>
      <c r="L658" s="334">
        <v>4551</v>
      </c>
      <c r="M658" s="362"/>
      <c r="N658" s="362">
        <f t="shared" si="20"/>
        <v>4551</v>
      </c>
      <c r="O658" s="356" t="s">
        <v>2007</v>
      </c>
      <c r="Q658" s="356"/>
      <c r="R658" s="356"/>
      <c r="S658" s="356"/>
      <c r="T658" s="356"/>
      <c r="U658" s="372"/>
      <c r="V658" s="372"/>
      <c r="W658" s="372"/>
      <c r="X658" s="373">
        <v>1</v>
      </c>
      <c r="Y658" s="348"/>
      <c r="Z658" s="348"/>
      <c r="AA658" s="348"/>
    </row>
    <row r="659" s="331" customFormat="1" ht="17" customHeight="1" spans="1:27">
      <c r="A659" s="550" t="s">
        <v>2008</v>
      </c>
      <c r="B659" s="348" t="s">
        <v>35</v>
      </c>
      <c r="C659" s="348" t="s">
        <v>328</v>
      </c>
      <c r="D659" s="352" t="s">
        <v>37</v>
      </c>
      <c r="E659" s="336">
        <v>43603</v>
      </c>
      <c r="F659" s="336">
        <v>43596</v>
      </c>
      <c r="G659" s="350"/>
      <c r="H659" s="334" t="s">
        <v>2009</v>
      </c>
      <c r="I659" s="356">
        <v>15918513900</v>
      </c>
      <c r="J659" s="361" t="s">
        <v>2010</v>
      </c>
      <c r="K659" s="356">
        <v>1000</v>
      </c>
      <c r="L659" s="362"/>
      <c r="M659" s="362"/>
      <c r="N659" s="362">
        <f t="shared" si="20"/>
        <v>0</v>
      </c>
      <c r="O659" s="356"/>
      <c r="Q659" s="356"/>
      <c r="R659" s="356"/>
      <c r="S659" s="356"/>
      <c r="T659" s="356"/>
      <c r="U659" s="372" t="s">
        <v>40</v>
      </c>
      <c r="V659" s="372"/>
      <c r="W659" s="372"/>
      <c r="X659" s="373"/>
      <c r="Y659" s="348"/>
      <c r="Z659" s="348"/>
      <c r="AA659" s="348"/>
    </row>
    <row r="660" s="331" customFormat="1" ht="17" customHeight="1" spans="1:27">
      <c r="A660" s="348">
        <v>2026711</v>
      </c>
      <c r="B660" s="348" t="s">
        <v>137</v>
      </c>
      <c r="C660" s="348" t="s">
        <v>480</v>
      </c>
      <c r="D660" s="349" t="s">
        <v>139</v>
      </c>
      <c r="E660" s="336">
        <v>43587</v>
      </c>
      <c r="F660" s="336">
        <v>43586</v>
      </c>
      <c r="G660" s="336">
        <v>43656</v>
      </c>
      <c r="H660" s="334" t="s">
        <v>2011</v>
      </c>
      <c r="I660" s="356">
        <v>13818618005</v>
      </c>
      <c r="J660" s="361" t="s">
        <v>2012</v>
      </c>
      <c r="K660" s="356">
        <f>15000+3000</f>
        <v>18000</v>
      </c>
      <c r="L660" s="334">
        <v>14602</v>
      </c>
      <c r="M660" s="334">
        <v>-1521</v>
      </c>
      <c r="N660" s="362">
        <f t="shared" si="20"/>
        <v>13081</v>
      </c>
      <c r="O660" s="356"/>
      <c r="Q660" s="356"/>
      <c r="R660" s="356"/>
      <c r="S660" s="356"/>
      <c r="T660" s="356"/>
      <c r="U660" s="372"/>
      <c r="V660" s="372"/>
      <c r="W660" s="372"/>
      <c r="X660" s="373"/>
      <c r="Y660" s="348"/>
      <c r="Z660" s="348"/>
      <c r="AA660" s="348"/>
    </row>
    <row r="661" s="331" customFormat="1" ht="17" customHeight="1" spans="1:27">
      <c r="A661" s="348">
        <v>2027556</v>
      </c>
      <c r="B661" s="348" t="s">
        <v>73</v>
      </c>
      <c r="C661" s="348" t="s">
        <v>74</v>
      </c>
      <c r="D661" s="352" t="s">
        <v>717</v>
      </c>
      <c r="E661" s="336">
        <v>43604</v>
      </c>
      <c r="F661" s="336">
        <v>43603</v>
      </c>
      <c r="G661" s="336">
        <v>43676</v>
      </c>
      <c r="H661" s="334" t="s">
        <v>2013</v>
      </c>
      <c r="I661" s="356">
        <v>13817548551</v>
      </c>
      <c r="J661" s="361" t="s">
        <v>2014</v>
      </c>
      <c r="K661" s="356">
        <v>1000</v>
      </c>
      <c r="L661" s="334">
        <v>24043</v>
      </c>
      <c r="M661" s="362"/>
      <c r="N661" s="362">
        <f t="shared" si="20"/>
        <v>24043</v>
      </c>
      <c r="O661" s="356"/>
      <c r="Q661" s="356"/>
      <c r="R661" s="366" t="s">
        <v>52</v>
      </c>
      <c r="S661" s="356"/>
      <c r="T661" s="356"/>
      <c r="U661" s="372"/>
      <c r="V661" s="372"/>
      <c r="W661" s="372"/>
      <c r="X661" s="373"/>
      <c r="Y661" s="348" t="s">
        <v>2015</v>
      </c>
      <c r="Z661" s="348" t="s">
        <v>79</v>
      </c>
      <c r="AA661" s="348"/>
    </row>
    <row r="662" s="331" customFormat="1" ht="17" customHeight="1" spans="1:27">
      <c r="A662" s="348">
        <v>2026761</v>
      </c>
      <c r="B662" s="348" t="s">
        <v>73</v>
      </c>
      <c r="C662" s="348" t="s">
        <v>178</v>
      </c>
      <c r="D662" s="349" t="s">
        <v>132</v>
      </c>
      <c r="E662" s="336">
        <v>43604</v>
      </c>
      <c r="F662" s="336">
        <v>43603</v>
      </c>
      <c r="G662" s="336">
        <v>43652</v>
      </c>
      <c r="H662" s="334" t="s">
        <v>2016</v>
      </c>
      <c r="I662" s="356">
        <v>13564656825</v>
      </c>
      <c r="J662" s="361" t="s">
        <v>2017</v>
      </c>
      <c r="K662" s="356">
        <v>1000</v>
      </c>
      <c r="L662" s="334">
        <v>14950</v>
      </c>
      <c r="M662" s="334"/>
      <c r="N662" s="362">
        <f t="shared" si="20"/>
        <v>14950</v>
      </c>
      <c r="O662" s="356"/>
      <c r="P662" s="356"/>
      <c r="Q662" s="356"/>
      <c r="R662" s="356"/>
      <c r="S662" s="356"/>
      <c r="T662" s="356"/>
      <c r="U662" s="372"/>
      <c r="V662" s="372"/>
      <c r="W662" s="372"/>
      <c r="X662" s="373"/>
      <c r="Y662" s="348"/>
      <c r="Z662" s="348" t="s">
        <v>79</v>
      </c>
      <c r="AA662" s="348"/>
    </row>
    <row r="663" s="331" customFormat="1" ht="17" customHeight="1" spans="1:27">
      <c r="A663" s="550" t="s">
        <v>2018</v>
      </c>
      <c r="B663" s="348" t="s">
        <v>73</v>
      </c>
      <c r="C663" s="348" t="s">
        <v>74</v>
      </c>
      <c r="D663" s="349" t="s">
        <v>143</v>
      </c>
      <c r="E663" s="336" t="s">
        <v>133</v>
      </c>
      <c r="F663" s="336">
        <v>43603</v>
      </c>
      <c r="G663" s="336">
        <v>43653</v>
      </c>
      <c r="H663" s="334" t="s">
        <v>2019</v>
      </c>
      <c r="I663" s="356">
        <v>13310105074</v>
      </c>
      <c r="J663" s="361" t="s">
        <v>2020</v>
      </c>
      <c r="K663" s="356">
        <f>1000+100000</f>
        <v>101000</v>
      </c>
      <c r="L663" s="334">
        <v>62326</v>
      </c>
      <c r="M663" s="334"/>
      <c r="N663" s="362">
        <f t="shared" si="20"/>
        <v>62326</v>
      </c>
      <c r="O663" s="356"/>
      <c r="P663" s="356"/>
      <c r="Q663" s="356"/>
      <c r="R663" s="356"/>
      <c r="S663" s="356"/>
      <c r="T663" s="356"/>
      <c r="U663" s="372"/>
      <c r="V663" s="372"/>
      <c r="W663" s="372"/>
      <c r="X663" s="373"/>
      <c r="Y663" s="348"/>
      <c r="Z663" s="348"/>
      <c r="AA663" s="348"/>
    </row>
    <row r="664" s="331" customFormat="1" ht="17" customHeight="1" spans="1:27">
      <c r="A664" s="550" t="s">
        <v>2021</v>
      </c>
      <c r="B664" s="348" t="s">
        <v>130</v>
      </c>
      <c r="C664" s="348" t="s">
        <v>722</v>
      </c>
      <c r="D664" s="349" t="s">
        <v>182</v>
      </c>
      <c r="E664" s="336">
        <v>43604</v>
      </c>
      <c r="F664" s="336">
        <v>43603</v>
      </c>
      <c r="G664" s="350"/>
      <c r="H664" s="334" t="s">
        <v>2022</v>
      </c>
      <c r="I664" s="356">
        <v>13564248240</v>
      </c>
      <c r="J664" s="361" t="s">
        <v>2023</v>
      </c>
      <c r="K664" s="356">
        <v>1000</v>
      </c>
      <c r="L664" s="362"/>
      <c r="M664" s="362"/>
      <c r="N664" s="362">
        <f t="shared" si="20"/>
        <v>0</v>
      </c>
      <c r="O664" s="356"/>
      <c r="P664" s="356"/>
      <c r="Q664" s="356"/>
      <c r="R664" s="356"/>
      <c r="S664" s="356"/>
      <c r="T664" s="356"/>
      <c r="U664" s="372" t="s">
        <v>136</v>
      </c>
      <c r="V664" s="372"/>
      <c r="W664" s="372"/>
      <c r="X664" s="373"/>
      <c r="Y664" s="348"/>
      <c r="Z664" s="348"/>
      <c r="AA664" s="348"/>
    </row>
    <row r="665" s="331" customFormat="1" ht="17" customHeight="1" spans="1:27">
      <c r="A665" s="348"/>
      <c r="B665" s="348" t="s">
        <v>31</v>
      </c>
      <c r="C665" s="348" t="s">
        <v>419</v>
      </c>
      <c r="D665" s="349" t="s">
        <v>33</v>
      </c>
      <c r="E665" s="336">
        <v>43604</v>
      </c>
      <c r="F665" s="336">
        <v>43603</v>
      </c>
      <c r="G665" s="336">
        <v>43677</v>
      </c>
      <c r="H665" s="334" t="s">
        <v>2024</v>
      </c>
      <c r="I665" s="356">
        <v>13761687678</v>
      </c>
      <c r="J665" s="361" t="s">
        <v>2025</v>
      </c>
      <c r="K665" s="356">
        <v>1000</v>
      </c>
      <c r="L665" s="334">
        <v>13662</v>
      </c>
      <c r="M665" s="362"/>
      <c r="N665" s="362">
        <f t="shared" si="20"/>
        <v>13662</v>
      </c>
      <c r="O665" s="356"/>
      <c r="P665" s="356"/>
      <c r="Q665" s="356"/>
      <c r="R665" s="356"/>
      <c r="S665" s="356"/>
      <c r="T665" s="356"/>
      <c r="U665" s="372"/>
      <c r="V665" s="372"/>
      <c r="W665" s="372" t="s">
        <v>98</v>
      </c>
      <c r="X665" s="373"/>
      <c r="Y665" s="348"/>
      <c r="Z665" s="348"/>
      <c r="AA665" s="348"/>
    </row>
    <row r="666" s="331" customFormat="1" ht="17" customHeight="1" spans="1:27">
      <c r="A666" s="550" t="s">
        <v>2026</v>
      </c>
      <c r="B666" s="348" t="s">
        <v>58</v>
      </c>
      <c r="C666" s="348" t="s">
        <v>109</v>
      </c>
      <c r="D666" s="349" t="s">
        <v>110</v>
      </c>
      <c r="E666" s="336">
        <v>43604</v>
      </c>
      <c r="F666" s="336">
        <v>43603</v>
      </c>
      <c r="G666" s="336">
        <v>43647</v>
      </c>
      <c r="H666" s="334" t="s">
        <v>2027</v>
      </c>
      <c r="I666" s="356">
        <v>13472470023</v>
      </c>
      <c r="J666" s="361" t="s">
        <v>2028</v>
      </c>
      <c r="K666" s="356">
        <v>5000</v>
      </c>
      <c r="L666" s="334">
        <v>8168</v>
      </c>
      <c r="M666" s="334">
        <v>1472</v>
      </c>
      <c r="N666" s="362">
        <f t="shared" si="20"/>
        <v>9640</v>
      </c>
      <c r="O666" s="356"/>
      <c r="P666" s="356"/>
      <c r="Q666" s="356"/>
      <c r="R666" s="356"/>
      <c r="S666" s="356"/>
      <c r="T666" s="356"/>
      <c r="U666" s="372"/>
      <c r="V666" s="372"/>
      <c r="W666" s="372"/>
      <c r="X666" s="373"/>
      <c r="Y666" s="348"/>
      <c r="Z666" s="348"/>
      <c r="AA666" s="348" t="s">
        <v>2029</v>
      </c>
    </row>
    <row r="667" s="331" customFormat="1" ht="17" customHeight="1" spans="1:27">
      <c r="A667" s="550" t="s">
        <v>2030</v>
      </c>
      <c r="B667" s="348" t="s">
        <v>58</v>
      </c>
      <c r="C667" s="348" t="s">
        <v>271</v>
      </c>
      <c r="D667" s="349" t="s">
        <v>75</v>
      </c>
      <c r="E667" s="336">
        <v>43681</v>
      </c>
      <c r="F667" s="336">
        <v>43603</v>
      </c>
      <c r="G667" s="336">
        <v>43680</v>
      </c>
      <c r="H667" s="334" t="s">
        <v>2031</v>
      </c>
      <c r="I667" s="356">
        <v>13818468100</v>
      </c>
      <c r="J667" s="361" t="s">
        <v>2032</v>
      </c>
      <c r="K667" s="356">
        <v>5000</v>
      </c>
      <c r="L667" s="334">
        <v>37385</v>
      </c>
      <c r="M667" s="362"/>
      <c r="N667" s="362">
        <f t="shared" si="20"/>
        <v>37385</v>
      </c>
      <c r="O667" s="356"/>
      <c r="P667" s="356"/>
      <c r="Q667" s="356"/>
      <c r="R667" s="356"/>
      <c r="S667" s="356"/>
      <c r="T667" s="356"/>
      <c r="U667" s="372"/>
      <c r="V667" s="372"/>
      <c r="W667" s="372">
        <v>7.2</v>
      </c>
      <c r="X667" s="373"/>
      <c r="Y667" s="348" t="s">
        <v>1329</v>
      </c>
      <c r="Z667" s="348"/>
      <c r="AA667" s="348"/>
    </row>
    <row r="668" s="331" customFormat="1" ht="17" customHeight="1" spans="1:27">
      <c r="A668" s="550" t="s">
        <v>2033</v>
      </c>
      <c r="B668" s="348" t="s">
        <v>185</v>
      </c>
      <c r="C668" s="348" t="s">
        <v>1133</v>
      </c>
      <c r="D668" s="349" t="s">
        <v>44</v>
      </c>
      <c r="E668" s="336">
        <v>43604</v>
      </c>
      <c r="F668" s="336">
        <v>43604</v>
      </c>
      <c r="G668" s="350"/>
      <c r="H668" s="334" t="s">
        <v>2034</v>
      </c>
      <c r="I668" s="356">
        <v>13818420061</v>
      </c>
      <c r="J668" s="361" t="s">
        <v>2035</v>
      </c>
      <c r="K668" s="356">
        <v>1000</v>
      </c>
      <c r="L668" s="362"/>
      <c r="M668" s="362"/>
      <c r="N668" s="362">
        <f t="shared" si="20"/>
        <v>0</v>
      </c>
      <c r="O668" s="356"/>
      <c r="P668" s="356"/>
      <c r="Q668" s="356"/>
      <c r="R668" s="356"/>
      <c r="S668" s="356"/>
      <c r="T668" s="356"/>
      <c r="U668" s="374">
        <v>43609</v>
      </c>
      <c r="V668" s="372"/>
      <c r="W668" s="372"/>
      <c r="X668" s="373"/>
      <c r="Y668" s="348"/>
      <c r="Z668" s="348"/>
      <c r="AA668" s="348"/>
    </row>
    <row r="669" s="331" customFormat="1" ht="17" customHeight="1" spans="1:27">
      <c r="A669" s="550" t="s">
        <v>2036</v>
      </c>
      <c r="B669" s="348" t="s">
        <v>35</v>
      </c>
      <c r="C669" s="348" t="s">
        <v>36</v>
      </c>
      <c r="D669" s="352" t="s">
        <v>37</v>
      </c>
      <c r="E669" s="336">
        <v>43604</v>
      </c>
      <c r="F669" s="336">
        <v>43604</v>
      </c>
      <c r="G669" s="350"/>
      <c r="H669" s="334" t="s">
        <v>2037</v>
      </c>
      <c r="I669" s="356">
        <v>13564396645</v>
      </c>
      <c r="J669" s="361" t="s">
        <v>2038</v>
      </c>
      <c r="K669" s="356">
        <v>1000</v>
      </c>
      <c r="L669" s="362"/>
      <c r="M669" s="362"/>
      <c r="N669" s="362">
        <f t="shared" si="20"/>
        <v>0</v>
      </c>
      <c r="O669" s="356"/>
      <c r="P669" s="356"/>
      <c r="Q669" s="356"/>
      <c r="R669" s="356"/>
      <c r="S669" s="356"/>
      <c r="T669" s="356"/>
      <c r="U669" s="372" t="s">
        <v>40</v>
      </c>
      <c r="V669" s="372"/>
      <c r="W669" s="372"/>
      <c r="X669" s="373"/>
      <c r="Y669" s="348"/>
      <c r="Z669" s="348"/>
      <c r="AA669" s="348"/>
    </row>
    <row r="670" s="331" customFormat="1" ht="17" customHeight="1" spans="1:27">
      <c r="A670" s="550" t="s">
        <v>2039</v>
      </c>
      <c r="B670" s="348" t="s">
        <v>726</v>
      </c>
      <c r="C670" s="348" t="s">
        <v>727</v>
      </c>
      <c r="D670" s="349" t="s">
        <v>271</v>
      </c>
      <c r="E670" s="336">
        <v>43696</v>
      </c>
      <c r="F670" s="336">
        <v>43604</v>
      </c>
      <c r="G670" s="336">
        <v>43695</v>
      </c>
      <c r="H670" s="334" t="s">
        <v>2040</v>
      </c>
      <c r="I670" s="356">
        <v>18001654798</v>
      </c>
      <c r="J670" s="361" t="s">
        <v>2041</v>
      </c>
      <c r="K670" s="356">
        <v>1000</v>
      </c>
      <c r="L670" s="334">
        <f>28381-100-2166</f>
        <v>26115</v>
      </c>
      <c r="M670" s="334">
        <v>2166</v>
      </c>
      <c r="N670" s="362">
        <f t="shared" si="20"/>
        <v>28281</v>
      </c>
      <c r="O670" s="356"/>
      <c r="P670" s="356"/>
      <c r="Q670" s="356" t="s">
        <v>21</v>
      </c>
      <c r="R670" s="356"/>
      <c r="S670" s="356"/>
      <c r="T670" s="356"/>
      <c r="U670" s="372"/>
      <c r="V670" s="372"/>
      <c r="W670" s="372"/>
      <c r="X670" s="373"/>
      <c r="Y670" s="348" t="s">
        <v>1329</v>
      </c>
      <c r="Z670" s="348"/>
      <c r="AA670" s="348"/>
    </row>
    <row r="671" s="331" customFormat="1" ht="17" customHeight="1" spans="1:27">
      <c r="A671" s="550" t="s">
        <v>2042</v>
      </c>
      <c r="B671" s="348" t="s">
        <v>42</v>
      </c>
      <c r="C671" s="348" t="s">
        <v>2043</v>
      </c>
      <c r="D671" s="349" t="s">
        <v>44</v>
      </c>
      <c r="E671" s="336" t="s">
        <v>584</v>
      </c>
      <c r="F671" s="336">
        <v>43604</v>
      </c>
      <c r="G671" s="350"/>
      <c r="H671" s="334" t="s">
        <v>1819</v>
      </c>
      <c r="I671" s="356">
        <v>17721279167</v>
      </c>
      <c r="J671" s="361" t="s">
        <v>2044</v>
      </c>
      <c r="K671" s="356">
        <v>23000</v>
      </c>
      <c r="L671" s="362"/>
      <c r="M671" s="362"/>
      <c r="N671" s="362">
        <f t="shared" si="20"/>
        <v>0</v>
      </c>
      <c r="O671" s="356"/>
      <c r="P671" s="356"/>
      <c r="Q671" s="356" t="s">
        <v>21</v>
      </c>
      <c r="R671" s="356"/>
      <c r="S671" s="356"/>
      <c r="T671" s="356"/>
      <c r="U671" s="372" t="s">
        <v>1854</v>
      </c>
      <c r="V671" s="372" t="s">
        <v>2045</v>
      </c>
      <c r="W671" s="372"/>
      <c r="X671" s="373"/>
      <c r="Y671" s="348"/>
      <c r="Z671" s="348"/>
      <c r="AA671" s="348"/>
    </row>
    <row r="672" s="331" customFormat="1" ht="17" customHeight="1" spans="1:27">
      <c r="A672" s="348"/>
      <c r="B672" s="348" t="s">
        <v>130</v>
      </c>
      <c r="C672" s="348" t="s">
        <v>395</v>
      </c>
      <c r="D672" s="349" t="s">
        <v>182</v>
      </c>
      <c r="E672" s="336">
        <v>43604</v>
      </c>
      <c r="F672" s="336">
        <v>43604</v>
      </c>
      <c r="G672" s="336">
        <v>43653</v>
      </c>
      <c r="H672" s="334" t="s">
        <v>2046</v>
      </c>
      <c r="I672" s="356">
        <v>13012870585</v>
      </c>
      <c r="J672" s="361" t="s">
        <v>2047</v>
      </c>
      <c r="K672" s="356">
        <v>1000</v>
      </c>
      <c r="L672" s="334">
        <v>6425</v>
      </c>
      <c r="M672" s="334">
        <v>2534</v>
      </c>
      <c r="N672" s="362">
        <f t="shared" si="20"/>
        <v>8959</v>
      </c>
      <c r="O672" s="356"/>
      <c r="P672" s="356"/>
      <c r="Q672" s="356"/>
      <c r="R672" s="356"/>
      <c r="S672" s="356"/>
      <c r="T672" s="356"/>
      <c r="U672" s="372"/>
      <c r="V672" s="372"/>
      <c r="W672" s="372"/>
      <c r="X672" s="373"/>
      <c r="Y672" s="348"/>
      <c r="Z672" s="348"/>
      <c r="AA672" s="348"/>
    </row>
    <row r="673" s="331" customFormat="1" ht="17" customHeight="1" spans="1:27">
      <c r="A673" s="348"/>
      <c r="B673" s="348" t="s">
        <v>31</v>
      </c>
      <c r="C673" s="348" t="s">
        <v>32</v>
      </c>
      <c r="D673" s="349" t="s">
        <v>33</v>
      </c>
      <c r="E673" s="336">
        <v>43604</v>
      </c>
      <c r="F673" s="336">
        <v>43604</v>
      </c>
      <c r="G673" s="350"/>
      <c r="H673" s="334" t="s">
        <v>2048</v>
      </c>
      <c r="I673" s="356">
        <v>13816221720</v>
      </c>
      <c r="J673" s="361"/>
      <c r="K673" s="356">
        <v>1000</v>
      </c>
      <c r="L673" s="362"/>
      <c r="M673" s="362"/>
      <c r="N673" s="362">
        <f t="shared" si="20"/>
        <v>0</v>
      </c>
      <c r="O673" s="356"/>
      <c r="P673" s="356"/>
      <c r="Q673" s="356"/>
      <c r="R673" s="356"/>
      <c r="S673" s="356"/>
      <c r="T673" s="356"/>
      <c r="U673" s="372"/>
      <c r="V673" s="372"/>
      <c r="W673" s="372"/>
      <c r="X673" s="373"/>
      <c r="Y673" s="348"/>
      <c r="Z673" s="348"/>
      <c r="AA673" s="348"/>
    </row>
    <row r="674" s="331" customFormat="1" ht="17" customHeight="1" spans="1:27">
      <c r="A674" s="348"/>
      <c r="B674" s="348" t="s">
        <v>31</v>
      </c>
      <c r="C674" s="348" t="s">
        <v>220</v>
      </c>
      <c r="D674" s="349" t="s">
        <v>221</v>
      </c>
      <c r="E674" s="336">
        <v>43604</v>
      </c>
      <c r="F674" s="336">
        <v>43604</v>
      </c>
      <c r="G674" s="336">
        <v>43659</v>
      </c>
      <c r="H674" s="334" t="s">
        <v>2049</v>
      </c>
      <c r="I674" s="356">
        <v>15902197904</v>
      </c>
      <c r="J674" s="361" t="s">
        <v>2050</v>
      </c>
      <c r="K674" s="356">
        <v>1000</v>
      </c>
      <c r="L674" s="334">
        <v>11500</v>
      </c>
      <c r="M674" s="334"/>
      <c r="N674" s="362">
        <f t="shared" ref="N674:N705" si="21">L674+M674</f>
        <v>11500</v>
      </c>
      <c r="O674" s="356"/>
      <c r="P674" s="356"/>
      <c r="Q674" s="356"/>
      <c r="R674" s="356"/>
      <c r="S674" s="356"/>
      <c r="T674" s="356"/>
      <c r="U674" s="372"/>
      <c r="V674" s="372"/>
      <c r="W674" s="372"/>
      <c r="X674" s="373"/>
      <c r="Y674" s="348"/>
      <c r="Z674" s="348"/>
      <c r="AA674" s="348"/>
    </row>
    <row r="675" s="331" customFormat="1" ht="17" customHeight="1" spans="1:27">
      <c r="A675" s="550" t="s">
        <v>2051</v>
      </c>
      <c r="B675" s="348" t="s">
        <v>147</v>
      </c>
      <c r="C675" s="348" t="s">
        <v>599</v>
      </c>
      <c r="D675" s="349" t="s">
        <v>89</v>
      </c>
      <c r="E675" s="336">
        <v>43604</v>
      </c>
      <c r="F675" s="336">
        <v>43604</v>
      </c>
      <c r="G675" s="336">
        <v>43656</v>
      </c>
      <c r="H675" s="334" t="s">
        <v>2052</v>
      </c>
      <c r="I675" s="356">
        <v>13917760827</v>
      </c>
      <c r="J675" s="361" t="s">
        <v>2053</v>
      </c>
      <c r="K675" s="356">
        <v>4770</v>
      </c>
      <c r="L675" s="334">
        <v>5108</v>
      </c>
      <c r="M675" s="334">
        <v>536</v>
      </c>
      <c r="N675" s="362">
        <f t="shared" si="21"/>
        <v>5644</v>
      </c>
      <c r="O675" s="356"/>
      <c r="P675" s="356"/>
      <c r="Q675" s="356"/>
      <c r="R675" s="356"/>
      <c r="S675" s="356"/>
      <c r="T675" s="356"/>
      <c r="U675" s="372"/>
      <c r="V675" s="372"/>
      <c r="W675" s="372"/>
      <c r="X675" s="373"/>
      <c r="Y675" s="348"/>
      <c r="Z675" s="348"/>
      <c r="AA675" s="348"/>
    </row>
    <row r="676" s="331" customFormat="1" ht="17" customHeight="1" spans="1:27">
      <c r="A676" s="348"/>
      <c r="B676" s="348" t="s">
        <v>31</v>
      </c>
      <c r="C676" s="348" t="s">
        <v>419</v>
      </c>
      <c r="D676" s="349" t="s">
        <v>221</v>
      </c>
      <c r="E676" s="336">
        <v>43604</v>
      </c>
      <c r="F676" s="336">
        <v>43604</v>
      </c>
      <c r="G676" s="350"/>
      <c r="H676" s="334" t="s">
        <v>2054</v>
      </c>
      <c r="I676" s="356">
        <v>13601001954</v>
      </c>
      <c r="J676" s="361" t="s">
        <v>2055</v>
      </c>
      <c r="K676" s="356">
        <v>2000</v>
      </c>
      <c r="L676" s="362"/>
      <c r="M676" s="362"/>
      <c r="N676" s="362">
        <f t="shared" si="21"/>
        <v>0</v>
      </c>
      <c r="O676" s="356"/>
      <c r="P676" s="356"/>
      <c r="Q676" s="366" t="s">
        <v>52</v>
      </c>
      <c r="R676" s="366"/>
      <c r="S676" s="356"/>
      <c r="T676" s="356"/>
      <c r="U676" s="372"/>
      <c r="V676" s="372"/>
      <c r="W676" s="372"/>
      <c r="X676" s="373"/>
      <c r="Y676" s="348"/>
      <c r="Z676" s="348"/>
      <c r="AA676" s="348"/>
    </row>
    <row r="677" s="331" customFormat="1" ht="17" customHeight="1" spans="1:27">
      <c r="A677" s="550" t="s">
        <v>2056</v>
      </c>
      <c r="B677" s="348" t="s">
        <v>805</v>
      </c>
      <c r="C677" s="348" t="s">
        <v>806</v>
      </c>
      <c r="D677" s="352" t="s">
        <v>635</v>
      </c>
      <c r="E677" s="336"/>
      <c r="F677" s="336">
        <v>43603</v>
      </c>
      <c r="G677" s="350"/>
      <c r="H677" s="334" t="s">
        <v>2057</v>
      </c>
      <c r="I677" s="356">
        <v>13661637131</v>
      </c>
      <c r="J677" s="361" t="s">
        <v>2058</v>
      </c>
      <c r="K677" s="356">
        <v>500</v>
      </c>
      <c r="L677" s="362"/>
      <c r="M677" s="362"/>
      <c r="N677" s="362">
        <f t="shared" si="21"/>
        <v>0</v>
      </c>
      <c r="O677" s="356"/>
      <c r="P677" s="356"/>
      <c r="Q677" s="356"/>
      <c r="R677" s="356"/>
      <c r="S677" s="356"/>
      <c r="T677" s="356"/>
      <c r="U677" s="379">
        <v>6.2</v>
      </c>
      <c r="V677" s="372"/>
      <c r="W677" s="372"/>
      <c r="X677" s="373"/>
      <c r="Y677" s="348"/>
      <c r="Z677" s="348"/>
      <c r="AA677" s="348"/>
    </row>
    <row r="678" s="331" customFormat="1" ht="17" customHeight="1" spans="1:27">
      <c r="A678" s="348">
        <v>2067267</v>
      </c>
      <c r="B678" s="348" t="s">
        <v>805</v>
      </c>
      <c r="C678" s="348" t="s">
        <v>806</v>
      </c>
      <c r="D678" s="352" t="s">
        <v>635</v>
      </c>
      <c r="E678" s="336">
        <v>43604</v>
      </c>
      <c r="F678" s="336">
        <v>43601</v>
      </c>
      <c r="G678" s="350"/>
      <c r="H678" s="334" t="s">
        <v>2059</v>
      </c>
      <c r="I678" s="356">
        <v>18616028807</v>
      </c>
      <c r="J678" s="361" t="s">
        <v>2060</v>
      </c>
      <c r="K678" s="356">
        <v>1000</v>
      </c>
      <c r="L678" s="362"/>
      <c r="M678" s="362"/>
      <c r="N678" s="362">
        <f t="shared" si="21"/>
        <v>0</v>
      </c>
      <c r="O678" s="356"/>
      <c r="P678" s="356"/>
      <c r="Q678" s="356"/>
      <c r="R678" s="356"/>
      <c r="S678" s="356"/>
      <c r="T678" s="356"/>
      <c r="U678" s="379">
        <v>6.9</v>
      </c>
      <c r="V678" s="372"/>
      <c r="W678" s="372"/>
      <c r="X678" s="373"/>
      <c r="Y678" s="348" t="s">
        <v>2015</v>
      </c>
      <c r="Z678" s="348"/>
      <c r="AA678" s="348"/>
    </row>
    <row r="679" s="331" customFormat="1" ht="17" customHeight="1" spans="1:27">
      <c r="A679" s="348">
        <v>2022945</v>
      </c>
      <c r="B679" s="348" t="s">
        <v>243</v>
      </c>
      <c r="C679" s="348" t="s">
        <v>498</v>
      </c>
      <c r="D679" s="352" t="s">
        <v>49</v>
      </c>
      <c r="E679" s="336">
        <v>43694</v>
      </c>
      <c r="F679" s="336">
        <v>43604</v>
      </c>
      <c r="G679" s="336">
        <v>43692</v>
      </c>
      <c r="H679" s="334" t="s">
        <v>2061</v>
      </c>
      <c r="I679" s="356">
        <v>13918747149</v>
      </c>
      <c r="J679" s="361" t="s">
        <v>2062</v>
      </c>
      <c r="K679" s="356">
        <v>3000</v>
      </c>
      <c r="L679" s="334">
        <v>13900</v>
      </c>
      <c r="M679" s="362"/>
      <c r="N679" s="362">
        <f t="shared" si="21"/>
        <v>13900</v>
      </c>
      <c r="O679" s="356"/>
      <c r="P679" s="356"/>
      <c r="Q679" s="356"/>
      <c r="R679" s="356"/>
      <c r="S679" s="356" t="s">
        <v>52</v>
      </c>
      <c r="T679" s="356"/>
      <c r="U679" s="372"/>
      <c r="V679" s="372"/>
      <c r="W679" s="372"/>
      <c r="X679" s="373"/>
      <c r="Y679" s="348"/>
      <c r="Z679" s="348"/>
      <c r="AA679" s="348"/>
    </row>
    <row r="680" s="331" customFormat="1" ht="17" customHeight="1" spans="1:27">
      <c r="A680" s="550" t="s">
        <v>2063</v>
      </c>
      <c r="B680" s="348" t="s">
        <v>94</v>
      </c>
      <c r="C680" s="348" t="s">
        <v>101</v>
      </c>
      <c r="D680" s="352" t="s">
        <v>49</v>
      </c>
      <c r="E680" s="336">
        <v>43604</v>
      </c>
      <c r="F680" s="336">
        <v>43604</v>
      </c>
      <c r="G680" s="336">
        <v>43660</v>
      </c>
      <c r="H680" s="334" t="s">
        <v>2064</v>
      </c>
      <c r="I680" s="356">
        <v>13636681376</v>
      </c>
      <c r="J680" s="361" t="s">
        <v>2065</v>
      </c>
      <c r="K680" s="356">
        <v>3000</v>
      </c>
      <c r="L680" s="334">
        <v>18736</v>
      </c>
      <c r="M680" s="334"/>
      <c r="N680" s="362">
        <f t="shared" si="21"/>
        <v>18736</v>
      </c>
      <c r="O680" s="356"/>
      <c r="P680" s="356"/>
      <c r="Q680" s="356"/>
      <c r="R680" s="356"/>
      <c r="S680" s="356"/>
      <c r="T680" s="356"/>
      <c r="U680" s="372"/>
      <c r="V680" s="372"/>
      <c r="W680" s="372"/>
      <c r="X680" s="373"/>
      <c r="Y680" s="348"/>
      <c r="Z680" s="348"/>
      <c r="AA680" s="348"/>
    </row>
    <row r="681" s="331" customFormat="1" ht="17" customHeight="1" spans="1:27">
      <c r="A681" s="348">
        <v>2027558</v>
      </c>
      <c r="B681" s="348" t="s">
        <v>73</v>
      </c>
      <c r="C681" s="348" t="s">
        <v>74</v>
      </c>
      <c r="D681" s="349" t="s">
        <v>717</v>
      </c>
      <c r="E681" s="336">
        <v>43605</v>
      </c>
      <c r="F681" s="336">
        <v>43604</v>
      </c>
      <c r="G681" s="336">
        <v>43659</v>
      </c>
      <c r="H681" s="351" t="s">
        <v>2066</v>
      </c>
      <c r="I681" s="356">
        <v>13601903436</v>
      </c>
      <c r="J681" s="361" t="s">
        <v>2067</v>
      </c>
      <c r="K681" s="356">
        <v>1000</v>
      </c>
      <c r="L681" s="334">
        <v>18966</v>
      </c>
      <c r="M681" s="334"/>
      <c r="N681" s="362">
        <f t="shared" si="21"/>
        <v>18966</v>
      </c>
      <c r="O681" s="356"/>
      <c r="P681" s="356"/>
      <c r="Q681" s="356"/>
      <c r="R681" s="356"/>
      <c r="S681" s="356"/>
      <c r="T681" s="356"/>
      <c r="U681" s="372"/>
      <c r="V681" s="372"/>
      <c r="W681" s="372"/>
      <c r="X681" s="373"/>
      <c r="Y681" s="348"/>
      <c r="Z681" s="348" t="s">
        <v>79</v>
      </c>
      <c r="AA681" s="348"/>
    </row>
    <row r="682" s="331" customFormat="1" ht="17" customHeight="1" spans="1:27">
      <c r="A682" s="348">
        <v>2027560</v>
      </c>
      <c r="B682" s="348" t="s">
        <v>73</v>
      </c>
      <c r="C682" s="348" t="s">
        <v>74</v>
      </c>
      <c r="D682" s="349" t="s">
        <v>717</v>
      </c>
      <c r="E682" s="336">
        <v>43605</v>
      </c>
      <c r="F682" s="336">
        <v>43604</v>
      </c>
      <c r="G682" s="336">
        <v>43672</v>
      </c>
      <c r="H682" s="351" t="s">
        <v>2068</v>
      </c>
      <c r="I682" s="356" t="s">
        <v>2069</v>
      </c>
      <c r="J682" s="361" t="s">
        <v>2070</v>
      </c>
      <c r="K682" s="356">
        <v>1000</v>
      </c>
      <c r="L682" s="334">
        <v>17981</v>
      </c>
      <c r="M682" s="334">
        <v>1799</v>
      </c>
      <c r="N682" s="362">
        <f t="shared" si="21"/>
        <v>19780</v>
      </c>
      <c r="O682" s="356"/>
      <c r="Q682" s="356"/>
      <c r="R682" s="366" t="s">
        <v>52</v>
      </c>
      <c r="S682" s="356"/>
      <c r="T682" s="356"/>
      <c r="U682" s="372"/>
      <c r="V682" s="372"/>
      <c r="W682" s="372"/>
      <c r="X682" s="373"/>
      <c r="Y682" s="348"/>
      <c r="Z682" s="348" t="s">
        <v>79</v>
      </c>
      <c r="AA682" s="348"/>
    </row>
    <row r="683" s="331" customFormat="1" ht="17" customHeight="1" spans="1:27">
      <c r="A683" s="348">
        <v>2027559</v>
      </c>
      <c r="B683" s="348" t="s">
        <v>73</v>
      </c>
      <c r="C683" s="348" t="s">
        <v>74</v>
      </c>
      <c r="D683" s="349" t="s">
        <v>132</v>
      </c>
      <c r="E683" s="336">
        <v>43605</v>
      </c>
      <c r="F683" s="336">
        <v>43604</v>
      </c>
      <c r="G683" s="336">
        <v>43659</v>
      </c>
      <c r="H683" s="351" t="s">
        <v>2071</v>
      </c>
      <c r="I683" s="356">
        <v>15021330985</v>
      </c>
      <c r="J683" s="361" t="s">
        <v>2072</v>
      </c>
      <c r="K683" s="356">
        <v>1000</v>
      </c>
      <c r="L683" s="334">
        <v>10638</v>
      </c>
      <c r="M683" s="334"/>
      <c r="N683" s="362">
        <f t="shared" si="21"/>
        <v>10638</v>
      </c>
      <c r="O683" s="356"/>
      <c r="Q683" s="356"/>
      <c r="R683" s="356"/>
      <c r="S683" s="356"/>
      <c r="T683" s="356"/>
      <c r="U683" s="372"/>
      <c r="V683" s="372"/>
      <c r="W683" s="372"/>
      <c r="X683" s="373"/>
      <c r="Y683" s="348"/>
      <c r="Z683" s="348" t="s">
        <v>79</v>
      </c>
      <c r="AA683" s="348"/>
    </row>
    <row r="684" s="331" customFormat="1" ht="17" customHeight="1" spans="1:27">
      <c r="A684" s="348"/>
      <c r="B684" s="348" t="s">
        <v>66</v>
      </c>
      <c r="C684" s="348" t="s">
        <v>67</v>
      </c>
      <c r="D684" s="349" t="s">
        <v>44</v>
      </c>
      <c r="E684" s="336">
        <v>43605</v>
      </c>
      <c r="F684" s="336">
        <v>43604</v>
      </c>
      <c r="G684" s="336">
        <v>43673</v>
      </c>
      <c r="H684" s="351" t="s">
        <v>2073</v>
      </c>
      <c r="I684" s="356">
        <v>13918843322</v>
      </c>
      <c r="J684" s="361" t="s">
        <v>2074</v>
      </c>
      <c r="K684" s="356">
        <v>3000</v>
      </c>
      <c r="L684" s="334">
        <v>28756</v>
      </c>
      <c r="M684" s="362"/>
      <c r="N684" s="362">
        <f t="shared" si="21"/>
        <v>28756</v>
      </c>
      <c r="O684" s="356"/>
      <c r="Q684" s="356"/>
      <c r="R684" s="356" t="s">
        <v>2075</v>
      </c>
      <c r="S684" s="356"/>
      <c r="T684" s="356"/>
      <c r="U684" s="336" t="s">
        <v>40</v>
      </c>
      <c r="V684" s="372"/>
      <c r="W684" s="372"/>
      <c r="X684" s="373"/>
      <c r="Y684" s="348"/>
      <c r="Z684" s="348"/>
      <c r="AA684" s="348"/>
    </row>
    <row r="685" s="57" customFormat="1" ht="17" customHeight="1" spans="1:27">
      <c r="A685" s="348">
        <v>2026746</v>
      </c>
      <c r="B685" s="348" t="s">
        <v>137</v>
      </c>
      <c r="C685" s="348" t="s">
        <v>411</v>
      </c>
      <c r="D685" s="349" t="s">
        <v>427</v>
      </c>
      <c r="E685" s="336">
        <v>43605</v>
      </c>
      <c r="F685" s="336">
        <v>43604</v>
      </c>
      <c r="G685" s="350"/>
      <c r="H685" s="351" t="s">
        <v>2076</v>
      </c>
      <c r="I685" s="356">
        <v>13641696913</v>
      </c>
      <c r="J685" s="348" t="s">
        <v>2077</v>
      </c>
      <c r="K685" s="356">
        <v>5000</v>
      </c>
      <c r="L685" s="362"/>
      <c r="M685" s="362"/>
      <c r="N685" s="362">
        <f t="shared" si="21"/>
        <v>0</v>
      </c>
      <c r="O685" s="356"/>
      <c r="Q685" s="356"/>
      <c r="R685" s="356"/>
      <c r="S685" s="356">
        <v>1</v>
      </c>
      <c r="T685" s="356"/>
      <c r="U685" s="372" t="s">
        <v>12</v>
      </c>
      <c r="V685" s="372"/>
      <c r="W685" s="372"/>
      <c r="X685" s="373"/>
      <c r="Y685" s="348" t="s">
        <v>1329</v>
      </c>
      <c r="Z685" s="348"/>
      <c r="AA685" s="348"/>
    </row>
    <row r="686" s="331" customFormat="1" ht="17" customHeight="1" spans="1:27">
      <c r="A686" s="550" t="s">
        <v>2078</v>
      </c>
      <c r="B686" s="348" t="s">
        <v>153</v>
      </c>
      <c r="C686" s="348" t="s">
        <v>154</v>
      </c>
      <c r="D686" s="349" t="s">
        <v>155</v>
      </c>
      <c r="E686" s="336">
        <v>43640</v>
      </c>
      <c r="F686" s="336">
        <v>43640</v>
      </c>
      <c r="G686" s="336">
        <v>43675</v>
      </c>
      <c r="H686" s="334" t="s">
        <v>2079</v>
      </c>
      <c r="I686" s="356">
        <v>13818636763</v>
      </c>
      <c r="J686" s="361" t="s">
        <v>2080</v>
      </c>
      <c r="K686" s="356">
        <f>10000+3000</f>
        <v>13000</v>
      </c>
      <c r="L686" s="334">
        <v>12739</v>
      </c>
      <c r="M686" s="362"/>
      <c r="N686" s="362">
        <f t="shared" si="21"/>
        <v>12739</v>
      </c>
      <c r="O686" s="356"/>
      <c r="Q686" s="356"/>
      <c r="R686" s="356" t="s">
        <v>219</v>
      </c>
      <c r="S686" s="356"/>
      <c r="T686" s="356"/>
      <c r="U686" s="372"/>
      <c r="V686" s="372"/>
      <c r="W686" s="372"/>
      <c r="X686" s="373"/>
      <c r="Y686" s="348"/>
      <c r="Z686" s="348"/>
      <c r="AA686" s="348"/>
    </row>
    <row r="687" s="331" customFormat="1" ht="15" customHeight="1" spans="1:27">
      <c r="A687" s="550" t="s">
        <v>2081</v>
      </c>
      <c r="B687" s="348" t="s">
        <v>58</v>
      </c>
      <c r="C687" s="348" t="s">
        <v>109</v>
      </c>
      <c r="D687" s="352" t="s">
        <v>110</v>
      </c>
      <c r="E687" s="336">
        <v>43605</v>
      </c>
      <c r="F687" s="336">
        <v>43604</v>
      </c>
      <c r="G687" s="350"/>
      <c r="H687" s="351" t="s">
        <v>2082</v>
      </c>
      <c r="I687" s="356">
        <v>13671903470</v>
      </c>
      <c r="J687" s="361" t="s">
        <v>2083</v>
      </c>
      <c r="K687" s="356">
        <v>5000</v>
      </c>
      <c r="L687" s="362"/>
      <c r="M687" s="362"/>
      <c r="N687" s="362">
        <f t="shared" si="21"/>
        <v>0</v>
      </c>
      <c r="O687" s="366" t="s">
        <v>52</v>
      </c>
      <c r="Q687" s="356"/>
      <c r="R687" s="356"/>
      <c r="S687" s="356"/>
      <c r="T687" s="356"/>
      <c r="U687" s="393" t="s">
        <v>40</v>
      </c>
      <c r="V687" s="372"/>
      <c r="W687" s="372"/>
      <c r="X687" s="373"/>
      <c r="Y687" s="348"/>
      <c r="Z687" s="348"/>
      <c r="AA687" s="348"/>
    </row>
    <row r="688" s="331" customFormat="1" ht="17" customHeight="1" spans="1:27">
      <c r="A688" s="348">
        <v>2023085</v>
      </c>
      <c r="B688" s="348" t="s">
        <v>58</v>
      </c>
      <c r="C688" s="348" t="s">
        <v>271</v>
      </c>
      <c r="D688" s="352" t="s">
        <v>271</v>
      </c>
      <c r="E688" s="336">
        <v>43605</v>
      </c>
      <c r="F688" s="336">
        <v>43604</v>
      </c>
      <c r="G688" s="336">
        <v>43666</v>
      </c>
      <c r="H688" s="334" t="s">
        <v>2084</v>
      </c>
      <c r="I688" s="356">
        <v>13917631039</v>
      </c>
      <c r="J688" s="361" t="s">
        <v>2085</v>
      </c>
      <c r="K688" s="356">
        <v>5000</v>
      </c>
      <c r="L688" s="334">
        <v>6025</v>
      </c>
      <c r="M688" s="362"/>
      <c r="N688" s="362">
        <f t="shared" si="21"/>
        <v>6025</v>
      </c>
      <c r="O688" s="356"/>
      <c r="Q688" s="356"/>
      <c r="R688" s="356"/>
      <c r="S688" s="356"/>
      <c r="T688" s="356"/>
      <c r="U688" s="372"/>
      <c r="V688" s="372"/>
      <c r="W688" s="372"/>
      <c r="X688" s="373"/>
      <c r="Y688" s="348"/>
      <c r="Z688" s="348"/>
      <c r="AA688" s="348"/>
    </row>
    <row r="689" s="331" customFormat="1" customHeight="1" spans="1:27">
      <c r="A689" s="550" t="s">
        <v>2086</v>
      </c>
      <c r="B689" s="348" t="s">
        <v>236</v>
      </c>
      <c r="C689" s="348" t="s">
        <v>195</v>
      </c>
      <c r="D689" s="352" t="s">
        <v>237</v>
      </c>
      <c r="E689" s="336">
        <v>43605</v>
      </c>
      <c r="F689" s="336">
        <v>43604</v>
      </c>
      <c r="G689" s="350"/>
      <c r="H689" s="334" t="s">
        <v>2087</v>
      </c>
      <c r="I689" s="356">
        <v>13262800758</v>
      </c>
      <c r="J689" s="361" t="s">
        <v>2088</v>
      </c>
      <c r="K689" s="356">
        <v>1000</v>
      </c>
      <c r="L689" s="362"/>
      <c r="M689" s="362"/>
      <c r="N689" s="362">
        <f t="shared" si="21"/>
        <v>0</v>
      </c>
      <c r="O689" s="356" t="s">
        <v>19</v>
      </c>
      <c r="Q689" s="356"/>
      <c r="R689" s="356"/>
      <c r="S689" s="356"/>
      <c r="T689" s="356"/>
      <c r="U689" s="372"/>
      <c r="V689" s="372"/>
      <c r="W689" s="372"/>
      <c r="X689" s="373"/>
      <c r="Y689" s="348" t="s">
        <v>1329</v>
      </c>
      <c r="Z689" s="348"/>
      <c r="AA689" s="348"/>
    </row>
    <row r="690" s="331" customFormat="1" ht="17" customHeight="1" spans="1:27">
      <c r="A690" s="550" t="s">
        <v>2089</v>
      </c>
      <c r="B690" s="348" t="s">
        <v>236</v>
      </c>
      <c r="C690" s="348" t="s">
        <v>703</v>
      </c>
      <c r="D690" s="352" t="s">
        <v>125</v>
      </c>
      <c r="E690" s="336">
        <v>43685</v>
      </c>
      <c r="F690" s="336">
        <v>43604</v>
      </c>
      <c r="G690" s="336">
        <v>43684</v>
      </c>
      <c r="H690" s="351" t="s">
        <v>2090</v>
      </c>
      <c r="I690" s="356">
        <v>13764204351</v>
      </c>
      <c r="J690" s="361" t="s">
        <v>2091</v>
      </c>
      <c r="K690" s="356">
        <v>1000</v>
      </c>
      <c r="L690" s="334">
        <v>16143</v>
      </c>
      <c r="M690" s="362"/>
      <c r="N690" s="362">
        <f t="shared" si="21"/>
        <v>16143</v>
      </c>
      <c r="O690" s="356"/>
      <c r="Q690" s="356" t="s">
        <v>21</v>
      </c>
      <c r="R690" s="356"/>
      <c r="S690" s="356"/>
      <c r="T690" s="356"/>
      <c r="U690" s="372"/>
      <c r="V690" s="372"/>
      <c r="W690" s="372"/>
      <c r="X690" s="373"/>
      <c r="Y690" s="348" t="s">
        <v>1329</v>
      </c>
      <c r="Z690" s="348"/>
      <c r="AA690" s="348"/>
    </row>
    <row r="691" s="331" customFormat="1" ht="17" customHeight="1" spans="1:27">
      <c r="A691" s="550" t="s">
        <v>2092</v>
      </c>
      <c r="B691" s="348" t="s">
        <v>160</v>
      </c>
      <c r="C691" s="348" t="s">
        <v>161</v>
      </c>
      <c r="D691" s="349" t="s">
        <v>162</v>
      </c>
      <c r="E691" s="336">
        <v>43605</v>
      </c>
      <c r="F691" s="336">
        <v>43604</v>
      </c>
      <c r="G691" s="350" t="s">
        <v>69</v>
      </c>
      <c r="H691" s="334" t="s">
        <v>2093</v>
      </c>
      <c r="I691" s="356">
        <v>18019287880</v>
      </c>
      <c r="J691" s="361" t="s">
        <v>2094</v>
      </c>
      <c r="K691" s="356">
        <v>1000</v>
      </c>
      <c r="L691" s="362"/>
      <c r="M691" s="362"/>
      <c r="N691" s="362">
        <f t="shared" si="21"/>
        <v>0</v>
      </c>
      <c r="O691" s="356"/>
      <c r="Q691" s="356"/>
      <c r="R691" s="356"/>
      <c r="S691" s="356">
        <v>1</v>
      </c>
      <c r="T691" s="356"/>
      <c r="U691" s="372"/>
      <c r="V691" s="372"/>
      <c r="W691" s="372"/>
      <c r="X691" s="373"/>
      <c r="Y691" s="348"/>
      <c r="Z691" s="348"/>
      <c r="AA691" s="348"/>
    </row>
    <row r="692" s="331" customFormat="1" ht="15" customHeight="1" spans="1:27">
      <c r="A692" s="550" t="s">
        <v>1194</v>
      </c>
      <c r="B692" s="348" t="s">
        <v>58</v>
      </c>
      <c r="C692" s="348" t="s">
        <v>342</v>
      </c>
      <c r="D692" s="352" t="s">
        <v>343</v>
      </c>
      <c r="E692" s="336">
        <v>43605</v>
      </c>
      <c r="F692" s="336">
        <v>43604</v>
      </c>
      <c r="G692" s="350">
        <v>43708</v>
      </c>
      <c r="H692" s="334" t="s">
        <v>2095</v>
      </c>
      <c r="I692" s="356">
        <v>18818264136</v>
      </c>
      <c r="J692" s="361" t="s">
        <v>2096</v>
      </c>
      <c r="K692" s="356">
        <v>1000</v>
      </c>
      <c r="L692" s="362"/>
      <c r="M692" s="362"/>
      <c r="N692" s="362">
        <f t="shared" si="21"/>
        <v>0</v>
      </c>
      <c r="O692" s="356"/>
      <c r="Q692" s="366"/>
      <c r="R692" s="366" t="s">
        <v>52</v>
      </c>
      <c r="S692" s="356"/>
      <c r="T692" s="356"/>
      <c r="U692" s="372"/>
      <c r="V692" s="372"/>
      <c r="W692" s="372"/>
      <c r="X692" s="373"/>
      <c r="Y692" s="348"/>
      <c r="Z692" s="348"/>
      <c r="AA692" s="348"/>
    </row>
    <row r="693" s="331" customFormat="1" ht="17" customHeight="1" spans="1:27">
      <c r="A693" s="550" t="s">
        <v>2097</v>
      </c>
      <c r="B693" s="348" t="s">
        <v>58</v>
      </c>
      <c r="C693" s="348" t="s">
        <v>342</v>
      </c>
      <c r="D693" s="349" t="s">
        <v>110</v>
      </c>
      <c r="E693" s="336">
        <v>43605</v>
      </c>
      <c r="F693" s="336">
        <v>43604</v>
      </c>
      <c r="G693" s="336">
        <v>43648</v>
      </c>
      <c r="H693" s="334" t="s">
        <v>2098</v>
      </c>
      <c r="I693" s="356">
        <v>13816211799</v>
      </c>
      <c r="J693" s="361" t="s">
        <v>2099</v>
      </c>
      <c r="K693" s="356">
        <v>3000</v>
      </c>
      <c r="L693" s="334">
        <v>6342</v>
      </c>
      <c r="M693" s="362"/>
      <c r="N693" s="362">
        <f t="shared" si="21"/>
        <v>6342</v>
      </c>
      <c r="O693" s="356"/>
      <c r="Q693" s="356"/>
      <c r="R693" s="356"/>
      <c r="S693" s="356"/>
      <c r="T693" s="356"/>
      <c r="U693" s="372"/>
      <c r="V693" s="372"/>
      <c r="W693" s="372"/>
      <c r="X693" s="373"/>
      <c r="Y693" s="348" t="s">
        <v>1994</v>
      </c>
      <c r="Z693" s="348"/>
      <c r="AA693" s="348"/>
    </row>
    <row r="694" s="331" customFormat="1" ht="17" customHeight="1" spans="1:27">
      <c r="A694" s="550" t="s">
        <v>2100</v>
      </c>
      <c r="B694" s="348" t="s">
        <v>35</v>
      </c>
      <c r="C694" s="348" t="s">
        <v>328</v>
      </c>
      <c r="D694" s="352" t="s">
        <v>37</v>
      </c>
      <c r="E694" s="336">
        <v>43695</v>
      </c>
      <c r="F694" s="336">
        <v>43604</v>
      </c>
      <c r="G694" s="336">
        <v>43695</v>
      </c>
      <c r="H694" s="334" t="s">
        <v>2101</v>
      </c>
      <c r="I694" s="356">
        <v>13816533645</v>
      </c>
      <c r="J694" s="361" t="s">
        <v>2102</v>
      </c>
      <c r="K694" s="356">
        <v>1000</v>
      </c>
      <c r="L694" s="334">
        <v>26376</v>
      </c>
      <c r="M694" s="362"/>
      <c r="N694" s="362">
        <f t="shared" si="21"/>
        <v>26376</v>
      </c>
      <c r="O694" s="356" t="s">
        <v>52</v>
      </c>
      <c r="Q694" s="356"/>
      <c r="R694" s="356"/>
      <c r="S694" s="356"/>
      <c r="T694" s="356"/>
      <c r="U694" s="372"/>
      <c r="V694" s="372"/>
      <c r="W694" s="372"/>
      <c r="X694" s="373"/>
      <c r="Y694" s="348"/>
      <c r="Z694" s="348"/>
      <c r="AA694" s="348"/>
    </row>
    <row r="695" s="331" customFormat="1" ht="17" customHeight="1" spans="1:27">
      <c r="A695" s="348">
        <v>2022246</v>
      </c>
      <c r="B695" s="348" t="s">
        <v>35</v>
      </c>
      <c r="C695" s="348" t="s">
        <v>392</v>
      </c>
      <c r="D695" s="349" t="s">
        <v>187</v>
      </c>
      <c r="E695" s="336">
        <v>43605</v>
      </c>
      <c r="F695" s="336">
        <v>43604</v>
      </c>
      <c r="G695" s="336">
        <v>43675</v>
      </c>
      <c r="H695" s="334" t="s">
        <v>2103</v>
      </c>
      <c r="I695" s="356">
        <v>13621669828</v>
      </c>
      <c r="J695" s="361" t="s">
        <v>2104</v>
      </c>
      <c r="K695" s="356">
        <v>1000</v>
      </c>
      <c r="L695" s="334">
        <v>28133</v>
      </c>
      <c r="M695" s="362"/>
      <c r="N695" s="362">
        <f t="shared" si="21"/>
        <v>28133</v>
      </c>
      <c r="O695" s="356"/>
      <c r="Q695" s="356"/>
      <c r="R695" s="356" t="s">
        <v>52</v>
      </c>
      <c r="S695" s="356"/>
      <c r="T695" s="356"/>
      <c r="U695" s="372"/>
      <c r="V695" s="372"/>
      <c r="W695" s="372"/>
      <c r="X695" s="373"/>
      <c r="Y695" s="348" t="s">
        <v>1329</v>
      </c>
      <c r="Z695" s="348"/>
      <c r="AA695" s="348"/>
    </row>
    <row r="696" s="331" customFormat="1" ht="17" customHeight="1" spans="1:27">
      <c r="A696" s="348">
        <v>2023084</v>
      </c>
      <c r="B696" s="348" t="s">
        <v>58</v>
      </c>
      <c r="C696" s="348" t="s">
        <v>59</v>
      </c>
      <c r="D696" s="349" t="s">
        <v>343</v>
      </c>
      <c r="E696" s="336">
        <v>43605</v>
      </c>
      <c r="F696" s="336">
        <v>43604</v>
      </c>
      <c r="G696" s="336">
        <v>43662</v>
      </c>
      <c r="H696" s="334" t="s">
        <v>2105</v>
      </c>
      <c r="I696" s="356">
        <v>13564891893</v>
      </c>
      <c r="J696" s="361" t="s">
        <v>2106</v>
      </c>
      <c r="K696" s="356">
        <v>5000</v>
      </c>
      <c r="L696" s="334">
        <v>9829</v>
      </c>
      <c r="M696" s="334"/>
      <c r="N696" s="362">
        <f t="shared" si="21"/>
        <v>9829</v>
      </c>
      <c r="O696" s="356"/>
      <c r="Q696" s="356"/>
      <c r="R696" s="356"/>
      <c r="S696" s="356"/>
      <c r="T696" s="356"/>
      <c r="U696" s="372"/>
      <c r="V696" s="372"/>
      <c r="W696" s="372"/>
      <c r="X696" s="373"/>
      <c r="Y696" s="348"/>
      <c r="Z696" s="348"/>
      <c r="AA696" s="348"/>
    </row>
    <row r="697" s="331" customFormat="1" ht="17" customHeight="1" spans="1:27">
      <c r="A697" s="348"/>
      <c r="B697" s="348" t="s">
        <v>130</v>
      </c>
      <c r="C697" s="348" t="s">
        <v>131</v>
      </c>
      <c r="D697" s="352" t="s">
        <v>182</v>
      </c>
      <c r="E697" s="336">
        <v>43582</v>
      </c>
      <c r="F697" s="336">
        <v>43581</v>
      </c>
      <c r="G697" s="350"/>
      <c r="H697" s="334" t="s">
        <v>1986</v>
      </c>
      <c r="I697" s="356">
        <v>13818859420</v>
      </c>
      <c r="J697" s="361" t="s">
        <v>2107</v>
      </c>
      <c r="K697" s="356">
        <v>500</v>
      </c>
      <c r="L697" s="362"/>
      <c r="M697" s="362"/>
      <c r="N697" s="362">
        <f t="shared" si="21"/>
        <v>0</v>
      </c>
      <c r="O697" s="356"/>
      <c r="Q697" s="356"/>
      <c r="R697" s="356"/>
      <c r="S697" s="356"/>
      <c r="T697" s="356"/>
      <c r="U697" s="372" t="s">
        <v>136</v>
      </c>
      <c r="V697" s="372"/>
      <c r="W697" s="372"/>
      <c r="X697" s="373"/>
      <c r="Y697" s="348" t="s">
        <v>2108</v>
      </c>
      <c r="Z697" s="348"/>
      <c r="AA697" s="348"/>
    </row>
    <row r="698" s="331" customFormat="1" ht="17" customHeight="1" spans="1:27">
      <c r="A698" s="348">
        <v>2024304</v>
      </c>
      <c r="B698" s="348" t="s">
        <v>137</v>
      </c>
      <c r="C698" s="348" t="s">
        <v>411</v>
      </c>
      <c r="D698" s="349" t="s">
        <v>427</v>
      </c>
      <c r="E698" s="336">
        <v>43605</v>
      </c>
      <c r="F698" s="336">
        <v>43604</v>
      </c>
      <c r="G698" s="350"/>
      <c r="H698" s="334" t="s">
        <v>2109</v>
      </c>
      <c r="I698" s="356">
        <v>13818750842</v>
      </c>
      <c r="J698" s="361" t="s">
        <v>2110</v>
      </c>
      <c r="K698" s="356">
        <v>1000</v>
      </c>
      <c r="L698" s="362"/>
      <c r="M698" s="362"/>
      <c r="N698" s="362">
        <f t="shared" si="21"/>
        <v>0</v>
      </c>
      <c r="O698" s="356"/>
      <c r="P698" s="356"/>
      <c r="Q698" s="356"/>
      <c r="R698" s="356"/>
      <c r="S698" s="356">
        <v>1</v>
      </c>
      <c r="T698" s="356"/>
      <c r="U698" s="408" t="s">
        <v>2111</v>
      </c>
      <c r="V698" s="372"/>
      <c r="W698" s="372"/>
      <c r="X698" s="373"/>
      <c r="Y698" s="348" t="s">
        <v>1329</v>
      </c>
      <c r="Z698" s="348"/>
      <c r="AA698" s="348"/>
    </row>
    <row r="699" s="331" customFormat="1" ht="17" customHeight="1" spans="1:27">
      <c r="A699" s="348"/>
      <c r="B699" s="348" t="s">
        <v>42</v>
      </c>
      <c r="C699" s="348" t="s">
        <v>43</v>
      </c>
      <c r="D699" s="349" t="s">
        <v>125</v>
      </c>
      <c r="E699" s="336">
        <v>43605</v>
      </c>
      <c r="F699" s="336">
        <v>43601</v>
      </c>
      <c r="G699" s="336">
        <v>43673</v>
      </c>
      <c r="H699" s="334" t="s">
        <v>2112</v>
      </c>
      <c r="I699" s="356">
        <v>15821772930</v>
      </c>
      <c r="J699" s="361" t="s">
        <v>2113</v>
      </c>
      <c r="K699" s="356">
        <v>1000</v>
      </c>
      <c r="L699" s="334">
        <v>8971</v>
      </c>
      <c r="M699" s="362"/>
      <c r="N699" s="362">
        <f t="shared" si="21"/>
        <v>8971</v>
      </c>
      <c r="O699" s="356"/>
      <c r="P699" s="391" t="s">
        <v>2114</v>
      </c>
      <c r="Q699" s="391"/>
      <c r="R699" s="356"/>
      <c r="S699" s="356"/>
      <c r="T699" s="356"/>
      <c r="U699" s="372"/>
      <c r="V699" s="372"/>
      <c r="W699" s="372"/>
      <c r="X699" s="373"/>
      <c r="Y699" s="348"/>
      <c r="Z699" s="348"/>
      <c r="AA699" s="348"/>
    </row>
    <row r="700" s="331" customFormat="1" ht="17" customHeight="1" spans="1:27">
      <c r="A700" s="550" t="s">
        <v>2115</v>
      </c>
      <c r="B700" s="348" t="s">
        <v>185</v>
      </c>
      <c r="C700" s="348" t="s">
        <v>186</v>
      </c>
      <c r="D700" s="349" t="s">
        <v>187</v>
      </c>
      <c r="E700" s="336">
        <v>43605</v>
      </c>
      <c r="F700" s="336">
        <v>43605</v>
      </c>
      <c r="G700" s="350"/>
      <c r="H700" s="334" t="s">
        <v>2116</v>
      </c>
      <c r="I700" s="356">
        <v>13916427168</v>
      </c>
      <c r="J700" s="361" t="s">
        <v>2117</v>
      </c>
      <c r="K700" s="356">
        <v>1000</v>
      </c>
      <c r="L700" s="362"/>
      <c r="M700" s="362"/>
      <c r="N700" s="362">
        <f t="shared" si="21"/>
        <v>0</v>
      </c>
      <c r="O700" s="356" t="s">
        <v>52</v>
      </c>
      <c r="Q700" s="356"/>
      <c r="R700" s="356"/>
      <c r="S700" s="356"/>
      <c r="T700" s="356"/>
      <c r="U700" s="372"/>
      <c r="V700" s="372"/>
      <c r="W700" s="372"/>
      <c r="X700" s="373">
        <v>1</v>
      </c>
      <c r="Y700" s="348"/>
      <c r="Z700" s="348"/>
      <c r="AA700" s="348"/>
    </row>
    <row r="701" s="331" customFormat="1" ht="17" customHeight="1" spans="1:27">
      <c r="A701" s="348">
        <v>2023385</v>
      </c>
      <c r="B701" s="348" t="s">
        <v>243</v>
      </c>
      <c r="C701" s="348" t="s">
        <v>244</v>
      </c>
      <c r="D701" s="352" t="s">
        <v>49</v>
      </c>
      <c r="E701" s="336">
        <v>43605</v>
      </c>
      <c r="F701" s="336">
        <v>43604</v>
      </c>
      <c r="G701" s="350"/>
      <c r="H701" s="334" t="s">
        <v>2118</v>
      </c>
      <c r="I701" s="356">
        <v>18930989280</v>
      </c>
      <c r="J701" s="361" t="s">
        <v>2119</v>
      </c>
      <c r="K701" s="356">
        <v>3000</v>
      </c>
      <c r="L701" s="362"/>
      <c r="M701" s="362"/>
      <c r="N701" s="362">
        <f t="shared" si="21"/>
        <v>0</v>
      </c>
      <c r="O701" s="356"/>
      <c r="Q701" s="356"/>
      <c r="R701" s="356"/>
      <c r="S701" s="356"/>
      <c r="T701" s="356"/>
      <c r="U701" s="372" t="s">
        <v>1348</v>
      </c>
      <c r="V701" s="372"/>
      <c r="W701" s="372"/>
      <c r="X701" s="373"/>
      <c r="Y701" s="348"/>
      <c r="Z701" s="348"/>
      <c r="AA701" s="348"/>
    </row>
    <row r="702" s="331" customFormat="1" ht="17" customHeight="1" spans="1:27">
      <c r="A702" s="550" t="s">
        <v>2120</v>
      </c>
      <c r="B702" s="348" t="s">
        <v>130</v>
      </c>
      <c r="C702" s="348" t="s">
        <v>366</v>
      </c>
      <c r="D702" s="352" t="s">
        <v>132</v>
      </c>
      <c r="E702" s="336">
        <v>43606</v>
      </c>
      <c r="F702" s="336">
        <v>43606</v>
      </c>
      <c r="G702" s="350"/>
      <c r="H702" s="334" t="s">
        <v>2121</v>
      </c>
      <c r="I702" s="356">
        <v>18516186073</v>
      </c>
      <c r="J702" s="361" t="s">
        <v>2122</v>
      </c>
      <c r="K702" s="356">
        <v>1998</v>
      </c>
      <c r="L702" s="362"/>
      <c r="M702" s="362"/>
      <c r="N702" s="362">
        <f t="shared" si="21"/>
        <v>0</v>
      </c>
      <c r="O702" s="356"/>
      <c r="Q702" s="356"/>
      <c r="R702" s="356"/>
      <c r="S702" s="356"/>
      <c r="T702" s="356"/>
      <c r="U702" s="372" t="s">
        <v>136</v>
      </c>
      <c r="V702" s="372"/>
      <c r="W702" s="372"/>
      <c r="X702" s="373"/>
      <c r="Y702" s="348"/>
      <c r="Z702" s="348"/>
      <c r="AA702" s="348"/>
    </row>
    <row r="703" s="331" customFormat="1" ht="17" customHeight="1" spans="1:27">
      <c r="A703" s="348"/>
      <c r="B703" s="348" t="s">
        <v>31</v>
      </c>
      <c r="C703" s="348" t="s">
        <v>419</v>
      </c>
      <c r="D703" s="349" t="s">
        <v>221</v>
      </c>
      <c r="E703" s="336">
        <v>43606</v>
      </c>
      <c r="F703" s="336">
        <v>43606</v>
      </c>
      <c r="G703" s="350"/>
      <c r="H703" s="334" t="s">
        <v>2123</v>
      </c>
      <c r="I703" s="356">
        <v>18018559898</v>
      </c>
      <c r="J703" s="361" t="s">
        <v>2124</v>
      </c>
      <c r="K703" s="356">
        <v>1998</v>
      </c>
      <c r="L703" s="362"/>
      <c r="M703" s="362"/>
      <c r="N703" s="362">
        <f t="shared" si="21"/>
        <v>0</v>
      </c>
      <c r="O703" s="356"/>
      <c r="Q703" s="356"/>
      <c r="R703" s="356"/>
      <c r="S703" s="356"/>
      <c r="T703" s="356"/>
      <c r="U703" s="372" t="s">
        <v>52</v>
      </c>
      <c r="V703" s="372"/>
      <c r="W703" s="372"/>
      <c r="X703" s="373">
        <v>1</v>
      </c>
      <c r="Y703" s="348"/>
      <c r="Z703" s="348"/>
      <c r="AA703" s="348"/>
    </row>
    <row r="704" s="331" customFormat="1" ht="17" customHeight="1" spans="1:27">
      <c r="A704" s="550" t="s">
        <v>2125</v>
      </c>
      <c r="B704" s="348" t="s">
        <v>160</v>
      </c>
      <c r="C704" s="348" t="s">
        <v>161</v>
      </c>
      <c r="D704" s="349" t="s">
        <v>162</v>
      </c>
      <c r="E704" s="336">
        <v>43606</v>
      </c>
      <c r="F704" s="336">
        <v>43606</v>
      </c>
      <c r="G704" s="350"/>
      <c r="H704" s="334" t="s">
        <v>2126</v>
      </c>
      <c r="I704" s="356">
        <v>18918957609</v>
      </c>
      <c r="J704" s="361" t="s">
        <v>2127</v>
      </c>
      <c r="K704" s="356">
        <v>4398</v>
      </c>
      <c r="L704" s="362"/>
      <c r="M704" s="362"/>
      <c r="N704" s="362">
        <f t="shared" si="21"/>
        <v>0</v>
      </c>
      <c r="O704" s="356">
        <v>1</v>
      </c>
      <c r="Q704" s="356"/>
      <c r="R704" s="356"/>
      <c r="S704" s="356"/>
      <c r="T704" s="356"/>
      <c r="U704" s="372" t="s">
        <v>269</v>
      </c>
      <c r="V704" s="372"/>
      <c r="W704" s="372"/>
      <c r="X704" s="373"/>
      <c r="Y704" s="348"/>
      <c r="Z704" s="348"/>
      <c r="AA704" s="348"/>
    </row>
    <row r="705" s="331" customFormat="1" ht="17" customHeight="1" spans="1:27">
      <c r="A705" s="348">
        <v>2018200</v>
      </c>
      <c r="B705" s="348" t="s">
        <v>58</v>
      </c>
      <c r="C705" s="348" t="s">
        <v>347</v>
      </c>
      <c r="D705" s="349" t="s">
        <v>60</v>
      </c>
      <c r="E705" s="336">
        <v>43619</v>
      </c>
      <c r="F705" s="336">
        <v>43618</v>
      </c>
      <c r="G705" s="350"/>
      <c r="H705" s="334" t="s">
        <v>2128</v>
      </c>
      <c r="I705" s="356">
        <v>13901643024</v>
      </c>
      <c r="J705" s="361" t="s">
        <v>2129</v>
      </c>
      <c r="K705" s="356">
        <v>1000</v>
      </c>
      <c r="L705" s="362"/>
      <c r="M705" s="362"/>
      <c r="N705" s="362">
        <f t="shared" si="21"/>
        <v>0</v>
      </c>
      <c r="O705" s="366"/>
      <c r="Q705" s="356"/>
      <c r="R705" s="356"/>
      <c r="S705" s="356"/>
      <c r="T705" s="356"/>
      <c r="U705" s="372">
        <v>7.5</v>
      </c>
      <c r="V705" s="372"/>
      <c r="W705" s="372"/>
      <c r="X705" s="373"/>
      <c r="Y705" s="348" t="s">
        <v>2130</v>
      </c>
      <c r="Z705" s="348"/>
      <c r="AA705" s="348" t="s">
        <v>2131</v>
      </c>
    </row>
    <row r="706" s="331" customFormat="1" ht="17" customHeight="1" spans="1:27">
      <c r="A706" s="550" t="s">
        <v>930</v>
      </c>
      <c r="B706" s="348" t="s">
        <v>169</v>
      </c>
      <c r="C706" s="348" t="s">
        <v>634</v>
      </c>
      <c r="D706" s="349" t="s">
        <v>635</v>
      </c>
      <c r="E706" s="336">
        <v>43680</v>
      </c>
      <c r="F706" s="336">
        <v>43606</v>
      </c>
      <c r="G706" s="336">
        <v>43679</v>
      </c>
      <c r="H706" s="334" t="s">
        <v>2132</v>
      </c>
      <c r="I706" s="356">
        <v>13701999410</v>
      </c>
      <c r="J706" s="361" t="s">
        <v>2133</v>
      </c>
      <c r="K706" s="356">
        <v>1000</v>
      </c>
      <c r="L706" s="334">
        <v>8323</v>
      </c>
      <c r="M706" s="362"/>
      <c r="N706" s="362">
        <f t="shared" ref="N706:N742" si="22">L706+M706</f>
        <v>8323</v>
      </c>
      <c r="O706" s="356"/>
      <c r="Q706" s="356"/>
      <c r="R706" s="356"/>
      <c r="S706" s="356"/>
      <c r="T706" s="409"/>
      <c r="U706" s="372"/>
      <c r="V706" s="372" t="s">
        <v>2134</v>
      </c>
      <c r="W706" s="372"/>
      <c r="X706" s="373"/>
      <c r="Y706" s="348"/>
      <c r="Z706" s="348"/>
      <c r="AA706" s="348"/>
    </row>
    <row r="707" s="331" customFormat="1" ht="17" customHeight="1" spans="1:27">
      <c r="A707" s="550" t="s">
        <v>2135</v>
      </c>
      <c r="B707" s="348" t="s">
        <v>169</v>
      </c>
      <c r="C707" s="348" t="s">
        <v>542</v>
      </c>
      <c r="D707" s="349" t="s">
        <v>171</v>
      </c>
      <c r="E707" s="336">
        <v>43607</v>
      </c>
      <c r="F707" s="336">
        <v>43607</v>
      </c>
      <c r="G707" s="350"/>
      <c r="H707" s="334" t="s">
        <v>2136</v>
      </c>
      <c r="I707" s="356">
        <v>18930082092</v>
      </c>
      <c r="J707" s="361" t="s">
        <v>2137</v>
      </c>
      <c r="K707" s="356">
        <v>1000</v>
      </c>
      <c r="L707" s="362"/>
      <c r="M707" s="362"/>
      <c r="N707" s="362">
        <f t="shared" si="22"/>
        <v>0</v>
      </c>
      <c r="O707" s="356"/>
      <c r="Q707" s="356"/>
      <c r="R707" s="356"/>
      <c r="S707" s="356"/>
      <c r="T707" s="356"/>
      <c r="U707" s="372" t="s">
        <v>2138</v>
      </c>
      <c r="V707" s="372"/>
      <c r="W707" s="372"/>
      <c r="X707" s="373"/>
      <c r="Y707" s="348"/>
      <c r="Z707" s="348"/>
      <c r="AA707" s="348"/>
    </row>
    <row r="708" s="331" customFormat="1" ht="17" customHeight="1" spans="1:27">
      <c r="A708" s="550" t="s">
        <v>2139</v>
      </c>
      <c r="B708" s="348" t="s">
        <v>87</v>
      </c>
      <c r="C708" s="348" t="s">
        <v>199</v>
      </c>
      <c r="D708" s="349" t="s">
        <v>89</v>
      </c>
      <c r="E708" s="336">
        <v>43609</v>
      </c>
      <c r="F708" s="336">
        <v>43609</v>
      </c>
      <c r="G708" s="350"/>
      <c r="H708" s="334" t="s">
        <v>2140</v>
      </c>
      <c r="I708" s="356">
        <v>13641780599</v>
      </c>
      <c r="J708" s="361" t="s">
        <v>2141</v>
      </c>
      <c r="K708" s="356">
        <v>1000</v>
      </c>
      <c r="L708" s="362"/>
      <c r="M708" s="362"/>
      <c r="N708" s="362">
        <f t="shared" si="22"/>
        <v>0</v>
      </c>
      <c r="O708" s="356"/>
      <c r="Q708" s="356"/>
      <c r="R708" s="356"/>
      <c r="S708" s="356"/>
      <c r="T708" s="356"/>
      <c r="U708" s="356" t="s">
        <v>12</v>
      </c>
      <c r="V708" s="372"/>
      <c r="W708" s="372"/>
      <c r="X708" s="373"/>
      <c r="Y708" s="348"/>
      <c r="Z708" s="348"/>
      <c r="AA708" s="348"/>
    </row>
    <row r="709" s="331" customFormat="1" ht="17" customHeight="1" spans="1:27">
      <c r="A709" s="550" t="s">
        <v>2142</v>
      </c>
      <c r="B709" s="348" t="s">
        <v>137</v>
      </c>
      <c r="C709" s="348" t="s">
        <v>406</v>
      </c>
      <c r="D709" s="334" t="s">
        <v>139</v>
      </c>
      <c r="E709" s="336">
        <v>43708</v>
      </c>
      <c r="F709" s="336">
        <v>43608</v>
      </c>
      <c r="G709" s="336">
        <v>43708</v>
      </c>
      <c r="H709" s="334" t="s">
        <v>2143</v>
      </c>
      <c r="I709" s="356">
        <v>18602191310</v>
      </c>
      <c r="J709" s="361" t="s">
        <v>2144</v>
      </c>
      <c r="K709" s="356">
        <v>1000</v>
      </c>
      <c r="L709" s="334">
        <v>21000</v>
      </c>
      <c r="M709" s="362"/>
      <c r="N709" s="362">
        <f t="shared" si="22"/>
        <v>21000</v>
      </c>
      <c r="O709" s="356"/>
      <c r="P709" s="356"/>
      <c r="Q709" s="356"/>
      <c r="R709" s="356"/>
      <c r="S709" s="356"/>
      <c r="T709" s="356">
        <v>1</v>
      </c>
      <c r="U709" s="372"/>
      <c r="V709" s="372"/>
      <c r="W709" s="372"/>
      <c r="X709" s="373"/>
      <c r="Y709" s="348" t="s">
        <v>549</v>
      </c>
      <c r="Z709" s="348"/>
      <c r="AA709" s="348"/>
    </row>
    <row r="710" s="331" customFormat="1" ht="17" customHeight="1" spans="1:27">
      <c r="A710" s="348">
        <v>2067238</v>
      </c>
      <c r="B710" s="348" t="s">
        <v>87</v>
      </c>
      <c r="C710" s="348" t="s">
        <v>466</v>
      </c>
      <c r="D710" s="349" t="s">
        <v>89</v>
      </c>
      <c r="E710" s="336">
        <v>43555</v>
      </c>
      <c r="F710" s="336">
        <v>43554</v>
      </c>
      <c r="G710" s="350" t="s">
        <v>69</v>
      </c>
      <c r="H710" s="334" t="s">
        <v>2145</v>
      </c>
      <c r="I710" s="356">
        <v>13916354368</v>
      </c>
      <c r="J710" s="361" t="s">
        <v>2146</v>
      </c>
      <c r="K710" s="356">
        <v>13893</v>
      </c>
      <c r="L710" s="362"/>
      <c r="M710" s="362"/>
      <c r="N710" s="362">
        <f t="shared" si="22"/>
        <v>0</v>
      </c>
      <c r="O710" s="356"/>
      <c r="Q710" s="356"/>
      <c r="R710" s="356"/>
      <c r="S710" s="356"/>
      <c r="T710" s="356"/>
      <c r="U710" s="372"/>
      <c r="V710" s="372"/>
      <c r="W710" s="372"/>
      <c r="X710" s="373">
        <v>1</v>
      </c>
      <c r="Y710" s="348" t="s">
        <v>92</v>
      </c>
      <c r="Z710" s="348"/>
      <c r="AA710" s="348"/>
    </row>
    <row r="711" s="57" customFormat="1" ht="17" customHeight="1" spans="1:27">
      <c r="A711" s="348">
        <v>2025307</v>
      </c>
      <c r="B711" s="348" t="s">
        <v>137</v>
      </c>
      <c r="C711" s="348" t="s">
        <v>406</v>
      </c>
      <c r="D711" s="349" t="s">
        <v>443</v>
      </c>
      <c r="E711" s="336">
        <v>43610</v>
      </c>
      <c r="F711" s="336">
        <v>43608</v>
      </c>
      <c r="G711" s="350"/>
      <c r="H711" s="334" t="s">
        <v>2147</v>
      </c>
      <c r="I711" s="356">
        <v>13671564757</v>
      </c>
      <c r="J711" s="348" t="s">
        <v>2148</v>
      </c>
      <c r="K711" s="356">
        <v>500</v>
      </c>
      <c r="L711" s="362"/>
      <c r="M711" s="362"/>
      <c r="N711" s="362">
        <f t="shared" si="22"/>
        <v>0</v>
      </c>
      <c r="O711" s="356"/>
      <c r="P711" s="356"/>
      <c r="Q711" s="356"/>
      <c r="R711" s="356"/>
      <c r="S711" s="356"/>
      <c r="T711" s="356">
        <v>1</v>
      </c>
      <c r="U711" s="372" t="s">
        <v>12</v>
      </c>
      <c r="V711" s="372"/>
      <c r="W711" s="372"/>
      <c r="X711" s="373">
        <v>1</v>
      </c>
      <c r="Y711" s="348" t="s">
        <v>2149</v>
      </c>
      <c r="Z711" s="348"/>
      <c r="AA711" s="348"/>
    </row>
    <row r="712" s="331" customFormat="1" ht="17" customHeight="1" spans="1:27">
      <c r="A712" s="550" t="s">
        <v>2150</v>
      </c>
      <c r="B712" s="348" t="s">
        <v>160</v>
      </c>
      <c r="C712" s="348" t="s">
        <v>275</v>
      </c>
      <c r="D712" s="349" t="s">
        <v>162</v>
      </c>
      <c r="E712" s="336">
        <v>43610</v>
      </c>
      <c r="F712" s="336">
        <v>43608</v>
      </c>
      <c r="G712" s="350"/>
      <c r="H712" s="334" t="s">
        <v>2151</v>
      </c>
      <c r="I712" s="356">
        <v>13816476177</v>
      </c>
      <c r="J712" s="361" t="s">
        <v>2152</v>
      </c>
      <c r="K712" s="356">
        <v>500</v>
      </c>
      <c r="L712" s="362"/>
      <c r="M712" s="362"/>
      <c r="N712" s="362">
        <f t="shared" si="22"/>
        <v>0</v>
      </c>
      <c r="O712" s="356">
        <v>1</v>
      </c>
      <c r="Q712" s="356"/>
      <c r="R712" s="356"/>
      <c r="S712" s="356"/>
      <c r="T712" s="356"/>
      <c r="U712" s="372" t="s">
        <v>459</v>
      </c>
      <c r="V712" s="372"/>
      <c r="W712" s="372"/>
      <c r="X712" s="373"/>
      <c r="Y712" s="348" t="s">
        <v>2149</v>
      </c>
      <c r="Z712" s="348"/>
      <c r="AA712" s="348"/>
    </row>
    <row r="713" s="331" customFormat="1" ht="17" customHeight="1" spans="1:27">
      <c r="A713" s="550" t="s">
        <v>2153</v>
      </c>
      <c r="B713" s="348" t="s">
        <v>123</v>
      </c>
      <c r="C713" s="348" t="s">
        <v>124</v>
      </c>
      <c r="D713" s="349" t="s">
        <v>125</v>
      </c>
      <c r="E713" s="336">
        <v>43610</v>
      </c>
      <c r="F713" s="336">
        <v>43608</v>
      </c>
      <c r="G713" s="336">
        <v>43648</v>
      </c>
      <c r="H713" s="334" t="s">
        <v>2154</v>
      </c>
      <c r="I713" s="356">
        <v>13817211280</v>
      </c>
      <c r="J713" s="361" t="s">
        <v>2155</v>
      </c>
      <c r="K713" s="356">
        <v>500</v>
      </c>
      <c r="L713" s="334">
        <v>15258</v>
      </c>
      <c r="M713" s="362"/>
      <c r="N713" s="362">
        <f t="shared" si="22"/>
        <v>15258</v>
      </c>
      <c r="O713" s="356"/>
      <c r="Q713" s="356"/>
      <c r="R713" s="356"/>
      <c r="S713" s="356"/>
      <c r="T713" s="356"/>
      <c r="U713" s="372"/>
      <c r="V713" s="372"/>
      <c r="W713" s="372"/>
      <c r="X713" s="373"/>
      <c r="Y713" s="348" t="s">
        <v>2149</v>
      </c>
      <c r="Z713" s="348"/>
      <c r="AA713" s="348"/>
    </row>
    <row r="714" s="331" customFormat="1" ht="17" customHeight="1" spans="1:27">
      <c r="A714" s="550" t="s">
        <v>2156</v>
      </c>
      <c r="B714" s="348" t="s">
        <v>35</v>
      </c>
      <c r="C714" s="348" t="s">
        <v>36</v>
      </c>
      <c r="D714" s="352" t="s">
        <v>37</v>
      </c>
      <c r="E714" s="336">
        <v>43610</v>
      </c>
      <c r="F714" s="336">
        <v>43608</v>
      </c>
      <c r="G714" s="350"/>
      <c r="H714" s="334" t="s">
        <v>2157</v>
      </c>
      <c r="I714" s="356">
        <v>13002129178</v>
      </c>
      <c r="J714" s="361" t="s">
        <v>2158</v>
      </c>
      <c r="K714" s="356">
        <v>500</v>
      </c>
      <c r="L714" s="362"/>
      <c r="M714" s="362"/>
      <c r="N714" s="362">
        <f t="shared" si="22"/>
        <v>0</v>
      </c>
      <c r="O714" s="356"/>
      <c r="Q714" s="356"/>
      <c r="R714" s="356"/>
      <c r="S714" s="356"/>
      <c r="T714" s="356"/>
      <c r="U714" s="372" t="s">
        <v>40</v>
      </c>
      <c r="V714" s="372"/>
      <c r="W714" s="372"/>
      <c r="X714" s="373"/>
      <c r="Y714" s="348" t="s">
        <v>2149</v>
      </c>
      <c r="Z714" s="348"/>
      <c r="AA714" s="348"/>
    </row>
    <row r="715" s="331" customFormat="1" ht="17" customHeight="1" spans="1:27">
      <c r="A715" s="550" t="s">
        <v>2159</v>
      </c>
      <c r="B715" s="348" t="s">
        <v>66</v>
      </c>
      <c r="C715" s="348" t="s">
        <v>119</v>
      </c>
      <c r="D715" s="349" t="s">
        <v>427</v>
      </c>
      <c r="E715" s="336">
        <v>43610</v>
      </c>
      <c r="F715" s="336" t="s">
        <v>800</v>
      </c>
      <c r="G715" s="336">
        <v>43660</v>
      </c>
      <c r="H715" s="334" t="s">
        <v>2160</v>
      </c>
      <c r="I715" s="356">
        <v>13916390968</v>
      </c>
      <c r="J715" s="361" t="s">
        <v>2161</v>
      </c>
      <c r="K715" s="356">
        <v>500</v>
      </c>
      <c r="L715" s="362"/>
      <c r="M715" s="334">
        <v>500</v>
      </c>
      <c r="N715" s="362">
        <f t="shared" si="22"/>
        <v>500</v>
      </c>
      <c r="O715" s="356"/>
      <c r="Q715" s="356"/>
      <c r="R715" s="356"/>
      <c r="S715" s="356"/>
      <c r="T715" s="356"/>
      <c r="U715" s="372"/>
      <c r="V715" s="372"/>
      <c r="W715" s="372"/>
      <c r="X715" s="373"/>
      <c r="Y715" s="348"/>
      <c r="Z715" s="348"/>
      <c r="AA715" s="348"/>
    </row>
    <row r="716" s="331" customFormat="1" ht="17" customHeight="1" spans="1:27">
      <c r="A716" s="550" t="s">
        <v>2162</v>
      </c>
      <c r="B716" s="348" t="s">
        <v>31</v>
      </c>
      <c r="C716" s="348" t="s">
        <v>220</v>
      </c>
      <c r="D716" s="349" t="s">
        <v>221</v>
      </c>
      <c r="E716" s="336">
        <v>43610</v>
      </c>
      <c r="F716" s="336">
        <v>43608</v>
      </c>
      <c r="G716" s="350"/>
      <c r="H716" s="334" t="s">
        <v>2163</v>
      </c>
      <c r="I716" s="356">
        <v>13601779551</v>
      </c>
      <c r="J716" s="361" t="s">
        <v>2164</v>
      </c>
      <c r="K716" s="356">
        <v>500</v>
      </c>
      <c r="L716" s="362"/>
      <c r="M716" s="362"/>
      <c r="N716" s="362">
        <f t="shared" si="22"/>
        <v>0</v>
      </c>
      <c r="O716" s="356"/>
      <c r="Q716" s="356"/>
      <c r="R716" s="356"/>
      <c r="S716" s="356"/>
      <c r="T716" s="356"/>
      <c r="U716" s="372" t="s">
        <v>12</v>
      </c>
      <c r="V716" s="372"/>
      <c r="W716" s="372"/>
      <c r="X716" s="373"/>
      <c r="Y716" s="348" t="s">
        <v>2149</v>
      </c>
      <c r="Z716" s="348"/>
      <c r="AA716" s="348"/>
    </row>
    <row r="717" s="331" customFormat="1" ht="17" customHeight="1" spans="1:27">
      <c r="A717" s="348">
        <v>2068847</v>
      </c>
      <c r="B717" s="348" t="s">
        <v>66</v>
      </c>
      <c r="C717" s="348" t="s">
        <v>505</v>
      </c>
      <c r="D717" s="349" t="s">
        <v>143</v>
      </c>
      <c r="E717" s="336">
        <v>43766</v>
      </c>
      <c r="F717" s="336">
        <v>43608</v>
      </c>
      <c r="G717" s="336">
        <v>43765</v>
      </c>
      <c r="H717" s="334" t="s">
        <v>2165</v>
      </c>
      <c r="I717" s="356">
        <v>13816065338</v>
      </c>
      <c r="J717" s="361" t="s">
        <v>2166</v>
      </c>
      <c r="K717" s="356">
        <v>500</v>
      </c>
      <c r="L717" s="362"/>
      <c r="M717" s="334">
        <v>-331</v>
      </c>
      <c r="N717" s="362">
        <f t="shared" si="22"/>
        <v>-331</v>
      </c>
      <c r="O717" s="356"/>
      <c r="Q717" s="356"/>
      <c r="R717" s="356"/>
      <c r="S717" s="356"/>
      <c r="T717" s="356"/>
      <c r="U717" s="372"/>
      <c r="V717" s="372"/>
      <c r="W717" s="372"/>
      <c r="X717" s="373"/>
      <c r="Y717" s="348" t="s">
        <v>2149</v>
      </c>
      <c r="Z717" s="348"/>
      <c r="AA717" s="348"/>
    </row>
    <row r="718" s="331" customFormat="1" ht="17" customHeight="1" spans="1:27">
      <c r="A718" s="348">
        <v>2026752</v>
      </c>
      <c r="B718" s="348" t="s">
        <v>73</v>
      </c>
      <c r="C718" s="348" t="s">
        <v>1130</v>
      </c>
      <c r="D718" s="349" t="s">
        <v>75</v>
      </c>
      <c r="E718" s="336">
        <v>43590</v>
      </c>
      <c r="F718" s="336">
        <v>43590</v>
      </c>
      <c r="G718" s="350"/>
      <c r="H718" s="334" t="s">
        <v>2167</v>
      </c>
      <c r="I718" s="356">
        <v>18019097700</v>
      </c>
      <c r="J718" s="361" t="s">
        <v>2168</v>
      </c>
      <c r="K718" s="356">
        <v>1000</v>
      </c>
      <c r="L718" s="362"/>
      <c r="M718" s="362"/>
      <c r="N718" s="362">
        <f t="shared" si="22"/>
        <v>0</v>
      </c>
      <c r="O718" s="356"/>
      <c r="Q718" s="356"/>
      <c r="R718" s="366" t="s">
        <v>52</v>
      </c>
      <c r="S718" s="356"/>
      <c r="T718" s="356"/>
      <c r="U718" s="372"/>
      <c r="V718" s="372"/>
      <c r="W718" s="372"/>
      <c r="X718" s="373"/>
      <c r="Y718" s="348" t="s">
        <v>1223</v>
      </c>
      <c r="Z718" s="348"/>
      <c r="AA718" s="348"/>
    </row>
    <row r="719" s="331" customFormat="1" ht="17" customHeight="1" spans="1:27">
      <c r="A719" s="550" t="s">
        <v>2169</v>
      </c>
      <c r="B719" s="348" t="s">
        <v>66</v>
      </c>
      <c r="C719" s="348" t="s">
        <v>67</v>
      </c>
      <c r="D719" s="349" t="s">
        <v>143</v>
      </c>
      <c r="E719" s="336">
        <v>43610</v>
      </c>
      <c r="F719" s="336">
        <v>43608</v>
      </c>
      <c r="G719" s="336">
        <v>43677</v>
      </c>
      <c r="H719" s="334" t="s">
        <v>2170</v>
      </c>
      <c r="I719" s="356">
        <v>13817009565</v>
      </c>
      <c r="J719" s="361" t="s">
        <v>2171</v>
      </c>
      <c r="K719" s="356">
        <v>500</v>
      </c>
      <c r="L719" s="334">
        <v>9800</v>
      </c>
      <c r="M719" s="362"/>
      <c r="N719" s="362">
        <f t="shared" si="22"/>
        <v>9800</v>
      </c>
      <c r="O719" s="356"/>
      <c r="Q719" s="356"/>
      <c r="R719" s="356"/>
      <c r="S719" s="356"/>
      <c r="T719" s="356"/>
      <c r="U719" s="372"/>
      <c r="V719" s="372" t="s">
        <v>2172</v>
      </c>
      <c r="W719" s="372"/>
      <c r="X719" s="373"/>
      <c r="Y719" s="348" t="s">
        <v>2149</v>
      </c>
      <c r="Z719" s="348"/>
      <c r="AA719" s="348"/>
    </row>
    <row r="720" s="331" customFormat="1" ht="17" customHeight="1" spans="1:27">
      <c r="A720" s="550" t="s">
        <v>2173</v>
      </c>
      <c r="B720" s="348" t="s">
        <v>58</v>
      </c>
      <c r="C720" s="348" t="s">
        <v>59</v>
      </c>
      <c r="D720" s="349" t="s">
        <v>271</v>
      </c>
      <c r="E720" s="336">
        <v>43610</v>
      </c>
      <c r="F720" s="336">
        <v>43608</v>
      </c>
      <c r="G720" s="336">
        <v>43665</v>
      </c>
      <c r="H720" s="334" t="s">
        <v>2174</v>
      </c>
      <c r="I720" s="356">
        <v>13916514218</v>
      </c>
      <c r="J720" s="361" t="s">
        <v>2175</v>
      </c>
      <c r="K720" s="356">
        <f>2500+500</f>
        <v>3000</v>
      </c>
      <c r="L720" s="334">
        <v>12238</v>
      </c>
      <c r="M720" s="362"/>
      <c r="N720" s="362">
        <f t="shared" si="22"/>
        <v>12238</v>
      </c>
      <c r="O720" s="366" t="s">
        <v>52</v>
      </c>
      <c r="Q720" s="356"/>
      <c r="R720" s="356"/>
      <c r="S720" s="356"/>
      <c r="T720" s="356"/>
      <c r="U720" s="372"/>
      <c r="V720" s="372"/>
      <c r="W720" s="372"/>
      <c r="X720" s="373"/>
      <c r="Y720" s="348" t="s">
        <v>2149</v>
      </c>
      <c r="Z720" s="348"/>
      <c r="AA720" s="348" t="s">
        <v>782</v>
      </c>
    </row>
    <row r="721" s="331" customFormat="1" ht="15" customHeight="1" spans="1:27">
      <c r="A721" s="550" t="s">
        <v>1072</v>
      </c>
      <c r="B721" s="348" t="s">
        <v>58</v>
      </c>
      <c r="C721" s="348" t="s">
        <v>342</v>
      </c>
      <c r="D721" s="352" t="s">
        <v>343</v>
      </c>
      <c r="E721" s="336">
        <v>43610</v>
      </c>
      <c r="F721" s="336">
        <v>43608</v>
      </c>
      <c r="G721" s="350">
        <v>43705</v>
      </c>
      <c r="H721" s="334" t="s">
        <v>2176</v>
      </c>
      <c r="I721" s="356">
        <v>18601684458</v>
      </c>
      <c r="J721" s="361" t="s">
        <v>2177</v>
      </c>
      <c r="K721" s="356">
        <v>500</v>
      </c>
      <c r="L721" s="362"/>
      <c r="M721" s="362"/>
      <c r="N721" s="362">
        <f t="shared" si="22"/>
        <v>0</v>
      </c>
      <c r="O721" s="356"/>
      <c r="P721" s="366"/>
      <c r="Q721" s="356"/>
      <c r="R721" s="356"/>
      <c r="S721" s="356"/>
      <c r="T721" s="356"/>
      <c r="U721" s="372"/>
      <c r="V721" s="372"/>
      <c r="W721" s="372"/>
      <c r="X721" s="373"/>
      <c r="Y721" s="348" t="s">
        <v>2149</v>
      </c>
      <c r="Z721" s="348"/>
      <c r="AA721" s="348" t="s">
        <v>2178</v>
      </c>
    </row>
    <row r="722" s="331" customFormat="1" ht="15" customHeight="1" spans="1:27">
      <c r="A722" s="550" t="s">
        <v>1115</v>
      </c>
      <c r="B722" s="348" t="s">
        <v>58</v>
      </c>
      <c r="C722" s="348" t="s">
        <v>109</v>
      </c>
      <c r="D722" s="352" t="s">
        <v>110</v>
      </c>
      <c r="E722" s="336">
        <v>43731</v>
      </c>
      <c r="F722" s="336">
        <v>43609</v>
      </c>
      <c r="G722" s="336">
        <v>43730</v>
      </c>
      <c r="H722" s="334" t="s">
        <v>2179</v>
      </c>
      <c r="I722" s="356">
        <v>13818647747</v>
      </c>
      <c r="J722" s="361" t="s">
        <v>2180</v>
      </c>
      <c r="K722" s="356">
        <v>500</v>
      </c>
      <c r="L722" s="334">
        <v>19482</v>
      </c>
      <c r="M722" s="362"/>
      <c r="N722" s="362">
        <f t="shared" si="22"/>
        <v>19482</v>
      </c>
      <c r="O722" s="356"/>
      <c r="Q722" s="366" t="s">
        <v>52</v>
      </c>
      <c r="R722" s="356"/>
      <c r="S722" s="356"/>
      <c r="T722" s="356"/>
      <c r="U722" s="372"/>
      <c r="V722" s="372"/>
      <c r="W722" s="372"/>
      <c r="X722" s="373">
        <v>1</v>
      </c>
      <c r="Y722" s="348"/>
      <c r="Z722" s="348"/>
      <c r="AA722" s="348"/>
    </row>
    <row r="723" s="331" customFormat="1" ht="17" customHeight="1" spans="1:27">
      <c r="A723" s="348"/>
      <c r="B723" s="348" t="s">
        <v>66</v>
      </c>
      <c r="C723" s="348" t="s">
        <v>67</v>
      </c>
      <c r="D723" s="349" t="s">
        <v>68</v>
      </c>
      <c r="E723" s="336">
        <v>43610</v>
      </c>
      <c r="F723" s="336">
        <v>43610</v>
      </c>
      <c r="G723" s="336">
        <v>43656</v>
      </c>
      <c r="H723" s="334" t="s">
        <v>2181</v>
      </c>
      <c r="I723" s="356">
        <v>18017756168</v>
      </c>
      <c r="J723" s="361" t="s">
        <v>2182</v>
      </c>
      <c r="K723" s="356">
        <v>4371</v>
      </c>
      <c r="L723" s="334">
        <v>5519</v>
      </c>
      <c r="M723" s="334">
        <v>2869</v>
      </c>
      <c r="N723" s="362">
        <f t="shared" si="22"/>
        <v>8388</v>
      </c>
      <c r="O723" s="356"/>
      <c r="Q723" s="356"/>
      <c r="R723" s="356"/>
      <c r="S723" s="356"/>
      <c r="T723" s="356"/>
      <c r="U723" s="372"/>
      <c r="V723" s="372"/>
      <c r="W723" s="372"/>
      <c r="X723" s="373"/>
      <c r="Y723" s="348"/>
      <c r="Z723" s="348"/>
      <c r="AA723" s="348"/>
    </row>
    <row r="724" s="331" customFormat="1" ht="17" customHeight="1" spans="1:27">
      <c r="A724" s="550" t="s">
        <v>2183</v>
      </c>
      <c r="B724" s="348" t="s">
        <v>185</v>
      </c>
      <c r="C724" s="348" t="s">
        <v>1620</v>
      </c>
      <c r="D724" s="349" t="s">
        <v>44</v>
      </c>
      <c r="E724" s="336">
        <v>43610</v>
      </c>
      <c r="F724" s="336">
        <v>43610</v>
      </c>
      <c r="G724" s="336">
        <v>43653</v>
      </c>
      <c r="H724" s="334" t="s">
        <v>2184</v>
      </c>
      <c r="I724" s="356">
        <v>13818257441</v>
      </c>
      <c r="J724" s="361" t="s">
        <v>2185</v>
      </c>
      <c r="K724" s="356">
        <v>1000</v>
      </c>
      <c r="L724" s="334">
        <v>5416</v>
      </c>
      <c r="M724" s="334"/>
      <c r="N724" s="362">
        <f t="shared" si="22"/>
        <v>5416</v>
      </c>
      <c r="O724" s="356"/>
      <c r="Q724" s="356"/>
      <c r="R724" s="356"/>
      <c r="S724" s="356"/>
      <c r="T724" s="356"/>
      <c r="U724" s="372"/>
      <c r="V724" s="372"/>
      <c r="W724" s="372"/>
      <c r="X724" s="373"/>
      <c r="Y724" s="348"/>
      <c r="Z724" s="348"/>
      <c r="AA724" s="348"/>
    </row>
    <row r="725" s="331" customFormat="1" ht="17" customHeight="1" spans="1:27">
      <c r="A725" s="348">
        <v>2066912</v>
      </c>
      <c r="B725" s="348" t="s">
        <v>185</v>
      </c>
      <c r="C725" s="348" t="s">
        <v>186</v>
      </c>
      <c r="D725" s="349" t="s">
        <v>187</v>
      </c>
      <c r="E725" s="336">
        <v>43695</v>
      </c>
      <c r="F725" s="336">
        <v>43610</v>
      </c>
      <c r="G725" s="336">
        <v>43695</v>
      </c>
      <c r="H725" s="334" t="s">
        <v>2186</v>
      </c>
      <c r="I725" s="356">
        <v>15601760620</v>
      </c>
      <c r="J725" s="361" t="s">
        <v>2187</v>
      </c>
      <c r="K725" s="356">
        <v>1000</v>
      </c>
      <c r="L725" s="334">
        <v>22120</v>
      </c>
      <c r="M725" s="362"/>
      <c r="N725" s="362">
        <f t="shared" si="22"/>
        <v>22120</v>
      </c>
      <c r="O725" s="356"/>
      <c r="Q725" s="356"/>
      <c r="R725" s="356"/>
      <c r="S725" s="356" t="s">
        <v>52</v>
      </c>
      <c r="T725" s="356"/>
      <c r="U725" s="372"/>
      <c r="V725" s="372"/>
      <c r="W725" s="374">
        <v>43688</v>
      </c>
      <c r="X725" s="373"/>
      <c r="Y725" s="348"/>
      <c r="Z725" s="348"/>
      <c r="AA725" s="348"/>
    </row>
    <row r="726" s="331" customFormat="1" ht="17" customHeight="1" spans="1:27">
      <c r="A726" s="348">
        <v>2025482</v>
      </c>
      <c r="B726" s="348" t="s">
        <v>94</v>
      </c>
      <c r="C726" s="348" t="s">
        <v>95</v>
      </c>
      <c r="D726" s="352" t="s">
        <v>49</v>
      </c>
      <c r="E726" s="336">
        <v>43738</v>
      </c>
      <c r="F726" s="336">
        <v>43554</v>
      </c>
      <c r="G726" s="336">
        <v>43737</v>
      </c>
      <c r="H726" s="334" t="s">
        <v>529</v>
      </c>
      <c r="I726" s="356">
        <v>13916813848</v>
      </c>
      <c r="J726" s="361" t="s">
        <v>2188</v>
      </c>
      <c r="K726" s="356">
        <v>1000</v>
      </c>
      <c r="L726" s="334">
        <v>11830</v>
      </c>
      <c r="M726" s="362"/>
      <c r="N726" s="362">
        <f t="shared" si="22"/>
        <v>11830</v>
      </c>
      <c r="O726" s="356"/>
      <c r="P726" s="366"/>
      <c r="Q726" s="366"/>
      <c r="R726" s="356"/>
      <c r="S726" s="366" t="s">
        <v>52</v>
      </c>
      <c r="T726" s="356"/>
      <c r="U726" s="372"/>
      <c r="V726" s="372" t="s">
        <v>2189</v>
      </c>
      <c r="W726" s="372"/>
      <c r="X726" s="373"/>
      <c r="Y726" s="348"/>
      <c r="Z726" s="348" t="s">
        <v>836</v>
      </c>
      <c r="AA726" s="348"/>
    </row>
    <row r="727" s="331" customFormat="1" ht="17" customHeight="1" spans="1:27">
      <c r="A727" s="348">
        <v>2026764</v>
      </c>
      <c r="B727" s="348" t="s">
        <v>73</v>
      </c>
      <c r="C727" s="348" t="s">
        <v>1130</v>
      </c>
      <c r="D727" s="349" t="s">
        <v>143</v>
      </c>
      <c r="E727" s="336">
        <v>43611</v>
      </c>
      <c r="F727" s="336">
        <v>43610</v>
      </c>
      <c r="G727" s="336">
        <v>43672</v>
      </c>
      <c r="H727" s="334" t="s">
        <v>2190</v>
      </c>
      <c r="I727" s="356">
        <v>18801818958</v>
      </c>
      <c r="J727" s="361" t="s">
        <v>2191</v>
      </c>
      <c r="K727" s="356">
        <v>1000</v>
      </c>
      <c r="L727" s="334">
        <v>23291</v>
      </c>
      <c r="M727" s="362"/>
      <c r="N727" s="362">
        <f t="shared" si="22"/>
        <v>23291</v>
      </c>
      <c r="O727" s="356"/>
      <c r="Q727" s="356"/>
      <c r="R727" s="366" t="s">
        <v>52</v>
      </c>
      <c r="S727" s="356"/>
      <c r="T727" s="356"/>
      <c r="U727" s="372"/>
      <c r="V727" s="372"/>
      <c r="W727" s="372"/>
      <c r="X727" s="373"/>
      <c r="Y727" s="348"/>
      <c r="Z727" s="348" t="s">
        <v>79</v>
      </c>
      <c r="AA727" s="348"/>
    </row>
    <row r="728" s="331" customFormat="1" ht="17" customHeight="1" spans="1:27">
      <c r="A728" s="348">
        <v>2026766</v>
      </c>
      <c r="B728" s="348" t="s">
        <v>73</v>
      </c>
      <c r="C728" s="348" t="s">
        <v>74</v>
      </c>
      <c r="D728" s="352" t="s">
        <v>143</v>
      </c>
      <c r="E728" s="336">
        <v>43694</v>
      </c>
      <c r="F728" s="336">
        <v>43610</v>
      </c>
      <c r="G728" s="336">
        <v>43693</v>
      </c>
      <c r="H728" s="334" t="s">
        <v>2192</v>
      </c>
      <c r="I728" s="356">
        <v>18611958334</v>
      </c>
      <c r="J728" s="361" t="s">
        <v>2193</v>
      </c>
      <c r="K728" s="356">
        <v>1000</v>
      </c>
      <c r="L728" s="334">
        <v>22364</v>
      </c>
      <c r="M728" s="362"/>
      <c r="N728" s="362">
        <f t="shared" si="22"/>
        <v>22364</v>
      </c>
      <c r="O728" s="366" t="s">
        <v>52</v>
      </c>
      <c r="Q728" s="356"/>
      <c r="R728" s="356"/>
      <c r="S728" s="356"/>
      <c r="T728" s="356"/>
      <c r="U728" s="372"/>
      <c r="V728" s="372"/>
      <c r="W728" s="372"/>
      <c r="X728" s="373">
        <v>1</v>
      </c>
      <c r="Y728" s="348"/>
      <c r="Z728" s="348" t="s">
        <v>79</v>
      </c>
      <c r="AA728" s="348"/>
    </row>
    <row r="729" s="331" customFormat="1" ht="17" customHeight="1" spans="1:27">
      <c r="A729" s="348">
        <v>2026769</v>
      </c>
      <c r="B729" s="348" t="s">
        <v>73</v>
      </c>
      <c r="C729" s="334" t="s">
        <v>74</v>
      </c>
      <c r="D729" s="352" t="s">
        <v>143</v>
      </c>
      <c r="E729" s="336">
        <v>43611</v>
      </c>
      <c r="F729" s="336">
        <v>43610</v>
      </c>
      <c r="G729" s="336">
        <v>43677</v>
      </c>
      <c r="H729" s="334" t="s">
        <v>2194</v>
      </c>
      <c r="I729" s="356">
        <v>13818627434</v>
      </c>
      <c r="J729" s="361" t="s">
        <v>2195</v>
      </c>
      <c r="K729" s="356">
        <v>1000</v>
      </c>
      <c r="L729" s="334">
        <v>11954</v>
      </c>
      <c r="M729" s="362"/>
      <c r="N729" s="362">
        <f t="shared" si="22"/>
        <v>11954</v>
      </c>
      <c r="O729" s="356"/>
      <c r="Q729" s="356"/>
      <c r="R729" s="356"/>
      <c r="S729" s="366" t="s">
        <v>52</v>
      </c>
      <c r="T729" s="356"/>
      <c r="U729" s="372"/>
      <c r="V729" s="372"/>
      <c r="W729" s="372"/>
      <c r="X729" s="373"/>
      <c r="Y729" s="348"/>
      <c r="Z729" s="348" t="s">
        <v>79</v>
      </c>
      <c r="AA729" s="348"/>
    </row>
    <row r="730" s="331" customFormat="1" ht="17" customHeight="1" spans="1:27">
      <c r="A730" s="348">
        <v>2024513</v>
      </c>
      <c r="B730" s="348" t="s">
        <v>73</v>
      </c>
      <c r="C730" s="348" t="s">
        <v>74</v>
      </c>
      <c r="D730" s="352" t="s">
        <v>75</v>
      </c>
      <c r="E730" s="336">
        <v>43594</v>
      </c>
      <c r="F730" s="336">
        <v>43594</v>
      </c>
      <c r="G730" s="350"/>
      <c r="H730" s="334" t="s">
        <v>2196</v>
      </c>
      <c r="I730" s="356">
        <v>13801718369</v>
      </c>
      <c r="J730" s="361" t="s">
        <v>1673</v>
      </c>
      <c r="K730" s="356">
        <v>1000</v>
      </c>
      <c r="L730" s="362"/>
      <c r="M730" s="362"/>
      <c r="N730" s="362">
        <f t="shared" si="22"/>
        <v>0</v>
      </c>
      <c r="O730" s="356"/>
      <c r="Q730" s="366"/>
      <c r="R730" s="366" t="s">
        <v>52</v>
      </c>
      <c r="S730" s="356"/>
      <c r="T730" s="356"/>
      <c r="U730" s="372" t="s">
        <v>78</v>
      </c>
      <c r="V730" s="372"/>
      <c r="W730" s="372"/>
      <c r="X730" s="373"/>
      <c r="Y730" s="348"/>
      <c r="Z730" s="348" t="s">
        <v>79</v>
      </c>
      <c r="AA730" s="348"/>
    </row>
    <row r="731" s="331" customFormat="1" ht="17" customHeight="1" spans="1:27">
      <c r="A731" s="550" t="s">
        <v>2197</v>
      </c>
      <c r="B731" s="348" t="s">
        <v>185</v>
      </c>
      <c r="C731" s="348" t="s">
        <v>1133</v>
      </c>
      <c r="D731" s="334" t="s">
        <v>155</v>
      </c>
      <c r="E731" s="336">
        <v>43737</v>
      </c>
      <c r="F731" s="336">
        <v>43611</v>
      </c>
      <c r="G731" s="336">
        <v>43737</v>
      </c>
      <c r="H731" s="334" t="s">
        <v>2198</v>
      </c>
      <c r="I731" s="356">
        <v>13585813511</v>
      </c>
      <c r="J731" s="361" t="s">
        <v>2199</v>
      </c>
      <c r="K731" s="356">
        <v>1000</v>
      </c>
      <c r="L731" s="334">
        <v>22300</v>
      </c>
      <c r="M731" s="362"/>
      <c r="N731" s="362">
        <f t="shared" si="22"/>
        <v>22300</v>
      </c>
      <c r="O731" s="356"/>
      <c r="Q731" s="356"/>
      <c r="R731" s="356"/>
      <c r="S731" s="356"/>
      <c r="T731" s="356"/>
      <c r="U731" s="374">
        <v>43633</v>
      </c>
      <c r="V731" s="372"/>
      <c r="W731" s="372"/>
      <c r="X731" s="373"/>
      <c r="Y731" s="348"/>
      <c r="Z731" s="348"/>
      <c r="AA731" s="348"/>
    </row>
    <row r="732" s="331" customFormat="1" ht="17" customHeight="1" spans="1:27">
      <c r="A732" s="348"/>
      <c r="B732" s="348" t="s">
        <v>31</v>
      </c>
      <c r="C732" s="348" t="s">
        <v>115</v>
      </c>
      <c r="D732" s="352" t="s">
        <v>33</v>
      </c>
      <c r="E732" s="336">
        <v>43611</v>
      </c>
      <c r="F732" s="336">
        <v>43611</v>
      </c>
      <c r="G732" s="350"/>
      <c r="H732" s="334" t="s">
        <v>2200</v>
      </c>
      <c r="I732" s="356">
        <v>18021654634</v>
      </c>
      <c r="J732" s="361" t="s">
        <v>2201</v>
      </c>
      <c r="K732" s="356">
        <v>10379</v>
      </c>
      <c r="L732" s="362"/>
      <c r="M732" s="362"/>
      <c r="N732" s="362">
        <f t="shared" si="22"/>
        <v>0</v>
      </c>
      <c r="O732" s="356"/>
      <c r="Q732" s="356"/>
      <c r="R732" s="356"/>
      <c r="S732" s="356"/>
      <c r="T732" s="356"/>
      <c r="U732" s="372"/>
      <c r="V732" s="372"/>
      <c r="W732" s="372"/>
      <c r="X732" s="373"/>
      <c r="Y732" s="348"/>
      <c r="Z732" s="348"/>
      <c r="AA732" s="348"/>
    </row>
    <row r="733" s="331" customFormat="1" ht="17" customHeight="1" spans="1:27">
      <c r="A733" s="348"/>
      <c r="B733" s="348" t="s">
        <v>281</v>
      </c>
      <c r="C733" s="348" t="s">
        <v>491</v>
      </c>
      <c r="D733" s="349" t="s">
        <v>518</v>
      </c>
      <c r="E733" s="336">
        <v>43611</v>
      </c>
      <c r="F733" s="336">
        <v>43610</v>
      </c>
      <c r="G733" s="336">
        <v>43670</v>
      </c>
      <c r="H733" s="334" t="s">
        <v>2202</v>
      </c>
      <c r="I733" s="356">
        <v>13764655336</v>
      </c>
      <c r="J733" s="361" t="s">
        <v>2203</v>
      </c>
      <c r="K733" s="356">
        <v>2000</v>
      </c>
      <c r="L733" s="334">
        <v>8597</v>
      </c>
      <c r="M733" s="362"/>
      <c r="N733" s="362">
        <f t="shared" si="22"/>
        <v>8597</v>
      </c>
      <c r="O733" s="356" t="s">
        <v>52</v>
      </c>
      <c r="Q733" s="356"/>
      <c r="R733" s="356"/>
      <c r="S733" s="356"/>
      <c r="T733" s="356"/>
      <c r="U733" s="372"/>
      <c r="V733" s="372"/>
      <c r="W733" s="372"/>
      <c r="X733" s="373"/>
      <c r="Y733" s="348"/>
      <c r="Z733" s="348"/>
      <c r="AA733" s="348"/>
    </row>
    <row r="734" s="331" customFormat="1" ht="17" customHeight="1" spans="1:27">
      <c r="A734" s="348"/>
      <c r="B734" s="348" t="s">
        <v>281</v>
      </c>
      <c r="C734" s="348" t="s">
        <v>491</v>
      </c>
      <c r="D734" s="352" t="s">
        <v>49</v>
      </c>
      <c r="E734" s="336">
        <v>43611</v>
      </c>
      <c r="F734" s="336">
        <v>43610</v>
      </c>
      <c r="G734" s="350"/>
      <c r="H734" s="334" t="s">
        <v>2204</v>
      </c>
      <c r="I734" s="356">
        <v>13162942618</v>
      </c>
      <c r="J734" s="361" t="s">
        <v>2205</v>
      </c>
      <c r="K734" s="356">
        <v>2000</v>
      </c>
      <c r="L734" s="362"/>
      <c r="M734" s="362"/>
      <c r="N734" s="362">
        <f t="shared" si="22"/>
        <v>0</v>
      </c>
      <c r="O734" s="356"/>
      <c r="Q734" s="356" t="s">
        <v>52</v>
      </c>
      <c r="R734" s="356"/>
      <c r="S734" s="356"/>
      <c r="T734" s="356"/>
      <c r="U734" s="372"/>
      <c r="V734" s="372"/>
      <c r="W734" s="372"/>
      <c r="X734" s="373"/>
      <c r="Y734" s="348"/>
      <c r="Z734" s="348"/>
      <c r="AA734" s="348"/>
    </row>
    <row r="735" s="331" customFormat="1" ht="17" customHeight="1" spans="1:27">
      <c r="A735" s="550" t="s">
        <v>2206</v>
      </c>
      <c r="B735" s="348" t="s">
        <v>805</v>
      </c>
      <c r="C735" s="348" t="s">
        <v>806</v>
      </c>
      <c r="D735" s="334" t="s">
        <v>427</v>
      </c>
      <c r="E735" s="336">
        <v>43764</v>
      </c>
      <c r="F735" s="336">
        <v>43610</v>
      </c>
      <c r="G735" s="336">
        <v>43764</v>
      </c>
      <c r="H735" s="334" t="s">
        <v>2207</v>
      </c>
      <c r="I735" s="356">
        <v>18939797008</v>
      </c>
      <c r="J735" s="361" t="s">
        <v>2208</v>
      </c>
      <c r="K735" s="356">
        <v>3000</v>
      </c>
      <c r="L735" s="334">
        <v>17110</v>
      </c>
      <c r="M735" s="362"/>
      <c r="N735" s="362">
        <f t="shared" si="22"/>
        <v>17110</v>
      </c>
      <c r="O735" s="356"/>
      <c r="Q735" s="356"/>
      <c r="R735" s="356"/>
      <c r="S735" s="356"/>
      <c r="T735" s="356"/>
      <c r="U735" s="372"/>
      <c r="V735" s="372">
        <v>7.19</v>
      </c>
      <c r="W735" s="372"/>
      <c r="X735" s="373"/>
      <c r="Y735" s="348"/>
      <c r="Z735" s="348"/>
      <c r="AA735" s="348"/>
    </row>
    <row r="736" s="331" customFormat="1" ht="17" customHeight="1" spans="1:27">
      <c r="A736" s="348">
        <v>2067269</v>
      </c>
      <c r="B736" s="348" t="s">
        <v>805</v>
      </c>
      <c r="C736" s="348" t="s">
        <v>806</v>
      </c>
      <c r="D736" s="349" t="s">
        <v>427</v>
      </c>
      <c r="E736" s="336">
        <v>43611</v>
      </c>
      <c r="F736" s="336">
        <v>43610</v>
      </c>
      <c r="G736" s="336">
        <v>43660</v>
      </c>
      <c r="H736" s="334" t="s">
        <v>2209</v>
      </c>
      <c r="I736" s="356">
        <v>18616359710</v>
      </c>
      <c r="J736" s="361" t="s">
        <v>2210</v>
      </c>
      <c r="K736" s="356">
        <v>3000</v>
      </c>
      <c r="L736" s="334">
        <v>51139</v>
      </c>
      <c r="M736" s="334"/>
      <c r="N736" s="362">
        <f t="shared" si="22"/>
        <v>51139</v>
      </c>
      <c r="O736" s="356"/>
      <c r="Q736" s="356"/>
      <c r="R736" s="356"/>
      <c r="S736" s="356"/>
      <c r="T736" s="356"/>
      <c r="U736" s="372"/>
      <c r="V736" s="372"/>
      <c r="W736" s="372"/>
      <c r="X736" s="373"/>
      <c r="Y736" s="348"/>
      <c r="Z736" s="348"/>
      <c r="AA736" s="348"/>
    </row>
    <row r="737" s="331" customFormat="1" ht="17" customHeight="1" spans="1:27">
      <c r="A737" s="550" t="s">
        <v>2211</v>
      </c>
      <c r="B737" s="348" t="s">
        <v>805</v>
      </c>
      <c r="C737" s="348" t="s">
        <v>1458</v>
      </c>
      <c r="D737" s="352" t="s">
        <v>635</v>
      </c>
      <c r="E737" s="336">
        <v>43611</v>
      </c>
      <c r="F737" s="336">
        <v>43610</v>
      </c>
      <c r="G737" s="350"/>
      <c r="H737" s="334" t="s">
        <v>2212</v>
      </c>
      <c r="I737" s="356" t="s">
        <v>2213</v>
      </c>
      <c r="J737" s="361" t="s">
        <v>2214</v>
      </c>
      <c r="K737" s="356">
        <v>3000</v>
      </c>
      <c r="L737" s="362"/>
      <c r="M737" s="362"/>
      <c r="N737" s="362">
        <f t="shared" si="22"/>
        <v>0</v>
      </c>
      <c r="O737" s="356"/>
      <c r="Q737" s="356"/>
      <c r="R737" s="356"/>
      <c r="S737" s="356" t="s">
        <v>52</v>
      </c>
      <c r="T737" s="356"/>
      <c r="U737" s="372"/>
      <c r="V737" s="372"/>
      <c r="W737" s="372"/>
      <c r="X737" s="373"/>
      <c r="Y737" s="348" t="s">
        <v>2215</v>
      </c>
      <c r="Z737" s="348"/>
      <c r="AA737" s="348"/>
    </row>
    <row r="738" s="331" customFormat="1" ht="17" customHeight="1" spans="1:27">
      <c r="A738" s="348">
        <v>2025309</v>
      </c>
      <c r="B738" s="348" t="s">
        <v>137</v>
      </c>
      <c r="C738" s="348" t="s">
        <v>406</v>
      </c>
      <c r="D738" s="349" t="s">
        <v>60</v>
      </c>
      <c r="E738" s="336">
        <v>43611</v>
      </c>
      <c r="F738" s="336">
        <v>43611</v>
      </c>
      <c r="G738" s="336">
        <v>43655</v>
      </c>
      <c r="H738" s="334" t="s">
        <v>2216</v>
      </c>
      <c r="I738" s="356">
        <v>13818375133</v>
      </c>
      <c r="J738" s="361" t="s">
        <v>2217</v>
      </c>
      <c r="K738" s="356">
        <v>2000</v>
      </c>
      <c r="L738" s="334">
        <v>13091</v>
      </c>
      <c r="M738" s="334"/>
      <c r="N738" s="362">
        <f t="shared" si="22"/>
        <v>13091</v>
      </c>
      <c r="O738" s="356"/>
      <c r="Q738" s="356"/>
      <c r="R738" s="356"/>
      <c r="S738" s="356"/>
      <c r="T738" s="356"/>
      <c r="U738" s="372"/>
      <c r="V738" s="372"/>
      <c r="W738" s="372"/>
      <c r="X738" s="373"/>
      <c r="Y738" s="348" t="s">
        <v>2218</v>
      </c>
      <c r="Z738" s="348"/>
      <c r="AA738" s="348"/>
    </row>
    <row r="739" s="331" customFormat="1" ht="17" customHeight="1" spans="1:27">
      <c r="A739" s="348">
        <v>2026773</v>
      </c>
      <c r="B739" s="348" t="s">
        <v>73</v>
      </c>
      <c r="C739" s="348" t="s">
        <v>178</v>
      </c>
      <c r="D739" s="349" t="s">
        <v>33</v>
      </c>
      <c r="E739" s="336">
        <v>43688</v>
      </c>
      <c r="F739" s="336">
        <v>43611</v>
      </c>
      <c r="G739" s="336">
        <v>43688</v>
      </c>
      <c r="H739" s="334" t="s">
        <v>2219</v>
      </c>
      <c r="I739" s="356">
        <v>13916438725</v>
      </c>
      <c r="J739" s="361" t="s">
        <v>2220</v>
      </c>
      <c r="K739" s="356">
        <v>1000</v>
      </c>
      <c r="L739" s="334">
        <v>13277</v>
      </c>
      <c r="M739" s="362"/>
      <c r="N739" s="362">
        <f t="shared" si="22"/>
        <v>13277</v>
      </c>
      <c r="O739" s="366" t="s">
        <v>52</v>
      </c>
      <c r="Q739" s="356"/>
      <c r="R739" s="356"/>
      <c r="S739" s="356"/>
      <c r="T739" s="356"/>
      <c r="U739" s="372"/>
      <c r="V739" s="372"/>
      <c r="W739" s="372"/>
      <c r="X739" s="373"/>
      <c r="Y739" s="348" t="s">
        <v>2221</v>
      </c>
      <c r="Z739" s="348" t="s">
        <v>79</v>
      </c>
      <c r="AA739" s="348"/>
    </row>
    <row r="740" s="331" customFormat="1" ht="17" customHeight="1" spans="1:27">
      <c r="A740" s="348">
        <v>2026772</v>
      </c>
      <c r="B740" s="348" t="s">
        <v>73</v>
      </c>
      <c r="C740" s="348" t="s">
        <v>74</v>
      </c>
      <c r="D740" s="349" t="s">
        <v>717</v>
      </c>
      <c r="E740" s="336">
        <v>43611</v>
      </c>
      <c r="F740" s="336">
        <v>43611</v>
      </c>
      <c r="G740" s="336">
        <v>43659</v>
      </c>
      <c r="H740" s="334" t="s">
        <v>2222</v>
      </c>
      <c r="I740" s="356">
        <v>13681910877</v>
      </c>
      <c r="J740" s="361" t="s">
        <v>2223</v>
      </c>
      <c r="K740" s="356">
        <v>1000</v>
      </c>
      <c r="L740" s="334">
        <v>17386</v>
      </c>
      <c r="M740" s="334">
        <v>736</v>
      </c>
      <c r="N740" s="362">
        <f t="shared" si="22"/>
        <v>18122</v>
      </c>
      <c r="O740" s="356"/>
      <c r="Q740" s="356"/>
      <c r="R740" s="356"/>
      <c r="S740" s="356"/>
      <c r="T740" s="356"/>
      <c r="U740" s="372"/>
      <c r="V740" s="372"/>
      <c r="W740" s="372"/>
      <c r="X740" s="373"/>
      <c r="Y740" s="348" t="s">
        <v>2221</v>
      </c>
      <c r="Z740" s="348" t="s">
        <v>79</v>
      </c>
      <c r="AA740" s="348"/>
    </row>
    <row r="741" s="331" customFormat="1" ht="15" customHeight="1" spans="1:27">
      <c r="A741" s="550" t="s">
        <v>2224</v>
      </c>
      <c r="B741" s="348" t="s">
        <v>405</v>
      </c>
      <c r="C741" s="348" t="s">
        <v>1234</v>
      </c>
      <c r="D741" s="349" t="s">
        <v>407</v>
      </c>
      <c r="E741" s="336">
        <v>43795</v>
      </c>
      <c r="F741" s="336">
        <v>43610</v>
      </c>
      <c r="G741" s="336">
        <v>43795</v>
      </c>
      <c r="H741" s="334" t="s">
        <v>2225</v>
      </c>
      <c r="I741" s="356">
        <v>13701937471</v>
      </c>
      <c r="J741" s="361" t="s">
        <v>2226</v>
      </c>
      <c r="K741" s="356">
        <v>1000</v>
      </c>
      <c r="L741" s="334">
        <v>23800</v>
      </c>
      <c r="M741" s="362"/>
      <c r="N741" s="362">
        <f t="shared" si="22"/>
        <v>23800</v>
      </c>
      <c r="O741" s="356" t="s">
        <v>52</v>
      </c>
      <c r="Q741" s="356"/>
      <c r="R741" s="356"/>
      <c r="S741" s="356"/>
      <c r="T741" s="356"/>
      <c r="U741" s="372"/>
      <c r="V741" s="372"/>
      <c r="W741" s="372"/>
      <c r="X741" s="373"/>
      <c r="Y741" s="348"/>
      <c r="Z741" s="348"/>
      <c r="AA741" s="348"/>
    </row>
    <row r="742" s="331" customFormat="1" ht="17" customHeight="1" spans="1:27">
      <c r="A742" s="550" t="s">
        <v>2227</v>
      </c>
      <c r="B742" s="348" t="s">
        <v>66</v>
      </c>
      <c r="C742" s="348" t="s">
        <v>1749</v>
      </c>
      <c r="D742" s="349" t="s">
        <v>68</v>
      </c>
      <c r="E742" s="336">
        <v>43822</v>
      </c>
      <c r="F742" s="336">
        <v>43611</v>
      </c>
      <c r="G742" s="336">
        <v>43821</v>
      </c>
      <c r="H742" s="334" t="s">
        <v>2228</v>
      </c>
      <c r="I742" s="356">
        <v>18019191661</v>
      </c>
      <c r="J742" s="361" t="s">
        <v>2229</v>
      </c>
      <c r="K742" s="356">
        <v>1000</v>
      </c>
      <c r="L742" s="334">
        <v>41000</v>
      </c>
      <c r="M742" s="362"/>
      <c r="N742" s="362">
        <f t="shared" si="22"/>
        <v>41000</v>
      </c>
      <c r="O742" s="356"/>
      <c r="Q742" s="356" t="s">
        <v>52</v>
      </c>
      <c r="R742" s="356"/>
      <c r="S742" s="356"/>
      <c r="T742" s="356"/>
      <c r="U742" s="372"/>
      <c r="V742" s="372"/>
      <c r="W742" s="372"/>
      <c r="X742" s="373">
        <v>1</v>
      </c>
      <c r="Y742" s="348" t="s">
        <v>2221</v>
      </c>
      <c r="Z742" s="348"/>
      <c r="AA742" s="348"/>
    </row>
    <row r="743" s="331" customFormat="1" ht="17" customHeight="1" spans="1:27">
      <c r="A743" s="348"/>
      <c r="B743" s="348" t="s">
        <v>130</v>
      </c>
      <c r="C743" s="348" t="s">
        <v>722</v>
      </c>
      <c r="D743" s="349" t="s">
        <v>132</v>
      </c>
      <c r="E743" s="336">
        <v>43767</v>
      </c>
      <c r="F743" s="336">
        <v>43611</v>
      </c>
      <c r="G743" s="336">
        <v>43744</v>
      </c>
      <c r="H743" s="334" t="s">
        <v>2230</v>
      </c>
      <c r="I743" s="356">
        <v>13764020091</v>
      </c>
      <c r="J743" s="361" t="s">
        <v>2231</v>
      </c>
      <c r="K743" s="356">
        <v>1000</v>
      </c>
      <c r="L743" s="334">
        <v>15481</v>
      </c>
      <c r="M743" s="362"/>
      <c r="N743" s="362">
        <f t="shared" ref="N743:N774" si="23">L743+M743</f>
        <v>15481</v>
      </c>
      <c r="O743" s="356"/>
      <c r="Q743" s="356"/>
      <c r="R743" s="356"/>
      <c r="S743" s="356"/>
      <c r="T743" s="356"/>
      <c r="U743" s="372"/>
      <c r="V743" s="372"/>
      <c r="W743" s="372"/>
      <c r="X743" s="373"/>
      <c r="Y743" s="348"/>
      <c r="Z743" s="348"/>
      <c r="AA743" s="348"/>
    </row>
    <row r="744" s="331" customFormat="1" ht="17" customHeight="1" spans="1:27">
      <c r="A744" s="348">
        <v>2067595</v>
      </c>
      <c r="B744" s="348" t="s">
        <v>31</v>
      </c>
      <c r="C744" s="348" t="s">
        <v>220</v>
      </c>
      <c r="D744" s="349" t="s">
        <v>33</v>
      </c>
      <c r="E744" s="336">
        <v>43612</v>
      </c>
      <c r="F744" s="336">
        <v>43611</v>
      </c>
      <c r="G744" s="336">
        <v>43660</v>
      </c>
      <c r="H744" s="334" t="s">
        <v>2232</v>
      </c>
      <c r="I744" s="356">
        <v>13701700618</v>
      </c>
      <c r="J744" s="361" t="s">
        <v>2233</v>
      </c>
      <c r="K744" s="356">
        <v>1000</v>
      </c>
      <c r="L744" s="334">
        <v>24600</v>
      </c>
      <c r="M744" s="334"/>
      <c r="N744" s="362">
        <f t="shared" si="23"/>
        <v>24600</v>
      </c>
      <c r="O744" s="356"/>
      <c r="Q744" s="356"/>
      <c r="R744" s="356"/>
      <c r="S744" s="356"/>
      <c r="T744" s="356"/>
      <c r="U744" s="372"/>
      <c r="V744" s="372"/>
      <c r="W744" s="372"/>
      <c r="X744" s="373"/>
      <c r="Y744" s="348" t="s">
        <v>142</v>
      </c>
      <c r="Z744" s="348"/>
      <c r="AA744" s="348"/>
    </row>
    <row r="745" s="331" customFormat="1" ht="17" customHeight="1" spans="1:27">
      <c r="A745" s="348">
        <v>2027566</v>
      </c>
      <c r="B745" s="348" t="s">
        <v>73</v>
      </c>
      <c r="C745" s="348" t="s">
        <v>74</v>
      </c>
      <c r="D745" s="349" t="s">
        <v>132</v>
      </c>
      <c r="E745" s="336">
        <v>43699</v>
      </c>
      <c r="F745" s="336">
        <v>43611</v>
      </c>
      <c r="G745" s="336">
        <v>43698</v>
      </c>
      <c r="H745" s="334" t="s">
        <v>2234</v>
      </c>
      <c r="I745" s="356">
        <v>18302159091</v>
      </c>
      <c r="J745" s="361" t="s">
        <v>2235</v>
      </c>
      <c r="K745" s="356">
        <v>1000</v>
      </c>
      <c r="L745" s="334">
        <v>16287</v>
      </c>
      <c r="M745" s="362"/>
      <c r="N745" s="362">
        <f t="shared" si="23"/>
        <v>16287</v>
      </c>
      <c r="O745" s="366"/>
      <c r="Q745" s="356"/>
      <c r="R745" s="366" t="s">
        <v>52</v>
      </c>
      <c r="S745" s="356"/>
      <c r="T745" s="356"/>
      <c r="U745" s="372"/>
      <c r="V745" s="372"/>
      <c r="W745" s="372"/>
      <c r="X745" s="373"/>
      <c r="Y745" s="348"/>
      <c r="Z745" s="348" t="s">
        <v>79</v>
      </c>
      <c r="AA745" s="348"/>
    </row>
    <row r="746" s="331" customFormat="1" ht="17" customHeight="1" spans="1:27">
      <c r="A746" s="348">
        <v>2026756</v>
      </c>
      <c r="B746" s="348" t="s">
        <v>73</v>
      </c>
      <c r="C746" s="348" t="s">
        <v>74</v>
      </c>
      <c r="D746" s="352" t="s">
        <v>75</v>
      </c>
      <c r="E746" s="336">
        <v>43596</v>
      </c>
      <c r="F746" s="336">
        <v>43596</v>
      </c>
      <c r="G746" s="350"/>
      <c r="H746" s="334" t="s">
        <v>2236</v>
      </c>
      <c r="I746" s="356">
        <v>18918582851</v>
      </c>
      <c r="J746" s="361" t="s">
        <v>2237</v>
      </c>
      <c r="K746" s="356">
        <v>1000</v>
      </c>
      <c r="L746" s="362"/>
      <c r="M746" s="362"/>
      <c r="N746" s="362">
        <f t="shared" si="23"/>
        <v>0</v>
      </c>
      <c r="O746" s="356"/>
      <c r="Q746" s="356"/>
      <c r="R746" s="366" t="s">
        <v>52</v>
      </c>
      <c r="S746" s="356"/>
      <c r="T746" s="356"/>
      <c r="U746" s="372" t="s">
        <v>78</v>
      </c>
      <c r="V746" s="372"/>
      <c r="W746" s="372"/>
      <c r="X746" s="373"/>
      <c r="Y746" s="348" t="s">
        <v>1353</v>
      </c>
      <c r="Z746" s="348" t="s">
        <v>79</v>
      </c>
      <c r="AA746" s="348"/>
    </row>
    <row r="747" s="331" customFormat="1" ht="17" customHeight="1" spans="1:27">
      <c r="A747" s="550" t="s">
        <v>2238</v>
      </c>
      <c r="B747" s="348" t="s">
        <v>315</v>
      </c>
      <c r="C747" s="348" t="s">
        <v>258</v>
      </c>
      <c r="D747" s="352" t="s">
        <v>132</v>
      </c>
      <c r="E747" s="336">
        <v>43696</v>
      </c>
      <c r="F747" s="336">
        <v>43647</v>
      </c>
      <c r="G747" s="336">
        <v>43695</v>
      </c>
      <c r="H747" s="334" t="s">
        <v>795</v>
      </c>
      <c r="I747" s="356">
        <v>13916829516</v>
      </c>
      <c r="J747" s="361" t="s">
        <v>2239</v>
      </c>
      <c r="K747" s="356">
        <v>5301</v>
      </c>
      <c r="L747" s="334">
        <f>17422-1104</f>
        <v>16318</v>
      </c>
      <c r="M747" s="334">
        <v>1104</v>
      </c>
      <c r="N747" s="362">
        <f t="shared" si="23"/>
        <v>17422</v>
      </c>
      <c r="O747" s="356">
        <v>1</v>
      </c>
      <c r="Q747" s="356"/>
      <c r="R747" s="356"/>
      <c r="S747" s="356"/>
      <c r="T747" s="356"/>
      <c r="U747" s="372"/>
      <c r="V747" s="372"/>
      <c r="W747" s="372"/>
      <c r="X747" s="373"/>
      <c r="Y747" s="348"/>
      <c r="Z747" s="348"/>
      <c r="AA747" s="348"/>
    </row>
    <row r="748" s="331" customFormat="1" ht="17" customHeight="1" spans="1:27">
      <c r="A748" s="550" t="s">
        <v>2240</v>
      </c>
      <c r="B748" s="348" t="s">
        <v>31</v>
      </c>
      <c r="C748" s="348" t="s">
        <v>419</v>
      </c>
      <c r="D748" s="349" t="s">
        <v>221</v>
      </c>
      <c r="E748" s="336">
        <v>43706</v>
      </c>
      <c r="F748" s="336">
        <v>43611</v>
      </c>
      <c r="G748" s="336">
        <v>43691</v>
      </c>
      <c r="H748" s="334" t="s">
        <v>2241</v>
      </c>
      <c r="I748" s="356">
        <v>18916628863</v>
      </c>
      <c r="J748" s="361" t="s">
        <v>2242</v>
      </c>
      <c r="K748" s="356">
        <v>6997</v>
      </c>
      <c r="L748" s="334">
        <f>9826-1104</f>
        <v>8722</v>
      </c>
      <c r="M748" s="334">
        <v>1104</v>
      </c>
      <c r="N748" s="362">
        <f t="shared" si="23"/>
        <v>9826</v>
      </c>
      <c r="O748" s="356"/>
      <c r="Q748" s="356"/>
      <c r="R748" s="366" t="s">
        <v>52</v>
      </c>
      <c r="S748" s="356"/>
      <c r="T748" s="356"/>
      <c r="U748" s="372"/>
      <c r="V748" s="372"/>
      <c r="W748" s="372"/>
      <c r="X748" s="373"/>
      <c r="Y748" s="348"/>
      <c r="Z748" s="348"/>
      <c r="AA748" s="348"/>
    </row>
    <row r="749" s="331" customFormat="1" ht="17" customHeight="1" spans="1:27">
      <c r="A749" s="348"/>
      <c r="B749" s="348" t="s">
        <v>281</v>
      </c>
      <c r="C749" s="348" t="s">
        <v>517</v>
      </c>
      <c r="D749" s="352" t="s">
        <v>49</v>
      </c>
      <c r="E749" s="336">
        <v>43612</v>
      </c>
      <c r="F749" s="336">
        <v>43604</v>
      </c>
      <c r="G749" s="350"/>
      <c r="H749" s="334" t="s">
        <v>2243</v>
      </c>
      <c r="I749" s="356">
        <v>18918830493</v>
      </c>
      <c r="J749" s="361" t="s">
        <v>2244</v>
      </c>
      <c r="K749" s="356">
        <v>3000</v>
      </c>
      <c r="L749" s="362"/>
      <c r="M749" s="362"/>
      <c r="N749" s="362">
        <f t="shared" si="23"/>
        <v>0</v>
      </c>
      <c r="O749" s="356" t="s">
        <v>52</v>
      </c>
      <c r="Q749" s="356"/>
      <c r="R749" s="356"/>
      <c r="S749" s="356"/>
      <c r="T749" s="356"/>
      <c r="U749" s="372" t="s">
        <v>12</v>
      </c>
      <c r="V749" s="372"/>
      <c r="W749" s="372"/>
      <c r="X749" s="373"/>
      <c r="Y749" s="348" t="s">
        <v>2245</v>
      </c>
      <c r="Z749" s="348"/>
      <c r="AA749" s="348"/>
    </row>
    <row r="750" s="331" customFormat="1" ht="17" customHeight="1" spans="1:27">
      <c r="A750" s="348">
        <v>2067643</v>
      </c>
      <c r="B750" s="348" t="s">
        <v>243</v>
      </c>
      <c r="C750" s="348" t="s">
        <v>309</v>
      </c>
      <c r="D750" s="352" t="s">
        <v>49</v>
      </c>
      <c r="E750" s="336">
        <v>43712</v>
      </c>
      <c r="F750" s="336">
        <v>43611</v>
      </c>
      <c r="G750" s="336">
        <v>43712</v>
      </c>
      <c r="H750" s="334" t="s">
        <v>2246</v>
      </c>
      <c r="I750" s="356">
        <v>13611724317</v>
      </c>
      <c r="J750" s="361" t="s">
        <v>2247</v>
      </c>
      <c r="K750" s="356">
        <v>1000</v>
      </c>
      <c r="L750" s="334">
        <f>25900-1340</f>
        <v>24560</v>
      </c>
      <c r="M750" s="334">
        <v>1340</v>
      </c>
      <c r="N750" s="362">
        <f t="shared" si="23"/>
        <v>25900</v>
      </c>
      <c r="O750" s="356"/>
      <c r="Q750" s="356"/>
      <c r="R750" s="356" t="s">
        <v>52</v>
      </c>
      <c r="S750" s="356"/>
      <c r="T750" s="356"/>
      <c r="U750" s="372"/>
      <c r="V750" s="372"/>
      <c r="W750" s="372"/>
      <c r="X750" s="373"/>
      <c r="Y750" s="348" t="s">
        <v>142</v>
      </c>
      <c r="Z750" s="348"/>
      <c r="AA750" s="348"/>
    </row>
    <row r="751" s="331" customFormat="1" ht="17" customHeight="1" spans="1:27">
      <c r="A751" s="348"/>
      <c r="B751" s="348" t="s">
        <v>243</v>
      </c>
      <c r="C751" s="348" t="s">
        <v>244</v>
      </c>
      <c r="D751" s="352" t="s">
        <v>49</v>
      </c>
      <c r="E751" s="336">
        <v>43725</v>
      </c>
      <c r="F751" s="336">
        <v>43611</v>
      </c>
      <c r="G751" s="336">
        <v>43723</v>
      </c>
      <c r="H751" s="334" t="s">
        <v>2248</v>
      </c>
      <c r="I751" s="356">
        <v>13482870912</v>
      </c>
      <c r="J751" s="361" t="s">
        <v>2249</v>
      </c>
      <c r="K751" s="356">
        <v>3000</v>
      </c>
      <c r="L751" s="334">
        <v>48500</v>
      </c>
      <c r="M751" s="362"/>
      <c r="N751" s="362">
        <f t="shared" si="23"/>
        <v>48500</v>
      </c>
      <c r="O751" s="356"/>
      <c r="P751" s="356"/>
      <c r="Q751" s="356"/>
      <c r="R751" s="356" t="s">
        <v>52</v>
      </c>
      <c r="S751" s="356"/>
      <c r="T751" s="356"/>
      <c r="U751" s="372"/>
      <c r="V751" s="372"/>
      <c r="W751" s="372"/>
      <c r="X751" s="373"/>
      <c r="Y751" s="348"/>
      <c r="Z751" s="348"/>
      <c r="AA751" s="348"/>
    </row>
    <row r="752" s="331" customFormat="1" ht="17" customHeight="1" spans="1:27">
      <c r="A752" s="348"/>
      <c r="B752" s="348" t="s">
        <v>31</v>
      </c>
      <c r="C752" s="348" t="s">
        <v>32</v>
      </c>
      <c r="D752" s="349" t="s">
        <v>221</v>
      </c>
      <c r="E752" s="336">
        <v>43613</v>
      </c>
      <c r="F752" s="336">
        <v>43613</v>
      </c>
      <c r="G752" s="336">
        <v>43648</v>
      </c>
      <c r="H752" s="334" t="s">
        <v>2250</v>
      </c>
      <c r="I752" s="356">
        <v>18621390972</v>
      </c>
      <c r="J752" s="361" t="s">
        <v>2251</v>
      </c>
      <c r="K752" s="356">
        <v>1000</v>
      </c>
      <c r="L752" s="334">
        <v>8527</v>
      </c>
      <c r="M752" s="334">
        <v>660</v>
      </c>
      <c r="N752" s="362">
        <f t="shared" si="23"/>
        <v>9187</v>
      </c>
      <c r="O752" s="356"/>
      <c r="Q752" s="356"/>
      <c r="R752" s="356"/>
      <c r="S752" s="356"/>
      <c r="T752" s="356"/>
      <c r="U752" s="372"/>
      <c r="V752" s="372"/>
      <c r="W752" s="372"/>
      <c r="X752" s="373"/>
      <c r="Y752" s="348"/>
      <c r="Z752" s="348"/>
      <c r="AA752" s="348"/>
    </row>
    <row r="753" s="331" customFormat="1" ht="17" customHeight="1" spans="1:27">
      <c r="A753" s="348">
        <v>2027570</v>
      </c>
      <c r="B753" s="348" t="s">
        <v>73</v>
      </c>
      <c r="C753" s="348" t="s">
        <v>74</v>
      </c>
      <c r="D753" s="349" t="s">
        <v>132</v>
      </c>
      <c r="E753" s="336">
        <v>43688</v>
      </c>
      <c r="F753" s="336">
        <v>43612</v>
      </c>
      <c r="G753" s="336">
        <v>43687</v>
      </c>
      <c r="H753" s="334" t="s">
        <v>2252</v>
      </c>
      <c r="I753" s="356">
        <v>13681959690</v>
      </c>
      <c r="J753" s="361" t="s">
        <v>2253</v>
      </c>
      <c r="K753" s="356">
        <v>1000</v>
      </c>
      <c r="L753" s="334">
        <v>34242</v>
      </c>
      <c r="M753" s="362"/>
      <c r="N753" s="362">
        <f t="shared" si="23"/>
        <v>34242</v>
      </c>
      <c r="O753" s="356"/>
      <c r="Q753" s="356"/>
      <c r="R753" s="366" t="s">
        <v>52</v>
      </c>
      <c r="S753" s="356"/>
      <c r="T753" s="356"/>
      <c r="U753" s="372"/>
      <c r="V753" s="372"/>
      <c r="W753" s="372"/>
      <c r="X753" s="373"/>
      <c r="Y753" s="348"/>
      <c r="Z753" s="348"/>
      <c r="AA753" s="348"/>
    </row>
    <row r="754" s="331" customFormat="1" ht="17" customHeight="1" spans="1:27">
      <c r="A754" s="550" t="s">
        <v>2254</v>
      </c>
      <c r="B754" s="348" t="s">
        <v>335</v>
      </c>
      <c r="C754" s="348" t="s">
        <v>399</v>
      </c>
      <c r="D754" s="334" t="s">
        <v>635</v>
      </c>
      <c r="E754" s="336">
        <v>43738</v>
      </c>
      <c r="F754" s="336">
        <v>43613</v>
      </c>
      <c r="G754" s="336">
        <v>43737</v>
      </c>
      <c r="H754" s="334" t="s">
        <v>2255</v>
      </c>
      <c r="I754" s="356">
        <v>18917913115</v>
      </c>
      <c r="J754" s="361" t="s">
        <v>2256</v>
      </c>
      <c r="K754" s="356">
        <v>3000</v>
      </c>
      <c r="L754" s="334">
        <v>23000</v>
      </c>
      <c r="M754" s="362"/>
      <c r="N754" s="362">
        <f t="shared" si="23"/>
        <v>23000</v>
      </c>
      <c r="O754" s="356"/>
      <c r="P754" s="333" t="s">
        <v>1526</v>
      </c>
      <c r="Q754" s="356"/>
      <c r="R754" s="356"/>
      <c r="S754" s="356"/>
      <c r="T754" s="356"/>
      <c r="U754" s="372"/>
      <c r="V754" s="372"/>
      <c r="W754" s="372"/>
      <c r="X754" s="373">
        <v>1</v>
      </c>
      <c r="Y754" s="348" t="s">
        <v>2257</v>
      </c>
      <c r="Z754" s="348"/>
      <c r="AA754" s="348"/>
    </row>
    <row r="755" s="331" customFormat="1" ht="17" customHeight="1" spans="1:27">
      <c r="A755" s="348">
        <v>2024315</v>
      </c>
      <c r="B755" s="348" t="s">
        <v>137</v>
      </c>
      <c r="C755" s="348" t="s">
        <v>138</v>
      </c>
      <c r="D755" s="349" t="s">
        <v>75</v>
      </c>
      <c r="E755" s="336">
        <v>43633</v>
      </c>
      <c r="F755" s="336">
        <v>43632</v>
      </c>
      <c r="G755" s="336">
        <v>43676</v>
      </c>
      <c r="H755" s="334" t="s">
        <v>2258</v>
      </c>
      <c r="I755" s="356">
        <v>13916866178</v>
      </c>
      <c r="J755" s="361" t="s">
        <v>2259</v>
      </c>
      <c r="K755" s="356">
        <f>40000+1000</f>
        <v>41000</v>
      </c>
      <c r="L755" s="334">
        <v>40982</v>
      </c>
      <c r="M755" s="362"/>
      <c r="N755" s="362">
        <f t="shared" si="23"/>
        <v>40982</v>
      </c>
      <c r="O755" s="356"/>
      <c r="Q755" s="356"/>
      <c r="R755" s="356"/>
      <c r="S755" s="356"/>
      <c r="T755" s="356"/>
      <c r="U755" s="372"/>
      <c r="V755" s="372">
        <v>1</v>
      </c>
      <c r="W755" s="372"/>
      <c r="X755" s="373">
        <v>1</v>
      </c>
      <c r="Y755" s="348"/>
      <c r="Z755" s="348"/>
      <c r="AA755" s="348"/>
    </row>
    <row r="756" s="331" customFormat="1" ht="17" customHeight="1" spans="1:27">
      <c r="A756" s="348">
        <v>2027571</v>
      </c>
      <c r="B756" s="348" t="s">
        <v>73</v>
      </c>
      <c r="C756" s="348" t="s">
        <v>74</v>
      </c>
      <c r="D756" s="352" t="s">
        <v>717</v>
      </c>
      <c r="E756" s="336">
        <v>43615</v>
      </c>
      <c r="F756" s="336">
        <v>43615</v>
      </c>
      <c r="G756" s="336">
        <v>43676</v>
      </c>
      <c r="H756" s="334" t="s">
        <v>2260</v>
      </c>
      <c r="I756" s="356">
        <v>13671619399</v>
      </c>
      <c r="J756" s="361" t="s">
        <v>2261</v>
      </c>
      <c r="K756" s="356">
        <v>1000</v>
      </c>
      <c r="L756" s="334">
        <v>47525</v>
      </c>
      <c r="M756" s="362"/>
      <c r="N756" s="362">
        <f t="shared" si="23"/>
        <v>47525</v>
      </c>
      <c r="O756" s="356"/>
      <c r="Q756" s="366" t="s">
        <v>52</v>
      </c>
      <c r="R756" s="356"/>
      <c r="S756" s="356"/>
      <c r="T756" s="356"/>
      <c r="U756" s="372"/>
      <c r="V756" s="372"/>
      <c r="W756" s="372"/>
      <c r="X756" s="373">
        <v>1</v>
      </c>
      <c r="Y756" s="348"/>
      <c r="Z756" s="348" t="s">
        <v>79</v>
      </c>
      <c r="AA756" s="348"/>
    </row>
    <row r="757" s="57" customFormat="1" ht="17" customHeight="1" spans="1:27">
      <c r="A757" s="348">
        <v>2025313</v>
      </c>
      <c r="B757" s="348" t="s">
        <v>137</v>
      </c>
      <c r="C757" s="348" t="s">
        <v>861</v>
      </c>
      <c r="D757" s="349" t="s">
        <v>427</v>
      </c>
      <c r="E757" s="336">
        <v>43615</v>
      </c>
      <c r="F757" s="336">
        <v>43614</v>
      </c>
      <c r="G757" s="350"/>
      <c r="H757" s="334" t="s">
        <v>2262</v>
      </c>
      <c r="I757" s="356">
        <v>1330170678</v>
      </c>
      <c r="J757" s="348" t="s">
        <v>2263</v>
      </c>
      <c r="K757" s="356">
        <v>1000</v>
      </c>
      <c r="L757" s="362"/>
      <c r="M757" s="362"/>
      <c r="N757" s="362">
        <f t="shared" si="23"/>
        <v>0</v>
      </c>
      <c r="O757" s="356"/>
      <c r="P757" s="356"/>
      <c r="Q757" s="356"/>
      <c r="R757" s="356"/>
      <c r="S757" s="356"/>
      <c r="T757" s="356">
        <v>1</v>
      </c>
      <c r="U757" s="372" t="s">
        <v>12</v>
      </c>
      <c r="V757" s="372"/>
      <c r="W757" s="372"/>
      <c r="X757" s="373"/>
      <c r="Y757" s="348"/>
      <c r="Z757" s="348"/>
      <c r="AA757" s="348"/>
    </row>
    <row r="758" s="331" customFormat="1" ht="17" customHeight="1" spans="1:27">
      <c r="A758" s="348">
        <v>2026781</v>
      </c>
      <c r="B758" s="348" t="s">
        <v>73</v>
      </c>
      <c r="C758" s="348" t="s">
        <v>74</v>
      </c>
      <c r="D758" s="352" t="s">
        <v>75</v>
      </c>
      <c r="E758" s="336">
        <v>43615</v>
      </c>
      <c r="F758" s="336">
        <v>43614</v>
      </c>
      <c r="G758" s="350" t="s">
        <v>69</v>
      </c>
      <c r="H758" s="334" t="s">
        <v>2264</v>
      </c>
      <c r="I758" s="356">
        <v>15751040335</v>
      </c>
      <c r="J758" s="361" t="s">
        <v>2265</v>
      </c>
      <c r="K758" s="356">
        <v>1000</v>
      </c>
      <c r="L758" s="362"/>
      <c r="M758" s="362"/>
      <c r="N758" s="362">
        <f t="shared" si="23"/>
        <v>0</v>
      </c>
      <c r="O758" s="366"/>
      <c r="P758" s="366"/>
      <c r="Q758" s="366" t="s">
        <v>52</v>
      </c>
      <c r="R758" s="356"/>
      <c r="S758" s="356"/>
      <c r="T758" s="356"/>
      <c r="U758" s="372"/>
      <c r="V758" s="372"/>
      <c r="W758" s="372"/>
      <c r="X758" s="373"/>
      <c r="Y758" s="348"/>
      <c r="Z758" s="348" t="s">
        <v>79</v>
      </c>
      <c r="AA758" s="348"/>
    </row>
    <row r="759" s="331" customFormat="1" ht="17" customHeight="1" spans="1:27">
      <c r="A759" s="348">
        <v>2026759</v>
      </c>
      <c r="B759" s="348" t="s">
        <v>73</v>
      </c>
      <c r="C759" s="348" t="s">
        <v>74</v>
      </c>
      <c r="D759" s="352" t="s">
        <v>75</v>
      </c>
      <c r="E759" s="336">
        <v>43611</v>
      </c>
      <c r="F759" s="336">
        <v>43610</v>
      </c>
      <c r="G759" s="350"/>
      <c r="H759" s="334" t="s">
        <v>2266</v>
      </c>
      <c r="I759" s="356"/>
      <c r="J759" s="361" t="s">
        <v>2267</v>
      </c>
      <c r="K759" s="356">
        <v>1000</v>
      </c>
      <c r="L759" s="362"/>
      <c r="M759" s="362"/>
      <c r="N759" s="362">
        <f t="shared" si="23"/>
        <v>0</v>
      </c>
      <c r="O759" s="356"/>
      <c r="Q759" s="366" t="s">
        <v>52</v>
      </c>
      <c r="R759" s="356"/>
      <c r="S759" s="356"/>
      <c r="T759" s="356"/>
      <c r="U759" s="372" t="s">
        <v>78</v>
      </c>
      <c r="V759" s="372"/>
      <c r="W759" s="372"/>
      <c r="X759" s="373">
        <v>1</v>
      </c>
      <c r="Y759" s="348"/>
      <c r="Z759" s="348" t="s">
        <v>79</v>
      </c>
      <c r="AA759" s="348"/>
    </row>
    <row r="760" s="331" customFormat="1" ht="17" customHeight="1" spans="1:27">
      <c r="A760" s="550" t="s">
        <v>2268</v>
      </c>
      <c r="B760" s="348" t="s">
        <v>726</v>
      </c>
      <c r="C760" s="348" t="s">
        <v>727</v>
      </c>
      <c r="D760" s="349" t="s">
        <v>356</v>
      </c>
      <c r="E760" s="336">
        <v>43615</v>
      </c>
      <c r="F760" s="336">
        <v>43614</v>
      </c>
      <c r="G760" s="336">
        <v>43676</v>
      </c>
      <c r="H760" s="334" t="s">
        <v>2269</v>
      </c>
      <c r="I760" s="356">
        <v>13901809399</v>
      </c>
      <c r="J760" s="361" t="s">
        <v>2270</v>
      </c>
      <c r="K760" s="356">
        <v>11480</v>
      </c>
      <c r="L760" s="334">
        <v>15374</v>
      </c>
      <c r="M760" s="362"/>
      <c r="N760" s="362">
        <f t="shared" si="23"/>
        <v>15374</v>
      </c>
      <c r="O760" s="356"/>
      <c r="P760" s="356"/>
      <c r="Q760" s="356"/>
      <c r="R760" s="356"/>
      <c r="S760" s="356"/>
      <c r="T760" s="356"/>
      <c r="U760" s="372"/>
      <c r="V760" s="372" t="s">
        <v>2271</v>
      </c>
      <c r="W760" s="372"/>
      <c r="X760" s="373"/>
      <c r="Y760" s="348"/>
      <c r="Z760" s="348"/>
      <c r="AA760" s="348"/>
    </row>
    <row r="761" s="331" customFormat="1" ht="17" customHeight="1" spans="1:27">
      <c r="A761" s="348"/>
      <c r="B761" s="348" t="s">
        <v>160</v>
      </c>
      <c r="C761" s="348" t="s">
        <v>161</v>
      </c>
      <c r="D761" s="349" t="s">
        <v>162</v>
      </c>
      <c r="E761" s="336">
        <v>43616</v>
      </c>
      <c r="F761" s="336">
        <v>43616</v>
      </c>
      <c r="G761" s="350"/>
      <c r="H761" s="334" t="s">
        <v>2272</v>
      </c>
      <c r="I761" s="356" t="s">
        <v>2273</v>
      </c>
      <c r="J761" s="361" t="s">
        <v>2274</v>
      </c>
      <c r="K761" s="356">
        <v>1299</v>
      </c>
      <c r="L761" s="362"/>
      <c r="M761" s="362"/>
      <c r="N761" s="362">
        <f t="shared" si="23"/>
        <v>0</v>
      </c>
      <c r="O761" s="356">
        <v>1</v>
      </c>
      <c r="P761" s="356"/>
      <c r="Q761" s="356"/>
      <c r="R761" s="356"/>
      <c r="S761" s="356"/>
      <c r="T761" s="356"/>
      <c r="U761" s="372"/>
      <c r="V761" s="372"/>
      <c r="W761" s="372"/>
      <c r="X761" s="373"/>
      <c r="Y761" s="348"/>
      <c r="Z761" s="348"/>
      <c r="AA761" s="348"/>
    </row>
    <row r="762" s="331" customFormat="1" ht="17" customHeight="1" spans="1:27">
      <c r="A762" s="348">
        <v>2025089</v>
      </c>
      <c r="B762" s="348" t="s">
        <v>354</v>
      </c>
      <c r="C762" s="348" t="s">
        <v>355</v>
      </c>
      <c r="D762" s="349" t="s">
        <v>149</v>
      </c>
      <c r="E762" s="336">
        <v>43530</v>
      </c>
      <c r="F762" s="336">
        <v>43530</v>
      </c>
      <c r="G762" s="350"/>
      <c r="H762" s="351" t="s">
        <v>2275</v>
      </c>
      <c r="I762" s="356">
        <v>13916894412</v>
      </c>
      <c r="J762" s="361" t="s">
        <v>2276</v>
      </c>
      <c r="K762" s="356">
        <v>1000</v>
      </c>
      <c r="L762" s="362"/>
      <c r="M762" s="362"/>
      <c r="N762" s="362">
        <f t="shared" si="23"/>
        <v>0</v>
      </c>
      <c r="O762" s="356"/>
      <c r="P762" s="356"/>
      <c r="Q762" s="356"/>
      <c r="R762" s="356"/>
      <c r="S762" s="356"/>
      <c r="T762" s="356"/>
      <c r="U762" s="372"/>
      <c r="V762" s="372"/>
      <c r="W762" s="372"/>
      <c r="X762" s="373"/>
      <c r="Y762" s="348" t="s">
        <v>2277</v>
      </c>
      <c r="Z762" s="348"/>
      <c r="AA762" s="348"/>
    </row>
    <row r="763" s="331" customFormat="1" ht="17" customHeight="1" spans="1:27">
      <c r="A763" s="348">
        <v>2025088</v>
      </c>
      <c r="B763" s="348" t="s">
        <v>354</v>
      </c>
      <c r="C763" s="348" t="s">
        <v>355</v>
      </c>
      <c r="D763" s="349" t="s">
        <v>149</v>
      </c>
      <c r="E763" s="336"/>
      <c r="F763" s="336">
        <v>43530</v>
      </c>
      <c r="G763" s="350"/>
      <c r="H763" s="351" t="s">
        <v>2275</v>
      </c>
      <c r="I763" s="356">
        <v>13916894412</v>
      </c>
      <c r="J763" s="361" t="s">
        <v>2278</v>
      </c>
      <c r="K763" s="356">
        <v>0</v>
      </c>
      <c r="L763" s="362"/>
      <c r="M763" s="362"/>
      <c r="N763" s="362">
        <f t="shared" si="23"/>
        <v>0</v>
      </c>
      <c r="O763" s="356"/>
      <c r="P763" s="356"/>
      <c r="Q763" s="356"/>
      <c r="R763" s="356"/>
      <c r="S763" s="356"/>
      <c r="T763" s="356"/>
      <c r="U763" s="372"/>
      <c r="V763" s="372"/>
      <c r="W763" s="372"/>
      <c r="X763" s="373"/>
      <c r="Y763" s="348"/>
      <c r="Z763" s="348"/>
      <c r="AA763" s="348"/>
    </row>
    <row r="764" s="331" customFormat="1" ht="15" customHeight="1" spans="1:27">
      <c r="A764" s="550" t="s">
        <v>2279</v>
      </c>
      <c r="B764" s="348" t="s">
        <v>405</v>
      </c>
      <c r="C764" s="348" t="s">
        <v>406</v>
      </c>
      <c r="D764" s="349" t="s">
        <v>407</v>
      </c>
      <c r="E764" s="336">
        <v>43797</v>
      </c>
      <c r="F764" s="336">
        <v>43518</v>
      </c>
      <c r="G764" s="336">
        <v>43788</v>
      </c>
      <c r="H764" s="334" t="s">
        <v>2280</v>
      </c>
      <c r="I764" s="348">
        <v>13916957612</v>
      </c>
      <c r="J764" s="361" t="s">
        <v>2281</v>
      </c>
      <c r="K764" s="356">
        <f>2500+500</f>
        <v>3000</v>
      </c>
      <c r="L764" s="334">
        <v>67743</v>
      </c>
      <c r="M764" s="362"/>
      <c r="N764" s="362">
        <f t="shared" si="23"/>
        <v>67743</v>
      </c>
      <c r="O764" s="356"/>
      <c r="P764" s="356"/>
      <c r="Q764" s="356" t="s">
        <v>52</v>
      </c>
      <c r="R764" s="356"/>
      <c r="S764" s="356"/>
      <c r="T764" s="356"/>
      <c r="U764" s="372"/>
      <c r="V764" s="372">
        <v>11.18</v>
      </c>
      <c r="W764" s="372"/>
      <c r="X764" s="373"/>
      <c r="Y764" s="348" t="s">
        <v>278</v>
      </c>
      <c r="Z764" s="348"/>
      <c r="AA764" s="348"/>
    </row>
    <row r="765" s="331" customFormat="1" ht="17" customHeight="1" spans="1:27">
      <c r="A765" s="348"/>
      <c r="B765" s="348" t="s">
        <v>169</v>
      </c>
      <c r="C765" s="348" t="s">
        <v>170</v>
      </c>
      <c r="D765" s="352" t="s">
        <v>171</v>
      </c>
      <c r="E765" s="336">
        <v>43616</v>
      </c>
      <c r="F765" s="336">
        <v>43616</v>
      </c>
      <c r="G765" s="350"/>
      <c r="H765" s="334" t="s">
        <v>2282</v>
      </c>
      <c r="I765" s="356">
        <v>13661419712</v>
      </c>
      <c r="J765" s="361" t="s">
        <v>2283</v>
      </c>
      <c r="K765" s="356">
        <v>1000</v>
      </c>
      <c r="L765" s="362"/>
      <c r="M765" s="362"/>
      <c r="N765" s="362">
        <f t="shared" si="23"/>
        <v>0</v>
      </c>
      <c r="O765" s="356"/>
      <c r="P765" s="356"/>
      <c r="Q765" s="356"/>
      <c r="R765" s="356"/>
      <c r="S765" s="356"/>
      <c r="T765" s="356"/>
      <c r="U765" s="356" t="s">
        <v>174</v>
      </c>
      <c r="V765" s="372"/>
      <c r="W765" s="372"/>
      <c r="X765" s="373"/>
      <c r="Y765" s="348"/>
      <c r="Z765" s="348"/>
      <c r="AA765" s="348"/>
    </row>
    <row r="766" s="331" customFormat="1" ht="17" customHeight="1" spans="1:27">
      <c r="A766" s="550" t="s">
        <v>2284</v>
      </c>
      <c r="B766" s="348" t="s">
        <v>58</v>
      </c>
      <c r="C766" s="348" t="s">
        <v>109</v>
      </c>
      <c r="D766" s="334" t="s">
        <v>343</v>
      </c>
      <c r="E766" s="336">
        <v>43708</v>
      </c>
      <c r="F766" s="336">
        <v>43617</v>
      </c>
      <c r="G766" s="336">
        <v>43708</v>
      </c>
      <c r="H766" s="334" t="s">
        <v>2285</v>
      </c>
      <c r="I766" s="356">
        <v>13761492775</v>
      </c>
      <c r="J766" s="361" t="s">
        <v>2286</v>
      </c>
      <c r="K766" s="356">
        <v>1000</v>
      </c>
      <c r="L766" s="334">
        <v>27000</v>
      </c>
      <c r="M766" s="362"/>
      <c r="N766" s="362">
        <f t="shared" si="23"/>
        <v>27000</v>
      </c>
      <c r="O766" s="356"/>
      <c r="P766" s="366" t="s">
        <v>52</v>
      </c>
      <c r="Q766" s="356"/>
      <c r="R766" s="356"/>
      <c r="S766" s="356"/>
      <c r="T766" s="356"/>
      <c r="U766" s="372"/>
      <c r="V766" s="372"/>
      <c r="W766" s="372"/>
      <c r="X766" s="373">
        <v>1</v>
      </c>
      <c r="Y766" s="348"/>
      <c r="Z766" s="348"/>
      <c r="AA766" s="348"/>
    </row>
    <row r="767" s="57" customFormat="1" ht="17" customHeight="1" spans="1:27">
      <c r="A767" s="348">
        <v>2024350</v>
      </c>
      <c r="B767" s="348" t="s">
        <v>137</v>
      </c>
      <c r="C767" s="348" t="s">
        <v>406</v>
      </c>
      <c r="D767" s="349" t="s">
        <v>443</v>
      </c>
      <c r="E767" s="336">
        <v>43617</v>
      </c>
      <c r="F767" s="336">
        <v>43617</v>
      </c>
      <c r="G767" s="350"/>
      <c r="H767" s="334" t="s">
        <v>2287</v>
      </c>
      <c r="I767" s="356">
        <v>18621288651</v>
      </c>
      <c r="J767" s="348" t="s">
        <v>2288</v>
      </c>
      <c r="K767" s="356">
        <v>1000</v>
      </c>
      <c r="L767" s="362"/>
      <c r="M767" s="362"/>
      <c r="N767" s="362">
        <f t="shared" si="23"/>
        <v>0</v>
      </c>
      <c r="O767" s="356"/>
      <c r="P767" s="356"/>
      <c r="Q767" s="356"/>
      <c r="R767" s="356"/>
      <c r="S767" s="356">
        <v>1</v>
      </c>
      <c r="T767" s="356"/>
      <c r="U767" s="372" t="s">
        <v>12</v>
      </c>
      <c r="V767" s="372"/>
      <c r="W767" s="372"/>
      <c r="X767" s="373"/>
      <c r="Y767" s="348" t="s">
        <v>2289</v>
      </c>
      <c r="Z767" s="348"/>
      <c r="AA767" s="348"/>
    </row>
    <row r="768" s="331" customFormat="1" ht="17" customHeight="1" spans="1:27">
      <c r="A768" s="550" t="s">
        <v>2290</v>
      </c>
      <c r="B768" s="348" t="s">
        <v>726</v>
      </c>
      <c r="C768" s="348" t="s">
        <v>727</v>
      </c>
      <c r="D768" s="349" t="s">
        <v>271</v>
      </c>
      <c r="E768" s="336">
        <v>43681</v>
      </c>
      <c r="F768" s="336">
        <v>43617</v>
      </c>
      <c r="G768" s="336">
        <v>43681</v>
      </c>
      <c r="H768" s="334" t="s">
        <v>2291</v>
      </c>
      <c r="I768" s="356">
        <v>15026625008</v>
      </c>
      <c r="J768" s="361" t="s">
        <v>2292</v>
      </c>
      <c r="K768" s="356">
        <v>1000</v>
      </c>
      <c r="L768" s="334">
        <v>32540</v>
      </c>
      <c r="M768" s="362"/>
      <c r="N768" s="362">
        <f t="shared" si="23"/>
        <v>32540</v>
      </c>
      <c r="O768" s="356"/>
      <c r="P768" s="356"/>
      <c r="Q768" s="356"/>
      <c r="R768" s="356"/>
      <c r="S768" s="356"/>
      <c r="T768" s="356"/>
      <c r="U768" s="372"/>
      <c r="V768" s="372"/>
      <c r="W768" s="356" t="s">
        <v>2293</v>
      </c>
      <c r="X768" s="373"/>
      <c r="Y768" s="348" t="s">
        <v>787</v>
      </c>
      <c r="Z768" s="348"/>
      <c r="AA768" s="348"/>
    </row>
    <row r="769" s="331" customFormat="1" ht="17" customHeight="1" spans="1:27">
      <c r="A769" s="550" t="s">
        <v>2294</v>
      </c>
      <c r="B769" s="348" t="s">
        <v>35</v>
      </c>
      <c r="C769" s="348" t="s">
        <v>328</v>
      </c>
      <c r="D769" s="352" t="s">
        <v>37</v>
      </c>
      <c r="E769" s="336">
        <v>43617</v>
      </c>
      <c r="F769" s="336">
        <v>43617</v>
      </c>
      <c r="G769" s="336">
        <v>43676</v>
      </c>
      <c r="H769" s="334" t="s">
        <v>2295</v>
      </c>
      <c r="I769" s="356">
        <v>13916739820</v>
      </c>
      <c r="J769" s="361" t="s">
        <v>2296</v>
      </c>
      <c r="K769" s="356">
        <v>3000</v>
      </c>
      <c r="L769" s="334">
        <v>7210</v>
      </c>
      <c r="M769" s="362"/>
      <c r="N769" s="362">
        <f t="shared" si="23"/>
        <v>7210</v>
      </c>
      <c r="O769" s="356" t="s">
        <v>52</v>
      </c>
      <c r="P769" s="356"/>
      <c r="Q769" s="356"/>
      <c r="R769" s="356"/>
      <c r="S769" s="356"/>
      <c r="T769" s="356"/>
      <c r="U769" s="372"/>
      <c r="V769" s="372"/>
      <c r="W769" s="372"/>
      <c r="X769" s="373"/>
      <c r="Y769" s="348" t="s">
        <v>331</v>
      </c>
      <c r="Z769" s="348"/>
      <c r="AA769" s="348"/>
    </row>
    <row r="770" s="331" customFormat="1" ht="17" customHeight="1" spans="1:27">
      <c r="A770" s="550" t="s">
        <v>2297</v>
      </c>
      <c r="B770" s="348" t="s">
        <v>35</v>
      </c>
      <c r="C770" s="348" t="s">
        <v>392</v>
      </c>
      <c r="D770" s="349" t="s">
        <v>68</v>
      </c>
      <c r="E770" s="336">
        <v>43617</v>
      </c>
      <c r="F770" s="336">
        <v>43617</v>
      </c>
      <c r="G770" s="336">
        <v>43670</v>
      </c>
      <c r="H770" s="334" t="s">
        <v>2298</v>
      </c>
      <c r="I770" s="356">
        <v>13701936600</v>
      </c>
      <c r="J770" s="361" t="s">
        <v>2299</v>
      </c>
      <c r="K770" s="356">
        <v>1000</v>
      </c>
      <c r="L770" s="334">
        <v>29008</v>
      </c>
      <c r="M770" s="362"/>
      <c r="N770" s="362">
        <f t="shared" si="23"/>
        <v>29008</v>
      </c>
      <c r="O770" s="356"/>
      <c r="P770" s="356"/>
      <c r="Q770" s="356"/>
      <c r="R770" s="356" t="s">
        <v>52</v>
      </c>
      <c r="S770" s="356"/>
      <c r="T770" s="356"/>
      <c r="U770" s="372"/>
      <c r="V770" s="372"/>
      <c r="W770" s="372"/>
      <c r="X770" s="373"/>
      <c r="Y770" s="348"/>
      <c r="Z770" s="348"/>
      <c r="AA770" s="348"/>
    </row>
    <row r="771" s="331" customFormat="1" ht="17" customHeight="1" spans="1:28">
      <c r="A771" s="550" t="s">
        <v>2300</v>
      </c>
      <c r="B771" s="348" t="s">
        <v>123</v>
      </c>
      <c r="C771" s="348" t="s">
        <v>2301</v>
      </c>
      <c r="D771" s="334" t="s">
        <v>2302</v>
      </c>
      <c r="E771" s="336">
        <v>43759</v>
      </c>
      <c r="F771" s="336">
        <v>43617</v>
      </c>
      <c r="G771" s="336">
        <v>43757</v>
      </c>
      <c r="H771" s="334" t="s">
        <v>2303</v>
      </c>
      <c r="I771" s="356">
        <v>15921785351</v>
      </c>
      <c r="J771" s="361" t="s">
        <v>2304</v>
      </c>
      <c r="K771" s="356">
        <v>3000</v>
      </c>
      <c r="L771" s="334">
        <v>8045</v>
      </c>
      <c r="M771" s="362"/>
      <c r="N771" s="362">
        <f t="shared" si="23"/>
        <v>8045</v>
      </c>
      <c r="O771" s="356"/>
      <c r="P771" s="356"/>
      <c r="Q771" s="356" t="s">
        <v>52</v>
      </c>
      <c r="R771" s="356"/>
      <c r="S771" s="356"/>
      <c r="T771" s="356"/>
      <c r="U771" s="372"/>
      <c r="V771" s="372" t="s">
        <v>2305</v>
      </c>
      <c r="W771" s="372"/>
      <c r="X771" s="373"/>
      <c r="Y771" s="348" t="s">
        <v>2130</v>
      </c>
      <c r="Z771" s="348"/>
      <c r="AA771" s="348"/>
      <c r="AB771" s="331" t="s">
        <v>659</v>
      </c>
    </row>
    <row r="772" s="331" customFormat="1" ht="17" customHeight="1" spans="1:27">
      <c r="A772" s="550" t="s">
        <v>2306</v>
      </c>
      <c r="B772" s="348" t="s">
        <v>66</v>
      </c>
      <c r="C772" s="348" t="s">
        <v>1749</v>
      </c>
      <c r="D772" s="349" t="s">
        <v>68</v>
      </c>
      <c r="E772" s="336">
        <v>43617</v>
      </c>
      <c r="F772" s="336">
        <v>43617</v>
      </c>
      <c r="G772" s="336">
        <v>43666</v>
      </c>
      <c r="H772" s="334" t="s">
        <v>2307</v>
      </c>
      <c r="I772" s="356">
        <v>13701919386</v>
      </c>
      <c r="J772" s="361" t="s">
        <v>2308</v>
      </c>
      <c r="K772" s="356">
        <v>1000</v>
      </c>
      <c r="L772" s="334">
        <v>38000</v>
      </c>
      <c r="M772" s="362"/>
      <c r="N772" s="362">
        <f t="shared" si="23"/>
        <v>38000</v>
      </c>
      <c r="O772" s="356"/>
      <c r="P772" s="356"/>
      <c r="Q772" s="356"/>
      <c r="R772" s="356"/>
      <c r="S772" s="356"/>
      <c r="T772" s="356"/>
      <c r="U772" s="372"/>
      <c r="V772" s="372"/>
      <c r="W772" s="372"/>
      <c r="X772" s="373"/>
      <c r="Y772" s="348" t="s">
        <v>2130</v>
      </c>
      <c r="Z772" s="348"/>
      <c r="AA772" s="348"/>
    </row>
    <row r="773" s="331" customFormat="1" ht="17" customHeight="1" spans="1:27">
      <c r="A773" s="348">
        <v>2066917</v>
      </c>
      <c r="B773" s="348" t="s">
        <v>185</v>
      </c>
      <c r="C773" s="348" t="s">
        <v>1530</v>
      </c>
      <c r="D773" s="352" t="s">
        <v>44</v>
      </c>
      <c r="E773" s="336">
        <v>43617</v>
      </c>
      <c r="F773" s="336">
        <v>43617</v>
      </c>
      <c r="G773" s="350"/>
      <c r="H773" s="334" t="s">
        <v>2309</v>
      </c>
      <c r="I773" s="356">
        <v>13917703899</v>
      </c>
      <c r="J773" s="361" t="s">
        <v>2310</v>
      </c>
      <c r="K773" s="356">
        <v>3000</v>
      </c>
      <c r="L773" s="362"/>
      <c r="M773" s="362"/>
      <c r="N773" s="362">
        <f t="shared" si="23"/>
        <v>0</v>
      </c>
      <c r="O773" s="356"/>
      <c r="P773" s="356"/>
      <c r="Q773" s="356" t="s">
        <v>52</v>
      </c>
      <c r="R773" s="356"/>
      <c r="S773" s="356"/>
      <c r="T773" s="356"/>
      <c r="U773" s="372"/>
      <c r="V773" s="372"/>
      <c r="W773" s="372"/>
      <c r="X773" s="373"/>
      <c r="Y773" s="348" t="s">
        <v>787</v>
      </c>
      <c r="Z773" s="348"/>
      <c r="AA773" s="348"/>
    </row>
    <row r="774" s="331" customFormat="1" ht="17" customHeight="1" spans="1:27">
      <c r="A774" s="348">
        <v>2067270</v>
      </c>
      <c r="B774" s="348" t="s">
        <v>805</v>
      </c>
      <c r="C774" s="348" t="s">
        <v>806</v>
      </c>
      <c r="D774" s="349" t="s">
        <v>60</v>
      </c>
      <c r="E774" s="336">
        <v>43618</v>
      </c>
      <c r="F774" s="336">
        <v>43617</v>
      </c>
      <c r="G774" s="336">
        <v>43658</v>
      </c>
      <c r="H774" s="334" t="s">
        <v>2311</v>
      </c>
      <c r="I774" s="356">
        <v>13120804261</v>
      </c>
      <c r="J774" s="361" t="s">
        <v>2312</v>
      </c>
      <c r="K774" s="356">
        <v>3000</v>
      </c>
      <c r="L774" s="334">
        <v>9188</v>
      </c>
      <c r="M774" s="334"/>
      <c r="N774" s="362">
        <f t="shared" si="23"/>
        <v>9188</v>
      </c>
      <c r="O774" s="356"/>
      <c r="P774" s="356"/>
      <c r="Q774" s="356"/>
      <c r="R774" s="356"/>
      <c r="S774" s="356"/>
      <c r="T774" s="356"/>
      <c r="U774" s="372"/>
      <c r="V774" s="372"/>
      <c r="W774" s="372"/>
      <c r="X774" s="373"/>
      <c r="Y774" s="348"/>
      <c r="Z774" s="348"/>
      <c r="AA774" s="348"/>
    </row>
    <row r="775" s="331" customFormat="1" ht="17" customHeight="1" spans="1:27">
      <c r="A775" s="348">
        <v>2067310</v>
      </c>
      <c r="B775" s="348" t="s">
        <v>236</v>
      </c>
      <c r="C775" s="348" t="s">
        <v>195</v>
      </c>
      <c r="D775" s="349" t="s">
        <v>68</v>
      </c>
      <c r="E775" s="336">
        <v>43639</v>
      </c>
      <c r="F775" s="336">
        <v>43638</v>
      </c>
      <c r="G775" s="336">
        <v>43650</v>
      </c>
      <c r="H775" s="334" t="s">
        <v>2313</v>
      </c>
      <c r="I775" s="356">
        <v>13916994579</v>
      </c>
      <c r="J775" s="361" t="s">
        <v>2314</v>
      </c>
      <c r="K775" s="356">
        <v>5000</v>
      </c>
      <c r="L775" s="334">
        <v>5064</v>
      </c>
      <c r="M775" s="334">
        <v>536</v>
      </c>
      <c r="N775" s="362">
        <f t="shared" ref="N775:N801" si="24">L775+M775</f>
        <v>5600</v>
      </c>
      <c r="O775" s="356"/>
      <c r="P775" s="356"/>
      <c r="Q775" s="356"/>
      <c r="R775" s="356"/>
      <c r="S775" s="356"/>
      <c r="T775" s="356"/>
      <c r="U775" s="372"/>
      <c r="V775" s="372"/>
      <c r="W775" s="372"/>
      <c r="X775" s="373"/>
      <c r="Y775" s="348" t="s">
        <v>2315</v>
      </c>
      <c r="Z775" s="348"/>
      <c r="AA775" s="348"/>
    </row>
    <row r="776" s="331" customFormat="1" ht="17" customHeight="1" spans="1:27">
      <c r="A776" s="348">
        <v>2066918</v>
      </c>
      <c r="B776" s="348" t="s">
        <v>185</v>
      </c>
      <c r="C776" s="348" t="s">
        <v>186</v>
      </c>
      <c r="D776" s="349" t="s">
        <v>187</v>
      </c>
      <c r="E776" s="336">
        <v>43618</v>
      </c>
      <c r="F776" s="336">
        <v>43617</v>
      </c>
      <c r="G776" s="350"/>
      <c r="H776" s="334" t="s">
        <v>2316</v>
      </c>
      <c r="I776" s="356">
        <v>15721548126</v>
      </c>
      <c r="J776" s="361" t="s">
        <v>2317</v>
      </c>
      <c r="K776" s="356">
        <v>1000</v>
      </c>
      <c r="L776" s="362"/>
      <c r="M776" s="362"/>
      <c r="N776" s="362">
        <f t="shared" si="24"/>
        <v>0</v>
      </c>
      <c r="O776" s="356"/>
      <c r="P776" s="356"/>
      <c r="Q776" s="356" t="s">
        <v>52</v>
      </c>
      <c r="R776" s="356"/>
      <c r="S776" s="356"/>
      <c r="T776" s="356"/>
      <c r="U776" s="374">
        <v>43647</v>
      </c>
      <c r="V776" s="372"/>
      <c r="W776" s="372"/>
      <c r="X776" s="373"/>
      <c r="Y776" s="348"/>
      <c r="Z776" s="348"/>
      <c r="AA776" s="348"/>
    </row>
    <row r="777" s="331" customFormat="1" ht="17" customHeight="1" spans="1:27">
      <c r="A777" s="550" t="s">
        <v>2318</v>
      </c>
      <c r="B777" s="348" t="s">
        <v>185</v>
      </c>
      <c r="C777" s="348" t="s">
        <v>886</v>
      </c>
      <c r="D777" s="349" t="s">
        <v>44</v>
      </c>
      <c r="E777" s="336">
        <v>43703</v>
      </c>
      <c r="F777" s="336">
        <v>43617</v>
      </c>
      <c r="G777" s="336">
        <v>43702</v>
      </c>
      <c r="H777" s="334" t="s">
        <v>2319</v>
      </c>
      <c r="I777" s="356">
        <v>16621062984</v>
      </c>
      <c r="J777" s="361" t="s">
        <v>2320</v>
      </c>
      <c r="K777" s="356">
        <v>2798</v>
      </c>
      <c r="L777" s="334">
        <v>2798</v>
      </c>
      <c r="M777" s="362"/>
      <c r="N777" s="362">
        <f t="shared" si="24"/>
        <v>2798</v>
      </c>
      <c r="O777" s="356"/>
      <c r="P777" s="356"/>
      <c r="Q777" s="356" t="s">
        <v>52</v>
      </c>
      <c r="R777" s="356"/>
      <c r="S777" s="356"/>
      <c r="T777" s="356"/>
      <c r="U777" s="372"/>
      <c r="V777" s="372"/>
      <c r="W777" s="372"/>
      <c r="X777" s="373"/>
      <c r="Y777" s="348"/>
      <c r="Z777" s="348"/>
      <c r="AA777" s="348"/>
    </row>
    <row r="778" s="331" customFormat="1" ht="17" customHeight="1" spans="1:27">
      <c r="A778" s="348"/>
      <c r="B778" s="348" t="s">
        <v>130</v>
      </c>
      <c r="C778" s="348" t="s">
        <v>181</v>
      </c>
      <c r="D778" s="352" t="s">
        <v>182</v>
      </c>
      <c r="E778" s="336">
        <v>43752</v>
      </c>
      <c r="F778" s="336">
        <v>43617</v>
      </c>
      <c r="G778" s="336">
        <v>43750</v>
      </c>
      <c r="H778" s="334" t="s">
        <v>2321</v>
      </c>
      <c r="I778" s="356">
        <v>13764144830</v>
      </c>
      <c r="J778" s="361" t="s">
        <v>2322</v>
      </c>
      <c r="K778" s="356">
        <v>3000</v>
      </c>
      <c r="L778" s="334">
        <v>11408</v>
      </c>
      <c r="M778" s="362"/>
      <c r="N778" s="362">
        <f t="shared" si="24"/>
        <v>11408</v>
      </c>
      <c r="O778" s="356">
        <v>1</v>
      </c>
      <c r="P778" s="356"/>
      <c r="Q778" s="356"/>
      <c r="R778" s="356"/>
      <c r="S778" s="356"/>
      <c r="T778" s="356"/>
      <c r="U778" s="372"/>
      <c r="V778" s="372"/>
      <c r="W778" s="372"/>
      <c r="X778" s="373"/>
      <c r="Y778" s="348" t="s">
        <v>787</v>
      </c>
      <c r="Z778" s="348"/>
      <c r="AA778" s="348" t="s">
        <v>2323</v>
      </c>
    </row>
    <row r="779" s="331" customFormat="1" ht="17" customHeight="1" spans="1:27">
      <c r="A779" s="550" t="s">
        <v>2324</v>
      </c>
      <c r="B779" s="348" t="s">
        <v>66</v>
      </c>
      <c r="C779" s="348" t="s">
        <v>1749</v>
      </c>
      <c r="D779" s="349" t="s">
        <v>68</v>
      </c>
      <c r="E779" s="336">
        <v>43618</v>
      </c>
      <c r="F779" s="336">
        <v>43617</v>
      </c>
      <c r="G779" s="336">
        <v>43671</v>
      </c>
      <c r="H779" s="334" t="s">
        <v>2325</v>
      </c>
      <c r="I779" s="356">
        <v>18321303101</v>
      </c>
      <c r="J779" s="361" t="s">
        <v>2326</v>
      </c>
      <c r="K779" s="356">
        <v>1000</v>
      </c>
      <c r="L779" s="334">
        <v>7054</v>
      </c>
      <c r="M779" s="362"/>
      <c r="N779" s="362">
        <f t="shared" si="24"/>
        <v>7054</v>
      </c>
      <c r="O779" s="356"/>
      <c r="P779" s="356"/>
      <c r="Q779" s="356"/>
      <c r="R779" s="356"/>
      <c r="S779" s="356"/>
      <c r="T779" s="356"/>
      <c r="U779" s="372"/>
      <c r="V779" s="372" t="s">
        <v>2327</v>
      </c>
      <c r="W779" s="372"/>
      <c r="X779" s="373"/>
      <c r="Y779" s="348"/>
      <c r="Z779" s="348"/>
      <c r="AA779" s="348"/>
    </row>
    <row r="780" s="331" customFormat="1" ht="17" customHeight="1" spans="1:27">
      <c r="A780" s="348">
        <v>2024517</v>
      </c>
      <c r="B780" s="348" t="s">
        <v>73</v>
      </c>
      <c r="C780" s="348" t="s">
        <v>74</v>
      </c>
      <c r="D780" s="349" t="s">
        <v>139</v>
      </c>
      <c r="E780" s="336">
        <v>43618</v>
      </c>
      <c r="F780" s="336">
        <v>43617</v>
      </c>
      <c r="G780" s="336">
        <v>43673</v>
      </c>
      <c r="H780" s="334" t="s">
        <v>2328</v>
      </c>
      <c r="I780" s="356">
        <v>13716806356</v>
      </c>
      <c r="J780" s="361" t="s">
        <v>2329</v>
      </c>
      <c r="K780" s="356">
        <v>1000</v>
      </c>
      <c r="L780" s="334">
        <v>13570</v>
      </c>
      <c r="M780" s="362"/>
      <c r="N780" s="362">
        <f t="shared" si="24"/>
        <v>13570</v>
      </c>
      <c r="O780" s="356"/>
      <c r="Q780" s="366" t="s">
        <v>52</v>
      </c>
      <c r="R780" s="356"/>
      <c r="S780" s="356"/>
      <c r="T780" s="356"/>
      <c r="U780" s="372"/>
      <c r="V780" s="372"/>
      <c r="W780" s="372"/>
      <c r="X780" s="373"/>
      <c r="Y780" s="348" t="s">
        <v>787</v>
      </c>
      <c r="Z780" s="348"/>
      <c r="AA780" s="348"/>
    </row>
    <row r="781" s="331" customFormat="1" ht="17" customHeight="1" spans="1:27">
      <c r="A781" s="550" t="s">
        <v>2330</v>
      </c>
      <c r="B781" s="348" t="s">
        <v>31</v>
      </c>
      <c r="C781" s="348" t="s">
        <v>32</v>
      </c>
      <c r="D781" s="349" t="s">
        <v>33</v>
      </c>
      <c r="E781" s="336">
        <v>43618</v>
      </c>
      <c r="F781" s="336">
        <v>43617</v>
      </c>
      <c r="G781" s="336">
        <v>43673</v>
      </c>
      <c r="H781" s="334" t="s">
        <v>2331</v>
      </c>
      <c r="I781" s="356">
        <v>13585752584</v>
      </c>
      <c r="J781" s="361" t="s">
        <v>2332</v>
      </c>
      <c r="K781" s="356">
        <v>1000</v>
      </c>
      <c r="L781" s="334">
        <v>26337</v>
      </c>
      <c r="M781" s="362"/>
      <c r="N781" s="362">
        <f t="shared" si="24"/>
        <v>26337</v>
      </c>
      <c r="O781" s="356"/>
      <c r="Q781" s="356"/>
      <c r="R781" s="356"/>
      <c r="S781" s="366" t="s">
        <v>52</v>
      </c>
      <c r="T781" s="356"/>
      <c r="U781" s="372"/>
      <c r="V781" s="372"/>
      <c r="W781" s="372"/>
      <c r="X781" s="373"/>
      <c r="Y781" s="348"/>
      <c r="Z781" s="348"/>
      <c r="AA781" s="348"/>
    </row>
    <row r="782" s="331" customFormat="1" ht="17" customHeight="1" spans="1:27">
      <c r="A782" s="348"/>
      <c r="B782" s="348" t="s">
        <v>66</v>
      </c>
      <c r="C782" s="348" t="s">
        <v>505</v>
      </c>
      <c r="D782" s="349" t="s">
        <v>68</v>
      </c>
      <c r="E782" s="336">
        <v>43618</v>
      </c>
      <c r="F782" s="336">
        <v>43617</v>
      </c>
      <c r="G782" s="336">
        <v>43675</v>
      </c>
      <c r="H782" s="334" t="s">
        <v>2333</v>
      </c>
      <c r="I782" s="356">
        <v>15921229366</v>
      </c>
      <c r="J782" s="361" t="s">
        <v>2334</v>
      </c>
      <c r="K782" s="356">
        <v>1000</v>
      </c>
      <c r="L782" s="334">
        <v>5001</v>
      </c>
      <c r="M782" s="362"/>
      <c r="N782" s="362">
        <f t="shared" si="24"/>
        <v>5001</v>
      </c>
      <c r="O782" s="356" t="s">
        <v>219</v>
      </c>
      <c r="Q782" s="356"/>
      <c r="R782" s="356"/>
      <c r="S782" s="356"/>
      <c r="T782" s="356"/>
      <c r="U782" s="372"/>
      <c r="V782" s="372"/>
      <c r="W782" s="372"/>
      <c r="X782" s="373"/>
      <c r="Y782" s="348" t="s">
        <v>2335</v>
      </c>
      <c r="Z782" s="348"/>
      <c r="AA782" s="348"/>
    </row>
    <row r="783" s="331" customFormat="1" ht="17" customHeight="1" spans="1:27">
      <c r="A783" s="550" t="s">
        <v>2336</v>
      </c>
      <c r="B783" s="348" t="s">
        <v>137</v>
      </c>
      <c r="C783" s="348" t="s">
        <v>411</v>
      </c>
      <c r="D783" s="349" t="s">
        <v>139</v>
      </c>
      <c r="E783" s="336">
        <v>43618</v>
      </c>
      <c r="F783" s="336">
        <v>43617</v>
      </c>
      <c r="G783" s="336">
        <v>43675</v>
      </c>
      <c r="H783" s="334" t="s">
        <v>2337</v>
      </c>
      <c r="I783" s="356">
        <v>15942606376</v>
      </c>
      <c r="J783" s="361" t="s">
        <v>2338</v>
      </c>
      <c r="K783" s="356">
        <v>9500</v>
      </c>
      <c r="L783" s="334">
        <v>9367</v>
      </c>
      <c r="M783" s="334">
        <v>1804</v>
      </c>
      <c r="N783" s="362">
        <f t="shared" si="24"/>
        <v>11171</v>
      </c>
      <c r="O783" s="356"/>
      <c r="P783" s="356"/>
      <c r="Q783" s="356"/>
      <c r="R783" s="356">
        <v>1</v>
      </c>
      <c r="S783" s="356"/>
      <c r="T783" s="356"/>
      <c r="U783" s="372"/>
      <c r="V783" s="372"/>
      <c r="W783" s="372"/>
      <c r="X783" s="373"/>
      <c r="Y783" s="348"/>
      <c r="Z783" s="348"/>
      <c r="AA783" s="348"/>
    </row>
    <row r="784" s="331" customFormat="1" ht="17" customHeight="1" spans="1:27">
      <c r="A784" s="348"/>
      <c r="B784" s="348" t="s">
        <v>405</v>
      </c>
      <c r="C784" s="348" t="s">
        <v>823</v>
      </c>
      <c r="D784" s="349" t="s">
        <v>407</v>
      </c>
      <c r="E784" s="336">
        <v>43618</v>
      </c>
      <c r="F784" s="336">
        <v>43617</v>
      </c>
      <c r="G784" s="336">
        <v>43650</v>
      </c>
      <c r="H784" s="334" t="s">
        <v>2339</v>
      </c>
      <c r="I784" s="356">
        <v>17721465429</v>
      </c>
      <c r="J784" s="361" t="s">
        <v>2340</v>
      </c>
      <c r="K784" s="356">
        <v>3000</v>
      </c>
      <c r="L784" s="334">
        <v>8077</v>
      </c>
      <c r="M784" s="334"/>
      <c r="N784" s="362">
        <f t="shared" si="24"/>
        <v>8077</v>
      </c>
      <c r="O784" s="356"/>
      <c r="Q784" s="356"/>
      <c r="R784" s="356"/>
      <c r="S784" s="356"/>
      <c r="T784" s="356"/>
      <c r="U784" s="372"/>
      <c r="V784" s="372"/>
      <c r="W784" s="372"/>
      <c r="X784" s="373"/>
      <c r="Y784" s="348"/>
      <c r="Z784" s="348"/>
      <c r="AA784" s="348"/>
    </row>
    <row r="785" s="331" customFormat="1" ht="17" customHeight="1" spans="1:27">
      <c r="A785" s="550" t="s">
        <v>2341</v>
      </c>
      <c r="B785" s="348" t="s">
        <v>405</v>
      </c>
      <c r="C785" s="348" t="s">
        <v>1234</v>
      </c>
      <c r="D785" s="349" t="s">
        <v>407</v>
      </c>
      <c r="E785" s="336">
        <v>43703</v>
      </c>
      <c r="F785" s="336">
        <v>43617</v>
      </c>
      <c r="G785" s="336">
        <v>43703</v>
      </c>
      <c r="H785" s="334" t="s">
        <v>2342</v>
      </c>
      <c r="I785" s="356">
        <v>13524640803</v>
      </c>
      <c r="J785" s="361" t="s">
        <v>2343</v>
      </c>
      <c r="K785" s="356">
        <v>2000</v>
      </c>
      <c r="L785" s="334">
        <v>16221</v>
      </c>
      <c r="M785" s="362"/>
      <c r="N785" s="362">
        <f t="shared" si="24"/>
        <v>16221</v>
      </c>
      <c r="O785" s="356"/>
      <c r="Q785" s="356"/>
      <c r="R785" s="356" t="s">
        <v>52</v>
      </c>
      <c r="S785" s="356"/>
      <c r="T785" s="356"/>
      <c r="U785" s="372"/>
      <c r="V785" s="372"/>
      <c r="W785" s="372"/>
      <c r="X785" s="373"/>
      <c r="Y785" s="348"/>
      <c r="Z785" s="348"/>
      <c r="AA785" s="348"/>
    </row>
    <row r="786" s="331" customFormat="1" ht="17" customHeight="1" spans="1:28">
      <c r="A786" s="550" t="s">
        <v>2344</v>
      </c>
      <c r="B786" s="348" t="s">
        <v>123</v>
      </c>
      <c r="C786" s="348" t="s">
        <v>124</v>
      </c>
      <c r="D786" s="349" t="s">
        <v>125</v>
      </c>
      <c r="E786" s="336">
        <v>43708</v>
      </c>
      <c r="F786" s="336">
        <v>43618</v>
      </c>
      <c r="G786" s="336">
        <v>43708</v>
      </c>
      <c r="H786" s="334" t="s">
        <v>2345</v>
      </c>
      <c r="I786" s="356">
        <v>13564626272</v>
      </c>
      <c r="J786" s="361" t="s">
        <v>2346</v>
      </c>
      <c r="K786" s="356">
        <v>3000</v>
      </c>
      <c r="L786" s="334">
        <f>26887-3266</f>
        <v>23621</v>
      </c>
      <c r="M786" s="334">
        <v>3266</v>
      </c>
      <c r="N786" s="362">
        <f t="shared" si="24"/>
        <v>26887</v>
      </c>
      <c r="O786" s="356"/>
      <c r="Q786" s="356"/>
      <c r="R786" s="356" t="s">
        <v>52</v>
      </c>
      <c r="S786" s="356"/>
      <c r="T786" s="356"/>
      <c r="U786" s="372"/>
      <c r="V786" s="374">
        <v>43687</v>
      </c>
      <c r="W786" s="372"/>
      <c r="X786" s="373"/>
      <c r="Y786" s="348"/>
      <c r="Z786" s="348"/>
      <c r="AA786" s="348"/>
      <c r="AB786" s="331" t="s">
        <v>659</v>
      </c>
    </row>
    <row r="787" s="331" customFormat="1" ht="17" customHeight="1" spans="1:27">
      <c r="A787" s="348">
        <v>2067373</v>
      </c>
      <c r="B787" s="348" t="s">
        <v>405</v>
      </c>
      <c r="C787" s="348" t="s">
        <v>1234</v>
      </c>
      <c r="D787" s="349" t="s">
        <v>407</v>
      </c>
      <c r="E787" s="336">
        <v>43636</v>
      </c>
      <c r="F787" s="336">
        <v>43617</v>
      </c>
      <c r="G787" s="350"/>
      <c r="H787" s="334" t="s">
        <v>2347</v>
      </c>
      <c r="I787" s="356">
        <v>18964809316</v>
      </c>
      <c r="J787" s="361" t="s">
        <v>2348</v>
      </c>
      <c r="K787" s="356">
        <v>1998</v>
      </c>
      <c r="L787" s="362"/>
      <c r="M787" s="362"/>
      <c r="N787" s="362">
        <f t="shared" si="24"/>
        <v>0</v>
      </c>
      <c r="O787" s="356"/>
      <c r="Q787" s="356"/>
      <c r="R787" s="356"/>
      <c r="S787" s="356"/>
      <c r="T787" s="356"/>
      <c r="U787" s="372" t="s">
        <v>2349</v>
      </c>
      <c r="V787" s="372"/>
      <c r="W787" s="372"/>
      <c r="X787" s="373"/>
      <c r="Y787" s="348"/>
      <c r="Z787" s="348"/>
      <c r="AA787" s="348"/>
    </row>
    <row r="788" s="331" customFormat="1" ht="17" customHeight="1" spans="1:27">
      <c r="A788" s="348">
        <v>2025316</v>
      </c>
      <c r="B788" s="348" t="s">
        <v>185</v>
      </c>
      <c r="C788" s="348" t="s">
        <v>1204</v>
      </c>
      <c r="D788" s="334" t="s">
        <v>2302</v>
      </c>
      <c r="E788" s="336">
        <v>43708</v>
      </c>
      <c r="F788" s="336">
        <v>43617</v>
      </c>
      <c r="G788" s="336">
        <v>43708</v>
      </c>
      <c r="H788" s="334" t="s">
        <v>2350</v>
      </c>
      <c r="I788" s="356">
        <v>13816567480</v>
      </c>
      <c r="J788" s="361" t="s">
        <v>2351</v>
      </c>
      <c r="K788" s="356">
        <v>3000</v>
      </c>
      <c r="L788" s="334">
        <v>15600</v>
      </c>
      <c r="M788" s="362"/>
      <c r="N788" s="362">
        <f t="shared" si="24"/>
        <v>15600</v>
      </c>
      <c r="O788" s="356"/>
      <c r="P788" s="356"/>
      <c r="Q788" s="356" t="s">
        <v>52</v>
      </c>
      <c r="R788" s="356"/>
      <c r="S788" s="356"/>
      <c r="T788" s="356"/>
      <c r="U788" s="372"/>
      <c r="V788" s="372"/>
      <c r="W788" s="372"/>
      <c r="X788" s="373"/>
      <c r="Y788" s="348" t="s">
        <v>787</v>
      </c>
      <c r="Z788" s="348"/>
      <c r="AA788" s="348"/>
    </row>
    <row r="789" s="331" customFormat="1" ht="17" customHeight="1" spans="1:27">
      <c r="A789" s="348">
        <v>2066923</v>
      </c>
      <c r="B789" s="348" t="s">
        <v>185</v>
      </c>
      <c r="C789" s="348" t="s">
        <v>1204</v>
      </c>
      <c r="D789" s="349" t="s">
        <v>44</v>
      </c>
      <c r="E789" s="336">
        <v>43628</v>
      </c>
      <c r="F789" s="336">
        <v>43617</v>
      </c>
      <c r="G789" s="350"/>
      <c r="H789" s="334" t="s">
        <v>2352</v>
      </c>
      <c r="I789" s="356">
        <v>15502117615</v>
      </c>
      <c r="J789" s="361" t="s">
        <v>2353</v>
      </c>
      <c r="K789" s="356">
        <v>2648</v>
      </c>
      <c r="L789" s="362"/>
      <c r="M789" s="362"/>
      <c r="N789" s="362">
        <f t="shared" si="24"/>
        <v>0</v>
      </c>
      <c r="O789" s="356"/>
      <c r="Q789" s="356" t="s">
        <v>52</v>
      </c>
      <c r="R789" s="356"/>
      <c r="S789" s="356"/>
      <c r="T789" s="356"/>
      <c r="U789" s="374">
        <v>43647</v>
      </c>
      <c r="V789" s="372"/>
      <c r="W789" s="372"/>
      <c r="X789" s="373"/>
      <c r="Y789" s="348"/>
      <c r="Z789" s="348"/>
      <c r="AA789" s="348"/>
    </row>
    <row r="790" s="331" customFormat="1" ht="17" customHeight="1" spans="1:27">
      <c r="A790" s="348">
        <v>2024518</v>
      </c>
      <c r="B790" s="348" t="s">
        <v>73</v>
      </c>
      <c r="C790" s="348" t="s">
        <v>74</v>
      </c>
      <c r="D790" s="334" t="s">
        <v>143</v>
      </c>
      <c r="E790" s="336">
        <v>43708</v>
      </c>
      <c r="F790" s="336">
        <v>43617</v>
      </c>
      <c r="G790" s="336">
        <v>43707</v>
      </c>
      <c r="H790" s="334" t="s">
        <v>2354</v>
      </c>
      <c r="I790" s="356">
        <v>13764939316</v>
      </c>
      <c r="J790" s="361" t="s">
        <v>2355</v>
      </c>
      <c r="K790" s="356">
        <v>1000</v>
      </c>
      <c r="L790" s="334">
        <v>143866</v>
      </c>
      <c r="M790" s="362"/>
      <c r="N790" s="362">
        <f t="shared" si="24"/>
        <v>143866</v>
      </c>
      <c r="O790" s="356"/>
      <c r="Q790" s="366" t="s">
        <v>52</v>
      </c>
      <c r="R790" s="356"/>
      <c r="S790" s="356"/>
      <c r="T790" s="356"/>
      <c r="U790" s="372"/>
      <c r="V790" s="372"/>
      <c r="W790" s="372"/>
      <c r="X790" s="373"/>
      <c r="Y790" s="348" t="s">
        <v>787</v>
      </c>
      <c r="Z790" s="348" t="s">
        <v>79</v>
      </c>
      <c r="AA790" s="348"/>
    </row>
    <row r="791" s="331" customFormat="1" ht="17" customHeight="1" spans="1:27">
      <c r="A791" s="348">
        <v>2027569</v>
      </c>
      <c r="B791" s="348" t="s">
        <v>73</v>
      </c>
      <c r="C791" s="348" t="s">
        <v>1130</v>
      </c>
      <c r="D791" s="352" t="s">
        <v>75</v>
      </c>
      <c r="E791" s="336">
        <v>43612</v>
      </c>
      <c r="F791" s="336">
        <v>43612</v>
      </c>
      <c r="G791" s="350"/>
      <c r="H791" s="334" t="s">
        <v>2356</v>
      </c>
      <c r="I791" s="356">
        <v>18001705335</v>
      </c>
      <c r="J791" s="361" t="s">
        <v>2357</v>
      </c>
      <c r="K791" s="356">
        <v>1000</v>
      </c>
      <c r="L791" s="362"/>
      <c r="M791" s="362"/>
      <c r="N791" s="362">
        <f t="shared" si="24"/>
        <v>0</v>
      </c>
      <c r="O791" s="356"/>
      <c r="Q791" s="356"/>
      <c r="R791" s="356"/>
      <c r="S791" s="356"/>
      <c r="T791" s="356"/>
      <c r="U791" s="372" t="s">
        <v>78</v>
      </c>
      <c r="V791" s="372"/>
      <c r="W791" s="372"/>
      <c r="X791" s="373"/>
      <c r="Y791" s="348"/>
      <c r="Z791" s="348" t="s">
        <v>79</v>
      </c>
      <c r="AA791" s="348"/>
    </row>
    <row r="792" s="331" customFormat="1" ht="17" customHeight="1" spans="1:27">
      <c r="A792" s="348">
        <v>2068658</v>
      </c>
      <c r="B792" s="348" t="s">
        <v>405</v>
      </c>
      <c r="C792" s="348" t="s">
        <v>823</v>
      </c>
      <c r="D792" s="349" t="s">
        <v>407</v>
      </c>
      <c r="E792" s="336">
        <v>43618</v>
      </c>
      <c r="F792" s="336">
        <v>43617</v>
      </c>
      <c r="G792" s="350" t="s">
        <v>2358</v>
      </c>
      <c r="H792" s="334" t="s">
        <v>2359</v>
      </c>
      <c r="I792" s="356">
        <v>13917234908</v>
      </c>
      <c r="J792" s="361" t="s">
        <v>2360</v>
      </c>
      <c r="K792" s="356">
        <v>3000</v>
      </c>
      <c r="L792" s="362"/>
      <c r="M792" s="362"/>
      <c r="N792" s="362">
        <f t="shared" si="24"/>
        <v>0</v>
      </c>
      <c r="O792" s="356"/>
      <c r="Q792" s="356"/>
      <c r="R792" s="356" t="s">
        <v>52</v>
      </c>
      <c r="S792" s="356"/>
      <c r="T792" s="356"/>
      <c r="U792" s="372"/>
      <c r="V792" s="372"/>
      <c r="W792" s="372"/>
      <c r="X792" s="373"/>
      <c r="Y792" s="348"/>
      <c r="Z792" s="348"/>
      <c r="AA792" s="348"/>
    </row>
    <row r="793" s="331" customFormat="1" ht="17" customHeight="1" spans="1:27">
      <c r="A793" s="550" t="s">
        <v>2361</v>
      </c>
      <c r="B793" s="348" t="s">
        <v>66</v>
      </c>
      <c r="C793" s="348" t="s">
        <v>1749</v>
      </c>
      <c r="D793" s="349" t="s">
        <v>68</v>
      </c>
      <c r="E793" s="336">
        <v>43618</v>
      </c>
      <c r="F793" s="336">
        <v>43618</v>
      </c>
      <c r="G793" s="336">
        <v>43677</v>
      </c>
      <c r="H793" s="334" t="s">
        <v>2362</v>
      </c>
      <c r="I793" s="356">
        <v>15901638969</v>
      </c>
      <c r="J793" s="361" t="s">
        <v>2363</v>
      </c>
      <c r="K793" s="356">
        <v>1000</v>
      </c>
      <c r="L793" s="334">
        <v>10655</v>
      </c>
      <c r="M793" s="362"/>
      <c r="N793" s="362">
        <f t="shared" si="24"/>
        <v>10655</v>
      </c>
      <c r="O793" s="356"/>
      <c r="Q793" s="356"/>
      <c r="R793" s="356"/>
      <c r="S793" s="356"/>
      <c r="T793" s="356"/>
      <c r="U793" s="372"/>
      <c r="V793" s="372" t="s">
        <v>2172</v>
      </c>
      <c r="W793" s="372"/>
      <c r="X793" s="373"/>
      <c r="Y793" s="348" t="s">
        <v>2364</v>
      </c>
      <c r="Z793" s="348"/>
      <c r="AA793" s="348"/>
    </row>
    <row r="794" s="331" customFormat="1" ht="17" customHeight="1" spans="1:27">
      <c r="A794" s="348">
        <v>2025318</v>
      </c>
      <c r="B794" s="348" t="s">
        <v>58</v>
      </c>
      <c r="C794" s="348" t="s">
        <v>794</v>
      </c>
      <c r="D794" s="352" t="s">
        <v>110</v>
      </c>
      <c r="E794" s="336">
        <v>43701</v>
      </c>
      <c r="F794" s="336">
        <v>43617</v>
      </c>
      <c r="G794" s="336">
        <v>43699</v>
      </c>
      <c r="H794" s="334" t="s">
        <v>2365</v>
      </c>
      <c r="I794" s="356">
        <v>18621310603</v>
      </c>
      <c r="J794" s="361" t="s">
        <v>2366</v>
      </c>
      <c r="K794" s="356">
        <v>1000</v>
      </c>
      <c r="L794" s="334">
        <f>11638-1472</f>
        <v>10166</v>
      </c>
      <c r="M794" s="334">
        <v>1472</v>
      </c>
      <c r="N794" s="362">
        <f t="shared" si="24"/>
        <v>11638</v>
      </c>
      <c r="O794" s="356"/>
      <c r="Q794" s="366" t="s">
        <v>52</v>
      </c>
      <c r="R794" s="356"/>
      <c r="S794" s="356"/>
      <c r="T794" s="356"/>
      <c r="U794" s="372"/>
      <c r="V794" s="372"/>
      <c r="W794" s="372"/>
      <c r="X794" s="373"/>
      <c r="Y794" s="348"/>
      <c r="Z794" s="348"/>
      <c r="AA794" s="348"/>
    </row>
    <row r="795" s="331" customFormat="1" ht="17" customHeight="1" spans="1:27">
      <c r="A795" s="550" t="s">
        <v>2367</v>
      </c>
      <c r="B795" s="348" t="s">
        <v>335</v>
      </c>
      <c r="C795" s="348" t="s">
        <v>336</v>
      </c>
      <c r="D795" s="349" t="s">
        <v>337</v>
      </c>
      <c r="E795" s="336">
        <v>43691</v>
      </c>
      <c r="F795" s="336">
        <v>43617</v>
      </c>
      <c r="G795" s="336">
        <v>43691</v>
      </c>
      <c r="H795" s="334" t="s">
        <v>2368</v>
      </c>
      <c r="I795" s="356" t="s">
        <v>2369</v>
      </c>
      <c r="J795" s="361" t="s">
        <v>2370</v>
      </c>
      <c r="K795" s="356">
        <v>1000</v>
      </c>
      <c r="L795" s="334">
        <v>4362</v>
      </c>
      <c r="M795" s="362"/>
      <c r="N795" s="362">
        <f t="shared" si="24"/>
        <v>4362</v>
      </c>
      <c r="O795" s="356"/>
      <c r="Q795" s="356" t="s">
        <v>52</v>
      </c>
      <c r="R795" s="356"/>
      <c r="S795" s="356"/>
      <c r="T795" s="356"/>
      <c r="U795" s="372"/>
      <c r="V795" s="372"/>
      <c r="W795" s="372"/>
      <c r="X795" s="373"/>
      <c r="Y795" s="348"/>
      <c r="Z795" s="348"/>
      <c r="AA795" s="348"/>
    </row>
    <row r="796" s="331" customFormat="1" ht="17" customHeight="1" spans="1:27">
      <c r="A796" s="550" t="s">
        <v>2371</v>
      </c>
      <c r="B796" s="348" t="s">
        <v>335</v>
      </c>
      <c r="C796" s="348" t="s">
        <v>399</v>
      </c>
      <c r="D796" s="349" t="s">
        <v>337</v>
      </c>
      <c r="E796" s="336">
        <v>43751</v>
      </c>
      <c r="F796" s="336">
        <v>43617</v>
      </c>
      <c r="G796" s="336">
        <v>43751</v>
      </c>
      <c r="H796" s="334" t="s">
        <v>2372</v>
      </c>
      <c r="I796" s="356" t="s">
        <v>2373</v>
      </c>
      <c r="J796" s="361" t="s">
        <v>2374</v>
      </c>
      <c r="K796" s="356">
        <v>3000</v>
      </c>
      <c r="L796" s="334">
        <v>10989</v>
      </c>
      <c r="M796" s="362"/>
      <c r="N796" s="362">
        <f t="shared" si="24"/>
        <v>10989</v>
      </c>
      <c r="O796" s="356"/>
      <c r="Q796" s="356" t="s">
        <v>21</v>
      </c>
      <c r="R796" s="356"/>
      <c r="S796" s="356"/>
      <c r="T796" s="356"/>
      <c r="U796" s="372"/>
      <c r="V796" s="372"/>
      <c r="W796" s="372"/>
      <c r="X796" s="373"/>
      <c r="Y796" s="348"/>
      <c r="Z796" s="348"/>
      <c r="AA796" s="348"/>
    </row>
    <row r="797" s="331" customFormat="1" ht="17" customHeight="1" spans="1:27">
      <c r="A797" s="348">
        <v>2025329</v>
      </c>
      <c r="B797" s="348" t="s">
        <v>137</v>
      </c>
      <c r="C797" s="348" t="s">
        <v>480</v>
      </c>
      <c r="D797" s="349" t="s">
        <v>427</v>
      </c>
      <c r="E797" s="336">
        <v>43628</v>
      </c>
      <c r="F797" s="336">
        <v>43618</v>
      </c>
      <c r="G797" s="336">
        <v>43658</v>
      </c>
      <c r="H797" s="334" t="s">
        <v>2375</v>
      </c>
      <c r="I797" s="356">
        <v>13311859537</v>
      </c>
      <c r="J797" s="361" t="s">
        <v>2376</v>
      </c>
      <c r="K797" s="356">
        <v>3000</v>
      </c>
      <c r="L797" s="334">
        <v>23744</v>
      </c>
      <c r="M797" s="334">
        <v>-600</v>
      </c>
      <c r="N797" s="362">
        <f t="shared" si="24"/>
        <v>23144</v>
      </c>
      <c r="O797" s="356"/>
      <c r="Q797" s="356"/>
      <c r="R797" s="356"/>
      <c r="S797" s="356"/>
      <c r="T797" s="356"/>
      <c r="U797" s="372"/>
      <c r="V797" s="372"/>
      <c r="W797" s="372"/>
      <c r="X797" s="373"/>
      <c r="Y797" s="348"/>
      <c r="Z797" s="348"/>
      <c r="AA797" s="348"/>
    </row>
    <row r="798" s="331" customFormat="1" ht="17" customHeight="1" spans="1:27">
      <c r="A798" s="550" t="s">
        <v>2377</v>
      </c>
      <c r="B798" s="348" t="s">
        <v>137</v>
      </c>
      <c r="C798" s="348" t="s">
        <v>138</v>
      </c>
      <c r="D798" s="349" t="s">
        <v>427</v>
      </c>
      <c r="E798" s="336">
        <v>43619</v>
      </c>
      <c r="F798" s="336">
        <v>43618</v>
      </c>
      <c r="G798" s="336">
        <v>43659</v>
      </c>
      <c r="H798" s="334" t="s">
        <v>2378</v>
      </c>
      <c r="I798" s="356">
        <v>13917073740</v>
      </c>
      <c r="J798" s="361" t="s">
        <v>2379</v>
      </c>
      <c r="K798" s="356">
        <f>5400+3000</f>
        <v>8400</v>
      </c>
      <c r="L798" s="334">
        <v>6614</v>
      </c>
      <c r="M798" s="334"/>
      <c r="N798" s="362">
        <f t="shared" si="24"/>
        <v>6614</v>
      </c>
      <c r="O798" s="356"/>
      <c r="Q798" s="356"/>
      <c r="R798" s="356"/>
      <c r="S798" s="356"/>
      <c r="T798" s="356"/>
      <c r="U798" s="372"/>
      <c r="V798" s="372"/>
      <c r="W798" s="372"/>
      <c r="X798" s="373"/>
      <c r="Y798" s="348" t="s">
        <v>1228</v>
      </c>
      <c r="Z798" s="348"/>
      <c r="AA798" s="348"/>
    </row>
    <row r="799" s="331" customFormat="1" ht="17" customHeight="1" spans="1:27">
      <c r="A799" s="550" t="s">
        <v>2380</v>
      </c>
      <c r="B799" s="348" t="s">
        <v>137</v>
      </c>
      <c r="C799" s="348" t="s">
        <v>138</v>
      </c>
      <c r="D799" s="334" t="s">
        <v>2381</v>
      </c>
      <c r="E799" s="336">
        <v>43723</v>
      </c>
      <c r="F799" s="336">
        <v>43618</v>
      </c>
      <c r="G799" s="336">
        <v>43721</v>
      </c>
      <c r="H799" s="334" t="s">
        <v>2382</v>
      </c>
      <c r="I799" s="356">
        <v>13817231403</v>
      </c>
      <c r="J799" s="361" t="s">
        <v>2383</v>
      </c>
      <c r="K799" s="356">
        <v>3000</v>
      </c>
      <c r="L799" s="334">
        <v>17376</v>
      </c>
      <c r="M799" s="362"/>
      <c r="N799" s="362">
        <f t="shared" si="24"/>
        <v>17376</v>
      </c>
      <c r="O799" s="356"/>
      <c r="P799" s="356"/>
      <c r="Q799" s="356">
        <v>1</v>
      </c>
      <c r="R799" s="356"/>
      <c r="S799" s="356"/>
      <c r="T799" s="356"/>
      <c r="U799" s="372"/>
      <c r="V799" s="372"/>
      <c r="W799" s="372"/>
      <c r="X799" s="373"/>
      <c r="Y799" s="348" t="s">
        <v>331</v>
      </c>
      <c r="Z799" s="348"/>
      <c r="AA799" s="348"/>
    </row>
    <row r="800" s="331" customFormat="1" ht="17" customHeight="1" spans="1:27">
      <c r="A800" s="550" t="s">
        <v>2384</v>
      </c>
      <c r="B800" s="348" t="s">
        <v>123</v>
      </c>
      <c r="C800" s="348" t="s">
        <v>124</v>
      </c>
      <c r="D800" s="349" t="s">
        <v>125</v>
      </c>
      <c r="E800" s="336" t="s">
        <v>498</v>
      </c>
      <c r="F800" s="336">
        <v>43618</v>
      </c>
      <c r="G800" s="350"/>
      <c r="H800" s="334" t="s">
        <v>2385</v>
      </c>
      <c r="I800" s="356">
        <v>13818118737</v>
      </c>
      <c r="J800" s="361" t="s">
        <v>2386</v>
      </c>
      <c r="K800" s="356">
        <v>500</v>
      </c>
      <c r="L800" s="362"/>
      <c r="M800" s="362"/>
      <c r="N800" s="362">
        <f t="shared" si="24"/>
        <v>0</v>
      </c>
      <c r="O800" s="356"/>
      <c r="Q800" s="356"/>
      <c r="R800" s="356"/>
      <c r="S800" s="356"/>
      <c r="T800" s="356"/>
      <c r="U800" s="372" t="s">
        <v>40</v>
      </c>
      <c r="V800" s="372"/>
      <c r="W800" s="372"/>
      <c r="X800" s="373"/>
      <c r="Y800" s="348" t="s">
        <v>2387</v>
      </c>
      <c r="Z800" s="348"/>
      <c r="AA800" s="348"/>
    </row>
    <row r="801" s="331" customFormat="1" ht="17" customHeight="1" spans="1:27">
      <c r="A801" s="550" t="s">
        <v>2388</v>
      </c>
      <c r="B801" s="348" t="s">
        <v>66</v>
      </c>
      <c r="C801" s="348" t="s">
        <v>2389</v>
      </c>
      <c r="D801" s="349" t="s">
        <v>68</v>
      </c>
      <c r="E801" s="336">
        <v>43708</v>
      </c>
      <c r="F801" s="336">
        <v>43618</v>
      </c>
      <c r="G801" s="336">
        <v>43708</v>
      </c>
      <c r="H801" s="334" t="s">
        <v>2390</v>
      </c>
      <c r="I801" s="356">
        <v>18021079560</v>
      </c>
      <c r="J801" s="361" t="s">
        <v>2391</v>
      </c>
      <c r="K801" s="356">
        <v>3000</v>
      </c>
      <c r="L801" s="334">
        <v>3000</v>
      </c>
      <c r="M801" s="362"/>
      <c r="N801" s="362">
        <f t="shared" ref="N801:N832" si="25">L801+M801</f>
        <v>3000</v>
      </c>
      <c r="O801" s="356" t="s">
        <v>2392</v>
      </c>
      <c r="Q801" s="356"/>
      <c r="R801" s="356"/>
      <c r="S801" s="356"/>
      <c r="T801" s="356"/>
      <c r="U801" s="372"/>
      <c r="V801" s="372"/>
      <c r="W801" s="372"/>
      <c r="X801" s="373">
        <v>1</v>
      </c>
      <c r="Y801" s="348"/>
      <c r="Z801" s="348"/>
      <c r="AA801" s="348"/>
    </row>
    <row r="802" s="331" customFormat="1" ht="17" customHeight="1" spans="1:27">
      <c r="A802" s="348">
        <v>2067374</v>
      </c>
      <c r="B802" s="348" t="s">
        <v>405</v>
      </c>
      <c r="C802" s="348" t="s">
        <v>1234</v>
      </c>
      <c r="D802" s="349" t="s">
        <v>407</v>
      </c>
      <c r="E802" s="336">
        <v>43618</v>
      </c>
      <c r="F802" s="336">
        <v>43618</v>
      </c>
      <c r="G802" s="350"/>
      <c r="H802" s="334" t="s">
        <v>2393</v>
      </c>
      <c r="I802" s="356">
        <v>13816465211</v>
      </c>
      <c r="J802" s="361" t="s">
        <v>2394</v>
      </c>
      <c r="K802" s="356">
        <v>1000</v>
      </c>
      <c r="L802" s="362"/>
      <c r="M802" s="362"/>
      <c r="N802" s="362">
        <f t="shared" si="25"/>
        <v>0</v>
      </c>
      <c r="O802" s="356"/>
      <c r="Q802" s="356"/>
      <c r="R802" s="356"/>
      <c r="S802" s="356"/>
      <c r="T802" s="356"/>
      <c r="U802" s="372" t="s">
        <v>40</v>
      </c>
      <c r="V802" s="372"/>
      <c r="W802" s="372"/>
      <c r="X802" s="373"/>
      <c r="Y802" s="348"/>
      <c r="Z802" s="348"/>
      <c r="AA802" s="348"/>
    </row>
    <row r="803" s="331" customFormat="1" ht="17" customHeight="1" spans="1:27">
      <c r="A803" s="550" t="s">
        <v>2395</v>
      </c>
      <c r="B803" s="348" t="s">
        <v>66</v>
      </c>
      <c r="C803" s="348" t="s">
        <v>951</v>
      </c>
      <c r="D803" s="334" t="s">
        <v>1436</v>
      </c>
      <c r="E803" s="336">
        <v>43708</v>
      </c>
      <c r="F803" s="336">
        <v>43618</v>
      </c>
      <c r="G803" s="336">
        <v>43707</v>
      </c>
      <c r="H803" s="334" t="s">
        <v>2396</v>
      </c>
      <c r="I803" s="356">
        <v>1365197402</v>
      </c>
      <c r="J803" s="361" t="s">
        <v>2397</v>
      </c>
      <c r="K803" s="356">
        <v>3000</v>
      </c>
      <c r="L803" s="334">
        <v>7188</v>
      </c>
      <c r="M803" s="362"/>
      <c r="N803" s="362">
        <f t="shared" si="25"/>
        <v>7188</v>
      </c>
      <c r="O803" s="356"/>
      <c r="Q803" s="356" t="s">
        <v>21</v>
      </c>
      <c r="R803" s="356"/>
      <c r="S803" s="356"/>
      <c r="T803" s="356"/>
      <c r="U803" s="372"/>
      <c r="V803" s="372"/>
      <c r="W803" s="372"/>
      <c r="X803" s="373"/>
      <c r="Y803" s="348"/>
      <c r="Z803" s="348"/>
      <c r="AA803" s="348"/>
    </row>
    <row r="804" s="331" customFormat="1" ht="17" customHeight="1" spans="1:27">
      <c r="A804" s="550" t="s">
        <v>2398</v>
      </c>
      <c r="B804" s="348" t="s">
        <v>47</v>
      </c>
      <c r="C804" s="348" t="s">
        <v>2399</v>
      </c>
      <c r="D804" s="352" t="s">
        <v>49</v>
      </c>
      <c r="E804" s="336">
        <v>43703</v>
      </c>
      <c r="F804" s="336">
        <v>43618</v>
      </c>
      <c r="G804" s="336">
        <v>43703</v>
      </c>
      <c r="H804" s="334" t="s">
        <v>2400</v>
      </c>
      <c r="I804" s="356">
        <v>13816045769</v>
      </c>
      <c r="J804" s="361" t="s">
        <v>2401</v>
      </c>
      <c r="K804" s="356">
        <v>3000</v>
      </c>
      <c r="L804" s="334">
        <v>7825</v>
      </c>
      <c r="M804" s="362"/>
      <c r="N804" s="362">
        <f t="shared" si="25"/>
        <v>7825</v>
      </c>
      <c r="O804" s="356"/>
      <c r="Q804" s="356"/>
      <c r="R804" s="356"/>
      <c r="S804" s="356" t="s">
        <v>52</v>
      </c>
      <c r="T804" s="356"/>
      <c r="U804" s="372"/>
      <c r="V804" s="372"/>
      <c r="W804" s="372"/>
      <c r="X804" s="373"/>
      <c r="Y804" s="348" t="s">
        <v>2364</v>
      </c>
      <c r="Z804" s="348"/>
      <c r="AA804" s="348"/>
    </row>
    <row r="805" s="331" customFormat="1" ht="17" customHeight="1" spans="1:27">
      <c r="A805" s="550" t="s">
        <v>2402</v>
      </c>
      <c r="B805" s="348" t="s">
        <v>94</v>
      </c>
      <c r="C805" s="348" t="s">
        <v>101</v>
      </c>
      <c r="D805" s="352" t="s">
        <v>49</v>
      </c>
      <c r="E805" s="336">
        <v>43618</v>
      </c>
      <c r="F805" s="336">
        <v>43618</v>
      </c>
      <c r="G805" s="336">
        <v>43657</v>
      </c>
      <c r="H805" s="334" t="s">
        <v>2403</v>
      </c>
      <c r="I805" s="356">
        <v>13917639563</v>
      </c>
      <c r="J805" s="361" t="s">
        <v>2404</v>
      </c>
      <c r="K805" s="356">
        <v>3000</v>
      </c>
      <c r="L805" s="334">
        <v>9343</v>
      </c>
      <c r="M805" s="334">
        <v>0</v>
      </c>
      <c r="N805" s="362">
        <f t="shared" si="25"/>
        <v>9343</v>
      </c>
      <c r="O805" s="356"/>
      <c r="Q805" s="356"/>
      <c r="R805" s="356"/>
      <c r="S805" s="356"/>
      <c r="T805" s="356"/>
      <c r="U805" s="372"/>
      <c r="V805" s="372"/>
      <c r="W805" s="372"/>
      <c r="X805" s="373"/>
      <c r="Y805" s="348" t="s">
        <v>2130</v>
      </c>
      <c r="Z805" s="348"/>
      <c r="AA805" s="348"/>
    </row>
    <row r="806" s="331" customFormat="1" ht="17" customHeight="1" spans="1:27">
      <c r="A806" s="348"/>
      <c r="B806" s="348" t="s">
        <v>87</v>
      </c>
      <c r="C806" s="348" t="s">
        <v>199</v>
      </c>
      <c r="D806" s="349" t="s">
        <v>89</v>
      </c>
      <c r="E806" s="336">
        <v>43626</v>
      </c>
      <c r="F806" s="336">
        <v>43617</v>
      </c>
      <c r="G806" s="336">
        <v>43663</v>
      </c>
      <c r="H806" s="334" t="s">
        <v>2405</v>
      </c>
      <c r="I806" s="356">
        <v>13585016827</v>
      </c>
      <c r="J806" s="361" t="s">
        <v>2406</v>
      </c>
      <c r="K806" s="356">
        <v>1000</v>
      </c>
      <c r="L806" s="334">
        <v>7910</v>
      </c>
      <c r="M806" s="334"/>
      <c r="N806" s="362">
        <f t="shared" si="25"/>
        <v>7910</v>
      </c>
      <c r="O806" s="356"/>
      <c r="Q806" s="356"/>
      <c r="R806" s="356"/>
      <c r="S806" s="356"/>
      <c r="T806" s="356"/>
      <c r="U806" s="372"/>
      <c r="V806" s="372"/>
      <c r="W806" s="372"/>
      <c r="X806" s="373"/>
      <c r="Y806" s="348" t="s">
        <v>331</v>
      </c>
      <c r="Z806" s="348"/>
      <c r="AA806" s="348"/>
    </row>
    <row r="807" s="331" customFormat="1" ht="17" customHeight="1" spans="1:27">
      <c r="A807" s="348"/>
      <c r="B807" s="348" t="s">
        <v>87</v>
      </c>
      <c r="C807" s="348" t="s">
        <v>199</v>
      </c>
      <c r="D807" s="349" t="s">
        <v>89</v>
      </c>
      <c r="E807" s="336">
        <v>43708</v>
      </c>
      <c r="F807" s="336">
        <v>43617</v>
      </c>
      <c r="G807" s="336">
        <v>43687</v>
      </c>
      <c r="H807" s="334" t="s">
        <v>2407</v>
      </c>
      <c r="I807" s="356">
        <v>15000407696</v>
      </c>
      <c r="J807" s="361" t="s">
        <v>2408</v>
      </c>
      <c r="K807" s="356">
        <v>1000</v>
      </c>
      <c r="L807" s="334">
        <f>9192-736</f>
        <v>8456</v>
      </c>
      <c r="M807" s="334">
        <v>2853</v>
      </c>
      <c r="N807" s="362">
        <f t="shared" si="25"/>
        <v>11309</v>
      </c>
      <c r="O807" s="356"/>
      <c r="Q807" s="356"/>
      <c r="R807" s="356"/>
      <c r="S807" s="356"/>
      <c r="T807" s="356"/>
      <c r="U807" s="372"/>
      <c r="V807" s="372"/>
      <c r="W807" s="372"/>
      <c r="X807" s="373"/>
      <c r="Y807" s="348" t="s">
        <v>418</v>
      </c>
      <c r="Z807" s="348"/>
      <c r="AA807" s="348"/>
    </row>
    <row r="808" s="331" customFormat="1" ht="17" customHeight="1" spans="1:27">
      <c r="A808" s="348"/>
      <c r="B808" s="348" t="s">
        <v>42</v>
      </c>
      <c r="C808" s="348" t="s">
        <v>43</v>
      </c>
      <c r="D808" s="349" t="s">
        <v>44</v>
      </c>
      <c r="E808" s="336">
        <v>43625</v>
      </c>
      <c r="F808" s="336">
        <v>43624</v>
      </c>
      <c r="G808" s="350"/>
      <c r="H808" s="334" t="s">
        <v>2409</v>
      </c>
      <c r="I808" s="356">
        <v>13917188152</v>
      </c>
      <c r="J808" s="361" t="s">
        <v>2410</v>
      </c>
      <c r="K808" s="356">
        <v>1000</v>
      </c>
      <c r="L808" s="362"/>
      <c r="M808" s="362"/>
      <c r="N808" s="362">
        <f t="shared" si="25"/>
        <v>0</v>
      </c>
      <c r="O808" s="356"/>
      <c r="Q808" s="391"/>
      <c r="R808" s="356"/>
      <c r="S808" s="356"/>
      <c r="T808" s="356"/>
      <c r="U808" s="372" t="s">
        <v>2411</v>
      </c>
      <c r="V808" s="374">
        <v>43675</v>
      </c>
      <c r="W808" s="372"/>
      <c r="X808" s="373"/>
      <c r="Y808" s="348" t="s">
        <v>2412</v>
      </c>
      <c r="Z808" s="348"/>
      <c r="AA808" s="348"/>
    </row>
    <row r="809" s="331" customFormat="1" ht="17" customHeight="1" spans="1:27">
      <c r="A809" s="550" t="s">
        <v>2413</v>
      </c>
      <c r="B809" s="348" t="s">
        <v>185</v>
      </c>
      <c r="C809" s="348" t="s">
        <v>886</v>
      </c>
      <c r="D809" s="349" t="s">
        <v>187</v>
      </c>
      <c r="E809" s="336">
        <v>43705</v>
      </c>
      <c r="F809" s="336">
        <v>43619</v>
      </c>
      <c r="G809" s="336">
        <v>43703</v>
      </c>
      <c r="H809" s="334" t="s">
        <v>2414</v>
      </c>
      <c r="I809" s="356">
        <v>13585949583</v>
      </c>
      <c r="J809" s="361" t="s">
        <v>2415</v>
      </c>
      <c r="K809" s="356">
        <v>1000</v>
      </c>
      <c r="L809" s="334">
        <v>9199</v>
      </c>
      <c r="M809" s="362"/>
      <c r="N809" s="362">
        <f t="shared" si="25"/>
        <v>9199</v>
      </c>
      <c r="O809" s="356" t="s">
        <v>52</v>
      </c>
      <c r="Q809" s="356"/>
      <c r="R809" s="356"/>
      <c r="S809" s="356"/>
      <c r="T809" s="356"/>
      <c r="U809" s="372"/>
      <c r="V809" s="372"/>
      <c r="W809" s="372"/>
      <c r="X809" s="373"/>
      <c r="Y809" s="348"/>
      <c r="Z809" s="348"/>
      <c r="AA809" s="348"/>
    </row>
    <row r="810" s="331" customFormat="1" ht="17" customHeight="1" spans="1:27">
      <c r="A810" s="348">
        <v>2067598</v>
      </c>
      <c r="B810" s="348" t="s">
        <v>31</v>
      </c>
      <c r="C810" s="348" t="s">
        <v>115</v>
      </c>
      <c r="D810" s="349" t="s">
        <v>221</v>
      </c>
      <c r="E810" s="336">
        <v>43681</v>
      </c>
      <c r="F810" s="336">
        <v>43618</v>
      </c>
      <c r="G810" s="336">
        <v>43681</v>
      </c>
      <c r="H810" s="334" t="s">
        <v>2416</v>
      </c>
      <c r="I810" s="356">
        <v>18516272244</v>
      </c>
      <c r="J810" s="361" t="s">
        <v>2417</v>
      </c>
      <c r="K810" s="356">
        <v>1000</v>
      </c>
      <c r="L810" s="334">
        <v>15660</v>
      </c>
      <c r="M810" s="362"/>
      <c r="N810" s="362">
        <f t="shared" si="25"/>
        <v>15660</v>
      </c>
      <c r="O810" s="356"/>
      <c r="Q810" s="356"/>
      <c r="R810" s="356"/>
      <c r="S810" s="366"/>
      <c r="T810" s="356"/>
      <c r="U810" s="372"/>
      <c r="V810" s="372"/>
      <c r="W810" s="372"/>
      <c r="X810" s="373"/>
      <c r="Y810" s="348"/>
      <c r="Z810" s="348"/>
      <c r="AA810" s="348"/>
    </row>
    <row r="811" s="331" customFormat="1" ht="17" customHeight="1" spans="1:27">
      <c r="A811" s="348">
        <v>2025536</v>
      </c>
      <c r="B811" s="348" t="s">
        <v>335</v>
      </c>
      <c r="C811" s="348" t="s">
        <v>615</v>
      </c>
      <c r="D811" s="349" t="s">
        <v>337</v>
      </c>
      <c r="E811" s="336">
        <v>43619</v>
      </c>
      <c r="F811" s="336">
        <v>43619</v>
      </c>
      <c r="G811" s="336">
        <v>43659</v>
      </c>
      <c r="H811" s="334" t="s">
        <v>2418</v>
      </c>
      <c r="I811" s="356">
        <v>18616181599</v>
      </c>
      <c r="J811" s="361" t="s">
        <v>2419</v>
      </c>
      <c r="K811" s="356">
        <v>1000</v>
      </c>
      <c r="L811" s="334">
        <v>6998</v>
      </c>
      <c r="M811" s="334">
        <f>536+268</f>
        <v>804</v>
      </c>
      <c r="N811" s="362">
        <f t="shared" si="25"/>
        <v>7802</v>
      </c>
      <c r="O811" s="356"/>
      <c r="Q811" s="356"/>
      <c r="R811" s="356"/>
      <c r="S811" s="356"/>
      <c r="T811" s="356"/>
      <c r="U811" s="372"/>
      <c r="V811" s="372"/>
      <c r="W811" s="372"/>
      <c r="X811" s="373"/>
      <c r="Y811" s="348"/>
      <c r="Z811" s="348"/>
      <c r="AA811" s="348"/>
    </row>
    <row r="812" s="331" customFormat="1" ht="17" customHeight="1" spans="1:28">
      <c r="A812" s="348"/>
      <c r="B812" s="348" t="s">
        <v>123</v>
      </c>
      <c r="C812" s="348" t="s">
        <v>124</v>
      </c>
      <c r="D812" s="349" t="s">
        <v>125</v>
      </c>
      <c r="E812" s="336">
        <v>43619</v>
      </c>
      <c r="F812" s="336">
        <v>43618</v>
      </c>
      <c r="G812" s="350"/>
      <c r="H812" s="334" t="s">
        <v>2420</v>
      </c>
      <c r="I812" s="356">
        <v>18918322929</v>
      </c>
      <c r="J812" s="361" t="s">
        <v>2421</v>
      </c>
      <c r="K812" s="356">
        <v>1998</v>
      </c>
      <c r="L812" s="362"/>
      <c r="M812" s="362"/>
      <c r="N812" s="362">
        <f t="shared" si="25"/>
        <v>0</v>
      </c>
      <c r="O812" s="356"/>
      <c r="Q812" s="356"/>
      <c r="R812" s="356"/>
      <c r="S812" s="356"/>
      <c r="T812" s="356"/>
      <c r="U812" s="372" t="s">
        <v>40</v>
      </c>
      <c r="V812" s="372"/>
      <c r="W812" s="372"/>
      <c r="X812" s="373"/>
      <c r="Y812" s="348"/>
      <c r="Z812" s="348"/>
      <c r="AA812" s="348"/>
      <c r="AB812" s="331" t="s">
        <v>659</v>
      </c>
    </row>
    <row r="813" s="331" customFormat="1" ht="17" customHeight="1" spans="1:27">
      <c r="A813" s="550" t="s">
        <v>2422</v>
      </c>
      <c r="B813" s="348" t="s">
        <v>31</v>
      </c>
      <c r="C813" s="348" t="s">
        <v>251</v>
      </c>
      <c r="D813" s="349" t="s">
        <v>33</v>
      </c>
      <c r="E813" s="336">
        <v>43581</v>
      </c>
      <c r="F813" s="336">
        <v>43569</v>
      </c>
      <c r="G813" s="350"/>
      <c r="H813" s="334" t="s">
        <v>662</v>
      </c>
      <c r="I813" s="356">
        <v>13917386697</v>
      </c>
      <c r="J813" s="361" t="s">
        <v>2423</v>
      </c>
      <c r="K813" s="356">
        <v>1000</v>
      </c>
      <c r="L813" s="362"/>
      <c r="M813" s="362"/>
      <c r="N813" s="362">
        <f t="shared" si="25"/>
        <v>0</v>
      </c>
      <c r="O813" s="356"/>
      <c r="Q813" s="356"/>
      <c r="R813" s="366" t="s">
        <v>52</v>
      </c>
      <c r="S813" s="356"/>
      <c r="T813" s="356"/>
      <c r="U813" s="385" t="s">
        <v>52</v>
      </c>
      <c r="V813" s="372"/>
      <c r="W813" s="372"/>
      <c r="X813" s="373"/>
      <c r="Y813" s="348"/>
      <c r="Z813" s="348"/>
      <c r="AA813" s="348"/>
    </row>
    <row r="814" s="57" customFormat="1" ht="17" customHeight="1" spans="1:27">
      <c r="A814" s="348">
        <v>2025336</v>
      </c>
      <c r="B814" s="348" t="s">
        <v>137</v>
      </c>
      <c r="C814" s="348" t="s">
        <v>411</v>
      </c>
      <c r="D814" s="349" t="s">
        <v>427</v>
      </c>
      <c r="E814" s="336" t="s">
        <v>2424</v>
      </c>
      <c r="F814" s="336">
        <v>43569</v>
      </c>
      <c r="G814" s="350"/>
      <c r="H814" s="334" t="s">
        <v>662</v>
      </c>
      <c r="I814" s="356">
        <v>13917386697</v>
      </c>
      <c r="J814" s="348" t="s">
        <v>2423</v>
      </c>
      <c r="K814" s="356">
        <v>1000</v>
      </c>
      <c r="L814" s="362"/>
      <c r="M814" s="362"/>
      <c r="N814" s="362">
        <f t="shared" si="25"/>
        <v>0</v>
      </c>
      <c r="O814" s="356"/>
      <c r="Q814" s="356">
        <v>1</v>
      </c>
      <c r="R814" s="356"/>
      <c r="S814" s="356"/>
      <c r="T814" s="356"/>
      <c r="U814" s="372" t="s">
        <v>12</v>
      </c>
      <c r="V814" s="372"/>
      <c r="W814" s="372"/>
      <c r="X814" s="373"/>
      <c r="Y814" s="348" t="s">
        <v>2425</v>
      </c>
      <c r="Z814" s="348"/>
      <c r="AA814" s="348"/>
    </row>
    <row r="815" s="331" customFormat="1" ht="17" customHeight="1" spans="1:27">
      <c r="A815" s="550" t="s">
        <v>2426</v>
      </c>
      <c r="B815" s="348" t="s">
        <v>185</v>
      </c>
      <c r="C815" s="348" t="s">
        <v>886</v>
      </c>
      <c r="D815" s="349" t="s">
        <v>187</v>
      </c>
      <c r="E815" s="336">
        <v>43619</v>
      </c>
      <c r="F815" s="336">
        <v>43618</v>
      </c>
      <c r="G815" s="336">
        <v>43659</v>
      </c>
      <c r="H815" s="410" t="s">
        <v>2427</v>
      </c>
      <c r="I815" s="356">
        <v>15801976080</v>
      </c>
      <c r="J815" s="361" t="s">
        <v>2428</v>
      </c>
      <c r="K815" s="356">
        <v>1000</v>
      </c>
      <c r="L815" s="334">
        <v>21668</v>
      </c>
      <c r="M815" s="334"/>
      <c r="N815" s="362">
        <f t="shared" si="25"/>
        <v>21668</v>
      </c>
      <c r="O815" s="356"/>
      <c r="Q815" s="356"/>
      <c r="R815" s="356"/>
      <c r="S815" s="356"/>
      <c r="T815" s="356"/>
      <c r="U815" s="372"/>
      <c r="V815" s="372"/>
      <c r="W815" s="372"/>
      <c r="X815" s="373"/>
      <c r="Y815" s="348" t="s">
        <v>331</v>
      </c>
      <c r="Z815" s="348"/>
      <c r="AA815" s="348"/>
    </row>
    <row r="816" s="331" customFormat="1" ht="17" customHeight="1" spans="1:27">
      <c r="A816" s="550" t="s">
        <v>2429</v>
      </c>
      <c r="B816" s="348" t="s">
        <v>185</v>
      </c>
      <c r="C816" s="348" t="s">
        <v>886</v>
      </c>
      <c r="D816" s="349" t="s">
        <v>187</v>
      </c>
      <c r="E816" s="336">
        <v>43619</v>
      </c>
      <c r="F816" s="336">
        <v>43618</v>
      </c>
      <c r="G816" s="336">
        <v>43674</v>
      </c>
      <c r="H816" s="334" t="s">
        <v>2430</v>
      </c>
      <c r="I816" s="356">
        <v>18217686003</v>
      </c>
      <c r="J816" s="361" t="s">
        <v>2431</v>
      </c>
      <c r="K816" s="356">
        <v>3000</v>
      </c>
      <c r="L816" s="334">
        <v>10681</v>
      </c>
      <c r="M816" s="362"/>
      <c r="N816" s="362">
        <f t="shared" si="25"/>
        <v>10681</v>
      </c>
      <c r="O816" s="356"/>
      <c r="Q816" s="356"/>
      <c r="R816" s="356"/>
      <c r="S816" s="356"/>
      <c r="T816" s="356"/>
      <c r="U816" s="372"/>
      <c r="V816" s="372"/>
      <c r="W816" s="372"/>
      <c r="X816" s="373"/>
      <c r="Y816" s="348"/>
      <c r="Z816" s="348"/>
      <c r="AA816" s="348"/>
    </row>
    <row r="817" s="331" customFormat="1" ht="17" customHeight="1" spans="1:27">
      <c r="A817" s="348"/>
      <c r="B817" s="348" t="s">
        <v>185</v>
      </c>
      <c r="C817" s="348" t="s">
        <v>886</v>
      </c>
      <c r="D817" s="349" t="s">
        <v>187</v>
      </c>
      <c r="E817" s="336">
        <v>43619</v>
      </c>
      <c r="F817" s="336">
        <v>43618</v>
      </c>
      <c r="G817" s="336">
        <v>43667</v>
      </c>
      <c r="H817" s="334" t="s">
        <v>2432</v>
      </c>
      <c r="I817" s="356">
        <v>13564926586</v>
      </c>
      <c r="J817" s="361" t="s">
        <v>2433</v>
      </c>
      <c r="K817" s="356">
        <v>3000</v>
      </c>
      <c r="L817" s="334">
        <v>8862</v>
      </c>
      <c r="M817" s="362"/>
      <c r="N817" s="362">
        <f t="shared" si="25"/>
        <v>8862</v>
      </c>
      <c r="O817" s="356"/>
      <c r="Q817" s="356"/>
      <c r="R817" s="356"/>
      <c r="S817" s="356"/>
      <c r="T817" s="356"/>
      <c r="U817" s="372"/>
      <c r="V817" s="372"/>
      <c r="W817" s="372"/>
      <c r="X817" s="373"/>
      <c r="Y817" s="348"/>
      <c r="Z817" s="348"/>
      <c r="AA817" s="348"/>
    </row>
    <row r="818" s="331" customFormat="1" ht="17" customHeight="1" spans="1:27">
      <c r="A818" s="348"/>
      <c r="B818" s="348" t="s">
        <v>185</v>
      </c>
      <c r="C818" s="348" t="s">
        <v>886</v>
      </c>
      <c r="D818" s="349" t="s">
        <v>187</v>
      </c>
      <c r="E818" s="336">
        <v>43799</v>
      </c>
      <c r="F818" s="336">
        <v>43618</v>
      </c>
      <c r="G818" s="336">
        <v>43799</v>
      </c>
      <c r="H818" s="334" t="s">
        <v>2434</v>
      </c>
      <c r="I818" s="356">
        <v>13818177080</v>
      </c>
      <c r="J818" s="361" t="s">
        <v>2435</v>
      </c>
      <c r="K818" s="356">
        <v>3000</v>
      </c>
      <c r="L818" s="334">
        <v>67500</v>
      </c>
      <c r="M818" s="362"/>
      <c r="N818" s="362">
        <f t="shared" si="25"/>
        <v>67500</v>
      </c>
      <c r="O818" s="356" t="s">
        <v>52</v>
      </c>
      <c r="Q818" s="356"/>
      <c r="R818" s="356"/>
      <c r="S818" s="356"/>
      <c r="T818" s="356"/>
      <c r="U818" s="372"/>
      <c r="V818" s="372"/>
      <c r="W818" s="372"/>
      <c r="X818" s="373"/>
      <c r="Y818" s="348"/>
      <c r="Z818" s="348"/>
      <c r="AA818" s="348"/>
    </row>
    <row r="819" s="331" customFormat="1" ht="15" customHeight="1" spans="1:27">
      <c r="A819" s="550" t="s">
        <v>1972</v>
      </c>
      <c r="B819" s="348" t="s">
        <v>58</v>
      </c>
      <c r="C819" s="348" t="s">
        <v>342</v>
      </c>
      <c r="D819" s="352" t="s">
        <v>343</v>
      </c>
      <c r="E819" s="336">
        <v>43619</v>
      </c>
      <c r="F819" s="336">
        <v>43618</v>
      </c>
      <c r="G819" s="350">
        <v>43708</v>
      </c>
      <c r="H819" s="334" t="s">
        <v>2436</v>
      </c>
      <c r="I819" s="356">
        <v>18049931130</v>
      </c>
      <c r="J819" s="361" t="s">
        <v>2437</v>
      </c>
      <c r="K819" s="356">
        <v>1000</v>
      </c>
      <c r="L819" s="362"/>
      <c r="M819" s="362"/>
      <c r="N819" s="362">
        <f t="shared" si="25"/>
        <v>0</v>
      </c>
      <c r="O819" s="356"/>
      <c r="Q819" s="356"/>
      <c r="R819" s="366" t="s">
        <v>52</v>
      </c>
      <c r="S819" s="356"/>
      <c r="T819" s="356"/>
      <c r="U819" s="372"/>
      <c r="V819" s="372"/>
      <c r="W819" s="372"/>
      <c r="X819" s="373"/>
      <c r="Y819" s="348" t="s">
        <v>331</v>
      </c>
      <c r="Z819" s="348"/>
      <c r="AA819" s="348" t="s">
        <v>2438</v>
      </c>
    </row>
    <row r="820" s="331" customFormat="1" ht="17" customHeight="1" spans="1:27">
      <c r="A820" s="550" t="s">
        <v>2439</v>
      </c>
      <c r="B820" s="348" t="s">
        <v>58</v>
      </c>
      <c r="C820" s="348" t="s">
        <v>109</v>
      </c>
      <c r="D820" s="352" t="s">
        <v>110</v>
      </c>
      <c r="E820" s="336">
        <v>43619</v>
      </c>
      <c r="F820" s="336">
        <v>43618</v>
      </c>
      <c r="G820" s="350"/>
      <c r="H820" s="334" t="s">
        <v>2440</v>
      </c>
      <c r="I820" s="356">
        <v>13482577887</v>
      </c>
      <c r="J820" s="361" t="s">
        <v>2441</v>
      </c>
      <c r="K820" s="356">
        <v>1000</v>
      </c>
      <c r="L820" s="362"/>
      <c r="M820" s="362"/>
      <c r="N820" s="362">
        <f t="shared" si="25"/>
        <v>0</v>
      </c>
      <c r="O820" s="356"/>
      <c r="Q820" s="366" t="s">
        <v>52</v>
      </c>
      <c r="R820" s="356"/>
      <c r="S820" s="356"/>
      <c r="T820" s="356"/>
      <c r="U820" s="372">
        <v>1</v>
      </c>
      <c r="V820" s="372"/>
      <c r="W820" s="372"/>
      <c r="X820" s="373"/>
      <c r="Y820" s="348" t="s">
        <v>331</v>
      </c>
      <c r="Z820" s="348"/>
      <c r="AA820" s="348"/>
    </row>
    <row r="821" s="331" customFormat="1" ht="17" customHeight="1" spans="1:27">
      <c r="A821" s="550" t="s">
        <v>2442</v>
      </c>
      <c r="B821" s="348" t="s">
        <v>153</v>
      </c>
      <c r="C821" s="348" t="s">
        <v>154</v>
      </c>
      <c r="D821" s="349" t="s">
        <v>155</v>
      </c>
      <c r="E821" s="336">
        <v>43639</v>
      </c>
      <c r="F821" s="336">
        <v>43639</v>
      </c>
      <c r="G821" s="336">
        <v>43674</v>
      </c>
      <c r="H821" s="334" t="s">
        <v>2443</v>
      </c>
      <c r="I821" s="356">
        <v>13917687226</v>
      </c>
      <c r="J821" s="361" t="s">
        <v>2444</v>
      </c>
      <c r="K821" s="356">
        <f>15000+1000</f>
        <v>16000</v>
      </c>
      <c r="L821" s="334">
        <v>15254</v>
      </c>
      <c r="M821" s="362"/>
      <c r="N821" s="362">
        <f t="shared" si="25"/>
        <v>15254</v>
      </c>
      <c r="O821" s="356"/>
      <c r="Q821" s="356"/>
      <c r="R821" s="356" t="s">
        <v>52</v>
      </c>
      <c r="S821" s="356"/>
      <c r="T821" s="356"/>
      <c r="U821" s="372"/>
      <c r="V821" s="372"/>
      <c r="W821" s="372"/>
      <c r="X821" s="373"/>
      <c r="Y821" s="348"/>
      <c r="Z821" s="348"/>
      <c r="AA821" s="348"/>
    </row>
    <row r="822" s="331" customFormat="1" ht="17" customHeight="1" spans="1:27">
      <c r="A822" s="348"/>
      <c r="B822" s="348" t="s">
        <v>31</v>
      </c>
      <c r="C822" s="348" t="s">
        <v>419</v>
      </c>
      <c r="D822" s="349" t="s">
        <v>33</v>
      </c>
      <c r="E822" s="336">
        <v>43619</v>
      </c>
      <c r="F822" s="336">
        <v>43618</v>
      </c>
      <c r="G822" s="336">
        <v>43648</v>
      </c>
      <c r="H822" s="334" t="s">
        <v>2445</v>
      </c>
      <c r="I822" s="356">
        <v>13761226856</v>
      </c>
      <c r="J822" s="361" t="s">
        <v>2446</v>
      </c>
      <c r="K822" s="356">
        <v>1000</v>
      </c>
      <c r="L822" s="334">
        <v>7589</v>
      </c>
      <c r="M822" s="334">
        <v>6480</v>
      </c>
      <c r="N822" s="362">
        <f t="shared" si="25"/>
        <v>14069</v>
      </c>
      <c r="O822" s="356"/>
      <c r="Q822" s="356"/>
      <c r="R822" s="356"/>
      <c r="S822" s="356"/>
      <c r="T822" s="356"/>
      <c r="U822" s="372"/>
      <c r="V822" s="372"/>
      <c r="W822" s="372"/>
      <c r="X822" s="373"/>
      <c r="Y822" s="348"/>
      <c r="Z822" s="348"/>
      <c r="AA822" s="348"/>
    </row>
    <row r="823" s="331" customFormat="1" ht="17" customHeight="1" spans="1:27">
      <c r="A823" s="348">
        <v>2066920</v>
      </c>
      <c r="B823" s="348" t="s">
        <v>185</v>
      </c>
      <c r="C823" s="348" t="s">
        <v>1530</v>
      </c>
      <c r="D823" s="352" t="s">
        <v>44</v>
      </c>
      <c r="E823" s="336">
        <v>43619</v>
      </c>
      <c r="F823" s="336">
        <v>43618</v>
      </c>
      <c r="G823" s="350"/>
      <c r="H823" s="334" t="s">
        <v>2447</v>
      </c>
      <c r="I823" s="356">
        <v>15901664818</v>
      </c>
      <c r="J823" s="361" t="s">
        <v>2448</v>
      </c>
      <c r="K823" s="356">
        <v>3000</v>
      </c>
      <c r="L823" s="362"/>
      <c r="M823" s="362"/>
      <c r="N823" s="362">
        <f t="shared" si="25"/>
        <v>0</v>
      </c>
      <c r="O823" s="356"/>
      <c r="Q823" s="356"/>
      <c r="R823" s="356"/>
      <c r="S823" s="356"/>
      <c r="T823" s="356"/>
      <c r="U823" s="400" t="s">
        <v>2449</v>
      </c>
      <c r="V823" s="372"/>
      <c r="W823" s="372"/>
      <c r="X823" s="373"/>
      <c r="Y823" s="348"/>
      <c r="Z823" s="348"/>
      <c r="AA823" s="348"/>
    </row>
    <row r="824" s="331" customFormat="1" ht="17" customHeight="1" spans="1:27">
      <c r="A824" s="348"/>
      <c r="B824" s="348" t="s">
        <v>130</v>
      </c>
      <c r="C824" s="348" t="s">
        <v>366</v>
      </c>
      <c r="D824" s="352" t="s">
        <v>132</v>
      </c>
      <c r="E824" s="336">
        <v>43619</v>
      </c>
      <c r="F824" s="336">
        <v>43618</v>
      </c>
      <c r="G824" s="350"/>
      <c r="H824" s="334" t="s">
        <v>2450</v>
      </c>
      <c r="I824" s="356">
        <v>13701981348</v>
      </c>
      <c r="J824" s="361" t="s">
        <v>2451</v>
      </c>
      <c r="K824" s="356">
        <v>1000</v>
      </c>
      <c r="L824" s="362"/>
      <c r="M824" s="362"/>
      <c r="N824" s="362">
        <f t="shared" si="25"/>
        <v>0</v>
      </c>
      <c r="O824" s="356"/>
      <c r="Q824" s="356"/>
      <c r="R824" s="356"/>
      <c r="S824" s="356"/>
      <c r="T824" s="356"/>
      <c r="U824" s="372" t="s">
        <v>136</v>
      </c>
      <c r="V824" s="372"/>
      <c r="W824" s="372"/>
      <c r="X824" s="373"/>
      <c r="Y824" s="348" t="s">
        <v>787</v>
      </c>
      <c r="Z824" s="348"/>
      <c r="AA824" s="348"/>
    </row>
    <row r="825" s="331" customFormat="1" ht="17" customHeight="1" spans="1:27">
      <c r="A825" s="348"/>
      <c r="B825" s="348" t="s">
        <v>130</v>
      </c>
      <c r="C825" s="348" t="s">
        <v>366</v>
      </c>
      <c r="D825" s="352" t="s">
        <v>132</v>
      </c>
      <c r="E825" s="336">
        <v>43619</v>
      </c>
      <c r="F825" s="336">
        <v>43618</v>
      </c>
      <c r="G825" s="350"/>
      <c r="H825" s="334" t="s">
        <v>2452</v>
      </c>
      <c r="I825" s="356">
        <v>13585748966</v>
      </c>
      <c r="J825" s="361" t="s">
        <v>2453</v>
      </c>
      <c r="K825" s="356">
        <v>1000</v>
      </c>
      <c r="L825" s="362"/>
      <c r="M825" s="362"/>
      <c r="N825" s="362">
        <f t="shared" si="25"/>
        <v>0</v>
      </c>
      <c r="O825" s="356"/>
      <c r="Q825" s="356"/>
      <c r="R825" s="356"/>
      <c r="S825" s="356"/>
      <c r="T825" s="356"/>
      <c r="U825" s="372" t="s">
        <v>136</v>
      </c>
      <c r="V825" s="372"/>
      <c r="W825" s="372"/>
      <c r="X825" s="373"/>
      <c r="Y825" s="348"/>
      <c r="Z825" s="348"/>
      <c r="AA825" s="348"/>
    </row>
    <row r="826" s="331" customFormat="1" ht="17" customHeight="1" spans="1:27">
      <c r="A826" s="348"/>
      <c r="B826" s="348" t="s">
        <v>130</v>
      </c>
      <c r="C826" s="348" t="s">
        <v>366</v>
      </c>
      <c r="D826" s="352" t="s">
        <v>132</v>
      </c>
      <c r="E826" s="336">
        <v>43619</v>
      </c>
      <c r="F826" s="336">
        <v>43618</v>
      </c>
      <c r="G826" s="350"/>
      <c r="H826" s="334" t="s">
        <v>2454</v>
      </c>
      <c r="I826" s="356">
        <v>13818692914</v>
      </c>
      <c r="J826" s="361" t="s">
        <v>2455</v>
      </c>
      <c r="K826" s="356">
        <v>1998</v>
      </c>
      <c r="L826" s="362"/>
      <c r="M826" s="362"/>
      <c r="N826" s="362">
        <f t="shared" si="25"/>
        <v>0</v>
      </c>
      <c r="O826" s="356"/>
      <c r="Q826" s="356"/>
      <c r="R826" s="356"/>
      <c r="S826" s="356"/>
      <c r="T826" s="356"/>
      <c r="U826" s="372" t="s">
        <v>136</v>
      </c>
      <c r="V826" s="372"/>
      <c r="W826" s="372"/>
      <c r="X826" s="373"/>
      <c r="Y826" s="348"/>
      <c r="Z826" s="348"/>
      <c r="AA826" s="348"/>
    </row>
    <row r="827" s="331" customFormat="1" ht="17" customHeight="1" spans="1:28">
      <c r="A827" s="550" t="s">
        <v>2456</v>
      </c>
      <c r="B827" s="348" t="s">
        <v>123</v>
      </c>
      <c r="C827" s="334" t="s">
        <v>2301</v>
      </c>
      <c r="D827" s="349" t="s">
        <v>125</v>
      </c>
      <c r="E827" s="336">
        <v>43683</v>
      </c>
      <c r="F827" s="336">
        <v>43618</v>
      </c>
      <c r="G827" s="336">
        <v>43683</v>
      </c>
      <c r="H827" s="334" t="s">
        <v>2457</v>
      </c>
      <c r="I827" s="356">
        <v>13816986629</v>
      </c>
      <c r="J827" s="361" t="s">
        <v>2458</v>
      </c>
      <c r="K827" s="356">
        <v>1000</v>
      </c>
      <c r="L827" s="334">
        <v>24196</v>
      </c>
      <c r="M827" s="334">
        <v>804</v>
      </c>
      <c r="N827" s="362">
        <f t="shared" si="25"/>
        <v>25000</v>
      </c>
      <c r="O827" s="356" t="s">
        <v>19</v>
      </c>
      <c r="Q827" s="356"/>
      <c r="R827" s="356"/>
      <c r="S827" s="356"/>
      <c r="T827" s="356"/>
      <c r="U827" s="372"/>
      <c r="V827" s="372"/>
      <c r="W827" s="372"/>
      <c r="X827" s="373"/>
      <c r="Y827" s="348" t="s">
        <v>2130</v>
      </c>
      <c r="Z827" s="348"/>
      <c r="AA827" s="348"/>
      <c r="AB827" s="331" t="s">
        <v>659</v>
      </c>
    </row>
    <row r="828" s="331" customFormat="1" ht="17" customHeight="1" spans="1:28">
      <c r="A828" s="550" t="s">
        <v>2459</v>
      </c>
      <c r="B828" s="348" t="s">
        <v>123</v>
      </c>
      <c r="C828" s="348" t="s">
        <v>124</v>
      </c>
      <c r="D828" s="349" t="s">
        <v>125</v>
      </c>
      <c r="E828" s="336">
        <v>43619</v>
      </c>
      <c r="F828" s="336">
        <v>43618</v>
      </c>
      <c r="G828" s="350"/>
      <c r="H828" s="334" t="s">
        <v>2460</v>
      </c>
      <c r="I828" s="356">
        <v>13585923119</v>
      </c>
      <c r="J828" s="361" t="s">
        <v>2461</v>
      </c>
      <c r="K828" s="356">
        <v>2580</v>
      </c>
      <c r="L828" s="362"/>
      <c r="M828" s="362"/>
      <c r="N828" s="362">
        <f t="shared" si="25"/>
        <v>0</v>
      </c>
      <c r="O828" s="356" t="s">
        <v>19</v>
      </c>
      <c r="Q828" s="356"/>
      <c r="R828" s="356"/>
      <c r="S828" s="356"/>
      <c r="T828" s="356"/>
      <c r="U828" s="372" t="s">
        <v>40</v>
      </c>
      <c r="V828" s="372"/>
      <c r="W828" s="372"/>
      <c r="X828" s="373"/>
      <c r="Y828" s="348" t="s">
        <v>2364</v>
      </c>
      <c r="Z828" s="348"/>
      <c r="AA828" s="348"/>
      <c r="AB828" s="331" t="s">
        <v>659</v>
      </c>
    </row>
    <row r="829" s="331" customFormat="1" ht="17" customHeight="1" spans="1:27">
      <c r="A829" s="550" t="s">
        <v>2462</v>
      </c>
      <c r="B829" s="348" t="s">
        <v>185</v>
      </c>
      <c r="C829" s="348" t="s">
        <v>186</v>
      </c>
      <c r="D829" s="349" t="s">
        <v>187</v>
      </c>
      <c r="E829" s="336">
        <v>43708</v>
      </c>
      <c r="F829" s="336">
        <v>43618</v>
      </c>
      <c r="G829" s="336">
        <v>43703</v>
      </c>
      <c r="H829" s="334" t="s">
        <v>2463</v>
      </c>
      <c r="I829" s="356">
        <v>13386284792</v>
      </c>
      <c r="J829" s="361" t="s">
        <v>2464</v>
      </c>
      <c r="K829" s="356">
        <v>3000</v>
      </c>
      <c r="L829" s="334">
        <v>12654</v>
      </c>
      <c r="M829" s="362"/>
      <c r="N829" s="362">
        <f t="shared" si="25"/>
        <v>12654</v>
      </c>
      <c r="O829" s="356"/>
      <c r="P829" s="356"/>
      <c r="Q829" s="356"/>
      <c r="R829" s="356"/>
      <c r="S829" s="356"/>
      <c r="T829" s="356"/>
      <c r="U829" s="372"/>
      <c r="V829" s="372"/>
      <c r="W829" s="374">
        <v>43695</v>
      </c>
      <c r="X829" s="373"/>
      <c r="Y829" s="348" t="s">
        <v>1228</v>
      </c>
      <c r="Z829" s="348"/>
      <c r="AA829" s="348"/>
    </row>
    <row r="830" s="331" customFormat="1" ht="17" customHeight="1" spans="1:27">
      <c r="A830" s="550" t="s">
        <v>2465</v>
      </c>
      <c r="B830" s="348" t="s">
        <v>35</v>
      </c>
      <c r="C830" s="348" t="s">
        <v>36</v>
      </c>
      <c r="D830" s="349" t="s">
        <v>132</v>
      </c>
      <c r="E830" s="336">
        <v>43619</v>
      </c>
      <c r="F830" s="336">
        <v>43618</v>
      </c>
      <c r="G830" s="336">
        <v>43652</v>
      </c>
      <c r="H830" s="334" t="s">
        <v>2466</v>
      </c>
      <c r="I830" s="356">
        <v>15921531019</v>
      </c>
      <c r="J830" s="361" t="s">
        <v>2467</v>
      </c>
      <c r="K830" s="356">
        <v>1000</v>
      </c>
      <c r="L830" s="334">
        <v>10000</v>
      </c>
      <c r="M830" s="334"/>
      <c r="N830" s="362">
        <f t="shared" si="25"/>
        <v>10000</v>
      </c>
      <c r="O830" s="356"/>
      <c r="Q830" s="356"/>
      <c r="R830" s="356"/>
      <c r="S830" s="356"/>
      <c r="T830" s="356"/>
      <c r="U830" s="372"/>
      <c r="V830" s="372"/>
      <c r="W830" s="372"/>
      <c r="X830" s="373"/>
      <c r="Y830" s="348"/>
      <c r="Z830" s="348"/>
      <c r="AA830" s="348"/>
    </row>
    <row r="831" s="331" customFormat="1" ht="17" customHeight="1" spans="1:27">
      <c r="A831" s="348"/>
      <c r="B831" s="348" t="s">
        <v>31</v>
      </c>
      <c r="C831" s="348" t="s">
        <v>377</v>
      </c>
      <c r="D831" s="334" t="s">
        <v>33</v>
      </c>
      <c r="E831" s="336">
        <v>43718</v>
      </c>
      <c r="F831" s="336">
        <v>43618</v>
      </c>
      <c r="G831" s="336">
        <v>43718</v>
      </c>
      <c r="H831" s="334" t="s">
        <v>2468</v>
      </c>
      <c r="I831" s="356">
        <v>13512106056</v>
      </c>
      <c r="J831" s="361" t="s">
        <v>2469</v>
      </c>
      <c r="K831" s="356">
        <v>1000</v>
      </c>
      <c r="L831" s="334">
        <v>6700</v>
      </c>
      <c r="M831" s="362"/>
      <c r="N831" s="362">
        <f t="shared" si="25"/>
        <v>6700</v>
      </c>
      <c r="O831" s="366" t="s">
        <v>52</v>
      </c>
      <c r="Q831" s="356"/>
      <c r="R831" s="356"/>
      <c r="S831" s="356"/>
      <c r="T831" s="356"/>
      <c r="U831" s="372"/>
      <c r="V831" s="372"/>
      <c r="W831" s="372"/>
      <c r="X831" s="373"/>
      <c r="Y831" s="348"/>
      <c r="Z831" s="348"/>
      <c r="AA831" s="348"/>
    </row>
    <row r="832" s="331" customFormat="1" ht="17" customHeight="1" spans="1:27">
      <c r="A832" s="550" t="s">
        <v>2470</v>
      </c>
      <c r="B832" s="348" t="s">
        <v>31</v>
      </c>
      <c r="C832" s="348" t="s">
        <v>377</v>
      </c>
      <c r="D832" s="349" t="s">
        <v>221</v>
      </c>
      <c r="E832" s="336">
        <v>43619</v>
      </c>
      <c r="F832" s="336">
        <v>43618</v>
      </c>
      <c r="G832" s="350"/>
      <c r="H832" s="334" t="s">
        <v>2471</v>
      </c>
      <c r="I832" s="356">
        <v>15601890589</v>
      </c>
      <c r="J832" s="361" t="s">
        <v>2472</v>
      </c>
      <c r="K832" s="356">
        <v>1000</v>
      </c>
      <c r="L832" s="362"/>
      <c r="M832" s="362"/>
      <c r="N832" s="362">
        <f t="shared" ref="N832:N862" si="26">L832+M832</f>
        <v>0</v>
      </c>
      <c r="O832" s="356"/>
      <c r="Q832" s="356"/>
      <c r="R832" s="356"/>
      <c r="S832" s="356"/>
      <c r="T832" s="356"/>
      <c r="U832" s="372">
        <v>7.22</v>
      </c>
      <c r="V832" s="372"/>
      <c r="W832" s="372"/>
      <c r="X832" s="373"/>
      <c r="Y832" s="348"/>
      <c r="Z832" s="348"/>
      <c r="AA832" s="348"/>
    </row>
    <row r="833" s="331" customFormat="1" ht="17" customHeight="1" spans="1:27">
      <c r="A833" s="348">
        <v>2027575</v>
      </c>
      <c r="B833" s="348" t="s">
        <v>73</v>
      </c>
      <c r="C833" s="348" t="s">
        <v>74</v>
      </c>
      <c r="D833" s="352" t="s">
        <v>75</v>
      </c>
      <c r="E833" s="336">
        <v>43619</v>
      </c>
      <c r="F833" s="336">
        <v>43618</v>
      </c>
      <c r="G833" s="350" t="s">
        <v>69</v>
      </c>
      <c r="H833" s="334" t="s">
        <v>2473</v>
      </c>
      <c r="I833" s="356">
        <v>18621832588</v>
      </c>
      <c r="J833" s="361" t="s">
        <v>2474</v>
      </c>
      <c r="K833" s="356">
        <v>1000</v>
      </c>
      <c r="L833" s="362"/>
      <c r="M833" s="362"/>
      <c r="N833" s="362">
        <f t="shared" si="26"/>
        <v>0</v>
      </c>
      <c r="O833" s="366"/>
      <c r="P833" s="366" t="s">
        <v>52</v>
      </c>
      <c r="Q833" s="356"/>
      <c r="R833" s="356"/>
      <c r="S833" s="356"/>
      <c r="T833" s="356"/>
      <c r="U833" s="372"/>
      <c r="V833" s="372"/>
      <c r="W833" s="372"/>
      <c r="X833" s="373"/>
      <c r="Y833" s="348" t="s">
        <v>2364</v>
      </c>
      <c r="Z833" s="348" t="s">
        <v>79</v>
      </c>
      <c r="AA833" s="348"/>
    </row>
    <row r="834" s="331" customFormat="1" ht="17" customHeight="1" spans="1:27">
      <c r="A834" s="550" t="s">
        <v>2475</v>
      </c>
      <c r="B834" s="348" t="s">
        <v>137</v>
      </c>
      <c r="C834" s="348" t="s">
        <v>191</v>
      </c>
      <c r="D834" s="352" t="s">
        <v>191</v>
      </c>
      <c r="E834" s="336">
        <v>43708</v>
      </c>
      <c r="F834" s="336">
        <v>43618</v>
      </c>
      <c r="G834" s="336">
        <v>43707</v>
      </c>
      <c r="H834" s="334" t="s">
        <v>2476</v>
      </c>
      <c r="I834" s="356">
        <v>15821761819</v>
      </c>
      <c r="J834" s="361" t="s">
        <v>2477</v>
      </c>
      <c r="K834" s="356">
        <v>3000</v>
      </c>
      <c r="L834" s="334">
        <v>18221</v>
      </c>
      <c r="M834" s="362"/>
      <c r="N834" s="362">
        <f t="shared" si="26"/>
        <v>18221</v>
      </c>
      <c r="O834" s="356"/>
      <c r="Q834" s="356">
        <v>1</v>
      </c>
      <c r="R834" s="356"/>
      <c r="S834" s="356"/>
      <c r="T834" s="356"/>
      <c r="U834" s="372"/>
      <c r="V834" s="372"/>
      <c r="W834" s="372"/>
      <c r="X834" s="373"/>
      <c r="Y834" s="348" t="s">
        <v>1228</v>
      </c>
      <c r="Z834" s="348"/>
      <c r="AA834" s="348"/>
    </row>
    <row r="835" s="331" customFormat="1" ht="17" customHeight="1" spans="1:27">
      <c r="A835" s="550" t="s">
        <v>2478</v>
      </c>
      <c r="B835" s="348" t="s">
        <v>137</v>
      </c>
      <c r="C835" s="348" t="s">
        <v>191</v>
      </c>
      <c r="D835" s="334" t="s">
        <v>427</v>
      </c>
      <c r="E835" s="336">
        <v>43708</v>
      </c>
      <c r="F835" s="336">
        <v>43618</v>
      </c>
      <c r="G835" s="336">
        <v>43688</v>
      </c>
      <c r="H835" s="334" t="s">
        <v>2479</v>
      </c>
      <c r="I835" s="356">
        <v>18321579904</v>
      </c>
      <c r="J835" s="361" t="s">
        <v>2480</v>
      </c>
      <c r="K835" s="356">
        <v>3000</v>
      </c>
      <c r="L835" s="334">
        <v>9207</v>
      </c>
      <c r="M835" s="362"/>
      <c r="N835" s="362">
        <f t="shared" si="26"/>
        <v>9207</v>
      </c>
      <c r="O835" s="356"/>
      <c r="Q835" s="356">
        <v>1</v>
      </c>
      <c r="R835" s="356"/>
      <c r="S835" s="356"/>
      <c r="T835" s="356"/>
      <c r="U835" s="372"/>
      <c r="V835" s="372"/>
      <c r="W835" s="372"/>
      <c r="X835" s="373"/>
      <c r="Y835" s="348" t="s">
        <v>331</v>
      </c>
      <c r="Z835" s="348"/>
      <c r="AA835" s="348"/>
    </row>
    <row r="836" s="331" customFormat="1" ht="17" customHeight="1" spans="1:27">
      <c r="A836" s="550" t="s">
        <v>893</v>
      </c>
      <c r="B836" s="348" t="s">
        <v>31</v>
      </c>
      <c r="C836" s="348" t="s">
        <v>419</v>
      </c>
      <c r="D836" s="349" t="s">
        <v>33</v>
      </c>
      <c r="E836" s="336">
        <v>43619</v>
      </c>
      <c r="F836" s="336">
        <v>43618</v>
      </c>
      <c r="G836" s="336">
        <v>43659</v>
      </c>
      <c r="H836" s="334" t="s">
        <v>2481</v>
      </c>
      <c r="I836" s="356">
        <v>13651869098</v>
      </c>
      <c r="J836" s="361" t="s">
        <v>2482</v>
      </c>
      <c r="K836" s="356">
        <v>3000</v>
      </c>
      <c r="L836" s="334">
        <v>16817</v>
      </c>
      <c r="M836" s="334">
        <f>1104+136</f>
        <v>1240</v>
      </c>
      <c r="N836" s="362">
        <f t="shared" si="26"/>
        <v>18057</v>
      </c>
      <c r="O836" s="356"/>
      <c r="Q836" s="356"/>
      <c r="R836" s="356"/>
      <c r="S836" s="356"/>
      <c r="T836" s="356"/>
      <c r="U836" s="372"/>
      <c r="V836" s="372"/>
      <c r="W836" s="372"/>
      <c r="X836" s="373"/>
      <c r="Y836" s="348" t="s">
        <v>331</v>
      </c>
      <c r="Z836" s="348"/>
      <c r="AA836" s="348"/>
    </row>
    <row r="837" s="331" customFormat="1" ht="17" customHeight="1" spans="1:27">
      <c r="A837" s="348">
        <v>2066058</v>
      </c>
      <c r="B837" s="348" t="s">
        <v>205</v>
      </c>
      <c r="C837" s="348" t="s">
        <v>1467</v>
      </c>
      <c r="D837" s="349" t="s">
        <v>89</v>
      </c>
      <c r="E837" s="336">
        <v>43639</v>
      </c>
      <c r="F837" s="336">
        <v>43639</v>
      </c>
      <c r="G837" s="336">
        <v>43674</v>
      </c>
      <c r="H837" s="334" t="s">
        <v>2483</v>
      </c>
      <c r="I837" s="356">
        <v>13918900287</v>
      </c>
      <c r="J837" s="361" t="s">
        <v>2484</v>
      </c>
      <c r="K837" s="356">
        <v>22291</v>
      </c>
      <c r="L837" s="334">
        <v>22291</v>
      </c>
      <c r="M837" s="362"/>
      <c r="N837" s="362">
        <f t="shared" si="26"/>
        <v>22291</v>
      </c>
      <c r="O837" s="356"/>
      <c r="Q837" s="356"/>
      <c r="R837" s="356"/>
      <c r="S837" s="356"/>
      <c r="T837" s="356"/>
      <c r="U837" s="372"/>
      <c r="V837" s="372"/>
      <c r="W837" s="372"/>
      <c r="X837" s="373">
        <v>1</v>
      </c>
      <c r="Y837" s="348" t="s">
        <v>1181</v>
      </c>
      <c r="Z837" s="348"/>
      <c r="AA837" s="348"/>
    </row>
    <row r="838" s="331" customFormat="1" ht="17" customHeight="1" spans="1:27">
      <c r="A838" s="550" t="s">
        <v>2485</v>
      </c>
      <c r="B838" s="348" t="s">
        <v>153</v>
      </c>
      <c r="C838" s="348" t="s">
        <v>154</v>
      </c>
      <c r="D838" s="349" t="s">
        <v>155</v>
      </c>
      <c r="E838" s="336">
        <v>43633</v>
      </c>
      <c r="F838" s="336">
        <v>43618</v>
      </c>
      <c r="G838" s="350"/>
      <c r="H838" s="334" t="s">
        <v>2486</v>
      </c>
      <c r="I838" s="356">
        <v>18049731026</v>
      </c>
      <c r="J838" s="361" t="s">
        <v>2487</v>
      </c>
      <c r="K838" s="356">
        <v>3000</v>
      </c>
      <c r="L838" s="362"/>
      <c r="M838" s="362"/>
      <c r="N838" s="362">
        <f t="shared" si="26"/>
        <v>0</v>
      </c>
      <c r="O838" s="356"/>
      <c r="P838" s="331" t="s">
        <v>2488</v>
      </c>
      <c r="Q838" s="356"/>
      <c r="R838" s="356"/>
      <c r="S838" s="356"/>
      <c r="T838" s="356"/>
      <c r="U838" s="372" t="s">
        <v>40</v>
      </c>
      <c r="V838" s="372"/>
      <c r="W838" s="372"/>
      <c r="X838" s="373"/>
      <c r="Y838" s="348"/>
      <c r="Z838" s="348"/>
      <c r="AA838" s="348"/>
    </row>
    <row r="839" s="331" customFormat="1" ht="17" customHeight="1" spans="1:27">
      <c r="A839" s="550" t="s">
        <v>2489</v>
      </c>
      <c r="B839" s="348" t="s">
        <v>153</v>
      </c>
      <c r="C839" s="348" t="s">
        <v>154</v>
      </c>
      <c r="D839" s="349" t="s">
        <v>155</v>
      </c>
      <c r="E839" s="336">
        <v>43708</v>
      </c>
      <c r="F839" s="336">
        <v>43618</v>
      </c>
      <c r="G839" s="336">
        <v>43681</v>
      </c>
      <c r="H839" s="334" t="s">
        <v>2490</v>
      </c>
      <c r="I839" s="356">
        <v>18550033403</v>
      </c>
      <c r="J839" s="361" t="s">
        <v>2491</v>
      </c>
      <c r="K839" s="356">
        <v>1000</v>
      </c>
      <c r="L839" s="334">
        <f>6877.2-50</f>
        <v>6827.2</v>
      </c>
      <c r="M839" s="334">
        <f>515.2+257.6</f>
        <v>772.8</v>
      </c>
      <c r="N839" s="362">
        <f t="shared" si="26"/>
        <v>7600</v>
      </c>
      <c r="O839" s="356"/>
      <c r="Q839" s="356"/>
      <c r="R839" s="356"/>
      <c r="S839" s="356"/>
      <c r="T839" s="356"/>
      <c r="U839" s="372"/>
      <c r="V839" s="372">
        <v>8.1</v>
      </c>
      <c r="W839" s="372"/>
      <c r="X839" s="373"/>
      <c r="Y839" s="348" t="s">
        <v>331</v>
      </c>
      <c r="Z839" s="348"/>
      <c r="AA839" s="348"/>
    </row>
    <row r="840" s="331" customFormat="1" ht="17" customHeight="1" spans="1:27">
      <c r="A840" s="348"/>
      <c r="B840" s="348" t="s">
        <v>66</v>
      </c>
      <c r="C840" s="348" t="s">
        <v>951</v>
      </c>
      <c r="D840" s="349" t="s">
        <v>68</v>
      </c>
      <c r="E840" s="336">
        <v>43604</v>
      </c>
      <c r="F840" s="336">
        <v>43603</v>
      </c>
      <c r="G840" s="336">
        <v>43677</v>
      </c>
      <c r="H840" s="334" t="s">
        <v>2492</v>
      </c>
      <c r="I840" s="356">
        <v>14782919889</v>
      </c>
      <c r="J840" s="361" t="s">
        <v>2493</v>
      </c>
      <c r="K840" s="356">
        <v>1000</v>
      </c>
      <c r="L840" s="334">
        <v>9723</v>
      </c>
      <c r="M840" s="334">
        <v>804</v>
      </c>
      <c r="N840" s="362">
        <f t="shared" si="26"/>
        <v>10527</v>
      </c>
      <c r="O840" s="356"/>
      <c r="Q840" s="356"/>
      <c r="R840" s="356"/>
      <c r="S840" s="356"/>
      <c r="T840" s="356"/>
      <c r="U840" s="372"/>
      <c r="V840" s="372" t="s">
        <v>2494</v>
      </c>
      <c r="W840" s="372"/>
      <c r="X840" s="373"/>
      <c r="Y840" s="348"/>
      <c r="Z840" s="348"/>
      <c r="AA840" s="348"/>
    </row>
    <row r="841" s="331" customFormat="1" ht="17" customHeight="1" spans="1:27">
      <c r="A841" s="348">
        <v>2018196</v>
      </c>
      <c r="B841" s="348" t="s">
        <v>58</v>
      </c>
      <c r="C841" s="348" t="s">
        <v>347</v>
      </c>
      <c r="D841" s="334" t="s">
        <v>343</v>
      </c>
      <c r="E841" s="336">
        <v>43708</v>
      </c>
      <c r="F841" s="336">
        <v>43618</v>
      </c>
      <c r="G841" s="336">
        <v>43708</v>
      </c>
      <c r="H841" s="334" t="s">
        <v>2495</v>
      </c>
      <c r="I841" s="356">
        <v>13611777340</v>
      </c>
      <c r="J841" s="361" t="s">
        <v>2496</v>
      </c>
      <c r="K841" s="356">
        <v>3000</v>
      </c>
      <c r="L841" s="334">
        <v>13495</v>
      </c>
      <c r="M841" s="362"/>
      <c r="N841" s="362">
        <f t="shared" si="26"/>
        <v>13495</v>
      </c>
      <c r="O841" s="366" t="s">
        <v>52</v>
      </c>
      <c r="Q841" s="356"/>
      <c r="R841" s="356"/>
      <c r="S841" s="356"/>
      <c r="T841" s="356"/>
      <c r="U841" s="372"/>
      <c r="V841" s="372"/>
      <c r="W841" s="372"/>
      <c r="X841" s="373"/>
      <c r="Y841" s="348" t="s">
        <v>1228</v>
      </c>
      <c r="Z841" s="348"/>
      <c r="AA841" s="348"/>
    </row>
    <row r="842" s="331" customFormat="1" ht="17" customHeight="1" spans="1:27">
      <c r="A842" s="550" t="s">
        <v>2497</v>
      </c>
      <c r="B842" s="348" t="s">
        <v>185</v>
      </c>
      <c r="C842" s="348" t="s">
        <v>1620</v>
      </c>
      <c r="D842" s="349" t="s">
        <v>44</v>
      </c>
      <c r="E842" s="336" t="s">
        <v>510</v>
      </c>
      <c r="F842" s="336">
        <v>43646</v>
      </c>
      <c r="G842" s="350"/>
      <c r="H842" s="334" t="s">
        <v>2492</v>
      </c>
      <c r="I842" s="356">
        <v>14782919889</v>
      </c>
      <c r="J842" s="361" t="s">
        <v>2493</v>
      </c>
      <c r="K842" s="356">
        <v>3000</v>
      </c>
      <c r="L842" s="362"/>
      <c r="M842" s="362"/>
      <c r="N842" s="362">
        <f t="shared" si="26"/>
        <v>0</v>
      </c>
      <c r="O842" s="356"/>
      <c r="Q842" s="356"/>
      <c r="R842" s="356"/>
      <c r="S842" s="356"/>
      <c r="T842" s="356"/>
      <c r="U842" s="374">
        <v>43678</v>
      </c>
      <c r="V842" s="372"/>
      <c r="W842" s="372"/>
      <c r="X842" s="373"/>
      <c r="Y842" s="348" t="s">
        <v>274</v>
      </c>
      <c r="Z842" s="348"/>
      <c r="AA842" s="348"/>
    </row>
    <row r="843" s="331" customFormat="1" ht="17" customHeight="1" spans="1:27">
      <c r="A843" s="550" t="s">
        <v>2498</v>
      </c>
      <c r="B843" s="348" t="s">
        <v>87</v>
      </c>
      <c r="C843" s="348" t="s">
        <v>466</v>
      </c>
      <c r="D843" s="349" t="s">
        <v>89</v>
      </c>
      <c r="E843" s="336">
        <v>43687</v>
      </c>
      <c r="F843" s="336">
        <v>43618</v>
      </c>
      <c r="G843" s="336">
        <v>43687</v>
      </c>
      <c r="H843" s="334" t="s">
        <v>2499</v>
      </c>
      <c r="I843" s="356">
        <v>18930818281</v>
      </c>
      <c r="J843" s="361" t="s">
        <v>2500</v>
      </c>
      <c r="K843" s="356">
        <v>3000</v>
      </c>
      <c r="L843" s="334">
        <v>21000</v>
      </c>
      <c r="M843" s="362"/>
      <c r="N843" s="362">
        <f t="shared" si="26"/>
        <v>21000</v>
      </c>
      <c r="O843" s="356"/>
      <c r="Q843" s="356"/>
      <c r="R843" s="356"/>
      <c r="S843" s="356"/>
      <c r="T843" s="356"/>
      <c r="U843" s="372"/>
      <c r="V843" s="356" t="s">
        <v>1768</v>
      </c>
      <c r="W843" s="372"/>
      <c r="X843" s="373"/>
      <c r="Y843" s="348" t="s">
        <v>331</v>
      </c>
      <c r="Z843" s="348"/>
      <c r="AA843" s="348"/>
    </row>
    <row r="844" s="331" customFormat="1" ht="17" customHeight="1" spans="1:27">
      <c r="A844" s="550" t="s">
        <v>1889</v>
      </c>
      <c r="B844" s="348" t="s">
        <v>130</v>
      </c>
      <c r="C844" s="348" t="s">
        <v>722</v>
      </c>
      <c r="D844" s="349" t="s">
        <v>182</v>
      </c>
      <c r="E844" s="336">
        <v>43619</v>
      </c>
      <c r="F844" s="336">
        <v>43618</v>
      </c>
      <c r="G844" s="350"/>
      <c r="H844" s="334" t="s">
        <v>2501</v>
      </c>
      <c r="I844" s="356">
        <v>13564626725</v>
      </c>
      <c r="J844" s="361" t="s">
        <v>2502</v>
      </c>
      <c r="K844" s="356">
        <v>1000</v>
      </c>
      <c r="L844" s="362"/>
      <c r="M844" s="362"/>
      <c r="N844" s="362">
        <f t="shared" si="26"/>
        <v>0</v>
      </c>
      <c r="O844" s="356"/>
      <c r="Q844" s="356"/>
      <c r="R844" s="356"/>
      <c r="S844" s="356"/>
      <c r="T844" s="356"/>
      <c r="U844" s="372" t="s">
        <v>136</v>
      </c>
      <c r="V844" s="372"/>
      <c r="W844" s="372"/>
      <c r="X844" s="373"/>
      <c r="Y844" s="348"/>
      <c r="Z844" s="348"/>
      <c r="AA844" s="348"/>
    </row>
    <row r="845" s="331" customFormat="1" ht="17" customHeight="1" spans="1:27">
      <c r="A845" s="348">
        <v>2018197</v>
      </c>
      <c r="B845" s="348" t="s">
        <v>130</v>
      </c>
      <c r="C845" s="348" t="s">
        <v>722</v>
      </c>
      <c r="D845" s="349" t="s">
        <v>132</v>
      </c>
      <c r="E845" s="336">
        <v>43700</v>
      </c>
      <c r="F845" s="336">
        <v>43618</v>
      </c>
      <c r="G845" s="336">
        <v>43697</v>
      </c>
      <c r="H845" s="334" t="s">
        <v>2503</v>
      </c>
      <c r="I845" s="356">
        <v>13311804422</v>
      </c>
      <c r="J845" s="361" t="s">
        <v>2504</v>
      </c>
      <c r="K845" s="356">
        <v>1000</v>
      </c>
      <c r="L845" s="334">
        <v>20029</v>
      </c>
      <c r="M845" s="362"/>
      <c r="N845" s="362">
        <f t="shared" si="26"/>
        <v>20029</v>
      </c>
      <c r="O845" s="356"/>
      <c r="Q845" s="356"/>
      <c r="R845" s="356">
        <v>1</v>
      </c>
      <c r="S845" s="356"/>
      <c r="T845" s="356"/>
      <c r="U845" s="372"/>
      <c r="V845" s="372"/>
      <c r="W845" s="372"/>
      <c r="X845" s="373"/>
      <c r="Y845" s="348"/>
      <c r="Z845" s="348"/>
      <c r="AA845" s="348"/>
    </row>
    <row r="846" s="331" customFormat="1" ht="17" customHeight="1" spans="1:27">
      <c r="A846" s="550" t="s">
        <v>2505</v>
      </c>
      <c r="B846" s="348" t="s">
        <v>87</v>
      </c>
      <c r="C846" s="348" t="s">
        <v>466</v>
      </c>
      <c r="D846" s="349" t="s">
        <v>89</v>
      </c>
      <c r="E846" s="336">
        <v>43619</v>
      </c>
      <c r="F846" s="336">
        <v>43618</v>
      </c>
      <c r="G846" s="356" t="s">
        <v>69</v>
      </c>
      <c r="H846" s="334" t="s">
        <v>2506</v>
      </c>
      <c r="I846" s="356" t="s">
        <v>2507</v>
      </c>
      <c r="J846" s="361" t="s">
        <v>2508</v>
      </c>
      <c r="K846" s="356">
        <v>2327</v>
      </c>
      <c r="L846" s="362"/>
      <c r="M846" s="362"/>
      <c r="N846" s="362">
        <f t="shared" si="26"/>
        <v>0</v>
      </c>
      <c r="O846" s="356"/>
      <c r="Q846" s="356"/>
      <c r="R846" s="356"/>
      <c r="S846" s="356"/>
      <c r="T846" s="356"/>
      <c r="U846" s="372"/>
      <c r="V846" s="372"/>
      <c r="W846" s="372"/>
      <c r="X846" s="373"/>
      <c r="Y846" s="348" t="s">
        <v>331</v>
      </c>
      <c r="Z846" s="348"/>
      <c r="AA846" s="348"/>
    </row>
    <row r="847" s="331" customFormat="1" ht="17" customHeight="1" spans="1:27">
      <c r="A847" s="550" t="s">
        <v>2509</v>
      </c>
      <c r="B847" s="348" t="s">
        <v>169</v>
      </c>
      <c r="C847" s="348" t="s">
        <v>542</v>
      </c>
      <c r="D847" s="349" t="s">
        <v>171</v>
      </c>
      <c r="E847" s="336">
        <v>43619</v>
      </c>
      <c r="F847" s="336">
        <v>43618</v>
      </c>
      <c r="G847" s="350"/>
      <c r="H847" s="334" t="s">
        <v>2510</v>
      </c>
      <c r="I847" s="356">
        <v>18916004179</v>
      </c>
      <c r="J847" s="361" t="s">
        <v>2511</v>
      </c>
      <c r="K847" s="356">
        <v>1000</v>
      </c>
      <c r="L847" s="362"/>
      <c r="M847" s="362"/>
      <c r="N847" s="362">
        <f t="shared" si="26"/>
        <v>0</v>
      </c>
      <c r="O847" s="356"/>
      <c r="Q847" s="356"/>
      <c r="R847" s="356"/>
      <c r="S847" s="356"/>
      <c r="T847" s="356"/>
      <c r="U847" s="372" t="s">
        <v>2512</v>
      </c>
      <c r="V847" s="372"/>
      <c r="W847" s="372"/>
      <c r="X847" s="373"/>
      <c r="Y847" s="348"/>
      <c r="Z847" s="348"/>
      <c r="AA847" s="348"/>
    </row>
    <row r="848" s="331" customFormat="1" ht="17" customHeight="1" spans="1:27">
      <c r="A848" s="348">
        <v>2018198</v>
      </c>
      <c r="B848" s="348" t="s">
        <v>169</v>
      </c>
      <c r="C848" s="348" t="s">
        <v>542</v>
      </c>
      <c r="D848" s="349" t="s">
        <v>171</v>
      </c>
      <c r="E848" s="336">
        <v>43696</v>
      </c>
      <c r="F848" s="336">
        <v>43618</v>
      </c>
      <c r="G848" s="336">
        <v>43696</v>
      </c>
      <c r="H848" s="334" t="s">
        <v>2513</v>
      </c>
      <c r="I848" s="356">
        <v>18501638393</v>
      </c>
      <c r="J848" s="361" t="s">
        <v>2514</v>
      </c>
      <c r="K848" s="356">
        <v>1000</v>
      </c>
      <c r="L848" s="334">
        <v>7312</v>
      </c>
      <c r="M848" s="362"/>
      <c r="N848" s="362">
        <f t="shared" si="26"/>
        <v>7312</v>
      </c>
      <c r="O848" s="356"/>
      <c r="Q848" s="356" t="s">
        <v>21</v>
      </c>
      <c r="R848" s="356"/>
      <c r="S848" s="356"/>
      <c r="T848" s="356"/>
      <c r="U848" s="372"/>
      <c r="V848" s="372"/>
      <c r="W848" s="372"/>
      <c r="X848" s="373"/>
      <c r="Y848" s="348" t="s">
        <v>1228</v>
      </c>
      <c r="Z848" s="348"/>
      <c r="AA848" s="348"/>
    </row>
    <row r="849" s="331" customFormat="1" ht="17" customHeight="1" spans="1:27">
      <c r="A849" s="550" t="s">
        <v>2515</v>
      </c>
      <c r="B849" s="348" t="s">
        <v>31</v>
      </c>
      <c r="C849" s="348" t="s">
        <v>251</v>
      </c>
      <c r="D849" s="334" t="s">
        <v>221</v>
      </c>
      <c r="E849" s="336">
        <v>43738</v>
      </c>
      <c r="F849" s="336">
        <v>43618</v>
      </c>
      <c r="G849" s="336">
        <v>43738</v>
      </c>
      <c r="H849" s="334" t="s">
        <v>2516</v>
      </c>
      <c r="I849" s="356">
        <v>18621839582</v>
      </c>
      <c r="J849" s="361" t="s">
        <v>2517</v>
      </c>
      <c r="K849" s="356">
        <v>1000</v>
      </c>
      <c r="L849" s="334">
        <v>15980</v>
      </c>
      <c r="M849" s="362"/>
      <c r="N849" s="362">
        <f t="shared" si="26"/>
        <v>15980</v>
      </c>
      <c r="O849" s="356"/>
      <c r="Q849" s="356"/>
      <c r="R849" s="366" t="s">
        <v>52</v>
      </c>
      <c r="S849" s="356"/>
      <c r="T849" s="356"/>
      <c r="U849" s="372"/>
      <c r="V849" s="372"/>
      <c r="W849" s="372"/>
      <c r="X849" s="373"/>
      <c r="Y849" s="348"/>
      <c r="Z849" s="348"/>
      <c r="AA849" s="348"/>
    </row>
    <row r="850" s="331" customFormat="1" ht="17" customHeight="1" spans="1:27">
      <c r="A850" s="550" t="s">
        <v>2518</v>
      </c>
      <c r="B850" s="348" t="s">
        <v>31</v>
      </c>
      <c r="C850" s="348" t="s">
        <v>377</v>
      </c>
      <c r="D850" s="349" t="s">
        <v>33</v>
      </c>
      <c r="E850" s="336">
        <v>43695</v>
      </c>
      <c r="F850" s="336">
        <v>43618</v>
      </c>
      <c r="G850" s="336">
        <v>43694</v>
      </c>
      <c r="H850" s="334" t="s">
        <v>2519</v>
      </c>
      <c r="I850" s="356">
        <v>13585536263</v>
      </c>
      <c r="J850" s="361" t="s">
        <v>2520</v>
      </c>
      <c r="K850" s="356">
        <v>1000</v>
      </c>
      <c r="L850" s="334">
        <v>17962</v>
      </c>
      <c r="M850" s="362"/>
      <c r="N850" s="362">
        <f t="shared" si="26"/>
        <v>17962</v>
      </c>
      <c r="O850" s="356"/>
      <c r="Q850" s="356"/>
      <c r="R850" s="356"/>
      <c r="S850" s="366" t="s">
        <v>52</v>
      </c>
      <c r="T850" s="356"/>
      <c r="U850" s="372"/>
      <c r="V850" s="372"/>
      <c r="W850" s="372"/>
      <c r="X850" s="373"/>
      <c r="Y850" s="348" t="s">
        <v>2364</v>
      </c>
      <c r="Z850" s="348"/>
      <c r="AA850" s="348"/>
    </row>
    <row r="851" s="331" customFormat="1" ht="17" customHeight="1" spans="1:27">
      <c r="A851" s="550" t="s">
        <v>2521</v>
      </c>
      <c r="B851" s="348" t="s">
        <v>66</v>
      </c>
      <c r="C851" s="348" t="s">
        <v>1749</v>
      </c>
      <c r="D851" s="349" t="s">
        <v>68</v>
      </c>
      <c r="E851" s="336">
        <v>43619</v>
      </c>
      <c r="F851" s="336">
        <v>43618</v>
      </c>
      <c r="G851" s="350"/>
      <c r="H851" s="334" t="s">
        <v>2522</v>
      </c>
      <c r="I851" s="356">
        <v>18621889967</v>
      </c>
      <c r="J851" s="361" t="s">
        <v>2523</v>
      </c>
      <c r="K851" s="356">
        <v>1000</v>
      </c>
      <c r="L851" s="362"/>
      <c r="M851" s="362"/>
      <c r="N851" s="362">
        <f t="shared" si="26"/>
        <v>0</v>
      </c>
      <c r="O851" s="356"/>
      <c r="Q851" s="356"/>
      <c r="R851" s="356"/>
      <c r="S851" s="356"/>
      <c r="T851" s="356"/>
      <c r="U851" s="372" t="s">
        <v>12</v>
      </c>
      <c r="V851" s="372"/>
      <c r="W851" s="372"/>
      <c r="X851" s="373"/>
      <c r="Y851" s="348" t="s">
        <v>2364</v>
      </c>
      <c r="Z851" s="348"/>
      <c r="AA851" s="348"/>
    </row>
    <row r="852" s="331" customFormat="1" ht="17" customHeight="1" spans="1:27">
      <c r="A852" s="550" t="s">
        <v>2524</v>
      </c>
      <c r="B852" s="348" t="s">
        <v>31</v>
      </c>
      <c r="C852" s="348" t="s">
        <v>220</v>
      </c>
      <c r="D852" s="349" t="s">
        <v>221</v>
      </c>
      <c r="E852" s="336">
        <v>43628</v>
      </c>
      <c r="F852" s="336">
        <v>43618</v>
      </c>
      <c r="G852" s="350"/>
      <c r="H852" s="334" t="s">
        <v>2525</v>
      </c>
      <c r="I852" s="356">
        <v>13816966578</v>
      </c>
      <c r="J852" s="361" t="s">
        <v>2526</v>
      </c>
      <c r="K852" s="356">
        <v>3000</v>
      </c>
      <c r="L852" s="362"/>
      <c r="M852" s="362"/>
      <c r="N852" s="362">
        <f t="shared" si="26"/>
        <v>0</v>
      </c>
      <c r="O852" s="366" t="s">
        <v>52</v>
      </c>
      <c r="Q852" s="356"/>
      <c r="R852" s="356"/>
      <c r="S852" s="356"/>
      <c r="T852" s="356"/>
      <c r="U852" s="372" t="s">
        <v>63</v>
      </c>
      <c r="V852" s="372"/>
      <c r="W852" s="372"/>
      <c r="X852" s="373"/>
      <c r="Y852" s="348"/>
      <c r="Z852" s="348" t="s">
        <v>1863</v>
      </c>
      <c r="AA852" s="348"/>
    </row>
    <row r="853" s="331" customFormat="1" ht="17" customHeight="1" spans="1:27">
      <c r="A853" s="348">
        <v>2025327</v>
      </c>
      <c r="B853" s="348" t="s">
        <v>137</v>
      </c>
      <c r="C853" s="348" t="s">
        <v>411</v>
      </c>
      <c r="D853" s="349" t="s">
        <v>139</v>
      </c>
      <c r="E853" s="336">
        <v>43619</v>
      </c>
      <c r="F853" s="336">
        <v>43618</v>
      </c>
      <c r="G853" s="336">
        <v>43656</v>
      </c>
      <c r="H853" s="334" t="s">
        <v>2527</v>
      </c>
      <c r="I853" s="356">
        <v>15001758565</v>
      </c>
      <c r="J853" s="361" t="s">
        <v>2528</v>
      </c>
      <c r="K853" s="356">
        <v>1000</v>
      </c>
      <c r="L853" s="334">
        <v>8800</v>
      </c>
      <c r="M853" s="334"/>
      <c r="N853" s="362">
        <f t="shared" si="26"/>
        <v>8800</v>
      </c>
      <c r="O853" s="356"/>
      <c r="Q853" s="356"/>
      <c r="R853" s="356"/>
      <c r="S853" s="356"/>
      <c r="T853" s="356"/>
      <c r="U853" s="372"/>
      <c r="V853" s="372"/>
      <c r="W853" s="372"/>
      <c r="X853" s="373"/>
      <c r="Y853" s="348" t="s">
        <v>2364</v>
      </c>
      <c r="Z853" s="348"/>
      <c r="AA853" s="348"/>
    </row>
    <row r="854" s="331" customFormat="1" ht="17" customHeight="1" spans="1:27">
      <c r="A854" s="550" t="s">
        <v>2529</v>
      </c>
      <c r="B854" s="348" t="s">
        <v>137</v>
      </c>
      <c r="C854" s="348" t="s">
        <v>411</v>
      </c>
      <c r="D854" s="349" t="s">
        <v>139</v>
      </c>
      <c r="E854" s="336">
        <v>43619</v>
      </c>
      <c r="F854" s="336">
        <v>43618</v>
      </c>
      <c r="G854" s="336">
        <v>43677</v>
      </c>
      <c r="H854" s="334" t="s">
        <v>2530</v>
      </c>
      <c r="I854" s="356">
        <v>18817368905</v>
      </c>
      <c r="J854" s="361" t="s">
        <v>2531</v>
      </c>
      <c r="K854" s="356">
        <v>1000</v>
      </c>
      <c r="L854" s="334">
        <v>7710</v>
      </c>
      <c r="M854" s="362"/>
      <c r="N854" s="362">
        <f t="shared" si="26"/>
        <v>7710</v>
      </c>
      <c r="O854" s="356"/>
      <c r="Q854" s="356"/>
      <c r="R854" s="356">
        <v>1</v>
      </c>
      <c r="S854" s="356"/>
      <c r="T854" s="356"/>
      <c r="U854" s="372"/>
      <c r="V854" s="372"/>
      <c r="W854" s="372"/>
      <c r="X854" s="373"/>
      <c r="Y854" s="348"/>
      <c r="Z854" s="348"/>
      <c r="AA854" s="348"/>
    </row>
    <row r="855" s="331" customFormat="1" ht="17" customHeight="1" spans="1:27">
      <c r="A855" s="348">
        <v>2025326</v>
      </c>
      <c r="B855" s="348" t="s">
        <v>137</v>
      </c>
      <c r="C855" s="348" t="s">
        <v>411</v>
      </c>
      <c r="D855" s="334" t="s">
        <v>443</v>
      </c>
      <c r="E855" s="336">
        <v>43724</v>
      </c>
      <c r="F855" s="336">
        <v>43618</v>
      </c>
      <c r="G855" s="336">
        <v>43724</v>
      </c>
      <c r="H855" s="334" t="s">
        <v>2532</v>
      </c>
      <c r="I855" s="356">
        <v>18616825917</v>
      </c>
      <c r="J855" s="361" t="s">
        <v>2533</v>
      </c>
      <c r="K855" s="356">
        <v>3000</v>
      </c>
      <c r="L855" s="334">
        <v>4750</v>
      </c>
      <c r="M855" s="362"/>
      <c r="N855" s="362">
        <f t="shared" si="26"/>
        <v>4750</v>
      </c>
      <c r="O855" s="356"/>
      <c r="Q855" s="356"/>
      <c r="R855" s="356">
        <v>1</v>
      </c>
      <c r="S855" s="356"/>
      <c r="T855" s="356"/>
      <c r="U855" s="372"/>
      <c r="V855" s="372"/>
      <c r="W855" s="372"/>
      <c r="X855" s="373"/>
      <c r="Y855" s="348" t="s">
        <v>2364</v>
      </c>
      <c r="Z855" s="348"/>
      <c r="AA855" s="348"/>
    </row>
    <row r="856" s="331" customFormat="1" ht="17" customHeight="1" spans="1:27">
      <c r="A856" s="550" t="s">
        <v>2534</v>
      </c>
      <c r="B856" s="348" t="s">
        <v>66</v>
      </c>
      <c r="C856" s="348" t="s">
        <v>119</v>
      </c>
      <c r="D856" s="349" t="s">
        <v>68</v>
      </c>
      <c r="E856" s="336">
        <v>43610</v>
      </c>
      <c r="F856" s="336">
        <v>43609</v>
      </c>
      <c r="G856" s="336">
        <v>43676</v>
      </c>
      <c r="H856" s="334" t="s">
        <v>2535</v>
      </c>
      <c r="I856" s="356">
        <v>15000087810</v>
      </c>
      <c r="J856" s="361" t="s">
        <v>2536</v>
      </c>
      <c r="K856" s="356">
        <f>5000+1000</f>
        <v>6000</v>
      </c>
      <c r="L856" s="334">
        <v>14133</v>
      </c>
      <c r="M856" s="362"/>
      <c r="N856" s="362">
        <f t="shared" si="26"/>
        <v>14133</v>
      </c>
      <c r="O856" s="356"/>
      <c r="Q856" s="356"/>
      <c r="R856" s="356"/>
      <c r="S856" s="356"/>
      <c r="T856" s="356"/>
      <c r="U856" s="372"/>
      <c r="V856" s="372" t="s">
        <v>2172</v>
      </c>
      <c r="W856" s="372"/>
      <c r="X856" s="373"/>
      <c r="Y856" s="348"/>
      <c r="Z856" s="348"/>
      <c r="AA856" s="348"/>
    </row>
    <row r="857" s="331" customFormat="1" ht="17" customHeight="1" spans="1:27">
      <c r="A857" s="550" t="s">
        <v>2537</v>
      </c>
      <c r="B857" s="348" t="s">
        <v>185</v>
      </c>
      <c r="C857" s="348" t="s">
        <v>886</v>
      </c>
      <c r="D857" s="349" t="s">
        <v>187</v>
      </c>
      <c r="E857" s="336">
        <v>43619</v>
      </c>
      <c r="F857" s="336">
        <v>43618</v>
      </c>
      <c r="G857" s="350"/>
      <c r="H857" s="334" t="s">
        <v>2538</v>
      </c>
      <c r="I857" s="356">
        <v>13585827773</v>
      </c>
      <c r="J857" s="361" t="s">
        <v>2539</v>
      </c>
      <c r="K857" s="356">
        <v>1000</v>
      </c>
      <c r="L857" s="362"/>
      <c r="M857" s="362"/>
      <c r="N857" s="362">
        <f t="shared" si="26"/>
        <v>0</v>
      </c>
      <c r="O857" s="356"/>
      <c r="Q857" s="356"/>
      <c r="R857" s="356"/>
      <c r="S857" s="356"/>
      <c r="T857" s="356"/>
      <c r="U857" s="374">
        <v>43630</v>
      </c>
      <c r="V857" s="372"/>
      <c r="W857" s="372"/>
      <c r="X857" s="373"/>
      <c r="Y857" s="348"/>
      <c r="Z857" s="348"/>
      <c r="AA857" s="348"/>
    </row>
    <row r="858" s="331" customFormat="1" ht="17" customHeight="1" spans="1:27">
      <c r="A858" s="550" t="s">
        <v>2540</v>
      </c>
      <c r="B858" s="348" t="s">
        <v>66</v>
      </c>
      <c r="C858" s="348" t="s">
        <v>119</v>
      </c>
      <c r="D858" s="349" t="s">
        <v>68</v>
      </c>
      <c r="E858" s="336">
        <v>43619</v>
      </c>
      <c r="F858" s="336">
        <v>43618</v>
      </c>
      <c r="G858" s="350"/>
      <c r="H858" s="334" t="s">
        <v>2541</v>
      </c>
      <c r="I858" s="356">
        <v>13601980038</v>
      </c>
      <c r="J858" s="361" t="s">
        <v>2542</v>
      </c>
      <c r="K858" s="356">
        <v>500</v>
      </c>
      <c r="L858" s="362"/>
      <c r="M858" s="362"/>
      <c r="N858" s="362">
        <f t="shared" si="26"/>
        <v>0</v>
      </c>
      <c r="O858" s="356"/>
      <c r="Q858" s="356"/>
      <c r="R858" s="356"/>
      <c r="S858" s="356"/>
      <c r="T858" s="356"/>
      <c r="U858" s="372" t="s">
        <v>12</v>
      </c>
      <c r="V858" s="372"/>
      <c r="W858" s="372"/>
      <c r="X858" s="373"/>
      <c r="Y858" s="348"/>
      <c r="Z858" s="348"/>
      <c r="AA858" s="348"/>
    </row>
    <row r="859" s="331" customFormat="1" ht="17" customHeight="1" spans="1:27">
      <c r="A859" s="550" t="s">
        <v>1491</v>
      </c>
      <c r="B859" s="348" t="s">
        <v>153</v>
      </c>
      <c r="C859" s="348" t="s">
        <v>154</v>
      </c>
      <c r="D859" s="349" t="s">
        <v>155</v>
      </c>
      <c r="E859" s="336">
        <v>43695</v>
      </c>
      <c r="F859" s="336">
        <v>43618</v>
      </c>
      <c r="G859" s="336">
        <v>43694</v>
      </c>
      <c r="H859" s="334" t="s">
        <v>2543</v>
      </c>
      <c r="I859" s="356">
        <v>18516029197</v>
      </c>
      <c r="J859" s="361" t="s">
        <v>2544</v>
      </c>
      <c r="K859" s="356">
        <v>1000</v>
      </c>
      <c r="L859" s="334">
        <v>8780</v>
      </c>
      <c r="M859" s="362"/>
      <c r="N859" s="362">
        <f t="shared" si="26"/>
        <v>8780</v>
      </c>
      <c r="O859" s="356"/>
      <c r="Q859" s="356"/>
      <c r="R859" s="356"/>
      <c r="S859" s="356"/>
      <c r="T859" s="356"/>
      <c r="U859" s="372"/>
      <c r="V859" s="372"/>
      <c r="W859" s="372"/>
      <c r="X859" s="373"/>
      <c r="Y859" s="348"/>
      <c r="Z859" s="348"/>
      <c r="AA859" s="348"/>
    </row>
    <row r="860" s="331" customFormat="1" ht="17" customHeight="1" spans="1:27">
      <c r="A860" s="550" t="s">
        <v>2545</v>
      </c>
      <c r="B860" s="348" t="s">
        <v>35</v>
      </c>
      <c r="C860" s="348" t="s">
        <v>392</v>
      </c>
      <c r="D860" s="349" t="s">
        <v>68</v>
      </c>
      <c r="E860" s="336">
        <v>43601</v>
      </c>
      <c r="F860" s="336">
        <v>43599</v>
      </c>
      <c r="G860" s="336">
        <v>43671</v>
      </c>
      <c r="H860" s="351" t="s">
        <v>2546</v>
      </c>
      <c r="I860" s="356">
        <v>15000099338</v>
      </c>
      <c r="J860" s="361" t="s">
        <v>2547</v>
      </c>
      <c r="K860" s="356">
        <f>14000+1000</f>
        <v>15000</v>
      </c>
      <c r="L860" s="334">
        <v>26389</v>
      </c>
      <c r="M860" s="362"/>
      <c r="N860" s="362">
        <f t="shared" si="26"/>
        <v>26389</v>
      </c>
      <c r="O860" s="356"/>
      <c r="Q860" s="356"/>
      <c r="R860" s="356" t="s">
        <v>52</v>
      </c>
      <c r="S860" s="356"/>
      <c r="T860" s="356"/>
      <c r="U860" s="372"/>
      <c r="V860" s="372"/>
      <c r="W860" s="372"/>
      <c r="X860" s="373"/>
      <c r="Y860" s="348"/>
      <c r="Z860" s="348"/>
      <c r="AA860" s="348"/>
    </row>
    <row r="861" s="331" customFormat="1" ht="17" customHeight="1" spans="1:27">
      <c r="A861" s="550" t="s">
        <v>2548</v>
      </c>
      <c r="B861" s="348" t="s">
        <v>94</v>
      </c>
      <c r="C861" s="348" t="s">
        <v>101</v>
      </c>
      <c r="D861" s="352" t="s">
        <v>49</v>
      </c>
      <c r="E861" s="336">
        <v>43715</v>
      </c>
      <c r="F861" s="336">
        <v>43619</v>
      </c>
      <c r="G861" s="336">
        <v>43713</v>
      </c>
      <c r="H861" s="334" t="s">
        <v>2549</v>
      </c>
      <c r="I861" s="356">
        <v>13788990677</v>
      </c>
      <c r="J861" s="361" t="s">
        <v>2550</v>
      </c>
      <c r="K861" s="356">
        <v>3000</v>
      </c>
      <c r="L861" s="334">
        <v>19593</v>
      </c>
      <c r="M861" s="362"/>
      <c r="N861" s="362">
        <f t="shared" si="26"/>
        <v>19593</v>
      </c>
      <c r="O861" s="356"/>
      <c r="P861" s="366"/>
      <c r="Q861" s="366"/>
      <c r="R861" s="366" t="s">
        <v>52</v>
      </c>
      <c r="S861" s="356"/>
      <c r="T861" s="356"/>
      <c r="U861" s="372"/>
      <c r="V861" s="372"/>
      <c r="W861" s="372"/>
      <c r="X861" s="373"/>
      <c r="Y861" s="348"/>
      <c r="Z861" s="348"/>
      <c r="AA861" s="348"/>
    </row>
    <row r="862" s="331" customFormat="1" ht="17" customHeight="1" spans="1:27">
      <c r="A862" s="348">
        <v>2025490</v>
      </c>
      <c r="B862" s="348" t="s">
        <v>94</v>
      </c>
      <c r="C862" s="348" t="s">
        <v>101</v>
      </c>
      <c r="D862" s="352" t="s">
        <v>49</v>
      </c>
      <c r="E862" s="336">
        <v>43697</v>
      </c>
      <c r="F862" s="336">
        <v>43619</v>
      </c>
      <c r="G862" s="336">
        <v>43697</v>
      </c>
      <c r="H862" s="334" t="s">
        <v>2551</v>
      </c>
      <c r="I862" s="356">
        <v>13472424265</v>
      </c>
      <c r="J862" s="361" t="s">
        <v>2552</v>
      </c>
      <c r="K862" s="356">
        <v>3000</v>
      </c>
      <c r="L862" s="334">
        <v>11287</v>
      </c>
      <c r="M862" s="362"/>
      <c r="N862" s="362">
        <f t="shared" si="26"/>
        <v>11287</v>
      </c>
      <c r="O862" s="366" t="s">
        <v>52</v>
      </c>
      <c r="Q862" s="356"/>
      <c r="R862" s="356"/>
      <c r="S862" s="356"/>
      <c r="T862" s="356"/>
      <c r="U862" s="372"/>
      <c r="V862" s="372"/>
      <c r="W862" s="372"/>
      <c r="X862" s="373"/>
      <c r="Y862" s="348"/>
      <c r="Z862" s="348"/>
      <c r="AA862" s="348"/>
    </row>
    <row r="863" s="331" customFormat="1" ht="17" customHeight="1" spans="1:27">
      <c r="A863" s="550" t="s">
        <v>2553</v>
      </c>
      <c r="B863" s="348" t="s">
        <v>130</v>
      </c>
      <c r="C863" s="348" t="s">
        <v>181</v>
      </c>
      <c r="D863" s="349" t="s">
        <v>162</v>
      </c>
      <c r="E863" s="336">
        <v>43621</v>
      </c>
      <c r="F863" s="336">
        <v>43620</v>
      </c>
      <c r="G863" s="336">
        <v>43664</v>
      </c>
      <c r="H863" s="334" t="s">
        <v>2554</v>
      </c>
      <c r="I863" s="356">
        <v>13917906529</v>
      </c>
      <c r="J863" s="361" t="s">
        <v>2555</v>
      </c>
      <c r="K863" s="356">
        <v>3000</v>
      </c>
      <c r="L863" s="334">
        <v>17565</v>
      </c>
      <c r="M863" s="334"/>
      <c r="N863" s="362">
        <f t="shared" ref="N863:N894" si="27">L863+M863</f>
        <v>17565</v>
      </c>
      <c r="O863" s="356"/>
      <c r="Q863" s="356"/>
      <c r="R863" s="356"/>
      <c r="S863" s="356"/>
      <c r="T863" s="356"/>
      <c r="U863" s="372"/>
      <c r="V863" s="372"/>
      <c r="W863" s="372"/>
      <c r="X863" s="373"/>
      <c r="Y863" s="348"/>
      <c r="Z863" s="348"/>
      <c r="AA863" s="348" t="s">
        <v>2556</v>
      </c>
    </row>
    <row r="864" s="331" customFormat="1" ht="17" customHeight="1" spans="1:27">
      <c r="A864" s="348"/>
      <c r="B864" s="348" t="s">
        <v>281</v>
      </c>
      <c r="C864" s="348" t="s">
        <v>498</v>
      </c>
      <c r="D864" s="352" t="s">
        <v>49</v>
      </c>
      <c r="E864" s="336">
        <v>43635</v>
      </c>
      <c r="F864" s="336">
        <v>43631</v>
      </c>
      <c r="G864" s="362" t="s">
        <v>499</v>
      </c>
      <c r="H864" s="334" t="s">
        <v>2557</v>
      </c>
      <c r="I864" s="356">
        <v>15000263371</v>
      </c>
      <c r="J864" s="361" t="s">
        <v>2558</v>
      </c>
      <c r="K864" s="356">
        <v>1000</v>
      </c>
      <c r="L864" s="362"/>
      <c r="M864" s="362"/>
      <c r="N864" s="362">
        <f t="shared" si="27"/>
        <v>0</v>
      </c>
      <c r="O864" s="356"/>
      <c r="Q864" s="356"/>
      <c r="R864" s="356"/>
      <c r="S864" s="356"/>
      <c r="T864" s="356"/>
      <c r="U864" s="372"/>
      <c r="V864" s="372"/>
      <c r="W864" s="372"/>
      <c r="X864" s="373"/>
      <c r="Y864" s="348" t="s">
        <v>501</v>
      </c>
      <c r="Z864" s="348"/>
      <c r="AA864" s="348"/>
    </row>
    <row r="865" s="331" customFormat="1" ht="17" customHeight="1" spans="1:27">
      <c r="A865" s="348"/>
      <c r="B865" s="348" t="s">
        <v>130</v>
      </c>
      <c r="C865" s="348" t="s">
        <v>722</v>
      </c>
      <c r="D865" s="349" t="s">
        <v>132</v>
      </c>
      <c r="E865" s="336">
        <v>43703</v>
      </c>
      <c r="F865" s="336">
        <v>43620</v>
      </c>
      <c r="G865" s="336">
        <v>43702</v>
      </c>
      <c r="H865" s="334" t="s">
        <v>2559</v>
      </c>
      <c r="I865" s="356">
        <v>15021676918</v>
      </c>
      <c r="J865" s="361" t="s">
        <v>2560</v>
      </c>
      <c r="K865" s="356">
        <v>1000</v>
      </c>
      <c r="L865" s="334">
        <v>2679</v>
      </c>
      <c r="M865" s="362"/>
      <c r="N865" s="362">
        <f t="shared" si="27"/>
        <v>2679</v>
      </c>
      <c r="O865" s="356"/>
      <c r="Q865" s="356"/>
      <c r="R865" s="356"/>
      <c r="S865" s="356"/>
      <c r="T865" s="356"/>
      <c r="U865" s="372" t="s">
        <v>136</v>
      </c>
      <c r="V865" s="372"/>
      <c r="W865" s="372"/>
      <c r="X865" s="373"/>
      <c r="Y865" s="348"/>
      <c r="Z865" s="348"/>
      <c r="AA865" s="348"/>
    </row>
    <row r="866" s="331" customFormat="1" ht="17" customHeight="1" spans="1:27">
      <c r="A866" s="348">
        <v>2025539</v>
      </c>
      <c r="B866" s="348" t="s">
        <v>335</v>
      </c>
      <c r="C866" s="348" t="s">
        <v>336</v>
      </c>
      <c r="D866" s="334" t="s">
        <v>162</v>
      </c>
      <c r="E866" s="336">
        <v>43731</v>
      </c>
      <c r="F866" s="336">
        <v>43621</v>
      </c>
      <c r="G866" s="336">
        <v>43730</v>
      </c>
      <c r="H866" s="334" t="s">
        <v>2561</v>
      </c>
      <c r="I866" s="356">
        <v>13764097775</v>
      </c>
      <c r="J866" s="361" t="s">
        <v>2562</v>
      </c>
      <c r="K866" s="356">
        <v>3000</v>
      </c>
      <c r="L866" s="334">
        <v>15858</v>
      </c>
      <c r="M866" s="362"/>
      <c r="N866" s="362">
        <f t="shared" si="27"/>
        <v>15858</v>
      </c>
      <c r="O866" s="356"/>
      <c r="Q866" s="356"/>
      <c r="R866" s="356"/>
      <c r="S866" s="356"/>
      <c r="T866" s="356"/>
      <c r="U866" s="372"/>
      <c r="V866" s="372"/>
      <c r="W866" s="372"/>
      <c r="X866" s="373"/>
      <c r="Y866" s="348"/>
      <c r="Z866" s="348"/>
      <c r="AA866" s="348"/>
    </row>
    <row r="867" s="331" customFormat="1" ht="17" customHeight="1" spans="1:27">
      <c r="A867" s="348">
        <v>2066601</v>
      </c>
      <c r="B867" s="348" t="s">
        <v>335</v>
      </c>
      <c r="C867" s="348" t="s">
        <v>336</v>
      </c>
      <c r="D867" s="349" t="s">
        <v>337</v>
      </c>
      <c r="E867" s="336">
        <v>43621</v>
      </c>
      <c r="F867" s="336">
        <v>43621</v>
      </c>
      <c r="G867" s="336">
        <v>43666</v>
      </c>
      <c r="H867" s="334" t="s">
        <v>2563</v>
      </c>
      <c r="I867" s="356">
        <v>15800552108</v>
      </c>
      <c r="J867" s="361" t="s">
        <v>2564</v>
      </c>
      <c r="K867" s="356">
        <v>1998</v>
      </c>
      <c r="L867" s="334">
        <v>5997</v>
      </c>
      <c r="M867" s="362"/>
      <c r="N867" s="362">
        <f t="shared" si="27"/>
        <v>5997</v>
      </c>
      <c r="O867" s="356"/>
      <c r="Q867" s="356"/>
      <c r="R867" s="356"/>
      <c r="S867" s="356"/>
      <c r="T867" s="356"/>
      <c r="U867" s="372"/>
      <c r="V867" s="372"/>
      <c r="W867" s="372"/>
      <c r="X867" s="373"/>
      <c r="Y867" s="348"/>
      <c r="Z867" s="348"/>
      <c r="AA867" s="348"/>
    </row>
    <row r="868" s="331" customFormat="1" ht="17" customHeight="1" spans="1:27">
      <c r="A868" s="348">
        <v>2024523</v>
      </c>
      <c r="B868" s="348" t="s">
        <v>73</v>
      </c>
      <c r="C868" s="348" t="s">
        <v>74</v>
      </c>
      <c r="D868" s="349" t="s">
        <v>143</v>
      </c>
      <c r="E868" s="336">
        <v>43621</v>
      </c>
      <c r="F868" s="336">
        <v>43621</v>
      </c>
      <c r="G868" s="336">
        <v>43662</v>
      </c>
      <c r="H868" s="334" t="s">
        <v>2565</v>
      </c>
      <c r="I868" s="356">
        <v>13162004107</v>
      </c>
      <c r="J868" s="361" t="s">
        <v>2566</v>
      </c>
      <c r="K868" s="356">
        <v>1000</v>
      </c>
      <c r="L868" s="334">
        <v>19389</v>
      </c>
      <c r="M868" s="334"/>
      <c r="N868" s="362">
        <f t="shared" si="27"/>
        <v>19389</v>
      </c>
      <c r="O868" s="356"/>
      <c r="Q868" s="356"/>
      <c r="R868" s="356"/>
      <c r="S868" s="356"/>
      <c r="T868" s="356"/>
      <c r="U868" s="372"/>
      <c r="V868" s="372"/>
      <c r="W868" s="372"/>
      <c r="X868" s="373"/>
      <c r="Y868" s="348"/>
      <c r="Z868" s="348" t="s">
        <v>79</v>
      </c>
      <c r="AA868" s="348"/>
    </row>
    <row r="869" s="331" customFormat="1" ht="17" customHeight="1" spans="1:27">
      <c r="A869" s="550" t="s">
        <v>2567</v>
      </c>
      <c r="B869" s="348" t="s">
        <v>160</v>
      </c>
      <c r="C869" s="348" t="s">
        <v>161</v>
      </c>
      <c r="D869" s="349" t="s">
        <v>162</v>
      </c>
      <c r="E869" s="336">
        <v>43622</v>
      </c>
      <c r="F869" s="336">
        <v>43621</v>
      </c>
      <c r="G869" s="350"/>
      <c r="H869" s="334" t="s">
        <v>2568</v>
      </c>
      <c r="I869" s="356">
        <v>18939869909</v>
      </c>
      <c r="J869" s="361" t="s">
        <v>2569</v>
      </c>
      <c r="K869" s="356">
        <v>1000</v>
      </c>
      <c r="L869" s="362"/>
      <c r="M869" s="362"/>
      <c r="N869" s="362">
        <f t="shared" si="27"/>
        <v>0</v>
      </c>
      <c r="O869" s="356"/>
      <c r="Q869" s="356"/>
      <c r="R869" s="356"/>
      <c r="S869" s="356"/>
      <c r="T869" s="356"/>
      <c r="U869" s="372" t="s">
        <v>136</v>
      </c>
      <c r="V869" s="372"/>
      <c r="W869" s="372"/>
      <c r="X869" s="373"/>
      <c r="Y869" s="348"/>
      <c r="Z869" s="348"/>
      <c r="AA869" s="348"/>
    </row>
    <row r="870" s="331" customFormat="1" ht="17" customHeight="1" spans="1:27">
      <c r="A870" s="348"/>
      <c r="B870" s="348" t="s">
        <v>31</v>
      </c>
      <c r="C870" s="348" t="s">
        <v>251</v>
      </c>
      <c r="D870" s="349" t="s">
        <v>33</v>
      </c>
      <c r="E870" s="336">
        <v>43752</v>
      </c>
      <c r="F870" s="336">
        <v>43622</v>
      </c>
      <c r="G870" s="336">
        <v>43750</v>
      </c>
      <c r="H870" s="334" t="s">
        <v>2570</v>
      </c>
      <c r="I870" s="356">
        <v>13901806748</v>
      </c>
      <c r="J870" s="361" t="s">
        <v>2571</v>
      </c>
      <c r="K870" s="356">
        <v>1000</v>
      </c>
      <c r="L870" s="334">
        <v>17166</v>
      </c>
      <c r="M870" s="362"/>
      <c r="N870" s="362">
        <f t="shared" si="27"/>
        <v>17166</v>
      </c>
      <c r="O870" s="356"/>
      <c r="Q870" s="366" t="s">
        <v>52</v>
      </c>
      <c r="R870" s="356"/>
      <c r="S870" s="356"/>
      <c r="T870" s="356"/>
      <c r="U870" s="372"/>
      <c r="V870" s="372"/>
      <c r="W870" s="372"/>
      <c r="X870" s="373"/>
      <c r="Y870" s="348"/>
      <c r="Z870" s="348"/>
      <c r="AA870" s="348"/>
    </row>
    <row r="871" s="331" customFormat="1" ht="17" customHeight="1" spans="1:27">
      <c r="A871" s="348">
        <v>2066602</v>
      </c>
      <c r="B871" s="348" t="s">
        <v>335</v>
      </c>
      <c r="C871" s="348" t="s">
        <v>615</v>
      </c>
      <c r="D871" s="349" t="s">
        <v>337</v>
      </c>
      <c r="E871" s="336">
        <v>43622</v>
      </c>
      <c r="F871" s="336">
        <v>43622</v>
      </c>
      <c r="G871" s="336">
        <v>43661</v>
      </c>
      <c r="H871" s="334" t="s">
        <v>2572</v>
      </c>
      <c r="I871" s="356">
        <v>13761556931</v>
      </c>
      <c r="J871" s="361" t="s">
        <v>2573</v>
      </c>
      <c r="K871" s="356">
        <v>7000</v>
      </c>
      <c r="L871" s="334">
        <v>9700</v>
      </c>
      <c r="M871" s="334"/>
      <c r="N871" s="362">
        <f t="shared" si="27"/>
        <v>9700</v>
      </c>
      <c r="O871" s="356"/>
      <c r="Q871" s="356"/>
      <c r="R871" s="356"/>
      <c r="S871" s="356"/>
      <c r="T871" s="356"/>
      <c r="U871" s="372"/>
      <c r="V871" s="372"/>
      <c r="W871" s="372"/>
      <c r="X871" s="373"/>
      <c r="Y871" s="348"/>
      <c r="Z871" s="348"/>
      <c r="AA871" s="348"/>
    </row>
    <row r="872" s="331" customFormat="1" ht="17" customHeight="1" spans="1:27">
      <c r="A872" s="348">
        <v>2020226</v>
      </c>
      <c r="B872" s="348" t="s">
        <v>137</v>
      </c>
      <c r="C872" s="348" t="s">
        <v>411</v>
      </c>
      <c r="D872" s="349" t="s">
        <v>427</v>
      </c>
      <c r="E872" s="336">
        <v>43686</v>
      </c>
      <c r="F872" s="336">
        <v>43623</v>
      </c>
      <c r="G872" s="336">
        <v>43685</v>
      </c>
      <c r="H872" s="334" t="s">
        <v>2574</v>
      </c>
      <c r="I872" s="356">
        <v>15821778156</v>
      </c>
      <c r="J872" s="361" t="s">
        <v>2575</v>
      </c>
      <c r="K872" s="356">
        <v>3000</v>
      </c>
      <c r="L872" s="334">
        <v>7031</v>
      </c>
      <c r="M872" s="362"/>
      <c r="N872" s="362">
        <f t="shared" si="27"/>
        <v>7031</v>
      </c>
      <c r="O872" s="356"/>
      <c r="Q872" s="356"/>
      <c r="R872" s="356"/>
      <c r="S872" s="356">
        <v>1</v>
      </c>
      <c r="T872" s="356"/>
      <c r="U872" s="372"/>
      <c r="V872" s="372"/>
      <c r="W872" s="372"/>
      <c r="X872" s="373"/>
      <c r="Y872" s="348"/>
      <c r="Z872" s="348"/>
      <c r="AA872" s="348"/>
    </row>
    <row r="873" s="331" customFormat="1" ht="17" customHeight="1" spans="1:27">
      <c r="A873" s="550" t="s">
        <v>2576</v>
      </c>
      <c r="B873" s="348" t="s">
        <v>35</v>
      </c>
      <c r="C873" s="348" t="s">
        <v>36</v>
      </c>
      <c r="D873" s="349" t="s">
        <v>37</v>
      </c>
      <c r="E873" s="336">
        <v>43772</v>
      </c>
      <c r="F873" s="336">
        <v>43623</v>
      </c>
      <c r="G873" s="336">
        <v>43771</v>
      </c>
      <c r="H873" s="334" t="s">
        <v>2577</v>
      </c>
      <c r="I873" s="356">
        <v>1376112210</v>
      </c>
      <c r="J873" s="361" t="s">
        <v>2578</v>
      </c>
      <c r="K873" s="356">
        <v>1000</v>
      </c>
      <c r="L873" s="334">
        <v>40200</v>
      </c>
      <c r="M873" s="362"/>
      <c r="N873" s="362">
        <f t="shared" si="27"/>
        <v>40200</v>
      </c>
      <c r="O873" s="356"/>
      <c r="Q873" s="356"/>
      <c r="R873" s="356"/>
      <c r="S873" s="356" t="s">
        <v>52</v>
      </c>
      <c r="T873" s="356"/>
      <c r="U873" s="372"/>
      <c r="V873" s="372"/>
      <c r="W873" s="372" t="s">
        <v>98</v>
      </c>
      <c r="X873" s="373">
        <v>1</v>
      </c>
      <c r="Y873" s="348"/>
      <c r="Z873" s="348"/>
      <c r="AA873" s="348"/>
    </row>
    <row r="874" s="331" customFormat="1" ht="17" customHeight="1" spans="1:27">
      <c r="A874" s="348">
        <v>2020225</v>
      </c>
      <c r="B874" s="348" t="s">
        <v>137</v>
      </c>
      <c r="C874" s="348" t="s">
        <v>411</v>
      </c>
      <c r="D874" s="349" t="s">
        <v>427</v>
      </c>
      <c r="E874" s="336">
        <v>43623</v>
      </c>
      <c r="F874" s="336">
        <v>43623</v>
      </c>
      <c r="G874" s="350"/>
      <c r="H874" s="334" t="s">
        <v>2579</v>
      </c>
      <c r="I874" s="356">
        <v>17740811104</v>
      </c>
      <c r="J874" s="361" t="s">
        <v>2580</v>
      </c>
      <c r="K874" s="356">
        <v>1000</v>
      </c>
      <c r="L874" s="362"/>
      <c r="M874" s="362"/>
      <c r="N874" s="362">
        <f t="shared" si="27"/>
        <v>0</v>
      </c>
      <c r="O874" s="356"/>
      <c r="Q874" s="356"/>
      <c r="R874" s="356"/>
      <c r="S874" s="356"/>
      <c r="T874" s="356">
        <v>1</v>
      </c>
      <c r="U874" s="400" t="s">
        <v>2581</v>
      </c>
      <c r="V874" s="372"/>
      <c r="W874" s="372"/>
      <c r="X874" s="373"/>
      <c r="Y874" s="348" t="s">
        <v>2582</v>
      </c>
      <c r="Z874" s="348"/>
      <c r="AA874" s="348"/>
    </row>
    <row r="875" s="331" customFormat="1" ht="17" customHeight="1" spans="1:27">
      <c r="A875" s="550" t="s">
        <v>2583</v>
      </c>
      <c r="B875" s="348" t="s">
        <v>130</v>
      </c>
      <c r="C875" s="348" t="s">
        <v>181</v>
      </c>
      <c r="D875" s="349" t="s">
        <v>89</v>
      </c>
      <c r="E875" s="336">
        <v>43623</v>
      </c>
      <c r="F875" s="336">
        <v>43623</v>
      </c>
      <c r="G875" s="336">
        <v>43667</v>
      </c>
      <c r="H875" s="334" t="s">
        <v>2584</v>
      </c>
      <c r="I875" s="356">
        <v>13661472319</v>
      </c>
      <c r="J875" s="361" t="s">
        <v>2585</v>
      </c>
      <c r="K875" s="356">
        <v>3000</v>
      </c>
      <c r="L875" s="334">
        <v>11752</v>
      </c>
      <c r="M875" s="362"/>
      <c r="N875" s="362">
        <f t="shared" si="27"/>
        <v>11752</v>
      </c>
      <c r="O875" s="356"/>
      <c r="Q875" s="356"/>
      <c r="R875" s="356"/>
      <c r="S875" s="356"/>
      <c r="T875" s="356"/>
      <c r="U875" s="372"/>
      <c r="V875" s="372"/>
      <c r="W875" s="372"/>
      <c r="X875" s="373"/>
      <c r="Y875" s="348" t="s">
        <v>787</v>
      </c>
      <c r="Z875" s="348"/>
      <c r="AA875" s="348"/>
    </row>
    <row r="876" s="331" customFormat="1" ht="17" customHeight="1" spans="1:27">
      <c r="A876" s="348">
        <v>2067375</v>
      </c>
      <c r="B876" s="348" t="s">
        <v>405</v>
      </c>
      <c r="C876" s="348" t="s">
        <v>823</v>
      </c>
      <c r="D876" s="349" t="s">
        <v>407</v>
      </c>
      <c r="E876" s="336">
        <v>43623</v>
      </c>
      <c r="F876" s="336">
        <v>43623</v>
      </c>
      <c r="G876" s="336">
        <v>43666</v>
      </c>
      <c r="H876" s="334" t="s">
        <v>2586</v>
      </c>
      <c r="I876" s="356">
        <v>17717331247</v>
      </c>
      <c r="J876" s="361" t="s">
        <v>2587</v>
      </c>
      <c r="K876" s="356">
        <v>3000</v>
      </c>
      <c r="L876" s="334">
        <v>9117</v>
      </c>
      <c r="M876" s="362"/>
      <c r="N876" s="362">
        <f t="shared" si="27"/>
        <v>9117</v>
      </c>
      <c r="O876" s="356"/>
      <c r="Q876" s="356"/>
      <c r="R876" s="356" t="s">
        <v>52</v>
      </c>
      <c r="S876" s="356"/>
      <c r="T876" s="356"/>
      <c r="U876" s="372"/>
      <c r="V876" s="372"/>
      <c r="W876" s="372"/>
      <c r="X876" s="373"/>
      <c r="Y876" s="348"/>
      <c r="Z876" s="348"/>
      <c r="AA876" s="348"/>
    </row>
    <row r="877" s="331" customFormat="1" ht="17" customHeight="1" spans="1:27">
      <c r="A877" s="550" t="s">
        <v>2588</v>
      </c>
      <c r="B877" s="348" t="s">
        <v>31</v>
      </c>
      <c r="C877" s="348" t="s">
        <v>220</v>
      </c>
      <c r="D877" s="349" t="s">
        <v>33</v>
      </c>
      <c r="E877" s="336">
        <v>43623</v>
      </c>
      <c r="F877" s="336">
        <v>43623</v>
      </c>
      <c r="G877" s="336">
        <v>43653</v>
      </c>
      <c r="H877" s="334" t="s">
        <v>2589</v>
      </c>
      <c r="I877" s="356" t="s">
        <v>2590</v>
      </c>
      <c r="J877" s="361" t="s">
        <v>2591</v>
      </c>
      <c r="K877" s="356">
        <v>1000</v>
      </c>
      <c r="L877" s="334">
        <v>5538</v>
      </c>
      <c r="M877" s="334"/>
      <c r="N877" s="362">
        <f t="shared" si="27"/>
        <v>5538</v>
      </c>
      <c r="O877" s="356"/>
      <c r="Q877" s="356"/>
      <c r="R877" s="356"/>
      <c r="S877" s="356"/>
      <c r="T877" s="356"/>
      <c r="U877" s="372"/>
      <c r="V877" s="372"/>
      <c r="W877" s="372"/>
      <c r="X877" s="373"/>
      <c r="Y877" s="348" t="s">
        <v>142</v>
      </c>
      <c r="Z877" s="348"/>
      <c r="AA877" s="348"/>
    </row>
    <row r="878" s="331" customFormat="1" ht="17" customHeight="1" spans="1:27">
      <c r="A878" s="550" t="s">
        <v>2592</v>
      </c>
      <c r="B878" s="348" t="s">
        <v>31</v>
      </c>
      <c r="C878" s="348" t="s">
        <v>220</v>
      </c>
      <c r="D878" s="349" t="s">
        <v>33</v>
      </c>
      <c r="E878" s="336">
        <v>43623</v>
      </c>
      <c r="F878" s="336">
        <v>43623</v>
      </c>
      <c r="G878" s="336">
        <v>43675</v>
      </c>
      <c r="H878" s="334" t="s">
        <v>2593</v>
      </c>
      <c r="I878" s="356">
        <v>13918941136</v>
      </c>
      <c r="J878" s="361" t="s">
        <v>2594</v>
      </c>
      <c r="K878" s="356">
        <v>3000</v>
      </c>
      <c r="L878" s="334">
        <v>8012</v>
      </c>
      <c r="M878" s="362"/>
      <c r="N878" s="362">
        <f t="shared" si="27"/>
        <v>8012</v>
      </c>
      <c r="O878" s="356"/>
      <c r="Q878" s="356"/>
      <c r="R878" s="356"/>
      <c r="S878" s="356"/>
      <c r="T878" s="356"/>
      <c r="U878" s="372"/>
      <c r="V878" s="372"/>
      <c r="W878" s="372"/>
      <c r="X878" s="373"/>
      <c r="Y878" s="348"/>
      <c r="Z878" s="348"/>
      <c r="AA878" s="348"/>
    </row>
    <row r="879" s="331" customFormat="1" ht="17" customHeight="1" spans="1:27">
      <c r="A879" s="550" t="s">
        <v>2595</v>
      </c>
      <c r="B879" s="348" t="s">
        <v>35</v>
      </c>
      <c r="C879" s="348" t="s">
        <v>36</v>
      </c>
      <c r="D879" s="349" t="s">
        <v>37</v>
      </c>
      <c r="E879" s="336">
        <v>43720</v>
      </c>
      <c r="F879" s="336">
        <v>43623</v>
      </c>
      <c r="G879" s="336">
        <v>43719</v>
      </c>
      <c r="H879" s="334" t="s">
        <v>2596</v>
      </c>
      <c r="I879" s="356">
        <v>13611711202</v>
      </c>
      <c r="J879" s="334" t="s">
        <v>2597</v>
      </c>
      <c r="K879" s="356">
        <v>1000</v>
      </c>
      <c r="L879" s="334">
        <f>19982-1472</f>
        <v>18510</v>
      </c>
      <c r="M879" s="334">
        <v>1472</v>
      </c>
      <c r="N879" s="362">
        <f t="shared" si="27"/>
        <v>19982</v>
      </c>
      <c r="O879" s="356"/>
      <c r="Q879" s="356"/>
      <c r="R879" s="356"/>
      <c r="S879" s="356" t="s">
        <v>52</v>
      </c>
      <c r="T879" s="356"/>
      <c r="U879" s="372"/>
      <c r="V879" s="372"/>
      <c r="W879" s="372"/>
      <c r="X879" s="373"/>
      <c r="Y879" s="348"/>
      <c r="Z879" s="348"/>
      <c r="AA879" s="348"/>
    </row>
    <row r="880" s="331" customFormat="1" ht="17" customHeight="1" spans="1:27">
      <c r="A880" s="348">
        <v>2022665</v>
      </c>
      <c r="B880" s="348" t="s">
        <v>31</v>
      </c>
      <c r="C880" s="348" t="s">
        <v>32</v>
      </c>
      <c r="D880" s="349" t="s">
        <v>33</v>
      </c>
      <c r="E880" s="336">
        <v>43486</v>
      </c>
      <c r="F880" s="336">
        <v>43485</v>
      </c>
      <c r="G880" s="350"/>
      <c r="H880" s="351" t="s">
        <v>144</v>
      </c>
      <c r="I880" s="356">
        <v>15000350226</v>
      </c>
      <c r="J880" s="361" t="s">
        <v>2598</v>
      </c>
      <c r="K880" s="356">
        <v>3000</v>
      </c>
      <c r="L880" s="362"/>
      <c r="M880" s="362"/>
      <c r="N880" s="362">
        <f t="shared" si="27"/>
        <v>0</v>
      </c>
      <c r="O880" s="366" t="s">
        <v>52</v>
      </c>
      <c r="Q880" s="356"/>
      <c r="R880" s="356"/>
      <c r="S880" s="356"/>
      <c r="T880" s="356"/>
      <c r="U880" s="372"/>
      <c r="V880" s="372"/>
      <c r="W880" s="372"/>
      <c r="X880" s="373"/>
      <c r="Y880" s="348"/>
      <c r="Z880" s="348" t="s">
        <v>318</v>
      </c>
      <c r="AA880" s="348"/>
    </row>
    <row r="881" s="331" customFormat="1" ht="17" customHeight="1" spans="1:28">
      <c r="A881" s="550" t="s">
        <v>2599</v>
      </c>
      <c r="B881" s="348" t="s">
        <v>123</v>
      </c>
      <c r="C881" s="348" t="s">
        <v>902</v>
      </c>
      <c r="D881" s="349" t="s">
        <v>125</v>
      </c>
      <c r="E881" s="336">
        <v>43623</v>
      </c>
      <c r="F881" s="336">
        <v>43623</v>
      </c>
      <c r="G881" s="350"/>
      <c r="H881" s="334" t="s">
        <v>2600</v>
      </c>
      <c r="I881" s="356">
        <v>13661686984</v>
      </c>
      <c r="J881" s="361" t="s">
        <v>2601</v>
      </c>
      <c r="K881" s="356">
        <v>1000</v>
      </c>
      <c r="L881" s="362"/>
      <c r="M881" s="362"/>
      <c r="N881" s="362">
        <f t="shared" si="27"/>
        <v>0</v>
      </c>
      <c r="O881" s="356" t="s">
        <v>19</v>
      </c>
      <c r="Q881" s="356"/>
      <c r="R881" s="356"/>
      <c r="S881" s="356"/>
      <c r="T881" s="356"/>
      <c r="U881" s="393" t="s">
        <v>40</v>
      </c>
      <c r="V881" s="372"/>
      <c r="W881" s="372"/>
      <c r="X881" s="373"/>
      <c r="Y881" s="348"/>
      <c r="Z881" s="348"/>
      <c r="AA881" s="348"/>
      <c r="AB881" s="331" t="s">
        <v>659</v>
      </c>
    </row>
    <row r="882" s="331" customFormat="1" ht="17" customHeight="1" spans="1:27">
      <c r="A882" s="348">
        <v>2026788</v>
      </c>
      <c r="B882" s="348" t="s">
        <v>73</v>
      </c>
      <c r="C882" s="348" t="s">
        <v>178</v>
      </c>
      <c r="D882" s="349" t="s">
        <v>139</v>
      </c>
      <c r="E882" s="336">
        <v>43701</v>
      </c>
      <c r="F882" s="336">
        <v>43623</v>
      </c>
      <c r="G882" s="336">
        <v>43701</v>
      </c>
      <c r="H882" s="334" t="s">
        <v>2602</v>
      </c>
      <c r="I882" s="356">
        <v>13601971575</v>
      </c>
      <c r="J882" s="361" t="s">
        <v>2603</v>
      </c>
      <c r="K882" s="356">
        <v>1000</v>
      </c>
      <c r="L882" s="334">
        <v>18109</v>
      </c>
      <c r="M882" s="362"/>
      <c r="N882" s="362">
        <f t="shared" si="27"/>
        <v>18109</v>
      </c>
      <c r="O882" s="366" t="s">
        <v>52</v>
      </c>
      <c r="Q882" s="356"/>
      <c r="R882" s="356"/>
      <c r="S882" s="356"/>
      <c r="T882" s="356"/>
      <c r="U882" s="372"/>
      <c r="V882" s="372"/>
      <c r="W882" s="372"/>
      <c r="X882" s="373">
        <v>1</v>
      </c>
      <c r="Y882" s="348" t="s">
        <v>2604</v>
      </c>
      <c r="Z882" s="348"/>
      <c r="AA882" s="348"/>
    </row>
    <row r="883" s="331" customFormat="1" ht="17" customHeight="1" spans="1:27">
      <c r="A883" s="348">
        <v>2027579</v>
      </c>
      <c r="B883" s="348" t="s">
        <v>73</v>
      </c>
      <c r="C883" s="348" t="s">
        <v>74</v>
      </c>
      <c r="D883" s="352" t="s">
        <v>717</v>
      </c>
      <c r="E883" s="336">
        <v>43708</v>
      </c>
      <c r="F883" s="336">
        <v>43623</v>
      </c>
      <c r="G883" s="336">
        <v>43708</v>
      </c>
      <c r="H883" s="334" t="s">
        <v>2605</v>
      </c>
      <c r="I883" s="356">
        <v>13564663198</v>
      </c>
      <c r="J883" s="361" t="s">
        <v>2606</v>
      </c>
      <c r="K883" s="356">
        <v>1000</v>
      </c>
      <c r="L883" s="334">
        <v>33135</v>
      </c>
      <c r="M883" s="362"/>
      <c r="N883" s="362">
        <f t="shared" si="27"/>
        <v>33135</v>
      </c>
      <c r="O883" s="366"/>
      <c r="P883" s="366" t="s">
        <v>52</v>
      </c>
      <c r="Q883" s="356"/>
      <c r="R883" s="356"/>
      <c r="S883" s="356"/>
      <c r="T883" s="356"/>
      <c r="U883" s="372"/>
      <c r="V883" s="372"/>
      <c r="W883" s="372"/>
      <c r="X883" s="373"/>
      <c r="Y883" s="348"/>
      <c r="Z883" s="348" t="s">
        <v>79</v>
      </c>
      <c r="AA883" s="348"/>
    </row>
    <row r="884" s="331" customFormat="1" ht="17" customHeight="1" spans="1:27">
      <c r="A884" s="348">
        <v>2027577</v>
      </c>
      <c r="B884" s="348" t="s">
        <v>73</v>
      </c>
      <c r="C884" s="348" t="s">
        <v>74</v>
      </c>
      <c r="D884" s="352" t="s">
        <v>717</v>
      </c>
      <c r="E884" s="336">
        <v>43623</v>
      </c>
      <c r="F884" s="336">
        <v>43623</v>
      </c>
      <c r="G884" s="336">
        <v>43672</v>
      </c>
      <c r="H884" s="334" t="s">
        <v>2607</v>
      </c>
      <c r="I884" s="356">
        <v>15921741816</v>
      </c>
      <c r="J884" s="361" t="s">
        <v>2608</v>
      </c>
      <c r="K884" s="356">
        <v>1000</v>
      </c>
      <c r="L884" s="334">
        <v>18124</v>
      </c>
      <c r="M884" s="362"/>
      <c r="N884" s="362">
        <f t="shared" si="27"/>
        <v>18124</v>
      </c>
      <c r="O884" s="356"/>
      <c r="Q884" s="366" t="s">
        <v>52</v>
      </c>
      <c r="R884" s="356"/>
      <c r="S884" s="356"/>
      <c r="T884" s="356"/>
      <c r="U884" s="372"/>
      <c r="V884" s="372"/>
      <c r="W884" s="372"/>
      <c r="X884" s="373"/>
      <c r="Y884" s="348"/>
      <c r="Z884" s="348" t="s">
        <v>79</v>
      </c>
      <c r="AA884" s="348"/>
    </row>
    <row r="885" s="331" customFormat="1" ht="17" customHeight="1" spans="1:27">
      <c r="A885" s="348">
        <v>2024526</v>
      </c>
      <c r="B885" s="348" t="s">
        <v>73</v>
      </c>
      <c r="C885" s="348" t="s">
        <v>74</v>
      </c>
      <c r="D885" s="334" t="s">
        <v>33</v>
      </c>
      <c r="E885" s="336">
        <v>43727</v>
      </c>
      <c r="F885" s="336">
        <v>43623</v>
      </c>
      <c r="G885" s="336">
        <v>43726</v>
      </c>
      <c r="H885" s="334" t="s">
        <v>2609</v>
      </c>
      <c r="I885" s="356">
        <v>13671602603</v>
      </c>
      <c r="J885" s="361" t="s">
        <v>2610</v>
      </c>
      <c r="K885" s="356">
        <v>1000</v>
      </c>
      <c r="L885" s="334">
        <v>15384</v>
      </c>
      <c r="M885" s="362"/>
      <c r="N885" s="362">
        <f t="shared" si="27"/>
        <v>15384</v>
      </c>
      <c r="O885" s="356"/>
      <c r="Q885" s="366" t="s">
        <v>52</v>
      </c>
      <c r="R885" s="356"/>
      <c r="S885" s="356"/>
      <c r="T885" s="356"/>
      <c r="U885" s="372"/>
      <c r="V885" s="372"/>
      <c r="W885" s="372"/>
      <c r="X885" s="373"/>
      <c r="Y885" s="348"/>
      <c r="Z885" s="348" t="s">
        <v>79</v>
      </c>
      <c r="AA885" s="348"/>
    </row>
    <row r="886" s="331" customFormat="1" ht="17" customHeight="1" spans="1:27">
      <c r="A886" s="348">
        <v>2022553</v>
      </c>
      <c r="B886" s="348" t="s">
        <v>73</v>
      </c>
      <c r="C886" s="348" t="s">
        <v>1130</v>
      </c>
      <c r="D886" s="334" t="s">
        <v>717</v>
      </c>
      <c r="E886" s="336">
        <v>43708</v>
      </c>
      <c r="F886" s="336">
        <v>43625</v>
      </c>
      <c r="G886" s="336">
        <v>43708</v>
      </c>
      <c r="H886" s="334" t="s">
        <v>2611</v>
      </c>
      <c r="I886" s="334">
        <v>15000543308</v>
      </c>
      <c r="J886" s="361" t="s">
        <v>2612</v>
      </c>
      <c r="K886" s="356">
        <v>1000</v>
      </c>
      <c r="L886" s="334">
        <v>21000</v>
      </c>
      <c r="M886" s="362"/>
      <c r="N886" s="362">
        <f t="shared" si="27"/>
        <v>21000</v>
      </c>
      <c r="O886" s="366" t="s">
        <v>52</v>
      </c>
      <c r="P886" s="356"/>
      <c r="Q886" s="356"/>
      <c r="R886" s="356"/>
      <c r="S886" s="356"/>
      <c r="T886" s="356"/>
      <c r="U886" s="372"/>
      <c r="V886" s="372"/>
      <c r="W886" s="372"/>
      <c r="X886" s="373"/>
      <c r="Y886" s="348" t="s">
        <v>2613</v>
      </c>
      <c r="Z886" s="348" t="s">
        <v>79</v>
      </c>
      <c r="AA886" s="348"/>
    </row>
    <row r="887" s="331" customFormat="1" ht="17" customHeight="1" spans="1:27">
      <c r="A887" s="348"/>
      <c r="B887" s="348" t="s">
        <v>66</v>
      </c>
      <c r="C887" s="348" t="s">
        <v>119</v>
      </c>
      <c r="D887" s="349" t="s">
        <v>68</v>
      </c>
      <c r="E887" s="336" t="s">
        <v>133</v>
      </c>
      <c r="F887" s="336" t="s">
        <v>800</v>
      </c>
      <c r="G887" s="336">
        <v>43653</v>
      </c>
      <c r="H887" s="334" t="s">
        <v>2614</v>
      </c>
      <c r="I887" s="356">
        <v>15900609546</v>
      </c>
      <c r="J887" s="361" t="s">
        <v>2615</v>
      </c>
      <c r="K887" s="356">
        <v>5000</v>
      </c>
      <c r="L887" s="362"/>
      <c r="M887" s="334">
        <v>9452</v>
      </c>
      <c r="N887" s="362">
        <f t="shared" si="27"/>
        <v>9452</v>
      </c>
      <c r="O887" s="356"/>
      <c r="P887" s="356"/>
      <c r="Q887" s="356"/>
      <c r="R887" s="356"/>
      <c r="S887" s="356"/>
      <c r="T887" s="356"/>
      <c r="U887" s="372"/>
      <c r="V887" s="372"/>
      <c r="W887" s="372"/>
      <c r="X887" s="373"/>
      <c r="Y887" s="348"/>
      <c r="Z887" s="348"/>
      <c r="AA887" s="348"/>
    </row>
    <row r="888" s="331" customFormat="1" ht="17" customHeight="1" spans="1:27">
      <c r="A888" s="348">
        <v>2024527</v>
      </c>
      <c r="B888" s="348" t="s">
        <v>73</v>
      </c>
      <c r="C888" s="348" t="s">
        <v>74</v>
      </c>
      <c r="D888" s="349" t="s">
        <v>143</v>
      </c>
      <c r="E888" s="336">
        <v>43696</v>
      </c>
      <c r="F888" s="336">
        <v>43623</v>
      </c>
      <c r="G888" s="336">
        <v>43697</v>
      </c>
      <c r="H888" s="334" t="s">
        <v>2616</v>
      </c>
      <c r="I888" s="356">
        <v>18761817502</v>
      </c>
      <c r="J888" s="361" t="s">
        <v>2617</v>
      </c>
      <c r="K888" s="356">
        <v>1000</v>
      </c>
      <c r="L888" s="334">
        <v>12100</v>
      </c>
      <c r="M888" s="362"/>
      <c r="N888" s="362">
        <f t="shared" si="27"/>
        <v>12100</v>
      </c>
      <c r="O888" s="366" t="s">
        <v>52</v>
      </c>
      <c r="P888" s="356"/>
      <c r="Q888" s="356"/>
      <c r="R888" s="356"/>
      <c r="S888" s="356"/>
      <c r="T888" s="356"/>
      <c r="U888" s="372"/>
      <c r="V888" s="372"/>
      <c r="W888" s="372"/>
      <c r="X888" s="373">
        <v>1</v>
      </c>
      <c r="Y888" s="348" t="s">
        <v>2618</v>
      </c>
      <c r="Z888" s="348" t="s">
        <v>79</v>
      </c>
      <c r="AA888" s="348"/>
    </row>
    <row r="889" s="331" customFormat="1" ht="17" customHeight="1" spans="1:27">
      <c r="A889" s="348">
        <v>2026789</v>
      </c>
      <c r="B889" s="348" t="s">
        <v>73</v>
      </c>
      <c r="C889" s="348" t="s">
        <v>74</v>
      </c>
      <c r="D889" s="334" t="s">
        <v>132</v>
      </c>
      <c r="E889" s="336">
        <v>43708</v>
      </c>
      <c r="F889" s="336">
        <v>43623</v>
      </c>
      <c r="G889" s="336">
        <v>43708</v>
      </c>
      <c r="H889" s="334" t="s">
        <v>2619</v>
      </c>
      <c r="I889" s="356">
        <v>13361813801</v>
      </c>
      <c r="J889" s="361" t="s">
        <v>2620</v>
      </c>
      <c r="K889" s="356">
        <v>1000</v>
      </c>
      <c r="L889" s="334">
        <v>21356</v>
      </c>
      <c r="M889" s="362"/>
      <c r="N889" s="362">
        <f t="shared" si="27"/>
        <v>21356</v>
      </c>
      <c r="O889" s="366"/>
      <c r="P889" s="356"/>
      <c r="Q889" s="366" t="s">
        <v>52</v>
      </c>
      <c r="R889" s="356"/>
      <c r="S889" s="356"/>
      <c r="T889" s="356"/>
      <c r="U889" s="372"/>
      <c r="V889" s="372"/>
      <c r="W889" s="372"/>
      <c r="X889" s="373">
        <v>1</v>
      </c>
      <c r="Y889" s="348" t="s">
        <v>2618</v>
      </c>
      <c r="Z889" s="348" t="s">
        <v>79</v>
      </c>
      <c r="AA889" s="348"/>
    </row>
    <row r="890" s="331" customFormat="1" ht="17" customHeight="1" spans="1:27">
      <c r="A890" s="550" t="s">
        <v>2621</v>
      </c>
      <c r="B890" s="348" t="s">
        <v>94</v>
      </c>
      <c r="C890" s="348" t="s">
        <v>101</v>
      </c>
      <c r="D890" s="352" t="s">
        <v>49</v>
      </c>
      <c r="E890" s="336">
        <v>43695</v>
      </c>
      <c r="F890" s="336">
        <v>43623</v>
      </c>
      <c r="G890" s="336">
        <v>43695</v>
      </c>
      <c r="H890" s="334" t="s">
        <v>2622</v>
      </c>
      <c r="I890" s="356">
        <v>13701690639</v>
      </c>
      <c r="J890" s="361" t="s">
        <v>2623</v>
      </c>
      <c r="K890" s="356">
        <v>3000</v>
      </c>
      <c r="L890" s="334">
        <v>12800</v>
      </c>
      <c r="M890" s="362"/>
      <c r="N890" s="362">
        <f t="shared" si="27"/>
        <v>12800</v>
      </c>
      <c r="O890" s="356"/>
      <c r="P890" s="356"/>
      <c r="Q890" s="356"/>
      <c r="R890" s="366" t="s">
        <v>52</v>
      </c>
      <c r="S890" s="356"/>
      <c r="T890" s="356"/>
      <c r="U890" s="372"/>
      <c r="V890" s="372"/>
      <c r="W890" s="372"/>
      <c r="X890" s="373"/>
      <c r="Y890" s="348"/>
      <c r="Z890" s="348"/>
      <c r="AA890" s="348"/>
    </row>
    <row r="891" s="331" customFormat="1" ht="17" customHeight="1" spans="1:27">
      <c r="A891" s="550" t="s">
        <v>2624</v>
      </c>
      <c r="B891" s="348" t="s">
        <v>2625</v>
      </c>
      <c r="C891" s="348" t="s">
        <v>2626</v>
      </c>
      <c r="D891" s="349" t="s">
        <v>89</v>
      </c>
      <c r="E891" s="336">
        <v>43623</v>
      </c>
      <c r="F891" s="336">
        <v>43623</v>
      </c>
      <c r="G891" s="336">
        <v>43653</v>
      </c>
      <c r="H891" s="334" t="s">
        <v>2627</v>
      </c>
      <c r="I891" s="356">
        <v>15021644802</v>
      </c>
      <c r="J891" s="361" t="s">
        <v>2628</v>
      </c>
      <c r="K891" s="356">
        <v>3000</v>
      </c>
      <c r="L891" s="334">
        <v>10000</v>
      </c>
      <c r="M891" s="334"/>
      <c r="N891" s="362">
        <f t="shared" si="27"/>
        <v>10000</v>
      </c>
      <c r="O891" s="356"/>
      <c r="P891" s="356"/>
      <c r="Q891" s="356"/>
      <c r="R891" s="356"/>
      <c r="S891" s="356"/>
      <c r="T891" s="356"/>
      <c r="U891" s="372"/>
      <c r="V891" s="372"/>
      <c r="W891" s="372"/>
      <c r="X891" s="373"/>
      <c r="Y891" s="348" t="s">
        <v>2618</v>
      </c>
      <c r="Z891" s="348"/>
      <c r="AA891" s="348"/>
    </row>
    <row r="892" s="331" customFormat="1" ht="17" customHeight="1" spans="1:27">
      <c r="A892" s="348">
        <v>2066928</v>
      </c>
      <c r="B892" s="348" t="s">
        <v>185</v>
      </c>
      <c r="C892" s="348" t="s">
        <v>186</v>
      </c>
      <c r="D892" s="349" t="s">
        <v>44</v>
      </c>
      <c r="E892" s="336">
        <v>43624</v>
      </c>
      <c r="F892" s="336">
        <v>43623</v>
      </c>
      <c r="G892" s="336">
        <v>43667</v>
      </c>
      <c r="H892" s="334" t="s">
        <v>2629</v>
      </c>
      <c r="I892" s="356">
        <v>18964940712</v>
      </c>
      <c r="J892" s="361" t="s">
        <v>2630</v>
      </c>
      <c r="K892" s="356">
        <v>3000</v>
      </c>
      <c r="L892" s="334">
        <v>9738</v>
      </c>
      <c r="M892" s="362"/>
      <c r="N892" s="362">
        <f t="shared" si="27"/>
        <v>9738</v>
      </c>
      <c r="O892" s="356"/>
      <c r="P892" s="356"/>
      <c r="Q892" s="356"/>
      <c r="R892" s="356"/>
      <c r="S892" s="356"/>
      <c r="T892" s="356"/>
      <c r="U892" s="372"/>
      <c r="V892" s="372"/>
      <c r="W892" s="372"/>
      <c r="X892" s="373"/>
      <c r="Y892" s="348" t="s">
        <v>2618</v>
      </c>
      <c r="Z892" s="348"/>
      <c r="AA892" s="348"/>
    </row>
    <row r="893" s="331" customFormat="1" ht="17" customHeight="1" spans="1:27">
      <c r="A893" s="550" t="s">
        <v>2631</v>
      </c>
      <c r="B893" s="348" t="s">
        <v>354</v>
      </c>
      <c r="C893" s="348" t="s">
        <v>355</v>
      </c>
      <c r="D893" s="349" t="s">
        <v>356</v>
      </c>
      <c r="E893" s="336">
        <v>43624</v>
      </c>
      <c r="F893" s="336">
        <v>43623</v>
      </c>
      <c r="G893" s="336">
        <v>43660</v>
      </c>
      <c r="H893" s="334" t="s">
        <v>2632</v>
      </c>
      <c r="I893" s="356">
        <v>13641692166</v>
      </c>
      <c r="J893" s="361" t="s">
        <v>2633</v>
      </c>
      <c r="K893" s="356">
        <v>5000</v>
      </c>
      <c r="L893" s="334">
        <v>8579</v>
      </c>
      <c r="M893" s="334"/>
      <c r="N893" s="362">
        <f t="shared" si="27"/>
        <v>8579</v>
      </c>
      <c r="O893" s="356"/>
      <c r="P893" s="356"/>
      <c r="Q893" s="356"/>
      <c r="R893" s="356"/>
      <c r="S893" s="356"/>
      <c r="T893" s="356"/>
      <c r="U893" s="372"/>
      <c r="V893" s="372"/>
      <c r="W893" s="372"/>
      <c r="X893" s="373"/>
      <c r="Y893" s="348"/>
      <c r="Z893" s="348"/>
      <c r="AA893" s="348"/>
    </row>
    <row r="894" s="331" customFormat="1" ht="17" customHeight="1" spans="1:27">
      <c r="A894" s="348">
        <v>2020230</v>
      </c>
      <c r="B894" s="348" t="s">
        <v>137</v>
      </c>
      <c r="C894" s="348" t="s">
        <v>406</v>
      </c>
      <c r="D894" s="349" t="s">
        <v>139</v>
      </c>
      <c r="E894" s="336">
        <v>43624</v>
      </c>
      <c r="F894" s="336">
        <v>43623</v>
      </c>
      <c r="G894" s="336">
        <v>43649</v>
      </c>
      <c r="H894" s="334" t="s">
        <v>2634</v>
      </c>
      <c r="I894" s="356">
        <v>13671551985</v>
      </c>
      <c r="J894" s="361" t="s">
        <v>2635</v>
      </c>
      <c r="K894" s="356">
        <v>5000</v>
      </c>
      <c r="L894" s="334">
        <v>11922</v>
      </c>
      <c r="M894" s="362"/>
      <c r="N894" s="362">
        <f t="shared" si="27"/>
        <v>11922</v>
      </c>
      <c r="O894" s="356"/>
      <c r="P894" s="356"/>
      <c r="Q894" s="356"/>
      <c r="R894" s="356"/>
      <c r="S894" s="356"/>
      <c r="T894" s="356"/>
      <c r="U894" s="372"/>
      <c r="V894" s="372"/>
      <c r="W894" s="372"/>
      <c r="X894" s="373"/>
      <c r="Y894" s="348"/>
      <c r="Z894" s="348"/>
      <c r="AA894" s="348"/>
    </row>
    <row r="895" s="331" customFormat="1" ht="17" customHeight="1" spans="1:27">
      <c r="A895" s="550" t="s">
        <v>2636</v>
      </c>
      <c r="B895" s="348" t="s">
        <v>35</v>
      </c>
      <c r="C895" s="348" t="s">
        <v>36</v>
      </c>
      <c r="D895" s="349" t="s">
        <v>37</v>
      </c>
      <c r="E895" s="336">
        <v>43584</v>
      </c>
      <c r="F895" s="336">
        <v>43583</v>
      </c>
      <c r="G895" s="336">
        <v>43652</v>
      </c>
      <c r="H895" s="334" t="s">
        <v>2637</v>
      </c>
      <c r="I895" s="356">
        <v>15000810886</v>
      </c>
      <c r="J895" s="361" t="s">
        <v>2638</v>
      </c>
      <c r="K895" s="356">
        <f>5000+1000</f>
        <v>6000</v>
      </c>
      <c r="L895" s="334">
        <v>7280</v>
      </c>
      <c r="M895" s="334"/>
      <c r="N895" s="362">
        <f t="shared" ref="N895:N925" si="28">L895+M895</f>
        <v>7280</v>
      </c>
      <c r="O895" s="356"/>
      <c r="P895" s="356"/>
      <c r="Q895" s="356"/>
      <c r="R895" s="356"/>
      <c r="S895" s="356"/>
      <c r="T895" s="356"/>
      <c r="U895" s="372"/>
      <c r="V895" s="372"/>
      <c r="W895" s="372"/>
      <c r="X895" s="373"/>
      <c r="Y895" s="348"/>
      <c r="Z895" s="348"/>
      <c r="AA895" s="348"/>
    </row>
    <row r="896" s="331" customFormat="1" ht="17" customHeight="1" spans="1:27">
      <c r="A896" s="348">
        <v>2024528</v>
      </c>
      <c r="B896" s="348" t="s">
        <v>73</v>
      </c>
      <c r="C896" s="348" t="s">
        <v>74</v>
      </c>
      <c r="D896" s="349" t="s">
        <v>132</v>
      </c>
      <c r="E896" s="336">
        <v>43624</v>
      </c>
      <c r="F896" s="336">
        <v>43624</v>
      </c>
      <c r="G896" s="336">
        <v>43648</v>
      </c>
      <c r="H896" s="334" t="s">
        <v>2639</v>
      </c>
      <c r="I896" s="356">
        <v>18616511091</v>
      </c>
      <c r="J896" s="361" t="s">
        <v>2640</v>
      </c>
      <c r="K896" s="356">
        <v>1000</v>
      </c>
      <c r="L896" s="334">
        <v>12915</v>
      </c>
      <c r="M896" s="362"/>
      <c r="N896" s="362">
        <f t="shared" si="28"/>
        <v>12915</v>
      </c>
      <c r="O896" s="356"/>
      <c r="P896" s="356"/>
      <c r="Q896" s="356"/>
      <c r="R896" s="356"/>
      <c r="S896" s="356"/>
      <c r="T896" s="356"/>
      <c r="U896" s="372"/>
      <c r="V896" s="372"/>
      <c r="W896" s="372"/>
      <c r="X896" s="373"/>
      <c r="Y896" s="348" t="s">
        <v>2618</v>
      </c>
      <c r="Z896" s="348" t="s">
        <v>79</v>
      </c>
      <c r="AA896" s="348"/>
    </row>
    <row r="897" s="331" customFormat="1" ht="17" customHeight="1" spans="1:27">
      <c r="A897" s="348"/>
      <c r="B897" s="348" t="s">
        <v>160</v>
      </c>
      <c r="C897" s="348" t="s">
        <v>275</v>
      </c>
      <c r="D897" s="349" t="s">
        <v>162</v>
      </c>
      <c r="E897" s="336">
        <v>43624</v>
      </c>
      <c r="F897" s="336">
        <v>43624</v>
      </c>
      <c r="G897" s="336">
        <v>43675</v>
      </c>
      <c r="H897" s="334" t="s">
        <v>2641</v>
      </c>
      <c r="I897" s="356">
        <v>13685451527</v>
      </c>
      <c r="J897" s="361" t="s">
        <v>2642</v>
      </c>
      <c r="K897" s="356">
        <v>3000</v>
      </c>
      <c r="L897" s="334">
        <v>12070</v>
      </c>
      <c r="M897" s="362"/>
      <c r="N897" s="362">
        <f t="shared" si="28"/>
        <v>12070</v>
      </c>
      <c r="O897" s="356"/>
      <c r="P897" s="356"/>
      <c r="Q897" s="356"/>
      <c r="R897" s="356"/>
      <c r="S897" s="356">
        <v>1</v>
      </c>
      <c r="T897" s="356"/>
      <c r="U897" s="372"/>
      <c r="V897" s="372"/>
      <c r="W897" s="372"/>
      <c r="X897" s="373"/>
      <c r="Y897" s="348"/>
      <c r="Z897" s="348"/>
      <c r="AA897" s="348"/>
    </row>
    <row r="898" s="57" customFormat="1" ht="17" customHeight="1" spans="1:27">
      <c r="A898" s="348">
        <v>2020228</v>
      </c>
      <c r="B898" s="348" t="s">
        <v>137</v>
      </c>
      <c r="C898" s="348" t="s">
        <v>411</v>
      </c>
      <c r="D898" s="349" t="s">
        <v>427</v>
      </c>
      <c r="E898" s="336">
        <v>43624</v>
      </c>
      <c r="F898" s="336">
        <v>43624</v>
      </c>
      <c r="G898" s="350"/>
      <c r="H898" s="334" t="s">
        <v>2643</v>
      </c>
      <c r="I898" s="356">
        <v>18616376950</v>
      </c>
      <c r="J898" s="348" t="s">
        <v>2644</v>
      </c>
      <c r="K898" s="356">
        <v>2700</v>
      </c>
      <c r="L898" s="362"/>
      <c r="M898" s="362"/>
      <c r="N898" s="362">
        <f t="shared" si="28"/>
        <v>0</v>
      </c>
      <c r="O898" s="356"/>
      <c r="P898" s="356"/>
      <c r="Q898" s="356"/>
      <c r="R898" s="356"/>
      <c r="S898" s="356"/>
      <c r="T898" s="356"/>
      <c r="U898" s="372" t="s">
        <v>12</v>
      </c>
      <c r="V898" s="372">
        <v>1</v>
      </c>
      <c r="W898" s="372"/>
      <c r="X898" s="373"/>
      <c r="Y898" s="348" t="s">
        <v>2618</v>
      </c>
      <c r="Z898" s="348"/>
      <c r="AA898" s="348"/>
    </row>
    <row r="899" s="331" customFormat="1" ht="17" customHeight="1" spans="1:27">
      <c r="A899" s="348"/>
      <c r="B899" s="348" t="s">
        <v>87</v>
      </c>
      <c r="C899" s="348" t="s">
        <v>199</v>
      </c>
      <c r="D899" s="349" t="s">
        <v>717</v>
      </c>
      <c r="E899" s="336">
        <v>43624</v>
      </c>
      <c r="F899" s="336">
        <v>43624</v>
      </c>
      <c r="G899" s="336">
        <v>43659</v>
      </c>
      <c r="H899" s="334" t="s">
        <v>2645</v>
      </c>
      <c r="I899" s="356">
        <v>13501668451</v>
      </c>
      <c r="J899" s="361" t="s">
        <v>2646</v>
      </c>
      <c r="K899" s="356">
        <v>3000</v>
      </c>
      <c r="L899" s="334">
        <v>20638</v>
      </c>
      <c r="M899" s="334"/>
      <c r="N899" s="362">
        <f t="shared" si="28"/>
        <v>20638</v>
      </c>
      <c r="O899" s="356"/>
      <c r="P899" s="356"/>
      <c r="Q899" s="356"/>
      <c r="R899" s="356"/>
      <c r="S899" s="356"/>
      <c r="T899" s="356"/>
      <c r="U899" s="372"/>
      <c r="V899" s="372"/>
      <c r="W899" s="372"/>
      <c r="X899" s="373"/>
      <c r="Y899" s="348" t="s">
        <v>923</v>
      </c>
      <c r="Z899" s="348"/>
      <c r="AA899" s="348"/>
    </row>
    <row r="900" s="331" customFormat="1" ht="17" customHeight="1" spans="1:27">
      <c r="A900" s="348">
        <v>2068052</v>
      </c>
      <c r="B900" s="348" t="s">
        <v>87</v>
      </c>
      <c r="C900" s="348" t="s">
        <v>466</v>
      </c>
      <c r="D900" s="349" t="s">
        <v>1170</v>
      </c>
      <c r="E900" s="336">
        <v>43624</v>
      </c>
      <c r="F900" s="336">
        <v>43623</v>
      </c>
      <c r="G900" s="336">
        <v>43650</v>
      </c>
      <c r="H900" s="334" t="s">
        <v>2647</v>
      </c>
      <c r="I900" s="356">
        <v>18049893352</v>
      </c>
      <c r="J900" s="361" t="s">
        <v>2648</v>
      </c>
      <c r="K900" s="356">
        <v>1100</v>
      </c>
      <c r="L900" s="334">
        <v>10033</v>
      </c>
      <c r="M900" s="334">
        <v>-100</v>
      </c>
      <c r="N900" s="362">
        <f t="shared" si="28"/>
        <v>9933</v>
      </c>
      <c r="O900" s="356"/>
      <c r="P900" s="356"/>
      <c r="Q900" s="356"/>
      <c r="R900" s="356"/>
      <c r="S900" s="356"/>
      <c r="T900" s="356"/>
      <c r="U900" s="372"/>
      <c r="V900" s="372"/>
      <c r="W900" s="372"/>
      <c r="X900" s="373"/>
      <c r="Y900" s="348" t="s">
        <v>418</v>
      </c>
      <c r="Z900" s="348"/>
      <c r="AA900" s="348"/>
    </row>
    <row r="901" s="331" customFormat="1" ht="17" customHeight="1" spans="1:27">
      <c r="A901" s="348">
        <v>2068050</v>
      </c>
      <c r="B901" s="348" t="s">
        <v>87</v>
      </c>
      <c r="C901" s="348" t="s">
        <v>466</v>
      </c>
      <c r="D901" s="349" t="s">
        <v>89</v>
      </c>
      <c r="E901" s="336">
        <v>43624</v>
      </c>
      <c r="F901" s="336">
        <v>43623</v>
      </c>
      <c r="G901" s="350"/>
      <c r="H901" s="334" t="s">
        <v>2649</v>
      </c>
      <c r="I901" s="356">
        <v>13801776146</v>
      </c>
      <c r="J901" s="361" t="s">
        <v>2650</v>
      </c>
      <c r="K901" s="356">
        <v>1000</v>
      </c>
      <c r="L901" s="362"/>
      <c r="M901" s="362"/>
      <c r="N901" s="362">
        <f t="shared" si="28"/>
        <v>0</v>
      </c>
      <c r="O901" s="356" t="s">
        <v>52</v>
      </c>
      <c r="P901" s="356"/>
      <c r="Q901" s="356"/>
      <c r="R901" s="356"/>
      <c r="S901" s="356"/>
      <c r="T901" s="356"/>
      <c r="U901" s="375" t="s">
        <v>12</v>
      </c>
      <c r="V901" s="372"/>
      <c r="W901" s="372"/>
      <c r="X901" s="373"/>
      <c r="Y901" s="348"/>
      <c r="Z901" s="348"/>
      <c r="AA901" s="348"/>
    </row>
    <row r="902" s="331" customFormat="1" ht="17" customHeight="1" spans="1:27">
      <c r="A902" s="550" t="s">
        <v>2651</v>
      </c>
      <c r="B902" s="348" t="s">
        <v>58</v>
      </c>
      <c r="C902" s="348" t="s">
        <v>109</v>
      </c>
      <c r="D902" s="352" t="s">
        <v>110</v>
      </c>
      <c r="E902" s="336">
        <v>43624</v>
      </c>
      <c r="F902" s="336">
        <v>43623</v>
      </c>
      <c r="G902" s="336">
        <v>43668</v>
      </c>
      <c r="H902" s="334" t="s">
        <v>2652</v>
      </c>
      <c r="I902" s="356">
        <v>15001786727</v>
      </c>
      <c r="J902" s="361" t="s">
        <v>2653</v>
      </c>
      <c r="K902" s="356">
        <v>3000</v>
      </c>
      <c r="L902" s="334">
        <v>9803</v>
      </c>
      <c r="M902" s="362"/>
      <c r="N902" s="362">
        <f t="shared" si="28"/>
        <v>9803</v>
      </c>
      <c r="O902" s="356"/>
      <c r="P902" s="356"/>
      <c r="Q902" s="356"/>
      <c r="R902" s="356"/>
      <c r="S902" s="356"/>
      <c r="T902" s="356"/>
      <c r="U902" s="372"/>
      <c r="V902" s="372"/>
      <c r="W902" s="372"/>
      <c r="X902" s="373"/>
      <c r="Y902" s="348"/>
      <c r="Z902" s="348"/>
      <c r="AA902" s="348" t="s">
        <v>2654</v>
      </c>
    </row>
    <row r="903" s="331" customFormat="1" ht="17" customHeight="1" spans="1:27">
      <c r="A903" s="550" t="s">
        <v>2655</v>
      </c>
      <c r="B903" s="348" t="s">
        <v>58</v>
      </c>
      <c r="C903" s="348" t="s">
        <v>347</v>
      </c>
      <c r="D903" s="349" t="s">
        <v>343</v>
      </c>
      <c r="E903" s="336">
        <v>43624</v>
      </c>
      <c r="F903" s="336">
        <v>43623</v>
      </c>
      <c r="G903" s="336">
        <v>43653</v>
      </c>
      <c r="H903" s="334" t="s">
        <v>2656</v>
      </c>
      <c r="I903" s="356">
        <v>13917344352</v>
      </c>
      <c r="J903" s="361" t="s">
        <v>2657</v>
      </c>
      <c r="K903" s="356">
        <v>9000</v>
      </c>
      <c r="L903" s="334">
        <v>20961</v>
      </c>
      <c r="M903" s="334"/>
      <c r="N903" s="362">
        <f t="shared" si="28"/>
        <v>20961</v>
      </c>
      <c r="O903" s="356"/>
      <c r="P903" s="356"/>
      <c r="Q903" s="356"/>
      <c r="R903" s="356"/>
      <c r="S903" s="356"/>
      <c r="T903" s="356"/>
      <c r="U903" s="372"/>
      <c r="V903" s="372"/>
      <c r="W903" s="372"/>
      <c r="X903" s="373"/>
      <c r="Y903" s="348" t="s">
        <v>2618</v>
      </c>
      <c r="Z903" s="348"/>
      <c r="AA903" s="348" t="s">
        <v>2654</v>
      </c>
    </row>
    <row r="904" s="331" customFormat="1" ht="17" customHeight="1" spans="1:27">
      <c r="A904" s="348">
        <v>2068850</v>
      </c>
      <c r="B904" s="348" t="s">
        <v>66</v>
      </c>
      <c r="C904" s="348" t="s">
        <v>67</v>
      </c>
      <c r="D904" s="349" t="s">
        <v>68</v>
      </c>
      <c r="E904" s="336">
        <v>43624</v>
      </c>
      <c r="F904" s="336">
        <v>43624</v>
      </c>
      <c r="G904" s="336">
        <v>43659</v>
      </c>
      <c r="H904" s="334" t="s">
        <v>2658</v>
      </c>
      <c r="I904" s="356">
        <v>15000900369</v>
      </c>
      <c r="J904" s="361" t="s">
        <v>2659</v>
      </c>
      <c r="K904" s="356">
        <f>5000+1000</f>
        <v>6000</v>
      </c>
      <c r="L904" s="334">
        <v>8270</v>
      </c>
      <c r="M904" s="334"/>
      <c r="N904" s="362">
        <f t="shared" si="28"/>
        <v>8270</v>
      </c>
      <c r="O904" s="356"/>
      <c r="P904" s="356"/>
      <c r="Q904" s="356"/>
      <c r="R904" s="356"/>
      <c r="S904" s="356"/>
      <c r="T904" s="356"/>
      <c r="U904" s="372"/>
      <c r="V904" s="372"/>
      <c r="W904" s="372"/>
      <c r="X904" s="373"/>
      <c r="Y904" s="348" t="s">
        <v>2660</v>
      </c>
      <c r="Z904" s="348"/>
      <c r="AA904" s="348"/>
    </row>
    <row r="905" s="331" customFormat="1" ht="17" customHeight="1" spans="1:27">
      <c r="A905" s="550" t="s">
        <v>2661</v>
      </c>
      <c r="B905" s="348" t="s">
        <v>58</v>
      </c>
      <c r="C905" s="348" t="s">
        <v>794</v>
      </c>
      <c r="D905" s="349" t="s">
        <v>343</v>
      </c>
      <c r="E905" s="336">
        <v>43624</v>
      </c>
      <c r="F905" s="336">
        <v>43623</v>
      </c>
      <c r="G905" s="336">
        <v>43660</v>
      </c>
      <c r="H905" s="334" t="s">
        <v>2662</v>
      </c>
      <c r="I905" s="356">
        <v>13817058310</v>
      </c>
      <c r="J905" s="361" t="s">
        <v>2663</v>
      </c>
      <c r="K905" s="356">
        <v>3000</v>
      </c>
      <c r="L905" s="334">
        <v>15155</v>
      </c>
      <c r="M905" s="334"/>
      <c r="N905" s="362">
        <f t="shared" si="28"/>
        <v>15155</v>
      </c>
      <c r="O905" s="356"/>
      <c r="P905" s="356"/>
      <c r="Q905" s="356"/>
      <c r="R905" s="356"/>
      <c r="S905" s="356"/>
      <c r="T905" s="356"/>
      <c r="U905" s="372"/>
      <c r="V905" s="372"/>
      <c r="W905" s="372"/>
      <c r="X905" s="373"/>
      <c r="Y905" s="348"/>
      <c r="Z905" s="348"/>
      <c r="AA905" s="348"/>
    </row>
    <row r="906" s="331" customFormat="1" ht="17" customHeight="1" spans="1:27">
      <c r="A906" s="550" t="s">
        <v>2664</v>
      </c>
      <c r="B906" s="348" t="s">
        <v>87</v>
      </c>
      <c r="C906" s="348" t="s">
        <v>466</v>
      </c>
      <c r="D906" s="349" t="s">
        <v>89</v>
      </c>
      <c r="E906" s="336">
        <v>43624</v>
      </c>
      <c r="F906" s="336">
        <v>43623</v>
      </c>
      <c r="G906" s="350"/>
      <c r="H906" s="334" t="s">
        <v>2665</v>
      </c>
      <c r="I906" s="356">
        <v>13801936526</v>
      </c>
      <c r="J906" s="361" t="s">
        <v>2666</v>
      </c>
      <c r="K906" s="356">
        <v>3000</v>
      </c>
      <c r="L906" s="362"/>
      <c r="M906" s="362"/>
      <c r="N906" s="362">
        <f t="shared" si="28"/>
        <v>0</v>
      </c>
      <c r="O906" s="356"/>
      <c r="P906" s="356"/>
      <c r="Q906" s="356"/>
      <c r="R906" s="356"/>
      <c r="S906" s="356"/>
      <c r="T906" s="356"/>
      <c r="U906" s="372" t="s">
        <v>63</v>
      </c>
      <c r="V906" s="372"/>
      <c r="W906" s="372"/>
      <c r="X906" s="373">
        <v>1</v>
      </c>
      <c r="Y906" s="348"/>
      <c r="Z906" s="348"/>
      <c r="AA906" s="348"/>
    </row>
    <row r="907" s="331" customFormat="1" ht="17" customHeight="1" spans="1:27">
      <c r="A907" s="550" t="s">
        <v>2667</v>
      </c>
      <c r="B907" s="348" t="s">
        <v>405</v>
      </c>
      <c r="C907" s="348" t="s">
        <v>1234</v>
      </c>
      <c r="D907" s="349" t="s">
        <v>407</v>
      </c>
      <c r="E907" s="336">
        <v>43624</v>
      </c>
      <c r="F907" s="336">
        <v>43623</v>
      </c>
      <c r="G907" s="336">
        <v>43673</v>
      </c>
      <c r="H907" s="334" t="s">
        <v>2668</v>
      </c>
      <c r="I907" s="356">
        <v>15921240238</v>
      </c>
      <c r="J907" s="361" t="s">
        <v>2669</v>
      </c>
      <c r="K907" s="356">
        <v>3000</v>
      </c>
      <c r="L907" s="334">
        <v>8455</v>
      </c>
      <c r="M907" s="362"/>
      <c r="N907" s="362">
        <f t="shared" si="28"/>
        <v>8455</v>
      </c>
      <c r="O907" s="356"/>
      <c r="P907" s="356"/>
      <c r="Q907" s="356" t="s">
        <v>52</v>
      </c>
      <c r="R907" s="356"/>
      <c r="S907" s="356"/>
      <c r="T907" s="356"/>
      <c r="U907" s="372"/>
      <c r="V907" s="372"/>
      <c r="W907" s="372"/>
      <c r="X907" s="373"/>
      <c r="Y907" s="348"/>
      <c r="Z907" s="348"/>
      <c r="AA907" s="348"/>
    </row>
    <row r="908" s="331" customFormat="1" ht="17" customHeight="1" spans="1:27">
      <c r="A908" s="348">
        <v>2024530</v>
      </c>
      <c r="B908" s="348" t="s">
        <v>73</v>
      </c>
      <c r="C908" s="334" t="s">
        <v>178</v>
      </c>
      <c r="D908" s="349" t="s">
        <v>75</v>
      </c>
      <c r="E908" s="336">
        <v>43708</v>
      </c>
      <c r="F908" s="336">
        <v>43624</v>
      </c>
      <c r="G908" s="336">
        <v>43707</v>
      </c>
      <c r="H908" s="334" t="s">
        <v>2670</v>
      </c>
      <c r="I908" s="356">
        <v>18918698821</v>
      </c>
      <c r="J908" s="361" t="s">
        <v>2671</v>
      </c>
      <c r="K908" s="356">
        <v>1000</v>
      </c>
      <c r="L908" s="334">
        <v>75799.05</v>
      </c>
      <c r="M908" s="362"/>
      <c r="N908" s="362">
        <f t="shared" si="28"/>
        <v>75799.05</v>
      </c>
      <c r="O908" s="366" t="s">
        <v>52</v>
      </c>
      <c r="P908" s="356"/>
      <c r="Q908" s="356"/>
      <c r="R908" s="356"/>
      <c r="S908" s="356"/>
      <c r="T908" s="356"/>
      <c r="U908" s="372"/>
      <c r="V908" s="372"/>
      <c r="W908" s="372"/>
      <c r="X908" s="373">
        <v>1</v>
      </c>
      <c r="Y908" s="348" t="s">
        <v>2618</v>
      </c>
      <c r="Z908" s="348" t="s">
        <v>79</v>
      </c>
      <c r="AA908" s="348"/>
    </row>
    <row r="909" s="331" customFormat="1" ht="17" customHeight="1" spans="1:27">
      <c r="A909" s="550" t="s">
        <v>2672</v>
      </c>
      <c r="B909" s="348" t="s">
        <v>35</v>
      </c>
      <c r="C909" s="348" t="s">
        <v>36</v>
      </c>
      <c r="D909" s="349" t="s">
        <v>37</v>
      </c>
      <c r="E909" s="336">
        <v>43624</v>
      </c>
      <c r="F909" s="336">
        <v>43624</v>
      </c>
      <c r="G909" s="336">
        <v>43649</v>
      </c>
      <c r="H909" s="334" t="s">
        <v>2673</v>
      </c>
      <c r="I909" s="356">
        <v>18106345631</v>
      </c>
      <c r="J909" s="361" t="s">
        <v>2674</v>
      </c>
      <c r="K909" s="356">
        <v>5097</v>
      </c>
      <c r="L909" s="334">
        <v>23500</v>
      </c>
      <c r="M909" s="334"/>
      <c r="N909" s="362">
        <f t="shared" si="28"/>
        <v>23500</v>
      </c>
      <c r="O909" s="356"/>
      <c r="P909" s="356"/>
      <c r="Q909" s="356"/>
      <c r="R909" s="356"/>
      <c r="S909" s="356"/>
      <c r="T909" s="356"/>
      <c r="U909" s="372"/>
      <c r="V909" s="372"/>
      <c r="W909" s="372"/>
      <c r="X909" s="373"/>
      <c r="Y909" s="348"/>
      <c r="Z909" s="348"/>
      <c r="AA909" s="348"/>
    </row>
    <row r="910" s="331" customFormat="1" ht="17" customHeight="1" spans="1:27">
      <c r="A910" s="348"/>
      <c r="B910" s="348" t="s">
        <v>87</v>
      </c>
      <c r="C910" s="348" t="s">
        <v>1757</v>
      </c>
      <c r="D910" s="349" t="s">
        <v>89</v>
      </c>
      <c r="E910" s="336">
        <v>43696</v>
      </c>
      <c r="F910" s="336">
        <v>43623</v>
      </c>
      <c r="G910" s="336">
        <v>43695</v>
      </c>
      <c r="H910" s="334" t="s">
        <v>2675</v>
      </c>
      <c r="I910" s="356">
        <v>13816589727</v>
      </c>
      <c r="J910" s="361" t="s">
        <v>2676</v>
      </c>
      <c r="K910" s="356">
        <v>1000</v>
      </c>
      <c r="L910" s="334">
        <v>18673</v>
      </c>
      <c r="M910" s="362"/>
      <c r="N910" s="362">
        <f t="shared" si="28"/>
        <v>18673</v>
      </c>
      <c r="O910" s="356"/>
      <c r="P910" s="356"/>
      <c r="Q910" s="356" t="s">
        <v>52</v>
      </c>
      <c r="R910" s="356"/>
      <c r="S910" s="356"/>
      <c r="T910" s="356"/>
      <c r="U910" s="372"/>
      <c r="V910" s="372"/>
      <c r="W910" s="372"/>
      <c r="X910" s="373"/>
      <c r="Y910" s="348"/>
      <c r="Z910" s="348"/>
      <c r="AA910" s="348"/>
    </row>
    <row r="911" s="331" customFormat="1" ht="15" customHeight="1" spans="1:27">
      <c r="A911" s="550" t="s">
        <v>2677</v>
      </c>
      <c r="B911" s="348" t="s">
        <v>405</v>
      </c>
      <c r="C911" s="348" t="s">
        <v>823</v>
      </c>
      <c r="D911" s="349" t="s">
        <v>407</v>
      </c>
      <c r="E911" s="336">
        <v>43624</v>
      </c>
      <c r="F911" s="336">
        <v>43624</v>
      </c>
      <c r="G911" s="350"/>
      <c r="H911" s="334" t="s">
        <v>2678</v>
      </c>
      <c r="I911" s="356"/>
      <c r="J911" s="361" t="s">
        <v>2679</v>
      </c>
      <c r="K911" s="356">
        <v>5000</v>
      </c>
      <c r="L911" s="362"/>
      <c r="M911" s="362"/>
      <c r="N911" s="362">
        <f t="shared" si="28"/>
        <v>0</v>
      </c>
      <c r="O911" s="356"/>
      <c r="P911" s="356"/>
      <c r="Q911" s="356" t="s">
        <v>52</v>
      </c>
      <c r="R911" s="356"/>
      <c r="S911" s="356"/>
      <c r="T911" s="356"/>
      <c r="U911" s="372"/>
      <c r="V911" s="372"/>
      <c r="W911" s="372"/>
      <c r="X911" s="373"/>
      <c r="Y911" s="348"/>
      <c r="Z911" s="348"/>
      <c r="AA911" s="348"/>
    </row>
    <row r="912" s="331" customFormat="1" ht="15" customHeight="1" spans="1:27">
      <c r="A912" s="550" t="s">
        <v>2680</v>
      </c>
      <c r="B912" s="348" t="s">
        <v>405</v>
      </c>
      <c r="C912" s="348" t="s">
        <v>1234</v>
      </c>
      <c r="D912" s="349" t="s">
        <v>407</v>
      </c>
      <c r="E912" s="336">
        <v>43725</v>
      </c>
      <c r="F912" s="336">
        <v>43624</v>
      </c>
      <c r="G912" s="336">
        <v>43717</v>
      </c>
      <c r="H912" s="334" t="s">
        <v>2681</v>
      </c>
      <c r="I912" s="356">
        <v>13310103010</v>
      </c>
      <c r="J912" s="361" t="s">
        <v>2682</v>
      </c>
      <c r="K912" s="356">
        <v>1000</v>
      </c>
      <c r="L912" s="334">
        <v>5246</v>
      </c>
      <c r="M912" s="362"/>
      <c r="N912" s="362">
        <f t="shared" si="28"/>
        <v>5246</v>
      </c>
      <c r="O912" s="356"/>
      <c r="P912" s="356"/>
      <c r="Q912" s="356"/>
      <c r="R912" s="356" t="s">
        <v>52</v>
      </c>
      <c r="S912" s="356"/>
      <c r="T912" s="356"/>
      <c r="U912" s="372"/>
      <c r="V912" s="372"/>
      <c r="W912" s="372"/>
      <c r="X912" s="373"/>
      <c r="Y912" s="348"/>
      <c r="Z912" s="348"/>
      <c r="AA912" s="348"/>
    </row>
    <row r="913" s="331" customFormat="1" ht="17" customHeight="1" spans="1:27">
      <c r="A913" s="550" t="s">
        <v>2683</v>
      </c>
      <c r="B913" s="348" t="s">
        <v>31</v>
      </c>
      <c r="C913" s="348" t="s">
        <v>32</v>
      </c>
      <c r="D913" s="349" t="s">
        <v>162</v>
      </c>
      <c r="E913" s="336">
        <v>43624</v>
      </c>
      <c r="F913" s="336">
        <v>43624</v>
      </c>
      <c r="G913" s="336">
        <v>43662</v>
      </c>
      <c r="H913" s="334" t="s">
        <v>2684</v>
      </c>
      <c r="I913" s="356">
        <v>18116303387</v>
      </c>
      <c r="J913" s="361" t="s">
        <v>2685</v>
      </c>
      <c r="K913" s="356">
        <v>1000</v>
      </c>
      <c r="L913" s="334">
        <v>19454</v>
      </c>
      <c r="M913" s="334"/>
      <c r="N913" s="362">
        <f t="shared" si="28"/>
        <v>19454</v>
      </c>
      <c r="O913" s="356"/>
      <c r="P913" s="356"/>
      <c r="Q913" s="356"/>
      <c r="R913" s="356"/>
      <c r="S913" s="356"/>
      <c r="T913" s="356"/>
      <c r="U913" s="372"/>
      <c r="V913" s="372"/>
      <c r="W913" s="372"/>
      <c r="X913" s="373"/>
      <c r="Y913" s="348"/>
      <c r="Z913" s="348"/>
      <c r="AA913" s="348"/>
    </row>
    <row r="914" s="331" customFormat="1" ht="17" customHeight="1" spans="1:27">
      <c r="A914" s="348">
        <v>2067620</v>
      </c>
      <c r="B914" s="348" t="s">
        <v>31</v>
      </c>
      <c r="C914" s="348" t="s">
        <v>220</v>
      </c>
      <c r="D914" s="349" t="s">
        <v>33</v>
      </c>
      <c r="E914" s="336">
        <v>43624</v>
      </c>
      <c r="F914" s="336">
        <v>43624</v>
      </c>
      <c r="G914" s="336">
        <v>43655</v>
      </c>
      <c r="H914" s="334" t="s">
        <v>2686</v>
      </c>
      <c r="I914" s="356">
        <v>18017698025</v>
      </c>
      <c r="J914" s="361" t="s">
        <v>2687</v>
      </c>
      <c r="K914" s="356">
        <v>1000</v>
      </c>
      <c r="L914" s="334">
        <v>3634</v>
      </c>
      <c r="M914" s="334"/>
      <c r="N914" s="362">
        <f t="shared" si="28"/>
        <v>3634</v>
      </c>
      <c r="O914" s="356"/>
      <c r="P914" s="356"/>
      <c r="Q914" s="356"/>
      <c r="R914" s="356"/>
      <c r="S914" s="356"/>
      <c r="T914" s="356"/>
      <c r="U914" s="372"/>
      <c r="V914" s="372"/>
      <c r="W914" s="372"/>
      <c r="X914" s="373"/>
      <c r="Y914" s="348" t="s">
        <v>142</v>
      </c>
      <c r="Z914" s="348"/>
      <c r="AA914" s="348"/>
    </row>
    <row r="915" s="331" customFormat="1" ht="17" customHeight="1" spans="1:27">
      <c r="A915" s="348">
        <v>2025330</v>
      </c>
      <c r="B915" s="348" t="s">
        <v>137</v>
      </c>
      <c r="C915" s="348" t="s">
        <v>411</v>
      </c>
      <c r="D915" s="349" t="s">
        <v>60</v>
      </c>
      <c r="E915" s="336">
        <v>43624</v>
      </c>
      <c r="F915" s="336">
        <v>43624</v>
      </c>
      <c r="G915" s="336">
        <v>43660</v>
      </c>
      <c r="H915" s="334" t="s">
        <v>2688</v>
      </c>
      <c r="I915" s="356">
        <v>18616337556</v>
      </c>
      <c r="J915" s="361" t="s">
        <v>2689</v>
      </c>
      <c r="K915" s="356">
        <v>5400</v>
      </c>
      <c r="L915" s="334">
        <v>13115</v>
      </c>
      <c r="M915" s="334"/>
      <c r="N915" s="362">
        <f t="shared" si="28"/>
        <v>13115</v>
      </c>
      <c r="O915" s="356"/>
      <c r="P915" s="356"/>
      <c r="Q915" s="356"/>
      <c r="R915" s="356"/>
      <c r="S915" s="356"/>
      <c r="T915" s="356"/>
      <c r="U915" s="372"/>
      <c r="V915" s="372"/>
      <c r="W915" s="372"/>
      <c r="X915" s="373"/>
      <c r="Y915" s="348" t="s">
        <v>2690</v>
      </c>
      <c r="Z915" s="348"/>
      <c r="AA915" s="348"/>
    </row>
    <row r="916" s="331" customFormat="1" ht="17" customHeight="1" spans="1:27">
      <c r="A916" s="550" t="s">
        <v>2691</v>
      </c>
      <c r="B916" s="348" t="s">
        <v>31</v>
      </c>
      <c r="C916" s="348" t="s">
        <v>115</v>
      </c>
      <c r="D916" s="349" t="s">
        <v>162</v>
      </c>
      <c r="E916" s="336">
        <v>43624</v>
      </c>
      <c r="F916" s="336">
        <v>43624</v>
      </c>
      <c r="G916" s="336">
        <v>43655</v>
      </c>
      <c r="H916" s="334" t="s">
        <v>2692</v>
      </c>
      <c r="I916" s="356">
        <v>18916584091</v>
      </c>
      <c r="J916" s="361" t="s">
        <v>2693</v>
      </c>
      <c r="K916" s="356">
        <v>3000</v>
      </c>
      <c r="L916" s="334">
        <v>8150</v>
      </c>
      <c r="M916" s="334"/>
      <c r="N916" s="362">
        <f t="shared" si="28"/>
        <v>8150</v>
      </c>
      <c r="O916" s="356"/>
      <c r="P916" s="356"/>
      <c r="Q916" s="356"/>
      <c r="R916" s="356"/>
      <c r="S916" s="356"/>
      <c r="T916" s="356"/>
      <c r="U916" s="372"/>
      <c r="V916" s="372"/>
      <c r="W916" s="372"/>
      <c r="X916" s="373"/>
      <c r="Y916" s="348"/>
      <c r="Z916" s="348"/>
      <c r="AA916" s="348"/>
    </row>
    <row r="917" s="331" customFormat="1" ht="17" customHeight="1" spans="1:27">
      <c r="A917" s="348">
        <v>2020231</v>
      </c>
      <c r="B917" s="348" t="s">
        <v>137</v>
      </c>
      <c r="C917" s="348" t="s">
        <v>411</v>
      </c>
      <c r="D917" s="349" t="s">
        <v>60</v>
      </c>
      <c r="E917" s="336">
        <v>43624</v>
      </c>
      <c r="F917" s="336">
        <v>43624</v>
      </c>
      <c r="G917" s="336">
        <v>43653</v>
      </c>
      <c r="H917" s="334" t="s">
        <v>2694</v>
      </c>
      <c r="I917" s="356">
        <v>13816110595</v>
      </c>
      <c r="J917" s="361" t="s">
        <v>2695</v>
      </c>
      <c r="K917" s="356">
        <v>5400</v>
      </c>
      <c r="L917" s="334">
        <v>11012</v>
      </c>
      <c r="M917" s="334"/>
      <c r="N917" s="362">
        <f t="shared" si="28"/>
        <v>11012</v>
      </c>
      <c r="O917" s="356"/>
      <c r="P917" s="356"/>
      <c r="Q917" s="356"/>
      <c r="R917" s="356"/>
      <c r="S917" s="356"/>
      <c r="T917" s="356"/>
      <c r="U917" s="372"/>
      <c r="V917" s="372"/>
      <c r="W917" s="372"/>
      <c r="X917" s="373"/>
      <c r="Y917" s="348" t="s">
        <v>2582</v>
      </c>
      <c r="Z917" s="348"/>
      <c r="AA917" s="348"/>
    </row>
    <row r="918" s="331" customFormat="1" ht="17" customHeight="1" spans="1:27">
      <c r="A918" s="550" t="s">
        <v>2696</v>
      </c>
      <c r="B918" s="348" t="s">
        <v>31</v>
      </c>
      <c r="C918" s="348" t="s">
        <v>32</v>
      </c>
      <c r="D918" s="349" t="s">
        <v>33</v>
      </c>
      <c r="E918" s="336">
        <v>43624</v>
      </c>
      <c r="F918" s="336">
        <v>43624</v>
      </c>
      <c r="G918" s="336">
        <v>43660</v>
      </c>
      <c r="H918" s="334" t="s">
        <v>2697</v>
      </c>
      <c r="I918" s="356">
        <v>18621542828</v>
      </c>
      <c r="J918" s="361" t="s">
        <v>2698</v>
      </c>
      <c r="K918" s="356">
        <v>10000</v>
      </c>
      <c r="L918" s="334">
        <v>19772</v>
      </c>
      <c r="M918" s="334"/>
      <c r="N918" s="362">
        <f t="shared" si="28"/>
        <v>19772</v>
      </c>
      <c r="O918" s="356"/>
      <c r="P918" s="356"/>
      <c r="Q918" s="356"/>
      <c r="R918" s="356"/>
      <c r="S918" s="356"/>
      <c r="T918" s="356"/>
      <c r="U918" s="372"/>
      <c r="V918" s="372"/>
      <c r="W918" s="372"/>
      <c r="X918" s="373"/>
      <c r="Y918" s="348"/>
      <c r="Z918" s="348"/>
      <c r="AA918" s="348"/>
    </row>
    <row r="919" s="331" customFormat="1" ht="17" customHeight="1" spans="1:27">
      <c r="A919" s="550" t="s">
        <v>2699</v>
      </c>
      <c r="B919" s="348" t="s">
        <v>94</v>
      </c>
      <c r="C919" s="348" t="s">
        <v>95</v>
      </c>
      <c r="D919" s="352" t="s">
        <v>49</v>
      </c>
      <c r="E919" s="336">
        <v>43798</v>
      </c>
      <c r="F919" s="336">
        <v>43623</v>
      </c>
      <c r="G919" s="336">
        <v>43797</v>
      </c>
      <c r="H919" s="334" t="s">
        <v>2700</v>
      </c>
      <c r="I919" s="356">
        <v>18238861307</v>
      </c>
      <c r="J919" s="361" t="s">
        <v>2701</v>
      </c>
      <c r="K919" s="356">
        <v>1000</v>
      </c>
      <c r="L919" s="334">
        <v>9511</v>
      </c>
      <c r="M919" s="362"/>
      <c r="N919" s="362">
        <f t="shared" si="28"/>
        <v>9511</v>
      </c>
      <c r="O919" s="366"/>
      <c r="P919" s="366" t="s">
        <v>52</v>
      </c>
      <c r="Q919" s="356"/>
      <c r="R919" s="356"/>
      <c r="S919" s="356"/>
      <c r="T919" s="356"/>
      <c r="U919" s="372"/>
      <c r="V919" s="372"/>
      <c r="W919" s="372"/>
      <c r="X919" s="373"/>
      <c r="Y919" s="348"/>
      <c r="Z919" s="348"/>
      <c r="AA919" s="348"/>
    </row>
    <row r="920" s="331" customFormat="1" ht="17" customHeight="1" spans="1:27">
      <c r="A920" s="348">
        <v>2023393</v>
      </c>
      <c r="B920" s="348" t="s">
        <v>243</v>
      </c>
      <c r="C920" s="348" t="s">
        <v>304</v>
      </c>
      <c r="D920" s="352" t="s">
        <v>49</v>
      </c>
      <c r="E920" s="336">
        <v>43686</v>
      </c>
      <c r="F920" s="336">
        <v>43624</v>
      </c>
      <c r="G920" s="336">
        <v>43686</v>
      </c>
      <c r="H920" s="334" t="s">
        <v>2702</v>
      </c>
      <c r="I920" s="356" t="s">
        <v>2703</v>
      </c>
      <c r="J920" s="361" t="s">
        <v>2704</v>
      </c>
      <c r="K920" s="356">
        <v>1000</v>
      </c>
      <c r="L920" s="334">
        <v>12100</v>
      </c>
      <c r="M920" s="334">
        <v>400</v>
      </c>
      <c r="N920" s="362">
        <f t="shared" si="28"/>
        <v>12500</v>
      </c>
      <c r="O920" s="356"/>
      <c r="P920" s="356"/>
      <c r="Q920" s="356"/>
      <c r="R920" s="356" t="s">
        <v>52</v>
      </c>
      <c r="S920" s="356"/>
      <c r="T920" s="356"/>
      <c r="U920" s="372"/>
      <c r="V920" s="372"/>
      <c r="W920" s="372"/>
      <c r="X920" s="373"/>
      <c r="Y920" s="348"/>
      <c r="Z920" s="348"/>
      <c r="AA920" s="348"/>
    </row>
    <row r="921" s="331" customFormat="1" ht="17" customHeight="1" spans="1:27">
      <c r="A921" s="348">
        <v>2020243</v>
      </c>
      <c r="B921" s="348" t="s">
        <v>137</v>
      </c>
      <c r="C921" s="348" t="s">
        <v>2705</v>
      </c>
      <c r="D921" s="352" t="s">
        <v>191</v>
      </c>
      <c r="E921" s="336">
        <v>43698</v>
      </c>
      <c r="F921" s="336">
        <v>43624</v>
      </c>
      <c r="G921" s="336">
        <v>43697</v>
      </c>
      <c r="H921" s="334" t="s">
        <v>2706</v>
      </c>
      <c r="I921" s="356">
        <v>15000166498</v>
      </c>
      <c r="J921" s="361" t="s">
        <v>2707</v>
      </c>
      <c r="K921" s="356">
        <v>3000</v>
      </c>
      <c r="L921" s="334">
        <v>9900</v>
      </c>
      <c r="M921" s="362"/>
      <c r="N921" s="362">
        <f t="shared" si="28"/>
        <v>9900</v>
      </c>
      <c r="O921" s="356"/>
      <c r="P921" s="356"/>
      <c r="Q921" s="356">
        <v>1</v>
      </c>
      <c r="R921" s="356"/>
      <c r="S921" s="356"/>
      <c r="T921" s="356"/>
      <c r="U921" s="372"/>
      <c r="V921" s="372"/>
      <c r="W921" s="372"/>
      <c r="X921" s="373"/>
      <c r="Y921" s="348" t="s">
        <v>2690</v>
      </c>
      <c r="Z921" s="348"/>
      <c r="AA921" s="348"/>
    </row>
    <row r="922" s="331" customFormat="1" ht="17" customHeight="1" spans="1:27">
      <c r="A922" s="348">
        <v>2066649</v>
      </c>
      <c r="B922" s="348" t="s">
        <v>335</v>
      </c>
      <c r="C922" s="348" t="s">
        <v>399</v>
      </c>
      <c r="D922" s="349" t="s">
        <v>337</v>
      </c>
      <c r="E922" s="336"/>
      <c r="F922" s="336">
        <v>43581</v>
      </c>
      <c r="G922" s="350" t="s">
        <v>2708</v>
      </c>
      <c r="H922" s="334" t="s">
        <v>2709</v>
      </c>
      <c r="I922" s="356">
        <v>15001997657</v>
      </c>
      <c r="J922" s="361" t="s">
        <v>2710</v>
      </c>
      <c r="K922" s="356">
        <v>0</v>
      </c>
      <c r="L922" s="362"/>
      <c r="M922" s="362"/>
      <c r="N922" s="362">
        <f t="shared" si="28"/>
        <v>0</v>
      </c>
      <c r="O922" s="356"/>
      <c r="P922" s="356"/>
      <c r="Q922" s="356"/>
      <c r="R922" s="356"/>
      <c r="S922" s="356"/>
      <c r="T922" s="356"/>
      <c r="U922" s="372"/>
      <c r="V922" s="372"/>
      <c r="W922" s="372" t="s">
        <v>2711</v>
      </c>
      <c r="X922" s="384"/>
      <c r="Y922" s="348"/>
      <c r="Z922" s="348"/>
      <c r="AA922" s="348"/>
    </row>
    <row r="923" s="331" customFormat="1" ht="17" customHeight="1" spans="1:27">
      <c r="A923" s="550" t="s">
        <v>2712</v>
      </c>
      <c r="B923" s="348" t="s">
        <v>31</v>
      </c>
      <c r="C923" s="348" t="s">
        <v>419</v>
      </c>
      <c r="D923" s="349" t="s">
        <v>221</v>
      </c>
      <c r="E923" s="336">
        <v>43692</v>
      </c>
      <c r="F923" s="336">
        <v>43646</v>
      </c>
      <c r="G923" s="336">
        <v>43680</v>
      </c>
      <c r="H923" s="334" t="s">
        <v>2713</v>
      </c>
      <c r="I923" s="356">
        <v>15021018618</v>
      </c>
      <c r="J923" s="361" t="s">
        <v>2714</v>
      </c>
      <c r="K923" s="356">
        <v>1000</v>
      </c>
      <c r="L923" s="334">
        <v>12800</v>
      </c>
      <c r="M923" s="362"/>
      <c r="N923" s="362">
        <f t="shared" si="28"/>
        <v>12800</v>
      </c>
      <c r="O923" s="366" t="s">
        <v>52</v>
      </c>
      <c r="P923" s="356"/>
      <c r="Q923" s="356"/>
      <c r="R923" s="356"/>
      <c r="S923" s="356"/>
      <c r="T923" s="356"/>
      <c r="U923" s="372"/>
      <c r="V923" s="372"/>
      <c r="W923" s="372"/>
      <c r="X923" s="373"/>
      <c r="Y923" s="348"/>
      <c r="Z923" s="348" t="s">
        <v>318</v>
      </c>
      <c r="AA923" s="348"/>
    </row>
    <row r="924" s="331" customFormat="1" ht="17" customHeight="1" spans="1:27">
      <c r="A924" s="550" t="s">
        <v>2715</v>
      </c>
      <c r="B924" s="348" t="s">
        <v>31</v>
      </c>
      <c r="C924" s="348" t="s">
        <v>2716</v>
      </c>
      <c r="D924" s="349" t="s">
        <v>33</v>
      </c>
      <c r="E924" s="336">
        <v>43624</v>
      </c>
      <c r="F924" s="336">
        <v>43624</v>
      </c>
      <c r="G924" s="350"/>
      <c r="H924" s="334" t="s">
        <v>2717</v>
      </c>
      <c r="I924" s="356">
        <v>13611754364</v>
      </c>
      <c r="J924" s="361" t="s">
        <v>2718</v>
      </c>
      <c r="K924" s="356">
        <v>1000</v>
      </c>
      <c r="L924" s="362"/>
      <c r="M924" s="362"/>
      <c r="N924" s="362">
        <f t="shared" si="28"/>
        <v>0</v>
      </c>
      <c r="O924" s="356"/>
      <c r="P924" s="356"/>
      <c r="Q924" s="356"/>
      <c r="R924" s="356"/>
      <c r="S924" s="356"/>
      <c r="T924" s="356"/>
      <c r="U924" s="372" t="s">
        <v>52</v>
      </c>
      <c r="V924" s="372"/>
      <c r="W924" s="372"/>
      <c r="X924" s="373"/>
      <c r="Y924" s="348"/>
      <c r="Z924" s="348"/>
      <c r="AA924" s="348"/>
    </row>
    <row r="925" s="331" customFormat="1" ht="17" customHeight="1" spans="1:27">
      <c r="A925" s="348">
        <v>2025540</v>
      </c>
      <c r="B925" s="348" t="s">
        <v>335</v>
      </c>
      <c r="C925" s="348" t="s">
        <v>615</v>
      </c>
      <c r="D925" s="349" t="s">
        <v>337</v>
      </c>
      <c r="E925" s="336">
        <v>43724</v>
      </c>
      <c r="F925" s="336">
        <v>43624</v>
      </c>
      <c r="G925" s="336">
        <v>43724</v>
      </c>
      <c r="H925" s="334" t="s">
        <v>2719</v>
      </c>
      <c r="I925" s="356">
        <v>13671602001</v>
      </c>
      <c r="J925" s="361" t="s">
        <v>2720</v>
      </c>
      <c r="K925" s="356">
        <v>1000</v>
      </c>
      <c r="L925" s="334">
        <f>9915-1520</f>
        <v>8395</v>
      </c>
      <c r="M925" s="334">
        <f>4000+1520</f>
        <v>5520</v>
      </c>
      <c r="N925" s="362">
        <f t="shared" si="28"/>
        <v>13915</v>
      </c>
      <c r="O925" s="337"/>
      <c r="P925" s="337" t="s">
        <v>1526</v>
      </c>
      <c r="Q925" s="356"/>
      <c r="R925" s="356"/>
      <c r="S925" s="356"/>
      <c r="T925" s="356"/>
      <c r="U925" s="372"/>
      <c r="V925" s="372"/>
      <c r="W925" s="372"/>
      <c r="X925" s="373"/>
      <c r="Y925" s="348"/>
      <c r="Z925" s="348"/>
      <c r="AA925" s="348"/>
    </row>
    <row r="926" s="331" customFormat="1" ht="17" customHeight="1" spans="1:27">
      <c r="A926" s="550" t="s">
        <v>2721</v>
      </c>
      <c r="B926" s="348" t="s">
        <v>185</v>
      </c>
      <c r="C926" s="348" t="s">
        <v>1204</v>
      </c>
      <c r="D926" s="349" t="s">
        <v>44</v>
      </c>
      <c r="E926" s="336">
        <v>43702</v>
      </c>
      <c r="F926" s="336">
        <v>43624</v>
      </c>
      <c r="G926" s="336">
        <v>43701</v>
      </c>
      <c r="H926" s="334" t="s">
        <v>2722</v>
      </c>
      <c r="I926" s="356">
        <v>13817208181</v>
      </c>
      <c r="J926" s="361" t="s">
        <v>2723</v>
      </c>
      <c r="K926" s="356">
        <v>5000</v>
      </c>
      <c r="L926" s="334">
        <v>19106</v>
      </c>
      <c r="M926" s="362"/>
      <c r="N926" s="362">
        <f t="shared" ref="N926:N973" si="29">L926+M926</f>
        <v>19106</v>
      </c>
      <c r="O926" s="356"/>
      <c r="P926" s="356"/>
      <c r="Q926" s="356"/>
      <c r="R926" s="356"/>
      <c r="S926" s="356" t="s">
        <v>52</v>
      </c>
      <c r="T926" s="356"/>
      <c r="U926" s="372"/>
      <c r="V926" s="372"/>
      <c r="W926" s="372"/>
      <c r="X926" s="373"/>
      <c r="Y926" s="348" t="s">
        <v>2690</v>
      </c>
      <c r="Z926" s="348"/>
      <c r="AA926" s="348"/>
    </row>
    <row r="927" s="331" customFormat="1" ht="17" customHeight="1" spans="1:27">
      <c r="A927" s="550" t="s">
        <v>2724</v>
      </c>
      <c r="B927" s="348" t="s">
        <v>185</v>
      </c>
      <c r="C927" s="348" t="s">
        <v>1204</v>
      </c>
      <c r="D927" s="349" t="s">
        <v>44</v>
      </c>
      <c r="E927" s="336">
        <v>43625</v>
      </c>
      <c r="F927" s="336">
        <v>43624</v>
      </c>
      <c r="G927" s="336">
        <v>43664</v>
      </c>
      <c r="H927" s="334" t="s">
        <v>2725</v>
      </c>
      <c r="I927" s="356">
        <v>13482029361</v>
      </c>
      <c r="J927" s="361" t="s">
        <v>2726</v>
      </c>
      <c r="K927" s="356">
        <v>5000</v>
      </c>
      <c r="L927" s="334">
        <v>5951</v>
      </c>
      <c r="M927" s="334"/>
      <c r="N927" s="362">
        <f t="shared" si="29"/>
        <v>5951</v>
      </c>
      <c r="O927" s="356"/>
      <c r="P927" s="356"/>
      <c r="Q927" s="356"/>
      <c r="R927" s="356"/>
      <c r="S927" s="356"/>
      <c r="T927" s="356"/>
      <c r="U927" s="372"/>
      <c r="V927" s="372"/>
      <c r="W927" s="372"/>
      <c r="X927" s="373"/>
      <c r="Y927" s="348" t="s">
        <v>2690</v>
      </c>
      <c r="Z927" s="348"/>
      <c r="AA927" s="348"/>
    </row>
    <row r="928" s="331" customFormat="1" ht="17" customHeight="1" spans="1:27">
      <c r="A928" s="348"/>
      <c r="B928" s="348" t="s">
        <v>315</v>
      </c>
      <c r="C928" s="348" t="s">
        <v>275</v>
      </c>
      <c r="D928" s="349" t="s">
        <v>162</v>
      </c>
      <c r="E928" s="336">
        <v>43763</v>
      </c>
      <c r="F928" s="336">
        <v>43624</v>
      </c>
      <c r="G928" s="336">
        <v>43762</v>
      </c>
      <c r="H928" s="334" t="s">
        <v>2727</v>
      </c>
      <c r="I928" s="356">
        <v>18616608590</v>
      </c>
      <c r="J928" s="361" t="s">
        <v>2728</v>
      </c>
      <c r="K928" s="356">
        <v>1000</v>
      </c>
      <c r="L928" s="334">
        <v>9600</v>
      </c>
      <c r="M928" s="334">
        <v>700</v>
      </c>
      <c r="N928" s="362">
        <f t="shared" si="29"/>
        <v>10300</v>
      </c>
      <c r="O928" s="356"/>
      <c r="P928" s="356"/>
      <c r="Q928" s="356">
        <v>1</v>
      </c>
      <c r="R928" s="356"/>
      <c r="S928" s="356"/>
      <c r="T928" s="356"/>
      <c r="U928" s="372"/>
      <c r="V928" s="372"/>
      <c r="W928" s="372"/>
      <c r="X928" s="373"/>
      <c r="Y928" s="348" t="s">
        <v>2660</v>
      </c>
      <c r="Z928" s="348"/>
      <c r="AA928" s="348"/>
    </row>
    <row r="929" s="331" customFormat="1" ht="17" customHeight="1" spans="1:27">
      <c r="A929" s="348"/>
      <c r="B929" s="348" t="s">
        <v>315</v>
      </c>
      <c r="C929" s="348" t="s">
        <v>181</v>
      </c>
      <c r="D929" s="349" t="s">
        <v>162</v>
      </c>
      <c r="E929" s="336">
        <v>43692</v>
      </c>
      <c r="F929" s="336">
        <v>43624</v>
      </c>
      <c r="G929" s="336">
        <v>43691</v>
      </c>
      <c r="H929" s="334" t="s">
        <v>2729</v>
      </c>
      <c r="I929" s="356">
        <v>15300511977</v>
      </c>
      <c r="J929" s="361" t="s">
        <v>2730</v>
      </c>
      <c r="K929" s="356">
        <v>3000</v>
      </c>
      <c r="L929" s="334">
        <v>15709</v>
      </c>
      <c r="M929" s="334">
        <v>-98</v>
      </c>
      <c r="N929" s="362">
        <f t="shared" si="29"/>
        <v>15611</v>
      </c>
      <c r="O929" s="356">
        <v>1</v>
      </c>
      <c r="P929" s="356"/>
      <c r="Q929" s="356"/>
      <c r="R929" s="356"/>
      <c r="S929" s="356"/>
      <c r="T929" s="356"/>
      <c r="U929" s="372"/>
      <c r="V929" s="372"/>
      <c r="W929" s="372"/>
      <c r="X929" s="373"/>
      <c r="Y929" s="348"/>
      <c r="Z929" s="348"/>
      <c r="AA929" s="348"/>
    </row>
    <row r="930" s="331" customFormat="1" ht="17" customHeight="1" spans="1:27">
      <c r="A930" s="348"/>
      <c r="B930" s="348" t="s">
        <v>169</v>
      </c>
      <c r="C930" s="348" t="s">
        <v>634</v>
      </c>
      <c r="D930" s="349" t="s">
        <v>635</v>
      </c>
      <c r="E930" s="336">
        <v>43683</v>
      </c>
      <c r="F930" s="336">
        <v>43624</v>
      </c>
      <c r="G930" s="336">
        <v>43683</v>
      </c>
      <c r="H930" s="334" t="s">
        <v>2731</v>
      </c>
      <c r="I930" s="356">
        <v>13601767096</v>
      </c>
      <c r="J930" s="361" t="s">
        <v>2732</v>
      </c>
      <c r="K930" s="356">
        <v>3000</v>
      </c>
      <c r="L930" s="334">
        <v>13211</v>
      </c>
      <c r="M930" s="362"/>
      <c r="N930" s="362">
        <f t="shared" si="29"/>
        <v>13211</v>
      </c>
      <c r="O930" s="356"/>
      <c r="P930" s="356"/>
      <c r="Q930" s="356" t="s">
        <v>21</v>
      </c>
      <c r="R930" s="356"/>
      <c r="S930" s="356"/>
      <c r="T930" s="356"/>
      <c r="U930" s="372"/>
      <c r="V930" s="372" t="s">
        <v>2134</v>
      </c>
      <c r="W930" s="372"/>
      <c r="X930" s="373"/>
      <c r="Y930" s="348"/>
      <c r="Z930" s="348"/>
      <c r="AA930" s="348"/>
    </row>
    <row r="931" s="331" customFormat="1" ht="17" customHeight="1" spans="1:27">
      <c r="A931" s="550" t="s">
        <v>2733</v>
      </c>
      <c r="B931" s="348" t="s">
        <v>73</v>
      </c>
      <c r="C931" s="348" t="s">
        <v>74</v>
      </c>
      <c r="D931" s="349" t="s">
        <v>143</v>
      </c>
      <c r="E931" s="336">
        <v>43702</v>
      </c>
      <c r="F931" s="336">
        <v>43623</v>
      </c>
      <c r="G931" s="336">
        <v>43701</v>
      </c>
      <c r="H931" s="334" t="s">
        <v>2734</v>
      </c>
      <c r="I931" s="356">
        <v>13817703811</v>
      </c>
      <c r="J931" s="361" t="s">
        <v>2735</v>
      </c>
      <c r="K931" s="356">
        <v>1000</v>
      </c>
      <c r="L931" s="334">
        <v>39559</v>
      </c>
      <c r="M931" s="362"/>
      <c r="N931" s="362">
        <f t="shared" si="29"/>
        <v>39559</v>
      </c>
      <c r="O931" s="366" t="s">
        <v>52</v>
      </c>
      <c r="P931" s="356"/>
      <c r="Q931" s="356"/>
      <c r="R931" s="356"/>
      <c r="S931" s="356"/>
      <c r="T931" s="356"/>
      <c r="U931" s="372"/>
      <c r="V931" s="372"/>
      <c r="W931" s="372"/>
      <c r="X931" s="373"/>
      <c r="Y931" s="348"/>
      <c r="Z931" s="348" t="s">
        <v>79</v>
      </c>
      <c r="AA931" s="348"/>
    </row>
    <row r="932" s="331" customFormat="1" ht="17" customHeight="1" spans="1:27">
      <c r="A932" s="348">
        <v>2027580</v>
      </c>
      <c r="B932" s="348" t="s">
        <v>73</v>
      </c>
      <c r="C932" s="348" t="s">
        <v>1130</v>
      </c>
      <c r="D932" s="349" t="s">
        <v>717</v>
      </c>
      <c r="E932" s="336">
        <v>43625</v>
      </c>
      <c r="F932" s="336">
        <v>43624</v>
      </c>
      <c r="G932" s="336">
        <v>43653</v>
      </c>
      <c r="H932" s="334" t="s">
        <v>2736</v>
      </c>
      <c r="I932" s="356">
        <v>18917389000</v>
      </c>
      <c r="J932" s="361" t="s">
        <v>2737</v>
      </c>
      <c r="K932" s="356">
        <v>1000</v>
      </c>
      <c r="L932" s="334">
        <v>12967</v>
      </c>
      <c r="M932" s="334"/>
      <c r="N932" s="362">
        <f t="shared" si="29"/>
        <v>12967</v>
      </c>
      <c r="O932" s="356"/>
      <c r="P932" s="356"/>
      <c r="Q932" s="356"/>
      <c r="R932" s="356"/>
      <c r="S932" s="356"/>
      <c r="T932" s="356"/>
      <c r="U932" s="372"/>
      <c r="V932" s="372"/>
      <c r="W932" s="372"/>
      <c r="X932" s="373"/>
      <c r="Y932" s="348"/>
      <c r="Z932" s="348" t="s">
        <v>79</v>
      </c>
      <c r="AA932" s="348"/>
    </row>
    <row r="933" s="331" customFormat="1" ht="17" customHeight="1" spans="1:27">
      <c r="A933" s="550" t="s">
        <v>2738</v>
      </c>
      <c r="B933" s="348" t="s">
        <v>35</v>
      </c>
      <c r="C933" s="348" t="s">
        <v>36</v>
      </c>
      <c r="D933" s="349" t="s">
        <v>37</v>
      </c>
      <c r="E933" s="336">
        <v>43625</v>
      </c>
      <c r="F933" s="336">
        <v>43624</v>
      </c>
      <c r="G933" s="336">
        <v>43671</v>
      </c>
      <c r="H933" s="334" t="s">
        <v>2739</v>
      </c>
      <c r="I933" s="356">
        <v>17721079552</v>
      </c>
      <c r="J933" s="361" t="s">
        <v>2740</v>
      </c>
      <c r="K933" s="356">
        <v>1000</v>
      </c>
      <c r="L933" s="334">
        <v>5872</v>
      </c>
      <c r="M933" s="362"/>
      <c r="N933" s="362">
        <f t="shared" si="29"/>
        <v>5872</v>
      </c>
      <c r="O933" s="356"/>
      <c r="P933" s="356"/>
      <c r="Q933" s="356"/>
      <c r="R933" s="356"/>
      <c r="S933" s="356"/>
      <c r="T933" s="356"/>
      <c r="U933" s="372"/>
      <c r="V933" s="372"/>
      <c r="W933" s="372"/>
      <c r="X933" s="373"/>
      <c r="Y933" s="348"/>
      <c r="Z933" s="348"/>
      <c r="AA933" s="348"/>
    </row>
    <row r="934" s="331" customFormat="1" ht="17" customHeight="1" spans="1:28">
      <c r="A934" s="550" t="s">
        <v>2741</v>
      </c>
      <c r="B934" s="348" t="s">
        <v>123</v>
      </c>
      <c r="C934" s="348" t="s">
        <v>124</v>
      </c>
      <c r="D934" s="349" t="s">
        <v>125</v>
      </c>
      <c r="E934" s="336">
        <v>43730</v>
      </c>
      <c r="F934" s="336">
        <v>43576</v>
      </c>
      <c r="G934" s="336">
        <v>43729</v>
      </c>
      <c r="H934" s="334" t="s">
        <v>2742</v>
      </c>
      <c r="I934" s="356">
        <v>15026549436</v>
      </c>
      <c r="J934" s="361" t="s">
        <v>2743</v>
      </c>
      <c r="K934" s="356">
        <f>500+2500</f>
        <v>3000</v>
      </c>
      <c r="L934" s="334">
        <v>18515</v>
      </c>
      <c r="M934" s="362"/>
      <c r="N934" s="362">
        <f t="shared" si="29"/>
        <v>18515</v>
      </c>
      <c r="O934" s="356" t="s">
        <v>19</v>
      </c>
      <c r="P934" s="356"/>
      <c r="Q934" s="356"/>
      <c r="R934" s="356"/>
      <c r="S934" s="356"/>
      <c r="T934" s="356"/>
      <c r="U934" s="372"/>
      <c r="V934" s="372"/>
      <c r="W934" s="372"/>
      <c r="X934" s="373"/>
      <c r="Y934" s="348"/>
      <c r="Z934" s="348"/>
      <c r="AA934" s="348"/>
      <c r="AB934" s="331" t="s">
        <v>659</v>
      </c>
    </row>
    <row r="935" s="331" customFormat="1" ht="17" customHeight="1" spans="1:27">
      <c r="A935" s="348"/>
      <c r="B935" s="348" t="s">
        <v>35</v>
      </c>
      <c r="C935" s="348" t="s">
        <v>36</v>
      </c>
      <c r="D935" s="349" t="s">
        <v>89</v>
      </c>
      <c r="E935" s="336">
        <v>43695</v>
      </c>
      <c r="F935" s="336">
        <v>43624</v>
      </c>
      <c r="G935" s="336">
        <v>43694</v>
      </c>
      <c r="H935" s="334" t="s">
        <v>2744</v>
      </c>
      <c r="I935" s="356">
        <v>13012836528</v>
      </c>
      <c r="J935" s="361" t="s">
        <v>2745</v>
      </c>
      <c r="K935" s="356">
        <v>1000</v>
      </c>
      <c r="L935" s="334">
        <v>24848</v>
      </c>
      <c r="M935" s="362"/>
      <c r="N935" s="362">
        <f t="shared" si="29"/>
        <v>24848</v>
      </c>
      <c r="O935" s="356"/>
      <c r="P935" s="356"/>
      <c r="Q935" s="356" t="s">
        <v>52</v>
      </c>
      <c r="R935" s="356"/>
      <c r="S935" s="356"/>
      <c r="T935" s="356"/>
      <c r="U935" s="372"/>
      <c r="V935" s="372"/>
      <c r="W935" s="372"/>
      <c r="X935" s="373">
        <v>1</v>
      </c>
      <c r="Y935" s="348"/>
      <c r="Z935" s="348"/>
      <c r="AA935" s="348"/>
    </row>
    <row r="936" s="331" customFormat="1" ht="17" customHeight="1" spans="1:27">
      <c r="A936" s="550" t="s">
        <v>2746</v>
      </c>
      <c r="B936" s="348" t="s">
        <v>236</v>
      </c>
      <c r="C936" s="348" t="s">
        <v>195</v>
      </c>
      <c r="D936" s="352" t="s">
        <v>143</v>
      </c>
      <c r="E936" s="336"/>
      <c r="F936" s="336">
        <v>43624</v>
      </c>
      <c r="G936" s="350"/>
      <c r="H936" s="334" t="s">
        <v>2747</v>
      </c>
      <c r="I936" s="356">
        <v>15001702480</v>
      </c>
      <c r="J936" s="361" t="s">
        <v>2748</v>
      </c>
      <c r="K936" s="356">
        <v>1000</v>
      </c>
      <c r="L936" s="362"/>
      <c r="M936" s="362"/>
      <c r="N936" s="362">
        <f t="shared" si="29"/>
        <v>0</v>
      </c>
      <c r="O936" s="356"/>
      <c r="P936" s="356"/>
      <c r="Q936" s="356"/>
      <c r="R936" s="356"/>
      <c r="S936" s="356"/>
      <c r="T936" s="356"/>
      <c r="U936" s="356" t="s">
        <v>63</v>
      </c>
      <c r="V936" s="372"/>
      <c r="W936" s="372"/>
      <c r="X936" s="373"/>
      <c r="Y936" s="348"/>
      <c r="Z936" s="348"/>
      <c r="AA936" s="348"/>
    </row>
    <row r="937" s="331" customFormat="1" ht="17" customHeight="1" spans="1:27">
      <c r="A937" s="348">
        <v>2026780</v>
      </c>
      <c r="B937" s="348" t="s">
        <v>73</v>
      </c>
      <c r="C937" s="348" t="s">
        <v>74</v>
      </c>
      <c r="D937" s="352" t="s">
        <v>75</v>
      </c>
      <c r="E937" s="336">
        <v>43615</v>
      </c>
      <c r="F937" s="336">
        <v>43614</v>
      </c>
      <c r="G937" s="350"/>
      <c r="H937" s="334" t="s">
        <v>2749</v>
      </c>
      <c r="I937" s="356">
        <v>13166287429</v>
      </c>
      <c r="J937" s="361" t="s">
        <v>2750</v>
      </c>
      <c r="K937" s="356">
        <v>1000</v>
      </c>
      <c r="L937" s="362"/>
      <c r="M937" s="362"/>
      <c r="N937" s="362">
        <f t="shared" si="29"/>
        <v>0</v>
      </c>
      <c r="O937" s="356"/>
      <c r="P937" s="402"/>
      <c r="Q937" s="356"/>
      <c r="R937" s="356"/>
      <c r="S937" s="366" t="s">
        <v>52</v>
      </c>
      <c r="T937" s="356"/>
      <c r="U937" s="372" t="s">
        <v>78</v>
      </c>
      <c r="V937" s="372"/>
      <c r="W937" s="372"/>
      <c r="X937" s="373">
        <v>1</v>
      </c>
      <c r="Y937" s="348"/>
      <c r="Z937" s="348" t="s">
        <v>79</v>
      </c>
      <c r="AA937" s="348"/>
    </row>
    <row r="938" s="331" customFormat="1" ht="17" customHeight="1" spans="1:27">
      <c r="A938" s="550" t="s">
        <v>2751</v>
      </c>
      <c r="B938" s="348" t="s">
        <v>315</v>
      </c>
      <c r="C938" s="348" t="s">
        <v>275</v>
      </c>
      <c r="D938" s="349" t="s">
        <v>162</v>
      </c>
      <c r="E938" s="336">
        <v>43773</v>
      </c>
      <c r="F938" s="336">
        <v>43625</v>
      </c>
      <c r="G938" s="336">
        <v>43768</v>
      </c>
      <c r="H938" s="334" t="s">
        <v>2752</v>
      </c>
      <c r="I938" s="356">
        <v>13889816654</v>
      </c>
      <c r="J938" s="361" t="s">
        <v>2753</v>
      </c>
      <c r="K938" s="356">
        <v>1299</v>
      </c>
      <c r="L938" s="334">
        <v>15970</v>
      </c>
      <c r="M938" s="362"/>
      <c r="N938" s="362">
        <f t="shared" si="29"/>
        <v>15970</v>
      </c>
      <c r="O938" s="356"/>
      <c r="Q938" s="356"/>
      <c r="R938" s="356"/>
      <c r="S938" s="356">
        <v>1</v>
      </c>
      <c r="T938" s="356"/>
      <c r="U938" s="372"/>
      <c r="V938" s="372"/>
      <c r="W938" s="372"/>
      <c r="X938" s="373"/>
      <c r="Y938" s="348"/>
      <c r="Z938" s="348"/>
      <c r="AA938" s="348"/>
    </row>
    <row r="939" s="331" customFormat="1" ht="17" customHeight="1" spans="1:27">
      <c r="A939" s="550" t="s">
        <v>2754</v>
      </c>
      <c r="B939" s="348" t="s">
        <v>94</v>
      </c>
      <c r="C939" s="348" t="s">
        <v>101</v>
      </c>
      <c r="D939" s="352" t="s">
        <v>49</v>
      </c>
      <c r="E939" s="336">
        <v>43680</v>
      </c>
      <c r="F939" s="336">
        <v>43625</v>
      </c>
      <c r="G939" s="336">
        <v>43679</v>
      </c>
      <c r="H939" s="334" t="s">
        <v>2755</v>
      </c>
      <c r="I939" s="356">
        <v>13916257520</v>
      </c>
      <c r="J939" s="361" t="s">
        <v>2756</v>
      </c>
      <c r="K939" s="356">
        <v>3000</v>
      </c>
      <c r="L939" s="334">
        <v>8385</v>
      </c>
      <c r="M939" s="362"/>
      <c r="N939" s="362">
        <f t="shared" si="29"/>
        <v>8385</v>
      </c>
      <c r="O939" s="356"/>
      <c r="Q939" s="356"/>
      <c r="R939" s="366"/>
      <c r="S939" s="356"/>
      <c r="T939" s="356"/>
      <c r="U939" s="372"/>
      <c r="V939" s="372"/>
      <c r="W939" s="372" t="s">
        <v>98</v>
      </c>
      <c r="X939" s="373"/>
      <c r="Y939" s="348"/>
      <c r="Z939" s="348"/>
      <c r="AA939" s="348"/>
    </row>
    <row r="940" s="331" customFormat="1" ht="17" customHeight="1" spans="1:27">
      <c r="A940" s="550" t="s">
        <v>2757</v>
      </c>
      <c r="B940" s="348" t="s">
        <v>315</v>
      </c>
      <c r="C940" s="348" t="s">
        <v>258</v>
      </c>
      <c r="D940" s="352" t="s">
        <v>132</v>
      </c>
      <c r="E940" s="336">
        <v>43640</v>
      </c>
      <c r="F940" s="336">
        <v>43638</v>
      </c>
      <c r="G940" s="350" t="s">
        <v>69</v>
      </c>
      <c r="H940" s="334" t="s">
        <v>2611</v>
      </c>
      <c r="I940" s="356">
        <v>15026656626</v>
      </c>
      <c r="J940" s="361" t="s">
        <v>2758</v>
      </c>
      <c r="K940" s="356">
        <v>12246</v>
      </c>
      <c r="L940" s="362"/>
      <c r="M940" s="362"/>
      <c r="N940" s="362">
        <f t="shared" si="29"/>
        <v>0</v>
      </c>
      <c r="O940" s="356">
        <v>1</v>
      </c>
      <c r="Q940" s="356"/>
      <c r="R940" s="356"/>
      <c r="S940" s="356"/>
      <c r="T940" s="356"/>
      <c r="U940" s="372"/>
      <c r="V940" s="372"/>
      <c r="W940" s="372"/>
      <c r="X940" s="373"/>
      <c r="Y940" s="348"/>
      <c r="Z940" s="348" t="s">
        <v>318</v>
      </c>
      <c r="AA940" s="348"/>
    </row>
    <row r="941" s="331" customFormat="1" ht="15" customHeight="1" spans="1:27">
      <c r="A941" s="348">
        <v>2068660</v>
      </c>
      <c r="B941" s="348" t="s">
        <v>405</v>
      </c>
      <c r="C941" s="348" t="s">
        <v>1234</v>
      </c>
      <c r="D941" s="349" t="s">
        <v>407</v>
      </c>
      <c r="E941" s="336">
        <v>43738</v>
      </c>
      <c r="F941" s="336">
        <v>43625</v>
      </c>
      <c r="G941" s="336">
        <v>43738</v>
      </c>
      <c r="H941" s="334" t="s">
        <v>2759</v>
      </c>
      <c r="I941" s="356">
        <v>13818919096</v>
      </c>
      <c r="J941" s="361" t="s">
        <v>2760</v>
      </c>
      <c r="K941" s="356">
        <v>1000</v>
      </c>
      <c r="L941" s="334">
        <v>9476</v>
      </c>
      <c r="M941" s="362"/>
      <c r="N941" s="362">
        <f t="shared" si="29"/>
        <v>9476</v>
      </c>
      <c r="O941" s="356" t="s">
        <v>52</v>
      </c>
      <c r="Q941" s="356"/>
      <c r="R941" s="356"/>
      <c r="S941" s="356"/>
      <c r="T941" s="356"/>
      <c r="U941" s="372"/>
      <c r="V941" s="372"/>
      <c r="W941" s="372"/>
      <c r="X941" s="373"/>
      <c r="Y941" s="348" t="s">
        <v>2660</v>
      </c>
      <c r="Z941" s="348"/>
      <c r="AA941" s="348"/>
    </row>
    <row r="942" s="331" customFormat="1" ht="17" customHeight="1" spans="1:27">
      <c r="A942" s="348">
        <v>2026792</v>
      </c>
      <c r="B942" s="348" t="s">
        <v>73</v>
      </c>
      <c r="C942" s="348" t="s">
        <v>178</v>
      </c>
      <c r="D942" s="349" t="s">
        <v>132</v>
      </c>
      <c r="E942" s="336">
        <v>43625</v>
      </c>
      <c r="F942" s="336">
        <v>43625</v>
      </c>
      <c r="G942" s="336">
        <v>43658</v>
      </c>
      <c r="H942" s="334" t="s">
        <v>2761</v>
      </c>
      <c r="I942" s="356">
        <v>18001651787</v>
      </c>
      <c r="J942" s="361" t="s">
        <v>2762</v>
      </c>
      <c r="K942" s="356">
        <v>1000</v>
      </c>
      <c r="L942" s="334">
        <v>9793</v>
      </c>
      <c r="M942" s="334"/>
      <c r="N942" s="362">
        <f t="shared" si="29"/>
        <v>9793</v>
      </c>
      <c r="O942" s="356"/>
      <c r="Q942" s="356"/>
      <c r="R942" s="356"/>
      <c r="S942" s="356"/>
      <c r="T942" s="356"/>
      <c r="U942" s="372"/>
      <c r="V942" s="372"/>
      <c r="W942" s="372"/>
      <c r="X942" s="373"/>
      <c r="Y942" s="348" t="s">
        <v>2763</v>
      </c>
      <c r="Z942" s="348" t="s">
        <v>79</v>
      </c>
      <c r="AA942" s="348"/>
    </row>
    <row r="943" s="331" customFormat="1" ht="17" customHeight="1" spans="1:27">
      <c r="A943" s="348"/>
      <c r="B943" s="348" t="s">
        <v>169</v>
      </c>
      <c r="C943" s="348" t="s">
        <v>634</v>
      </c>
      <c r="D943" s="349" t="s">
        <v>635</v>
      </c>
      <c r="E943" s="336">
        <v>43708</v>
      </c>
      <c r="F943" s="336">
        <v>43625</v>
      </c>
      <c r="G943" s="336">
        <v>43708</v>
      </c>
      <c r="H943" s="334" t="s">
        <v>2764</v>
      </c>
      <c r="I943" s="356">
        <v>18017113751</v>
      </c>
      <c r="J943" s="361" t="s">
        <v>2765</v>
      </c>
      <c r="K943" s="356">
        <v>5000</v>
      </c>
      <c r="L943" s="334">
        <v>5000</v>
      </c>
      <c r="M943" s="362"/>
      <c r="N943" s="362">
        <f t="shared" si="29"/>
        <v>5000</v>
      </c>
      <c r="O943" s="356"/>
      <c r="Q943" s="356" t="s">
        <v>21</v>
      </c>
      <c r="R943" s="356"/>
      <c r="S943" s="356"/>
      <c r="T943" s="356"/>
      <c r="U943" s="372"/>
      <c r="V943" s="372"/>
      <c r="W943" s="372"/>
      <c r="X943" s="373"/>
      <c r="Y943" s="348"/>
      <c r="Z943" s="348"/>
      <c r="AA943" s="348"/>
    </row>
    <row r="944" s="331" customFormat="1" ht="17" customHeight="1" spans="1:27">
      <c r="A944" s="348"/>
      <c r="B944" s="348" t="s">
        <v>42</v>
      </c>
      <c r="C944" s="348" t="s">
        <v>43</v>
      </c>
      <c r="D944" s="349" t="s">
        <v>139</v>
      </c>
      <c r="E944" s="336">
        <v>43625</v>
      </c>
      <c r="F944" s="336">
        <v>43624</v>
      </c>
      <c r="G944" s="336">
        <v>43670</v>
      </c>
      <c r="H944" s="334" t="s">
        <v>2766</v>
      </c>
      <c r="I944" s="356">
        <v>15801837159</v>
      </c>
      <c r="J944" s="361" t="s">
        <v>2767</v>
      </c>
      <c r="K944" s="356">
        <v>1000</v>
      </c>
      <c r="L944" s="334">
        <v>8213.5</v>
      </c>
      <c r="M944" s="334">
        <v>8213.5</v>
      </c>
      <c r="N944" s="362">
        <f t="shared" si="29"/>
        <v>16427</v>
      </c>
      <c r="O944" s="356"/>
      <c r="Q944" s="356"/>
      <c r="R944" s="356"/>
      <c r="S944" s="356"/>
      <c r="T944" s="356"/>
      <c r="U944" s="372"/>
      <c r="V944" s="372" t="s">
        <v>2305</v>
      </c>
      <c r="W944" s="372"/>
      <c r="X944" s="373"/>
      <c r="Y944" s="348"/>
      <c r="Z944" s="348"/>
      <c r="AA944" s="348"/>
    </row>
    <row r="945" s="331" customFormat="1" ht="17" customHeight="1" spans="1:27">
      <c r="A945" s="348"/>
      <c r="B945" s="348" t="s">
        <v>42</v>
      </c>
      <c r="C945" s="348" t="s">
        <v>43</v>
      </c>
      <c r="D945" s="349" t="s">
        <v>44</v>
      </c>
      <c r="E945" s="336">
        <v>43702</v>
      </c>
      <c r="F945" s="336">
        <v>43624</v>
      </c>
      <c r="G945" s="336">
        <v>43702</v>
      </c>
      <c r="H945" s="334" t="s">
        <v>2768</v>
      </c>
      <c r="I945" s="356">
        <v>13661904666</v>
      </c>
      <c r="J945" s="361" t="s">
        <v>2769</v>
      </c>
      <c r="K945" s="356">
        <v>1000</v>
      </c>
      <c r="L945" s="334">
        <v>7000</v>
      </c>
      <c r="M945" s="362"/>
      <c r="N945" s="362">
        <f t="shared" si="29"/>
        <v>7000</v>
      </c>
      <c r="O945" s="356"/>
      <c r="Q945" s="356"/>
      <c r="R945" s="356"/>
      <c r="S945" s="356"/>
      <c r="T945" s="356"/>
      <c r="U945" s="372"/>
      <c r="V945" s="376" t="s">
        <v>2770</v>
      </c>
      <c r="W945" s="372"/>
      <c r="X945" s="373"/>
      <c r="Y945" s="348"/>
      <c r="Z945" s="348"/>
      <c r="AA945" s="348"/>
    </row>
    <row r="946" s="331" customFormat="1" ht="17" customHeight="1" spans="1:27">
      <c r="A946" s="348"/>
      <c r="B946" s="348" t="s">
        <v>315</v>
      </c>
      <c r="C946" s="348" t="s">
        <v>1431</v>
      </c>
      <c r="D946" s="352" t="s">
        <v>1431</v>
      </c>
      <c r="E946" s="336">
        <v>43627</v>
      </c>
      <c r="F946" s="336">
        <v>43624</v>
      </c>
      <c r="G946" s="350"/>
      <c r="H946" s="334" t="s">
        <v>2771</v>
      </c>
      <c r="I946" s="356">
        <v>15711670083</v>
      </c>
      <c r="J946" s="361" t="s">
        <v>2772</v>
      </c>
      <c r="K946" s="356">
        <v>1000</v>
      </c>
      <c r="L946" s="362"/>
      <c r="M946" s="362"/>
      <c r="N946" s="362">
        <f t="shared" si="29"/>
        <v>0</v>
      </c>
      <c r="O946" s="356"/>
      <c r="Q946" s="356"/>
      <c r="R946" s="356"/>
      <c r="S946" s="356"/>
      <c r="T946" s="356"/>
      <c r="U946" s="400" t="s">
        <v>1595</v>
      </c>
      <c r="V946" s="372"/>
      <c r="W946" s="372"/>
      <c r="X946" s="373"/>
      <c r="Y946" s="348"/>
      <c r="Z946" s="348"/>
      <c r="AA946" s="348"/>
    </row>
    <row r="947" s="331" customFormat="1" ht="17" customHeight="1" spans="1:27">
      <c r="A947" s="348">
        <v>2024307</v>
      </c>
      <c r="B947" s="348" t="s">
        <v>137</v>
      </c>
      <c r="C947" s="348" t="s">
        <v>861</v>
      </c>
      <c r="D947" s="334" t="s">
        <v>2381</v>
      </c>
      <c r="E947" s="336">
        <v>43725</v>
      </c>
      <c r="F947" s="336">
        <v>43618</v>
      </c>
      <c r="G947" s="336">
        <v>43723</v>
      </c>
      <c r="H947" s="334" t="s">
        <v>2773</v>
      </c>
      <c r="I947" s="356">
        <v>13901826008</v>
      </c>
      <c r="J947" s="361" t="s">
        <v>2774</v>
      </c>
      <c r="K947" s="356">
        <v>3000</v>
      </c>
      <c r="L947" s="334">
        <v>5405</v>
      </c>
      <c r="M947" s="334">
        <v>3555</v>
      </c>
      <c r="N947" s="362">
        <f t="shared" si="29"/>
        <v>8960</v>
      </c>
      <c r="O947" s="356"/>
      <c r="P947" s="356"/>
      <c r="Q947" s="356">
        <v>1</v>
      </c>
      <c r="R947" s="356"/>
      <c r="S947" s="356"/>
      <c r="T947" s="356"/>
      <c r="U947" s="372"/>
      <c r="V947" s="372"/>
      <c r="W947" s="372"/>
      <c r="X947" s="373"/>
      <c r="Y947" s="348" t="s">
        <v>1228</v>
      </c>
      <c r="Z947" s="348"/>
      <c r="AA947" s="348"/>
    </row>
    <row r="948" s="331" customFormat="1" ht="17" customHeight="1" spans="1:27">
      <c r="A948" s="550" t="s">
        <v>2775</v>
      </c>
      <c r="B948" s="348" t="s">
        <v>31</v>
      </c>
      <c r="C948" s="348" t="s">
        <v>251</v>
      </c>
      <c r="D948" s="349" t="s">
        <v>427</v>
      </c>
      <c r="E948" s="336">
        <v>43625</v>
      </c>
      <c r="F948" s="336">
        <v>43624</v>
      </c>
      <c r="G948" s="336">
        <v>43665</v>
      </c>
      <c r="H948" s="334" t="s">
        <v>2776</v>
      </c>
      <c r="I948" s="356">
        <v>13916537638</v>
      </c>
      <c r="J948" s="361" t="s">
        <v>2777</v>
      </c>
      <c r="K948" s="356">
        <v>1000</v>
      </c>
      <c r="L948" s="334">
        <v>3999</v>
      </c>
      <c r="M948" s="334"/>
      <c r="N948" s="362">
        <f t="shared" si="29"/>
        <v>3999</v>
      </c>
      <c r="O948" s="356"/>
      <c r="Q948" s="356"/>
      <c r="R948" s="356"/>
      <c r="S948" s="356"/>
      <c r="T948" s="356"/>
      <c r="U948" s="372"/>
      <c r="V948" s="372"/>
      <c r="W948" s="372"/>
      <c r="X948" s="373"/>
      <c r="Y948" s="348"/>
      <c r="Z948" s="348"/>
      <c r="AA948" s="348"/>
    </row>
    <row r="949" s="331" customFormat="1" ht="17" customHeight="1" spans="1:27">
      <c r="A949" s="348">
        <v>2066929</v>
      </c>
      <c r="B949" s="348" t="s">
        <v>185</v>
      </c>
      <c r="C949" s="348" t="s">
        <v>1530</v>
      </c>
      <c r="D949" s="349" t="s">
        <v>187</v>
      </c>
      <c r="E949" s="336">
        <v>43685</v>
      </c>
      <c r="F949" s="336">
        <v>43625</v>
      </c>
      <c r="G949" s="336">
        <v>43685</v>
      </c>
      <c r="H949" s="334" t="s">
        <v>2778</v>
      </c>
      <c r="I949" s="356">
        <v>1500798963</v>
      </c>
      <c r="J949" s="361" t="s">
        <v>2779</v>
      </c>
      <c r="K949" s="356">
        <v>5000</v>
      </c>
      <c r="L949" s="334">
        <v>7608</v>
      </c>
      <c r="M949" s="334">
        <v>804</v>
      </c>
      <c r="N949" s="362">
        <f t="shared" si="29"/>
        <v>8412</v>
      </c>
      <c r="O949" s="356"/>
      <c r="Q949" s="356"/>
      <c r="R949" s="356"/>
      <c r="S949" s="356"/>
      <c r="T949" s="356"/>
      <c r="U949" s="372"/>
      <c r="V949" s="372"/>
      <c r="W949" s="372"/>
      <c r="X949" s="373"/>
      <c r="Y949" s="348"/>
      <c r="Z949" s="348"/>
      <c r="AA949" s="348"/>
    </row>
    <row r="950" s="331" customFormat="1" ht="17" customHeight="1" spans="1:27">
      <c r="A950" s="550" t="s">
        <v>100</v>
      </c>
      <c r="B950" s="348" t="s">
        <v>315</v>
      </c>
      <c r="C950" s="348" t="s">
        <v>366</v>
      </c>
      <c r="D950" s="349" t="s">
        <v>427</v>
      </c>
      <c r="E950" s="336">
        <v>43635</v>
      </c>
      <c r="F950" s="336">
        <v>43631</v>
      </c>
      <c r="G950" s="350" t="s">
        <v>69</v>
      </c>
      <c r="H950" s="334" t="s">
        <v>2145</v>
      </c>
      <c r="I950" s="356">
        <v>15121018164</v>
      </c>
      <c r="J950" s="361" t="s">
        <v>2780</v>
      </c>
      <c r="K950" s="356">
        <v>1000</v>
      </c>
      <c r="L950" s="362"/>
      <c r="M950" s="362"/>
      <c r="N950" s="362">
        <f t="shared" si="29"/>
        <v>0</v>
      </c>
      <c r="O950" s="356"/>
      <c r="Q950" s="356">
        <v>1</v>
      </c>
      <c r="R950" s="356"/>
      <c r="S950" s="356"/>
      <c r="T950" s="356"/>
      <c r="U950" s="372"/>
      <c r="V950" s="372"/>
      <c r="W950" s="372"/>
      <c r="X950" s="373"/>
      <c r="Y950" s="348"/>
      <c r="Z950" s="348" t="s">
        <v>1863</v>
      </c>
      <c r="AA950" s="348"/>
    </row>
    <row r="951" s="331" customFormat="1" ht="17" customHeight="1" spans="1:27">
      <c r="A951" s="550" t="s">
        <v>2781</v>
      </c>
      <c r="B951" s="348" t="s">
        <v>31</v>
      </c>
      <c r="C951" s="348" t="s">
        <v>377</v>
      </c>
      <c r="D951" s="334" t="s">
        <v>33</v>
      </c>
      <c r="E951" s="336">
        <v>43709</v>
      </c>
      <c r="F951" s="336">
        <v>43625</v>
      </c>
      <c r="G951" s="336">
        <v>43708</v>
      </c>
      <c r="H951" s="334" t="s">
        <v>2782</v>
      </c>
      <c r="I951" s="356">
        <v>13917843151</v>
      </c>
      <c r="J951" s="361" t="s">
        <v>2783</v>
      </c>
      <c r="K951" s="356">
        <v>1000</v>
      </c>
      <c r="L951" s="334">
        <f>7219-736</f>
        <v>6483</v>
      </c>
      <c r="M951" s="334">
        <v>736</v>
      </c>
      <c r="N951" s="362">
        <f t="shared" si="29"/>
        <v>7219</v>
      </c>
      <c r="O951" s="366" t="s">
        <v>52</v>
      </c>
      <c r="Q951" s="356"/>
      <c r="R951" s="356"/>
      <c r="S951" s="356"/>
      <c r="T951" s="356"/>
      <c r="U951" s="372"/>
      <c r="V951" s="372"/>
      <c r="W951" s="372"/>
      <c r="X951" s="373"/>
      <c r="Y951" s="348" t="s">
        <v>2763</v>
      </c>
      <c r="Z951" s="348"/>
      <c r="AA951" s="348"/>
    </row>
    <row r="952" s="331" customFormat="1" ht="17" customHeight="1" spans="1:27">
      <c r="A952" s="348"/>
      <c r="B952" s="348" t="s">
        <v>169</v>
      </c>
      <c r="C952" s="348" t="s">
        <v>542</v>
      </c>
      <c r="D952" s="349" t="s">
        <v>171</v>
      </c>
      <c r="E952" s="336">
        <v>43625</v>
      </c>
      <c r="F952" s="336">
        <v>43625</v>
      </c>
      <c r="G952" s="336">
        <v>43656</v>
      </c>
      <c r="H952" s="334" t="s">
        <v>2784</v>
      </c>
      <c r="I952" s="356">
        <v>13611679167</v>
      </c>
      <c r="J952" s="361" t="s">
        <v>2785</v>
      </c>
      <c r="K952" s="356">
        <v>1000</v>
      </c>
      <c r="L952" s="334">
        <v>5621</v>
      </c>
      <c r="M952" s="334"/>
      <c r="N952" s="362">
        <f t="shared" si="29"/>
        <v>5621</v>
      </c>
      <c r="O952" s="356"/>
      <c r="Q952" s="356"/>
      <c r="R952" s="356"/>
      <c r="S952" s="356"/>
      <c r="T952" s="356"/>
      <c r="U952" s="372"/>
      <c r="V952" s="372"/>
      <c r="W952" s="372"/>
      <c r="X952" s="373"/>
      <c r="Y952" s="348"/>
      <c r="Z952" s="348"/>
      <c r="AA952" s="348"/>
    </row>
    <row r="953" s="331" customFormat="1" ht="17" customHeight="1" spans="1:27">
      <c r="A953" s="348">
        <v>2024533</v>
      </c>
      <c r="B953" s="348" t="s">
        <v>73</v>
      </c>
      <c r="C953" s="348" t="s">
        <v>1130</v>
      </c>
      <c r="D953" s="352" t="s">
        <v>143</v>
      </c>
      <c r="E953" s="336">
        <v>43625</v>
      </c>
      <c r="F953" s="336">
        <v>43625</v>
      </c>
      <c r="G953" s="336">
        <v>43667</v>
      </c>
      <c r="H953" s="334" t="s">
        <v>2786</v>
      </c>
      <c r="I953" s="356">
        <v>18016000606</v>
      </c>
      <c r="J953" s="361" t="s">
        <v>2787</v>
      </c>
      <c r="K953" s="356">
        <v>1000</v>
      </c>
      <c r="L953" s="334">
        <v>13293</v>
      </c>
      <c r="M953" s="362"/>
      <c r="N953" s="362">
        <f t="shared" si="29"/>
        <v>13293</v>
      </c>
      <c r="O953" s="366" t="s">
        <v>52</v>
      </c>
      <c r="Q953" s="356"/>
      <c r="R953" s="356"/>
      <c r="S953" s="356"/>
      <c r="T953" s="356"/>
      <c r="U953" s="372"/>
      <c r="V953" s="372"/>
      <c r="W953" s="372"/>
      <c r="X953" s="373"/>
      <c r="Y953" s="348" t="s">
        <v>2618</v>
      </c>
      <c r="Z953" s="348" t="s">
        <v>79</v>
      </c>
      <c r="AA953" s="348"/>
    </row>
    <row r="954" s="331" customFormat="1" ht="17" customHeight="1" spans="1:27">
      <c r="A954" s="550" t="s">
        <v>2788</v>
      </c>
      <c r="B954" s="348" t="s">
        <v>66</v>
      </c>
      <c r="C954" s="348" t="s">
        <v>951</v>
      </c>
      <c r="D954" s="349" t="s">
        <v>68</v>
      </c>
      <c r="E954" s="336">
        <v>43625</v>
      </c>
      <c r="F954" s="336">
        <v>43625</v>
      </c>
      <c r="G954" s="350"/>
      <c r="H954" s="334" t="s">
        <v>2789</v>
      </c>
      <c r="I954" s="356">
        <v>18621115078</v>
      </c>
      <c r="J954" s="361" t="s">
        <v>2790</v>
      </c>
      <c r="K954" s="356">
        <v>5000</v>
      </c>
      <c r="L954" s="362"/>
      <c r="M954" s="362"/>
      <c r="N954" s="362">
        <f t="shared" si="29"/>
        <v>0</v>
      </c>
      <c r="O954" s="356"/>
      <c r="Q954" s="356"/>
      <c r="R954" s="356"/>
      <c r="S954" s="356"/>
      <c r="T954" s="356"/>
      <c r="U954" s="372" t="s">
        <v>12</v>
      </c>
      <c r="V954" s="372"/>
      <c r="W954" s="372"/>
      <c r="X954" s="373"/>
      <c r="Y954" s="348"/>
      <c r="Z954" s="348"/>
      <c r="AA954" s="348"/>
    </row>
    <row r="955" s="331" customFormat="1" ht="15" customHeight="1" spans="1:27">
      <c r="A955" s="550" t="s">
        <v>2791</v>
      </c>
      <c r="B955" s="348" t="s">
        <v>58</v>
      </c>
      <c r="C955" s="348" t="s">
        <v>1234</v>
      </c>
      <c r="D955" s="352" t="s">
        <v>407</v>
      </c>
      <c r="E955" s="336" t="s">
        <v>133</v>
      </c>
      <c r="F955" s="336">
        <v>43625</v>
      </c>
      <c r="G955" s="355">
        <v>43709</v>
      </c>
      <c r="H955" s="351" t="s">
        <v>2792</v>
      </c>
      <c r="I955" s="356">
        <v>18201981413</v>
      </c>
      <c r="J955" s="361" t="s">
        <v>2793</v>
      </c>
      <c r="K955" s="356">
        <v>5100</v>
      </c>
      <c r="L955" s="362"/>
      <c r="M955" s="362"/>
      <c r="N955" s="362">
        <f t="shared" si="29"/>
        <v>0</v>
      </c>
      <c r="O955" s="356"/>
      <c r="Q955" s="356"/>
      <c r="R955" s="366"/>
      <c r="S955" s="356"/>
      <c r="T955" s="356"/>
      <c r="U955" s="372"/>
      <c r="V955" s="372"/>
      <c r="W955" s="372"/>
      <c r="X955" s="373"/>
      <c r="Y955" s="348"/>
      <c r="Z955" s="348"/>
      <c r="AA955" s="348"/>
    </row>
    <row r="956" s="331" customFormat="1" ht="17" customHeight="1" spans="1:27">
      <c r="A956" s="550" t="s">
        <v>2794</v>
      </c>
      <c r="B956" s="348" t="s">
        <v>185</v>
      </c>
      <c r="C956" s="348" t="s">
        <v>886</v>
      </c>
      <c r="D956" s="349" t="s">
        <v>187</v>
      </c>
      <c r="E956" s="336">
        <v>43731</v>
      </c>
      <c r="F956" s="336">
        <v>43625</v>
      </c>
      <c r="G956" s="336">
        <v>43729</v>
      </c>
      <c r="H956" s="334" t="s">
        <v>2795</v>
      </c>
      <c r="I956" s="356">
        <v>15901878001</v>
      </c>
      <c r="J956" s="361" t="s">
        <v>2796</v>
      </c>
      <c r="K956" s="356">
        <v>5000</v>
      </c>
      <c r="L956" s="334">
        <f>24281-536</f>
        <v>23745</v>
      </c>
      <c r="M956" s="334">
        <v>536</v>
      </c>
      <c r="N956" s="362">
        <f t="shared" si="29"/>
        <v>24281</v>
      </c>
      <c r="O956" s="356" t="s">
        <v>52</v>
      </c>
      <c r="Q956" s="356"/>
      <c r="R956" s="356"/>
      <c r="S956" s="356"/>
      <c r="T956" s="356"/>
      <c r="U956" s="372"/>
      <c r="V956" s="372"/>
      <c r="W956" s="372"/>
      <c r="X956" s="373"/>
      <c r="Y956" s="348"/>
      <c r="Z956" s="348"/>
      <c r="AA956" s="348"/>
    </row>
    <row r="957" s="331" customFormat="1" ht="17" customHeight="1" spans="1:27">
      <c r="A957" s="348"/>
      <c r="B957" s="348" t="s">
        <v>35</v>
      </c>
      <c r="C957" s="348" t="s">
        <v>392</v>
      </c>
      <c r="D957" s="349" t="s">
        <v>37</v>
      </c>
      <c r="E957" s="336">
        <v>43520</v>
      </c>
      <c r="F957" s="336">
        <v>43518</v>
      </c>
      <c r="G957" s="350"/>
      <c r="H957" s="334" t="s">
        <v>1179</v>
      </c>
      <c r="I957" s="348">
        <v>15201903198</v>
      </c>
      <c r="J957" s="361" t="s">
        <v>2797</v>
      </c>
      <c r="K957" s="356">
        <v>200</v>
      </c>
      <c r="L957" s="380"/>
      <c r="M957" s="380"/>
      <c r="N957" s="362">
        <f t="shared" si="29"/>
        <v>0</v>
      </c>
      <c r="O957" s="348"/>
      <c r="Q957" s="348"/>
      <c r="R957" s="348"/>
      <c r="S957" s="348"/>
      <c r="T957" s="348"/>
      <c r="U957" s="372" t="s">
        <v>2798</v>
      </c>
      <c r="V957" s="372"/>
      <c r="W957" s="372"/>
      <c r="X957" s="381"/>
      <c r="Y957" s="348" t="s">
        <v>278</v>
      </c>
      <c r="Z957" s="348"/>
      <c r="AA957" s="348"/>
    </row>
    <row r="958" s="331" customFormat="1" ht="15" customHeight="1" spans="1:27">
      <c r="A958" s="550" t="s">
        <v>2799</v>
      </c>
      <c r="B958" s="348" t="s">
        <v>58</v>
      </c>
      <c r="C958" s="348" t="s">
        <v>59</v>
      </c>
      <c r="D958" s="349" t="s">
        <v>271</v>
      </c>
      <c r="E958" s="336">
        <v>43743</v>
      </c>
      <c r="F958" s="336">
        <v>43625</v>
      </c>
      <c r="G958" s="336">
        <v>43742</v>
      </c>
      <c r="H958" s="334" t="s">
        <v>2800</v>
      </c>
      <c r="I958" s="356">
        <v>18917980168</v>
      </c>
      <c r="J958" s="361" t="s">
        <v>2801</v>
      </c>
      <c r="K958" s="356">
        <v>3000</v>
      </c>
      <c r="L958" s="334">
        <v>23495</v>
      </c>
      <c r="M958" s="362"/>
      <c r="N958" s="362">
        <f t="shared" si="29"/>
        <v>23495</v>
      </c>
      <c r="O958" s="356"/>
      <c r="Q958" s="356"/>
      <c r="R958" s="365" t="s">
        <v>52</v>
      </c>
      <c r="S958" s="356"/>
      <c r="T958" s="356"/>
      <c r="U958" s="372"/>
      <c r="V958" s="372"/>
      <c r="W958" s="372"/>
      <c r="X958" s="373"/>
      <c r="Y958" s="348"/>
      <c r="Z958" s="348"/>
      <c r="AA958" s="348"/>
    </row>
    <row r="959" s="331" customFormat="1" ht="17" customHeight="1" spans="1:28">
      <c r="A959" s="550" t="s">
        <v>2802</v>
      </c>
      <c r="B959" s="348" t="s">
        <v>123</v>
      </c>
      <c r="C959" s="348" t="s">
        <v>124</v>
      </c>
      <c r="D959" s="349" t="s">
        <v>60</v>
      </c>
      <c r="E959" s="336">
        <v>43625</v>
      </c>
      <c r="F959" s="336">
        <v>43624</v>
      </c>
      <c r="G959" s="350"/>
      <c r="H959" s="334" t="s">
        <v>2803</v>
      </c>
      <c r="I959" s="356">
        <v>18217184163</v>
      </c>
      <c r="J959" s="361" t="s">
        <v>2804</v>
      </c>
      <c r="K959" s="356">
        <v>1299</v>
      </c>
      <c r="L959" s="362"/>
      <c r="M959" s="362"/>
      <c r="N959" s="362">
        <f t="shared" si="29"/>
        <v>0</v>
      </c>
      <c r="O959" s="356" t="s">
        <v>19</v>
      </c>
      <c r="Q959" s="356"/>
      <c r="R959" s="356"/>
      <c r="S959" s="356"/>
      <c r="T959" s="356"/>
      <c r="U959" s="372" t="s">
        <v>40</v>
      </c>
      <c r="V959" s="372"/>
      <c r="W959" s="372"/>
      <c r="X959" s="373"/>
      <c r="Y959" s="348" t="s">
        <v>2660</v>
      </c>
      <c r="Z959" s="348"/>
      <c r="AA959" s="348"/>
      <c r="AB959" s="331" t="s">
        <v>659</v>
      </c>
    </row>
    <row r="960" s="331" customFormat="1" ht="17" customHeight="1" spans="1:27">
      <c r="A960" s="550" t="s">
        <v>2805</v>
      </c>
      <c r="B960" s="348" t="s">
        <v>87</v>
      </c>
      <c r="C960" s="348" t="s">
        <v>1757</v>
      </c>
      <c r="D960" s="349" t="s">
        <v>89</v>
      </c>
      <c r="E960" s="336">
        <v>43690</v>
      </c>
      <c r="F960" s="336">
        <v>43602</v>
      </c>
      <c r="G960" s="336">
        <v>43690</v>
      </c>
      <c r="H960" s="334" t="s">
        <v>2806</v>
      </c>
      <c r="I960" s="356">
        <v>15201919838</v>
      </c>
      <c r="J960" s="361" t="s">
        <v>2807</v>
      </c>
      <c r="K960" s="356">
        <f>1000+2000</f>
        <v>3000</v>
      </c>
      <c r="L960" s="334">
        <v>9131</v>
      </c>
      <c r="M960" s="362"/>
      <c r="N960" s="362">
        <f t="shared" si="29"/>
        <v>9131</v>
      </c>
      <c r="O960" s="356"/>
      <c r="Q960" s="356" t="s">
        <v>52</v>
      </c>
      <c r="R960" s="356"/>
      <c r="S960" s="356"/>
      <c r="T960" s="356"/>
      <c r="U960" s="372"/>
      <c r="V960" s="372"/>
      <c r="W960" s="372"/>
      <c r="X960" s="373"/>
      <c r="Y960" s="348"/>
      <c r="Z960" s="348"/>
      <c r="AA960" s="348"/>
    </row>
    <row r="961" s="331" customFormat="1" ht="17" customHeight="1" spans="1:27">
      <c r="A961" s="348"/>
      <c r="B961" s="348" t="s">
        <v>153</v>
      </c>
      <c r="C961" s="348" t="s">
        <v>302</v>
      </c>
      <c r="D961" s="349" t="s">
        <v>155</v>
      </c>
      <c r="E961" s="336">
        <v>43698</v>
      </c>
      <c r="F961" s="336">
        <v>43625</v>
      </c>
      <c r="G961" s="336">
        <v>43698</v>
      </c>
      <c r="H961" s="334" t="s">
        <v>2808</v>
      </c>
      <c r="I961" s="356">
        <v>15921501496</v>
      </c>
      <c r="J961" s="361" t="s">
        <v>2809</v>
      </c>
      <c r="K961" s="356">
        <v>3000</v>
      </c>
      <c r="L961" s="334">
        <f>8761-736</f>
        <v>8025</v>
      </c>
      <c r="M961" s="334">
        <v>736</v>
      </c>
      <c r="N961" s="362">
        <f t="shared" si="29"/>
        <v>8761</v>
      </c>
      <c r="O961" s="356"/>
      <c r="Q961" s="356"/>
      <c r="R961" s="356" t="s">
        <v>52</v>
      </c>
      <c r="S961" s="356"/>
      <c r="T961" s="356"/>
      <c r="U961" s="372"/>
      <c r="V961" s="372"/>
      <c r="W961" s="372"/>
      <c r="X961" s="373"/>
      <c r="Y961" s="348"/>
      <c r="Z961" s="348"/>
      <c r="AA961" s="348"/>
    </row>
    <row r="962" s="331" customFormat="1" ht="17" customHeight="1" spans="1:27">
      <c r="A962" s="348">
        <v>2022552</v>
      </c>
      <c r="B962" s="348" t="s">
        <v>73</v>
      </c>
      <c r="C962" s="348" t="s">
        <v>74</v>
      </c>
      <c r="D962" s="349" t="s">
        <v>75</v>
      </c>
      <c r="E962" s="336">
        <v>43681</v>
      </c>
      <c r="F962" s="336">
        <v>43625</v>
      </c>
      <c r="G962" s="336">
        <v>43681</v>
      </c>
      <c r="H962" s="334" t="s">
        <v>2810</v>
      </c>
      <c r="I962" s="356">
        <v>13917898297</v>
      </c>
      <c r="J962" s="361" t="s">
        <v>2811</v>
      </c>
      <c r="K962" s="356">
        <v>0</v>
      </c>
      <c r="L962" s="334">
        <v>10428</v>
      </c>
      <c r="M962" s="362"/>
      <c r="N962" s="362">
        <f t="shared" si="29"/>
        <v>10428</v>
      </c>
      <c r="O962" s="356"/>
      <c r="Q962" s="366" t="s">
        <v>52</v>
      </c>
      <c r="R962" s="356"/>
      <c r="S962" s="356"/>
      <c r="T962" s="356"/>
      <c r="U962" s="372"/>
      <c r="V962" s="372"/>
      <c r="W962" s="372"/>
      <c r="X962" s="373"/>
      <c r="Y962" s="348" t="s">
        <v>2613</v>
      </c>
      <c r="Z962" s="348"/>
      <c r="AA962" s="348"/>
    </row>
    <row r="963" s="331" customFormat="1" ht="17" customHeight="1" spans="1:27">
      <c r="A963" s="348">
        <v>2024332</v>
      </c>
      <c r="B963" s="348" t="s">
        <v>137</v>
      </c>
      <c r="C963" s="348" t="s">
        <v>411</v>
      </c>
      <c r="D963" s="349" t="s">
        <v>139</v>
      </c>
      <c r="E963" s="336">
        <v>43625</v>
      </c>
      <c r="F963" s="336">
        <v>43625</v>
      </c>
      <c r="G963" s="336">
        <v>43667</v>
      </c>
      <c r="H963" s="334" t="s">
        <v>2812</v>
      </c>
      <c r="I963" s="356">
        <v>17721208601</v>
      </c>
      <c r="J963" s="361" t="s">
        <v>2813</v>
      </c>
      <c r="K963" s="356">
        <v>3000</v>
      </c>
      <c r="L963" s="334">
        <v>5625</v>
      </c>
      <c r="M963" s="362"/>
      <c r="N963" s="362">
        <f t="shared" si="29"/>
        <v>5625</v>
      </c>
      <c r="O963" s="356"/>
      <c r="Q963" s="356"/>
      <c r="R963" s="356"/>
      <c r="S963" s="356"/>
      <c r="T963" s="356"/>
      <c r="U963" s="372"/>
      <c r="V963" s="372"/>
      <c r="W963" s="372"/>
      <c r="X963" s="373"/>
      <c r="Y963" s="348" t="s">
        <v>2582</v>
      </c>
      <c r="Z963" s="348"/>
      <c r="AA963" s="348"/>
    </row>
    <row r="964" s="331" customFormat="1" ht="17" customHeight="1" spans="1:27">
      <c r="A964" s="550" t="s">
        <v>2814</v>
      </c>
      <c r="B964" s="348" t="s">
        <v>185</v>
      </c>
      <c r="C964" s="348" t="s">
        <v>1204</v>
      </c>
      <c r="D964" s="349" t="s">
        <v>44</v>
      </c>
      <c r="E964" s="336">
        <v>43625</v>
      </c>
      <c r="F964" s="336">
        <v>43625</v>
      </c>
      <c r="G964" s="350"/>
      <c r="H964" s="334" t="s">
        <v>2815</v>
      </c>
      <c r="I964" s="356">
        <v>13917325881</v>
      </c>
      <c r="J964" s="361" t="s">
        <v>2816</v>
      </c>
      <c r="K964" s="356">
        <v>1000</v>
      </c>
      <c r="L964" s="362"/>
      <c r="M964" s="362"/>
      <c r="N964" s="362">
        <f t="shared" si="29"/>
        <v>0</v>
      </c>
      <c r="O964" s="356"/>
      <c r="Q964" s="356" t="s">
        <v>52</v>
      </c>
      <c r="R964" s="356"/>
      <c r="S964" s="356"/>
      <c r="T964" s="356"/>
      <c r="U964" s="372">
        <v>11.25</v>
      </c>
      <c r="V964" s="372"/>
      <c r="W964" s="372"/>
      <c r="X964" s="373">
        <v>1</v>
      </c>
      <c r="Y964" s="348" t="s">
        <v>2660</v>
      </c>
      <c r="Z964" s="348"/>
      <c r="AA964" s="348"/>
    </row>
    <row r="965" s="331" customFormat="1" ht="17" customHeight="1" spans="1:27">
      <c r="A965" s="550" t="s">
        <v>2817</v>
      </c>
      <c r="B965" s="348" t="s">
        <v>94</v>
      </c>
      <c r="C965" s="348" t="s">
        <v>101</v>
      </c>
      <c r="D965" s="352" t="s">
        <v>49</v>
      </c>
      <c r="E965" s="336">
        <v>43583</v>
      </c>
      <c r="F965" s="336">
        <v>43582</v>
      </c>
      <c r="G965" s="336">
        <v>43652</v>
      </c>
      <c r="H965" s="334" t="s">
        <v>2818</v>
      </c>
      <c r="I965" s="356">
        <v>15216783088</v>
      </c>
      <c r="J965" s="361" t="s">
        <v>2819</v>
      </c>
      <c r="K965" s="356">
        <v>3000</v>
      </c>
      <c r="L965" s="334">
        <v>8081</v>
      </c>
      <c r="M965" s="334"/>
      <c r="N965" s="362">
        <f t="shared" si="29"/>
        <v>8081</v>
      </c>
      <c r="O965" s="356"/>
      <c r="Q965" s="356"/>
      <c r="R965" s="356"/>
      <c r="S965" s="356"/>
      <c r="T965" s="356"/>
      <c r="U965" s="372"/>
      <c r="V965" s="372"/>
      <c r="W965" s="372"/>
      <c r="X965" s="373"/>
      <c r="Y965" s="348"/>
      <c r="Z965" s="348"/>
      <c r="AA965" s="348"/>
    </row>
    <row r="966" s="331" customFormat="1" ht="17" customHeight="1" spans="1:27">
      <c r="A966" s="348"/>
      <c r="B966" s="348" t="s">
        <v>42</v>
      </c>
      <c r="C966" s="348" t="s">
        <v>43</v>
      </c>
      <c r="D966" s="334" t="s">
        <v>207</v>
      </c>
      <c r="E966" s="336">
        <v>43768</v>
      </c>
      <c r="F966" s="336">
        <v>43624</v>
      </c>
      <c r="G966" s="336">
        <v>43765</v>
      </c>
      <c r="H966" s="334" t="s">
        <v>2820</v>
      </c>
      <c r="I966" s="356">
        <v>18049931130</v>
      </c>
      <c r="J966" s="361" t="s">
        <v>2437</v>
      </c>
      <c r="K966" s="356">
        <v>1000</v>
      </c>
      <c r="L966" s="334">
        <v>12655</v>
      </c>
      <c r="M966" s="362"/>
      <c r="N966" s="362">
        <f t="shared" si="29"/>
        <v>12655</v>
      </c>
      <c r="O966" s="356"/>
      <c r="P966" s="391" t="s">
        <v>2821</v>
      </c>
      <c r="Q966" s="391"/>
      <c r="R966" s="356"/>
      <c r="S966" s="356"/>
      <c r="T966" s="356"/>
      <c r="U966" s="374">
        <v>43675</v>
      </c>
      <c r="V966" s="372"/>
      <c r="W966" s="372"/>
      <c r="X966" s="373"/>
      <c r="Y966" s="348"/>
      <c r="Z966" s="348"/>
      <c r="AA966" s="348"/>
    </row>
    <row r="967" s="331" customFormat="1" ht="17" customHeight="1" spans="1:27">
      <c r="A967" s="348"/>
      <c r="B967" s="348" t="s">
        <v>42</v>
      </c>
      <c r="C967" s="348" t="s">
        <v>43</v>
      </c>
      <c r="D967" s="349" t="s">
        <v>356</v>
      </c>
      <c r="E967" s="336" t="s">
        <v>2822</v>
      </c>
      <c r="F967" s="336">
        <v>43625</v>
      </c>
      <c r="G967" s="350"/>
      <c r="H967" s="334" t="s">
        <v>2823</v>
      </c>
      <c r="I967" s="356">
        <v>15001758565</v>
      </c>
      <c r="J967" s="361" t="s">
        <v>2824</v>
      </c>
      <c r="K967" s="356">
        <v>1000</v>
      </c>
      <c r="L967" s="362"/>
      <c r="M967" s="362"/>
      <c r="N967" s="362">
        <f t="shared" si="29"/>
        <v>0</v>
      </c>
      <c r="O967" s="356"/>
      <c r="Q967" s="356"/>
      <c r="R967" s="356"/>
      <c r="S967" s="356"/>
      <c r="T967" s="356"/>
      <c r="U967" s="372" t="s">
        <v>12</v>
      </c>
      <c r="V967" s="372"/>
      <c r="W967" s="372"/>
      <c r="X967" s="373"/>
      <c r="Y967" s="348"/>
      <c r="Z967" s="348"/>
      <c r="AA967" s="348"/>
    </row>
    <row r="968" s="331" customFormat="1" ht="17" customHeight="1" spans="1:27">
      <c r="A968" s="348"/>
      <c r="B968" s="348" t="s">
        <v>42</v>
      </c>
      <c r="C968" s="348" t="s">
        <v>43</v>
      </c>
      <c r="D968" s="349" t="s">
        <v>356</v>
      </c>
      <c r="E968" s="336">
        <v>43626</v>
      </c>
      <c r="F968" s="336">
        <v>43625</v>
      </c>
      <c r="G968" s="350"/>
      <c r="H968" s="334" t="s">
        <v>2825</v>
      </c>
      <c r="I968" s="356">
        <v>18616895928</v>
      </c>
      <c r="J968" s="361" t="s">
        <v>2826</v>
      </c>
      <c r="K968" s="356">
        <v>1000</v>
      </c>
      <c r="L968" s="362"/>
      <c r="M968" s="362"/>
      <c r="N968" s="362">
        <f t="shared" si="29"/>
        <v>0</v>
      </c>
      <c r="O968" s="356"/>
      <c r="Q968" s="356"/>
      <c r="R968" s="356"/>
      <c r="S968" s="356"/>
      <c r="T968" s="356"/>
      <c r="U968" s="374">
        <v>43675</v>
      </c>
      <c r="V968" s="372"/>
      <c r="W968" s="372"/>
      <c r="X968" s="373"/>
      <c r="Y968" s="348"/>
      <c r="Z968" s="348"/>
      <c r="AA968" s="348"/>
    </row>
    <row r="969" s="331" customFormat="1" ht="17" customHeight="1" spans="1:27">
      <c r="A969" s="348"/>
      <c r="B969" s="348" t="s">
        <v>42</v>
      </c>
      <c r="C969" s="348" t="s">
        <v>43</v>
      </c>
      <c r="D969" s="349" t="s">
        <v>356</v>
      </c>
      <c r="E969" s="336">
        <v>43626</v>
      </c>
      <c r="F969" s="336">
        <v>43624</v>
      </c>
      <c r="G969" s="350"/>
      <c r="H969" s="334" t="s">
        <v>2827</v>
      </c>
      <c r="I969" s="356">
        <v>13817227027</v>
      </c>
      <c r="J969" s="361" t="s">
        <v>2828</v>
      </c>
      <c r="K969" s="356">
        <v>1000</v>
      </c>
      <c r="L969" s="362"/>
      <c r="M969" s="362"/>
      <c r="N969" s="362">
        <f t="shared" si="29"/>
        <v>0</v>
      </c>
      <c r="O969" s="356"/>
      <c r="Q969" s="391" t="s">
        <v>2829</v>
      </c>
      <c r="R969" s="356"/>
      <c r="S969" s="356"/>
      <c r="T969" s="356"/>
      <c r="U969" s="374">
        <v>43675</v>
      </c>
      <c r="V969" s="372"/>
      <c r="W969" s="372"/>
      <c r="X969" s="373"/>
      <c r="Y969" s="348"/>
      <c r="Z969" s="348"/>
      <c r="AA969" s="348"/>
    </row>
    <row r="970" s="331" customFormat="1" ht="17" customHeight="1" spans="1:27">
      <c r="A970" s="348">
        <v>2025732</v>
      </c>
      <c r="B970" s="348" t="s">
        <v>35</v>
      </c>
      <c r="C970" s="348" t="s">
        <v>328</v>
      </c>
      <c r="D970" s="349" t="s">
        <v>37</v>
      </c>
      <c r="E970" s="336">
        <v>43519</v>
      </c>
      <c r="F970" s="336">
        <v>43518</v>
      </c>
      <c r="G970" s="350"/>
      <c r="H970" s="334" t="s">
        <v>1509</v>
      </c>
      <c r="I970" s="348">
        <v>15221227585</v>
      </c>
      <c r="J970" s="361" t="s">
        <v>2830</v>
      </c>
      <c r="K970" s="356">
        <v>200</v>
      </c>
      <c r="L970" s="362"/>
      <c r="M970" s="362"/>
      <c r="N970" s="362">
        <f t="shared" si="29"/>
        <v>0</v>
      </c>
      <c r="O970" s="356"/>
      <c r="Q970" s="356"/>
      <c r="R970" s="356"/>
      <c r="S970" s="356"/>
      <c r="T970" s="356"/>
      <c r="U970" s="372" t="s">
        <v>40</v>
      </c>
      <c r="V970" s="372"/>
      <c r="W970" s="372"/>
      <c r="X970" s="373"/>
      <c r="Y970" s="348" t="s">
        <v>278</v>
      </c>
      <c r="Z970" s="348"/>
      <c r="AA970" s="348"/>
    </row>
    <row r="971" s="331" customFormat="1" ht="17" customHeight="1" spans="1:27">
      <c r="A971" s="550" t="s">
        <v>2831</v>
      </c>
      <c r="B971" s="348" t="s">
        <v>315</v>
      </c>
      <c r="C971" s="348" t="s">
        <v>181</v>
      </c>
      <c r="D971" s="352" t="s">
        <v>132</v>
      </c>
      <c r="E971" s="336">
        <v>43626</v>
      </c>
      <c r="F971" s="336">
        <v>43625</v>
      </c>
      <c r="G971" s="336">
        <v>43677</v>
      </c>
      <c r="H971" s="334" t="s">
        <v>2832</v>
      </c>
      <c r="I971" s="356">
        <v>13361892733</v>
      </c>
      <c r="J971" s="361" t="s">
        <v>2833</v>
      </c>
      <c r="K971" s="356">
        <v>1000</v>
      </c>
      <c r="L971" s="334">
        <v>9823</v>
      </c>
      <c r="M971" s="362"/>
      <c r="N971" s="362">
        <f t="shared" si="29"/>
        <v>9823</v>
      </c>
      <c r="O971" s="356"/>
      <c r="Q971" s="356"/>
      <c r="R971" s="356"/>
      <c r="S971" s="356"/>
      <c r="T971" s="356"/>
      <c r="U971" s="372"/>
      <c r="V971" s="372"/>
      <c r="W971" s="372"/>
      <c r="X971" s="373"/>
      <c r="Y971" s="348"/>
      <c r="Z971" s="348"/>
      <c r="AA971" s="348"/>
    </row>
    <row r="972" s="331" customFormat="1" ht="17" customHeight="1" spans="1:27">
      <c r="A972" s="550" t="s">
        <v>2834</v>
      </c>
      <c r="B972" s="348" t="s">
        <v>315</v>
      </c>
      <c r="C972" s="348" t="s">
        <v>181</v>
      </c>
      <c r="D972" s="349" t="s">
        <v>139</v>
      </c>
      <c r="E972" s="336">
        <v>43626</v>
      </c>
      <c r="F972" s="336">
        <v>43625</v>
      </c>
      <c r="G972" s="336">
        <v>43659</v>
      </c>
      <c r="H972" s="334" t="s">
        <v>2835</v>
      </c>
      <c r="I972" s="356">
        <v>13501779532</v>
      </c>
      <c r="J972" s="361" t="s">
        <v>2836</v>
      </c>
      <c r="K972" s="356">
        <v>2000</v>
      </c>
      <c r="L972" s="334">
        <v>12099</v>
      </c>
      <c r="M972" s="334">
        <v>-200</v>
      </c>
      <c r="N972" s="362">
        <f t="shared" si="29"/>
        <v>11899</v>
      </c>
      <c r="O972" s="356"/>
      <c r="Q972" s="356"/>
      <c r="R972" s="356"/>
      <c r="S972" s="356"/>
      <c r="T972" s="356"/>
      <c r="U972" s="372"/>
      <c r="V972" s="372"/>
      <c r="W972" s="372"/>
      <c r="X972" s="373"/>
      <c r="Y972" s="348"/>
      <c r="Z972" s="348"/>
      <c r="AA972" s="348"/>
    </row>
    <row r="973" s="331" customFormat="1" ht="17" customHeight="1" spans="1:27">
      <c r="A973" s="348">
        <v>2024536</v>
      </c>
      <c r="B973" s="348" t="s">
        <v>73</v>
      </c>
      <c r="C973" s="348" t="s">
        <v>1130</v>
      </c>
      <c r="D973" s="334" t="s">
        <v>717</v>
      </c>
      <c r="E973" s="336">
        <v>43737</v>
      </c>
      <c r="F973" s="336">
        <v>43625</v>
      </c>
      <c r="G973" s="336">
        <v>43737</v>
      </c>
      <c r="H973" s="334" t="s">
        <v>2837</v>
      </c>
      <c r="I973" s="356">
        <v>13022155161</v>
      </c>
      <c r="J973" s="361" t="s">
        <v>2838</v>
      </c>
      <c r="K973" s="356">
        <v>1000</v>
      </c>
      <c r="L973" s="334">
        <v>15990</v>
      </c>
      <c r="M973" s="334"/>
      <c r="N973" s="362">
        <f t="shared" si="29"/>
        <v>15990</v>
      </c>
      <c r="O973" s="366" t="s">
        <v>52</v>
      </c>
      <c r="Q973" s="356"/>
      <c r="R973" s="356"/>
      <c r="S973" s="356"/>
      <c r="T973" s="356"/>
      <c r="U973" s="372"/>
      <c r="V973" s="372"/>
      <c r="W973" s="372"/>
      <c r="X973" s="373"/>
      <c r="Y973" s="348" t="s">
        <v>2613</v>
      </c>
      <c r="Z973" s="348" t="s">
        <v>79</v>
      </c>
      <c r="AA973" s="348"/>
    </row>
    <row r="974" s="331" customFormat="1" ht="17" customHeight="1" spans="1:27">
      <c r="A974" s="550" t="s">
        <v>2839</v>
      </c>
      <c r="B974" s="348" t="s">
        <v>35</v>
      </c>
      <c r="C974" s="348" t="s">
        <v>328</v>
      </c>
      <c r="D974" s="349" t="s">
        <v>37</v>
      </c>
      <c r="E974" s="336">
        <v>43626</v>
      </c>
      <c r="F974" s="336">
        <v>43625</v>
      </c>
      <c r="G974" s="336">
        <v>43661</v>
      </c>
      <c r="H974" s="334" t="s">
        <v>2840</v>
      </c>
      <c r="I974" s="356">
        <v>18602191192</v>
      </c>
      <c r="J974" s="361" t="s">
        <v>2841</v>
      </c>
      <c r="K974" s="356">
        <v>3000</v>
      </c>
      <c r="L974" s="334">
        <v>10250</v>
      </c>
      <c r="M974" s="334"/>
      <c r="N974" s="362">
        <f t="shared" ref="N974:N1009" si="30">L974+M974</f>
        <v>10250</v>
      </c>
      <c r="O974" s="356"/>
      <c r="Q974" s="356"/>
      <c r="R974" s="356"/>
      <c r="S974" s="356"/>
      <c r="T974" s="356"/>
      <c r="U974" s="372"/>
      <c r="V974" s="372"/>
      <c r="W974" s="372"/>
      <c r="X974" s="373"/>
      <c r="Y974" s="348"/>
      <c r="Z974" s="348"/>
      <c r="AA974" s="348"/>
    </row>
    <row r="975" s="331" customFormat="1" ht="17" customHeight="1" spans="1:27">
      <c r="A975" s="550" t="s">
        <v>2842</v>
      </c>
      <c r="B975" s="348" t="s">
        <v>354</v>
      </c>
      <c r="C975" s="348" t="s">
        <v>355</v>
      </c>
      <c r="D975" s="349" t="s">
        <v>356</v>
      </c>
      <c r="E975" s="336">
        <v>43626</v>
      </c>
      <c r="F975" s="336">
        <v>43625</v>
      </c>
      <c r="G975" s="336">
        <v>43656</v>
      </c>
      <c r="H975" s="334" t="s">
        <v>2843</v>
      </c>
      <c r="I975" s="356">
        <v>13918073750</v>
      </c>
      <c r="J975" s="361" t="s">
        <v>2844</v>
      </c>
      <c r="K975" s="356">
        <v>1000</v>
      </c>
      <c r="L975" s="334">
        <v>10660</v>
      </c>
      <c r="M975" s="334"/>
      <c r="N975" s="362">
        <f t="shared" si="30"/>
        <v>10660</v>
      </c>
      <c r="O975" s="356"/>
      <c r="Q975" s="356"/>
      <c r="R975" s="356"/>
      <c r="S975" s="356"/>
      <c r="T975" s="356"/>
      <c r="U975" s="372"/>
      <c r="V975" s="372"/>
      <c r="W975" s="372"/>
      <c r="X975" s="373"/>
      <c r="Y975" s="348"/>
      <c r="Z975" s="348"/>
      <c r="AA975" s="348"/>
    </row>
    <row r="976" s="331" customFormat="1" ht="17" customHeight="1" spans="1:27">
      <c r="A976" s="550" t="s">
        <v>2845</v>
      </c>
      <c r="B976" s="348" t="s">
        <v>123</v>
      </c>
      <c r="C976" s="348" t="s">
        <v>2301</v>
      </c>
      <c r="D976" s="349" t="s">
        <v>37</v>
      </c>
      <c r="E976" s="336">
        <v>43626</v>
      </c>
      <c r="F976" s="336">
        <v>43625</v>
      </c>
      <c r="G976" s="336">
        <v>43660</v>
      </c>
      <c r="H976" s="334" t="s">
        <v>2846</v>
      </c>
      <c r="I976" s="356">
        <v>18601630255</v>
      </c>
      <c r="J976" s="361" t="s">
        <v>2847</v>
      </c>
      <c r="K976" s="356">
        <v>10000</v>
      </c>
      <c r="L976" s="334">
        <v>21774</v>
      </c>
      <c r="M976" s="334"/>
      <c r="N976" s="362">
        <f t="shared" si="30"/>
        <v>21774</v>
      </c>
      <c r="O976" s="356"/>
      <c r="Q976" s="356"/>
      <c r="R976" s="356"/>
      <c r="S976" s="356"/>
      <c r="T976" s="356"/>
      <c r="U976" s="372"/>
      <c r="V976" s="372"/>
      <c r="W976" s="372"/>
      <c r="X976" s="373"/>
      <c r="Y976" s="348"/>
      <c r="Z976" s="348"/>
      <c r="AA976" s="348"/>
    </row>
    <row r="977" s="331" customFormat="1" ht="17" customHeight="1" spans="1:27">
      <c r="A977" s="550" t="s">
        <v>2848</v>
      </c>
      <c r="B977" s="348" t="s">
        <v>31</v>
      </c>
      <c r="C977" s="348" t="s">
        <v>377</v>
      </c>
      <c r="D977" s="349" t="s">
        <v>221</v>
      </c>
      <c r="E977" s="336">
        <v>43540</v>
      </c>
      <c r="F977" s="336">
        <v>43540</v>
      </c>
      <c r="G977" s="350"/>
      <c r="H977" s="351" t="s">
        <v>973</v>
      </c>
      <c r="I977" s="356">
        <v>15226515154</v>
      </c>
      <c r="J977" s="361" t="s">
        <v>2849</v>
      </c>
      <c r="K977" s="356">
        <v>3000</v>
      </c>
      <c r="L977" s="362"/>
      <c r="M977" s="362"/>
      <c r="N977" s="362">
        <f t="shared" si="30"/>
        <v>0</v>
      </c>
      <c r="O977" s="366" t="s">
        <v>52</v>
      </c>
      <c r="Q977" s="356"/>
      <c r="R977" s="356"/>
      <c r="S977" s="356"/>
      <c r="T977" s="356"/>
      <c r="U977" s="372"/>
      <c r="V977" s="372"/>
      <c r="W977" s="372"/>
      <c r="X977" s="373"/>
      <c r="Y977" s="348" t="s">
        <v>621</v>
      </c>
      <c r="Z977" s="348" t="s">
        <v>318</v>
      </c>
      <c r="AA977" s="348"/>
    </row>
    <row r="978" s="331" customFormat="1" ht="17" customHeight="1" spans="1:27">
      <c r="A978" s="348">
        <v>2023378</v>
      </c>
      <c r="B978" s="348" t="s">
        <v>243</v>
      </c>
      <c r="C978" s="348" t="s">
        <v>244</v>
      </c>
      <c r="D978" s="352" t="s">
        <v>49</v>
      </c>
      <c r="E978" s="336">
        <v>43519</v>
      </c>
      <c r="F978" s="336">
        <v>43518</v>
      </c>
      <c r="G978" s="354" t="s">
        <v>69</v>
      </c>
      <c r="H978" s="334" t="s">
        <v>2850</v>
      </c>
      <c r="I978" s="348">
        <v>15300726062</v>
      </c>
      <c r="J978" s="361" t="s">
        <v>2851</v>
      </c>
      <c r="K978" s="356">
        <v>500</v>
      </c>
      <c r="L978" s="362"/>
      <c r="M978" s="362"/>
      <c r="N978" s="362">
        <f t="shared" si="30"/>
        <v>0</v>
      </c>
      <c r="O978" s="356" t="s">
        <v>52</v>
      </c>
      <c r="Q978" s="356"/>
      <c r="R978" s="356"/>
      <c r="S978" s="356"/>
      <c r="T978" s="356"/>
      <c r="U978" s="372"/>
      <c r="V978" s="372"/>
      <c r="W978" s="372"/>
      <c r="X978" s="373"/>
      <c r="Y978" s="348" t="s">
        <v>278</v>
      </c>
      <c r="Z978" s="348"/>
      <c r="AA978" s="348"/>
    </row>
    <row r="979" s="331" customFormat="1" ht="17" customHeight="1" spans="1:27">
      <c r="A979" s="550" t="s">
        <v>2852</v>
      </c>
      <c r="B979" s="348" t="s">
        <v>31</v>
      </c>
      <c r="C979" s="348" t="s">
        <v>115</v>
      </c>
      <c r="D979" s="352" t="s">
        <v>33</v>
      </c>
      <c r="E979" s="336"/>
      <c r="F979" s="336">
        <v>43567</v>
      </c>
      <c r="G979" s="350"/>
      <c r="H979" s="334" t="s">
        <v>1131</v>
      </c>
      <c r="I979" s="356">
        <v>15502126899</v>
      </c>
      <c r="J979" s="361" t="s">
        <v>2853</v>
      </c>
      <c r="K979" s="356">
        <v>200</v>
      </c>
      <c r="L979" s="362"/>
      <c r="M979" s="362"/>
      <c r="N979" s="362">
        <f t="shared" si="30"/>
        <v>0</v>
      </c>
      <c r="O979" s="356"/>
      <c r="Q979" s="356"/>
      <c r="R979" s="356"/>
      <c r="S979" s="356"/>
      <c r="T979" s="356"/>
      <c r="U979" s="372"/>
      <c r="V979" s="372"/>
      <c r="W979" s="372"/>
      <c r="X979" s="373"/>
      <c r="Y979" s="348" t="s">
        <v>118</v>
      </c>
      <c r="Z979" s="348"/>
      <c r="AA979" s="348"/>
    </row>
    <row r="980" s="331" customFormat="1" ht="17" customHeight="1" spans="1:27">
      <c r="A980" s="348"/>
      <c r="B980" s="348" t="s">
        <v>315</v>
      </c>
      <c r="C980" s="348" t="s">
        <v>181</v>
      </c>
      <c r="D980" s="352" t="s">
        <v>182</v>
      </c>
      <c r="E980" s="336">
        <v>43626</v>
      </c>
      <c r="F980" s="336">
        <v>43625</v>
      </c>
      <c r="G980" s="336">
        <v>43677</v>
      </c>
      <c r="H980" s="334" t="s">
        <v>2854</v>
      </c>
      <c r="I980" s="356">
        <v>18918574520</v>
      </c>
      <c r="J980" s="361" t="s">
        <v>2855</v>
      </c>
      <c r="K980" s="356">
        <f>10000+1000</f>
        <v>11000</v>
      </c>
      <c r="L980" s="334">
        <v>11000</v>
      </c>
      <c r="M980" s="362"/>
      <c r="N980" s="362">
        <f t="shared" si="30"/>
        <v>11000</v>
      </c>
      <c r="O980" s="356"/>
      <c r="Q980" s="356"/>
      <c r="R980" s="356"/>
      <c r="S980" s="356">
        <v>1</v>
      </c>
      <c r="T980" s="356"/>
      <c r="U980" s="372"/>
      <c r="V980" s="372"/>
      <c r="W980" s="372"/>
      <c r="X980" s="373">
        <v>1</v>
      </c>
      <c r="Y980" s="348"/>
      <c r="Z980" s="348"/>
      <c r="AA980" s="348"/>
    </row>
    <row r="981" s="331" customFormat="1" ht="17" customHeight="1" spans="1:27">
      <c r="A981" s="348">
        <v>2024334</v>
      </c>
      <c r="B981" s="348" t="s">
        <v>137</v>
      </c>
      <c r="C981" s="348" t="s">
        <v>406</v>
      </c>
      <c r="D981" s="349" t="s">
        <v>139</v>
      </c>
      <c r="E981" s="336">
        <v>43626</v>
      </c>
      <c r="F981" s="336">
        <v>43625</v>
      </c>
      <c r="G981" s="336">
        <v>43653</v>
      </c>
      <c r="H981" s="334" t="s">
        <v>2856</v>
      </c>
      <c r="I981" s="356">
        <v>18501640303</v>
      </c>
      <c r="J981" s="361" t="s">
        <v>2857</v>
      </c>
      <c r="K981" s="356">
        <v>7200</v>
      </c>
      <c r="L981" s="334">
        <v>6842</v>
      </c>
      <c r="M981" s="334">
        <v>2677</v>
      </c>
      <c r="N981" s="362">
        <f t="shared" si="30"/>
        <v>9519</v>
      </c>
      <c r="O981" s="356"/>
      <c r="Q981" s="356"/>
      <c r="R981" s="356"/>
      <c r="S981" s="356"/>
      <c r="T981" s="356"/>
      <c r="U981" s="372"/>
      <c r="V981" s="372"/>
      <c r="W981" s="372"/>
      <c r="X981" s="373"/>
      <c r="Y981" s="348"/>
      <c r="Z981" s="348"/>
      <c r="AA981" s="348"/>
    </row>
    <row r="982" s="331" customFormat="1" ht="17" customHeight="1" spans="1:27">
      <c r="A982" s="550" t="s">
        <v>2858</v>
      </c>
      <c r="B982" s="348" t="s">
        <v>123</v>
      </c>
      <c r="C982" s="348" t="s">
        <v>902</v>
      </c>
      <c r="D982" s="349" t="s">
        <v>125</v>
      </c>
      <c r="E982" s="336">
        <v>43626</v>
      </c>
      <c r="F982" s="336">
        <v>43625</v>
      </c>
      <c r="G982" s="336">
        <v>43674</v>
      </c>
      <c r="H982" s="334" t="s">
        <v>2859</v>
      </c>
      <c r="I982" s="356">
        <v>13641656339</v>
      </c>
      <c r="J982" s="361" t="s">
        <v>2860</v>
      </c>
      <c r="K982" s="356">
        <v>3000</v>
      </c>
      <c r="L982" s="334">
        <v>15100</v>
      </c>
      <c r="M982" s="362"/>
      <c r="N982" s="362">
        <f t="shared" si="30"/>
        <v>15100</v>
      </c>
      <c r="O982" s="356"/>
      <c r="Q982" s="356"/>
      <c r="R982" s="356"/>
      <c r="S982" s="356"/>
      <c r="T982" s="356"/>
      <c r="U982" s="372"/>
      <c r="V982" s="372" t="s">
        <v>1481</v>
      </c>
      <c r="W982" s="372"/>
      <c r="X982" s="373"/>
      <c r="Y982" s="348"/>
      <c r="Z982" s="348"/>
      <c r="AA982" s="348"/>
    </row>
    <row r="983" s="331" customFormat="1" ht="17" customHeight="1" spans="1:28">
      <c r="A983" s="348"/>
      <c r="B983" s="348" t="s">
        <v>87</v>
      </c>
      <c r="C983" s="348" t="s">
        <v>199</v>
      </c>
      <c r="D983" s="349" t="s">
        <v>89</v>
      </c>
      <c r="E983" s="336">
        <v>43688</v>
      </c>
      <c r="F983" s="336">
        <v>43625</v>
      </c>
      <c r="G983" s="336">
        <v>43688</v>
      </c>
      <c r="H983" s="334" t="s">
        <v>2861</v>
      </c>
      <c r="I983" s="356">
        <v>18918890073</v>
      </c>
      <c r="J983" s="361" t="s">
        <v>2862</v>
      </c>
      <c r="K983" s="356">
        <v>1000</v>
      </c>
      <c r="L983" s="334">
        <v>5775</v>
      </c>
      <c r="M983" s="362"/>
      <c r="N983" s="362">
        <f t="shared" si="30"/>
        <v>5775</v>
      </c>
      <c r="O983" s="356"/>
      <c r="Q983" s="356"/>
      <c r="R983" s="356"/>
      <c r="S983" s="356"/>
      <c r="T983" s="356"/>
      <c r="U983" s="372"/>
      <c r="V983" s="372"/>
      <c r="W983" s="372"/>
      <c r="X983" s="373"/>
      <c r="Y983" s="348" t="s">
        <v>2604</v>
      </c>
      <c r="Z983" s="348"/>
      <c r="AA983" s="348"/>
      <c r="AB983" s="331" t="s">
        <v>691</v>
      </c>
    </row>
    <row r="984" s="331" customFormat="1" ht="17" customHeight="1" spans="1:27">
      <c r="A984" s="348"/>
      <c r="B984" s="348" t="s">
        <v>87</v>
      </c>
      <c r="C984" s="348" t="s">
        <v>199</v>
      </c>
      <c r="D984" s="349" t="s">
        <v>89</v>
      </c>
      <c r="E984" s="336">
        <v>43626</v>
      </c>
      <c r="F984" s="336">
        <v>43625</v>
      </c>
      <c r="G984" s="350"/>
      <c r="H984" s="334" t="s">
        <v>2863</v>
      </c>
      <c r="I984" s="356">
        <v>18001791860</v>
      </c>
      <c r="J984" s="361" t="s">
        <v>2864</v>
      </c>
      <c r="K984" s="356">
        <v>1000</v>
      </c>
      <c r="L984" s="362"/>
      <c r="M984" s="362"/>
      <c r="N984" s="362">
        <f t="shared" si="30"/>
        <v>0</v>
      </c>
      <c r="O984" s="356" t="s">
        <v>52</v>
      </c>
      <c r="Q984" s="356"/>
      <c r="R984" s="356"/>
      <c r="S984" s="356"/>
      <c r="T984" s="356"/>
      <c r="U984" s="372"/>
      <c r="V984" s="372"/>
      <c r="W984" s="372"/>
      <c r="X984" s="373"/>
      <c r="Y984" s="348"/>
      <c r="Z984" s="348"/>
      <c r="AA984" s="348"/>
    </row>
    <row r="985" s="331" customFormat="1" ht="15" customHeight="1" spans="1:27">
      <c r="A985" s="550" t="s">
        <v>2865</v>
      </c>
      <c r="B985" s="348" t="s">
        <v>58</v>
      </c>
      <c r="C985" s="348" t="s">
        <v>109</v>
      </c>
      <c r="D985" s="352" t="s">
        <v>110</v>
      </c>
      <c r="E985" s="336">
        <v>43737</v>
      </c>
      <c r="F985" s="336">
        <v>43625</v>
      </c>
      <c r="G985" s="336">
        <v>43736</v>
      </c>
      <c r="H985" s="334" t="s">
        <v>2866</v>
      </c>
      <c r="I985" s="356">
        <v>13916206760</v>
      </c>
      <c r="J985" s="361" t="s">
        <v>2867</v>
      </c>
      <c r="K985" s="356">
        <v>1000</v>
      </c>
      <c r="L985" s="334">
        <v>35000</v>
      </c>
      <c r="M985" s="362"/>
      <c r="N985" s="362">
        <f t="shared" si="30"/>
        <v>35000</v>
      </c>
      <c r="O985" s="356"/>
      <c r="Q985" s="356"/>
      <c r="R985" s="365" t="s">
        <v>52</v>
      </c>
      <c r="S985" s="356"/>
      <c r="T985" s="356"/>
      <c r="U985" s="372"/>
      <c r="V985" s="372"/>
      <c r="W985" s="372"/>
      <c r="X985" s="373"/>
      <c r="Y985" s="348"/>
      <c r="Z985" s="348"/>
      <c r="AA985" s="348"/>
    </row>
    <row r="986" s="331" customFormat="1" ht="17" customHeight="1" spans="1:27">
      <c r="A986" s="550" t="s">
        <v>2868</v>
      </c>
      <c r="B986" s="348" t="s">
        <v>66</v>
      </c>
      <c r="C986" s="348" t="s">
        <v>951</v>
      </c>
      <c r="D986" s="334" t="s">
        <v>143</v>
      </c>
      <c r="E986" s="336">
        <v>43735</v>
      </c>
      <c r="F986" s="336">
        <v>43625</v>
      </c>
      <c r="G986" s="336">
        <v>43726</v>
      </c>
      <c r="H986" s="334" t="s">
        <v>2869</v>
      </c>
      <c r="I986" s="356">
        <v>18918506572</v>
      </c>
      <c r="J986" s="361" t="s">
        <v>2870</v>
      </c>
      <c r="K986" s="356">
        <v>1000</v>
      </c>
      <c r="L986" s="334">
        <v>22603</v>
      </c>
      <c r="M986" s="362"/>
      <c r="N986" s="362">
        <f t="shared" si="30"/>
        <v>22603</v>
      </c>
      <c r="O986" s="356"/>
      <c r="Q986" s="356" t="s">
        <v>1686</v>
      </c>
      <c r="R986" s="356"/>
      <c r="S986" s="356"/>
      <c r="T986" s="356"/>
      <c r="U986" s="372"/>
      <c r="V986" s="372"/>
      <c r="W986" s="372"/>
      <c r="X986" s="373"/>
      <c r="Y986" s="348"/>
      <c r="Z986" s="348"/>
      <c r="AA986" s="348"/>
    </row>
    <row r="987" s="331" customFormat="1" ht="17" customHeight="1" spans="1:27">
      <c r="A987" s="348">
        <v>2066656</v>
      </c>
      <c r="B987" s="348" t="s">
        <v>726</v>
      </c>
      <c r="C987" s="348" t="s">
        <v>727</v>
      </c>
      <c r="D987" s="349" t="s">
        <v>356</v>
      </c>
      <c r="E987" s="336">
        <v>43626</v>
      </c>
      <c r="F987" s="336">
        <v>43625</v>
      </c>
      <c r="G987" s="336">
        <v>43653</v>
      </c>
      <c r="H987" s="334" t="s">
        <v>2871</v>
      </c>
      <c r="I987" s="356">
        <v>13601546465</v>
      </c>
      <c r="J987" s="361" t="s">
        <v>2872</v>
      </c>
      <c r="K987" s="356">
        <v>1000</v>
      </c>
      <c r="L987" s="334">
        <v>7777</v>
      </c>
      <c r="M987" s="334"/>
      <c r="N987" s="362">
        <f t="shared" si="30"/>
        <v>7777</v>
      </c>
      <c r="O987" s="356"/>
      <c r="Q987" s="356"/>
      <c r="R987" s="356"/>
      <c r="S987" s="356"/>
      <c r="T987" s="356"/>
      <c r="U987" s="372"/>
      <c r="V987" s="372"/>
      <c r="W987" s="372"/>
      <c r="X987" s="373"/>
      <c r="Y987" s="348"/>
      <c r="Z987" s="348"/>
      <c r="AA987" s="348"/>
    </row>
    <row r="988" s="331" customFormat="1" ht="17" customHeight="1" spans="1:27">
      <c r="A988" s="348"/>
      <c r="B988" s="348" t="s">
        <v>137</v>
      </c>
      <c r="C988" s="348" t="s">
        <v>2705</v>
      </c>
      <c r="D988" s="334" t="s">
        <v>191</v>
      </c>
      <c r="E988" s="336">
        <v>43716</v>
      </c>
      <c r="F988" s="336">
        <v>43625</v>
      </c>
      <c r="G988" s="336">
        <v>43716</v>
      </c>
      <c r="H988" s="334" t="s">
        <v>2873</v>
      </c>
      <c r="I988" s="356">
        <v>13524689549</v>
      </c>
      <c r="J988" s="361" t="s">
        <v>2874</v>
      </c>
      <c r="K988" s="356">
        <v>1000</v>
      </c>
      <c r="L988" s="334">
        <v>14225</v>
      </c>
      <c r="M988" s="362"/>
      <c r="N988" s="362">
        <f t="shared" si="30"/>
        <v>14225</v>
      </c>
      <c r="O988" s="356"/>
      <c r="Q988" s="356"/>
      <c r="R988" s="356"/>
      <c r="S988" s="356">
        <v>1</v>
      </c>
      <c r="T988" s="356"/>
      <c r="U988" s="372"/>
      <c r="V988" s="372"/>
      <c r="W988" s="372"/>
      <c r="X988" s="373"/>
      <c r="Y988" s="348"/>
      <c r="Z988" s="348"/>
      <c r="AA988" s="348"/>
    </row>
    <row r="989" s="331" customFormat="1" ht="17" customHeight="1" spans="1:27">
      <c r="A989" s="550" t="s">
        <v>2875</v>
      </c>
      <c r="B989" s="348" t="s">
        <v>147</v>
      </c>
      <c r="C989" s="348" t="s">
        <v>148</v>
      </c>
      <c r="D989" s="349" t="s">
        <v>89</v>
      </c>
      <c r="E989" s="336">
        <v>43626</v>
      </c>
      <c r="F989" s="336">
        <v>43625</v>
      </c>
      <c r="G989" s="336">
        <v>43658</v>
      </c>
      <c r="H989" s="334" t="s">
        <v>2876</v>
      </c>
      <c r="I989" s="356">
        <v>13162139481</v>
      </c>
      <c r="J989" s="361" t="s">
        <v>2877</v>
      </c>
      <c r="K989" s="356">
        <v>13500</v>
      </c>
      <c r="L989" s="334">
        <v>14617</v>
      </c>
      <c r="M989" s="334"/>
      <c r="N989" s="362">
        <f t="shared" si="30"/>
        <v>14617</v>
      </c>
      <c r="O989" s="356"/>
      <c r="Q989" s="356"/>
      <c r="R989" s="356"/>
      <c r="S989" s="356"/>
      <c r="T989" s="356"/>
      <c r="U989" s="372"/>
      <c r="V989" s="372"/>
      <c r="W989" s="372"/>
      <c r="X989" s="373"/>
      <c r="Y989" s="348"/>
      <c r="Z989" s="348"/>
      <c r="AA989" s="348"/>
    </row>
    <row r="990" s="331" customFormat="1" ht="17" customHeight="1" spans="1:27">
      <c r="A990" s="348">
        <v>2022176</v>
      </c>
      <c r="B990" s="348" t="s">
        <v>130</v>
      </c>
      <c r="C990" s="348" t="s">
        <v>181</v>
      </c>
      <c r="D990" s="352" t="s">
        <v>182</v>
      </c>
      <c r="E990" s="336">
        <v>43518</v>
      </c>
      <c r="F990" s="336">
        <v>43516</v>
      </c>
      <c r="G990" s="350"/>
      <c r="H990" s="351" t="s">
        <v>986</v>
      </c>
      <c r="I990" s="356">
        <v>15695633635</v>
      </c>
      <c r="J990" s="361" t="s">
        <v>2878</v>
      </c>
      <c r="K990" s="356">
        <v>500</v>
      </c>
      <c r="L990" s="362"/>
      <c r="M990" s="362"/>
      <c r="N990" s="362">
        <f t="shared" si="30"/>
        <v>0</v>
      </c>
      <c r="O990" s="356"/>
      <c r="Q990" s="356">
        <v>1</v>
      </c>
      <c r="R990" s="356"/>
      <c r="S990" s="356"/>
      <c r="T990" s="356"/>
      <c r="U990" s="372" t="s">
        <v>12</v>
      </c>
      <c r="V990" s="372"/>
      <c r="W990" s="372"/>
      <c r="X990" s="373"/>
      <c r="Y990" s="348"/>
      <c r="Z990" s="348"/>
      <c r="AA990" s="348"/>
    </row>
    <row r="991" s="331" customFormat="1" ht="17" customHeight="1" spans="1:27">
      <c r="A991" s="348">
        <v>2019399</v>
      </c>
      <c r="B991" s="348" t="s">
        <v>281</v>
      </c>
      <c r="C991" s="348" t="s">
        <v>491</v>
      </c>
      <c r="D991" s="352" t="s">
        <v>49</v>
      </c>
      <c r="E991" s="336">
        <v>43542</v>
      </c>
      <c r="F991" s="336">
        <v>43541</v>
      </c>
      <c r="G991" s="350"/>
      <c r="H991" s="334" t="s">
        <v>1672</v>
      </c>
      <c r="I991" s="356">
        <v>15800079033</v>
      </c>
      <c r="J991" s="361" t="s">
        <v>2879</v>
      </c>
      <c r="K991" s="356">
        <v>500</v>
      </c>
      <c r="L991" s="362"/>
      <c r="M991" s="362"/>
      <c r="N991" s="362">
        <f t="shared" si="30"/>
        <v>0</v>
      </c>
      <c r="O991" s="356"/>
      <c r="P991" s="356" t="s">
        <v>52</v>
      </c>
      <c r="Q991" s="356"/>
      <c r="R991" s="356"/>
      <c r="S991" s="356"/>
      <c r="T991" s="356"/>
      <c r="U991" s="372" t="s">
        <v>12</v>
      </c>
      <c r="V991" s="372"/>
      <c r="W991" s="372"/>
      <c r="X991" s="373"/>
      <c r="Y991" s="348"/>
      <c r="Z991" s="348"/>
      <c r="AA991" s="348"/>
    </row>
    <row r="992" s="331" customFormat="1" ht="17" customHeight="1" spans="1:27">
      <c r="A992" s="550" t="s">
        <v>2880</v>
      </c>
      <c r="B992" s="348" t="s">
        <v>315</v>
      </c>
      <c r="C992" s="348" t="s">
        <v>722</v>
      </c>
      <c r="D992" s="349" t="s">
        <v>132</v>
      </c>
      <c r="E992" s="336">
        <v>43626</v>
      </c>
      <c r="F992" s="336">
        <v>43625</v>
      </c>
      <c r="G992" s="350" t="s">
        <v>69</v>
      </c>
      <c r="H992" s="334" t="s">
        <v>2881</v>
      </c>
      <c r="I992" s="356">
        <v>18616851969</v>
      </c>
      <c r="J992" s="361" t="s">
        <v>2882</v>
      </c>
      <c r="K992" s="356">
        <v>1000</v>
      </c>
      <c r="L992" s="362"/>
      <c r="M992" s="362"/>
      <c r="N992" s="362">
        <f t="shared" si="30"/>
        <v>0</v>
      </c>
      <c r="O992" s="356"/>
      <c r="Q992" s="356"/>
      <c r="R992" s="356"/>
      <c r="S992" s="356">
        <v>1</v>
      </c>
      <c r="T992" s="356"/>
      <c r="U992" s="372"/>
      <c r="V992" s="372"/>
      <c r="W992" s="372"/>
      <c r="X992" s="373"/>
      <c r="Y992" s="348"/>
      <c r="Z992" s="348"/>
      <c r="AA992" s="348"/>
    </row>
    <row r="993" s="331" customFormat="1" ht="17" customHeight="1" spans="1:27">
      <c r="A993" s="550" t="s">
        <v>2883</v>
      </c>
      <c r="B993" s="348" t="s">
        <v>315</v>
      </c>
      <c r="C993" s="348" t="s">
        <v>722</v>
      </c>
      <c r="D993" s="349" t="s">
        <v>162</v>
      </c>
      <c r="E993" s="336">
        <v>43689</v>
      </c>
      <c r="F993" s="336">
        <v>43625</v>
      </c>
      <c r="G993" s="336">
        <v>43686</v>
      </c>
      <c r="H993" s="334" t="s">
        <v>2884</v>
      </c>
      <c r="I993" s="356">
        <v>13795383543</v>
      </c>
      <c r="J993" s="361" t="s">
        <v>2885</v>
      </c>
      <c r="K993" s="356">
        <v>3000</v>
      </c>
      <c r="L993" s="334">
        <v>36500</v>
      </c>
      <c r="M993" s="362"/>
      <c r="N993" s="362">
        <f t="shared" si="30"/>
        <v>36500</v>
      </c>
      <c r="O993" s="356"/>
      <c r="Q993" s="356"/>
      <c r="R993" s="356"/>
      <c r="S993" s="356"/>
      <c r="T993" s="356"/>
      <c r="U993" s="372"/>
      <c r="V993" s="372"/>
      <c r="W993" s="372"/>
      <c r="X993" s="373"/>
      <c r="Y993" s="348"/>
      <c r="Z993" s="348"/>
      <c r="AA993" s="348"/>
    </row>
    <row r="994" s="331" customFormat="1" ht="17" customHeight="1" spans="1:27">
      <c r="A994" s="550" t="s">
        <v>2886</v>
      </c>
      <c r="B994" s="348" t="s">
        <v>66</v>
      </c>
      <c r="C994" s="348" t="s">
        <v>67</v>
      </c>
      <c r="D994" s="349" t="s">
        <v>68</v>
      </c>
      <c r="E994" s="336">
        <v>43626</v>
      </c>
      <c r="F994" s="336">
        <v>43625</v>
      </c>
      <c r="G994" s="336">
        <v>43676</v>
      </c>
      <c r="H994" s="334" t="s">
        <v>2887</v>
      </c>
      <c r="I994" s="356">
        <v>13701948517</v>
      </c>
      <c r="J994" s="361" t="s">
        <v>2888</v>
      </c>
      <c r="K994" s="356">
        <v>5000</v>
      </c>
      <c r="L994" s="334">
        <v>19287</v>
      </c>
      <c r="M994" s="362"/>
      <c r="N994" s="362">
        <f t="shared" si="30"/>
        <v>19287</v>
      </c>
      <c r="O994" s="356"/>
      <c r="Q994" s="356"/>
      <c r="R994" s="356"/>
      <c r="S994" s="356"/>
      <c r="T994" s="356"/>
      <c r="U994" s="372"/>
      <c r="V994" s="372" t="s">
        <v>2494</v>
      </c>
      <c r="W994" s="372"/>
      <c r="X994" s="373"/>
      <c r="Y994" s="348"/>
      <c r="Z994" s="348"/>
      <c r="AA994" s="348"/>
    </row>
    <row r="995" s="331" customFormat="1" customHeight="1" spans="1:27">
      <c r="A995" s="348">
        <v>2067293</v>
      </c>
      <c r="B995" s="348" t="s">
        <v>236</v>
      </c>
      <c r="C995" s="348" t="s">
        <v>195</v>
      </c>
      <c r="D995" s="352" t="s">
        <v>237</v>
      </c>
      <c r="E995" s="336">
        <v>43626</v>
      </c>
      <c r="F995" s="336">
        <v>43625</v>
      </c>
      <c r="G995" s="350"/>
      <c r="H995" s="334" t="s">
        <v>2889</v>
      </c>
      <c r="I995" s="356">
        <v>15001757374</v>
      </c>
      <c r="J995" s="361" t="s">
        <v>2890</v>
      </c>
      <c r="K995" s="356">
        <v>1000</v>
      </c>
      <c r="L995" s="362"/>
      <c r="M995" s="362"/>
      <c r="N995" s="362">
        <f t="shared" si="30"/>
        <v>0</v>
      </c>
      <c r="O995" s="356"/>
      <c r="Q995" s="356" t="s">
        <v>2891</v>
      </c>
      <c r="R995" s="356"/>
      <c r="S995" s="356"/>
      <c r="T995" s="356"/>
      <c r="U995" s="356" t="s">
        <v>52</v>
      </c>
      <c r="V995" s="372"/>
      <c r="W995" s="372"/>
      <c r="X995" s="373"/>
      <c r="Y995" s="348"/>
      <c r="Z995" s="348"/>
      <c r="AA995" s="348"/>
    </row>
    <row r="996" s="331" customFormat="1" ht="17" customHeight="1" spans="1:27">
      <c r="A996" s="348"/>
      <c r="B996" s="348" t="s">
        <v>42</v>
      </c>
      <c r="C996" s="348" t="s">
        <v>43</v>
      </c>
      <c r="D996" s="349" t="s">
        <v>356</v>
      </c>
      <c r="E996" s="336">
        <v>43626</v>
      </c>
      <c r="F996" s="336">
        <v>43625</v>
      </c>
      <c r="G996" s="336">
        <v>43663</v>
      </c>
      <c r="H996" s="334" t="s">
        <v>2892</v>
      </c>
      <c r="I996" s="356">
        <v>13371919529</v>
      </c>
      <c r="J996" s="361" t="s">
        <v>2893</v>
      </c>
      <c r="K996" s="356">
        <v>1000</v>
      </c>
      <c r="L996" s="334">
        <v>13881</v>
      </c>
      <c r="M996" s="334"/>
      <c r="N996" s="362">
        <f t="shared" si="30"/>
        <v>13881</v>
      </c>
      <c r="O996" s="356"/>
      <c r="Q996" s="356"/>
      <c r="R996" s="356"/>
      <c r="S996" s="356"/>
      <c r="T996" s="356"/>
      <c r="U996" s="372"/>
      <c r="V996" s="372"/>
      <c r="W996" s="372"/>
      <c r="X996" s="373"/>
      <c r="Y996" s="348"/>
      <c r="Z996" s="348"/>
      <c r="AA996" s="348"/>
    </row>
    <row r="997" s="331" customFormat="1" ht="17" customHeight="1" spans="1:27">
      <c r="A997" s="550" t="s">
        <v>2894</v>
      </c>
      <c r="B997" s="348" t="s">
        <v>147</v>
      </c>
      <c r="C997" s="348" t="s">
        <v>148</v>
      </c>
      <c r="D997" s="352" t="s">
        <v>149</v>
      </c>
      <c r="E997" s="336">
        <v>43626</v>
      </c>
      <c r="F997" s="336">
        <v>43621</v>
      </c>
      <c r="G997" s="350"/>
      <c r="H997" s="334" t="s">
        <v>2895</v>
      </c>
      <c r="I997" s="356">
        <v>13316836810</v>
      </c>
      <c r="J997" s="361" t="s">
        <v>2896</v>
      </c>
      <c r="K997" s="356">
        <v>1000</v>
      </c>
      <c r="L997" s="362"/>
      <c r="M997" s="362"/>
      <c r="N997" s="362">
        <f t="shared" si="30"/>
        <v>0</v>
      </c>
      <c r="O997" s="356"/>
      <c r="Q997" s="356"/>
      <c r="R997" s="356"/>
      <c r="S997" s="356"/>
      <c r="T997" s="356"/>
      <c r="U997" s="372" t="s">
        <v>63</v>
      </c>
      <c r="V997" s="372"/>
      <c r="W997" s="372"/>
      <c r="X997" s="373"/>
      <c r="Y997" s="348"/>
      <c r="Z997" s="348"/>
      <c r="AA997" s="348"/>
    </row>
    <row r="998" s="331" customFormat="1" ht="17" customHeight="1" spans="1:27">
      <c r="A998" s="348"/>
      <c r="B998" s="348" t="s">
        <v>66</v>
      </c>
      <c r="C998" s="348" t="s">
        <v>505</v>
      </c>
      <c r="D998" s="349" t="s">
        <v>68</v>
      </c>
      <c r="E998" s="336">
        <v>43626</v>
      </c>
      <c r="F998" s="336">
        <v>43625</v>
      </c>
      <c r="G998" s="350"/>
      <c r="H998" s="334" t="s">
        <v>2897</v>
      </c>
      <c r="I998" s="356">
        <v>13918153040</v>
      </c>
      <c r="J998" s="361" t="s">
        <v>2898</v>
      </c>
      <c r="K998" s="356">
        <v>1999</v>
      </c>
      <c r="L998" s="362"/>
      <c r="M998" s="362"/>
      <c r="N998" s="362">
        <f t="shared" si="30"/>
        <v>0</v>
      </c>
      <c r="O998" s="356"/>
      <c r="Q998" s="356"/>
      <c r="R998" s="356"/>
      <c r="S998" s="356"/>
      <c r="T998" s="356"/>
      <c r="U998" s="372" t="s">
        <v>12</v>
      </c>
      <c r="V998" s="372"/>
      <c r="W998" s="372"/>
      <c r="X998" s="373"/>
      <c r="Y998" s="348"/>
      <c r="Z998" s="348"/>
      <c r="AA998" s="348"/>
    </row>
    <row r="999" s="331" customFormat="1" ht="17" customHeight="1" spans="1:27">
      <c r="A999" s="348"/>
      <c r="B999" s="348" t="s">
        <v>87</v>
      </c>
      <c r="C999" s="348" t="s">
        <v>1757</v>
      </c>
      <c r="D999" s="349" t="s">
        <v>89</v>
      </c>
      <c r="E999" s="336">
        <v>43626</v>
      </c>
      <c r="F999" s="336">
        <v>43624</v>
      </c>
      <c r="G999" s="350"/>
      <c r="H999" s="334" t="s">
        <v>2899</v>
      </c>
      <c r="I999" s="356">
        <v>13381669502</v>
      </c>
      <c r="J999" s="361" t="s">
        <v>2900</v>
      </c>
      <c r="K999" s="356">
        <v>1000</v>
      </c>
      <c r="L999" s="362"/>
      <c r="M999" s="362"/>
      <c r="N999" s="362">
        <f t="shared" si="30"/>
        <v>0</v>
      </c>
      <c r="O999" s="356"/>
      <c r="Q999" s="356"/>
      <c r="R999" s="356"/>
      <c r="S999" s="356"/>
      <c r="T999" s="356"/>
      <c r="U999" s="336"/>
      <c r="V999" s="372"/>
      <c r="W999" s="372"/>
      <c r="X999" s="373"/>
      <c r="Y999" s="348" t="s">
        <v>418</v>
      </c>
      <c r="Z999" s="348"/>
      <c r="AA999" s="348"/>
    </row>
    <row r="1000" s="331" customFormat="1" ht="17" customHeight="1" spans="1:27">
      <c r="A1000" s="348"/>
      <c r="B1000" s="348" t="s">
        <v>87</v>
      </c>
      <c r="C1000" s="348" t="s">
        <v>1757</v>
      </c>
      <c r="D1000" s="349" t="s">
        <v>89</v>
      </c>
      <c r="E1000" s="336">
        <v>43732</v>
      </c>
      <c r="F1000" s="336">
        <v>43625</v>
      </c>
      <c r="G1000" s="336">
        <v>43732</v>
      </c>
      <c r="H1000" s="334" t="s">
        <v>2901</v>
      </c>
      <c r="I1000" s="356">
        <v>13701891770</v>
      </c>
      <c r="J1000" s="361" t="s">
        <v>2902</v>
      </c>
      <c r="K1000" s="356">
        <v>1000</v>
      </c>
      <c r="L1000" s="334">
        <v>60000</v>
      </c>
      <c r="M1000" s="362"/>
      <c r="N1000" s="362">
        <f t="shared" si="30"/>
        <v>60000</v>
      </c>
      <c r="O1000" s="356"/>
      <c r="Q1000" s="356" t="s">
        <v>52</v>
      </c>
      <c r="R1000" s="356"/>
      <c r="S1000" s="356"/>
      <c r="T1000" s="356"/>
      <c r="U1000" s="372"/>
      <c r="V1000" s="372"/>
      <c r="W1000" s="372"/>
      <c r="X1000" s="373">
        <v>1</v>
      </c>
      <c r="Y1000" s="348" t="s">
        <v>418</v>
      </c>
      <c r="Z1000" s="348"/>
      <c r="AA1000" s="348"/>
    </row>
    <row r="1001" s="331" customFormat="1" ht="17" customHeight="1" spans="1:27">
      <c r="A1001" s="550" t="s">
        <v>2903</v>
      </c>
      <c r="B1001" s="348" t="s">
        <v>805</v>
      </c>
      <c r="C1001" s="348" t="s">
        <v>1458</v>
      </c>
      <c r="D1001" s="352" t="s">
        <v>635</v>
      </c>
      <c r="E1001" s="336">
        <v>43569</v>
      </c>
      <c r="F1001" s="336">
        <v>43562</v>
      </c>
      <c r="G1001" s="350"/>
      <c r="H1001" s="334" t="s">
        <v>2904</v>
      </c>
      <c r="I1001" s="356">
        <v>15800548776</v>
      </c>
      <c r="J1001" s="361" t="s">
        <v>2905</v>
      </c>
      <c r="K1001" s="356">
        <v>1000</v>
      </c>
      <c r="L1001" s="362"/>
      <c r="M1001" s="362"/>
      <c r="N1001" s="362">
        <f t="shared" si="30"/>
        <v>0</v>
      </c>
      <c r="O1001" s="356"/>
      <c r="Q1001" s="356"/>
      <c r="R1001" s="356"/>
      <c r="S1001" s="356"/>
      <c r="T1001" s="356"/>
      <c r="U1001" s="379">
        <v>5.23</v>
      </c>
      <c r="V1001" s="372"/>
      <c r="W1001" s="372"/>
      <c r="X1001" s="373"/>
      <c r="Y1001" s="348" t="s">
        <v>2906</v>
      </c>
      <c r="Z1001" s="348"/>
      <c r="AA1001" s="348"/>
    </row>
    <row r="1002" s="331" customFormat="1" ht="17" customHeight="1" spans="1:27">
      <c r="A1002" s="348"/>
      <c r="B1002" s="348" t="s">
        <v>87</v>
      </c>
      <c r="C1002" s="348" t="s">
        <v>1757</v>
      </c>
      <c r="D1002" s="349" t="s">
        <v>89</v>
      </c>
      <c r="E1002" s="336">
        <v>43626</v>
      </c>
      <c r="F1002" s="336">
        <v>43624</v>
      </c>
      <c r="G1002" s="336">
        <v>43671</v>
      </c>
      <c r="H1002" s="334" t="s">
        <v>2907</v>
      </c>
      <c r="I1002" s="356">
        <v>13817498368</v>
      </c>
      <c r="J1002" s="361" t="s">
        <v>2908</v>
      </c>
      <c r="K1002" s="356">
        <v>1000</v>
      </c>
      <c r="L1002" s="334">
        <v>13988</v>
      </c>
      <c r="M1002" s="362"/>
      <c r="N1002" s="362">
        <f t="shared" si="30"/>
        <v>13988</v>
      </c>
      <c r="O1002" s="356"/>
      <c r="Q1002" s="356" t="s">
        <v>52</v>
      </c>
      <c r="R1002" s="356"/>
      <c r="S1002" s="356"/>
      <c r="T1002" s="356"/>
      <c r="U1002" s="372"/>
      <c r="V1002" s="372"/>
      <c r="W1002" s="372"/>
      <c r="X1002" s="373"/>
      <c r="Y1002" s="348"/>
      <c r="Z1002" s="348"/>
      <c r="AA1002" s="348"/>
    </row>
    <row r="1003" s="331" customFormat="1" ht="17" customHeight="1" spans="1:27">
      <c r="A1003" s="348"/>
      <c r="B1003" s="348" t="s">
        <v>87</v>
      </c>
      <c r="C1003" s="348" t="s">
        <v>1757</v>
      </c>
      <c r="D1003" s="349" t="s">
        <v>60</v>
      </c>
      <c r="E1003" s="336">
        <v>43626</v>
      </c>
      <c r="F1003" s="336">
        <v>43625</v>
      </c>
      <c r="G1003" s="336">
        <v>43659</v>
      </c>
      <c r="H1003" s="334" t="s">
        <v>2909</v>
      </c>
      <c r="I1003" s="356">
        <v>18721599170</v>
      </c>
      <c r="J1003" s="361" t="s">
        <v>2910</v>
      </c>
      <c r="K1003" s="356">
        <v>1000</v>
      </c>
      <c r="L1003" s="334">
        <v>8152</v>
      </c>
      <c r="M1003" s="334"/>
      <c r="N1003" s="362">
        <f t="shared" si="30"/>
        <v>8152</v>
      </c>
      <c r="O1003" s="356"/>
      <c r="Q1003" s="356"/>
      <c r="R1003" s="356"/>
      <c r="S1003" s="356"/>
      <c r="T1003" s="356"/>
      <c r="U1003" s="372"/>
      <c r="V1003" s="372"/>
      <c r="W1003" s="372"/>
      <c r="X1003" s="373"/>
      <c r="Y1003" s="348"/>
      <c r="Z1003" s="348"/>
      <c r="AA1003" s="348"/>
    </row>
    <row r="1004" s="331" customFormat="1" ht="17" customHeight="1" spans="1:27">
      <c r="A1004" s="550" t="s">
        <v>2911</v>
      </c>
      <c r="B1004" s="348" t="s">
        <v>66</v>
      </c>
      <c r="C1004" s="348" t="s">
        <v>505</v>
      </c>
      <c r="D1004" s="349" t="s">
        <v>68</v>
      </c>
      <c r="E1004" s="336">
        <v>43642</v>
      </c>
      <c r="F1004" s="336">
        <v>43641</v>
      </c>
      <c r="G1004" s="350"/>
      <c r="H1004" s="334" t="s">
        <v>444</v>
      </c>
      <c r="I1004" s="356">
        <v>15821430392</v>
      </c>
      <c r="J1004" s="361" t="s">
        <v>2912</v>
      </c>
      <c r="K1004" s="356">
        <v>1000</v>
      </c>
      <c r="L1004" s="362"/>
      <c r="M1004" s="362"/>
      <c r="N1004" s="362">
        <f t="shared" si="30"/>
        <v>0</v>
      </c>
      <c r="O1004" s="356"/>
      <c r="P1004" s="356" t="s">
        <v>1526</v>
      </c>
      <c r="Q1004" s="356"/>
      <c r="R1004" s="356"/>
      <c r="S1004" s="356"/>
      <c r="T1004" s="356"/>
      <c r="U1004" s="400" t="s">
        <v>2913</v>
      </c>
      <c r="V1004" s="372"/>
      <c r="W1004" s="372"/>
      <c r="X1004" s="373">
        <v>1</v>
      </c>
      <c r="Y1004" s="348"/>
      <c r="Z1004" s="348"/>
      <c r="AA1004" s="348" t="s">
        <v>2914</v>
      </c>
    </row>
    <row r="1005" s="331" customFormat="1" ht="17" customHeight="1" spans="1:27">
      <c r="A1005" s="348"/>
      <c r="B1005" s="348" t="s">
        <v>87</v>
      </c>
      <c r="C1005" s="348" t="s">
        <v>1757</v>
      </c>
      <c r="D1005" s="349" t="s">
        <v>89</v>
      </c>
      <c r="E1005" s="336">
        <v>43626</v>
      </c>
      <c r="F1005" s="336">
        <v>43624</v>
      </c>
      <c r="G1005" s="372" t="s">
        <v>69</v>
      </c>
      <c r="H1005" s="334" t="s">
        <v>2915</v>
      </c>
      <c r="I1005" s="356">
        <v>15152000004</v>
      </c>
      <c r="J1005" s="361" t="s">
        <v>2916</v>
      </c>
      <c r="K1005" s="356">
        <v>1000</v>
      </c>
      <c r="L1005" s="362"/>
      <c r="M1005" s="362"/>
      <c r="N1005" s="362">
        <f t="shared" si="30"/>
        <v>0</v>
      </c>
      <c r="O1005" s="356"/>
      <c r="P1005" s="356" t="s">
        <v>52</v>
      </c>
      <c r="Q1005" s="356"/>
      <c r="R1005" s="356"/>
      <c r="S1005" s="356"/>
      <c r="T1005" s="356"/>
      <c r="U1005" s="372"/>
      <c r="V1005" s="372"/>
      <c r="W1005" s="372"/>
      <c r="X1005" s="373"/>
      <c r="Y1005" s="348"/>
      <c r="Z1005" s="348"/>
      <c r="AA1005" s="348"/>
    </row>
    <row r="1006" s="331" customFormat="1" ht="17" customHeight="1" spans="1:27">
      <c r="A1006" s="550" t="s">
        <v>2917</v>
      </c>
      <c r="B1006" s="348" t="s">
        <v>58</v>
      </c>
      <c r="C1006" s="348" t="s">
        <v>271</v>
      </c>
      <c r="D1006" s="352" t="s">
        <v>271</v>
      </c>
      <c r="E1006" s="336">
        <v>43626</v>
      </c>
      <c r="F1006" s="336">
        <v>43626</v>
      </c>
      <c r="G1006" s="336">
        <v>43673</v>
      </c>
      <c r="H1006" s="334" t="s">
        <v>2918</v>
      </c>
      <c r="I1006" s="356">
        <v>13701761838</v>
      </c>
      <c r="J1006" s="361" t="s">
        <v>2919</v>
      </c>
      <c r="K1006" s="356">
        <v>1000</v>
      </c>
      <c r="L1006" s="334">
        <v>25800</v>
      </c>
      <c r="M1006" s="362"/>
      <c r="N1006" s="362">
        <f t="shared" si="30"/>
        <v>25800</v>
      </c>
      <c r="O1006" s="356"/>
      <c r="Q1006" s="365" t="s">
        <v>52</v>
      </c>
      <c r="R1006" s="366"/>
      <c r="S1006" s="356"/>
      <c r="T1006" s="356"/>
      <c r="U1006" s="372"/>
      <c r="V1006" s="372"/>
      <c r="W1006" s="372"/>
      <c r="X1006" s="373"/>
      <c r="Y1006" s="348"/>
      <c r="Z1006" s="348"/>
      <c r="AA1006" s="348"/>
    </row>
    <row r="1007" s="331" customFormat="1" ht="17" customHeight="1" spans="1:27">
      <c r="A1007" s="348">
        <v>2024309</v>
      </c>
      <c r="B1007" s="348" t="s">
        <v>137</v>
      </c>
      <c r="C1007" s="348" t="s">
        <v>480</v>
      </c>
      <c r="D1007" s="349" t="s">
        <v>139</v>
      </c>
      <c r="E1007" s="336">
        <v>43628</v>
      </c>
      <c r="F1007" s="336">
        <v>43625</v>
      </c>
      <c r="G1007" s="336">
        <v>43675</v>
      </c>
      <c r="H1007" s="334" t="s">
        <v>2920</v>
      </c>
      <c r="I1007" s="356">
        <v>13818670267</v>
      </c>
      <c r="J1007" s="361" t="s">
        <v>2921</v>
      </c>
      <c r="K1007" s="356">
        <v>7850</v>
      </c>
      <c r="L1007" s="334">
        <v>7490</v>
      </c>
      <c r="M1007" s="362"/>
      <c r="N1007" s="362">
        <f t="shared" si="30"/>
        <v>7490</v>
      </c>
      <c r="O1007" s="356">
        <v>1</v>
      </c>
      <c r="Q1007" s="356"/>
      <c r="R1007" s="356"/>
      <c r="S1007" s="356"/>
      <c r="T1007" s="356"/>
      <c r="U1007" s="372"/>
      <c r="V1007" s="372"/>
      <c r="W1007" s="372"/>
      <c r="X1007" s="373"/>
      <c r="Y1007" s="348"/>
      <c r="Z1007" s="348"/>
      <c r="AA1007" s="348"/>
    </row>
    <row r="1008" s="331" customFormat="1" ht="17" customHeight="1" spans="1:27">
      <c r="A1008" s="550" t="s">
        <v>2922</v>
      </c>
      <c r="B1008" s="348" t="s">
        <v>31</v>
      </c>
      <c r="C1008" s="348" t="s">
        <v>2716</v>
      </c>
      <c r="D1008" s="349" t="s">
        <v>33</v>
      </c>
      <c r="E1008" s="336">
        <v>43626</v>
      </c>
      <c r="F1008" s="336">
        <v>43626</v>
      </c>
      <c r="G1008" s="336">
        <v>43677</v>
      </c>
      <c r="H1008" s="334" t="s">
        <v>2923</v>
      </c>
      <c r="I1008" s="356">
        <v>13564676757</v>
      </c>
      <c r="J1008" s="361" t="s">
        <v>2924</v>
      </c>
      <c r="K1008" s="356">
        <v>5070</v>
      </c>
      <c r="L1008" s="334">
        <v>4958</v>
      </c>
      <c r="M1008" s="362"/>
      <c r="N1008" s="362">
        <f t="shared" si="30"/>
        <v>4958</v>
      </c>
      <c r="O1008" s="356"/>
      <c r="Q1008" s="356"/>
      <c r="R1008" s="356"/>
      <c r="S1008" s="356"/>
      <c r="T1008" s="356"/>
      <c r="U1008" s="372"/>
      <c r="V1008" s="372"/>
      <c r="W1008" s="372"/>
      <c r="X1008" s="373"/>
      <c r="Y1008" s="348"/>
      <c r="Z1008" s="348"/>
      <c r="AA1008" s="348"/>
    </row>
    <row r="1009" s="331" customFormat="1" ht="17" customHeight="1" spans="1:27">
      <c r="A1009" s="348">
        <v>2066173</v>
      </c>
      <c r="B1009" s="348" t="s">
        <v>87</v>
      </c>
      <c r="C1009" s="348" t="s">
        <v>466</v>
      </c>
      <c r="D1009" s="349" t="s">
        <v>33</v>
      </c>
      <c r="E1009" s="336">
        <v>43632</v>
      </c>
      <c r="F1009" s="336">
        <v>43626</v>
      </c>
      <c r="G1009" s="375" t="s">
        <v>69</v>
      </c>
      <c r="H1009" s="334" t="s">
        <v>2925</v>
      </c>
      <c r="I1009" s="356">
        <v>18221164117</v>
      </c>
      <c r="J1009" s="361" t="s">
        <v>2926</v>
      </c>
      <c r="K1009" s="356">
        <v>4999</v>
      </c>
      <c r="L1009" s="362"/>
      <c r="M1009" s="362"/>
      <c r="N1009" s="362">
        <f t="shared" si="30"/>
        <v>0</v>
      </c>
      <c r="O1009" s="356"/>
      <c r="Q1009" s="356"/>
      <c r="R1009" s="356"/>
      <c r="S1009" s="356"/>
      <c r="T1009" s="356"/>
      <c r="U1009" s="372"/>
      <c r="V1009" s="372"/>
      <c r="W1009" s="372"/>
      <c r="X1009" s="373"/>
      <c r="Y1009" s="348"/>
      <c r="Z1009" s="348"/>
      <c r="AA1009" s="348"/>
    </row>
    <row r="1010" s="331" customFormat="1" ht="17" customHeight="1" spans="1:27">
      <c r="A1010" s="348">
        <v>2066927</v>
      </c>
      <c r="B1010" s="348" t="s">
        <v>185</v>
      </c>
      <c r="C1010" s="348" t="s">
        <v>1133</v>
      </c>
      <c r="D1010" s="349" t="s">
        <v>33</v>
      </c>
      <c r="E1010" s="336">
        <v>43626</v>
      </c>
      <c r="F1010" s="336">
        <v>43626</v>
      </c>
      <c r="G1010" s="350"/>
      <c r="H1010" s="334" t="s">
        <v>2927</v>
      </c>
      <c r="I1010" s="356" t="s">
        <v>2928</v>
      </c>
      <c r="J1010" s="361" t="s">
        <v>2929</v>
      </c>
      <c r="K1010" s="356">
        <v>5000</v>
      </c>
      <c r="L1010" s="362"/>
      <c r="M1010" s="362"/>
      <c r="N1010" s="362">
        <f t="shared" ref="N1010:N1041" si="31">L1010+M1010</f>
        <v>0</v>
      </c>
      <c r="O1010" s="356"/>
      <c r="Q1010" s="356"/>
      <c r="R1010" s="356"/>
      <c r="S1010" s="356"/>
      <c r="T1010" s="356"/>
      <c r="U1010" s="374">
        <v>43639</v>
      </c>
      <c r="V1010" s="372"/>
      <c r="W1010" s="372"/>
      <c r="X1010" s="373"/>
      <c r="Y1010" s="348"/>
      <c r="Z1010" s="348"/>
      <c r="AA1010" s="348"/>
    </row>
    <row r="1011" s="331" customFormat="1" ht="17" customHeight="1" spans="1:27">
      <c r="A1011" s="550" t="s">
        <v>2930</v>
      </c>
      <c r="B1011" s="348" t="s">
        <v>315</v>
      </c>
      <c r="C1011" s="348" t="s">
        <v>366</v>
      </c>
      <c r="D1011" s="334" t="s">
        <v>132</v>
      </c>
      <c r="E1011" s="336">
        <v>43800</v>
      </c>
      <c r="F1011" s="336">
        <v>43634</v>
      </c>
      <c r="G1011" s="336">
        <v>43799</v>
      </c>
      <c r="H1011" s="334" t="s">
        <v>2931</v>
      </c>
      <c r="I1011" s="356">
        <v>13917327656</v>
      </c>
      <c r="J1011" s="361" t="s">
        <v>2932</v>
      </c>
      <c r="K1011" s="356">
        <v>1000</v>
      </c>
      <c r="L1011" s="334">
        <v>84376</v>
      </c>
      <c r="M1011" s="362"/>
      <c r="N1011" s="362">
        <f t="shared" si="31"/>
        <v>84376</v>
      </c>
      <c r="O1011" s="356">
        <v>1</v>
      </c>
      <c r="Q1011" s="356"/>
      <c r="R1011" s="356"/>
      <c r="S1011" s="356"/>
      <c r="T1011" s="356"/>
      <c r="U1011" s="372"/>
      <c r="V1011" s="372"/>
      <c r="W1011" s="372"/>
      <c r="X1011" s="373"/>
      <c r="Y1011" s="348"/>
      <c r="Z1011" s="348" t="s">
        <v>1863</v>
      </c>
      <c r="AA1011" s="348"/>
    </row>
    <row r="1012" s="331" customFormat="1" ht="17" customHeight="1" spans="1:27">
      <c r="A1012" s="348"/>
      <c r="B1012" s="348" t="s">
        <v>87</v>
      </c>
      <c r="C1012" s="348" t="s">
        <v>199</v>
      </c>
      <c r="D1012" s="349" t="s">
        <v>33</v>
      </c>
      <c r="E1012" s="336">
        <v>43627</v>
      </c>
      <c r="F1012" s="336">
        <v>43626</v>
      </c>
      <c r="G1012" s="350"/>
      <c r="H1012" s="334" t="s">
        <v>2933</v>
      </c>
      <c r="I1012" s="356">
        <v>15902865935</v>
      </c>
      <c r="J1012" s="361" t="s">
        <v>2934</v>
      </c>
      <c r="K1012" s="356">
        <v>1000</v>
      </c>
      <c r="L1012" s="362"/>
      <c r="M1012" s="362"/>
      <c r="N1012" s="362">
        <f t="shared" si="31"/>
        <v>0</v>
      </c>
      <c r="O1012" s="356"/>
      <c r="Q1012" s="356"/>
      <c r="R1012" s="356"/>
      <c r="S1012" s="356"/>
      <c r="T1012" s="356"/>
      <c r="U1012" s="411" t="s">
        <v>12</v>
      </c>
      <c r="V1012" s="372"/>
      <c r="W1012" s="372"/>
      <c r="X1012" s="373"/>
      <c r="Y1012" s="348"/>
      <c r="Z1012" s="348"/>
      <c r="AA1012" s="348"/>
    </row>
    <row r="1013" s="331" customFormat="1" ht="17" customHeight="1" spans="1:27">
      <c r="A1013" s="348">
        <v>2020211</v>
      </c>
      <c r="B1013" s="348" t="s">
        <v>137</v>
      </c>
      <c r="C1013" s="348" t="s">
        <v>411</v>
      </c>
      <c r="D1013" s="349" t="s">
        <v>68</v>
      </c>
      <c r="E1013" s="336">
        <v>43632</v>
      </c>
      <c r="F1013" s="336">
        <v>43631</v>
      </c>
      <c r="G1013" s="336">
        <v>43666</v>
      </c>
      <c r="H1013" s="334" t="s">
        <v>2935</v>
      </c>
      <c r="I1013" s="356">
        <v>15821770795</v>
      </c>
      <c r="J1013" s="361" t="s">
        <v>2936</v>
      </c>
      <c r="K1013" s="356">
        <f>5000+1000</f>
        <v>6000</v>
      </c>
      <c r="L1013" s="334">
        <v>10241</v>
      </c>
      <c r="M1013" s="362"/>
      <c r="N1013" s="362">
        <f t="shared" si="31"/>
        <v>10241</v>
      </c>
      <c r="O1013" s="356"/>
      <c r="Q1013" s="356"/>
      <c r="R1013" s="356"/>
      <c r="S1013" s="356"/>
      <c r="T1013" s="356"/>
      <c r="U1013" s="372"/>
      <c r="V1013" s="372"/>
      <c r="W1013" s="372"/>
      <c r="X1013" s="373"/>
      <c r="Y1013" s="348"/>
      <c r="Z1013" s="348"/>
      <c r="AA1013" s="348"/>
    </row>
    <row r="1014" s="331" customFormat="1" ht="17" customHeight="1" spans="1:27">
      <c r="A1014" s="348"/>
      <c r="B1014" s="348" t="s">
        <v>42</v>
      </c>
      <c r="C1014" s="348" t="s">
        <v>43</v>
      </c>
      <c r="D1014" s="349" t="s">
        <v>33</v>
      </c>
      <c r="E1014" s="336">
        <v>43628</v>
      </c>
      <c r="F1014" s="336">
        <v>43625</v>
      </c>
      <c r="G1014" s="336">
        <v>43660</v>
      </c>
      <c r="H1014" s="334" t="s">
        <v>2937</v>
      </c>
      <c r="I1014" s="356">
        <v>15201851393</v>
      </c>
      <c r="J1014" s="361" t="s">
        <v>2938</v>
      </c>
      <c r="K1014" s="356">
        <v>6525</v>
      </c>
      <c r="L1014" s="334">
        <v>7508</v>
      </c>
      <c r="M1014" s="334"/>
      <c r="N1014" s="362">
        <f t="shared" si="31"/>
        <v>7508</v>
      </c>
      <c r="O1014" s="356"/>
      <c r="Q1014" s="356"/>
      <c r="R1014" s="356"/>
      <c r="S1014" s="356"/>
      <c r="T1014" s="356"/>
      <c r="U1014" s="372"/>
      <c r="V1014" s="372"/>
      <c r="W1014" s="372"/>
      <c r="X1014" s="373"/>
      <c r="Y1014" s="348"/>
      <c r="Z1014" s="348"/>
      <c r="AA1014" s="348"/>
    </row>
    <row r="1015" s="331" customFormat="1" ht="17" customHeight="1" spans="1:27">
      <c r="A1015" s="348">
        <v>2067376</v>
      </c>
      <c r="B1015" s="348" t="s">
        <v>405</v>
      </c>
      <c r="C1015" s="348" t="s">
        <v>1234</v>
      </c>
      <c r="D1015" s="349" t="s">
        <v>407</v>
      </c>
      <c r="E1015" s="336">
        <v>43627</v>
      </c>
      <c r="F1015" s="336">
        <v>43625</v>
      </c>
      <c r="G1015" s="336">
        <v>43676</v>
      </c>
      <c r="H1015" s="334" t="s">
        <v>2939</v>
      </c>
      <c r="I1015" s="356">
        <v>13512159331</v>
      </c>
      <c r="J1015" s="361" t="s">
        <v>2940</v>
      </c>
      <c r="K1015" s="356">
        <v>1000</v>
      </c>
      <c r="L1015" s="334">
        <v>14300</v>
      </c>
      <c r="M1015" s="362"/>
      <c r="N1015" s="362">
        <f t="shared" si="31"/>
        <v>14300</v>
      </c>
      <c r="O1015" s="356"/>
      <c r="Q1015" s="356"/>
      <c r="R1015" s="356"/>
      <c r="S1015" s="356" t="s">
        <v>52</v>
      </c>
      <c r="T1015" s="356"/>
      <c r="U1015" s="372"/>
      <c r="V1015" s="372"/>
      <c r="W1015" s="372"/>
      <c r="X1015" s="373"/>
      <c r="Y1015" s="348" t="s">
        <v>2763</v>
      </c>
      <c r="Z1015" s="348"/>
      <c r="AA1015" s="348"/>
    </row>
    <row r="1016" s="57" customFormat="1" ht="17" customHeight="1" spans="1:27">
      <c r="A1016" s="348"/>
      <c r="B1016" s="348" t="s">
        <v>137</v>
      </c>
      <c r="C1016" s="348" t="s">
        <v>411</v>
      </c>
      <c r="D1016" s="349" t="s">
        <v>427</v>
      </c>
      <c r="E1016" s="336">
        <v>43628</v>
      </c>
      <c r="F1016" s="336">
        <v>43628</v>
      </c>
      <c r="G1016" s="350"/>
      <c r="H1016" s="334" t="s">
        <v>2941</v>
      </c>
      <c r="I1016" s="356">
        <v>18702101095</v>
      </c>
      <c r="J1016" s="348" t="s">
        <v>2942</v>
      </c>
      <c r="K1016" s="356">
        <v>1000</v>
      </c>
      <c r="L1016" s="362"/>
      <c r="M1016" s="362"/>
      <c r="N1016" s="362">
        <f t="shared" si="31"/>
        <v>0</v>
      </c>
      <c r="O1016" s="356">
        <v>1</v>
      </c>
      <c r="P1016" s="356"/>
      <c r="Q1016" s="356"/>
      <c r="R1016" s="356"/>
      <c r="S1016" s="356"/>
      <c r="T1016" s="356"/>
      <c r="U1016" s="372" t="s">
        <v>12</v>
      </c>
      <c r="V1016" s="372"/>
      <c r="W1016" s="372"/>
      <c r="X1016" s="373"/>
      <c r="Y1016" s="348"/>
      <c r="Z1016" s="348"/>
      <c r="AA1016" s="348"/>
    </row>
    <row r="1017" s="331" customFormat="1" ht="15" customHeight="1" spans="1:27">
      <c r="A1017" s="550" t="s">
        <v>2943</v>
      </c>
      <c r="B1017" s="348" t="s">
        <v>58</v>
      </c>
      <c r="C1017" s="348" t="s">
        <v>347</v>
      </c>
      <c r="D1017" s="352" t="s">
        <v>343</v>
      </c>
      <c r="E1017" s="336">
        <v>43628</v>
      </c>
      <c r="F1017" s="336">
        <v>43628</v>
      </c>
      <c r="G1017" s="350"/>
      <c r="H1017" s="334" t="s">
        <v>2944</v>
      </c>
      <c r="I1017" s="356">
        <v>13818574338</v>
      </c>
      <c r="J1017" s="361" t="s">
        <v>2945</v>
      </c>
      <c r="K1017" s="356">
        <v>1000</v>
      </c>
      <c r="L1017" s="362"/>
      <c r="M1017" s="362"/>
      <c r="N1017" s="362">
        <f t="shared" si="31"/>
        <v>0</v>
      </c>
      <c r="O1017" s="365" t="s">
        <v>52</v>
      </c>
      <c r="Q1017" s="366"/>
      <c r="R1017" s="356"/>
      <c r="S1017" s="356"/>
      <c r="T1017" s="356"/>
      <c r="U1017" s="387">
        <v>43819</v>
      </c>
      <c r="V1017" s="372"/>
      <c r="W1017" s="372"/>
      <c r="X1017" s="373"/>
      <c r="Y1017" s="348"/>
      <c r="Z1017" s="348"/>
      <c r="AA1017" s="348"/>
    </row>
    <row r="1018" s="331" customFormat="1" ht="17" customHeight="1" spans="1:27">
      <c r="A1018" s="348">
        <v>2024335</v>
      </c>
      <c r="B1018" s="348" t="s">
        <v>137</v>
      </c>
      <c r="C1018" s="348" t="s">
        <v>411</v>
      </c>
      <c r="D1018" s="334" t="s">
        <v>139</v>
      </c>
      <c r="E1018" s="336">
        <v>43786</v>
      </c>
      <c r="F1018" s="336">
        <v>43629</v>
      </c>
      <c r="G1018" s="336">
        <v>43786</v>
      </c>
      <c r="H1018" s="334" t="s">
        <v>2946</v>
      </c>
      <c r="I1018" s="356">
        <v>13818168904</v>
      </c>
      <c r="J1018" s="361" t="s">
        <v>2947</v>
      </c>
      <c r="K1018" s="356">
        <v>3000</v>
      </c>
      <c r="L1018" s="334">
        <v>17743</v>
      </c>
      <c r="M1018" s="362"/>
      <c r="N1018" s="362">
        <f t="shared" si="31"/>
        <v>17743</v>
      </c>
      <c r="O1018" s="356">
        <v>1</v>
      </c>
      <c r="Q1018" s="356"/>
      <c r="R1018" s="356"/>
      <c r="S1018" s="356"/>
      <c r="T1018" s="356"/>
      <c r="U1018" s="372"/>
      <c r="V1018" s="372"/>
      <c r="W1018" s="372"/>
      <c r="X1018" s="373"/>
      <c r="Y1018" s="348" t="s">
        <v>2948</v>
      </c>
      <c r="Z1018" s="348"/>
      <c r="AA1018" s="348"/>
    </row>
    <row r="1019" s="331" customFormat="1" ht="17" customHeight="1" spans="1:27">
      <c r="A1019" s="348"/>
      <c r="B1019" s="348" t="s">
        <v>185</v>
      </c>
      <c r="C1019" s="348" t="s">
        <v>886</v>
      </c>
      <c r="D1019" s="349" t="s">
        <v>187</v>
      </c>
      <c r="E1019" s="336">
        <v>43629</v>
      </c>
      <c r="F1019" s="336">
        <v>43629</v>
      </c>
      <c r="G1019" s="336">
        <v>43663</v>
      </c>
      <c r="H1019" s="334" t="s">
        <v>2949</v>
      </c>
      <c r="I1019" s="356">
        <v>13331872720</v>
      </c>
      <c r="J1019" s="361" t="s">
        <v>2950</v>
      </c>
      <c r="K1019" s="356">
        <v>1000</v>
      </c>
      <c r="L1019" s="334">
        <v>19287</v>
      </c>
      <c r="M1019" s="334"/>
      <c r="N1019" s="362">
        <f t="shared" si="31"/>
        <v>19287</v>
      </c>
      <c r="O1019" s="356"/>
      <c r="Q1019" s="356"/>
      <c r="R1019" s="356"/>
      <c r="S1019" s="356"/>
      <c r="T1019" s="356"/>
      <c r="U1019" s="372"/>
      <c r="V1019" s="372"/>
      <c r="W1019" s="372"/>
      <c r="X1019" s="373"/>
      <c r="Y1019" s="348" t="s">
        <v>2951</v>
      </c>
      <c r="Z1019" s="348"/>
      <c r="AA1019" s="348"/>
    </row>
    <row r="1020" s="331" customFormat="1" ht="15" customHeight="1" spans="1:27">
      <c r="A1020" s="550" t="s">
        <v>2952</v>
      </c>
      <c r="B1020" s="348" t="s">
        <v>58</v>
      </c>
      <c r="C1020" s="348" t="s">
        <v>59</v>
      </c>
      <c r="D1020" s="349" t="s">
        <v>271</v>
      </c>
      <c r="E1020" s="336">
        <v>43629</v>
      </c>
      <c r="F1020" s="336">
        <v>43623</v>
      </c>
      <c r="G1020" s="350"/>
      <c r="H1020" s="334" t="s">
        <v>2953</v>
      </c>
      <c r="I1020" s="356">
        <v>13051296996</v>
      </c>
      <c r="J1020" s="361" t="s">
        <v>2954</v>
      </c>
      <c r="K1020" s="356">
        <v>3000</v>
      </c>
      <c r="L1020" s="362"/>
      <c r="M1020" s="362"/>
      <c r="N1020" s="362">
        <f t="shared" si="31"/>
        <v>0</v>
      </c>
      <c r="O1020" s="365" t="s">
        <v>52</v>
      </c>
      <c r="Q1020" s="356"/>
      <c r="R1020" s="356"/>
      <c r="S1020" s="356"/>
      <c r="T1020" s="356"/>
      <c r="U1020" s="372"/>
      <c r="V1020" s="372"/>
      <c r="W1020" s="372"/>
      <c r="X1020" s="373">
        <v>1</v>
      </c>
      <c r="Y1020" s="348" t="s">
        <v>2955</v>
      </c>
      <c r="Z1020" s="348"/>
      <c r="AA1020" s="348"/>
    </row>
    <row r="1021" s="331" customFormat="1" ht="17" customHeight="1" spans="1:27">
      <c r="A1021" s="348"/>
      <c r="B1021" s="348" t="s">
        <v>169</v>
      </c>
      <c r="C1021" s="348" t="s">
        <v>542</v>
      </c>
      <c r="D1021" s="349" t="s">
        <v>171</v>
      </c>
      <c r="E1021" s="336">
        <v>43629</v>
      </c>
      <c r="F1021" s="336">
        <v>43629</v>
      </c>
      <c r="G1021" s="350"/>
      <c r="H1021" s="334" t="s">
        <v>2956</v>
      </c>
      <c r="I1021" s="356">
        <v>17721242378</v>
      </c>
      <c r="J1021" s="361" t="s">
        <v>2957</v>
      </c>
      <c r="K1021" s="356">
        <v>1000</v>
      </c>
      <c r="L1021" s="362"/>
      <c r="M1021" s="362"/>
      <c r="N1021" s="362">
        <f t="shared" si="31"/>
        <v>0</v>
      </c>
      <c r="O1021" s="356"/>
      <c r="Q1021" s="356"/>
      <c r="R1021" s="356"/>
      <c r="S1021" s="356"/>
      <c r="T1021" s="356"/>
      <c r="U1021" s="372" t="s">
        <v>2958</v>
      </c>
      <c r="V1021" s="372"/>
      <c r="W1021" s="372"/>
      <c r="X1021" s="373"/>
      <c r="Y1021" s="348"/>
      <c r="Z1021" s="348"/>
      <c r="AA1021" s="348"/>
    </row>
    <row r="1022" s="331" customFormat="1" ht="17" customHeight="1" spans="1:27">
      <c r="A1022" s="550" t="s">
        <v>2959</v>
      </c>
      <c r="B1022" s="348" t="s">
        <v>315</v>
      </c>
      <c r="C1022" s="348" t="s">
        <v>258</v>
      </c>
      <c r="D1022" s="352" t="s">
        <v>132</v>
      </c>
      <c r="E1022" s="336">
        <v>43629</v>
      </c>
      <c r="F1022" s="336">
        <v>43629</v>
      </c>
      <c r="G1022" s="336">
        <v>43667</v>
      </c>
      <c r="H1022" s="334" t="s">
        <v>2960</v>
      </c>
      <c r="I1022" s="356">
        <v>13761582244</v>
      </c>
      <c r="J1022" s="361" t="s">
        <v>2961</v>
      </c>
      <c r="K1022" s="356">
        <v>26140</v>
      </c>
      <c r="L1022" s="334">
        <v>13287</v>
      </c>
      <c r="M1022" s="362"/>
      <c r="N1022" s="362">
        <f t="shared" si="31"/>
        <v>13287</v>
      </c>
      <c r="O1022" s="356"/>
      <c r="Q1022" s="356"/>
      <c r="R1022" s="356"/>
      <c r="S1022" s="356"/>
      <c r="T1022" s="356"/>
      <c r="U1022" s="372"/>
      <c r="V1022" s="372"/>
      <c r="W1022" s="372"/>
      <c r="X1022" s="373"/>
      <c r="Y1022" s="348"/>
      <c r="Z1022" s="348" t="s">
        <v>1863</v>
      </c>
      <c r="AA1022" s="348"/>
    </row>
    <row r="1023" s="331" customFormat="1" ht="17" customHeight="1" spans="1:27">
      <c r="A1023" s="550" t="s">
        <v>2962</v>
      </c>
      <c r="B1023" s="348" t="s">
        <v>315</v>
      </c>
      <c r="C1023" s="348" t="s">
        <v>230</v>
      </c>
      <c r="D1023" s="349" t="s">
        <v>182</v>
      </c>
      <c r="E1023" s="336">
        <v>43630</v>
      </c>
      <c r="F1023" s="336">
        <v>43629</v>
      </c>
      <c r="G1023" s="336">
        <v>43648</v>
      </c>
      <c r="H1023" s="334" t="s">
        <v>2963</v>
      </c>
      <c r="I1023" s="356">
        <v>13524092010</v>
      </c>
      <c r="J1023" s="361" t="s">
        <v>2964</v>
      </c>
      <c r="K1023" s="356">
        <v>1000</v>
      </c>
      <c r="L1023" s="334">
        <v>5241</v>
      </c>
      <c r="M1023" s="362"/>
      <c r="N1023" s="362">
        <f t="shared" si="31"/>
        <v>5241</v>
      </c>
      <c r="O1023" s="356"/>
      <c r="Q1023" s="356"/>
      <c r="R1023" s="356"/>
      <c r="S1023" s="356"/>
      <c r="T1023" s="356"/>
      <c r="U1023" s="372"/>
      <c r="V1023" s="372"/>
      <c r="W1023" s="372"/>
      <c r="X1023" s="373"/>
      <c r="Y1023" s="348"/>
      <c r="Z1023" s="348"/>
      <c r="AA1023" s="348"/>
    </row>
    <row r="1024" s="331" customFormat="1" ht="17" customHeight="1" spans="1:27">
      <c r="A1024" s="550" t="s">
        <v>2965</v>
      </c>
      <c r="B1024" s="348" t="s">
        <v>185</v>
      </c>
      <c r="C1024" s="348" t="s">
        <v>886</v>
      </c>
      <c r="D1024" s="352" t="s">
        <v>132</v>
      </c>
      <c r="E1024" s="336">
        <v>43630</v>
      </c>
      <c r="F1024" s="336">
        <v>43629</v>
      </c>
      <c r="G1024" s="350"/>
      <c r="H1024" s="334" t="s">
        <v>2966</v>
      </c>
      <c r="I1024" s="356">
        <v>15801725483</v>
      </c>
      <c r="J1024" s="361" t="s">
        <v>2967</v>
      </c>
      <c r="K1024" s="356">
        <v>1299</v>
      </c>
      <c r="L1024" s="362"/>
      <c r="M1024" s="362"/>
      <c r="N1024" s="362">
        <f t="shared" si="31"/>
        <v>0</v>
      </c>
      <c r="O1024" s="356"/>
      <c r="Q1024" s="356"/>
      <c r="R1024" s="356"/>
      <c r="S1024" s="356"/>
      <c r="T1024" s="356"/>
      <c r="U1024" s="374">
        <v>43636</v>
      </c>
      <c r="V1024" s="372"/>
      <c r="W1024" s="372"/>
      <c r="X1024" s="373"/>
      <c r="Y1024" s="348"/>
      <c r="Z1024" s="348"/>
      <c r="AA1024" s="348"/>
    </row>
    <row r="1025" s="331" customFormat="1" ht="17" customHeight="1" spans="1:27">
      <c r="A1025" s="348"/>
      <c r="B1025" s="348" t="s">
        <v>66</v>
      </c>
      <c r="C1025" s="348" t="s">
        <v>505</v>
      </c>
      <c r="D1025" s="349" t="s">
        <v>68</v>
      </c>
      <c r="E1025" s="336">
        <v>43630</v>
      </c>
      <c r="F1025" s="336">
        <v>43630</v>
      </c>
      <c r="G1025" s="336">
        <v>43666</v>
      </c>
      <c r="H1025" s="334" t="s">
        <v>2968</v>
      </c>
      <c r="I1025" s="356">
        <v>18817307908</v>
      </c>
      <c r="J1025" s="361" t="s">
        <v>2969</v>
      </c>
      <c r="K1025" s="356">
        <v>1000</v>
      </c>
      <c r="L1025" s="334">
        <v>6534</v>
      </c>
      <c r="M1025" s="362"/>
      <c r="N1025" s="362">
        <f t="shared" si="31"/>
        <v>6534</v>
      </c>
      <c r="O1025" s="356"/>
      <c r="Q1025" s="356"/>
      <c r="R1025" s="356"/>
      <c r="S1025" s="356"/>
      <c r="T1025" s="356"/>
      <c r="U1025" s="372"/>
      <c r="V1025" s="372"/>
      <c r="W1025" s="372"/>
      <c r="X1025" s="373"/>
      <c r="Y1025" s="348" t="s">
        <v>2970</v>
      </c>
      <c r="Z1025" s="348"/>
      <c r="AA1025" s="348" t="s">
        <v>2971</v>
      </c>
    </row>
    <row r="1026" s="331" customFormat="1" ht="17" customHeight="1" spans="1:27">
      <c r="A1026" s="550" t="s">
        <v>2972</v>
      </c>
      <c r="B1026" s="348" t="s">
        <v>58</v>
      </c>
      <c r="C1026" s="348" t="s">
        <v>347</v>
      </c>
      <c r="D1026" s="334" t="s">
        <v>343</v>
      </c>
      <c r="E1026" s="336">
        <v>43705</v>
      </c>
      <c r="F1026" s="336">
        <v>43631</v>
      </c>
      <c r="G1026" s="336">
        <v>43699</v>
      </c>
      <c r="H1026" s="334" t="s">
        <v>2973</v>
      </c>
      <c r="I1026" s="356">
        <v>13916402846</v>
      </c>
      <c r="J1026" s="361" t="s">
        <v>2974</v>
      </c>
      <c r="K1026" s="356">
        <v>1000</v>
      </c>
      <c r="L1026" s="334">
        <f>21140-2100</f>
        <v>19040</v>
      </c>
      <c r="M1026" s="334">
        <v>2100</v>
      </c>
      <c r="N1026" s="362">
        <f t="shared" si="31"/>
        <v>21140</v>
      </c>
      <c r="O1026" s="356"/>
      <c r="Q1026" s="356"/>
      <c r="R1026" s="365"/>
      <c r="S1026" s="356"/>
      <c r="T1026" s="356"/>
      <c r="U1026" s="372"/>
      <c r="V1026" s="372"/>
      <c r="W1026" s="372"/>
      <c r="X1026" s="373"/>
      <c r="Y1026" s="348" t="s">
        <v>839</v>
      </c>
      <c r="Z1026" s="348"/>
      <c r="AA1026" s="348"/>
    </row>
    <row r="1027" s="331" customFormat="1" ht="17" customHeight="1" spans="1:27">
      <c r="A1027" s="348"/>
      <c r="B1027" s="348" t="s">
        <v>35</v>
      </c>
      <c r="C1027" s="348" t="s">
        <v>36</v>
      </c>
      <c r="D1027" s="334" t="s">
        <v>37</v>
      </c>
      <c r="E1027" s="336">
        <v>43751</v>
      </c>
      <c r="F1027" s="336">
        <v>43631</v>
      </c>
      <c r="G1027" s="336">
        <v>43751</v>
      </c>
      <c r="H1027" s="334" t="s">
        <v>2975</v>
      </c>
      <c r="I1027" s="356">
        <v>13621890330</v>
      </c>
      <c r="J1027" s="361" t="s">
        <v>2976</v>
      </c>
      <c r="K1027" s="356">
        <v>5000</v>
      </c>
      <c r="L1027" s="334">
        <v>37306</v>
      </c>
      <c r="M1027" s="362"/>
      <c r="N1027" s="362">
        <f t="shared" si="31"/>
        <v>37306</v>
      </c>
      <c r="O1027" s="356"/>
      <c r="P1027" s="356" t="s">
        <v>52</v>
      </c>
      <c r="Q1027" s="356"/>
      <c r="R1027" s="356"/>
      <c r="S1027" s="356"/>
      <c r="T1027" s="356"/>
      <c r="U1027" s="372"/>
      <c r="V1027" s="372"/>
      <c r="W1027" s="372"/>
      <c r="X1027" s="373"/>
      <c r="Y1027" s="348"/>
      <c r="Z1027" s="348"/>
      <c r="AA1027" s="348"/>
    </row>
    <row r="1028" s="331" customFormat="1" ht="17" customHeight="1" spans="1:27">
      <c r="A1028" s="348">
        <v>2067649</v>
      </c>
      <c r="B1028" s="348" t="s">
        <v>243</v>
      </c>
      <c r="C1028" s="348" t="s">
        <v>304</v>
      </c>
      <c r="D1028" s="352" t="s">
        <v>132</v>
      </c>
      <c r="E1028" s="336">
        <v>43631</v>
      </c>
      <c r="F1028" s="336">
        <v>43631</v>
      </c>
      <c r="G1028" s="350"/>
      <c r="H1028" s="334" t="s">
        <v>2977</v>
      </c>
      <c r="I1028" s="356">
        <v>13916663604</v>
      </c>
      <c r="J1028" s="361" t="s">
        <v>2978</v>
      </c>
      <c r="K1028" s="356">
        <v>1000</v>
      </c>
      <c r="L1028" s="362"/>
      <c r="M1028" s="362"/>
      <c r="N1028" s="362">
        <f t="shared" si="31"/>
        <v>0</v>
      </c>
      <c r="O1028" s="356"/>
      <c r="Q1028" s="356"/>
      <c r="R1028" s="356"/>
      <c r="S1028" s="356"/>
      <c r="T1028" s="356"/>
      <c r="U1028" s="372" t="s">
        <v>1348</v>
      </c>
      <c r="V1028" s="372"/>
      <c r="W1028" s="372"/>
      <c r="X1028" s="373"/>
      <c r="Y1028" s="348"/>
      <c r="Z1028" s="348"/>
      <c r="AA1028" s="348"/>
    </row>
    <row r="1029" s="331" customFormat="1" ht="17" customHeight="1" spans="1:27">
      <c r="A1029" s="550" t="s">
        <v>2979</v>
      </c>
      <c r="B1029" s="348" t="s">
        <v>31</v>
      </c>
      <c r="C1029" s="348" t="s">
        <v>419</v>
      </c>
      <c r="D1029" s="334" t="s">
        <v>221</v>
      </c>
      <c r="E1029" s="336">
        <v>43706</v>
      </c>
      <c r="F1029" s="336">
        <v>43631</v>
      </c>
      <c r="G1029" s="336">
        <v>43702</v>
      </c>
      <c r="H1029" s="334" t="s">
        <v>2980</v>
      </c>
      <c r="I1029" s="356">
        <v>13671765884</v>
      </c>
      <c r="J1029" s="361" t="s">
        <v>2981</v>
      </c>
      <c r="K1029" s="356">
        <v>5000</v>
      </c>
      <c r="L1029" s="334">
        <v>16000</v>
      </c>
      <c r="M1029" s="362"/>
      <c r="N1029" s="362">
        <f t="shared" si="31"/>
        <v>16000</v>
      </c>
      <c r="O1029" s="356"/>
      <c r="Q1029" s="366" t="s">
        <v>52</v>
      </c>
      <c r="R1029" s="356"/>
      <c r="S1029" s="356"/>
      <c r="T1029" s="356"/>
      <c r="U1029" s="372"/>
      <c r="V1029" s="372"/>
      <c r="W1029" s="372"/>
      <c r="X1029" s="373"/>
      <c r="Y1029" s="348"/>
      <c r="Z1029" s="348"/>
      <c r="AA1029" s="348"/>
    </row>
    <row r="1030" s="331" customFormat="1" ht="17" customHeight="1" spans="1:27">
      <c r="A1030" s="550" t="s">
        <v>2982</v>
      </c>
      <c r="B1030" s="348" t="s">
        <v>47</v>
      </c>
      <c r="C1030" s="348" t="s">
        <v>2399</v>
      </c>
      <c r="D1030" s="352" t="s">
        <v>49</v>
      </c>
      <c r="E1030" s="336">
        <v>43682</v>
      </c>
      <c r="F1030" s="336">
        <v>43631</v>
      </c>
      <c r="G1030" s="336">
        <v>43681</v>
      </c>
      <c r="H1030" s="334" t="s">
        <v>2983</v>
      </c>
      <c r="I1030" s="356">
        <v>13816438379</v>
      </c>
      <c r="J1030" s="361" t="s">
        <v>2984</v>
      </c>
      <c r="K1030" s="356">
        <v>3000</v>
      </c>
      <c r="L1030" s="334">
        <v>8600</v>
      </c>
      <c r="M1030" s="362"/>
      <c r="N1030" s="362">
        <f t="shared" si="31"/>
        <v>8600</v>
      </c>
      <c r="O1030" s="356"/>
      <c r="Q1030" s="356"/>
      <c r="R1030" s="356"/>
      <c r="S1030" s="356"/>
      <c r="T1030" s="356"/>
      <c r="U1030" s="372"/>
      <c r="V1030" s="372"/>
      <c r="W1030" s="372"/>
      <c r="X1030" s="373"/>
      <c r="Y1030" s="348"/>
      <c r="Z1030" s="348"/>
      <c r="AA1030" s="348"/>
    </row>
    <row r="1031" s="331" customFormat="1" ht="17" customHeight="1" spans="1:27">
      <c r="A1031" s="550" t="s">
        <v>2985</v>
      </c>
      <c r="B1031" s="348" t="s">
        <v>31</v>
      </c>
      <c r="C1031" s="348" t="s">
        <v>419</v>
      </c>
      <c r="D1031" s="352" t="s">
        <v>132</v>
      </c>
      <c r="E1031" s="336">
        <v>43631</v>
      </c>
      <c r="F1031" s="336">
        <v>43631</v>
      </c>
      <c r="G1031" s="350"/>
      <c r="H1031" s="334" t="s">
        <v>2986</v>
      </c>
      <c r="I1031" s="356">
        <v>15601622211</v>
      </c>
      <c r="J1031" s="361" t="s">
        <v>2987</v>
      </c>
      <c r="K1031" s="356">
        <v>1000</v>
      </c>
      <c r="L1031" s="362"/>
      <c r="M1031" s="362"/>
      <c r="N1031" s="362">
        <f t="shared" si="31"/>
        <v>0</v>
      </c>
      <c r="O1031" s="356"/>
      <c r="Q1031" s="356"/>
      <c r="R1031" s="366" t="s">
        <v>52</v>
      </c>
      <c r="S1031" s="356"/>
      <c r="T1031" s="356"/>
      <c r="U1031" s="400" t="s">
        <v>1796</v>
      </c>
      <c r="V1031" s="372"/>
      <c r="W1031" s="372"/>
      <c r="X1031" s="373"/>
      <c r="Y1031" s="348"/>
      <c r="Z1031" s="348"/>
      <c r="AA1031" s="348"/>
    </row>
    <row r="1032" s="331" customFormat="1" ht="17" customHeight="1" spans="1:27">
      <c r="A1032" s="348">
        <v>2026783</v>
      </c>
      <c r="B1032" s="348" t="s">
        <v>73</v>
      </c>
      <c r="C1032" s="348" t="s">
        <v>74</v>
      </c>
      <c r="D1032" s="352" t="s">
        <v>75</v>
      </c>
      <c r="E1032" s="336">
        <v>43618</v>
      </c>
      <c r="F1032" s="336">
        <v>43617</v>
      </c>
      <c r="G1032" s="350"/>
      <c r="H1032" s="334" t="s">
        <v>2988</v>
      </c>
      <c r="I1032" s="356">
        <v>14782585241</v>
      </c>
      <c r="J1032" s="361" t="s">
        <v>2989</v>
      </c>
      <c r="K1032" s="356">
        <v>1000</v>
      </c>
      <c r="L1032" s="362"/>
      <c r="M1032" s="362"/>
      <c r="N1032" s="362">
        <f t="shared" si="31"/>
        <v>0</v>
      </c>
      <c r="O1032" s="356"/>
      <c r="Q1032" s="366" t="s">
        <v>52</v>
      </c>
      <c r="R1032" s="356"/>
      <c r="S1032" s="356"/>
      <c r="T1032" s="356"/>
      <c r="U1032" s="372"/>
      <c r="V1032" s="372"/>
      <c r="W1032" s="372"/>
      <c r="X1032" s="373"/>
      <c r="Y1032" s="348" t="s">
        <v>787</v>
      </c>
      <c r="Z1032" s="348" t="s">
        <v>79</v>
      </c>
      <c r="AA1032" s="348"/>
    </row>
    <row r="1033" s="331" customFormat="1" ht="17" customHeight="1" spans="1:27">
      <c r="A1033" s="348"/>
      <c r="B1033" s="348" t="s">
        <v>66</v>
      </c>
      <c r="C1033" s="348" t="s">
        <v>1749</v>
      </c>
      <c r="D1033" s="349" t="s">
        <v>68</v>
      </c>
      <c r="E1033" s="336">
        <v>43708</v>
      </c>
      <c r="F1033" s="336">
        <v>43631</v>
      </c>
      <c r="G1033" s="336">
        <v>43706</v>
      </c>
      <c r="H1033" s="334" t="s">
        <v>2990</v>
      </c>
      <c r="I1033" s="356">
        <v>13501900535</v>
      </c>
      <c r="J1033" s="361" t="s">
        <v>2991</v>
      </c>
      <c r="K1033" s="356">
        <v>5000</v>
      </c>
      <c r="L1033" s="334">
        <v>21394</v>
      </c>
      <c r="M1033" s="362"/>
      <c r="N1033" s="362">
        <f t="shared" si="31"/>
        <v>21394</v>
      </c>
      <c r="O1033" s="356"/>
      <c r="Q1033" s="356" t="s">
        <v>21</v>
      </c>
      <c r="R1033" s="356"/>
      <c r="S1033" s="356"/>
      <c r="T1033" s="356"/>
      <c r="U1033" s="372"/>
      <c r="V1033" s="372"/>
      <c r="W1033" s="372"/>
      <c r="X1033" s="373"/>
      <c r="Y1033" s="348"/>
      <c r="Z1033" s="348"/>
      <c r="AA1033" s="348"/>
    </row>
    <row r="1034" s="331" customFormat="1" ht="17" customHeight="1" spans="1:27">
      <c r="A1034" s="550" t="s">
        <v>2992</v>
      </c>
      <c r="B1034" s="348" t="s">
        <v>315</v>
      </c>
      <c r="C1034" s="348" t="s">
        <v>275</v>
      </c>
      <c r="D1034" s="349" t="s">
        <v>162</v>
      </c>
      <c r="E1034" s="336">
        <v>43631</v>
      </c>
      <c r="F1034" s="336">
        <v>43631</v>
      </c>
      <c r="G1034" s="350" t="s">
        <v>69</v>
      </c>
      <c r="H1034" s="334" t="s">
        <v>2993</v>
      </c>
      <c r="I1034" s="356">
        <v>13524692148</v>
      </c>
      <c r="J1034" s="361" t="s">
        <v>2994</v>
      </c>
      <c r="K1034" s="356">
        <v>1000</v>
      </c>
      <c r="L1034" s="362"/>
      <c r="M1034" s="362"/>
      <c r="N1034" s="362">
        <f t="shared" si="31"/>
        <v>0</v>
      </c>
      <c r="O1034" s="356"/>
      <c r="Q1034" s="356">
        <v>1</v>
      </c>
      <c r="R1034" s="356"/>
      <c r="S1034" s="356"/>
      <c r="T1034" s="356"/>
      <c r="U1034" s="372"/>
      <c r="V1034" s="372"/>
      <c r="W1034" s="372"/>
      <c r="X1034" s="373"/>
      <c r="Y1034" s="348"/>
      <c r="Z1034" s="348"/>
      <c r="AA1034" s="348"/>
    </row>
    <row r="1035" s="331" customFormat="1" ht="17" customHeight="1" spans="1:27">
      <c r="A1035" s="348">
        <v>2066859</v>
      </c>
      <c r="B1035" s="348" t="s">
        <v>726</v>
      </c>
      <c r="C1035" s="348" t="s">
        <v>727</v>
      </c>
      <c r="D1035" s="349" t="s">
        <v>271</v>
      </c>
      <c r="E1035" s="336">
        <v>43631</v>
      </c>
      <c r="F1035" s="336">
        <v>43631</v>
      </c>
      <c r="G1035" s="336">
        <v>43673</v>
      </c>
      <c r="H1035" s="334" t="s">
        <v>2995</v>
      </c>
      <c r="I1035" s="356">
        <v>13816157587</v>
      </c>
      <c r="J1035" s="361" t="s">
        <v>2996</v>
      </c>
      <c r="K1035" s="356">
        <v>3134</v>
      </c>
      <c r="L1035" s="334">
        <v>5631</v>
      </c>
      <c r="M1035" s="362"/>
      <c r="N1035" s="362">
        <f t="shared" si="31"/>
        <v>5631</v>
      </c>
      <c r="O1035" s="356"/>
      <c r="P1035" s="356" t="s">
        <v>2997</v>
      </c>
      <c r="Q1035" s="356"/>
      <c r="R1035" s="356"/>
      <c r="S1035" s="356"/>
      <c r="T1035" s="356"/>
      <c r="U1035" s="372"/>
      <c r="V1035" s="372"/>
      <c r="W1035" s="372"/>
      <c r="X1035" s="373"/>
      <c r="Y1035" s="348"/>
      <c r="Z1035" s="348"/>
      <c r="AA1035" s="348"/>
    </row>
    <row r="1036" s="331" customFormat="1" ht="17" customHeight="1" spans="1:27">
      <c r="A1036" s="348"/>
      <c r="B1036" s="348" t="s">
        <v>35</v>
      </c>
      <c r="C1036" s="348" t="s">
        <v>36</v>
      </c>
      <c r="D1036" s="334" t="s">
        <v>37</v>
      </c>
      <c r="E1036" s="336">
        <v>43727</v>
      </c>
      <c r="F1036" s="336">
        <v>43631</v>
      </c>
      <c r="G1036" s="336">
        <v>43727</v>
      </c>
      <c r="H1036" s="334" t="s">
        <v>2998</v>
      </c>
      <c r="I1036" s="356">
        <v>13901858537</v>
      </c>
      <c r="J1036" s="361" t="s">
        <v>2999</v>
      </c>
      <c r="K1036" s="356">
        <v>5500</v>
      </c>
      <c r="L1036" s="334">
        <v>6048</v>
      </c>
      <c r="M1036" s="362"/>
      <c r="N1036" s="362">
        <f t="shared" si="31"/>
        <v>6048</v>
      </c>
      <c r="O1036" s="356" t="s">
        <v>52</v>
      </c>
      <c r="Q1036" s="356"/>
      <c r="R1036" s="356"/>
      <c r="S1036" s="356"/>
      <c r="T1036" s="356"/>
      <c r="U1036" s="372"/>
      <c r="V1036" s="372"/>
      <c r="W1036" s="372"/>
      <c r="X1036" s="373"/>
      <c r="Y1036" s="348"/>
      <c r="Z1036" s="348"/>
      <c r="AA1036" s="348"/>
    </row>
    <row r="1037" s="331" customFormat="1" ht="17" customHeight="1" spans="1:27">
      <c r="A1037" s="348"/>
      <c r="B1037" s="348" t="s">
        <v>35</v>
      </c>
      <c r="C1037" s="348" t="s">
        <v>328</v>
      </c>
      <c r="D1037" s="349" t="s">
        <v>37</v>
      </c>
      <c r="E1037" s="336">
        <v>43646</v>
      </c>
      <c r="F1037" s="336">
        <v>43646</v>
      </c>
      <c r="G1037" s="336">
        <v>43656</v>
      </c>
      <c r="H1037" s="334" t="s">
        <v>3000</v>
      </c>
      <c r="I1037" s="356">
        <v>15852966989</v>
      </c>
      <c r="J1037" s="361" t="s">
        <v>3001</v>
      </c>
      <c r="K1037" s="356">
        <v>1000</v>
      </c>
      <c r="L1037" s="334">
        <v>6893</v>
      </c>
      <c r="M1037" s="334"/>
      <c r="N1037" s="362">
        <f t="shared" si="31"/>
        <v>6893</v>
      </c>
      <c r="O1037" s="356"/>
      <c r="Q1037" s="356"/>
      <c r="R1037" s="356"/>
      <c r="S1037" s="356"/>
      <c r="T1037" s="356"/>
      <c r="U1037" s="372"/>
      <c r="V1037" s="372"/>
      <c r="W1037" s="372"/>
      <c r="X1037" s="373"/>
      <c r="Y1037" s="348"/>
      <c r="Z1037" s="348"/>
      <c r="AA1037" s="348"/>
    </row>
    <row r="1038" s="331" customFormat="1" ht="17" customHeight="1" spans="1:27">
      <c r="A1038" s="348"/>
      <c r="B1038" s="348" t="s">
        <v>153</v>
      </c>
      <c r="C1038" s="348" t="s">
        <v>302</v>
      </c>
      <c r="D1038" s="349" t="s">
        <v>155</v>
      </c>
      <c r="E1038" s="336">
        <v>43693</v>
      </c>
      <c r="F1038" s="336">
        <v>43645</v>
      </c>
      <c r="G1038" s="336">
        <v>43693</v>
      </c>
      <c r="H1038" s="334" t="s">
        <v>3002</v>
      </c>
      <c r="I1038" s="356">
        <v>15900500889</v>
      </c>
      <c r="J1038" s="361" t="s">
        <v>3003</v>
      </c>
      <c r="K1038" s="356">
        <v>1000</v>
      </c>
      <c r="L1038" s="334">
        <v>4792</v>
      </c>
      <c r="M1038" s="362"/>
      <c r="N1038" s="362">
        <f t="shared" si="31"/>
        <v>4792</v>
      </c>
      <c r="O1038" s="356"/>
      <c r="Q1038" s="356"/>
      <c r="R1038" s="356" t="s">
        <v>52</v>
      </c>
      <c r="S1038" s="356"/>
      <c r="T1038" s="356"/>
      <c r="U1038" s="372"/>
      <c r="V1038" s="372"/>
      <c r="W1038" s="372"/>
      <c r="X1038" s="373"/>
      <c r="Y1038" s="348"/>
      <c r="Z1038" s="348"/>
      <c r="AA1038" s="348"/>
    </row>
    <row r="1039" s="331" customFormat="1" ht="17" customHeight="1" spans="1:27">
      <c r="A1039" s="348">
        <v>2024538</v>
      </c>
      <c r="B1039" s="348" t="s">
        <v>73</v>
      </c>
      <c r="C1039" s="348" t="s">
        <v>74</v>
      </c>
      <c r="D1039" s="349" t="s">
        <v>143</v>
      </c>
      <c r="E1039" s="336">
        <v>43688</v>
      </c>
      <c r="F1039" s="336">
        <v>43630</v>
      </c>
      <c r="G1039" s="336">
        <v>43688</v>
      </c>
      <c r="H1039" s="334" t="s">
        <v>3004</v>
      </c>
      <c r="I1039" s="356">
        <v>13901800530</v>
      </c>
      <c r="J1039" s="361" t="s">
        <v>3005</v>
      </c>
      <c r="K1039" s="356">
        <v>1000</v>
      </c>
      <c r="L1039" s="334">
        <v>22042</v>
      </c>
      <c r="M1039" s="362"/>
      <c r="N1039" s="362">
        <f t="shared" si="31"/>
        <v>22042</v>
      </c>
      <c r="O1039" s="366" t="s">
        <v>52</v>
      </c>
      <c r="Q1039" s="356"/>
      <c r="R1039" s="356"/>
      <c r="S1039" s="356"/>
      <c r="T1039" s="356"/>
      <c r="U1039" s="372"/>
      <c r="V1039" s="372"/>
      <c r="W1039" s="372"/>
      <c r="X1039" s="373"/>
      <c r="Y1039" s="348"/>
      <c r="Z1039" s="348" t="s">
        <v>79</v>
      </c>
      <c r="AA1039" s="348"/>
    </row>
    <row r="1040" s="331" customFormat="1" ht="17" customHeight="1" spans="1:27">
      <c r="A1040" s="550" t="s">
        <v>3006</v>
      </c>
      <c r="B1040" s="348" t="s">
        <v>185</v>
      </c>
      <c r="C1040" s="348" t="s">
        <v>1133</v>
      </c>
      <c r="D1040" s="349" t="s">
        <v>44</v>
      </c>
      <c r="E1040" s="336">
        <v>43631</v>
      </c>
      <c r="F1040" s="336">
        <v>43624</v>
      </c>
      <c r="G1040" s="336">
        <v>43673</v>
      </c>
      <c r="H1040" s="334" t="s">
        <v>3007</v>
      </c>
      <c r="I1040" s="356">
        <v>13917166108</v>
      </c>
      <c r="J1040" s="361" t="s">
        <v>3008</v>
      </c>
      <c r="K1040" s="356">
        <v>5000</v>
      </c>
      <c r="L1040" s="334">
        <v>15562</v>
      </c>
      <c r="M1040" s="362"/>
      <c r="N1040" s="362">
        <f t="shared" si="31"/>
        <v>15562</v>
      </c>
      <c r="O1040" s="356"/>
      <c r="Q1040" s="356" t="s">
        <v>52</v>
      </c>
      <c r="R1040" s="356"/>
      <c r="S1040" s="356"/>
      <c r="T1040" s="356"/>
      <c r="U1040" s="372"/>
      <c r="V1040" s="372"/>
      <c r="W1040" s="372">
        <v>43666</v>
      </c>
      <c r="X1040" s="395"/>
      <c r="Y1040" s="348"/>
      <c r="Z1040" s="348"/>
      <c r="AA1040" s="348"/>
    </row>
    <row r="1041" s="331" customFormat="1" ht="17" customHeight="1" spans="1:27">
      <c r="A1041" s="348">
        <v>2027584</v>
      </c>
      <c r="B1041" s="348" t="s">
        <v>73</v>
      </c>
      <c r="C1041" s="348" t="s">
        <v>1130</v>
      </c>
      <c r="D1041" s="349" t="s">
        <v>132</v>
      </c>
      <c r="E1041" s="336">
        <v>43631</v>
      </c>
      <c r="F1041" s="336">
        <v>43630</v>
      </c>
      <c r="G1041" s="336">
        <v>43671</v>
      </c>
      <c r="H1041" s="334" t="s">
        <v>3009</v>
      </c>
      <c r="I1041" s="356">
        <v>18321569177</v>
      </c>
      <c r="J1041" s="361" t="s">
        <v>3010</v>
      </c>
      <c r="K1041" s="356">
        <v>1000</v>
      </c>
      <c r="L1041" s="334">
        <v>9771</v>
      </c>
      <c r="M1041" s="362"/>
      <c r="N1041" s="362">
        <f t="shared" si="31"/>
        <v>9771</v>
      </c>
      <c r="O1041" s="356"/>
      <c r="Q1041" s="366" t="s">
        <v>52</v>
      </c>
      <c r="R1041" s="356"/>
      <c r="S1041" s="356"/>
      <c r="T1041" s="356"/>
      <c r="U1041" s="372"/>
      <c r="V1041" s="372"/>
      <c r="W1041" s="372"/>
      <c r="X1041" s="373"/>
      <c r="Y1041" s="348"/>
      <c r="Z1041" s="348" t="s">
        <v>79</v>
      </c>
      <c r="AA1041" s="348"/>
    </row>
    <row r="1042" s="331" customFormat="1" ht="17" customHeight="1" spans="1:27">
      <c r="A1042" s="550" t="s">
        <v>3011</v>
      </c>
      <c r="B1042" s="348" t="s">
        <v>31</v>
      </c>
      <c r="C1042" s="348" t="s">
        <v>32</v>
      </c>
      <c r="D1042" s="349" t="s">
        <v>33</v>
      </c>
      <c r="E1042" s="336">
        <v>43631</v>
      </c>
      <c r="F1042" s="336">
        <v>43631</v>
      </c>
      <c r="G1042" s="350"/>
      <c r="H1042" s="334" t="s">
        <v>3012</v>
      </c>
      <c r="I1042" s="356">
        <v>18149717676</v>
      </c>
      <c r="J1042" s="361" t="s">
        <v>3013</v>
      </c>
      <c r="K1042" s="356">
        <v>15000</v>
      </c>
      <c r="L1042" s="362"/>
      <c r="M1042" s="362"/>
      <c r="N1042" s="362">
        <f t="shared" ref="N1042:N1060" si="32">L1042+M1042</f>
        <v>0</v>
      </c>
      <c r="O1042" s="366" t="s">
        <v>52</v>
      </c>
      <c r="Q1042" s="356"/>
      <c r="R1042" s="356"/>
      <c r="S1042" s="356"/>
      <c r="T1042" s="356"/>
      <c r="U1042" s="372"/>
      <c r="V1042" s="372"/>
      <c r="W1042" s="372"/>
      <c r="X1042" s="373"/>
      <c r="Y1042" s="348"/>
      <c r="Z1042" s="348"/>
      <c r="AA1042" s="348"/>
    </row>
    <row r="1043" s="331" customFormat="1" ht="17" customHeight="1" spans="1:27">
      <c r="A1043" s="550" t="s">
        <v>3014</v>
      </c>
      <c r="B1043" s="348" t="s">
        <v>169</v>
      </c>
      <c r="C1043" s="348" t="s">
        <v>542</v>
      </c>
      <c r="D1043" s="349" t="s">
        <v>171</v>
      </c>
      <c r="E1043" s="336">
        <v>43740</v>
      </c>
      <c r="F1043" s="336">
        <v>43631</v>
      </c>
      <c r="G1043" s="336">
        <v>43740</v>
      </c>
      <c r="H1043" s="334" t="s">
        <v>3015</v>
      </c>
      <c r="I1043" s="356">
        <v>13817351690</v>
      </c>
      <c r="J1043" s="361" t="s">
        <v>3016</v>
      </c>
      <c r="K1043" s="356">
        <v>1000</v>
      </c>
      <c r="L1043" s="334">
        <f>9446-1104</f>
        <v>8342</v>
      </c>
      <c r="M1043" s="334">
        <v>1104</v>
      </c>
      <c r="N1043" s="362">
        <f t="shared" si="32"/>
        <v>9446</v>
      </c>
      <c r="O1043" s="356" t="s">
        <v>19</v>
      </c>
      <c r="Q1043" s="356"/>
      <c r="R1043" s="356"/>
      <c r="S1043" s="356"/>
      <c r="T1043" s="356"/>
      <c r="U1043" s="372"/>
      <c r="V1043" s="372"/>
      <c r="W1043" s="372"/>
      <c r="X1043" s="373"/>
      <c r="Y1043" s="348" t="s">
        <v>839</v>
      </c>
      <c r="Z1043" s="348"/>
      <c r="AA1043" s="348"/>
    </row>
    <row r="1044" s="331" customFormat="1" ht="17" customHeight="1" spans="1:27">
      <c r="A1044" s="550" t="s">
        <v>3017</v>
      </c>
      <c r="B1044" s="348" t="s">
        <v>359</v>
      </c>
      <c r="C1044" s="348" t="s">
        <v>3018</v>
      </c>
      <c r="D1044" s="349" t="s">
        <v>361</v>
      </c>
      <c r="E1044" s="336">
        <v>43684</v>
      </c>
      <c r="F1044" s="336">
        <v>43631</v>
      </c>
      <c r="G1044" s="336">
        <v>43684</v>
      </c>
      <c r="H1044" s="334" t="s">
        <v>3019</v>
      </c>
      <c r="I1044" s="356" t="s">
        <v>3020</v>
      </c>
      <c r="J1044" s="361" t="s">
        <v>3021</v>
      </c>
      <c r="K1044" s="356">
        <v>1000</v>
      </c>
      <c r="L1044" s="334">
        <v>11659</v>
      </c>
      <c r="M1044" s="362"/>
      <c r="N1044" s="362">
        <f t="shared" si="32"/>
        <v>11659</v>
      </c>
      <c r="O1044" s="356"/>
      <c r="Q1044" s="356"/>
      <c r="R1044" s="356"/>
      <c r="S1044" s="356" t="s">
        <v>23</v>
      </c>
      <c r="T1044" s="356"/>
      <c r="U1044" s="372"/>
      <c r="V1044" s="372"/>
      <c r="W1044" s="372" t="s">
        <v>3022</v>
      </c>
      <c r="X1044" s="373"/>
      <c r="Y1044" s="348"/>
      <c r="Z1044" s="348"/>
      <c r="AA1044" s="348"/>
    </row>
    <row r="1045" s="331" customFormat="1" ht="17" customHeight="1" spans="1:27">
      <c r="A1045" s="550" t="s">
        <v>3023</v>
      </c>
      <c r="B1045" s="348" t="s">
        <v>160</v>
      </c>
      <c r="C1045" s="348" t="s">
        <v>275</v>
      </c>
      <c r="D1045" s="349" t="s">
        <v>162</v>
      </c>
      <c r="E1045" s="336">
        <v>43754</v>
      </c>
      <c r="F1045" s="336">
        <v>43631</v>
      </c>
      <c r="G1045" s="336">
        <v>43753</v>
      </c>
      <c r="H1045" s="334" t="s">
        <v>3024</v>
      </c>
      <c r="I1045" s="356">
        <v>13062862075</v>
      </c>
      <c r="J1045" s="361" t="s">
        <v>3025</v>
      </c>
      <c r="K1045" s="356">
        <v>1000</v>
      </c>
      <c r="L1045" s="334">
        <v>4118</v>
      </c>
      <c r="M1045" s="362"/>
      <c r="N1045" s="362">
        <f t="shared" si="32"/>
        <v>4118</v>
      </c>
      <c r="O1045" s="356">
        <v>1</v>
      </c>
      <c r="Q1045" s="356"/>
      <c r="R1045" s="356"/>
      <c r="S1045" s="356"/>
      <c r="T1045" s="356"/>
      <c r="U1045" s="372"/>
      <c r="V1045" s="372"/>
      <c r="W1045" s="372"/>
      <c r="X1045" s="373"/>
      <c r="Y1045" s="348"/>
      <c r="Z1045" s="348"/>
      <c r="AA1045" s="348"/>
    </row>
    <row r="1046" s="331" customFormat="1" ht="17" customHeight="1" spans="1:27">
      <c r="A1046" s="550" t="s">
        <v>3026</v>
      </c>
      <c r="B1046" s="348" t="s">
        <v>66</v>
      </c>
      <c r="C1046" s="348" t="s">
        <v>505</v>
      </c>
      <c r="D1046" s="349" t="s">
        <v>182</v>
      </c>
      <c r="E1046" s="336">
        <v>43631</v>
      </c>
      <c r="F1046" s="336">
        <v>43631</v>
      </c>
      <c r="G1046" s="336">
        <v>43677</v>
      </c>
      <c r="H1046" s="334" t="s">
        <v>3027</v>
      </c>
      <c r="I1046" s="356">
        <v>17717652547</v>
      </c>
      <c r="J1046" s="361" t="s">
        <v>3028</v>
      </c>
      <c r="K1046" s="356">
        <v>1000</v>
      </c>
      <c r="L1046" s="334">
        <v>4949</v>
      </c>
      <c r="M1046" s="362"/>
      <c r="N1046" s="362">
        <f t="shared" si="32"/>
        <v>4949</v>
      </c>
      <c r="O1046" s="356"/>
      <c r="Q1046" s="356"/>
      <c r="R1046" s="356"/>
      <c r="S1046" s="356"/>
      <c r="T1046" s="356"/>
      <c r="U1046" s="372"/>
      <c r="V1046" s="372" t="s">
        <v>2172</v>
      </c>
      <c r="W1046" s="372"/>
      <c r="X1046" s="373"/>
      <c r="Y1046" s="348" t="s">
        <v>856</v>
      </c>
      <c r="Z1046" s="348"/>
      <c r="AA1046" s="348"/>
    </row>
    <row r="1047" s="331" customFormat="1" ht="17" customHeight="1" spans="1:27">
      <c r="A1047" s="550" t="s">
        <v>3029</v>
      </c>
      <c r="B1047" s="348" t="s">
        <v>42</v>
      </c>
      <c r="C1047" s="348" t="s">
        <v>43</v>
      </c>
      <c r="D1047" s="349" t="s">
        <v>149</v>
      </c>
      <c r="E1047" s="336">
        <v>43631</v>
      </c>
      <c r="F1047" s="336">
        <v>43631</v>
      </c>
      <c r="G1047" s="350"/>
      <c r="H1047" s="334" t="s">
        <v>3030</v>
      </c>
      <c r="I1047" s="356">
        <v>13817095410</v>
      </c>
      <c r="J1047" s="361" t="s">
        <v>3031</v>
      </c>
      <c r="K1047" s="356">
        <v>3000</v>
      </c>
      <c r="L1047" s="362"/>
      <c r="M1047" s="362"/>
      <c r="N1047" s="362">
        <f t="shared" si="32"/>
        <v>0</v>
      </c>
      <c r="O1047" s="356"/>
      <c r="Q1047" s="356"/>
      <c r="R1047" s="356"/>
      <c r="S1047" s="356"/>
      <c r="T1047" s="356"/>
      <c r="U1047" s="372" t="s">
        <v>12</v>
      </c>
      <c r="V1047" s="372"/>
      <c r="W1047" s="372"/>
      <c r="X1047" s="373"/>
      <c r="Y1047" s="348"/>
      <c r="Z1047" s="348"/>
      <c r="AA1047" s="348"/>
    </row>
    <row r="1048" s="331" customFormat="1" ht="17" customHeight="1" spans="1:27">
      <c r="A1048" s="550" t="s">
        <v>3032</v>
      </c>
      <c r="B1048" s="348" t="s">
        <v>315</v>
      </c>
      <c r="C1048" s="348" t="s">
        <v>161</v>
      </c>
      <c r="D1048" s="349" t="s">
        <v>162</v>
      </c>
      <c r="E1048" s="336">
        <v>43631</v>
      </c>
      <c r="F1048" s="336">
        <v>43631</v>
      </c>
      <c r="G1048" s="350"/>
      <c r="H1048" s="334" t="s">
        <v>3033</v>
      </c>
      <c r="I1048" s="356">
        <v>13917105980</v>
      </c>
      <c r="J1048" s="361" t="s">
        <v>3034</v>
      </c>
      <c r="K1048" s="356">
        <v>1000</v>
      </c>
      <c r="L1048" s="362"/>
      <c r="M1048" s="362"/>
      <c r="N1048" s="362">
        <f t="shared" si="32"/>
        <v>0</v>
      </c>
      <c r="O1048" s="356"/>
      <c r="Q1048" s="356"/>
      <c r="R1048" s="356"/>
      <c r="S1048" s="356"/>
      <c r="T1048" s="356"/>
      <c r="U1048" s="372" t="s">
        <v>3035</v>
      </c>
      <c r="V1048" s="372"/>
      <c r="W1048" s="372"/>
      <c r="X1048" s="373"/>
      <c r="Y1048" s="348"/>
      <c r="Z1048" s="348"/>
      <c r="AA1048" s="348"/>
    </row>
    <row r="1049" s="331" customFormat="1" ht="17" customHeight="1" spans="1:27">
      <c r="A1049" s="550" t="s">
        <v>3036</v>
      </c>
      <c r="B1049" s="348" t="s">
        <v>185</v>
      </c>
      <c r="C1049" s="348" t="s">
        <v>886</v>
      </c>
      <c r="D1049" s="349" t="s">
        <v>37</v>
      </c>
      <c r="E1049" s="336">
        <v>43632</v>
      </c>
      <c r="F1049" s="336">
        <v>43631</v>
      </c>
      <c r="G1049" s="336">
        <v>43659</v>
      </c>
      <c r="H1049" s="334" t="s">
        <v>3037</v>
      </c>
      <c r="I1049" s="356">
        <v>13512668900</v>
      </c>
      <c r="J1049" s="361" t="s">
        <v>3038</v>
      </c>
      <c r="K1049" s="356">
        <v>1000</v>
      </c>
      <c r="L1049" s="334">
        <v>11275</v>
      </c>
      <c r="M1049" s="334"/>
      <c r="N1049" s="362">
        <f t="shared" si="32"/>
        <v>11275</v>
      </c>
      <c r="O1049" s="356"/>
      <c r="Q1049" s="356"/>
      <c r="R1049" s="356"/>
      <c r="S1049" s="356"/>
      <c r="T1049" s="356"/>
      <c r="U1049" s="372"/>
      <c r="V1049" s="372"/>
      <c r="W1049" s="372"/>
      <c r="X1049" s="373"/>
      <c r="Y1049" s="348"/>
      <c r="Z1049" s="348"/>
      <c r="AA1049" s="348"/>
    </row>
    <row r="1050" s="331" customFormat="1" ht="15" customHeight="1" spans="1:27">
      <c r="A1050" s="550" t="s">
        <v>3039</v>
      </c>
      <c r="B1050" s="348" t="s">
        <v>405</v>
      </c>
      <c r="C1050" s="334" t="s">
        <v>1234</v>
      </c>
      <c r="D1050" s="349" t="s">
        <v>407</v>
      </c>
      <c r="E1050" s="336">
        <v>43821</v>
      </c>
      <c r="F1050" s="336">
        <v>43631</v>
      </c>
      <c r="G1050" s="336">
        <v>43821</v>
      </c>
      <c r="H1050" s="334" t="s">
        <v>3040</v>
      </c>
      <c r="I1050" s="356">
        <v>13916786596</v>
      </c>
      <c r="J1050" s="361" t="s">
        <v>3041</v>
      </c>
      <c r="K1050" s="356">
        <v>1000</v>
      </c>
      <c r="L1050" s="334">
        <v>11713</v>
      </c>
      <c r="M1050" s="362"/>
      <c r="N1050" s="362">
        <f t="shared" si="32"/>
        <v>11713</v>
      </c>
      <c r="O1050" s="356"/>
      <c r="Q1050" s="356" t="s">
        <v>52</v>
      </c>
      <c r="R1050" s="356"/>
      <c r="S1050" s="356"/>
      <c r="T1050" s="356"/>
      <c r="U1050" s="372"/>
      <c r="V1050" s="372"/>
      <c r="W1050" s="372"/>
      <c r="X1050" s="373"/>
      <c r="Y1050" s="348"/>
      <c r="Z1050" s="348"/>
      <c r="AA1050" s="348"/>
    </row>
    <row r="1051" s="331" customFormat="1" ht="17" customHeight="1" spans="1:27">
      <c r="A1051" s="550" t="s">
        <v>3042</v>
      </c>
      <c r="B1051" s="348" t="s">
        <v>58</v>
      </c>
      <c r="C1051" s="348" t="s">
        <v>342</v>
      </c>
      <c r="D1051" s="349" t="s">
        <v>110</v>
      </c>
      <c r="E1051" s="336">
        <v>43636</v>
      </c>
      <c r="F1051" s="336">
        <v>43631</v>
      </c>
      <c r="G1051" s="336">
        <v>43660</v>
      </c>
      <c r="H1051" s="334" t="s">
        <v>3043</v>
      </c>
      <c r="I1051" s="356">
        <v>13918851994</v>
      </c>
      <c r="J1051" s="361" t="s">
        <v>3044</v>
      </c>
      <c r="K1051" s="356">
        <v>6000</v>
      </c>
      <c r="L1051" s="334">
        <v>14550</v>
      </c>
      <c r="M1051" s="334">
        <f>736+1104</f>
        <v>1840</v>
      </c>
      <c r="N1051" s="362">
        <f t="shared" si="32"/>
        <v>16390</v>
      </c>
      <c r="O1051" s="356"/>
      <c r="Q1051" s="356"/>
      <c r="R1051" s="356"/>
      <c r="S1051" s="356"/>
      <c r="T1051" s="356"/>
      <c r="U1051" s="372"/>
      <c r="V1051" s="372"/>
      <c r="W1051" s="372"/>
      <c r="X1051" s="373"/>
      <c r="Y1051" s="348" t="s">
        <v>839</v>
      </c>
      <c r="Z1051" s="348"/>
      <c r="AA1051" s="348" t="s">
        <v>3045</v>
      </c>
    </row>
    <row r="1052" s="331" customFormat="1" ht="17" customHeight="1" spans="1:27">
      <c r="A1052" s="550" t="s">
        <v>3046</v>
      </c>
      <c r="B1052" s="348" t="s">
        <v>58</v>
      </c>
      <c r="C1052" s="348" t="s">
        <v>59</v>
      </c>
      <c r="D1052" s="349" t="s">
        <v>271</v>
      </c>
      <c r="E1052" s="336">
        <v>43598</v>
      </c>
      <c r="F1052" s="336">
        <v>43597</v>
      </c>
      <c r="G1052" s="336">
        <v>43674</v>
      </c>
      <c r="H1052" s="334" t="s">
        <v>3047</v>
      </c>
      <c r="I1052" s="356">
        <v>15900680472</v>
      </c>
      <c r="J1052" s="361" t="s">
        <v>3048</v>
      </c>
      <c r="K1052" s="356">
        <f>10000+1000</f>
        <v>11000</v>
      </c>
      <c r="L1052" s="334">
        <v>13856</v>
      </c>
      <c r="M1052" s="362"/>
      <c r="N1052" s="362">
        <f t="shared" si="32"/>
        <v>13856</v>
      </c>
      <c r="O1052" s="365"/>
      <c r="Q1052" s="356"/>
      <c r="R1052" s="365" t="s">
        <v>52</v>
      </c>
      <c r="S1052" s="356"/>
      <c r="T1052" s="356"/>
      <c r="U1052" s="372"/>
      <c r="V1052" s="372"/>
      <c r="W1052" s="372"/>
      <c r="X1052" s="373"/>
      <c r="Y1052" s="348"/>
      <c r="Z1052" s="348"/>
      <c r="AA1052" s="348"/>
    </row>
    <row r="1053" s="331" customFormat="1" ht="17" customHeight="1" spans="1:27">
      <c r="A1053" s="550" t="s">
        <v>3049</v>
      </c>
      <c r="B1053" s="348" t="s">
        <v>123</v>
      </c>
      <c r="C1053" s="348" t="s">
        <v>124</v>
      </c>
      <c r="D1053" s="349" t="s">
        <v>125</v>
      </c>
      <c r="E1053" s="336">
        <v>43632</v>
      </c>
      <c r="F1053" s="336">
        <v>43631</v>
      </c>
      <c r="G1053" s="336">
        <v>43666</v>
      </c>
      <c r="H1053" s="334" t="s">
        <v>3050</v>
      </c>
      <c r="I1053" s="356">
        <v>13331903102</v>
      </c>
      <c r="J1053" s="361" t="s">
        <v>3051</v>
      </c>
      <c r="K1053" s="356">
        <v>1999</v>
      </c>
      <c r="L1053" s="334">
        <v>3699</v>
      </c>
      <c r="M1053" s="334">
        <v>736</v>
      </c>
      <c r="N1053" s="362">
        <f t="shared" si="32"/>
        <v>4435</v>
      </c>
      <c r="O1053" s="356"/>
      <c r="Q1053" s="356"/>
      <c r="R1053" s="356"/>
      <c r="S1053" s="356"/>
      <c r="T1053" s="356"/>
      <c r="U1053" s="372"/>
      <c r="V1053" s="372"/>
      <c r="W1053" s="372"/>
      <c r="X1053" s="373"/>
      <c r="Y1053" s="348"/>
      <c r="Z1053" s="348"/>
      <c r="AA1053" s="348"/>
    </row>
    <row r="1054" s="331" customFormat="1" ht="17" customHeight="1" spans="1:27">
      <c r="A1054" s="550" t="s">
        <v>3052</v>
      </c>
      <c r="B1054" s="348" t="s">
        <v>123</v>
      </c>
      <c r="C1054" s="348" t="s">
        <v>124</v>
      </c>
      <c r="D1054" s="349" t="s">
        <v>125</v>
      </c>
      <c r="E1054" s="336">
        <v>43632</v>
      </c>
      <c r="F1054" s="336">
        <v>43631</v>
      </c>
      <c r="G1054" s="350"/>
      <c r="H1054" s="334" t="s">
        <v>3053</v>
      </c>
      <c r="I1054" s="356">
        <v>18964793023</v>
      </c>
      <c r="J1054" s="361" t="s">
        <v>3054</v>
      </c>
      <c r="K1054" s="356">
        <v>1299</v>
      </c>
      <c r="L1054" s="362"/>
      <c r="M1054" s="362"/>
      <c r="N1054" s="362">
        <f t="shared" si="32"/>
        <v>0</v>
      </c>
      <c r="O1054" s="356"/>
      <c r="Q1054" s="356"/>
      <c r="R1054" s="356"/>
      <c r="S1054" s="356"/>
      <c r="T1054" s="356"/>
      <c r="U1054" s="372" t="s">
        <v>40</v>
      </c>
      <c r="V1054" s="372"/>
      <c r="W1054" s="372"/>
      <c r="X1054" s="373"/>
      <c r="Y1054" s="348"/>
      <c r="Z1054" s="348"/>
      <c r="AA1054" s="348"/>
    </row>
    <row r="1055" s="331" customFormat="1" ht="17" customHeight="1" spans="1:27">
      <c r="A1055" s="550" t="s">
        <v>3055</v>
      </c>
      <c r="B1055" s="348" t="s">
        <v>123</v>
      </c>
      <c r="C1055" s="348" t="s">
        <v>2301</v>
      </c>
      <c r="D1055" s="349" t="s">
        <v>125</v>
      </c>
      <c r="E1055" s="336">
        <v>43632</v>
      </c>
      <c r="F1055" s="336">
        <v>43631</v>
      </c>
      <c r="G1055" s="336">
        <v>43653</v>
      </c>
      <c r="H1055" s="334" t="s">
        <v>3056</v>
      </c>
      <c r="I1055" s="356">
        <v>13331916673</v>
      </c>
      <c r="J1055" s="361" t="s">
        <v>3057</v>
      </c>
      <c r="K1055" s="356">
        <v>5000</v>
      </c>
      <c r="L1055" s="334">
        <v>15974</v>
      </c>
      <c r="M1055" s="334">
        <v>1104</v>
      </c>
      <c r="N1055" s="362">
        <f t="shared" si="32"/>
        <v>17078</v>
      </c>
      <c r="O1055" s="356"/>
      <c r="Q1055" s="356"/>
      <c r="R1055" s="356"/>
      <c r="S1055" s="356"/>
      <c r="T1055" s="356"/>
      <c r="U1055" s="372"/>
      <c r="V1055" s="372"/>
      <c r="W1055" s="372"/>
      <c r="X1055" s="373"/>
      <c r="Y1055" s="348"/>
      <c r="Z1055" s="348"/>
      <c r="AA1055" s="348"/>
    </row>
    <row r="1056" s="331" customFormat="1" ht="17" customHeight="1" spans="1:27">
      <c r="A1056" s="348">
        <v>2066055</v>
      </c>
      <c r="B1056" s="348" t="s">
        <v>205</v>
      </c>
      <c r="C1056" s="348" t="s">
        <v>1467</v>
      </c>
      <c r="D1056" s="334" t="s">
        <v>407</v>
      </c>
      <c r="E1056" s="336">
        <v>43737</v>
      </c>
      <c r="F1056" s="336">
        <v>43631</v>
      </c>
      <c r="G1056" s="336">
        <v>43737</v>
      </c>
      <c r="H1056" s="334" t="s">
        <v>3058</v>
      </c>
      <c r="I1056" s="356">
        <v>18930270711</v>
      </c>
      <c r="J1056" s="361" t="s">
        <v>3059</v>
      </c>
      <c r="K1056" s="356">
        <v>1000</v>
      </c>
      <c r="L1056" s="334">
        <f>19665-1452</f>
        <v>18213</v>
      </c>
      <c r="M1056" s="334">
        <v>1452</v>
      </c>
      <c r="N1056" s="362">
        <f t="shared" si="32"/>
        <v>19665</v>
      </c>
      <c r="O1056" s="356"/>
      <c r="P1056" s="331" t="s">
        <v>20</v>
      </c>
      <c r="Q1056" s="356"/>
      <c r="R1056" s="356"/>
      <c r="S1056" s="356"/>
      <c r="T1056" s="356"/>
      <c r="U1056" s="372"/>
      <c r="V1056" s="372"/>
      <c r="W1056" s="372"/>
      <c r="X1056" s="373"/>
      <c r="Y1056" s="348" t="s">
        <v>856</v>
      </c>
      <c r="Z1056" s="348"/>
      <c r="AA1056" s="348"/>
    </row>
    <row r="1057" s="331" customFormat="1" ht="17" customHeight="1" spans="1:27">
      <c r="A1057" s="550" t="s">
        <v>3060</v>
      </c>
      <c r="B1057" s="348" t="s">
        <v>315</v>
      </c>
      <c r="C1057" s="348" t="s">
        <v>161</v>
      </c>
      <c r="D1057" s="349" t="s">
        <v>162</v>
      </c>
      <c r="E1057" s="336">
        <v>43631</v>
      </c>
      <c r="F1057" s="336">
        <v>43631</v>
      </c>
      <c r="G1057" s="350" t="s">
        <v>69</v>
      </c>
      <c r="H1057" s="334" t="s">
        <v>539</v>
      </c>
      <c r="I1057" s="356">
        <v>15901797517</v>
      </c>
      <c r="J1057" s="361" t="s">
        <v>3061</v>
      </c>
      <c r="K1057" s="356">
        <v>1000</v>
      </c>
      <c r="L1057" s="362"/>
      <c r="M1057" s="362"/>
      <c r="N1057" s="362">
        <f t="shared" si="32"/>
        <v>0</v>
      </c>
      <c r="O1057" s="356"/>
      <c r="Q1057" s="356"/>
      <c r="R1057" s="356"/>
      <c r="S1057" s="356"/>
      <c r="T1057" s="356"/>
      <c r="U1057" s="372"/>
      <c r="V1057" s="372"/>
      <c r="W1057" s="372"/>
      <c r="X1057" s="373"/>
      <c r="Y1057" s="348"/>
      <c r="Z1057" s="348"/>
      <c r="AA1057" s="348"/>
    </row>
    <row r="1058" s="331" customFormat="1" ht="17" customHeight="1" spans="1:27">
      <c r="A1058" s="550" t="s">
        <v>3062</v>
      </c>
      <c r="B1058" s="348" t="s">
        <v>169</v>
      </c>
      <c r="C1058" s="348" t="s">
        <v>634</v>
      </c>
      <c r="D1058" s="349" t="s">
        <v>635</v>
      </c>
      <c r="E1058" s="336">
        <v>43641</v>
      </c>
      <c r="F1058" s="336">
        <v>43631</v>
      </c>
      <c r="G1058" s="336">
        <v>43657</v>
      </c>
      <c r="H1058" s="334" t="s">
        <v>3063</v>
      </c>
      <c r="I1058" s="356">
        <v>18616923935</v>
      </c>
      <c r="J1058" s="361" t="s">
        <v>3064</v>
      </c>
      <c r="K1058" s="356">
        <v>3000</v>
      </c>
      <c r="L1058" s="334">
        <v>9251</v>
      </c>
      <c r="M1058" s="334"/>
      <c r="N1058" s="362">
        <f t="shared" si="32"/>
        <v>9251</v>
      </c>
      <c r="O1058" s="356"/>
      <c r="Q1058" s="356"/>
      <c r="R1058" s="356"/>
      <c r="S1058" s="356"/>
      <c r="T1058" s="356"/>
      <c r="U1058" s="372"/>
      <c r="V1058" s="372"/>
      <c r="W1058" s="372"/>
      <c r="X1058" s="373"/>
      <c r="Y1058" s="348"/>
      <c r="Z1058" s="348"/>
      <c r="AA1058" s="348"/>
    </row>
    <row r="1059" s="331" customFormat="1" ht="17" customHeight="1" spans="1:27">
      <c r="A1059" s="550" t="s">
        <v>3065</v>
      </c>
      <c r="B1059" s="348" t="s">
        <v>354</v>
      </c>
      <c r="C1059" s="348" t="s">
        <v>355</v>
      </c>
      <c r="D1059" s="349" t="s">
        <v>162</v>
      </c>
      <c r="E1059" s="336">
        <v>43689</v>
      </c>
      <c r="F1059" s="336">
        <v>43631</v>
      </c>
      <c r="G1059" s="336">
        <v>43688</v>
      </c>
      <c r="H1059" s="334" t="s">
        <v>3066</v>
      </c>
      <c r="I1059" s="356">
        <v>13816283304</v>
      </c>
      <c r="J1059" s="361" t="s">
        <v>3067</v>
      </c>
      <c r="K1059" s="356">
        <v>1000</v>
      </c>
      <c r="L1059" s="334">
        <v>6518</v>
      </c>
      <c r="M1059" s="362"/>
      <c r="N1059" s="362">
        <f t="shared" si="32"/>
        <v>6518</v>
      </c>
      <c r="O1059" s="356"/>
      <c r="P1059" s="356" t="s">
        <v>52</v>
      </c>
      <c r="Q1059" s="356"/>
      <c r="R1059" s="356"/>
      <c r="S1059" s="356"/>
      <c r="T1059" s="356"/>
      <c r="U1059" s="372"/>
      <c r="V1059" s="403">
        <v>43683</v>
      </c>
      <c r="W1059" s="372"/>
      <c r="X1059" s="373"/>
      <c r="Y1059" s="348"/>
      <c r="Z1059" s="348"/>
      <c r="AA1059" s="348"/>
    </row>
    <row r="1060" s="331" customFormat="1" ht="17" customHeight="1" spans="1:27">
      <c r="A1060" s="348"/>
      <c r="B1060" s="348" t="s">
        <v>87</v>
      </c>
      <c r="C1060" s="348" t="s">
        <v>1757</v>
      </c>
      <c r="D1060" s="349" t="s">
        <v>171</v>
      </c>
      <c r="E1060" s="336">
        <v>43632</v>
      </c>
      <c r="F1060" s="336">
        <v>43625</v>
      </c>
      <c r="G1060" s="336">
        <v>43672</v>
      </c>
      <c r="H1060" s="334" t="s">
        <v>3068</v>
      </c>
      <c r="I1060" s="356">
        <v>18901881862</v>
      </c>
      <c r="J1060" s="361" t="s">
        <v>3069</v>
      </c>
      <c r="K1060" s="356">
        <v>5000</v>
      </c>
      <c r="L1060" s="334">
        <v>14570</v>
      </c>
      <c r="M1060" s="334">
        <v>3359</v>
      </c>
      <c r="N1060" s="362">
        <f t="shared" si="32"/>
        <v>17929</v>
      </c>
      <c r="O1060" s="356"/>
      <c r="Q1060" s="356"/>
      <c r="R1060" s="356" t="s">
        <v>52</v>
      </c>
      <c r="S1060" s="356"/>
      <c r="T1060" s="356"/>
      <c r="U1060" s="372"/>
      <c r="V1060" s="372"/>
      <c r="W1060" s="372"/>
      <c r="X1060" s="373"/>
      <c r="Y1060" s="348"/>
      <c r="Z1060" s="348"/>
      <c r="AA1060" s="348"/>
    </row>
    <row r="1061" s="331" customFormat="1" ht="17" customHeight="1" spans="1:27">
      <c r="A1061" s="348"/>
      <c r="B1061" s="348" t="s">
        <v>87</v>
      </c>
      <c r="C1061" s="348" t="s">
        <v>1757</v>
      </c>
      <c r="D1061" s="349" t="s">
        <v>171</v>
      </c>
      <c r="E1061" s="336">
        <v>43632</v>
      </c>
      <c r="F1061" s="336">
        <v>43625</v>
      </c>
      <c r="G1061" s="336">
        <v>43658</v>
      </c>
      <c r="H1061" s="334" t="s">
        <v>3070</v>
      </c>
      <c r="I1061" s="356">
        <v>15000857518</v>
      </c>
      <c r="J1061" s="361" t="s">
        <v>3071</v>
      </c>
      <c r="K1061" s="356">
        <v>5000</v>
      </c>
      <c r="L1061" s="334">
        <v>9263</v>
      </c>
      <c r="M1061" s="334"/>
      <c r="N1061" s="362">
        <f t="shared" ref="N1061:N1092" si="33">L1061+M1061</f>
        <v>9263</v>
      </c>
      <c r="O1061" s="356"/>
      <c r="Q1061" s="356"/>
      <c r="R1061" s="356"/>
      <c r="S1061" s="356"/>
      <c r="T1061" s="356"/>
      <c r="U1061" s="372"/>
      <c r="V1061" s="372"/>
      <c r="W1061" s="372"/>
      <c r="X1061" s="373"/>
      <c r="Y1061" s="348"/>
      <c r="Z1061" s="348"/>
      <c r="AA1061" s="348"/>
    </row>
    <row r="1062" s="331" customFormat="1" ht="17" customHeight="1" spans="1:27">
      <c r="A1062" s="348">
        <v>2068880</v>
      </c>
      <c r="B1062" s="348" t="s">
        <v>66</v>
      </c>
      <c r="C1062" s="348" t="s">
        <v>67</v>
      </c>
      <c r="D1062" s="334" t="s">
        <v>2302</v>
      </c>
      <c r="E1062" s="336">
        <v>43749</v>
      </c>
      <c r="F1062" s="336">
        <v>43631</v>
      </c>
      <c r="G1062" s="336">
        <v>43748</v>
      </c>
      <c r="H1062" s="334" t="s">
        <v>3072</v>
      </c>
      <c r="I1062" s="356">
        <v>18964064981</v>
      </c>
      <c r="J1062" s="361" t="s">
        <v>3073</v>
      </c>
      <c r="K1062" s="356">
        <v>5000</v>
      </c>
      <c r="L1062" s="334">
        <v>21201</v>
      </c>
      <c r="M1062" s="362"/>
      <c r="N1062" s="362">
        <f t="shared" si="33"/>
        <v>21201</v>
      </c>
      <c r="O1062" s="356"/>
      <c r="Q1062" s="356" t="s">
        <v>52</v>
      </c>
      <c r="R1062" s="356"/>
      <c r="S1062" s="356"/>
      <c r="T1062" s="356"/>
      <c r="U1062" s="372"/>
      <c r="V1062" s="372"/>
      <c r="W1062" s="372"/>
      <c r="X1062" s="373"/>
      <c r="Y1062" s="348" t="s">
        <v>856</v>
      </c>
      <c r="Z1062" s="348"/>
      <c r="AA1062" s="348"/>
    </row>
    <row r="1063" s="331" customFormat="1" ht="17" customHeight="1" spans="1:27">
      <c r="A1063" s="550" t="s">
        <v>3074</v>
      </c>
      <c r="B1063" s="348" t="s">
        <v>66</v>
      </c>
      <c r="C1063" s="348" t="s">
        <v>119</v>
      </c>
      <c r="D1063" s="349" t="s">
        <v>68</v>
      </c>
      <c r="E1063" s="336">
        <v>43632</v>
      </c>
      <c r="F1063" s="336">
        <v>43631</v>
      </c>
      <c r="G1063" s="350"/>
      <c r="H1063" s="334" t="s">
        <v>3075</v>
      </c>
      <c r="I1063" s="356">
        <v>13162031226</v>
      </c>
      <c r="J1063" s="361" t="s">
        <v>3076</v>
      </c>
      <c r="K1063" s="356">
        <v>5000</v>
      </c>
      <c r="L1063" s="362"/>
      <c r="M1063" s="362"/>
      <c r="N1063" s="362">
        <f t="shared" si="33"/>
        <v>0</v>
      </c>
      <c r="O1063" s="356"/>
      <c r="Q1063" s="412" t="s">
        <v>3077</v>
      </c>
      <c r="R1063" s="356"/>
      <c r="S1063" s="356"/>
      <c r="T1063" s="356"/>
      <c r="U1063" s="336" t="s">
        <v>40</v>
      </c>
      <c r="V1063" s="372"/>
      <c r="W1063" s="372"/>
      <c r="X1063" s="373"/>
      <c r="Y1063" s="348"/>
      <c r="Z1063" s="348"/>
      <c r="AA1063" s="348"/>
    </row>
    <row r="1064" s="331" customFormat="1" ht="17" customHeight="1" spans="1:27">
      <c r="A1064" s="550" t="s">
        <v>3078</v>
      </c>
      <c r="B1064" s="348" t="s">
        <v>236</v>
      </c>
      <c r="C1064" s="348" t="s">
        <v>703</v>
      </c>
      <c r="D1064" s="352" t="s">
        <v>125</v>
      </c>
      <c r="E1064" s="336">
        <v>43692</v>
      </c>
      <c r="F1064" s="336">
        <v>43597</v>
      </c>
      <c r="G1064" s="336">
        <v>43689</v>
      </c>
      <c r="H1064" s="334" t="s">
        <v>3079</v>
      </c>
      <c r="I1064" s="356">
        <v>15921700747</v>
      </c>
      <c r="J1064" s="361" t="s">
        <v>3080</v>
      </c>
      <c r="K1064" s="356">
        <v>1000</v>
      </c>
      <c r="L1064" s="334">
        <v>3998</v>
      </c>
      <c r="M1064" s="362"/>
      <c r="N1064" s="362">
        <f t="shared" si="33"/>
        <v>3998</v>
      </c>
      <c r="O1064" s="356"/>
      <c r="Q1064" s="356" t="s">
        <v>21</v>
      </c>
      <c r="R1064" s="356"/>
      <c r="S1064" s="356"/>
      <c r="T1064" s="356"/>
      <c r="U1064" s="372"/>
      <c r="V1064" s="372"/>
      <c r="W1064" s="372"/>
      <c r="X1064" s="373"/>
      <c r="Y1064" s="348" t="s">
        <v>3081</v>
      </c>
      <c r="Z1064" s="348"/>
      <c r="AA1064" s="348"/>
    </row>
    <row r="1065" s="331" customFormat="1" ht="17" customHeight="1" spans="1:27">
      <c r="A1065" s="348"/>
      <c r="B1065" s="348" t="s">
        <v>35</v>
      </c>
      <c r="C1065" s="348" t="s">
        <v>392</v>
      </c>
      <c r="D1065" s="349" t="s">
        <v>37</v>
      </c>
      <c r="E1065" s="336">
        <v>43632</v>
      </c>
      <c r="F1065" s="336">
        <v>43631</v>
      </c>
      <c r="G1065" s="336">
        <v>43661</v>
      </c>
      <c r="H1065" s="334" t="s">
        <v>3082</v>
      </c>
      <c r="I1065" s="356">
        <v>18917610013</v>
      </c>
      <c r="J1065" s="361" t="s">
        <v>3083</v>
      </c>
      <c r="K1065" s="356">
        <v>6000</v>
      </c>
      <c r="L1065" s="334">
        <v>14649</v>
      </c>
      <c r="M1065" s="362"/>
      <c r="N1065" s="362">
        <f t="shared" si="33"/>
        <v>14649</v>
      </c>
      <c r="O1065" s="356"/>
      <c r="Q1065" s="356"/>
      <c r="R1065" s="356"/>
      <c r="S1065" s="356"/>
      <c r="T1065" s="356"/>
      <c r="U1065" s="372"/>
      <c r="V1065" s="372"/>
      <c r="W1065" s="372"/>
      <c r="X1065" s="373"/>
      <c r="Y1065" s="348"/>
      <c r="Z1065" s="348"/>
      <c r="AA1065" s="348"/>
    </row>
    <row r="1066" s="331" customFormat="1" ht="17" customHeight="1" spans="1:27">
      <c r="A1066" s="348"/>
      <c r="B1066" s="348" t="s">
        <v>35</v>
      </c>
      <c r="C1066" s="348" t="s">
        <v>392</v>
      </c>
      <c r="D1066" s="349" t="s">
        <v>115</v>
      </c>
      <c r="E1066" s="336">
        <v>43632</v>
      </c>
      <c r="F1066" s="336">
        <v>43631</v>
      </c>
      <c r="G1066" s="336">
        <v>43652</v>
      </c>
      <c r="H1066" s="334" t="s">
        <v>3084</v>
      </c>
      <c r="I1066" s="356">
        <v>15821765453</v>
      </c>
      <c r="J1066" s="361" t="s">
        <v>3085</v>
      </c>
      <c r="K1066" s="356">
        <v>5000</v>
      </c>
      <c r="L1066" s="334">
        <v>15339</v>
      </c>
      <c r="M1066" s="334"/>
      <c r="N1066" s="362">
        <f t="shared" si="33"/>
        <v>15339</v>
      </c>
      <c r="O1066" s="356"/>
      <c r="Q1066" s="356"/>
      <c r="R1066" s="356"/>
      <c r="S1066" s="356"/>
      <c r="T1066" s="356"/>
      <c r="U1066" s="372"/>
      <c r="V1066" s="372"/>
      <c r="W1066" s="372"/>
      <c r="X1066" s="373"/>
      <c r="Y1066" s="348"/>
      <c r="Z1066" s="348"/>
      <c r="AA1066" s="348"/>
    </row>
    <row r="1067" s="331" customFormat="1" ht="17" customHeight="1" spans="1:27">
      <c r="A1067" s="550" t="s">
        <v>3086</v>
      </c>
      <c r="B1067" s="348" t="s">
        <v>87</v>
      </c>
      <c r="C1067" s="348" t="s">
        <v>466</v>
      </c>
      <c r="D1067" s="349" t="s">
        <v>89</v>
      </c>
      <c r="E1067" s="336">
        <v>43632</v>
      </c>
      <c r="F1067" s="336">
        <v>43631</v>
      </c>
      <c r="G1067" s="336">
        <v>43649</v>
      </c>
      <c r="H1067" s="334" t="s">
        <v>3087</v>
      </c>
      <c r="I1067" s="356" t="s">
        <v>3088</v>
      </c>
      <c r="J1067" s="361" t="s">
        <v>3089</v>
      </c>
      <c r="K1067" s="356">
        <v>3000</v>
      </c>
      <c r="L1067" s="334">
        <v>11553</v>
      </c>
      <c r="M1067" s="334">
        <f>2047</f>
        <v>2047</v>
      </c>
      <c r="N1067" s="362">
        <f t="shared" si="33"/>
        <v>13600</v>
      </c>
      <c r="O1067" s="356"/>
      <c r="Q1067" s="356"/>
      <c r="R1067" s="356"/>
      <c r="S1067" s="356"/>
      <c r="T1067" s="356"/>
      <c r="U1067" s="372"/>
      <c r="V1067" s="372"/>
      <c r="W1067" s="372"/>
      <c r="X1067" s="373"/>
      <c r="Y1067" s="348"/>
      <c r="Z1067" s="348"/>
      <c r="AA1067" s="348"/>
    </row>
    <row r="1068" s="331" customFormat="1" ht="17" customHeight="1" spans="1:27">
      <c r="A1068" s="550" t="s">
        <v>3090</v>
      </c>
      <c r="B1068" s="348" t="s">
        <v>58</v>
      </c>
      <c r="C1068" s="348" t="s">
        <v>109</v>
      </c>
      <c r="D1068" s="352" t="s">
        <v>110</v>
      </c>
      <c r="E1068" s="336">
        <v>43694</v>
      </c>
      <c r="F1068" s="336">
        <v>43631</v>
      </c>
      <c r="G1068" s="336">
        <v>43693</v>
      </c>
      <c r="H1068" s="334" t="s">
        <v>3091</v>
      </c>
      <c r="I1068" s="356">
        <v>13818066340</v>
      </c>
      <c r="J1068" s="361" t="s">
        <v>3092</v>
      </c>
      <c r="K1068" s="356">
        <v>1000</v>
      </c>
      <c r="L1068" s="334">
        <v>9143</v>
      </c>
      <c r="M1068" s="362"/>
      <c r="N1068" s="362">
        <f t="shared" si="33"/>
        <v>9143</v>
      </c>
      <c r="O1068" s="365"/>
      <c r="Q1068" s="366" t="s">
        <v>52</v>
      </c>
      <c r="R1068" s="356"/>
      <c r="S1068" s="356"/>
      <c r="T1068" s="356"/>
      <c r="U1068" s="372"/>
      <c r="V1068" s="372"/>
      <c r="W1068" s="372"/>
      <c r="X1068" s="373"/>
      <c r="Y1068" s="348" t="s">
        <v>839</v>
      </c>
      <c r="Z1068" s="348"/>
      <c r="AA1068" s="348"/>
    </row>
    <row r="1069" s="331" customFormat="1" ht="17" customHeight="1" spans="1:27">
      <c r="A1069" s="550" t="s">
        <v>3093</v>
      </c>
      <c r="B1069" s="348" t="s">
        <v>315</v>
      </c>
      <c r="C1069" s="348" t="s">
        <v>181</v>
      </c>
      <c r="D1069" s="352" t="s">
        <v>132</v>
      </c>
      <c r="E1069" s="336">
        <v>43632</v>
      </c>
      <c r="F1069" s="336">
        <v>43631</v>
      </c>
      <c r="G1069" s="350"/>
      <c r="H1069" s="334" t="s">
        <v>3094</v>
      </c>
      <c r="I1069" s="356">
        <v>18621115318</v>
      </c>
      <c r="J1069" s="361" t="s">
        <v>3095</v>
      </c>
      <c r="K1069" s="356">
        <v>1000</v>
      </c>
      <c r="L1069" s="362"/>
      <c r="M1069" s="362"/>
      <c r="N1069" s="362">
        <f t="shared" si="33"/>
        <v>0</v>
      </c>
      <c r="O1069" s="356"/>
      <c r="Q1069" s="356"/>
      <c r="R1069" s="356"/>
      <c r="S1069" s="356"/>
      <c r="T1069" s="356"/>
      <c r="U1069" s="372" t="s">
        <v>136</v>
      </c>
      <c r="V1069" s="372"/>
      <c r="W1069" s="372"/>
      <c r="X1069" s="373"/>
      <c r="Y1069" s="348"/>
      <c r="Z1069" s="348"/>
      <c r="AA1069" s="348"/>
    </row>
    <row r="1070" s="331" customFormat="1" ht="17" customHeight="1" spans="1:27">
      <c r="A1070" s="550" t="s">
        <v>3096</v>
      </c>
      <c r="B1070" s="348" t="s">
        <v>66</v>
      </c>
      <c r="C1070" s="348" t="s">
        <v>505</v>
      </c>
      <c r="D1070" s="349" t="s">
        <v>68</v>
      </c>
      <c r="E1070" s="336">
        <v>43689</v>
      </c>
      <c r="F1070" s="336">
        <v>43631</v>
      </c>
      <c r="G1070" s="336">
        <v>43688</v>
      </c>
      <c r="H1070" s="334" t="s">
        <v>3097</v>
      </c>
      <c r="I1070" s="356">
        <v>15821527181</v>
      </c>
      <c r="J1070" s="361" t="s">
        <v>3098</v>
      </c>
      <c r="K1070" s="356">
        <v>5000</v>
      </c>
      <c r="L1070" s="334">
        <v>21369</v>
      </c>
      <c r="M1070" s="334">
        <v>9482</v>
      </c>
      <c r="N1070" s="362">
        <f t="shared" si="33"/>
        <v>30851</v>
      </c>
      <c r="O1070" s="356"/>
      <c r="Q1070" s="356" t="s">
        <v>21</v>
      </c>
      <c r="R1070" s="356"/>
      <c r="S1070" s="356"/>
      <c r="T1070" s="356"/>
      <c r="U1070" s="372"/>
      <c r="V1070" s="372"/>
      <c r="W1070" s="372"/>
      <c r="X1070" s="373"/>
      <c r="Y1070" s="348"/>
      <c r="Z1070" s="348"/>
      <c r="AA1070" s="348"/>
    </row>
    <row r="1071" s="57" customFormat="1" ht="17" customHeight="1" spans="1:27">
      <c r="A1071" s="348"/>
      <c r="B1071" s="348" t="s">
        <v>137</v>
      </c>
      <c r="C1071" s="348" t="s">
        <v>411</v>
      </c>
      <c r="D1071" s="349" t="s">
        <v>427</v>
      </c>
      <c r="E1071" s="336">
        <v>43632</v>
      </c>
      <c r="F1071" s="336">
        <v>43570</v>
      </c>
      <c r="G1071" s="350"/>
      <c r="H1071" s="334" t="s">
        <v>3099</v>
      </c>
      <c r="I1071" s="356">
        <v>18721033360</v>
      </c>
      <c r="J1071" s="348" t="s">
        <v>3100</v>
      </c>
      <c r="K1071" s="356">
        <v>1000</v>
      </c>
      <c r="L1071" s="362"/>
      <c r="M1071" s="362"/>
      <c r="N1071" s="362">
        <f t="shared" si="33"/>
        <v>0</v>
      </c>
      <c r="O1071" s="356">
        <v>1</v>
      </c>
      <c r="Q1071" s="356"/>
      <c r="R1071" s="356"/>
      <c r="S1071" s="356"/>
      <c r="T1071" s="356"/>
      <c r="U1071" s="372" t="s">
        <v>12</v>
      </c>
      <c r="V1071" s="372"/>
      <c r="W1071" s="372"/>
      <c r="X1071" s="373"/>
      <c r="Y1071" s="348"/>
      <c r="Z1071" s="348" t="s">
        <v>413</v>
      </c>
      <c r="AA1071" s="348"/>
    </row>
    <row r="1072" s="331" customFormat="1" ht="17" customHeight="1" spans="1:27">
      <c r="A1072" s="550" t="s">
        <v>3101</v>
      </c>
      <c r="B1072" s="348" t="s">
        <v>94</v>
      </c>
      <c r="C1072" s="348" t="s">
        <v>101</v>
      </c>
      <c r="D1072" s="352" t="s">
        <v>49</v>
      </c>
      <c r="E1072" s="336">
        <v>43541</v>
      </c>
      <c r="F1072" s="336">
        <v>43541</v>
      </c>
      <c r="G1072" s="350"/>
      <c r="H1072" s="334" t="s">
        <v>3102</v>
      </c>
      <c r="I1072" s="356">
        <v>15921906324</v>
      </c>
      <c r="J1072" s="361" t="s">
        <v>3103</v>
      </c>
      <c r="K1072" s="356">
        <v>500</v>
      </c>
      <c r="L1072" s="362"/>
      <c r="M1072" s="362"/>
      <c r="N1072" s="362">
        <f t="shared" si="33"/>
        <v>0</v>
      </c>
      <c r="O1072" s="356"/>
      <c r="Q1072" s="356"/>
      <c r="R1072" s="356"/>
      <c r="S1072" s="356"/>
      <c r="T1072" s="356"/>
      <c r="U1072" s="372" t="s">
        <v>3104</v>
      </c>
      <c r="V1072" s="372"/>
      <c r="W1072" s="372"/>
      <c r="X1072" s="373"/>
      <c r="Y1072" s="348"/>
      <c r="Z1072" s="348"/>
      <c r="AA1072" s="348"/>
    </row>
    <row r="1073" s="331" customFormat="1" ht="17" customHeight="1" spans="1:27">
      <c r="A1073" s="348"/>
      <c r="B1073" s="348" t="s">
        <v>137</v>
      </c>
      <c r="C1073" s="348" t="s">
        <v>411</v>
      </c>
      <c r="D1073" s="334" t="s">
        <v>139</v>
      </c>
      <c r="E1073" s="336">
        <v>43734</v>
      </c>
      <c r="F1073" s="336">
        <v>43570</v>
      </c>
      <c r="G1073" s="336">
        <v>43734</v>
      </c>
      <c r="H1073" s="334" t="s">
        <v>3105</v>
      </c>
      <c r="I1073" s="356">
        <v>18964025035</v>
      </c>
      <c r="J1073" s="361" t="s">
        <v>3106</v>
      </c>
      <c r="K1073" s="356">
        <v>1000</v>
      </c>
      <c r="L1073" s="334">
        <v>15586</v>
      </c>
      <c r="M1073" s="362"/>
      <c r="N1073" s="362">
        <f t="shared" si="33"/>
        <v>15586</v>
      </c>
      <c r="O1073" s="356">
        <v>1</v>
      </c>
      <c r="Q1073" s="356"/>
      <c r="R1073" s="356"/>
      <c r="S1073" s="356"/>
      <c r="T1073" s="356"/>
      <c r="U1073" s="372"/>
      <c r="V1073" s="372"/>
      <c r="W1073" s="372"/>
      <c r="X1073" s="373"/>
      <c r="Y1073" s="348"/>
      <c r="Z1073" s="348" t="s">
        <v>413</v>
      </c>
      <c r="AA1073" s="348"/>
    </row>
    <row r="1074" s="57" customFormat="1" ht="17" customHeight="1" spans="1:27">
      <c r="A1074" s="348"/>
      <c r="B1074" s="348" t="s">
        <v>137</v>
      </c>
      <c r="C1074" s="348" t="s">
        <v>411</v>
      </c>
      <c r="D1074" s="349" t="s">
        <v>427</v>
      </c>
      <c r="E1074" s="336">
        <v>43632</v>
      </c>
      <c r="F1074" s="336">
        <v>43570</v>
      </c>
      <c r="G1074" s="350"/>
      <c r="H1074" s="334" t="s">
        <v>3107</v>
      </c>
      <c r="I1074" s="356">
        <v>13371999309</v>
      </c>
      <c r="J1074" s="348" t="s">
        <v>3108</v>
      </c>
      <c r="K1074" s="356">
        <v>1000</v>
      </c>
      <c r="L1074" s="362"/>
      <c r="M1074" s="362"/>
      <c r="N1074" s="362">
        <f t="shared" si="33"/>
        <v>0</v>
      </c>
      <c r="O1074" s="356"/>
      <c r="P1074" s="57">
        <v>1</v>
      </c>
      <c r="Q1074" s="356"/>
      <c r="R1074" s="356"/>
      <c r="S1074" s="356"/>
      <c r="T1074" s="356"/>
      <c r="U1074" s="372" t="s">
        <v>12</v>
      </c>
      <c r="V1074" s="372"/>
      <c r="W1074" s="372"/>
      <c r="X1074" s="373">
        <v>1</v>
      </c>
      <c r="Y1074" s="348"/>
      <c r="Z1074" s="348" t="s">
        <v>413</v>
      </c>
      <c r="AA1074" s="348"/>
    </row>
    <row r="1075" s="331" customFormat="1" ht="17" customHeight="1" spans="1:27">
      <c r="A1075" s="348"/>
      <c r="B1075" s="348" t="s">
        <v>137</v>
      </c>
      <c r="C1075" s="348" t="s">
        <v>411</v>
      </c>
      <c r="D1075" s="349" t="s">
        <v>427</v>
      </c>
      <c r="E1075" s="336">
        <v>43632</v>
      </c>
      <c r="F1075" s="336">
        <v>43570</v>
      </c>
      <c r="G1075" s="336">
        <v>43675</v>
      </c>
      <c r="H1075" s="334" t="s">
        <v>3109</v>
      </c>
      <c r="I1075" s="356">
        <v>18321023653</v>
      </c>
      <c r="J1075" s="361" t="s">
        <v>3110</v>
      </c>
      <c r="K1075" s="356">
        <v>1000</v>
      </c>
      <c r="L1075" s="334">
        <v>11439</v>
      </c>
      <c r="M1075" s="362"/>
      <c r="N1075" s="362">
        <f t="shared" si="33"/>
        <v>11439</v>
      </c>
      <c r="O1075" s="356"/>
      <c r="P1075" s="356"/>
      <c r="Q1075" s="356">
        <v>1</v>
      </c>
      <c r="R1075" s="356"/>
      <c r="S1075" s="356"/>
      <c r="T1075" s="356"/>
      <c r="U1075" s="372"/>
      <c r="V1075" s="372"/>
      <c r="W1075" s="372"/>
      <c r="X1075" s="373"/>
      <c r="Y1075" s="348"/>
      <c r="Z1075" s="348" t="s">
        <v>413</v>
      </c>
      <c r="AA1075" s="348"/>
    </row>
    <row r="1076" s="331" customFormat="1" ht="17" customHeight="1" spans="1:27">
      <c r="A1076" s="348"/>
      <c r="B1076" s="348" t="s">
        <v>137</v>
      </c>
      <c r="C1076" s="348" t="s">
        <v>411</v>
      </c>
      <c r="D1076" s="349" t="s">
        <v>68</v>
      </c>
      <c r="E1076" s="336">
        <v>43681</v>
      </c>
      <c r="F1076" s="336">
        <v>43570</v>
      </c>
      <c r="G1076" s="336">
        <v>43681</v>
      </c>
      <c r="H1076" s="334" t="s">
        <v>3111</v>
      </c>
      <c r="I1076" s="356">
        <v>13816645291</v>
      </c>
      <c r="J1076" s="361" t="s">
        <v>3112</v>
      </c>
      <c r="K1076" s="356">
        <v>1000</v>
      </c>
      <c r="L1076" s="334">
        <v>7283</v>
      </c>
      <c r="M1076" s="334">
        <v>-600</v>
      </c>
      <c r="N1076" s="362">
        <f t="shared" si="33"/>
        <v>6683</v>
      </c>
      <c r="O1076" s="356"/>
      <c r="P1076" s="356"/>
      <c r="Q1076" s="356"/>
      <c r="R1076" s="356">
        <v>1</v>
      </c>
      <c r="S1076" s="356"/>
      <c r="T1076" s="356"/>
      <c r="U1076" s="372"/>
      <c r="V1076" s="372"/>
      <c r="W1076" s="372"/>
      <c r="X1076" s="373"/>
      <c r="Y1076" s="348"/>
      <c r="Z1076" s="348" t="s">
        <v>413</v>
      </c>
      <c r="AA1076" s="348"/>
    </row>
    <row r="1077" s="57" customFormat="1" ht="17" customHeight="1" spans="1:27">
      <c r="A1077" s="348"/>
      <c r="B1077" s="348" t="s">
        <v>137</v>
      </c>
      <c r="C1077" s="348" t="s">
        <v>411</v>
      </c>
      <c r="D1077" s="349" t="s">
        <v>427</v>
      </c>
      <c r="E1077" s="336">
        <v>43632</v>
      </c>
      <c r="F1077" s="336">
        <v>43570</v>
      </c>
      <c r="G1077" s="350"/>
      <c r="H1077" s="334" t="s">
        <v>3113</v>
      </c>
      <c r="I1077" s="356">
        <v>13916935455</v>
      </c>
      <c r="J1077" s="348" t="s">
        <v>3114</v>
      </c>
      <c r="K1077" s="356">
        <v>1000</v>
      </c>
      <c r="L1077" s="362"/>
      <c r="M1077" s="362"/>
      <c r="N1077" s="362">
        <f t="shared" si="33"/>
        <v>0</v>
      </c>
      <c r="O1077" s="356"/>
      <c r="P1077" s="356"/>
      <c r="Q1077" s="356"/>
      <c r="R1077" s="356">
        <v>1</v>
      </c>
      <c r="S1077" s="356"/>
      <c r="T1077" s="356"/>
      <c r="U1077" s="372" t="s">
        <v>12</v>
      </c>
      <c r="V1077" s="372"/>
      <c r="W1077" s="372"/>
      <c r="X1077" s="373"/>
      <c r="Y1077" s="348"/>
      <c r="Z1077" s="348" t="s">
        <v>413</v>
      </c>
      <c r="AA1077" s="348"/>
    </row>
    <row r="1078" s="331" customFormat="1" ht="17" customHeight="1" spans="1:27">
      <c r="A1078" s="348">
        <v>2067599</v>
      </c>
      <c r="B1078" s="348" t="s">
        <v>31</v>
      </c>
      <c r="C1078" s="348" t="s">
        <v>419</v>
      </c>
      <c r="D1078" s="349" t="s">
        <v>89</v>
      </c>
      <c r="E1078" s="336">
        <v>43632</v>
      </c>
      <c r="F1078" s="336">
        <v>43631</v>
      </c>
      <c r="G1078" s="336">
        <v>43657</v>
      </c>
      <c r="H1078" s="334" t="s">
        <v>3115</v>
      </c>
      <c r="I1078" s="356">
        <v>18621852788</v>
      </c>
      <c r="J1078" s="361" t="s">
        <v>3116</v>
      </c>
      <c r="K1078" s="356">
        <v>5000</v>
      </c>
      <c r="L1078" s="334">
        <v>6596</v>
      </c>
      <c r="M1078" s="334"/>
      <c r="N1078" s="362">
        <f t="shared" si="33"/>
        <v>6596</v>
      </c>
      <c r="O1078" s="356"/>
      <c r="Q1078" s="356"/>
      <c r="R1078" s="356"/>
      <c r="S1078" s="356"/>
      <c r="T1078" s="356"/>
      <c r="U1078" s="372"/>
      <c r="V1078" s="372"/>
      <c r="W1078" s="372"/>
      <c r="X1078" s="373"/>
      <c r="Y1078" s="348"/>
      <c r="Z1078" s="348"/>
      <c r="AA1078" s="348"/>
    </row>
    <row r="1079" s="331" customFormat="1" ht="17" customHeight="1" spans="1:27">
      <c r="A1079" s="550" t="s">
        <v>3117</v>
      </c>
      <c r="B1079" s="348" t="s">
        <v>185</v>
      </c>
      <c r="C1079" s="348" t="s">
        <v>886</v>
      </c>
      <c r="D1079" s="349" t="s">
        <v>187</v>
      </c>
      <c r="E1079" s="336">
        <v>43589</v>
      </c>
      <c r="F1079" s="336">
        <v>43586</v>
      </c>
      <c r="G1079" s="350"/>
      <c r="H1079" s="334" t="s">
        <v>3102</v>
      </c>
      <c r="I1079" s="356">
        <v>15921906324</v>
      </c>
      <c r="J1079" s="361" t="s">
        <v>3118</v>
      </c>
      <c r="K1079" s="356">
        <v>1000</v>
      </c>
      <c r="L1079" s="362"/>
      <c r="M1079" s="362"/>
      <c r="N1079" s="362">
        <f t="shared" si="33"/>
        <v>0</v>
      </c>
      <c r="O1079" s="356"/>
      <c r="P1079" s="356"/>
      <c r="Q1079" s="356" t="s">
        <v>52</v>
      </c>
      <c r="R1079" s="356"/>
      <c r="S1079" s="356"/>
      <c r="T1079" s="356"/>
      <c r="U1079" s="372" t="s">
        <v>889</v>
      </c>
      <c r="V1079" s="372"/>
      <c r="W1079" s="372"/>
      <c r="X1079" s="373"/>
      <c r="Y1079" s="348"/>
      <c r="Z1079" s="348"/>
      <c r="AA1079" s="348"/>
    </row>
    <row r="1080" s="57" customFormat="1" ht="17" customHeight="1" spans="1:27">
      <c r="A1080" s="348">
        <v>2024339</v>
      </c>
      <c r="B1080" s="348" t="s">
        <v>137</v>
      </c>
      <c r="C1080" s="348" t="s">
        <v>406</v>
      </c>
      <c r="D1080" s="349" t="s">
        <v>443</v>
      </c>
      <c r="E1080" s="336">
        <v>43632</v>
      </c>
      <c r="F1080" s="336">
        <v>43631</v>
      </c>
      <c r="G1080" s="350"/>
      <c r="H1080" s="334" t="s">
        <v>3119</v>
      </c>
      <c r="I1080" s="356">
        <v>18116022953</v>
      </c>
      <c r="J1080" s="348" t="s">
        <v>3120</v>
      </c>
      <c r="K1080" s="356">
        <v>5000</v>
      </c>
      <c r="L1080" s="362"/>
      <c r="M1080" s="362"/>
      <c r="N1080" s="362">
        <f t="shared" si="33"/>
        <v>0</v>
      </c>
      <c r="O1080" s="356"/>
      <c r="P1080" s="356"/>
      <c r="Q1080" s="356"/>
      <c r="R1080" s="356">
        <v>1</v>
      </c>
      <c r="S1080" s="356"/>
      <c r="T1080" s="356"/>
      <c r="U1080" s="372" t="s">
        <v>12</v>
      </c>
      <c r="V1080" s="372"/>
      <c r="W1080" s="372"/>
      <c r="X1080" s="373"/>
      <c r="Y1080" s="348"/>
      <c r="Z1080" s="348"/>
      <c r="AA1080" s="348"/>
    </row>
    <row r="1081" s="331" customFormat="1" ht="17" customHeight="1" spans="1:27">
      <c r="A1081" s="348">
        <v>2024338</v>
      </c>
      <c r="B1081" s="348" t="s">
        <v>137</v>
      </c>
      <c r="C1081" s="348" t="s">
        <v>406</v>
      </c>
      <c r="D1081" s="349" t="s">
        <v>427</v>
      </c>
      <c r="E1081" s="336">
        <v>43691</v>
      </c>
      <c r="F1081" s="336">
        <v>43631</v>
      </c>
      <c r="G1081" s="336">
        <v>43691</v>
      </c>
      <c r="H1081" s="334" t="s">
        <v>3121</v>
      </c>
      <c r="I1081" s="356">
        <v>18217476928</v>
      </c>
      <c r="J1081" s="361" t="s">
        <v>3122</v>
      </c>
      <c r="K1081" s="356">
        <v>5000</v>
      </c>
      <c r="L1081" s="334">
        <f>27772-736</f>
        <v>27036</v>
      </c>
      <c r="M1081" s="334">
        <v>736</v>
      </c>
      <c r="N1081" s="362">
        <f t="shared" si="33"/>
        <v>27772</v>
      </c>
      <c r="O1081" s="356"/>
      <c r="P1081" s="356"/>
      <c r="Q1081" s="356"/>
      <c r="R1081" s="356">
        <v>1</v>
      </c>
      <c r="S1081" s="356"/>
      <c r="T1081" s="356"/>
      <c r="U1081" s="372"/>
      <c r="V1081" s="372"/>
      <c r="W1081" s="372"/>
      <c r="X1081" s="373"/>
      <c r="Y1081" s="348"/>
      <c r="Z1081" s="348"/>
      <c r="AA1081" s="348"/>
    </row>
    <row r="1082" s="331" customFormat="1" ht="17" customHeight="1" spans="1:27">
      <c r="A1082" s="348"/>
      <c r="B1082" s="348" t="s">
        <v>66</v>
      </c>
      <c r="C1082" s="348" t="s">
        <v>67</v>
      </c>
      <c r="D1082" s="349" t="s">
        <v>115</v>
      </c>
      <c r="E1082" s="336">
        <v>43632</v>
      </c>
      <c r="F1082" s="336">
        <v>43631</v>
      </c>
      <c r="G1082" s="336">
        <v>43655</v>
      </c>
      <c r="H1082" s="334" t="s">
        <v>3123</v>
      </c>
      <c r="I1082" s="356">
        <v>18811741876</v>
      </c>
      <c r="J1082" s="361" t="s">
        <v>3124</v>
      </c>
      <c r="K1082" s="356">
        <v>5000</v>
      </c>
      <c r="L1082" s="334">
        <v>15613</v>
      </c>
      <c r="M1082" s="334"/>
      <c r="N1082" s="362">
        <f t="shared" si="33"/>
        <v>15613</v>
      </c>
      <c r="O1082" s="356"/>
      <c r="Q1082" s="356"/>
      <c r="R1082" s="356"/>
      <c r="S1082" s="356"/>
      <c r="T1082" s="356"/>
      <c r="U1082" s="372"/>
      <c r="V1082" s="372"/>
      <c r="W1082" s="372"/>
      <c r="X1082" s="373"/>
      <c r="Y1082" s="348"/>
      <c r="Z1082" s="348"/>
      <c r="AA1082" s="348"/>
    </row>
    <row r="1083" s="331" customFormat="1" ht="17" customHeight="1" spans="1:27">
      <c r="A1083" s="550" t="s">
        <v>3125</v>
      </c>
      <c r="B1083" s="348" t="s">
        <v>31</v>
      </c>
      <c r="C1083" s="348" t="s">
        <v>251</v>
      </c>
      <c r="D1083" s="349" t="s">
        <v>33</v>
      </c>
      <c r="E1083" s="336">
        <v>43689</v>
      </c>
      <c r="F1083" s="336">
        <v>43631</v>
      </c>
      <c r="G1083" s="336">
        <v>43689</v>
      </c>
      <c r="H1083" s="334" t="s">
        <v>3126</v>
      </c>
      <c r="I1083" s="356">
        <v>13564200100</v>
      </c>
      <c r="J1083" s="361" t="s">
        <v>3127</v>
      </c>
      <c r="K1083" s="356">
        <v>1000</v>
      </c>
      <c r="L1083" s="334">
        <v>5487</v>
      </c>
      <c r="M1083" s="334">
        <f>2326</f>
        <v>2326</v>
      </c>
      <c r="N1083" s="362">
        <f t="shared" si="33"/>
        <v>7813</v>
      </c>
      <c r="O1083" s="356"/>
      <c r="Q1083" s="356"/>
      <c r="R1083" s="366" t="s">
        <v>52</v>
      </c>
      <c r="S1083" s="356"/>
      <c r="T1083" s="356"/>
      <c r="U1083" s="372"/>
      <c r="V1083" s="372"/>
      <c r="W1083" s="372"/>
      <c r="X1083" s="373"/>
      <c r="Y1083" s="348"/>
      <c r="Z1083" s="348"/>
      <c r="AA1083" s="348"/>
    </row>
    <row r="1084" s="331" customFormat="1" ht="17" customHeight="1" spans="1:27">
      <c r="A1084" s="550" t="s">
        <v>3128</v>
      </c>
      <c r="B1084" s="348" t="s">
        <v>185</v>
      </c>
      <c r="C1084" s="348" t="s">
        <v>886</v>
      </c>
      <c r="D1084" s="349" t="s">
        <v>187</v>
      </c>
      <c r="E1084" s="336">
        <v>43632</v>
      </c>
      <c r="F1084" s="336">
        <v>43631</v>
      </c>
      <c r="G1084" s="336">
        <v>43669</v>
      </c>
      <c r="H1084" s="334" t="s">
        <v>3129</v>
      </c>
      <c r="I1084" s="356">
        <v>18621933258</v>
      </c>
      <c r="J1084" s="361" t="s">
        <v>3130</v>
      </c>
      <c r="K1084" s="356">
        <v>5000</v>
      </c>
      <c r="L1084" s="334">
        <v>16600</v>
      </c>
      <c r="M1084" s="362"/>
      <c r="N1084" s="362">
        <f t="shared" si="33"/>
        <v>16600</v>
      </c>
      <c r="O1084" s="356"/>
      <c r="Q1084" s="356"/>
      <c r="R1084" s="356"/>
      <c r="S1084" s="356"/>
      <c r="T1084" s="356"/>
      <c r="U1084" s="372"/>
      <c r="V1084" s="372"/>
      <c r="W1084" s="372"/>
      <c r="X1084" s="373"/>
      <c r="Y1084" s="348"/>
      <c r="Z1084" s="348"/>
      <c r="AA1084" s="348"/>
    </row>
    <row r="1085" s="331" customFormat="1" ht="17" customHeight="1" spans="1:27">
      <c r="A1085" s="550" t="s">
        <v>3131</v>
      </c>
      <c r="B1085" s="348" t="s">
        <v>31</v>
      </c>
      <c r="C1085" s="348" t="s">
        <v>220</v>
      </c>
      <c r="D1085" s="349" t="s">
        <v>221</v>
      </c>
      <c r="E1085" s="336">
        <v>43706</v>
      </c>
      <c r="F1085" s="336">
        <v>43631</v>
      </c>
      <c r="G1085" s="336">
        <v>43704</v>
      </c>
      <c r="H1085" s="334" t="s">
        <v>3132</v>
      </c>
      <c r="I1085" s="356">
        <v>13661784666</v>
      </c>
      <c r="J1085" s="361" t="s">
        <v>3133</v>
      </c>
      <c r="K1085" s="356">
        <v>5000</v>
      </c>
      <c r="L1085" s="334">
        <v>17876</v>
      </c>
      <c r="M1085" s="362"/>
      <c r="N1085" s="362">
        <f t="shared" si="33"/>
        <v>17876</v>
      </c>
      <c r="O1085" s="356"/>
      <c r="Q1085" s="356"/>
      <c r="R1085" s="356"/>
      <c r="S1085" s="356"/>
      <c r="T1085" s="366" t="s">
        <v>52</v>
      </c>
      <c r="U1085" s="372"/>
      <c r="V1085" s="372"/>
      <c r="W1085" s="372"/>
      <c r="X1085" s="373"/>
      <c r="Y1085" s="348"/>
      <c r="Z1085" s="348"/>
      <c r="AA1085" s="348"/>
    </row>
    <row r="1086" s="331" customFormat="1" ht="17" customHeight="1" spans="1:27">
      <c r="A1086" s="348">
        <v>2024314</v>
      </c>
      <c r="B1086" s="348" t="s">
        <v>137</v>
      </c>
      <c r="C1086" s="348" t="s">
        <v>138</v>
      </c>
      <c r="D1086" s="349" t="s">
        <v>68</v>
      </c>
      <c r="E1086" s="336">
        <v>43632</v>
      </c>
      <c r="F1086" s="336">
        <v>43631</v>
      </c>
      <c r="G1086" s="336">
        <v>43671</v>
      </c>
      <c r="H1086" s="334" t="s">
        <v>3134</v>
      </c>
      <c r="I1086" s="356">
        <v>17621376961</v>
      </c>
      <c r="J1086" s="361" t="s">
        <v>3135</v>
      </c>
      <c r="K1086" s="356">
        <v>1000</v>
      </c>
      <c r="L1086" s="334">
        <v>9900</v>
      </c>
      <c r="M1086" s="362"/>
      <c r="N1086" s="362">
        <f t="shared" si="33"/>
        <v>9900</v>
      </c>
      <c r="O1086" s="356"/>
      <c r="P1086" s="356"/>
      <c r="Q1086" s="356"/>
      <c r="R1086" s="356"/>
      <c r="S1086" s="356">
        <v>1</v>
      </c>
      <c r="T1086" s="356"/>
      <c r="U1086" s="372"/>
      <c r="V1086" s="372"/>
      <c r="W1086" s="372"/>
      <c r="X1086" s="373">
        <v>1</v>
      </c>
      <c r="Y1086" s="348"/>
      <c r="Z1086" s="348"/>
      <c r="AA1086" s="348"/>
    </row>
    <row r="1087" s="331" customFormat="1" ht="17" customHeight="1" spans="1:27">
      <c r="A1087" s="550" t="s">
        <v>3136</v>
      </c>
      <c r="B1087" s="348" t="s">
        <v>66</v>
      </c>
      <c r="C1087" s="348" t="s">
        <v>1749</v>
      </c>
      <c r="D1087" s="349" t="s">
        <v>68</v>
      </c>
      <c r="E1087" s="336">
        <v>43632</v>
      </c>
      <c r="F1087" s="336">
        <v>43631</v>
      </c>
      <c r="G1087" s="350"/>
      <c r="H1087" s="334" t="s">
        <v>3137</v>
      </c>
      <c r="I1087" s="356">
        <v>18521529286</v>
      </c>
      <c r="J1087" s="361" t="s">
        <v>3138</v>
      </c>
      <c r="K1087" s="356">
        <v>5000</v>
      </c>
      <c r="L1087" s="362"/>
      <c r="M1087" s="362"/>
      <c r="N1087" s="362">
        <f t="shared" si="33"/>
        <v>0</v>
      </c>
      <c r="O1087" s="356"/>
      <c r="Q1087" s="356"/>
      <c r="R1087" s="356"/>
      <c r="S1087" s="356"/>
      <c r="T1087" s="356"/>
      <c r="U1087" s="356" t="s">
        <v>3139</v>
      </c>
      <c r="V1087" s="372"/>
      <c r="W1087" s="372"/>
      <c r="X1087" s="373"/>
      <c r="Y1087" s="348"/>
      <c r="Z1087" s="348"/>
      <c r="AA1087" s="348"/>
    </row>
    <row r="1088" s="331" customFormat="1" ht="17" customHeight="1" spans="1:27">
      <c r="A1088" s="348">
        <v>2020202</v>
      </c>
      <c r="B1088" s="348" t="s">
        <v>137</v>
      </c>
      <c r="C1088" s="348" t="s">
        <v>411</v>
      </c>
      <c r="D1088" s="334" t="s">
        <v>139</v>
      </c>
      <c r="E1088" s="336">
        <v>43707</v>
      </c>
      <c r="F1088" s="336">
        <v>43631</v>
      </c>
      <c r="G1088" s="336">
        <v>43707</v>
      </c>
      <c r="H1088" s="334" t="s">
        <v>3140</v>
      </c>
      <c r="I1088" s="356">
        <v>13061672588</v>
      </c>
      <c r="J1088" s="361" t="s">
        <v>3141</v>
      </c>
      <c r="K1088" s="356">
        <v>1000</v>
      </c>
      <c r="L1088" s="334">
        <v>9053</v>
      </c>
      <c r="M1088" s="362"/>
      <c r="N1088" s="362">
        <f t="shared" si="33"/>
        <v>9053</v>
      </c>
      <c r="O1088" s="356"/>
      <c r="P1088" s="356"/>
      <c r="Q1088" s="356"/>
      <c r="R1088" s="356"/>
      <c r="S1088" s="356"/>
      <c r="T1088" s="356">
        <v>1</v>
      </c>
      <c r="U1088" s="372"/>
      <c r="V1088" s="372"/>
      <c r="W1088" s="372"/>
      <c r="X1088" s="373"/>
      <c r="Y1088" s="348"/>
      <c r="Z1088" s="348"/>
      <c r="AA1088" s="348"/>
    </row>
    <row r="1089" s="331" customFormat="1" ht="17" customHeight="1" spans="1:27">
      <c r="A1089" s="348">
        <v>2020201</v>
      </c>
      <c r="B1089" s="348" t="s">
        <v>137</v>
      </c>
      <c r="C1089" s="348" t="s">
        <v>411</v>
      </c>
      <c r="D1089" s="349" t="s">
        <v>427</v>
      </c>
      <c r="E1089" s="336">
        <v>43632</v>
      </c>
      <c r="F1089" s="336">
        <v>43631</v>
      </c>
      <c r="G1089" s="336">
        <v>43675</v>
      </c>
      <c r="H1089" s="334" t="s">
        <v>3142</v>
      </c>
      <c r="I1089" s="356">
        <v>13818481080</v>
      </c>
      <c r="J1089" s="361" t="s">
        <v>3143</v>
      </c>
      <c r="K1089" s="356">
        <v>1000</v>
      </c>
      <c r="L1089" s="334">
        <v>6281</v>
      </c>
      <c r="M1089" s="362"/>
      <c r="N1089" s="362">
        <f t="shared" si="33"/>
        <v>6281</v>
      </c>
      <c r="O1089" s="356"/>
      <c r="P1089" s="356"/>
      <c r="Q1089" s="356"/>
      <c r="R1089" s="356"/>
      <c r="S1089" s="356">
        <v>1</v>
      </c>
      <c r="T1089" s="356"/>
      <c r="U1089" s="372"/>
      <c r="V1089" s="372"/>
      <c r="W1089" s="372"/>
      <c r="X1089" s="373"/>
      <c r="Y1089" s="348"/>
      <c r="Z1089" s="348"/>
      <c r="AA1089" s="348"/>
    </row>
    <row r="1090" s="331" customFormat="1" ht="17" customHeight="1" spans="1:27">
      <c r="A1090" s="550" t="s">
        <v>3144</v>
      </c>
      <c r="B1090" s="348" t="s">
        <v>805</v>
      </c>
      <c r="C1090" s="348" t="s">
        <v>806</v>
      </c>
      <c r="D1090" s="352" t="s">
        <v>635</v>
      </c>
      <c r="E1090" s="336">
        <v>43555</v>
      </c>
      <c r="F1090" s="336">
        <v>43554</v>
      </c>
      <c r="G1090" s="350"/>
      <c r="H1090" s="334" t="s">
        <v>2850</v>
      </c>
      <c r="I1090" s="356">
        <v>15968760169</v>
      </c>
      <c r="J1090" s="361" t="s">
        <v>3145</v>
      </c>
      <c r="K1090" s="356">
        <v>1000</v>
      </c>
      <c r="L1090" s="362"/>
      <c r="M1090" s="362"/>
      <c r="N1090" s="362">
        <f t="shared" si="33"/>
        <v>0</v>
      </c>
      <c r="O1090" s="356" t="s">
        <v>219</v>
      </c>
      <c r="Q1090" s="356"/>
      <c r="R1090" s="356"/>
      <c r="S1090" s="356"/>
      <c r="T1090" s="356"/>
      <c r="U1090" s="372"/>
      <c r="V1090" s="372"/>
      <c r="W1090" s="372"/>
      <c r="X1090" s="373"/>
      <c r="Y1090" s="348"/>
      <c r="Z1090" s="348"/>
      <c r="AA1090" s="348"/>
    </row>
    <row r="1091" s="57" customFormat="1" ht="17" customHeight="1" spans="1:27">
      <c r="A1091" s="348">
        <v>2020206</v>
      </c>
      <c r="B1091" s="348" t="s">
        <v>137</v>
      </c>
      <c r="C1091" s="348" t="s">
        <v>411</v>
      </c>
      <c r="D1091" s="349" t="s">
        <v>427</v>
      </c>
      <c r="E1091" s="336">
        <v>43632</v>
      </c>
      <c r="F1091" s="336">
        <v>43631</v>
      </c>
      <c r="G1091" s="350"/>
      <c r="H1091" s="334" t="s">
        <v>3146</v>
      </c>
      <c r="I1091" s="356">
        <v>13918935916</v>
      </c>
      <c r="J1091" s="348" t="s">
        <v>3147</v>
      </c>
      <c r="K1091" s="356">
        <v>1000</v>
      </c>
      <c r="L1091" s="362"/>
      <c r="M1091" s="362"/>
      <c r="N1091" s="362">
        <f t="shared" si="33"/>
        <v>0</v>
      </c>
      <c r="O1091" s="356"/>
      <c r="Q1091" s="356"/>
      <c r="R1091" s="356"/>
      <c r="S1091" s="356">
        <v>1</v>
      </c>
      <c r="T1091" s="356"/>
      <c r="U1091" s="372" t="s">
        <v>12</v>
      </c>
      <c r="V1091" s="372"/>
      <c r="W1091" s="372"/>
      <c r="X1091" s="373"/>
      <c r="Y1091" s="348"/>
      <c r="Z1091" s="348"/>
      <c r="AA1091" s="348"/>
    </row>
    <row r="1092" s="331" customFormat="1" ht="17" customHeight="1" spans="1:27">
      <c r="A1092" s="348"/>
      <c r="B1092" s="348" t="s">
        <v>35</v>
      </c>
      <c r="C1092" s="348" t="s">
        <v>328</v>
      </c>
      <c r="D1092" s="349" t="s">
        <v>37</v>
      </c>
      <c r="E1092" s="336">
        <v>43632</v>
      </c>
      <c r="F1092" s="336">
        <v>43631</v>
      </c>
      <c r="G1092" s="336">
        <v>43677</v>
      </c>
      <c r="H1092" s="334" t="s">
        <v>3148</v>
      </c>
      <c r="I1092" s="356">
        <v>15216711206</v>
      </c>
      <c r="J1092" s="361" t="s">
        <v>3149</v>
      </c>
      <c r="K1092" s="356">
        <v>5000</v>
      </c>
      <c r="L1092" s="334">
        <v>5000</v>
      </c>
      <c r="M1092" s="362"/>
      <c r="N1092" s="362">
        <f t="shared" si="33"/>
        <v>5000</v>
      </c>
      <c r="O1092" s="356" t="s">
        <v>52</v>
      </c>
      <c r="Q1092" s="356"/>
      <c r="R1092" s="356"/>
      <c r="S1092" s="356"/>
      <c r="T1092" s="356"/>
      <c r="U1092" s="372"/>
      <c r="V1092" s="372"/>
      <c r="W1092" s="372"/>
      <c r="X1092" s="373"/>
      <c r="Y1092" s="348"/>
      <c r="Z1092" s="348"/>
      <c r="AA1092" s="348"/>
    </row>
    <row r="1093" s="331" customFormat="1" ht="17" customHeight="1" spans="1:27">
      <c r="A1093" s="348"/>
      <c r="B1093" s="348" t="s">
        <v>87</v>
      </c>
      <c r="C1093" s="348" t="s">
        <v>199</v>
      </c>
      <c r="D1093" s="349" t="s">
        <v>89</v>
      </c>
      <c r="E1093" s="336">
        <v>43713</v>
      </c>
      <c r="F1093" s="336">
        <v>43631</v>
      </c>
      <c r="G1093" s="336">
        <v>43712</v>
      </c>
      <c r="H1093" s="334" t="s">
        <v>3150</v>
      </c>
      <c r="I1093" s="356">
        <v>13564928349</v>
      </c>
      <c r="J1093" s="361" t="s">
        <v>3151</v>
      </c>
      <c r="K1093" s="356">
        <v>1299</v>
      </c>
      <c r="L1093" s="334">
        <v>7790</v>
      </c>
      <c r="M1093" s="362"/>
      <c r="N1093" s="362">
        <f t="shared" ref="N1093:N1154" si="34">L1093+M1093</f>
        <v>7790</v>
      </c>
      <c r="O1093" s="356"/>
      <c r="P1093" s="356" t="s">
        <v>52</v>
      </c>
      <c r="Q1093" s="356"/>
      <c r="R1093" s="356"/>
      <c r="S1093" s="356"/>
      <c r="T1093" s="356"/>
      <c r="U1093" s="372"/>
      <c r="V1093" s="372"/>
      <c r="W1093" s="372"/>
      <c r="X1093" s="373">
        <v>1</v>
      </c>
      <c r="Y1093" s="348"/>
      <c r="Z1093" s="348"/>
      <c r="AA1093" s="348"/>
    </row>
    <row r="1094" s="331" customFormat="1" ht="17" customHeight="1" spans="1:27">
      <c r="A1094" s="348"/>
      <c r="B1094" s="348" t="s">
        <v>281</v>
      </c>
      <c r="C1094" s="348" t="s">
        <v>498</v>
      </c>
      <c r="D1094" s="352" t="s">
        <v>49</v>
      </c>
      <c r="E1094" s="336">
        <v>43635</v>
      </c>
      <c r="F1094" s="336">
        <v>43631</v>
      </c>
      <c r="G1094" s="350"/>
      <c r="H1094" s="334" t="s">
        <v>3152</v>
      </c>
      <c r="I1094" s="356">
        <v>17302113133</v>
      </c>
      <c r="J1094" s="361" t="s">
        <v>3153</v>
      </c>
      <c r="K1094" s="356">
        <v>1000</v>
      </c>
      <c r="L1094" s="362"/>
      <c r="M1094" s="362"/>
      <c r="N1094" s="362">
        <f t="shared" si="34"/>
        <v>0</v>
      </c>
      <c r="O1094" s="356"/>
      <c r="Q1094" s="356" t="s">
        <v>52</v>
      </c>
      <c r="R1094" s="356"/>
      <c r="S1094" s="356"/>
      <c r="T1094" s="356"/>
      <c r="U1094" s="372"/>
      <c r="V1094" s="372"/>
      <c r="W1094" s="372"/>
      <c r="X1094" s="373"/>
      <c r="Y1094" s="348" t="s">
        <v>501</v>
      </c>
      <c r="Z1094" s="348"/>
      <c r="AA1094" s="348"/>
    </row>
    <row r="1095" s="331" customFormat="1" ht="17" customHeight="1" spans="1:27">
      <c r="A1095" s="550" t="s">
        <v>3154</v>
      </c>
      <c r="B1095" s="348" t="s">
        <v>58</v>
      </c>
      <c r="C1095" s="348" t="s">
        <v>794</v>
      </c>
      <c r="D1095" s="352" t="s">
        <v>110</v>
      </c>
      <c r="E1095" s="336">
        <v>43682</v>
      </c>
      <c r="F1095" s="336">
        <v>43631</v>
      </c>
      <c r="G1095" s="336">
        <v>43681</v>
      </c>
      <c r="H1095" s="334" t="s">
        <v>3155</v>
      </c>
      <c r="I1095" s="356">
        <v>13564870107</v>
      </c>
      <c r="J1095" s="361" t="s">
        <v>3156</v>
      </c>
      <c r="K1095" s="356">
        <v>6000</v>
      </c>
      <c r="L1095" s="334">
        <v>13152</v>
      </c>
      <c r="M1095" s="362"/>
      <c r="N1095" s="362">
        <f t="shared" si="34"/>
        <v>13152</v>
      </c>
      <c r="O1095" s="356"/>
      <c r="Q1095" s="356"/>
      <c r="R1095" s="365" t="s">
        <v>52</v>
      </c>
      <c r="S1095" s="356"/>
      <c r="T1095" s="356"/>
      <c r="U1095" s="372"/>
      <c r="V1095" s="372"/>
      <c r="W1095" s="372"/>
      <c r="X1095" s="373"/>
      <c r="Y1095" s="348"/>
      <c r="Z1095" s="348"/>
      <c r="AA1095" s="348"/>
    </row>
    <row r="1096" s="331" customFormat="1" ht="17" customHeight="1" spans="1:27">
      <c r="A1096" s="550" t="s">
        <v>3157</v>
      </c>
      <c r="B1096" s="348" t="s">
        <v>58</v>
      </c>
      <c r="C1096" s="348" t="s">
        <v>59</v>
      </c>
      <c r="D1096" s="349" t="s">
        <v>343</v>
      </c>
      <c r="E1096" s="336" t="s">
        <v>133</v>
      </c>
      <c r="F1096" s="336" t="s">
        <v>800</v>
      </c>
      <c r="G1096" s="336">
        <v>43661</v>
      </c>
      <c r="H1096" s="334" t="s">
        <v>3158</v>
      </c>
      <c r="I1096" s="356">
        <v>13331848400</v>
      </c>
      <c r="J1096" s="361" t="s">
        <v>3159</v>
      </c>
      <c r="K1096" s="356">
        <v>5000</v>
      </c>
      <c r="L1096" s="362"/>
      <c r="M1096" s="334">
        <v>310</v>
      </c>
      <c r="N1096" s="362">
        <f t="shared" si="34"/>
        <v>310</v>
      </c>
      <c r="O1096" s="356"/>
      <c r="Q1096" s="356"/>
      <c r="R1096" s="356"/>
      <c r="S1096" s="356"/>
      <c r="T1096" s="356"/>
      <c r="U1096" s="372"/>
      <c r="V1096" s="372"/>
      <c r="W1096" s="372"/>
      <c r="X1096" s="373"/>
      <c r="Y1096" s="348"/>
      <c r="Z1096" s="348"/>
      <c r="AA1096" s="348"/>
    </row>
    <row r="1097" s="331" customFormat="1" ht="17" customHeight="1" spans="1:27">
      <c r="A1097" s="348">
        <v>2066056</v>
      </c>
      <c r="B1097" s="348" t="s">
        <v>205</v>
      </c>
      <c r="C1097" s="348" t="s">
        <v>1467</v>
      </c>
      <c r="D1097" s="349" t="s">
        <v>1170</v>
      </c>
      <c r="E1097" s="336">
        <v>43632</v>
      </c>
      <c r="F1097" s="336">
        <v>43632</v>
      </c>
      <c r="G1097" s="336">
        <v>43666</v>
      </c>
      <c r="H1097" s="334" t="s">
        <v>3160</v>
      </c>
      <c r="I1097" s="356">
        <v>13122496523</v>
      </c>
      <c r="J1097" s="361" t="s">
        <v>3161</v>
      </c>
      <c r="K1097" s="356">
        <v>6000</v>
      </c>
      <c r="L1097" s="334">
        <v>9753</v>
      </c>
      <c r="M1097" s="362"/>
      <c r="N1097" s="362">
        <f t="shared" si="34"/>
        <v>9753</v>
      </c>
      <c r="O1097" s="356"/>
      <c r="Q1097" s="356"/>
      <c r="R1097" s="356"/>
      <c r="S1097" s="356"/>
      <c r="T1097" s="356"/>
      <c r="U1097" s="372"/>
      <c r="V1097" s="372"/>
      <c r="W1097" s="372"/>
      <c r="X1097" s="373"/>
      <c r="Y1097" s="348"/>
      <c r="Z1097" s="348"/>
      <c r="AA1097" s="348"/>
    </row>
    <row r="1098" s="331" customFormat="1" ht="15" customHeight="1" spans="1:27">
      <c r="A1098" s="550" t="s">
        <v>3162</v>
      </c>
      <c r="B1098" s="348" t="s">
        <v>58</v>
      </c>
      <c r="C1098" s="348" t="s">
        <v>59</v>
      </c>
      <c r="D1098" s="349" t="s">
        <v>271</v>
      </c>
      <c r="E1098" s="336">
        <v>43632</v>
      </c>
      <c r="F1098" s="336">
        <v>43631</v>
      </c>
      <c r="G1098" s="350"/>
      <c r="H1098" s="334" t="s">
        <v>3163</v>
      </c>
      <c r="I1098" s="356">
        <v>18101810917</v>
      </c>
      <c r="J1098" s="361" t="s">
        <v>3164</v>
      </c>
      <c r="K1098" s="356">
        <v>5000</v>
      </c>
      <c r="L1098" s="362"/>
      <c r="M1098" s="362"/>
      <c r="N1098" s="362">
        <f t="shared" si="34"/>
        <v>0</v>
      </c>
      <c r="O1098" s="365" t="s">
        <v>52</v>
      </c>
      <c r="Q1098" s="356"/>
      <c r="R1098" s="356"/>
      <c r="S1098" s="356"/>
      <c r="T1098" s="356"/>
      <c r="U1098" s="413">
        <v>43671</v>
      </c>
      <c r="V1098" s="372"/>
      <c r="W1098" s="372"/>
      <c r="X1098" s="373"/>
      <c r="Y1098" s="348" t="s">
        <v>839</v>
      </c>
      <c r="Z1098" s="348"/>
      <c r="AA1098" s="348"/>
    </row>
    <row r="1099" s="331" customFormat="1" ht="17" customHeight="1" spans="1:27">
      <c r="A1099" s="550" t="s">
        <v>3165</v>
      </c>
      <c r="B1099" s="348" t="s">
        <v>315</v>
      </c>
      <c r="C1099" s="348" t="s">
        <v>722</v>
      </c>
      <c r="D1099" s="349" t="s">
        <v>132</v>
      </c>
      <c r="E1099" s="336">
        <v>43632</v>
      </c>
      <c r="F1099" s="336">
        <v>43631</v>
      </c>
      <c r="G1099" s="350"/>
      <c r="H1099" s="334" t="s">
        <v>3166</v>
      </c>
      <c r="I1099" s="356">
        <v>13917879040</v>
      </c>
      <c r="J1099" s="361" t="s">
        <v>3167</v>
      </c>
      <c r="K1099" s="356">
        <v>6080</v>
      </c>
      <c r="L1099" s="362"/>
      <c r="M1099" s="362"/>
      <c r="N1099" s="362">
        <f t="shared" si="34"/>
        <v>0</v>
      </c>
      <c r="O1099" s="356"/>
      <c r="Q1099" s="356"/>
      <c r="R1099" s="356">
        <v>1</v>
      </c>
      <c r="S1099" s="356"/>
      <c r="T1099" s="356"/>
      <c r="U1099" s="372" t="s">
        <v>12</v>
      </c>
      <c r="V1099" s="372"/>
      <c r="W1099" s="372"/>
      <c r="X1099" s="373"/>
      <c r="Y1099" s="348"/>
      <c r="Z1099" s="348"/>
      <c r="AA1099" s="348"/>
    </row>
    <row r="1100" s="331" customFormat="1" ht="17" customHeight="1" spans="1:27">
      <c r="A1100" s="550" t="s">
        <v>93</v>
      </c>
      <c r="B1100" s="348" t="s">
        <v>315</v>
      </c>
      <c r="C1100" s="348" t="s">
        <v>722</v>
      </c>
      <c r="D1100" s="349" t="s">
        <v>132</v>
      </c>
      <c r="E1100" s="336">
        <v>43632</v>
      </c>
      <c r="F1100" s="336">
        <v>43631</v>
      </c>
      <c r="G1100" s="350"/>
      <c r="H1100" s="334" t="s">
        <v>3168</v>
      </c>
      <c r="I1100" s="356" t="s">
        <v>3169</v>
      </c>
      <c r="J1100" s="361" t="s">
        <v>3170</v>
      </c>
      <c r="K1100" s="356">
        <v>1000</v>
      </c>
      <c r="L1100" s="362"/>
      <c r="M1100" s="362"/>
      <c r="N1100" s="362">
        <f t="shared" si="34"/>
        <v>0</v>
      </c>
      <c r="O1100" s="356"/>
      <c r="Q1100" s="356"/>
      <c r="R1100" s="356">
        <v>1</v>
      </c>
      <c r="S1100" s="356"/>
      <c r="T1100" s="356"/>
      <c r="U1100" s="372" t="s">
        <v>12</v>
      </c>
      <c r="V1100" s="372"/>
      <c r="W1100" s="372"/>
      <c r="X1100" s="373"/>
      <c r="Y1100" s="348"/>
      <c r="Z1100" s="348"/>
      <c r="AA1100" s="348"/>
    </row>
    <row r="1101" s="331" customFormat="1" ht="17" customHeight="1" spans="1:27">
      <c r="A1101" s="348"/>
      <c r="B1101" s="348" t="s">
        <v>281</v>
      </c>
      <c r="C1101" s="334" t="s">
        <v>517</v>
      </c>
      <c r="D1101" s="349" t="s">
        <v>518</v>
      </c>
      <c r="E1101" s="336">
        <v>43635</v>
      </c>
      <c r="F1101" s="336">
        <v>43631</v>
      </c>
      <c r="G1101" s="336">
        <v>43659</v>
      </c>
      <c r="H1101" s="334" t="s">
        <v>3171</v>
      </c>
      <c r="I1101" s="356">
        <v>17621036603</v>
      </c>
      <c r="J1101" s="361" t="s">
        <v>3172</v>
      </c>
      <c r="K1101" s="356">
        <v>1000</v>
      </c>
      <c r="L1101" s="334">
        <v>3256</v>
      </c>
      <c r="M1101" s="334">
        <v>2480</v>
      </c>
      <c r="N1101" s="362">
        <f t="shared" si="34"/>
        <v>5736</v>
      </c>
      <c r="O1101" s="356"/>
      <c r="Q1101" s="356"/>
      <c r="R1101" s="356"/>
      <c r="S1101" s="356"/>
      <c r="T1101" s="356"/>
      <c r="U1101" s="372"/>
      <c r="V1101" s="372"/>
      <c r="W1101" s="372"/>
      <c r="X1101" s="373"/>
      <c r="Y1101" s="348" t="s">
        <v>501</v>
      </c>
      <c r="Z1101" s="348"/>
      <c r="AA1101" s="348"/>
    </row>
    <row r="1102" s="331" customFormat="1" ht="17" customHeight="1" spans="1:27">
      <c r="A1102" s="550" t="s">
        <v>3173</v>
      </c>
      <c r="B1102" s="348" t="s">
        <v>31</v>
      </c>
      <c r="C1102" s="348" t="s">
        <v>377</v>
      </c>
      <c r="D1102" s="349" t="s">
        <v>89</v>
      </c>
      <c r="E1102" s="336">
        <v>43632</v>
      </c>
      <c r="F1102" s="336">
        <v>43631</v>
      </c>
      <c r="G1102" s="336">
        <v>43673</v>
      </c>
      <c r="H1102" s="334" t="s">
        <v>3174</v>
      </c>
      <c r="I1102" s="356">
        <v>17621708792</v>
      </c>
      <c r="J1102" s="361" t="s">
        <v>3175</v>
      </c>
      <c r="K1102" s="356">
        <v>5000</v>
      </c>
      <c r="L1102" s="334">
        <v>13064</v>
      </c>
      <c r="M1102" s="334">
        <v>736</v>
      </c>
      <c r="N1102" s="362">
        <f t="shared" si="34"/>
        <v>13800</v>
      </c>
      <c r="O1102" s="356"/>
      <c r="Q1102" s="356"/>
      <c r="R1102" s="356"/>
      <c r="S1102" s="356"/>
      <c r="T1102" s="356"/>
      <c r="U1102" s="372"/>
      <c r="V1102" s="372"/>
      <c r="W1102" s="372"/>
      <c r="X1102" s="373"/>
      <c r="Y1102" s="348"/>
      <c r="Z1102" s="348"/>
      <c r="AA1102" s="348"/>
    </row>
    <row r="1103" s="331" customFormat="1" ht="17" customHeight="1" spans="1:27">
      <c r="A1103" s="550" t="s">
        <v>3176</v>
      </c>
      <c r="B1103" s="348" t="s">
        <v>31</v>
      </c>
      <c r="C1103" s="348" t="s">
        <v>419</v>
      </c>
      <c r="D1103" s="334" t="s">
        <v>954</v>
      </c>
      <c r="E1103" s="336">
        <v>43723</v>
      </c>
      <c r="F1103" s="336">
        <v>43632</v>
      </c>
      <c r="G1103" s="336">
        <v>43723</v>
      </c>
      <c r="H1103" s="334" t="s">
        <v>3177</v>
      </c>
      <c r="I1103" s="356">
        <v>13817024253</v>
      </c>
      <c r="J1103" s="361" t="s">
        <v>3178</v>
      </c>
      <c r="K1103" s="356">
        <v>1998</v>
      </c>
      <c r="L1103" s="334">
        <v>4143</v>
      </c>
      <c r="M1103" s="334">
        <v>861</v>
      </c>
      <c r="N1103" s="362">
        <f t="shared" si="34"/>
        <v>5004</v>
      </c>
      <c r="O1103" s="366" t="s">
        <v>52</v>
      </c>
      <c r="Q1103" s="356"/>
      <c r="R1103" s="356"/>
      <c r="S1103" s="356"/>
      <c r="T1103" s="356"/>
      <c r="U1103" s="372"/>
      <c r="V1103" s="372"/>
      <c r="W1103" s="372"/>
      <c r="X1103" s="373"/>
      <c r="Y1103" s="348"/>
      <c r="Z1103" s="348"/>
      <c r="AA1103" s="348"/>
    </row>
    <row r="1104" s="331" customFormat="1" ht="17" customHeight="1" spans="1:27">
      <c r="A1104" s="348"/>
      <c r="B1104" s="348" t="s">
        <v>35</v>
      </c>
      <c r="C1104" s="348" t="s">
        <v>392</v>
      </c>
      <c r="D1104" s="349" t="s">
        <v>37</v>
      </c>
      <c r="E1104" s="336">
        <v>43646</v>
      </c>
      <c r="F1104" s="336">
        <v>43644</v>
      </c>
      <c r="G1104" s="350"/>
      <c r="H1104" s="334" t="s">
        <v>534</v>
      </c>
      <c r="I1104" s="356">
        <v>17623176961</v>
      </c>
      <c r="J1104" s="361" t="s">
        <v>3179</v>
      </c>
      <c r="K1104" s="356">
        <v>1000</v>
      </c>
      <c r="L1104" s="362"/>
      <c r="M1104" s="362"/>
      <c r="N1104" s="362">
        <f t="shared" si="34"/>
        <v>0</v>
      </c>
      <c r="O1104" s="356" t="s">
        <v>52</v>
      </c>
      <c r="Q1104" s="356"/>
      <c r="R1104" s="356"/>
      <c r="S1104" s="356"/>
      <c r="T1104" s="356"/>
      <c r="U1104" s="372" t="s">
        <v>40</v>
      </c>
      <c r="V1104" s="372"/>
      <c r="W1104" s="372"/>
      <c r="X1104" s="373"/>
      <c r="Y1104" s="348"/>
      <c r="Z1104" s="348"/>
      <c r="AA1104" s="348"/>
    </row>
    <row r="1105" s="331" customFormat="1" ht="17" customHeight="1" spans="1:27">
      <c r="A1105" s="550" t="s">
        <v>3180</v>
      </c>
      <c r="B1105" s="348" t="s">
        <v>315</v>
      </c>
      <c r="C1105" s="348" t="s">
        <v>181</v>
      </c>
      <c r="D1105" s="349" t="s">
        <v>182</v>
      </c>
      <c r="E1105" s="336">
        <v>43691</v>
      </c>
      <c r="F1105" s="336">
        <v>43632</v>
      </c>
      <c r="G1105" s="336">
        <v>43691</v>
      </c>
      <c r="H1105" s="334" t="s">
        <v>3181</v>
      </c>
      <c r="I1105" s="356">
        <v>13816282018</v>
      </c>
      <c r="J1105" s="361" t="s">
        <v>3182</v>
      </c>
      <c r="K1105" s="356">
        <v>6000</v>
      </c>
      <c r="L1105" s="334">
        <v>5289</v>
      </c>
      <c r="M1105" s="362"/>
      <c r="N1105" s="362">
        <f t="shared" si="34"/>
        <v>5289</v>
      </c>
      <c r="O1105" s="356">
        <v>1</v>
      </c>
      <c r="Q1105" s="356"/>
      <c r="R1105" s="356"/>
      <c r="S1105" s="356"/>
      <c r="T1105" s="356"/>
      <c r="U1105" s="372"/>
      <c r="V1105" s="372"/>
      <c r="W1105" s="372"/>
      <c r="X1105" s="373"/>
      <c r="Y1105" s="348"/>
      <c r="Z1105" s="348"/>
      <c r="AA1105" s="348"/>
    </row>
    <row r="1106" s="331" customFormat="1" ht="17" customHeight="1" spans="1:27">
      <c r="A1106" s="550" t="s">
        <v>3183</v>
      </c>
      <c r="B1106" s="348" t="s">
        <v>35</v>
      </c>
      <c r="C1106" s="348" t="s">
        <v>328</v>
      </c>
      <c r="D1106" s="349" t="s">
        <v>37</v>
      </c>
      <c r="E1106" s="336">
        <v>43645</v>
      </c>
      <c r="F1106" s="336">
        <v>43645</v>
      </c>
      <c r="G1106" s="336">
        <v>43677</v>
      </c>
      <c r="H1106" s="334" t="s">
        <v>45</v>
      </c>
      <c r="I1106" s="356">
        <v>17701221252</v>
      </c>
      <c r="J1106" s="361" t="s">
        <v>3184</v>
      </c>
      <c r="K1106" s="356">
        <v>5000</v>
      </c>
      <c r="L1106" s="334">
        <v>5000</v>
      </c>
      <c r="M1106" s="362"/>
      <c r="N1106" s="362">
        <f t="shared" si="34"/>
        <v>5000</v>
      </c>
      <c r="O1106" s="356"/>
      <c r="Q1106" s="356" t="s">
        <v>52</v>
      </c>
      <c r="R1106" s="356"/>
      <c r="S1106" s="356"/>
      <c r="T1106" s="356"/>
      <c r="U1106" s="372"/>
      <c r="V1106" s="372"/>
      <c r="W1106" s="372"/>
      <c r="X1106" s="373"/>
      <c r="Y1106" s="348" t="s">
        <v>3185</v>
      </c>
      <c r="Z1106" s="348"/>
      <c r="AA1106" s="348"/>
    </row>
    <row r="1107" s="331" customFormat="1" ht="17" customHeight="1" spans="1:27">
      <c r="A1107" s="348">
        <v>2067600</v>
      </c>
      <c r="B1107" s="348" t="s">
        <v>31</v>
      </c>
      <c r="C1107" s="348" t="s">
        <v>3186</v>
      </c>
      <c r="D1107" s="349" t="s">
        <v>221</v>
      </c>
      <c r="E1107" s="336">
        <v>43641</v>
      </c>
      <c r="F1107" s="336">
        <v>43632</v>
      </c>
      <c r="G1107" s="350"/>
      <c r="H1107" s="334" t="s">
        <v>3187</v>
      </c>
      <c r="I1107" s="356">
        <v>18616221880</v>
      </c>
      <c r="J1107" s="361" t="s">
        <v>3188</v>
      </c>
      <c r="K1107" s="356">
        <v>1000</v>
      </c>
      <c r="L1107" s="362"/>
      <c r="M1107" s="362"/>
      <c r="N1107" s="362">
        <f t="shared" si="34"/>
        <v>0</v>
      </c>
      <c r="O1107" s="356"/>
      <c r="Q1107" s="356"/>
      <c r="R1107" s="356"/>
      <c r="S1107" s="356"/>
      <c r="T1107" s="356"/>
      <c r="U1107" s="372">
        <v>7.15</v>
      </c>
      <c r="V1107" s="372"/>
      <c r="W1107" s="372"/>
      <c r="X1107" s="373"/>
      <c r="Y1107" s="348"/>
      <c r="Z1107" s="348"/>
      <c r="AA1107" s="348"/>
    </row>
    <row r="1108" s="331" customFormat="1" ht="17" customHeight="1" spans="1:27">
      <c r="A1108" s="550" t="s">
        <v>3189</v>
      </c>
      <c r="B1108" s="348" t="s">
        <v>31</v>
      </c>
      <c r="C1108" s="348" t="s">
        <v>220</v>
      </c>
      <c r="D1108" s="349" t="s">
        <v>221</v>
      </c>
      <c r="E1108" s="336">
        <v>43632</v>
      </c>
      <c r="F1108" s="336">
        <v>43632</v>
      </c>
      <c r="G1108" s="350"/>
      <c r="H1108" s="334" t="s">
        <v>3190</v>
      </c>
      <c r="I1108" s="356">
        <v>13774296305</v>
      </c>
      <c r="J1108" s="361" t="s">
        <v>3191</v>
      </c>
      <c r="K1108" s="356">
        <v>1000</v>
      </c>
      <c r="L1108" s="362"/>
      <c r="M1108" s="362"/>
      <c r="N1108" s="362">
        <f t="shared" si="34"/>
        <v>0</v>
      </c>
      <c r="O1108" s="356"/>
      <c r="Q1108" s="356"/>
      <c r="R1108" s="356"/>
      <c r="S1108" s="356"/>
      <c r="T1108" s="356"/>
      <c r="U1108" s="372" t="s">
        <v>12</v>
      </c>
      <c r="V1108" s="372"/>
      <c r="W1108" s="372"/>
      <c r="X1108" s="373"/>
      <c r="Y1108" s="348"/>
      <c r="Z1108" s="348"/>
      <c r="AA1108" s="348"/>
    </row>
    <row r="1109" s="331" customFormat="1" ht="17" customHeight="1" spans="1:27">
      <c r="A1109" s="348">
        <v>2023573</v>
      </c>
      <c r="B1109" s="348" t="s">
        <v>73</v>
      </c>
      <c r="C1109" s="348" t="s">
        <v>1130</v>
      </c>
      <c r="D1109" s="349" t="s">
        <v>75</v>
      </c>
      <c r="E1109" s="336">
        <v>43587</v>
      </c>
      <c r="F1109" s="336">
        <v>43586</v>
      </c>
      <c r="G1109" s="350" t="s">
        <v>69</v>
      </c>
      <c r="H1109" s="334" t="s">
        <v>441</v>
      </c>
      <c r="I1109" s="356">
        <v>17702157131</v>
      </c>
      <c r="J1109" s="361" t="s">
        <v>3192</v>
      </c>
      <c r="K1109" s="356">
        <v>1000</v>
      </c>
      <c r="L1109" s="362"/>
      <c r="M1109" s="362"/>
      <c r="N1109" s="362">
        <f t="shared" si="34"/>
        <v>0</v>
      </c>
      <c r="O1109" s="356"/>
      <c r="Q1109" s="356"/>
      <c r="R1109" s="366" t="s">
        <v>52</v>
      </c>
      <c r="S1109" s="356"/>
      <c r="T1109" s="356"/>
      <c r="U1109" s="372"/>
      <c r="V1109" s="372"/>
      <c r="W1109" s="372"/>
      <c r="X1109" s="373">
        <v>1</v>
      </c>
      <c r="Y1109" s="348" t="s">
        <v>1223</v>
      </c>
      <c r="Z1109" s="348"/>
      <c r="AA1109" s="348" t="s">
        <v>79</v>
      </c>
    </row>
    <row r="1110" s="331" customFormat="1" ht="17" customHeight="1" spans="1:27">
      <c r="A1110" s="550" t="s">
        <v>3193</v>
      </c>
      <c r="B1110" s="348" t="s">
        <v>94</v>
      </c>
      <c r="C1110" s="348" t="s">
        <v>101</v>
      </c>
      <c r="D1110" s="352" t="s">
        <v>49</v>
      </c>
      <c r="E1110" s="336">
        <v>43632</v>
      </c>
      <c r="F1110" s="336">
        <v>43632</v>
      </c>
      <c r="G1110" s="350"/>
      <c r="H1110" s="334" t="s">
        <v>3194</v>
      </c>
      <c r="I1110" s="356">
        <v>18017130364</v>
      </c>
      <c r="J1110" s="361" t="s">
        <v>3195</v>
      </c>
      <c r="K1110" s="356">
        <v>1000</v>
      </c>
      <c r="L1110" s="362"/>
      <c r="M1110" s="362"/>
      <c r="N1110" s="362">
        <f t="shared" si="34"/>
        <v>0</v>
      </c>
      <c r="O1110" s="356"/>
      <c r="P1110" s="366" t="s">
        <v>52</v>
      </c>
      <c r="Q1110" s="366"/>
      <c r="R1110" s="356"/>
      <c r="S1110" s="356"/>
      <c r="T1110" s="356"/>
      <c r="U1110" s="372"/>
      <c r="V1110" s="372"/>
      <c r="W1110" s="372"/>
      <c r="X1110" s="373"/>
      <c r="Y1110" s="348"/>
      <c r="Z1110" s="348"/>
      <c r="AA1110" s="348"/>
    </row>
    <row r="1111" s="331" customFormat="1" ht="17" customHeight="1" spans="1:27">
      <c r="A1111" s="550" t="s">
        <v>2509</v>
      </c>
      <c r="B1111" s="348" t="s">
        <v>94</v>
      </c>
      <c r="C1111" s="348" t="s">
        <v>3196</v>
      </c>
      <c r="D1111" s="352" t="s">
        <v>49</v>
      </c>
      <c r="E1111" s="336">
        <v>43787</v>
      </c>
      <c r="F1111" s="336">
        <v>43632</v>
      </c>
      <c r="G1111" s="336">
        <v>43787</v>
      </c>
      <c r="H1111" s="334" t="s">
        <v>3197</v>
      </c>
      <c r="I1111" s="356">
        <v>13020165526</v>
      </c>
      <c r="J1111" s="361" t="s">
        <v>3198</v>
      </c>
      <c r="K1111" s="356">
        <v>3000</v>
      </c>
      <c r="L1111" s="334">
        <v>51586</v>
      </c>
      <c r="M1111" s="362"/>
      <c r="N1111" s="362">
        <f t="shared" si="34"/>
        <v>51586</v>
      </c>
      <c r="O1111" s="356"/>
      <c r="P1111" s="366" t="s">
        <v>52</v>
      </c>
      <c r="Q1111" s="366"/>
      <c r="R1111" s="356"/>
      <c r="S1111" s="356"/>
      <c r="T1111" s="356"/>
      <c r="U1111" s="372"/>
      <c r="V1111" s="372"/>
      <c r="W1111" s="372"/>
      <c r="X1111" s="373"/>
      <c r="Y1111" s="348" t="s">
        <v>3199</v>
      </c>
      <c r="Z1111" s="348"/>
      <c r="AA1111" s="348"/>
    </row>
    <row r="1112" s="331" customFormat="1" ht="17" customHeight="1" spans="1:27">
      <c r="A1112" s="550" t="s">
        <v>3200</v>
      </c>
      <c r="B1112" s="348" t="s">
        <v>94</v>
      </c>
      <c r="C1112" s="348" t="s">
        <v>95</v>
      </c>
      <c r="D1112" s="352" t="s">
        <v>49</v>
      </c>
      <c r="E1112" s="336">
        <v>43741</v>
      </c>
      <c r="F1112" s="336">
        <v>43632</v>
      </c>
      <c r="G1112" s="336">
        <v>43741</v>
      </c>
      <c r="H1112" s="334" t="s">
        <v>3201</v>
      </c>
      <c r="I1112" s="356">
        <v>18930907296</v>
      </c>
      <c r="J1112" s="361" t="s">
        <v>3202</v>
      </c>
      <c r="K1112" s="356">
        <v>3000</v>
      </c>
      <c r="L1112" s="334">
        <v>9785</v>
      </c>
      <c r="M1112" s="362"/>
      <c r="N1112" s="362">
        <f t="shared" si="34"/>
        <v>9785</v>
      </c>
      <c r="O1112" s="356"/>
      <c r="Q1112" s="366"/>
      <c r="R1112" s="366" t="s">
        <v>52</v>
      </c>
      <c r="S1112" s="356"/>
      <c r="T1112" s="356"/>
      <c r="U1112" s="372"/>
      <c r="V1112" s="372"/>
      <c r="W1112" s="372"/>
      <c r="X1112" s="373"/>
      <c r="Y1112" s="348" t="s">
        <v>3199</v>
      </c>
      <c r="Z1112" s="348"/>
      <c r="AA1112" s="348"/>
    </row>
    <row r="1113" s="331" customFormat="1" ht="17" customHeight="1" spans="1:27">
      <c r="A1113" s="550" t="s">
        <v>3203</v>
      </c>
      <c r="B1113" s="348" t="s">
        <v>94</v>
      </c>
      <c r="C1113" s="348" t="s">
        <v>95</v>
      </c>
      <c r="D1113" s="352" t="s">
        <v>49</v>
      </c>
      <c r="E1113" s="336">
        <v>43793</v>
      </c>
      <c r="F1113" s="336">
        <v>43632</v>
      </c>
      <c r="G1113" s="336">
        <v>43792</v>
      </c>
      <c r="H1113" s="334" t="s">
        <v>3204</v>
      </c>
      <c r="I1113" s="356">
        <v>13601845942</v>
      </c>
      <c r="J1113" s="361" t="s">
        <v>3205</v>
      </c>
      <c r="K1113" s="356">
        <v>3000</v>
      </c>
      <c r="L1113" s="334">
        <v>12809</v>
      </c>
      <c r="M1113" s="362"/>
      <c r="N1113" s="362">
        <f t="shared" si="34"/>
        <v>12809</v>
      </c>
      <c r="O1113" s="356"/>
      <c r="Q1113" s="366" t="s">
        <v>52</v>
      </c>
      <c r="R1113" s="366"/>
      <c r="S1113" s="356"/>
      <c r="T1113" s="356"/>
      <c r="U1113" s="372"/>
      <c r="V1113" s="372"/>
      <c r="W1113" s="372"/>
      <c r="X1113" s="373"/>
      <c r="Y1113" s="348" t="s">
        <v>3199</v>
      </c>
      <c r="Z1113" s="348"/>
      <c r="AA1113" s="348"/>
    </row>
    <row r="1114" s="331" customFormat="1" ht="17" customHeight="1" spans="1:27">
      <c r="A1114" s="550" t="s">
        <v>3206</v>
      </c>
      <c r="B1114" s="348" t="s">
        <v>94</v>
      </c>
      <c r="C1114" s="348" t="s">
        <v>3196</v>
      </c>
      <c r="D1114" s="352" t="s">
        <v>49</v>
      </c>
      <c r="E1114" s="336">
        <v>43632</v>
      </c>
      <c r="F1114" s="336">
        <v>43632</v>
      </c>
      <c r="G1114" s="350"/>
      <c r="H1114" s="334" t="s">
        <v>3207</v>
      </c>
      <c r="I1114" s="356">
        <v>13774287599</v>
      </c>
      <c r="J1114" s="361" t="s">
        <v>3208</v>
      </c>
      <c r="K1114" s="356">
        <v>3000</v>
      </c>
      <c r="L1114" s="362"/>
      <c r="M1114" s="362"/>
      <c r="N1114" s="362">
        <f t="shared" si="34"/>
        <v>0</v>
      </c>
      <c r="O1114" s="356"/>
      <c r="Q1114" s="366"/>
      <c r="R1114" s="366"/>
      <c r="S1114" s="356"/>
      <c r="T1114" s="356"/>
      <c r="U1114" s="372"/>
      <c r="V1114" s="372"/>
      <c r="W1114" s="372"/>
      <c r="X1114" s="373"/>
      <c r="Y1114" s="348" t="s">
        <v>3199</v>
      </c>
      <c r="Z1114" s="348"/>
      <c r="AA1114" s="348"/>
    </row>
    <row r="1115" s="331" customFormat="1" ht="17" customHeight="1" spans="1:27">
      <c r="A1115" s="348">
        <v>2068230</v>
      </c>
      <c r="B1115" s="348" t="s">
        <v>66</v>
      </c>
      <c r="C1115" s="348" t="s">
        <v>505</v>
      </c>
      <c r="D1115" s="349" t="s">
        <v>68</v>
      </c>
      <c r="E1115" s="336">
        <v>43632</v>
      </c>
      <c r="F1115" s="336">
        <v>43632</v>
      </c>
      <c r="G1115" s="350"/>
      <c r="H1115" s="334" t="s">
        <v>3209</v>
      </c>
      <c r="I1115" s="356">
        <v>13524886498</v>
      </c>
      <c r="J1115" s="361" t="s">
        <v>3210</v>
      </c>
      <c r="K1115" s="356">
        <v>1998</v>
      </c>
      <c r="L1115" s="362"/>
      <c r="M1115" s="362"/>
      <c r="N1115" s="362">
        <f t="shared" si="34"/>
        <v>0</v>
      </c>
      <c r="O1115" s="356"/>
      <c r="P1115" s="356" t="s">
        <v>1526</v>
      </c>
      <c r="Q1115" s="356"/>
      <c r="R1115" s="356"/>
      <c r="S1115" s="356"/>
      <c r="T1115" s="356"/>
      <c r="U1115" s="372" t="s">
        <v>3211</v>
      </c>
      <c r="V1115" s="372"/>
      <c r="W1115" s="372"/>
      <c r="X1115" s="373"/>
      <c r="Y1115" s="348" t="s">
        <v>92</v>
      </c>
      <c r="Z1115" s="348"/>
      <c r="AA1115" s="348"/>
    </row>
    <row r="1116" s="331" customFormat="1" ht="17" customHeight="1" spans="1:27">
      <c r="A1116" s="550" t="s">
        <v>3212</v>
      </c>
      <c r="B1116" s="348" t="s">
        <v>805</v>
      </c>
      <c r="C1116" s="348" t="s">
        <v>498</v>
      </c>
      <c r="D1116" s="352" t="s">
        <v>635</v>
      </c>
      <c r="E1116" s="336">
        <v>43632</v>
      </c>
      <c r="F1116" s="336">
        <v>43632</v>
      </c>
      <c r="G1116" s="350"/>
      <c r="H1116" s="334" t="s">
        <v>3213</v>
      </c>
      <c r="I1116" s="356">
        <v>13301884961</v>
      </c>
      <c r="J1116" s="361" t="s">
        <v>3214</v>
      </c>
      <c r="K1116" s="356">
        <v>3000</v>
      </c>
      <c r="L1116" s="362"/>
      <c r="M1116" s="362"/>
      <c r="N1116" s="362">
        <f t="shared" si="34"/>
        <v>0</v>
      </c>
      <c r="O1116" s="356"/>
      <c r="Q1116" s="356"/>
      <c r="R1116" s="356"/>
      <c r="S1116" s="356"/>
      <c r="T1116" s="356"/>
      <c r="U1116" s="379">
        <v>7.2</v>
      </c>
      <c r="V1116" s="372"/>
      <c r="W1116" s="372"/>
      <c r="X1116" s="373"/>
      <c r="Y1116" s="348"/>
      <c r="Z1116" s="348"/>
      <c r="AA1116" s="348"/>
    </row>
    <row r="1117" s="57" customFormat="1" ht="17" customHeight="1" spans="1:27">
      <c r="A1117" s="348">
        <v>2024305</v>
      </c>
      <c r="B1117" s="348" t="s">
        <v>137</v>
      </c>
      <c r="C1117" s="348" t="s">
        <v>426</v>
      </c>
      <c r="D1117" s="349" t="s">
        <v>443</v>
      </c>
      <c r="E1117" s="336">
        <v>43632</v>
      </c>
      <c r="F1117" s="336">
        <v>43631</v>
      </c>
      <c r="G1117" s="350"/>
      <c r="H1117" s="334" t="s">
        <v>3215</v>
      </c>
      <c r="I1117" s="356">
        <v>13585854273</v>
      </c>
      <c r="J1117" s="348" t="s">
        <v>3216</v>
      </c>
      <c r="K1117" s="356">
        <v>1000</v>
      </c>
      <c r="L1117" s="362"/>
      <c r="M1117" s="362"/>
      <c r="N1117" s="362">
        <f t="shared" si="34"/>
        <v>0</v>
      </c>
      <c r="O1117" s="356"/>
      <c r="Q1117" s="356"/>
      <c r="R1117" s="356">
        <v>1</v>
      </c>
      <c r="S1117" s="356"/>
      <c r="T1117" s="356"/>
      <c r="U1117" s="372"/>
      <c r="V1117" s="372"/>
      <c r="W1117" s="372"/>
      <c r="X1117" s="373"/>
      <c r="Y1117" s="348"/>
      <c r="Z1117" s="348"/>
      <c r="AA1117" s="348"/>
    </row>
    <row r="1118" s="331" customFormat="1" ht="17" customHeight="1" spans="1:27">
      <c r="A1118" s="348">
        <v>2020216</v>
      </c>
      <c r="B1118" s="348" t="s">
        <v>137</v>
      </c>
      <c r="C1118" s="348" t="s">
        <v>411</v>
      </c>
      <c r="D1118" s="349" t="s">
        <v>427</v>
      </c>
      <c r="E1118" s="336">
        <v>43632</v>
      </c>
      <c r="F1118" s="336">
        <v>43632</v>
      </c>
      <c r="G1118" s="350"/>
      <c r="H1118" s="334" t="s">
        <v>3217</v>
      </c>
      <c r="I1118" s="356">
        <v>18621120186</v>
      </c>
      <c r="J1118" s="361" t="s">
        <v>3218</v>
      </c>
      <c r="K1118" s="356">
        <v>1000</v>
      </c>
      <c r="L1118" s="362"/>
      <c r="M1118" s="362"/>
      <c r="N1118" s="362">
        <f t="shared" si="34"/>
        <v>0</v>
      </c>
      <c r="O1118" s="356"/>
      <c r="Q1118" s="356">
        <v>1</v>
      </c>
      <c r="R1118" s="356"/>
      <c r="S1118" s="356"/>
      <c r="T1118" s="356"/>
      <c r="U1118" s="393" t="s">
        <v>40</v>
      </c>
      <c r="V1118" s="372"/>
      <c r="W1118" s="372"/>
      <c r="X1118" s="373"/>
      <c r="Y1118" s="348"/>
      <c r="Z1118" s="348"/>
      <c r="AA1118" s="348"/>
    </row>
    <row r="1119" s="331" customFormat="1" ht="17" customHeight="1" spans="1:27">
      <c r="A1119" s="348">
        <v>2020215</v>
      </c>
      <c r="B1119" s="348" t="s">
        <v>137</v>
      </c>
      <c r="C1119" s="348" t="s">
        <v>411</v>
      </c>
      <c r="D1119" s="334" t="s">
        <v>139</v>
      </c>
      <c r="E1119" s="336">
        <v>43705</v>
      </c>
      <c r="F1119" s="336">
        <v>43632</v>
      </c>
      <c r="G1119" s="336">
        <v>43705</v>
      </c>
      <c r="H1119" s="334" t="s">
        <v>3219</v>
      </c>
      <c r="I1119" s="356">
        <v>15821406002</v>
      </c>
      <c r="J1119" s="361" t="s">
        <v>3220</v>
      </c>
      <c r="K1119" s="356">
        <v>1998</v>
      </c>
      <c r="L1119" s="334">
        <v>4271</v>
      </c>
      <c r="M1119" s="362"/>
      <c r="N1119" s="362">
        <f t="shared" si="34"/>
        <v>4271</v>
      </c>
      <c r="O1119" s="356"/>
      <c r="P1119" s="331">
        <v>1</v>
      </c>
      <c r="Q1119" s="356"/>
      <c r="R1119" s="356"/>
      <c r="S1119" s="356"/>
      <c r="T1119" s="356"/>
      <c r="U1119" s="372"/>
      <c r="V1119" s="372"/>
      <c r="W1119" s="372"/>
      <c r="X1119" s="373"/>
      <c r="Y1119" s="348" t="s">
        <v>3221</v>
      </c>
      <c r="Z1119" s="348"/>
      <c r="AA1119" s="348"/>
    </row>
    <row r="1120" s="331" customFormat="1" ht="17" customHeight="1" spans="1:27">
      <c r="A1120" s="550" t="s">
        <v>3222</v>
      </c>
      <c r="B1120" s="348" t="s">
        <v>315</v>
      </c>
      <c r="C1120" s="348" t="s">
        <v>258</v>
      </c>
      <c r="D1120" s="352" t="s">
        <v>132</v>
      </c>
      <c r="E1120" s="336">
        <v>43632</v>
      </c>
      <c r="F1120" s="336">
        <v>43632</v>
      </c>
      <c r="G1120" s="336">
        <v>43666</v>
      </c>
      <c r="H1120" s="334" t="s">
        <v>3223</v>
      </c>
      <c r="I1120" s="356">
        <v>13817840344</v>
      </c>
      <c r="J1120" s="361" t="s">
        <v>3224</v>
      </c>
      <c r="K1120" s="356">
        <v>5000</v>
      </c>
      <c r="L1120" s="334">
        <v>8677</v>
      </c>
      <c r="M1120" s="362"/>
      <c r="N1120" s="362">
        <f t="shared" si="34"/>
        <v>8677</v>
      </c>
      <c r="O1120" s="356"/>
      <c r="Q1120" s="356"/>
      <c r="R1120" s="356"/>
      <c r="S1120" s="356"/>
      <c r="T1120" s="356"/>
      <c r="U1120" s="372"/>
      <c r="V1120" s="372"/>
      <c r="W1120" s="372"/>
      <c r="X1120" s="373"/>
      <c r="Y1120" s="348"/>
      <c r="Z1120" s="348"/>
      <c r="AA1120" s="348"/>
    </row>
    <row r="1121" s="331" customFormat="1" ht="17" customHeight="1" spans="1:27">
      <c r="A1121" s="550" t="s">
        <v>3225</v>
      </c>
      <c r="B1121" s="348" t="s">
        <v>185</v>
      </c>
      <c r="C1121" s="348" t="s">
        <v>1133</v>
      </c>
      <c r="D1121" s="349" t="s">
        <v>44</v>
      </c>
      <c r="E1121" s="336">
        <v>43632</v>
      </c>
      <c r="F1121" s="336">
        <v>43632</v>
      </c>
      <c r="G1121" s="336">
        <v>43659</v>
      </c>
      <c r="H1121" s="334" t="s">
        <v>3226</v>
      </c>
      <c r="I1121" s="356">
        <v>18616047160</v>
      </c>
      <c r="J1121" s="361" t="s">
        <v>3227</v>
      </c>
      <c r="K1121" s="356">
        <v>3000</v>
      </c>
      <c r="L1121" s="334">
        <v>9086</v>
      </c>
      <c r="M1121" s="334"/>
      <c r="N1121" s="362">
        <f t="shared" si="34"/>
        <v>9086</v>
      </c>
      <c r="O1121" s="356"/>
      <c r="Q1121" s="356"/>
      <c r="R1121" s="356"/>
      <c r="S1121" s="356"/>
      <c r="T1121" s="356"/>
      <c r="U1121" s="372"/>
      <c r="V1121" s="372"/>
      <c r="W1121" s="372"/>
      <c r="X1121" s="373"/>
      <c r="Y1121" s="348"/>
      <c r="Z1121" s="348"/>
      <c r="AA1121" s="348"/>
    </row>
    <row r="1122" s="331" customFormat="1" ht="17" customHeight="1" spans="1:27">
      <c r="A1122" s="550" t="s">
        <v>3228</v>
      </c>
      <c r="B1122" s="348" t="s">
        <v>31</v>
      </c>
      <c r="C1122" s="348" t="s">
        <v>419</v>
      </c>
      <c r="D1122" s="349" t="s">
        <v>221</v>
      </c>
      <c r="E1122" s="336">
        <v>43762</v>
      </c>
      <c r="F1122" s="336">
        <v>43632</v>
      </c>
      <c r="G1122" s="336">
        <v>43762</v>
      </c>
      <c r="H1122" s="334" t="s">
        <v>3229</v>
      </c>
      <c r="I1122" s="356">
        <v>15000710680</v>
      </c>
      <c r="J1122" s="361" t="s">
        <v>3230</v>
      </c>
      <c r="K1122" s="356">
        <v>1000</v>
      </c>
      <c r="L1122" s="334">
        <v>18460</v>
      </c>
      <c r="M1122" s="362"/>
      <c r="N1122" s="362">
        <f t="shared" si="34"/>
        <v>18460</v>
      </c>
      <c r="O1122" s="356"/>
      <c r="Q1122" s="356"/>
      <c r="R1122" s="356"/>
      <c r="S1122" s="356"/>
      <c r="T1122" s="356"/>
      <c r="U1122" s="372" t="s">
        <v>52</v>
      </c>
      <c r="V1122" s="372"/>
      <c r="W1122" s="372"/>
      <c r="X1122" s="373">
        <v>1</v>
      </c>
      <c r="Y1122" s="348" t="s">
        <v>856</v>
      </c>
      <c r="Z1122" s="348"/>
      <c r="AA1122" s="348"/>
    </row>
    <row r="1123" s="331" customFormat="1" ht="17" customHeight="1" spans="1:27">
      <c r="A1123" s="348"/>
      <c r="B1123" s="348" t="s">
        <v>130</v>
      </c>
      <c r="C1123" s="348" t="s">
        <v>181</v>
      </c>
      <c r="D1123" s="352" t="s">
        <v>182</v>
      </c>
      <c r="E1123" s="336"/>
      <c r="F1123" s="336">
        <v>43490</v>
      </c>
      <c r="G1123" s="350"/>
      <c r="H1123" s="351" t="s">
        <v>2818</v>
      </c>
      <c r="I1123" s="356">
        <v>17717040756</v>
      </c>
      <c r="J1123" s="361" t="s">
        <v>3231</v>
      </c>
      <c r="K1123" s="356">
        <v>500</v>
      </c>
      <c r="L1123" s="362"/>
      <c r="M1123" s="362"/>
      <c r="N1123" s="362">
        <f t="shared" si="34"/>
        <v>0</v>
      </c>
      <c r="O1123" s="356">
        <v>1</v>
      </c>
      <c r="Q1123" s="356"/>
      <c r="R1123" s="356"/>
      <c r="S1123" s="356"/>
      <c r="T1123" s="356"/>
      <c r="U1123" s="372"/>
      <c r="V1123" s="372"/>
      <c r="W1123" s="372"/>
      <c r="X1123" s="373"/>
      <c r="Y1123" s="348" t="s">
        <v>3232</v>
      </c>
      <c r="Z1123" s="348"/>
      <c r="AA1123" s="348"/>
    </row>
    <row r="1124" s="331" customFormat="1" ht="17" customHeight="1" spans="1:27">
      <c r="A1124" s="348">
        <v>2066815</v>
      </c>
      <c r="B1124" s="348" t="s">
        <v>31</v>
      </c>
      <c r="C1124" s="348" t="s">
        <v>419</v>
      </c>
      <c r="D1124" s="349" t="s">
        <v>221</v>
      </c>
      <c r="E1124" s="336">
        <v>43597</v>
      </c>
      <c r="F1124" s="336">
        <v>43597</v>
      </c>
      <c r="G1124" s="350"/>
      <c r="H1124" s="334" t="s">
        <v>3233</v>
      </c>
      <c r="I1124" s="356">
        <v>17717376439</v>
      </c>
      <c r="J1124" s="361" t="s">
        <v>3234</v>
      </c>
      <c r="K1124" s="356">
        <f>4999+5282</f>
        <v>10281</v>
      </c>
      <c r="L1124" s="362"/>
      <c r="M1124" s="362"/>
      <c r="N1124" s="362">
        <f t="shared" si="34"/>
        <v>0</v>
      </c>
      <c r="O1124" s="356"/>
      <c r="P1124" s="366" t="s">
        <v>52</v>
      </c>
      <c r="Q1124" s="356"/>
      <c r="R1124" s="356"/>
      <c r="S1124" s="356"/>
      <c r="T1124" s="356"/>
      <c r="U1124" s="372" t="s">
        <v>40</v>
      </c>
      <c r="V1124" s="372"/>
      <c r="W1124" s="372"/>
      <c r="X1124" s="373"/>
      <c r="Y1124" s="348"/>
      <c r="Z1124" s="348"/>
      <c r="AA1124" s="348"/>
    </row>
    <row r="1125" s="331" customFormat="1" ht="17" customHeight="1" spans="1:27">
      <c r="A1125" s="550" t="s">
        <v>3235</v>
      </c>
      <c r="B1125" s="348" t="s">
        <v>405</v>
      </c>
      <c r="C1125" s="348" t="s">
        <v>1234</v>
      </c>
      <c r="D1125" s="349" t="s">
        <v>407</v>
      </c>
      <c r="E1125" s="336">
        <v>43632</v>
      </c>
      <c r="F1125" s="336">
        <v>43632</v>
      </c>
      <c r="G1125" s="350"/>
      <c r="H1125" s="334" t="s">
        <v>3236</v>
      </c>
      <c r="I1125" s="356">
        <v>13764930906</v>
      </c>
      <c r="J1125" s="361" t="s">
        <v>3237</v>
      </c>
      <c r="K1125" s="356">
        <v>1000</v>
      </c>
      <c r="L1125" s="362"/>
      <c r="M1125" s="362"/>
      <c r="N1125" s="362">
        <f t="shared" si="34"/>
        <v>0</v>
      </c>
      <c r="O1125" s="356"/>
      <c r="Q1125" s="356"/>
      <c r="R1125" s="356"/>
      <c r="S1125" s="356"/>
      <c r="T1125" s="356"/>
      <c r="U1125" s="372" t="s">
        <v>40</v>
      </c>
      <c r="V1125" s="372"/>
      <c r="W1125" s="372"/>
      <c r="X1125" s="373"/>
      <c r="Y1125" s="348"/>
      <c r="Z1125" s="348"/>
      <c r="AA1125" s="348"/>
    </row>
    <row r="1126" s="331" customFormat="1" ht="17" customHeight="1" spans="1:27">
      <c r="A1126" s="348"/>
      <c r="B1126" s="348" t="s">
        <v>153</v>
      </c>
      <c r="C1126" s="348" t="s">
        <v>154</v>
      </c>
      <c r="D1126" s="349" t="s">
        <v>155</v>
      </c>
      <c r="E1126" s="336">
        <v>43641</v>
      </c>
      <c r="F1126" s="336">
        <v>43632</v>
      </c>
      <c r="G1126" s="336">
        <v>43652</v>
      </c>
      <c r="H1126" s="334" t="s">
        <v>3238</v>
      </c>
      <c r="I1126" s="356">
        <v>18721651917</v>
      </c>
      <c r="J1126" s="361" t="s">
        <v>3239</v>
      </c>
      <c r="K1126" s="356">
        <v>1000</v>
      </c>
      <c r="L1126" s="334">
        <v>15513</v>
      </c>
      <c r="M1126" s="334"/>
      <c r="N1126" s="362">
        <f t="shared" si="34"/>
        <v>15513</v>
      </c>
      <c r="O1126" s="356"/>
      <c r="Q1126" s="356"/>
      <c r="R1126" s="356"/>
      <c r="S1126" s="356"/>
      <c r="T1126" s="356"/>
      <c r="U1126" s="372"/>
      <c r="V1126" s="372"/>
      <c r="W1126" s="372"/>
      <c r="X1126" s="373"/>
      <c r="Y1126" s="348"/>
      <c r="Z1126" s="348"/>
      <c r="AA1126" s="348"/>
    </row>
    <row r="1127" s="331" customFormat="1" ht="17" customHeight="1" spans="1:27">
      <c r="A1127" s="550" t="s">
        <v>3240</v>
      </c>
      <c r="B1127" s="348" t="s">
        <v>153</v>
      </c>
      <c r="C1127" s="348" t="s">
        <v>154</v>
      </c>
      <c r="D1127" s="349" t="s">
        <v>155</v>
      </c>
      <c r="E1127" s="336">
        <v>43633</v>
      </c>
      <c r="F1127" s="336">
        <v>43632</v>
      </c>
      <c r="G1127" s="336">
        <v>43660</v>
      </c>
      <c r="H1127" s="334" t="s">
        <v>3241</v>
      </c>
      <c r="I1127" s="356">
        <v>13801887807</v>
      </c>
      <c r="J1127" s="361" t="s">
        <v>3242</v>
      </c>
      <c r="K1127" s="356">
        <v>1000</v>
      </c>
      <c r="L1127" s="334">
        <v>12078</v>
      </c>
      <c r="M1127" s="334"/>
      <c r="N1127" s="362">
        <f t="shared" si="34"/>
        <v>12078</v>
      </c>
      <c r="O1127" s="356"/>
      <c r="Q1127" s="356"/>
      <c r="R1127" s="356"/>
      <c r="S1127" s="356"/>
      <c r="T1127" s="356"/>
      <c r="U1127" s="372"/>
      <c r="V1127" s="372"/>
      <c r="W1127" s="372"/>
      <c r="X1127" s="373"/>
      <c r="Y1127" s="348" t="s">
        <v>839</v>
      </c>
      <c r="Z1127" s="348"/>
      <c r="AA1127" s="348"/>
    </row>
    <row r="1128" s="331" customFormat="1" ht="17" customHeight="1" spans="1:27">
      <c r="A1128" s="348"/>
      <c r="B1128" s="348" t="s">
        <v>153</v>
      </c>
      <c r="C1128" s="348" t="s">
        <v>154</v>
      </c>
      <c r="D1128" s="349" t="s">
        <v>155</v>
      </c>
      <c r="E1128" s="336">
        <v>43689</v>
      </c>
      <c r="F1128" s="336">
        <v>43632</v>
      </c>
      <c r="G1128" s="336">
        <v>43688</v>
      </c>
      <c r="H1128" s="334" t="s">
        <v>3243</v>
      </c>
      <c r="I1128" s="356">
        <v>13564550888</v>
      </c>
      <c r="J1128" s="361" t="s">
        <v>3244</v>
      </c>
      <c r="K1128" s="356">
        <v>3000</v>
      </c>
      <c r="L1128" s="334">
        <v>7472</v>
      </c>
      <c r="M1128" s="362"/>
      <c r="N1128" s="362">
        <f t="shared" si="34"/>
        <v>7472</v>
      </c>
      <c r="O1128" s="356" t="s">
        <v>3245</v>
      </c>
      <c r="Q1128" s="356"/>
      <c r="R1128" s="356"/>
      <c r="S1128" s="356"/>
      <c r="T1128" s="356"/>
      <c r="U1128" s="372"/>
      <c r="V1128" s="372"/>
      <c r="W1128" s="372"/>
      <c r="X1128" s="373"/>
      <c r="Y1128" s="348" t="s">
        <v>839</v>
      </c>
      <c r="Z1128" s="348"/>
      <c r="AA1128" s="348"/>
    </row>
    <row r="1129" s="331" customFormat="1" ht="17" customHeight="1" spans="1:27">
      <c r="A1129" s="550" t="s">
        <v>3246</v>
      </c>
      <c r="B1129" s="348" t="s">
        <v>35</v>
      </c>
      <c r="C1129" s="348" t="s">
        <v>36</v>
      </c>
      <c r="D1129" s="349" t="s">
        <v>37</v>
      </c>
      <c r="E1129" s="336">
        <v>43749</v>
      </c>
      <c r="F1129" s="336">
        <v>43632</v>
      </c>
      <c r="G1129" s="336">
        <v>43748</v>
      </c>
      <c r="H1129" s="334" t="s">
        <v>3247</v>
      </c>
      <c r="I1129" s="356">
        <v>13482611671</v>
      </c>
      <c r="J1129" s="361" t="s">
        <v>3248</v>
      </c>
      <c r="K1129" s="356">
        <v>5000</v>
      </c>
      <c r="L1129" s="334">
        <v>11800</v>
      </c>
      <c r="M1129" s="362"/>
      <c r="N1129" s="362">
        <f t="shared" si="34"/>
        <v>11800</v>
      </c>
      <c r="O1129" s="356" t="s">
        <v>52</v>
      </c>
      <c r="Q1129" s="356"/>
      <c r="R1129" s="356"/>
      <c r="S1129" s="356"/>
      <c r="T1129" s="356"/>
      <c r="U1129" s="372"/>
      <c r="V1129" s="372"/>
      <c r="W1129" s="372"/>
      <c r="X1129" s="373"/>
      <c r="Y1129" s="348"/>
      <c r="Z1129" s="348"/>
      <c r="AA1129" s="348"/>
    </row>
    <row r="1130" s="331" customFormat="1" ht="17" customHeight="1" spans="1:27">
      <c r="A1130" s="348"/>
      <c r="B1130" s="348" t="s">
        <v>35</v>
      </c>
      <c r="C1130" s="348" t="s">
        <v>36</v>
      </c>
      <c r="D1130" s="349" t="s">
        <v>37</v>
      </c>
      <c r="E1130" s="336">
        <v>43794</v>
      </c>
      <c r="F1130" s="336">
        <v>43632</v>
      </c>
      <c r="G1130" s="336">
        <v>43793</v>
      </c>
      <c r="H1130" s="334" t="s">
        <v>3249</v>
      </c>
      <c r="I1130" s="356">
        <v>13916154227</v>
      </c>
      <c r="J1130" s="361" t="s">
        <v>3250</v>
      </c>
      <c r="K1130" s="356">
        <v>1000</v>
      </c>
      <c r="L1130" s="334">
        <v>10115</v>
      </c>
      <c r="M1130" s="334">
        <v>488</v>
      </c>
      <c r="N1130" s="362">
        <f t="shared" si="34"/>
        <v>10603</v>
      </c>
      <c r="O1130" s="356"/>
      <c r="P1130" s="356" t="s">
        <v>52</v>
      </c>
      <c r="Q1130" s="356"/>
      <c r="R1130" s="356"/>
      <c r="S1130" s="356"/>
      <c r="T1130" s="356"/>
      <c r="U1130" s="372"/>
      <c r="V1130" s="372"/>
      <c r="W1130" s="372"/>
      <c r="X1130" s="373"/>
      <c r="Y1130" s="348"/>
      <c r="Z1130" s="348"/>
      <c r="AA1130" s="348"/>
    </row>
    <row r="1131" s="331" customFormat="1" ht="17" customHeight="1" spans="1:27">
      <c r="A1131" s="550" t="s">
        <v>3251</v>
      </c>
      <c r="B1131" s="348" t="s">
        <v>281</v>
      </c>
      <c r="C1131" s="348" t="s">
        <v>587</v>
      </c>
      <c r="D1131" s="352" t="s">
        <v>49</v>
      </c>
      <c r="E1131" s="336">
        <v>43591</v>
      </c>
      <c r="F1131" s="336">
        <v>43588</v>
      </c>
      <c r="G1131" s="350"/>
      <c r="H1131" s="334" t="s">
        <v>3252</v>
      </c>
      <c r="I1131" s="356">
        <v>18001612289</v>
      </c>
      <c r="J1131" s="361" t="s">
        <v>3253</v>
      </c>
      <c r="K1131" s="356">
        <f>1000+3000</f>
        <v>4000</v>
      </c>
      <c r="L1131" s="362"/>
      <c r="M1131" s="362"/>
      <c r="N1131" s="362">
        <f t="shared" si="34"/>
        <v>0</v>
      </c>
      <c r="O1131" s="356" t="s">
        <v>52</v>
      </c>
      <c r="Q1131" s="356"/>
      <c r="R1131" s="356"/>
      <c r="S1131" s="356"/>
      <c r="T1131" s="356"/>
      <c r="U1131" s="407" t="s">
        <v>12</v>
      </c>
      <c r="V1131" s="372"/>
      <c r="W1131" s="372"/>
      <c r="X1131" s="373"/>
      <c r="Y1131" s="348"/>
      <c r="Z1131" s="348"/>
      <c r="AA1131" s="348"/>
    </row>
    <row r="1132" s="331" customFormat="1" ht="17" customHeight="1" spans="1:27">
      <c r="A1132" s="550" t="s">
        <v>3254</v>
      </c>
      <c r="B1132" s="348" t="s">
        <v>66</v>
      </c>
      <c r="C1132" s="348" t="s">
        <v>1749</v>
      </c>
      <c r="D1132" s="349" t="s">
        <v>68</v>
      </c>
      <c r="E1132" s="336">
        <v>43690</v>
      </c>
      <c r="F1132" s="336">
        <v>43632</v>
      </c>
      <c r="G1132" s="336">
        <v>43689</v>
      </c>
      <c r="H1132" s="334" t="s">
        <v>3255</v>
      </c>
      <c r="I1132" s="356">
        <v>13524335110</v>
      </c>
      <c r="J1132" s="361" t="s">
        <v>3256</v>
      </c>
      <c r="K1132" s="356">
        <v>3000</v>
      </c>
      <c r="L1132" s="334">
        <v>8152</v>
      </c>
      <c r="M1132" s="362"/>
      <c r="N1132" s="362">
        <f t="shared" si="34"/>
        <v>8152</v>
      </c>
      <c r="O1132" s="356"/>
      <c r="Q1132" s="356" t="s">
        <v>21</v>
      </c>
      <c r="R1132" s="356"/>
      <c r="S1132" s="356"/>
      <c r="T1132" s="356"/>
      <c r="U1132" s="372"/>
      <c r="V1132" s="372"/>
      <c r="W1132" s="372"/>
      <c r="X1132" s="373"/>
      <c r="Y1132" s="348" t="s">
        <v>3257</v>
      </c>
      <c r="Z1132" s="348"/>
      <c r="AA1132" s="348"/>
    </row>
    <row r="1133" s="331" customFormat="1" ht="17" customHeight="1" spans="1:27">
      <c r="A1133" s="348">
        <v>2068042</v>
      </c>
      <c r="B1133" s="348" t="s">
        <v>87</v>
      </c>
      <c r="C1133" s="348" t="s">
        <v>466</v>
      </c>
      <c r="D1133" s="349" t="s">
        <v>89</v>
      </c>
      <c r="E1133" s="336">
        <v>43640</v>
      </c>
      <c r="F1133" s="336">
        <v>43632</v>
      </c>
      <c r="G1133" s="350"/>
      <c r="H1133" s="334" t="s">
        <v>3258</v>
      </c>
      <c r="I1133" s="356">
        <v>18521568096</v>
      </c>
      <c r="J1133" s="361" t="s">
        <v>3259</v>
      </c>
      <c r="K1133" s="356">
        <v>3000</v>
      </c>
      <c r="L1133" s="362"/>
      <c r="M1133" s="362"/>
      <c r="N1133" s="362">
        <f t="shared" si="34"/>
        <v>0</v>
      </c>
      <c r="O1133" s="356"/>
      <c r="Q1133" s="356" t="s">
        <v>52</v>
      </c>
      <c r="R1133" s="356"/>
      <c r="S1133" s="356"/>
      <c r="T1133" s="356"/>
      <c r="U1133" s="356" t="s">
        <v>52</v>
      </c>
      <c r="V1133" s="372"/>
      <c r="W1133" s="372" t="s">
        <v>98</v>
      </c>
      <c r="X1133" s="373"/>
      <c r="Y1133" s="348" t="s">
        <v>92</v>
      </c>
      <c r="Z1133" s="348"/>
      <c r="AA1133" s="348"/>
    </row>
    <row r="1134" s="331" customFormat="1" ht="17" customHeight="1" spans="1:27">
      <c r="A1134" s="348"/>
      <c r="B1134" s="348" t="s">
        <v>87</v>
      </c>
      <c r="C1134" s="348" t="s">
        <v>466</v>
      </c>
      <c r="D1134" s="349" t="s">
        <v>89</v>
      </c>
      <c r="E1134" s="336">
        <v>43686</v>
      </c>
      <c r="F1134" s="336">
        <v>43632</v>
      </c>
      <c r="G1134" s="336">
        <v>43685</v>
      </c>
      <c r="H1134" s="334" t="s">
        <v>3260</v>
      </c>
      <c r="I1134" s="356">
        <v>1896246664</v>
      </c>
      <c r="J1134" s="361" t="s">
        <v>3261</v>
      </c>
      <c r="K1134" s="356">
        <v>1998</v>
      </c>
      <c r="L1134" s="334">
        <v>12187</v>
      </c>
      <c r="M1134" s="334">
        <v>559</v>
      </c>
      <c r="N1134" s="362">
        <f t="shared" si="34"/>
        <v>12746</v>
      </c>
      <c r="O1134" s="356"/>
      <c r="Q1134" s="356" t="s">
        <v>52</v>
      </c>
      <c r="R1134" s="356"/>
      <c r="S1134" s="356"/>
      <c r="T1134" s="356"/>
      <c r="U1134" s="372"/>
      <c r="V1134" s="356" t="s">
        <v>1768</v>
      </c>
      <c r="W1134" s="356"/>
      <c r="X1134" s="373"/>
      <c r="Y1134" s="348"/>
      <c r="Z1134" s="348"/>
      <c r="AA1134" s="348"/>
    </row>
    <row r="1135" s="331" customFormat="1" ht="17" customHeight="1" spans="1:27">
      <c r="A1135" s="348">
        <v>2024541</v>
      </c>
      <c r="B1135" s="348" t="s">
        <v>73</v>
      </c>
      <c r="C1135" s="348" t="s">
        <v>74</v>
      </c>
      <c r="D1135" s="334" t="s">
        <v>143</v>
      </c>
      <c r="E1135" s="336">
        <v>43708</v>
      </c>
      <c r="F1135" s="336">
        <v>43632</v>
      </c>
      <c r="G1135" s="336">
        <v>43707</v>
      </c>
      <c r="H1135" s="334" t="s">
        <v>3262</v>
      </c>
      <c r="I1135" s="356">
        <v>13601621777</v>
      </c>
      <c r="J1135" s="361" t="s">
        <v>3263</v>
      </c>
      <c r="K1135" s="356">
        <v>1000</v>
      </c>
      <c r="L1135" s="334">
        <v>39999</v>
      </c>
      <c r="M1135" s="362"/>
      <c r="N1135" s="362">
        <f t="shared" si="34"/>
        <v>39999</v>
      </c>
      <c r="O1135" s="366" t="s">
        <v>52</v>
      </c>
      <c r="Q1135" s="356"/>
      <c r="R1135" s="356"/>
      <c r="S1135" s="356"/>
      <c r="T1135" s="356"/>
      <c r="U1135" s="372"/>
      <c r="V1135" s="372"/>
      <c r="W1135" s="372"/>
      <c r="X1135" s="373"/>
      <c r="Y1135" s="348"/>
      <c r="Z1135" s="348" t="s">
        <v>79</v>
      </c>
      <c r="AA1135" s="348"/>
    </row>
    <row r="1136" s="331" customFormat="1" ht="17" customHeight="1" spans="1:27">
      <c r="A1136" s="348"/>
      <c r="B1136" s="348" t="s">
        <v>31</v>
      </c>
      <c r="C1136" s="348" t="s">
        <v>2716</v>
      </c>
      <c r="D1136" s="349" t="s">
        <v>33</v>
      </c>
      <c r="E1136" s="336">
        <v>43632</v>
      </c>
      <c r="F1136" s="336">
        <v>43632</v>
      </c>
      <c r="G1136" s="350"/>
      <c r="H1136" s="334" t="s">
        <v>3264</v>
      </c>
      <c r="I1136" s="356">
        <v>18930453154</v>
      </c>
      <c r="J1136" s="361" t="s">
        <v>3265</v>
      </c>
      <c r="K1136" s="356">
        <v>1000</v>
      </c>
      <c r="L1136" s="362"/>
      <c r="M1136" s="362"/>
      <c r="N1136" s="362">
        <f t="shared" si="34"/>
        <v>0</v>
      </c>
      <c r="O1136" s="356"/>
      <c r="Q1136" s="356"/>
      <c r="R1136" s="356"/>
      <c r="S1136" s="356"/>
      <c r="T1136" s="356"/>
      <c r="U1136" s="372" t="s">
        <v>52</v>
      </c>
      <c r="V1136" s="372"/>
      <c r="W1136" s="372"/>
      <c r="X1136" s="373"/>
      <c r="Y1136" s="348"/>
      <c r="Z1136" s="348"/>
      <c r="AA1136" s="348"/>
    </row>
    <row r="1137" s="331" customFormat="1" ht="17" customHeight="1" spans="1:27">
      <c r="A1137" s="550" t="s">
        <v>3266</v>
      </c>
      <c r="B1137" s="348" t="s">
        <v>42</v>
      </c>
      <c r="C1137" s="348" t="s">
        <v>1728</v>
      </c>
      <c r="D1137" s="349" t="s">
        <v>44</v>
      </c>
      <c r="E1137" s="336">
        <v>43632</v>
      </c>
      <c r="F1137" s="336">
        <v>43631</v>
      </c>
      <c r="G1137" s="350"/>
      <c r="H1137" s="334" t="s">
        <v>3267</v>
      </c>
      <c r="I1137" s="356">
        <v>18017447447</v>
      </c>
      <c r="J1137" s="361" t="s">
        <v>3268</v>
      </c>
      <c r="K1137" s="356">
        <v>4398</v>
      </c>
      <c r="L1137" s="362"/>
      <c r="M1137" s="362"/>
      <c r="N1137" s="362">
        <f t="shared" si="34"/>
        <v>0</v>
      </c>
      <c r="O1137" s="356"/>
      <c r="Q1137" s="366" t="s">
        <v>52</v>
      </c>
      <c r="R1137" s="356"/>
      <c r="S1137" s="356"/>
      <c r="T1137" s="356"/>
      <c r="U1137" s="385" t="s">
        <v>52</v>
      </c>
      <c r="V1137" s="372"/>
      <c r="W1137" s="372"/>
      <c r="X1137" s="373"/>
      <c r="Y1137" s="348"/>
      <c r="Z1137" s="348"/>
      <c r="AA1137" s="348"/>
    </row>
    <row r="1138" s="331" customFormat="1" ht="17" customHeight="1" spans="1:27">
      <c r="A1138" s="550" t="s">
        <v>3269</v>
      </c>
      <c r="B1138" s="348" t="s">
        <v>315</v>
      </c>
      <c r="C1138" s="348" t="s">
        <v>161</v>
      </c>
      <c r="D1138" s="349" t="s">
        <v>162</v>
      </c>
      <c r="E1138" s="336">
        <v>43633</v>
      </c>
      <c r="F1138" s="336">
        <v>43632</v>
      </c>
      <c r="G1138" s="350"/>
      <c r="H1138" s="334" t="s">
        <v>3270</v>
      </c>
      <c r="I1138" s="356">
        <v>18930903960</v>
      </c>
      <c r="J1138" s="361" t="s">
        <v>3271</v>
      </c>
      <c r="K1138" s="356">
        <v>1000</v>
      </c>
      <c r="L1138" s="362"/>
      <c r="M1138" s="362"/>
      <c r="N1138" s="362">
        <f t="shared" si="34"/>
        <v>0</v>
      </c>
      <c r="O1138" s="356"/>
      <c r="Q1138" s="356"/>
      <c r="R1138" s="356"/>
      <c r="S1138" s="356"/>
      <c r="T1138" s="356"/>
      <c r="U1138" s="372" t="s">
        <v>136</v>
      </c>
      <c r="V1138" s="372"/>
      <c r="W1138" s="372"/>
      <c r="X1138" s="373"/>
      <c r="Y1138" s="348"/>
      <c r="Z1138" s="348"/>
      <c r="AA1138" s="348"/>
    </row>
    <row r="1139" s="331" customFormat="1" ht="17" customHeight="1" spans="1:27">
      <c r="A1139" s="550" t="s">
        <v>1024</v>
      </c>
      <c r="B1139" s="348" t="s">
        <v>315</v>
      </c>
      <c r="C1139" s="348" t="s">
        <v>161</v>
      </c>
      <c r="D1139" s="349" t="s">
        <v>162</v>
      </c>
      <c r="E1139" s="336">
        <v>43633</v>
      </c>
      <c r="F1139" s="336">
        <v>43632</v>
      </c>
      <c r="G1139" s="350"/>
      <c r="H1139" s="334" t="s">
        <v>3272</v>
      </c>
      <c r="I1139" s="356">
        <v>13816179901</v>
      </c>
      <c r="J1139" s="361" t="s">
        <v>3273</v>
      </c>
      <c r="K1139" s="356">
        <v>1000</v>
      </c>
      <c r="L1139" s="362"/>
      <c r="M1139" s="362"/>
      <c r="N1139" s="362">
        <f t="shared" si="34"/>
        <v>0</v>
      </c>
      <c r="O1139" s="356">
        <v>1</v>
      </c>
      <c r="Q1139" s="356"/>
      <c r="R1139" s="356"/>
      <c r="S1139" s="356"/>
      <c r="T1139" s="356"/>
      <c r="U1139" s="372" t="s">
        <v>269</v>
      </c>
      <c r="V1139" s="372"/>
      <c r="W1139" s="372"/>
      <c r="X1139" s="373"/>
      <c r="Y1139" s="348"/>
      <c r="Z1139" s="348"/>
      <c r="AA1139" s="348"/>
    </row>
    <row r="1140" s="331" customFormat="1" ht="17" customHeight="1" spans="1:27">
      <c r="A1140" s="550" t="s">
        <v>2817</v>
      </c>
      <c r="B1140" s="348" t="s">
        <v>315</v>
      </c>
      <c r="C1140" s="348" t="s">
        <v>161</v>
      </c>
      <c r="D1140" s="349" t="s">
        <v>162</v>
      </c>
      <c r="E1140" s="336">
        <v>43633</v>
      </c>
      <c r="F1140" s="336">
        <v>43632</v>
      </c>
      <c r="G1140" s="350"/>
      <c r="H1140" s="334" t="s">
        <v>3274</v>
      </c>
      <c r="I1140" s="334">
        <v>18017815695</v>
      </c>
      <c r="J1140" s="361" t="s">
        <v>3275</v>
      </c>
      <c r="K1140" s="356">
        <v>2199</v>
      </c>
      <c r="L1140" s="362"/>
      <c r="M1140" s="362"/>
      <c r="N1140" s="362">
        <f t="shared" si="34"/>
        <v>0</v>
      </c>
      <c r="O1140" s="356"/>
      <c r="Q1140" s="356"/>
      <c r="R1140" s="356"/>
      <c r="S1140" s="356"/>
      <c r="T1140" s="356"/>
      <c r="U1140" s="372" t="s">
        <v>725</v>
      </c>
      <c r="V1140" s="372"/>
      <c r="W1140" s="372"/>
      <c r="X1140" s="373"/>
      <c r="Y1140" s="348"/>
      <c r="Z1140" s="348"/>
      <c r="AA1140" s="348"/>
    </row>
    <row r="1141" s="331" customFormat="1" ht="17" customHeight="1" spans="1:27">
      <c r="A1141" s="550" t="s">
        <v>3276</v>
      </c>
      <c r="B1141" s="348" t="s">
        <v>315</v>
      </c>
      <c r="C1141" s="348" t="s">
        <v>161</v>
      </c>
      <c r="D1141" s="349" t="s">
        <v>162</v>
      </c>
      <c r="E1141" s="336">
        <v>43633</v>
      </c>
      <c r="F1141" s="336">
        <v>43632</v>
      </c>
      <c r="G1141" s="350"/>
      <c r="H1141" s="334" t="s">
        <v>3277</v>
      </c>
      <c r="I1141" s="356">
        <v>18616504216</v>
      </c>
      <c r="J1141" s="361" t="s">
        <v>3278</v>
      </c>
      <c r="K1141" s="356">
        <v>1000</v>
      </c>
      <c r="L1141" s="362"/>
      <c r="M1141" s="362"/>
      <c r="N1141" s="362">
        <f t="shared" si="34"/>
        <v>0</v>
      </c>
      <c r="O1141" s="356"/>
      <c r="Q1141" s="356"/>
      <c r="R1141" s="356"/>
      <c r="S1141" s="356"/>
      <c r="T1141" s="356"/>
      <c r="U1141" s="372" t="s">
        <v>725</v>
      </c>
      <c r="V1141" s="372"/>
      <c r="W1141" s="372"/>
      <c r="X1141" s="373"/>
      <c r="Y1141" s="348"/>
      <c r="Z1141" s="348"/>
      <c r="AA1141" s="348"/>
    </row>
    <row r="1142" s="331" customFormat="1" ht="17" customHeight="1" spans="1:27">
      <c r="A1142" s="550" t="s">
        <v>3279</v>
      </c>
      <c r="B1142" s="348" t="s">
        <v>185</v>
      </c>
      <c r="C1142" s="348" t="s">
        <v>886</v>
      </c>
      <c r="D1142" s="349" t="s">
        <v>187</v>
      </c>
      <c r="E1142" s="336">
        <v>43633</v>
      </c>
      <c r="F1142" s="336">
        <v>43632</v>
      </c>
      <c r="G1142" s="336">
        <v>43649</v>
      </c>
      <c r="H1142" s="334" t="s">
        <v>3280</v>
      </c>
      <c r="I1142" s="356">
        <v>13818774781</v>
      </c>
      <c r="J1142" s="361" t="s">
        <v>3281</v>
      </c>
      <c r="K1142" s="356">
        <v>3000</v>
      </c>
      <c r="L1142" s="334">
        <v>7681</v>
      </c>
      <c r="M1142" s="334"/>
      <c r="N1142" s="362">
        <f t="shared" si="34"/>
        <v>7681</v>
      </c>
      <c r="O1142" s="356"/>
      <c r="Q1142" s="356"/>
      <c r="R1142" s="356"/>
      <c r="S1142" s="356"/>
      <c r="T1142" s="356"/>
      <c r="U1142" s="372"/>
      <c r="V1142" s="372"/>
      <c r="W1142" s="372"/>
      <c r="X1142" s="373"/>
      <c r="Y1142" s="348" t="s">
        <v>3221</v>
      </c>
      <c r="Z1142" s="348"/>
      <c r="AA1142" s="348"/>
    </row>
    <row r="1143" s="331" customFormat="1" ht="17" customHeight="1" spans="1:27">
      <c r="A1143" s="348"/>
      <c r="B1143" s="348" t="s">
        <v>35</v>
      </c>
      <c r="C1143" s="348" t="s">
        <v>36</v>
      </c>
      <c r="D1143" s="349" t="s">
        <v>37</v>
      </c>
      <c r="E1143" s="336">
        <v>43696</v>
      </c>
      <c r="F1143" s="336">
        <v>43632</v>
      </c>
      <c r="G1143" s="336">
        <v>43695</v>
      </c>
      <c r="H1143" s="334" t="s">
        <v>3282</v>
      </c>
      <c r="I1143" s="356">
        <v>13816298669</v>
      </c>
      <c r="J1143" s="361" t="s">
        <v>3283</v>
      </c>
      <c r="K1143" s="356">
        <v>3000</v>
      </c>
      <c r="L1143" s="334">
        <f>7993-1296</f>
        <v>6697</v>
      </c>
      <c r="M1143" s="334">
        <v>1296</v>
      </c>
      <c r="N1143" s="362">
        <f t="shared" si="34"/>
        <v>7993</v>
      </c>
      <c r="O1143" s="356"/>
      <c r="Q1143" s="356" t="s">
        <v>52</v>
      </c>
      <c r="R1143" s="356"/>
      <c r="S1143" s="356"/>
      <c r="T1143" s="356"/>
      <c r="U1143" s="372"/>
      <c r="V1143" s="372"/>
      <c r="W1143" s="372"/>
      <c r="X1143" s="373"/>
      <c r="Y1143" s="348"/>
      <c r="Z1143" s="348" t="s">
        <v>3284</v>
      </c>
      <c r="AA1143" s="348"/>
    </row>
    <row r="1144" s="331" customFormat="1" ht="17" customHeight="1" spans="1:27">
      <c r="A1144" s="550" t="s">
        <v>3285</v>
      </c>
      <c r="B1144" s="348" t="s">
        <v>35</v>
      </c>
      <c r="C1144" s="348" t="s">
        <v>392</v>
      </c>
      <c r="D1144" s="349" t="s">
        <v>37</v>
      </c>
      <c r="E1144" s="336">
        <v>43703</v>
      </c>
      <c r="F1144" s="336">
        <v>43632</v>
      </c>
      <c r="G1144" s="336">
        <v>43702</v>
      </c>
      <c r="H1144" s="334" t="s">
        <v>3286</v>
      </c>
      <c r="I1144" s="356">
        <v>13564236647</v>
      </c>
      <c r="J1144" s="361" t="s">
        <v>3287</v>
      </c>
      <c r="K1144" s="356">
        <v>1000</v>
      </c>
      <c r="L1144" s="334">
        <f>12700-1340</f>
        <v>11360</v>
      </c>
      <c r="M1144" s="334">
        <v>1340</v>
      </c>
      <c r="N1144" s="362">
        <f t="shared" si="34"/>
        <v>12700</v>
      </c>
      <c r="O1144" s="356"/>
      <c r="P1144" s="356" t="s">
        <v>52</v>
      </c>
      <c r="Q1144" s="356"/>
      <c r="R1144" s="356"/>
      <c r="S1144" s="356"/>
      <c r="T1144" s="356"/>
      <c r="U1144" s="372"/>
      <c r="V1144" s="372"/>
      <c r="W1144" s="372"/>
      <c r="X1144" s="373"/>
      <c r="Y1144" s="348"/>
      <c r="Z1144" s="348"/>
      <c r="AA1144" s="348"/>
    </row>
    <row r="1145" s="331" customFormat="1" ht="17" customHeight="1" spans="1:27">
      <c r="A1145" s="550" t="s">
        <v>3288</v>
      </c>
      <c r="B1145" s="348" t="s">
        <v>35</v>
      </c>
      <c r="C1145" s="348" t="s">
        <v>392</v>
      </c>
      <c r="D1145" s="334" t="s">
        <v>132</v>
      </c>
      <c r="E1145" s="336">
        <v>43738</v>
      </c>
      <c r="F1145" s="336">
        <v>43632</v>
      </c>
      <c r="G1145" s="336">
        <v>43738</v>
      </c>
      <c r="H1145" s="334" t="s">
        <v>3289</v>
      </c>
      <c r="I1145" s="356">
        <v>13818133781</v>
      </c>
      <c r="J1145" s="361" t="s">
        <v>3290</v>
      </c>
      <c r="K1145" s="356">
        <v>1000</v>
      </c>
      <c r="L1145" s="334">
        <v>38625</v>
      </c>
      <c r="M1145" s="362"/>
      <c r="N1145" s="362">
        <f t="shared" si="34"/>
        <v>38625</v>
      </c>
      <c r="O1145" s="356"/>
      <c r="P1145" s="356"/>
      <c r="Q1145" s="356"/>
      <c r="R1145" s="356"/>
      <c r="S1145" s="356" t="s">
        <v>52</v>
      </c>
      <c r="T1145" s="356"/>
      <c r="U1145" s="372"/>
      <c r="V1145" s="372"/>
      <c r="W1145" s="372"/>
      <c r="X1145" s="373"/>
      <c r="Y1145" s="348"/>
      <c r="Z1145" s="348"/>
      <c r="AA1145" s="348"/>
    </row>
    <row r="1146" s="331" customFormat="1" ht="17" customHeight="1" spans="1:27">
      <c r="A1146" s="348">
        <v>2023141</v>
      </c>
      <c r="B1146" s="348" t="s">
        <v>153</v>
      </c>
      <c r="C1146" s="348" t="s">
        <v>154</v>
      </c>
      <c r="D1146" s="349" t="s">
        <v>155</v>
      </c>
      <c r="E1146" s="336"/>
      <c r="F1146" s="336">
        <v>43627</v>
      </c>
      <c r="G1146" s="354" t="s">
        <v>156</v>
      </c>
      <c r="H1146" s="334" t="s">
        <v>3291</v>
      </c>
      <c r="I1146" s="356">
        <v>18516328242</v>
      </c>
      <c r="J1146" s="361" t="s">
        <v>3292</v>
      </c>
      <c r="K1146" s="356">
        <v>0</v>
      </c>
      <c r="L1146" s="362"/>
      <c r="M1146" s="362"/>
      <c r="N1146" s="362">
        <f t="shared" si="34"/>
        <v>0</v>
      </c>
      <c r="O1146" s="356"/>
      <c r="Q1146" s="356"/>
      <c r="R1146" s="356"/>
      <c r="S1146" s="356"/>
      <c r="T1146" s="356"/>
      <c r="U1146" s="372"/>
      <c r="V1146" s="372"/>
      <c r="W1146" s="372"/>
      <c r="X1146" s="373"/>
      <c r="Y1146" s="348"/>
      <c r="Z1146" s="348" t="s">
        <v>3293</v>
      </c>
      <c r="AA1146" s="348"/>
    </row>
    <row r="1147" s="331" customFormat="1" ht="15" customHeight="1" spans="1:27">
      <c r="A1147" s="550" t="s">
        <v>3294</v>
      </c>
      <c r="B1147" s="348" t="s">
        <v>58</v>
      </c>
      <c r="C1147" s="348" t="s">
        <v>342</v>
      </c>
      <c r="D1147" s="352" t="s">
        <v>343</v>
      </c>
      <c r="E1147" s="336">
        <v>43633</v>
      </c>
      <c r="F1147" s="336">
        <v>43632</v>
      </c>
      <c r="G1147" s="350"/>
      <c r="H1147" s="334" t="s">
        <v>3295</v>
      </c>
      <c r="I1147" s="356">
        <v>18717979080</v>
      </c>
      <c r="J1147" s="361" t="s">
        <v>3296</v>
      </c>
      <c r="K1147" s="356">
        <v>1000</v>
      </c>
      <c r="L1147" s="362"/>
      <c r="M1147" s="362"/>
      <c r="N1147" s="362">
        <f t="shared" si="34"/>
        <v>0</v>
      </c>
      <c r="O1147" s="365" t="s">
        <v>52</v>
      </c>
      <c r="Q1147" s="356"/>
      <c r="R1147" s="356"/>
      <c r="S1147" s="356"/>
      <c r="T1147" s="356"/>
      <c r="U1147" s="372"/>
      <c r="V1147" s="372"/>
      <c r="W1147" s="372"/>
      <c r="X1147" s="373"/>
      <c r="Y1147" s="348"/>
      <c r="Z1147" s="348"/>
      <c r="AA1147" s="348"/>
    </row>
    <row r="1148" s="331" customFormat="1" ht="17" customHeight="1" spans="1:27">
      <c r="A1148" s="348">
        <v>2024344</v>
      </c>
      <c r="B1148" s="348" t="s">
        <v>58</v>
      </c>
      <c r="C1148" s="348" t="s">
        <v>109</v>
      </c>
      <c r="D1148" s="352" t="s">
        <v>110</v>
      </c>
      <c r="E1148" s="336">
        <v>43633</v>
      </c>
      <c r="F1148" s="336">
        <v>43632</v>
      </c>
      <c r="G1148" s="336">
        <v>43666</v>
      </c>
      <c r="H1148" s="334" t="s">
        <v>3297</v>
      </c>
      <c r="I1148" s="356">
        <v>15692136021</v>
      </c>
      <c r="J1148" s="361" t="s">
        <v>3298</v>
      </c>
      <c r="K1148" s="356">
        <v>1000</v>
      </c>
      <c r="L1148" s="334">
        <v>8113</v>
      </c>
      <c r="M1148" s="334">
        <v>736</v>
      </c>
      <c r="N1148" s="362">
        <f t="shared" si="34"/>
        <v>8849</v>
      </c>
      <c r="O1148" s="356"/>
      <c r="Q1148" s="356"/>
      <c r="R1148" s="356"/>
      <c r="S1148" s="356"/>
      <c r="T1148" s="356"/>
      <c r="U1148" s="372"/>
      <c r="V1148" s="372"/>
      <c r="W1148" s="372"/>
      <c r="X1148" s="373"/>
      <c r="Y1148" s="348" t="s">
        <v>856</v>
      </c>
      <c r="Z1148" s="348"/>
      <c r="AA1148" s="348"/>
    </row>
    <row r="1149" s="331" customFormat="1" ht="17" customHeight="1" spans="1:27">
      <c r="A1149" s="348">
        <v>200191</v>
      </c>
      <c r="B1149" s="348" t="s">
        <v>147</v>
      </c>
      <c r="C1149" s="348" t="s">
        <v>148</v>
      </c>
      <c r="D1149" s="349" t="s">
        <v>89</v>
      </c>
      <c r="E1149" s="336">
        <v>43633</v>
      </c>
      <c r="F1149" s="336">
        <v>43632</v>
      </c>
      <c r="G1149" s="336">
        <v>43653</v>
      </c>
      <c r="H1149" s="334" t="s">
        <v>3299</v>
      </c>
      <c r="I1149" s="356">
        <v>15800651090</v>
      </c>
      <c r="J1149" s="361" t="s">
        <v>3300</v>
      </c>
      <c r="K1149" s="356">
        <v>2017</v>
      </c>
      <c r="L1149" s="334">
        <v>2017</v>
      </c>
      <c r="M1149" s="334"/>
      <c r="N1149" s="362">
        <f t="shared" si="34"/>
        <v>2017</v>
      </c>
      <c r="O1149" s="356"/>
      <c r="Q1149" s="356"/>
      <c r="R1149" s="356"/>
      <c r="S1149" s="356"/>
      <c r="T1149" s="356"/>
      <c r="U1149" s="372"/>
      <c r="V1149" s="372"/>
      <c r="W1149" s="372"/>
      <c r="X1149" s="373"/>
      <c r="Y1149" s="348"/>
      <c r="Z1149" s="348"/>
      <c r="AA1149" s="348"/>
    </row>
    <row r="1150" s="331" customFormat="1" ht="17" customHeight="1" spans="1:27">
      <c r="A1150" s="348">
        <v>2023110</v>
      </c>
      <c r="B1150" s="348" t="s">
        <v>153</v>
      </c>
      <c r="C1150" s="348" t="s">
        <v>302</v>
      </c>
      <c r="D1150" s="349" t="s">
        <v>155</v>
      </c>
      <c r="E1150" s="336">
        <v>43722</v>
      </c>
      <c r="F1150" s="336">
        <v>43632</v>
      </c>
      <c r="G1150" s="336">
        <v>43721</v>
      </c>
      <c r="H1150" s="334" t="s">
        <v>3301</v>
      </c>
      <c r="I1150" s="356">
        <v>13917032190</v>
      </c>
      <c r="J1150" s="361" t="s">
        <v>3302</v>
      </c>
      <c r="K1150" s="356">
        <v>1999</v>
      </c>
      <c r="L1150" s="334">
        <v>6393</v>
      </c>
      <c r="M1150" s="362"/>
      <c r="N1150" s="362">
        <f t="shared" si="34"/>
        <v>6393</v>
      </c>
      <c r="O1150" s="356"/>
      <c r="Q1150" s="356"/>
      <c r="R1150" s="356"/>
      <c r="S1150" s="356"/>
      <c r="T1150" s="356"/>
      <c r="U1150" s="372"/>
      <c r="V1150" s="372" t="s">
        <v>2494</v>
      </c>
      <c r="W1150" s="372"/>
      <c r="X1150" s="373"/>
      <c r="Y1150" s="348"/>
      <c r="Z1150" s="348"/>
      <c r="AA1150" s="348"/>
    </row>
    <row r="1151" s="331" customFormat="1" customHeight="1" spans="1:27">
      <c r="A1151" s="348">
        <v>2067297</v>
      </c>
      <c r="B1151" s="348" t="s">
        <v>236</v>
      </c>
      <c r="C1151" s="348" t="s">
        <v>195</v>
      </c>
      <c r="D1151" s="352" t="s">
        <v>237</v>
      </c>
      <c r="E1151" s="336">
        <v>43633</v>
      </c>
      <c r="F1151" s="336">
        <v>43632</v>
      </c>
      <c r="G1151" s="356" t="s">
        <v>69</v>
      </c>
      <c r="H1151" s="334" t="s">
        <v>3303</v>
      </c>
      <c r="I1151" s="356">
        <v>13611769297</v>
      </c>
      <c r="J1151" s="361" t="s">
        <v>3304</v>
      </c>
      <c r="K1151" s="356">
        <v>2527</v>
      </c>
      <c r="L1151" s="362"/>
      <c r="M1151" s="362"/>
      <c r="N1151" s="362">
        <f t="shared" si="34"/>
        <v>0</v>
      </c>
      <c r="O1151" s="356"/>
      <c r="Q1151" s="356"/>
      <c r="R1151" s="356"/>
      <c r="S1151" s="356"/>
      <c r="T1151" s="356"/>
      <c r="U1151" s="372"/>
      <c r="V1151" s="372"/>
      <c r="W1151" s="372"/>
      <c r="X1151" s="373"/>
      <c r="Y1151" s="348"/>
      <c r="Z1151" s="348"/>
      <c r="AA1151" s="348"/>
    </row>
    <row r="1152" s="331" customFormat="1" ht="17" customHeight="1" spans="1:27">
      <c r="A1152" s="550" t="s">
        <v>1545</v>
      </c>
      <c r="B1152" s="348" t="s">
        <v>315</v>
      </c>
      <c r="C1152" s="348" t="s">
        <v>258</v>
      </c>
      <c r="D1152" s="352" t="s">
        <v>132</v>
      </c>
      <c r="E1152" s="336">
        <v>43707</v>
      </c>
      <c r="F1152" s="336">
        <v>43633</v>
      </c>
      <c r="G1152" s="336">
        <v>43706</v>
      </c>
      <c r="H1152" s="334" t="s">
        <v>3305</v>
      </c>
      <c r="I1152" s="356">
        <v>17702199376</v>
      </c>
      <c r="J1152" s="361" t="s">
        <v>3306</v>
      </c>
      <c r="K1152" s="356">
        <v>4700</v>
      </c>
      <c r="L1152" s="334">
        <v>5301</v>
      </c>
      <c r="M1152" s="362"/>
      <c r="N1152" s="362">
        <f t="shared" ref="N1152:N1177" si="35">L1152+M1152</f>
        <v>5301</v>
      </c>
      <c r="O1152" s="356">
        <v>1</v>
      </c>
      <c r="Q1152" s="356"/>
      <c r="R1152" s="356"/>
      <c r="S1152" s="356"/>
      <c r="T1152" s="356"/>
      <c r="U1152" s="372"/>
      <c r="V1152" s="372"/>
      <c r="W1152" s="372"/>
      <c r="X1152" s="373"/>
      <c r="Y1152" s="348"/>
      <c r="Z1152" s="348"/>
      <c r="AA1152" s="348"/>
    </row>
    <row r="1153" s="331" customFormat="1" ht="17" customHeight="1" spans="1:27">
      <c r="A1153" s="550" t="s">
        <v>3307</v>
      </c>
      <c r="B1153" s="348" t="s">
        <v>31</v>
      </c>
      <c r="C1153" s="348" t="s">
        <v>220</v>
      </c>
      <c r="D1153" s="349" t="s">
        <v>221</v>
      </c>
      <c r="E1153" s="336">
        <v>43633</v>
      </c>
      <c r="F1153" s="336">
        <v>43633</v>
      </c>
      <c r="G1153" s="336">
        <v>43656</v>
      </c>
      <c r="H1153" s="334" t="s">
        <v>3308</v>
      </c>
      <c r="I1153" s="356">
        <v>13795267711</v>
      </c>
      <c r="J1153" s="361" t="s">
        <v>3309</v>
      </c>
      <c r="K1153" s="356">
        <v>1000</v>
      </c>
      <c r="L1153" s="334">
        <v>5984</v>
      </c>
      <c r="M1153" s="334"/>
      <c r="N1153" s="362">
        <f t="shared" si="35"/>
        <v>5984</v>
      </c>
      <c r="O1153" s="356"/>
      <c r="Q1153" s="356"/>
      <c r="R1153" s="356"/>
      <c r="S1153" s="356"/>
      <c r="T1153" s="356"/>
      <c r="U1153" s="372"/>
      <c r="V1153" s="372"/>
      <c r="W1153" s="372"/>
      <c r="X1153" s="373"/>
      <c r="Y1153" s="348"/>
      <c r="Z1153" s="348"/>
      <c r="AA1153" s="348"/>
    </row>
    <row r="1154" s="331" customFormat="1" ht="17" customHeight="1" spans="1:27">
      <c r="A1154" s="550" t="s">
        <v>3310</v>
      </c>
      <c r="B1154" s="348" t="s">
        <v>185</v>
      </c>
      <c r="C1154" s="348" t="s">
        <v>1620</v>
      </c>
      <c r="D1154" s="349" t="s">
        <v>187</v>
      </c>
      <c r="E1154" s="336">
        <v>43633</v>
      </c>
      <c r="F1154" s="336">
        <v>43632</v>
      </c>
      <c r="G1154" s="336">
        <v>43663</v>
      </c>
      <c r="H1154" s="334" t="s">
        <v>3311</v>
      </c>
      <c r="I1154" s="356">
        <v>18001700788</v>
      </c>
      <c r="J1154" s="361" t="s">
        <v>3312</v>
      </c>
      <c r="K1154" s="356">
        <v>1000</v>
      </c>
      <c r="L1154" s="334">
        <v>12334</v>
      </c>
      <c r="M1154" s="334"/>
      <c r="N1154" s="362">
        <f t="shared" si="35"/>
        <v>12334</v>
      </c>
      <c r="O1154" s="356"/>
      <c r="Q1154" s="356"/>
      <c r="R1154" s="356"/>
      <c r="S1154" s="356"/>
      <c r="T1154" s="356"/>
      <c r="U1154" s="372"/>
      <c r="V1154" s="372"/>
      <c r="W1154" s="372"/>
      <c r="X1154" s="373"/>
      <c r="Y1154" s="348"/>
      <c r="Z1154" s="348"/>
      <c r="AA1154" s="348"/>
    </row>
    <row r="1155" s="331" customFormat="1" ht="17" customHeight="1" spans="1:27">
      <c r="A1155" s="550" t="s">
        <v>3313</v>
      </c>
      <c r="B1155" s="348" t="s">
        <v>66</v>
      </c>
      <c r="C1155" s="348" t="s">
        <v>505</v>
      </c>
      <c r="D1155" s="349" t="s">
        <v>68</v>
      </c>
      <c r="E1155" s="336">
        <v>43633</v>
      </c>
      <c r="F1155" s="336">
        <v>43633</v>
      </c>
      <c r="G1155" s="336">
        <v>43663</v>
      </c>
      <c r="H1155" s="334" t="s">
        <v>3314</v>
      </c>
      <c r="I1155" s="356">
        <v>18016495642</v>
      </c>
      <c r="J1155" s="361" t="s">
        <v>3315</v>
      </c>
      <c r="K1155" s="356">
        <v>1000</v>
      </c>
      <c r="L1155" s="334">
        <v>4502</v>
      </c>
      <c r="M1155" s="334">
        <v>736</v>
      </c>
      <c r="N1155" s="362">
        <f t="shared" si="35"/>
        <v>5238</v>
      </c>
      <c r="O1155" s="356"/>
      <c r="Q1155" s="356"/>
      <c r="R1155" s="356"/>
      <c r="S1155" s="356"/>
      <c r="T1155" s="356"/>
      <c r="U1155" s="372"/>
      <c r="V1155" s="372"/>
      <c r="W1155" s="372"/>
      <c r="X1155" s="373"/>
      <c r="Y1155" s="348"/>
      <c r="Z1155" s="348"/>
      <c r="AA1155" s="348"/>
    </row>
    <row r="1156" s="331" customFormat="1" ht="17" customHeight="1" spans="1:27">
      <c r="A1156" s="550" t="s">
        <v>3316</v>
      </c>
      <c r="B1156" s="348" t="s">
        <v>169</v>
      </c>
      <c r="C1156" s="348" t="s">
        <v>170</v>
      </c>
      <c r="D1156" s="352" t="s">
        <v>171</v>
      </c>
      <c r="E1156" s="336">
        <v>43745</v>
      </c>
      <c r="F1156" s="336">
        <v>43633</v>
      </c>
      <c r="G1156" s="336">
        <v>43745</v>
      </c>
      <c r="H1156" s="334" t="s">
        <v>3317</v>
      </c>
      <c r="I1156" s="356">
        <v>15216779552</v>
      </c>
      <c r="J1156" s="361" t="s">
        <v>3318</v>
      </c>
      <c r="K1156" s="356">
        <v>1000</v>
      </c>
      <c r="L1156" s="334">
        <v>8000</v>
      </c>
      <c r="M1156" s="362"/>
      <c r="N1156" s="362">
        <f t="shared" si="35"/>
        <v>8000</v>
      </c>
      <c r="O1156" s="356" t="s">
        <v>19</v>
      </c>
      <c r="Q1156" s="356"/>
      <c r="R1156" s="356"/>
      <c r="S1156" s="356"/>
      <c r="T1156" s="356"/>
      <c r="U1156" s="372"/>
      <c r="V1156" s="372"/>
      <c r="W1156" s="372"/>
      <c r="X1156" s="373"/>
      <c r="Y1156" s="348"/>
      <c r="Z1156" s="348"/>
      <c r="AA1156" s="348"/>
    </row>
    <row r="1157" s="331" customFormat="1" ht="17" customHeight="1" spans="1:27">
      <c r="A1157" s="550" t="s">
        <v>3319</v>
      </c>
      <c r="B1157" s="348" t="s">
        <v>185</v>
      </c>
      <c r="C1157" s="348" t="s">
        <v>886</v>
      </c>
      <c r="D1157" s="349" t="s">
        <v>187</v>
      </c>
      <c r="E1157" s="336">
        <v>43701</v>
      </c>
      <c r="F1157" s="336">
        <v>43633</v>
      </c>
      <c r="G1157" s="336">
        <v>43701</v>
      </c>
      <c r="H1157" s="334" t="s">
        <v>3320</v>
      </c>
      <c r="I1157" s="356">
        <v>18317050065</v>
      </c>
      <c r="J1157" s="361" t="s">
        <v>3321</v>
      </c>
      <c r="K1157" s="356">
        <v>1000</v>
      </c>
      <c r="L1157" s="334">
        <v>16140</v>
      </c>
      <c r="M1157" s="362"/>
      <c r="N1157" s="362">
        <f t="shared" si="35"/>
        <v>16140</v>
      </c>
      <c r="O1157" s="356" t="s">
        <v>52</v>
      </c>
      <c r="Q1157" s="356"/>
      <c r="R1157" s="356"/>
      <c r="S1157" s="356"/>
      <c r="T1157" s="356"/>
      <c r="U1157" s="372"/>
      <c r="V1157" s="372"/>
      <c r="W1157" s="372"/>
      <c r="X1157" s="373"/>
      <c r="Y1157" s="348"/>
      <c r="Z1157" s="348"/>
      <c r="AA1157" s="348"/>
    </row>
    <row r="1158" s="331" customFormat="1" ht="17" customHeight="1" spans="1:27">
      <c r="A1158" s="550" t="s">
        <v>749</v>
      </c>
      <c r="B1158" s="348" t="s">
        <v>315</v>
      </c>
      <c r="C1158" s="348" t="s">
        <v>230</v>
      </c>
      <c r="D1158" s="349" t="s">
        <v>182</v>
      </c>
      <c r="E1158" s="336">
        <v>43685</v>
      </c>
      <c r="F1158" s="336">
        <v>43632</v>
      </c>
      <c r="G1158" s="336">
        <v>43685</v>
      </c>
      <c r="H1158" s="334" t="s">
        <v>3322</v>
      </c>
      <c r="I1158" s="356">
        <v>13501707726</v>
      </c>
      <c r="J1158" s="361" t="s">
        <v>3323</v>
      </c>
      <c r="K1158" s="356">
        <v>1000</v>
      </c>
      <c r="L1158" s="334">
        <v>5818</v>
      </c>
      <c r="M1158" s="334">
        <v>736</v>
      </c>
      <c r="N1158" s="362">
        <f t="shared" si="35"/>
        <v>6554</v>
      </c>
      <c r="O1158" s="356">
        <v>1</v>
      </c>
      <c r="Q1158" s="356"/>
      <c r="R1158" s="356"/>
      <c r="S1158" s="356"/>
      <c r="T1158" s="356"/>
      <c r="U1158" s="372"/>
      <c r="V1158" s="372"/>
      <c r="W1158" s="372"/>
      <c r="X1158" s="373"/>
      <c r="Y1158" s="348"/>
      <c r="Z1158" s="348"/>
      <c r="AA1158" s="348"/>
    </row>
    <row r="1159" s="331" customFormat="1" ht="17" customHeight="1" spans="1:27">
      <c r="A1159" s="348">
        <v>2067301</v>
      </c>
      <c r="B1159" s="348" t="s">
        <v>236</v>
      </c>
      <c r="C1159" s="348" t="s">
        <v>703</v>
      </c>
      <c r="D1159" s="349" t="s">
        <v>37</v>
      </c>
      <c r="E1159" s="336">
        <v>43633</v>
      </c>
      <c r="F1159" s="336">
        <v>43632</v>
      </c>
      <c r="G1159" s="336">
        <v>43667</v>
      </c>
      <c r="H1159" s="348" t="s">
        <v>3324</v>
      </c>
      <c r="I1159" s="356">
        <v>13651768632</v>
      </c>
      <c r="J1159" s="361" t="s">
        <v>3325</v>
      </c>
      <c r="K1159" s="356">
        <v>1000</v>
      </c>
      <c r="L1159" s="334">
        <v>26000</v>
      </c>
      <c r="M1159" s="362"/>
      <c r="N1159" s="362">
        <f t="shared" si="35"/>
        <v>26000</v>
      </c>
      <c r="O1159" s="356"/>
      <c r="Q1159" s="356"/>
      <c r="R1159" s="356"/>
      <c r="S1159" s="356"/>
      <c r="T1159" s="356"/>
      <c r="U1159" s="372"/>
      <c r="V1159" s="372"/>
      <c r="W1159" s="372"/>
      <c r="X1159" s="373"/>
      <c r="Y1159" s="348" t="s">
        <v>856</v>
      </c>
      <c r="Z1159" s="348"/>
      <c r="AA1159" s="348"/>
    </row>
    <row r="1160" s="331" customFormat="1" ht="17" customHeight="1" spans="1:28">
      <c r="A1160" s="348">
        <v>2067300</v>
      </c>
      <c r="B1160" s="348" t="s">
        <v>236</v>
      </c>
      <c r="C1160" s="348" t="s">
        <v>195</v>
      </c>
      <c r="D1160" s="352" t="s">
        <v>237</v>
      </c>
      <c r="E1160" s="336">
        <v>43717</v>
      </c>
      <c r="F1160" s="336">
        <v>43633</v>
      </c>
      <c r="G1160" s="336">
        <v>43715</v>
      </c>
      <c r="H1160" s="334" t="s">
        <v>3326</v>
      </c>
      <c r="I1160" s="356">
        <v>18616827791</v>
      </c>
      <c r="J1160" s="361" t="s">
        <v>3327</v>
      </c>
      <c r="K1160" s="356">
        <v>500</v>
      </c>
      <c r="L1160" s="334">
        <v>3209</v>
      </c>
      <c r="M1160" s="362"/>
      <c r="N1160" s="362">
        <f t="shared" si="35"/>
        <v>3209</v>
      </c>
      <c r="O1160" s="356"/>
      <c r="Q1160" s="356"/>
      <c r="R1160" s="356"/>
      <c r="S1160" s="356"/>
      <c r="T1160" s="356"/>
      <c r="U1160" s="372"/>
      <c r="V1160" s="372"/>
      <c r="W1160" s="372"/>
      <c r="X1160" s="373"/>
      <c r="Y1160" s="348"/>
      <c r="Z1160" s="348"/>
      <c r="AA1160" s="348"/>
      <c r="AB1160" s="356" t="s">
        <v>3328</v>
      </c>
    </row>
    <row r="1161" s="331" customFormat="1" ht="17" customHeight="1" spans="1:27">
      <c r="A1161" s="348">
        <v>2067296</v>
      </c>
      <c r="B1161" s="348" t="s">
        <v>236</v>
      </c>
      <c r="C1161" s="348" t="s">
        <v>703</v>
      </c>
      <c r="D1161" s="349" t="s">
        <v>37</v>
      </c>
      <c r="E1161" s="336">
        <v>43633</v>
      </c>
      <c r="F1161" s="336">
        <v>43631</v>
      </c>
      <c r="G1161" s="336">
        <v>43648</v>
      </c>
      <c r="H1161" s="334" t="s">
        <v>3329</v>
      </c>
      <c r="I1161" s="356">
        <v>13774437640</v>
      </c>
      <c r="J1161" s="361" t="s">
        <v>3330</v>
      </c>
      <c r="K1161" s="356">
        <v>3766</v>
      </c>
      <c r="L1161" s="334">
        <v>4343</v>
      </c>
      <c r="M1161" s="334"/>
      <c r="N1161" s="362">
        <f t="shared" si="35"/>
        <v>4343</v>
      </c>
      <c r="O1161" s="356"/>
      <c r="Q1161" s="356"/>
      <c r="R1161" s="356"/>
      <c r="S1161" s="356"/>
      <c r="T1161" s="356"/>
      <c r="U1161" s="372"/>
      <c r="V1161" s="372"/>
      <c r="W1161" s="372"/>
      <c r="X1161" s="373"/>
      <c r="Y1161" s="348" t="s">
        <v>839</v>
      </c>
      <c r="Z1161" s="348"/>
      <c r="AA1161" s="348"/>
    </row>
    <row r="1162" s="331" customFormat="1" ht="17" customHeight="1" spans="1:27">
      <c r="A1162" s="348">
        <v>206727</v>
      </c>
      <c r="B1162" s="348" t="s">
        <v>805</v>
      </c>
      <c r="C1162" s="348" t="s">
        <v>806</v>
      </c>
      <c r="D1162" s="352" t="s">
        <v>635</v>
      </c>
      <c r="E1162" s="336">
        <v>43634</v>
      </c>
      <c r="F1162" s="336">
        <v>43632</v>
      </c>
      <c r="G1162" s="350"/>
      <c r="H1162" s="334" t="s">
        <v>3331</v>
      </c>
      <c r="I1162" s="356">
        <v>13317124583</v>
      </c>
      <c r="J1162" s="361" t="s">
        <v>3332</v>
      </c>
      <c r="K1162" s="356">
        <v>1000</v>
      </c>
      <c r="L1162" s="362"/>
      <c r="M1162" s="362"/>
      <c r="N1162" s="362">
        <f t="shared" si="35"/>
        <v>0</v>
      </c>
      <c r="O1162" s="356"/>
      <c r="Q1162" s="356" t="s">
        <v>52</v>
      </c>
      <c r="R1162" s="356"/>
      <c r="S1162" s="356"/>
      <c r="T1162" s="356"/>
      <c r="U1162" s="372"/>
      <c r="V1162" s="372"/>
      <c r="W1162" s="372"/>
      <c r="X1162" s="373"/>
      <c r="Y1162" s="348"/>
      <c r="Z1162" s="348"/>
      <c r="AA1162" s="348"/>
    </row>
    <row r="1163" s="331" customFormat="1" ht="17" customHeight="1" spans="1:27">
      <c r="A1163" s="550" t="s">
        <v>3333</v>
      </c>
      <c r="B1163" s="348" t="s">
        <v>2625</v>
      </c>
      <c r="C1163" s="348" t="s">
        <v>2626</v>
      </c>
      <c r="D1163" s="349" t="s">
        <v>337</v>
      </c>
      <c r="E1163" s="336">
        <v>43634</v>
      </c>
      <c r="F1163" s="336">
        <v>43632</v>
      </c>
      <c r="G1163" s="336">
        <v>43659</v>
      </c>
      <c r="H1163" s="334" t="s">
        <v>3334</v>
      </c>
      <c r="I1163" s="356">
        <v>13601668594</v>
      </c>
      <c r="J1163" s="361" t="s">
        <v>3335</v>
      </c>
      <c r="K1163" s="356">
        <v>1000</v>
      </c>
      <c r="L1163" s="334">
        <v>4824</v>
      </c>
      <c r="M1163" s="334"/>
      <c r="N1163" s="362">
        <f t="shared" si="35"/>
        <v>4824</v>
      </c>
      <c r="O1163" s="356"/>
      <c r="Q1163" s="356"/>
      <c r="R1163" s="356"/>
      <c r="S1163" s="356"/>
      <c r="T1163" s="356"/>
      <c r="U1163" s="372"/>
      <c r="V1163" s="372"/>
      <c r="W1163" s="372"/>
      <c r="X1163" s="373"/>
      <c r="Y1163" s="348"/>
      <c r="Z1163" s="348"/>
      <c r="AA1163" s="348"/>
    </row>
    <row r="1164" s="331" customFormat="1" ht="17" customHeight="1" spans="1:27">
      <c r="A1164" s="550" t="s">
        <v>3336</v>
      </c>
      <c r="B1164" s="348" t="s">
        <v>47</v>
      </c>
      <c r="C1164" s="348" t="s">
        <v>80</v>
      </c>
      <c r="D1164" s="352" t="s">
        <v>49</v>
      </c>
      <c r="E1164" s="336">
        <v>43634</v>
      </c>
      <c r="F1164" s="336">
        <v>43632</v>
      </c>
      <c r="G1164" s="350">
        <v>43635</v>
      </c>
      <c r="H1164" s="334" t="s">
        <v>3337</v>
      </c>
      <c r="I1164" s="356">
        <v>18616749509</v>
      </c>
      <c r="J1164" s="361" t="s">
        <v>3338</v>
      </c>
      <c r="K1164" s="356">
        <v>1000</v>
      </c>
      <c r="L1164" s="362"/>
      <c r="M1164" s="362"/>
      <c r="N1164" s="362">
        <f t="shared" si="35"/>
        <v>0</v>
      </c>
      <c r="O1164" s="356"/>
      <c r="Q1164" s="356"/>
      <c r="R1164" s="356"/>
      <c r="S1164" s="356"/>
      <c r="T1164" s="356"/>
      <c r="U1164" s="372"/>
      <c r="V1164" s="372"/>
      <c r="W1164" s="372"/>
      <c r="X1164" s="373"/>
      <c r="Y1164" s="348"/>
      <c r="Z1164" s="348"/>
      <c r="AA1164" s="348"/>
    </row>
    <row r="1165" s="331" customFormat="1" ht="17" customHeight="1" spans="1:27">
      <c r="A1165" s="348"/>
      <c r="B1165" s="348" t="s">
        <v>31</v>
      </c>
      <c r="C1165" s="348" t="s">
        <v>3186</v>
      </c>
      <c r="D1165" s="349" t="s">
        <v>221</v>
      </c>
      <c r="E1165" s="336">
        <v>43634</v>
      </c>
      <c r="F1165" s="336">
        <v>43634</v>
      </c>
      <c r="G1165" s="350"/>
      <c r="H1165" s="334" t="s">
        <v>3339</v>
      </c>
      <c r="I1165" s="356">
        <v>13482578128</v>
      </c>
      <c r="J1165" s="361" t="s">
        <v>3340</v>
      </c>
      <c r="K1165" s="356">
        <v>1000</v>
      </c>
      <c r="L1165" s="362"/>
      <c r="M1165" s="362"/>
      <c r="N1165" s="362">
        <f t="shared" si="35"/>
        <v>0</v>
      </c>
      <c r="O1165" s="356"/>
      <c r="Q1165" s="356"/>
      <c r="R1165" s="356"/>
      <c r="S1165" s="356"/>
      <c r="T1165" s="356"/>
      <c r="U1165" s="372">
        <v>7.2</v>
      </c>
      <c r="V1165" s="372"/>
      <c r="W1165" s="372"/>
      <c r="X1165" s="373"/>
      <c r="Y1165" s="348"/>
      <c r="Z1165" s="348"/>
      <c r="AA1165" s="348"/>
    </row>
    <row r="1166" s="331" customFormat="1" ht="17" customHeight="1" spans="1:27">
      <c r="A1166" s="348">
        <v>2001912</v>
      </c>
      <c r="B1166" s="348" t="s">
        <v>147</v>
      </c>
      <c r="C1166" s="348" t="s">
        <v>148</v>
      </c>
      <c r="D1166" s="352" t="s">
        <v>149</v>
      </c>
      <c r="E1166" s="336">
        <v>43634</v>
      </c>
      <c r="F1166" s="336">
        <v>43634</v>
      </c>
      <c r="G1166" s="350"/>
      <c r="H1166" s="334" t="s">
        <v>3341</v>
      </c>
      <c r="I1166" s="356">
        <v>18217063009</v>
      </c>
      <c r="J1166" s="361" t="s">
        <v>3342</v>
      </c>
      <c r="K1166" s="356">
        <v>1000</v>
      </c>
      <c r="L1166" s="362"/>
      <c r="M1166" s="362"/>
      <c r="N1166" s="362">
        <f t="shared" si="35"/>
        <v>0</v>
      </c>
      <c r="O1166" s="356"/>
      <c r="Q1166" s="356"/>
      <c r="R1166" s="356"/>
      <c r="S1166" s="356"/>
      <c r="T1166" s="356"/>
      <c r="U1166" s="372" t="s">
        <v>63</v>
      </c>
      <c r="V1166" s="372"/>
      <c r="W1166" s="372"/>
      <c r="X1166" s="373"/>
      <c r="Y1166" s="348"/>
      <c r="Z1166" s="348"/>
      <c r="AA1166" s="348"/>
    </row>
    <row r="1167" s="331" customFormat="1" ht="17" customHeight="1" spans="1:27">
      <c r="A1167" s="348">
        <v>2022793</v>
      </c>
      <c r="B1167" s="348" t="s">
        <v>243</v>
      </c>
      <c r="C1167" s="348" t="s">
        <v>309</v>
      </c>
      <c r="D1167" s="352" t="s">
        <v>49</v>
      </c>
      <c r="E1167" s="336">
        <v>43708</v>
      </c>
      <c r="F1167" s="336">
        <v>43634</v>
      </c>
      <c r="G1167" s="336">
        <v>43708</v>
      </c>
      <c r="H1167" s="334" t="s">
        <v>3343</v>
      </c>
      <c r="I1167" s="356">
        <v>18621839157</v>
      </c>
      <c r="J1167" s="361" t="s">
        <v>3344</v>
      </c>
      <c r="K1167" s="356">
        <v>1000</v>
      </c>
      <c r="L1167" s="334">
        <v>16838</v>
      </c>
      <c r="M1167" s="362"/>
      <c r="N1167" s="362">
        <f t="shared" si="35"/>
        <v>16838</v>
      </c>
      <c r="O1167" s="356"/>
      <c r="Q1167" s="356"/>
      <c r="R1167" s="356" t="s">
        <v>52</v>
      </c>
      <c r="S1167" s="356"/>
      <c r="T1167" s="356"/>
      <c r="U1167" s="372"/>
      <c r="V1167" s="372"/>
      <c r="W1167" s="372"/>
      <c r="X1167" s="373"/>
      <c r="Y1167" s="348"/>
      <c r="Z1167" s="348"/>
      <c r="AA1167" s="348"/>
    </row>
    <row r="1168" s="331" customFormat="1" ht="17" customHeight="1" spans="1:27">
      <c r="A1168" s="550" t="s">
        <v>3345</v>
      </c>
      <c r="B1168" s="348" t="s">
        <v>47</v>
      </c>
      <c r="C1168" s="348" t="s">
        <v>3346</v>
      </c>
      <c r="D1168" s="352" t="s">
        <v>49</v>
      </c>
      <c r="E1168" s="336">
        <v>43634</v>
      </c>
      <c r="F1168" s="336">
        <v>43634</v>
      </c>
      <c r="G1168" s="350"/>
      <c r="H1168" s="334" t="s">
        <v>3347</v>
      </c>
      <c r="I1168" s="356">
        <v>18917680881</v>
      </c>
      <c r="J1168" s="361" t="s">
        <v>3348</v>
      </c>
      <c r="K1168" s="356">
        <v>1000</v>
      </c>
      <c r="L1168" s="362"/>
      <c r="M1168" s="362"/>
      <c r="N1168" s="362">
        <f t="shared" si="35"/>
        <v>0</v>
      </c>
      <c r="O1168" s="356"/>
      <c r="Q1168" s="356"/>
      <c r="R1168" s="356"/>
      <c r="S1168" s="356"/>
      <c r="T1168" s="356"/>
      <c r="U1168" s="372" t="s">
        <v>3349</v>
      </c>
      <c r="V1168" s="372"/>
      <c r="W1168" s="372"/>
      <c r="X1168" s="373"/>
      <c r="Y1168" s="348"/>
      <c r="Z1168" s="348"/>
      <c r="AA1168" s="348"/>
    </row>
    <row r="1169" s="331" customFormat="1" ht="17" customHeight="1" spans="1:27">
      <c r="A1169" s="550" t="s">
        <v>3350</v>
      </c>
      <c r="B1169" s="348" t="s">
        <v>354</v>
      </c>
      <c r="C1169" s="348" t="s">
        <v>355</v>
      </c>
      <c r="D1169" s="349" t="s">
        <v>356</v>
      </c>
      <c r="E1169" s="336">
        <v>43634</v>
      </c>
      <c r="F1169" s="336">
        <v>43632</v>
      </c>
      <c r="G1169" s="336">
        <v>43667</v>
      </c>
      <c r="H1169" s="334" t="s">
        <v>3351</v>
      </c>
      <c r="I1169" s="356">
        <v>13311979323</v>
      </c>
      <c r="J1169" s="361" t="s">
        <v>3352</v>
      </c>
      <c r="K1169" s="356">
        <v>1567</v>
      </c>
      <c r="L1169" s="334">
        <v>2259</v>
      </c>
      <c r="M1169" s="362"/>
      <c r="N1169" s="362">
        <f t="shared" si="35"/>
        <v>2259</v>
      </c>
      <c r="O1169" s="356"/>
      <c r="Q1169" s="356"/>
      <c r="R1169" s="356"/>
      <c r="S1169" s="356"/>
      <c r="T1169" s="356"/>
      <c r="U1169" s="372"/>
      <c r="V1169" s="372"/>
      <c r="W1169" s="372"/>
      <c r="X1169" s="373"/>
      <c r="Y1169" s="348"/>
      <c r="Z1169" s="348"/>
      <c r="AA1169" s="348"/>
    </row>
    <row r="1170" s="331" customFormat="1" ht="17" customHeight="1" spans="1:27">
      <c r="A1170" s="550" t="s">
        <v>742</v>
      </c>
      <c r="B1170" s="348" t="s">
        <v>315</v>
      </c>
      <c r="C1170" s="348" t="s">
        <v>366</v>
      </c>
      <c r="D1170" s="352" t="s">
        <v>132</v>
      </c>
      <c r="E1170" s="336">
        <v>43640</v>
      </c>
      <c r="F1170" s="336">
        <v>43632</v>
      </c>
      <c r="G1170" s="350" t="s">
        <v>69</v>
      </c>
      <c r="H1170" s="334" t="s">
        <v>3353</v>
      </c>
      <c r="I1170" s="356">
        <v>13611839263</v>
      </c>
      <c r="J1170" s="361" t="s">
        <v>3354</v>
      </c>
      <c r="K1170" s="356">
        <v>4147</v>
      </c>
      <c r="L1170" s="362"/>
      <c r="M1170" s="362"/>
      <c r="N1170" s="362">
        <f t="shared" si="35"/>
        <v>0</v>
      </c>
      <c r="O1170" s="356"/>
      <c r="Q1170" s="356"/>
      <c r="R1170" s="356"/>
      <c r="S1170" s="356">
        <v>1</v>
      </c>
      <c r="T1170" s="356"/>
      <c r="U1170" s="372"/>
      <c r="V1170" s="372"/>
      <c r="W1170" s="372"/>
      <c r="X1170" s="373"/>
      <c r="Y1170" s="348"/>
      <c r="Z1170" s="348"/>
      <c r="AA1170" s="348"/>
    </row>
    <row r="1171" s="331" customFormat="1" ht="17" customHeight="1" spans="1:27">
      <c r="A1171" s="348"/>
      <c r="B1171" s="348" t="s">
        <v>66</v>
      </c>
      <c r="C1171" s="348" t="s">
        <v>1749</v>
      </c>
      <c r="D1171" s="349" t="s">
        <v>68</v>
      </c>
      <c r="E1171" s="336">
        <v>43687</v>
      </c>
      <c r="F1171" s="336">
        <v>43632</v>
      </c>
      <c r="G1171" s="336">
        <v>43687</v>
      </c>
      <c r="H1171" s="334" t="s">
        <v>3355</v>
      </c>
      <c r="I1171" s="356">
        <v>18721663252</v>
      </c>
      <c r="J1171" s="361" t="s">
        <v>3356</v>
      </c>
      <c r="K1171" s="356">
        <v>2734</v>
      </c>
      <c r="L1171" s="334">
        <v>4550</v>
      </c>
      <c r="M1171" s="362"/>
      <c r="N1171" s="362">
        <f t="shared" si="35"/>
        <v>4550</v>
      </c>
      <c r="O1171" s="356"/>
      <c r="P1171" s="356" t="s">
        <v>1526</v>
      </c>
      <c r="Q1171" s="356"/>
      <c r="R1171" s="356"/>
      <c r="S1171" s="356"/>
      <c r="T1171" s="356"/>
      <c r="U1171" s="372"/>
      <c r="V1171" s="372"/>
      <c r="W1171" s="372"/>
      <c r="X1171" s="373"/>
      <c r="Y1171" s="348" t="s">
        <v>856</v>
      </c>
      <c r="Z1171" s="348"/>
      <c r="AA1171" s="348"/>
    </row>
    <row r="1172" s="57" customFormat="1" ht="17" customHeight="1" spans="1:27">
      <c r="A1172" s="348">
        <v>2020247</v>
      </c>
      <c r="B1172" s="348" t="s">
        <v>137</v>
      </c>
      <c r="C1172" s="348" t="s">
        <v>480</v>
      </c>
      <c r="D1172" s="349" t="s">
        <v>139</v>
      </c>
      <c r="E1172" s="336">
        <v>43634</v>
      </c>
      <c r="F1172" s="336">
        <v>43634</v>
      </c>
      <c r="G1172" s="350"/>
      <c r="H1172" s="334" t="s">
        <v>3357</v>
      </c>
      <c r="I1172" s="356">
        <v>15026854582</v>
      </c>
      <c r="J1172" s="348" t="s">
        <v>3358</v>
      </c>
      <c r="K1172" s="356">
        <v>1000</v>
      </c>
      <c r="L1172" s="362"/>
      <c r="M1172" s="362"/>
      <c r="N1172" s="362">
        <f t="shared" si="35"/>
        <v>0</v>
      </c>
      <c r="O1172" s="356">
        <v>1</v>
      </c>
      <c r="Q1172" s="356"/>
      <c r="R1172" s="356"/>
      <c r="S1172" s="356"/>
      <c r="T1172" s="356"/>
      <c r="U1172" s="372" t="s">
        <v>12</v>
      </c>
      <c r="V1172" s="372"/>
      <c r="W1172" s="372"/>
      <c r="X1172" s="373"/>
      <c r="Y1172" s="348"/>
      <c r="Z1172" s="348"/>
      <c r="AA1172" s="348"/>
    </row>
    <row r="1173" s="331" customFormat="1" ht="17" customHeight="1" spans="1:27">
      <c r="A1173" s="550" t="s">
        <v>3359</v>
      </c>
      <c r="B1173" s="348" t="s">
        <v>354</v>
      </c>
      <c r="C1173" s="348" t="s">
        <v>355</v>
      </c>
      <c r="D1173" s="349" t="s">
        <v>356</v>
      </c>
      <c r="E1173" s="336">
        <v>43634</v>
      </c>
      <c r="F1173" s="336">
        <v>43633</v>
      </c>
      <c r="G1173" s="336">
        <v>43660</v>
      </c>
      <c r="H1173" s="334" t="s">
        <v>3360</v>
      </c>
      <c r="I1173" s="356">
        <v>13816395020</v>
      </c>
      <c r="J1173" s="361" t="s">
        <v>3361</v>
      </c>
      <c r="K1173" s="356">
        <v>3000</v>
      </c>
      <c r="L1173" s="334">
        <v>5181</v>
      </c>
      <c r="M1173" s="334"/>
      <c r="N1173" s="362">
        <f t="shared" si="35"/>
        <v>5181</v>
      </c>
      <c r="O1173" s="356"/>
      <c r="Q1173" s="356"/>
      <c r="R1173" s="356"/>
      <c r="S1173" s="356"/>
      <c r="T1173" s="356"/>
      <c r="U1173" s="372"/>
      <c r="V1173" s="372"/>
      <c r="W1173" s="372"/>
      <c r="X1173" s="373"/>
      <c r="Y1173" s="348"/>
      <c r="Z1173" s="348"/>
      <c r="AA1173" s="348"/>
    </row>
    <row r="1174" s="331" customFormat="1" ht="17" customHeight="1" spans="1:27">
      <c r="A1174" s="550" t="s">
        <v>3362</v>
      </c>
      <c r="B1174" s="348" t="s">
        <v>31</v>
      </c>
      <c r="C1174" s="348" t="s">
        <v>220</v>
      </c>
      <c r="D1174" s="349" t="s">
        <v>221</v>
      </c>
      <c r="E1174" s="336">
        <v>43634</v>
      </c>
      <c r="F1174" s="336">
        <v>43634</v>
      </c>
      <c r="G1174" s="336">
        <v>43654</v>
      </c>
      <c r="H1174" s="334" t="s">
        <v>3363</v>
      </c>
      <c r="I1174" s="356">
        <v>18049808699</v>
      </c>
      <c r="J1174" s="361" t="s">
        <v>3364</v>
      </c>
      <c r="K1174" s="356">
        <v>1000</v>
      </c>
      <c r="L1174" s="334">
        <v>4064</v>
      </c>
      <c r="M1174" s="334"/>
      <c r="N1174" s="362">
        <f t="shared" si="35"/>
        <v>4064</v>
      </c>
      <c r="O1174" s="356"/>
      <c r="Q1174" s="356"/>
      <c r="R1174" s="356"/>
      <c r="S1174" s="356"/>
      <c r="T1174" s="356"/>
      <c r="U1174" s="372"/>
      <c r="V1174" s="372"/>
      <c r="W1174" s="372"/>
      <c r="X1174" s="373"/>
      <c r="Y1174" s="348" t="s">
        <v>856</v>
      </c>
      <c r="Z1174" s="348"/>
      <c r="AA1174" s="348"/>
    </row>
    <row r="1175" s="331" customFormat="1" ht="17" customHeight="1" spans="1:27">
      <c r="A1175" s="550" t="s">
        <v>3365</v>
      </c>
      <c r="B1175" s="348" t="s">
        <v>31</v>
      </c>
      <c r="C1175" s="348" t="s">
        <v>220</v>
      </c>
      <c r="D1175" s="349" t="s">
        <v>221</v>
      </c>
      <c r="E1175" s="336">
        <v>43634</v>
      </c>
      <c r="F1175" s="336">
        <v>43634</v>
      </c>
      <c r="G1175" s="350"/>
      <c r="H1175" s="334" t="s">
        <v>3366</v>
      </c>
      <c r="I1175" s="356">
        <v>13816105173</v>
      </c>
      <c r="J1175" s="361" t="s">
        <v>3367</v>
      </c>
      <c r="K1175" s="356">
        <v>1000</v>
      </c>
      <c r="L1175" s="362"/>
      <c r="M1175" s="362"/>
      <c r="N1175" s="362">
        <f t="shared" si="35"/>
        <v>0</v>
      </c>
      <c r="O1175" s="356"/>
      <c r="Q1175" s="348"/>
      <c r="R1175" s="356"/>
      <c r="S1175" s="356"/>
      <c r="T1175" s="356"/>
      <c r="U1175" s="366" t="s">
        <v>52</v>
      </c>
      <c r="V1175" s="372"/>
      <c r="W1175" s="372"/>
      <c r="X1175" s="373"/>
      <c r="Y1175" s="348" t="s">
        <v>92</v>
      </c>
      <c r="Z1175" s="348"/>
      <c r="AA1175" s="348"/>
    </row>
    <row r="1176" s="331" customFormat="1" ht="17" customHeight="1" spans="1:27">
      <c r="A1176" s="348"/>
      <c r="B1176" s="348" t="s">
        <v>153</v>
      </c>
      <c r="C1176" s="348" t="s">
        <v>302</v>
      </c>
      <c r="D1176" s="349" t="s">
        <v>155</v>
      </c>
      <c r="E1176" s="336">
        <v>43556</v>
      </c>
      <c r="F1176" s="336">
        <v>43556</v>
      </c>
      <c r="G1176" s="350"/>
      <c r="H1176" s="334" t="s">
        <v>3368</v>
      </c>
      <c r="I1176" s="356">
        <v>18007890466</v>
      </c>
      <c r="J1176" s="361" t="s">
        <v>3369</v>
      </c>
      <c r="K1176" s="356">
        <v>1000</v>
      </c>
      <c r="L1176" s="362"/>
      <c r="M1176" s="362"/>
      <c r="N1176" s="362">
        <f t="shared" si="35"/>
        <v>0</v>
      </c>
      <c r="O1176" s="356"/>
      <c r="Q1176" s="356" t="s">
        <v>3370</v>
      </c>
      <c r="R1176" s="356"/>
      <c r="S1176" s="356"/>
      <c r="T1176" s="356"/>
      <c r="U1176" s="336" t="s">
        <v>40</v>
      </c>
      <c r="V1176" s="372"/>
      <c r="W1176" s="372"/>
      <c r="X1176" s="373"/>
      <c r="Y1176" s="348"/>
      <c r="Z1176" s="348"/>
      <c r="AA1176" s="348"/>
    </row>
    <row r="1177" s="331" customFormat="1" ht="17" customHeight="1" spans="1:27">
      <c r="A1177" s="348"/>
      <c r="B1177" s="334" t="s">
        <v>160</v>
      </c>
      <c r="C1177" s="334" t="s">
        <v>161</v>
      </c>
      <c r="D1177" s="349" t="s">
        <v>162</v>
      </c>
      <c r="E1177" s="336">
        <v>43521</v>
      </c>
      <c r="F1177" s="336">
        <v>43521</v>
      </c>
      <c r="G1177" s="350" t="s">
        <v>69</v>
      </c>
      <c r="H1177" s="351" t="s">
        <v>144</v>
      </c>
      <c r="I1177" s="337">
        <v>18016474986</v>
      </c>
      <c r="J1177" s="367" t="s">
        <v>3371</v>
      </c>
      <c r="K1177" s="356">
        <v>3199</v>
      </c>
      <c r="L1177" s="368"/>
      <c r="M1177" s="368"/>
      <c r="N1177" s="362">
        <f t="shared" si="35"/>
        <v>0</v>
      </c>
      <c r="O1177" s="356">
        <v>1</v>
      </c>
      <c r="Q1177" s="337"/>
      <c r="R1177" s="337"/>
      <c r="S1177" s="337"/>
      <c r="T1177" s="337"/>
      <c r="U1177" s="372"/>
      <c r="V1177" s="372"/>
      <c r="W1177" s="372"/>
      <c r="X1177" s="378"/>
      <c r="Y1177" s="334"/>
      <c r="Z1177" s="334"/>
      <c r="AA1177" s="334"/>
    </row>
    <row r="1178" s="331" customFormat="1" ht="17" customHeight="1" spans="1:27">
      <c r="A1178" s="348"/>
      <c r="B1178" s="348" t="s">
        <v>66</v>
      </c>
      <c r="C1178" s="348" t="s">
        <v>67</v>
      </c>
      <c r="D1178" s="349" t="s">
        <v>68</v>
      </c>
      <c r="E1178" s="336">
        <v>43634</v>
      </c>
      <c r="F1178" s="336">
        <v>43634</v>
      </c>
      <c r="G1178" s="336">
        <v>43659</v>
      </c>
      <c r="H1178" s="334" t="s">
        <v>3372</v>
      </c>
      <c r="I1178" s="356">
        <v>13122697162</v>
      </c>
      <c r="J1178" s="361" t="s">
        <v>3373</v>
      </c>
      <c r="K1178" s="356">
        <v>1998</v>
      </c>
      <c r="L1178" s="334">
        <v>6540</v>
      </c>
      <c r="M1178" s="334"/>
      <c r="N1178" s="362">
        <f t="shared" ref="N1178:N1220" si="36">L1178+M1178</f>
        <v>6540</v>
      </c>
      <c r="O1178" s="356"/>
      <c r="Q1178" s="356"/>
      <c r="R1178" s="356"/>
      <c r="S1178" s="356"/>
      <c r="T1178" s="356"/>
      <c r="U1178" s="372"/>
      <c r="V1178" s="372"/>
      <c r="W1178" s="372"/>
      <c r="X1178" s="373"/>
      <c r="Y1178" s="348" t="s">
        <v>856</v>
      </c>
      <c r="Z1178" s="348"/>
      <c r="AA1178" s="348"/>
    </row>
    <row r="1179" s="331" customFormat="1" ht="17" customHeight="1" spans="1:27">
      <c r="A1179" s="348"/>
      <c r="B1179" s="348" t="s">
        <v>31</v>
      </c>
      <c r="C1179" s="348" t="s">
        <v>419</v>
      </c>
      <c r="D1179" s="349" t="s">
        <v>33</v>
      </c>
      <c r="E1179" s="336">
        <v>43699</v>
      </c>
      <c r="F1179" s="336">
        <v>43634</v>
      </c>
      <c r="G1179" s="336">
        <v>43698</v>
      </c>
      <c r="H1179" s="334" t="s">
        <v>3374</v>
      </c>
      <c r="I1179" s="356">
        <v>13901601575</v>
      </c>
      <c r="J1179" s="361" t="s">
        <v>3375</v>
      </c>
      <c r="K1179" s="356">
        <v>2598</v>
      </c>
      <c r="L1179" s="334">
        <v>5201</v>
      </c>
      <c r="M1179" s="362"/>
      <c r="N1179" s="362">
        <f t="shared" si="36"/>
        <v>5201</v>
      </c>
      <c r="O1179" s="366" t="s">
        <v>52</v>
      </c>
      <c r="Q1179" s="356"/>
      <c r="R1179" s="356"/>
      <c r="S1179" s="356"/>
      <c r="T1179" s="356"/>
      <c r="U1179" s="372"/>
      <c r="V1179" s="372"/>
      <c r="W1179" s="372"/>
      <c r="X1179" s="373"/>
      <c r="Y1179" s="348" t="s">
        <v>856</v>
      </c>
      <c r="Z1179" s="348"/>
      <c r="AA1179" s="348"/>
    </row>
    <row r="1180" s="331" customFormat="1" ht="17" customHeight="1" spans="1:27">
      <c r="A1180" s="348"/>
      <c r="B1180" s="348" t="s">
        <v>66</v>
      </c>
      <c r="C1180" s="348" t="s">
        <v>1749</v>
      </c>
      <c r="D1180" s="349" t="s">
        <v>68</v>
      </c>
      <c r="E1180" s="336">
        <v>43711</v>
      </c>
      <c r="F1180" s="336">
        <v>43634</v>
      </c>
      <c r="G1180" s="336">
        <v>43710</v>
      </c>
      <c r="H1180" s="334" t="s">
        <v>3376</v>
      </c>
      <c r="I1180" s="356">
        <v>18651113863</v>
      </c>
      <c r="J1180" s="361" t="s">
        <v>3377</v>
      </c>
      <c r="K1180" s="356">
        <v>1998</v>
      </c>
      <c r="L1180" s="334">
        <f>7119-1104</f>
        <v>6015</v>
      </c>
      <c r="M1180" s="334">
        <v>1104</v>
      </c>
      <c r="N1180" s="362">
        <f t="shared" si="36"/>
        <v>7119</v>
      </c>
      <c r="O1180" s="356"/>
      <c r="Q1180" s="356" t="s">
        <v>21</v>
      </c>
      <c r="R1180" s="356"/>
      <c r="S1180" s="356"/>
      <c r="T1180" s="356"/>
      <c r="U1180" s="372"/>
      <c r="V1180" s="372"/>
      <c r="W1180" s="372"/>
      <c r="X1180" s="373"/>
      <c r="Y1180" s="348" t="s">
        <v>856</v>
      </c>
      <c r="Z1180" s="348"/>
      <c r="AA1180" s="348"/>
    </row>
    <row r="1181" s="331" customFormat="1" ht="17" customHeight="1" spans="1:27">
      <c r="A1181" s="550" t="s">
        <v>3378</v>
      </c>
      <c r="B1181" s="348" t="s">
        <v>315</v>
      </c>
      <c r="C1181" s="348" t="s">
        <v>181</v>
      </c>
      <c r="D1181" s="352" t="s">
        <v>182</v>
      </c>
      <c r="E1181" s="336">
        <v>43762</v>
      </c>
      <c r="F1181" s="336">
        <v>43634</v>
      </c>
      <c r="G1181" s="336">
        <v>43761</v>
      </c>
      <c r="H1181" s="334" t="s">
        <v>3379</v>
      </c>
      <c r="I1181" s="356">
        <v>18501618499</v>
      </c>
      <c r="J1181" s="361" t="s">
        <v>3380</v>
      </c>
      <c r="K1181" s="356">
        <v>1000</v>
      </c>
      <c r="L1181" s="334">
        <v>4816</v>
      </c>
      <c r="M1181" s="362"/>
      <c r="N1181" s="362">
        <f t="shared" si="36"/>
        <v>4816</v>
      </c>
      <c r="O1181" s="356"/>
      <c r="Q1181" s="356"/>
      <c r="R1181" s="356"/>
      <c r="S1181" s="356"/>
      <c r="T1181" s="356"/>
      <c r="U1181" s="372"/>
      <c r="V1181" s="372"/>
      <c r="W1181" s="372"/>
      <c r="X1181" s="373"/>
      <c r="Y1181" s="348"/>
      <c r="Z1181" s="348"/>
      <c r="AA1181" s="348"/>
    </row>
    <row r="1182" s="331" customFormat="1" ht="17" customHeight="1" spans="1:27">
      <c r="A1182" s="550" t="s">
        <v>3381</v>
      </c>
      <c r="B1182" s="348" t="s">
        <v>359</v>
      </c>
      <c r="C1182" s="348" t="s">
        <v>3018</v>
      </c>
      <c r="D1182" s="349" t="s">
        <v>361</v>
      </c>
      <c r="E1182" s="336">
        <v>43634</v>
      </c>
      <c r="F1182" s="336">
        <v>43634</v>
      </c>
      <c r="G1182" s="336">
        <v>43648</v>
      </c>
      <c r="H1182" s="334" t="s">
        <v>3382</v>
      </c>
      <c r="I1182" s="356">
        <v>13641927622</v>
      </c>
      <c r="J1182" s="361" t="s">
        <v>3383</v>
      </c>
      <c r="K1182" s="356">
        <v>1000</v>
      </c>
      <c r="L1182" s="334">
        <v>21051</v>
      </c>
      <c r="M1182" s="362"/>
      <c r="N1182" s="362">
        <f t="shared" si="36"/>
        <v>21051</v>
      </c>
      <c r="O1182" s="356"/>
      <c r="Q1182" s="356"/>
      <c r="R1182" s="356"/>
      <c r="S1182" s="356"/>
      <c r="T1182" s="356"/>
      <c r="U1182" s="372"/>
      <c r="V1182" s="372"/>
      <c r="W1182" s="372"/>
      <c r="X1182" s="373"/>
      <c r="Y1182" s="348"/>
      <c r="Z1182" s="348"/>
      <c r="AA1182" s="348"/>
    </row>
    <row r="1183" s="331" customFormat="1" ht="17" customHeight="1" spans="1:27">
      <c r="A1183" s="348">
        <v>2068046</v>
      </c>
      <c r="B1183" s="348" t="s">
        <v>87</v>
      </c>
      <c r="C1183" s="348" t="s">
        <v>199</v>
      </c>
      <c r="D1183" s="334" t="s">
        <v>75</v>
      </c>
      <c r="E1183" s="336">
        <v>43717</v>
      </c>
      <c r="F1183" s="336">
        <v>43634</v>
      </c>
      <c r="G1183" s="336">
        <v>43717</v>
      </c>
      <c r="H1183" s="334" t="s">
        <v>3384</v>
      </c>
      <c r="I1183" s="356">
        <v>13564838128</v>
      </c>
      <c r="J1183" s="361" t="s">
        <v>3385</v>
      </c>
      <c r="K1183" s="356">
        <v>1000</v>
      </c>
      <c r="L1183" s="334">
        <v>44979</v>
      </c>
      <c r="M1183" s="362"/>
      <c r="N1183" s="362">
        <f t="shared" si="36"/>
        <v>44979</v>
      </c>
      <c r="O1183" s="356"/>
      <c r="Q1183" s="356"/>
      <c r="R1183" s="356"/>
      <c r="S1183" s="356" t="s">
        <v>52</v>
      </c>
      <c r="T1183" s="356"/>
      <c r="U1183" s="372"/>
      <c r="V1183" s="372"/>
      <c r="W1183" s="372"/>
      <c r="X1183" s="373">
        <v>1</v>
      </c>
      <c r="Y1183" s="348" t="s">
        <v>3386</v>
      </c>
      <c r="Z1183" s="348"/>
      <c r="AA1183" s="348"/>
    </row>
    <row r="1184" s="331" customFormat="1" ht="17" customHeight="1" spans="1:27">
      <c r="A1184" s="550" t="s">
        <v>3387</v>
      </c>
      <c r="B1184" s="348" t="s">
        <v>31</v>
      </c>
      <c r="C1184" s="348" t="s">
        <v>377</v>
      </c>
      <c r="D1184" s="349" t="s">
        <v>221</v>
      </c>
      <c r="E1184" s="336">
        <v>43634</v>
      </c>
      <c r="F1184" s="336">
        <v>43634</v>
      </c>
      <c r="G1184" s="350"/>
      <c r="H1184" s="334" t="s">
        <v>3388</v>
      </c>
      <c r="I1184" s="356">
        <v>13916510818</v>
      </c>
      <c r="J1184" s="361" t="s">
        <v>3389</v>
      </c>
      <c r="K1184" s="356">
        <v>1000</v>
      </c>
      <c r="L1184" s="362"/>
      <c r="M1184" s="362"/>
      <c r="N1184" s="362">
        <f t="shared" si="36"/>
        <v>0</v>
      </c>
      <c r="O1184" s="366" t="s">
        <v>52</v>
      </c>
      <c r="Q1184" s="356"/>
      <c r="R1184" s="356"/>
      <c r="S1184" s="356"/>
      <c r="T1184" s="356"/>
      <c r="U1184" s="372"/>
      <c r="V1184" s="372"/>
      <c r="W1184" s="372"/>
      <c r="X1184" s="373"/>
      <c r="Y1184" s="348"/>
      <c r="Z1184" s="348"/>
      <c r="AA1184" s="348"/>
    </row>
    <row r="1185" s="331" customFormat="1" ht="17" customHeight="1" spans="1:27">
      <c r="A1185" s="550" t="s">
        <v>3390</v>
      </c>
      <c r="B1185" s="348" t="s">
        <v>185</v>
      </c>
      <c r="C1185" s="348" t="s">
        <v>1204</v>
      </c>
      <c r="D1185" s="349" t="s">
        <v>44</v>
      </c>
      <c r="E1185" s="336">
        <v>43634</v>
      </c>
      <c r="F1185" s="336">
        <v>43632</v>
      </c>
      <c r="G1185" s="336">
        <v>43674</v>
      </c>
      <c r="H1185" s="334" t="s">
        <v>3391</v>
      </c>
      <c r="I1185" s="356">
        <v>18817395325</v>
      </c>
      <c r="J1185" s="361" t="s">
        <v>3392</v>
      </c>
      <c r="K1185" s="356">
        <v>1919</v>
      </c>
      <c r="L1185" s="334">
        <v>18461</v>
      </c>
      <c r="M1185" s="362"/>
      <c r="N1185" s="362">
        <f t="shared" si="36"/>
        <v>18461</v>
      </c>
      <c r="O1185" s="356"/>
      <c r="Q1185" s="356"/>
      <c r="R1185" s="356"/>
      <c r="S1185" s="356"/>
      <c r="T1185" s="356"/>
      <c r="U1185" s="372"/>
      <c r="V1185" s="372"/>
      <c r="W1185" s="372"/>
      <c r="X1185" s="373"/>
      <c r="Y1185" s="348" t="s">
        <v>3221</v>
      </c>
      <c r="Z1185" s="348"/>
      <c r="AA1185" s="348"/>
    </row>
    <row r="1186" s="331" customFormat="1" ht="17" customHeight="1" spans="1:27">
      <c r="A1186" s="550" t="s">
        <v>3393</v>
      </c>
      <c r="B1186" s="348" t="s">
        <v>315</v>
      </c>
      <c r="C1186" s="348" t="s">
        <v>181</v>
      </c>
      <c r="D1186" s="349" t="s">
        <v>89</v>
      </c>
      <c r="E1186" s="336">
        <v>43689</v>
      </c>
      <c r="F1186" s="336">
        <v>43632</v>
      </c>
      <c r="G1186" s="336">
        <v>43689</v>
      </c>
      <c r="H1186" s="334" t="s">
        <v>3394</v>
      </c>
      <c r="I1186" s="356">
        <v>13585878223</v>
      </c>
      <c r="J1186" s="361" t="s">
        <v>3395</v>
      </c>
      <c r="K1186" s="356">
        <v>1000</v>
      </c>
      <c r="L1186" s="334">
        <v>2462</v>
      </c>
      <c r="M1186" s="362"/>
      <c r="N1186" s="362">
        <f t="shared" si="36"/>
        <v>2462</v>
      </c>
      <c r="O1186" s="356">
        <v>1</v>
      </c>
      <c r="Q1186" s="356"/>
      <c r="R1186" s="356"/>
      <c r="S1186" s="356"/>
      <c r="T1186" s="356"/>
      <c r="U1186" s="372"/>
      <c r="V1186" s="372"/>
      <c r="W1186" s="372"/>
      <c r="X1186" s="373"/>
      <c r="Y1186" s="348"/>
      <c r="Z1186" s="348"/>
      <c r="AA1186" s="348"/>
    </row>
    <row r="1187" s="331" customFormat="1" ht="17" customHeight="1" spans="1:27">
      <c r="A1187" s="348"/>
      <c r="B1187" s="348" t="s">
        <v>281</v>
      </c>
      <c r="C1187" s="334" t="s">
        <v>517</v>
      </c>
      <c r="D1187" s="334" t="s">
        <v>518</v>
      </c>
      <c r="E1187" s="336">
        <v>43716</v>
      </c>
      <c r="F1187" s="336">
        <v>43631</v>
      </c>
      <c r="G1187" s="336">
        <v>43715</v>
      </c>
      <c r="H1187" s="334" t="s">
        <v>3396</v>
      </c>
      <c r="I1187" s="356">
        <v>13764632865</v>
      </c>
      <c r="J1187" s="361" t="s">
        <v>3397</v>
      </c>
      <c r="K1187" s="356">
        <v>1000</v>
      </c>
      <c r="L1187" s="334">
        <v>10272</v>
      </c>
      <c r="M1187" s="362"/>
      <c r="N1187" s="362">
        <f t="shared" si="36"/>
        <v>10272</v>
      </c>
      <c r="O1187" s="356"/>
      <c r="Q1187" s="356" t="s">
        <v>52</v>
      </c>
      <c r="R1187" s="356"/>
      <c r="S1187" s="356"/>
      <c r="T1187" s="356"/>
      <c r="U1187" s="372"/>
      <c r="V1187" s="372"/>
      <c r="W1187" s="372"/>
      <c r="X1187" s="373"/>
      <c r="Y1187" s="348" t="s">
        <v>501</v>
      </c>
      <c r="Z1187" s="348"/>
      <c r="AA1187" s="348"/>
    </row>
    <row r="1188" s="331" customFormat="1" ht="17" customHeight="1" spans="1:27">
      <c r="A1188" s="348"/>
      <c r="B1188" s="348" t="s">
        <v>281</v>
      </c>
      <c r="C1188" s="334" t="s">
        <v>491</v>
      </c>
      <c r="D1188" s="349" t="s">
        <v>518</v>
      </c>
      <c r="E1188" s="336">
        <v>43635</v>
      </c>
      <c r="F1188" s="336">
        <v>43631</v>
      </c>
      <c r="G1188" s="336">
        <v>43652</v>
      </c>
      <c r="H1188" s="334" t="s">
        <v>3398</v>
      </c>
      <c r="I1188" s="356">
        <v>13916135588</v>
      </c>
      <c r="J1188" s="361" t="s">
        <v>3399</v>
      </c>
      <c r="K1188" s="356">
        <v>1000</v>
      </c>
      <c r="L1188" s="334">
        <v>11287</v>
      </c>
      <c r="M1188" s="334"/>
      <c r="N1188" s="362">
        <f t="shared" si="36"/>
        <v>11287</v>
      </c>
      <c r="O1188" s="356"/>
      <c r="Q1188" s="356"/>
      <c r="R1188" s="356"/>
      <c r="S1188" s="356"/>
      <c r="T1188" s="356"/>
      <c r="U1188" s="372"/>
      <c r="V1188" s="372"/>
      <c r="W1188" s="372"/>
      <c r="X1188" s="373"/>
      <c r="Y1188" s="348" t="s">
        <v>501</v>
      </c>
      <c r="Z1188" s="348"/>
      <c r="AA1188" s="348"/>
    </row>
    <row r="1189" s="331" customFormat="1" ht="17" customHeight="1" spans="1:27">
      <c r="A1189" s="348"/>
      <c r="B1189" s="348" t="s">
        <v>281</v>
      </c>
      <c r="C1189" s="334" t="s">
        <v>491</v>
      </c>
      <c r="D1189" s="334" t="s">
        <v>518</v>
      </c>
      <c r="E1189" s="336">
        <v>43707</v>
      </c>
      <c r="F1189" s="336">
        <v>43631</v>
      </c>
      <c r="G1189" s="336">
        <v>43706</v>
      </c>
      <c r="H1189" s="334" t="s">
        <v>3400</v>
      </c>
      <c r="I1189" s="356">
        <v>13764370435</v>
      </c>
      <c r="J1189" s="367" t="s">
        <v>3401</v>
      </c>
      <c r="K1189" s="356">
        <v>1000</v>
      </c>
      <c r="L1189" s="334">
        <v>13755</v>
      </c>
      <c r="M1189" s="362"/>
      <c r="N1189" s="362">
        <f t="shared" si="36"/>
        <v>13755</v>
      </c>
      <c r="O1189" s="356" t="s">
        <v>52</v>
      </c>
      <c r="Q1189" s="356"/>
      <c r="R1189" s="356"/>
      <c r="S1189" s="356"/>
      <c r="T1189" s="356"/>
      <c r="U1189" s="372"/>
      <c r="V1189" s="372"/>
      <c r="W1189" s="372"/>
      <c r="X1189" s="373"/>
      <c r="Y1189" s="348" t="s">
        <v>501</v>
      </c>
      <c r="Z1189" s="348"/>
      <c r="AA1189" s="348"/>
    </row>
    <row r="1190" s="331" customFormat="1" ht="17" customHeight="1" spans="1:27">
      <c r="A1190" s="348"/>
      <c r="B1190" s="348" t="s">
        <v>281</v>
      </c>
      <c r="C1190" s="348" t="s">
        <v>498</v>
      </c>
      <c r="D1190" s="352" t="s">
        <v>49</v>
      </c>
      <c r="E1190" s="336">
        <v>43635</v>
      </c>
      <c r="F1190" s="336">
        <v>43631</v>
      </c>
      <c r="G1190" s="350"/>
      <c r="H1190" s="334" t="s">
        <v>3402</v>
      </c>
      <c r="I1190" s="356">
        <v>13817353405</v>
      </c>
      <c r="J1190" s="361" t="s">
        <v>3403</v>
      </c>
      <c r="K1190" s="356">
        <v>1000</v>
      </c>
      <c r="L1190" s="362"/>
      <c r="M1190" s="362"/>
      <c r="N1190" s="362">
        <f t="shared" si="36"/>
        <v>0</v>
      </c>
      <c r="O1190" s="356" t="s">
        <v>52</v>
      </c>
      <c r="Q1190" s="356"/>
      <c r="R1190" s="356"/>
      <c r="S1190" s="356"/>
      <c r="T1190" s="356"/>
      <c r="U1190" s="407" t="s">
        <v>12</v>
      </c>
      <c r="V1190" s="372"/>
      <c r="W1190" s="372"/>
      <c r="X1190" s="373"/>
      <c r="Y1190" s="348" t="s">
        <v>501</v>
      </c>
      <c r="Z1190" s="348"/>
      <c r="AA1190" s="348"/>
    </row>
    <row r="1191" s="331" customFormat="1" ht="17" customHeight="1" spans="1:27">
      <c r="A1191" s="348"/>
      <c r="B1191" s="348" t="s">
        <v>281</v>
      </c>
      <c r="C1191" s="334" t="s">
        <v>491</v>
      </c>
      <c r="D1191" s="334" t="s">
        <v>518</v>
      </c>
      <c r="E1191" s="336">
        <v>43759</v>
      </c>
      <c r="F1191" s="336">
        <v>43631</v>
      </c>
      <c r="G1191" s="336">
        <v>43746</v>
      </c>
      <c r="H1191" s="334" t="s">
        <v>3404</v>
      </c>
      <c r="I1191" s="356">
        <v>13524813686</v>
      </c>
      <c r="J1191" s="361" t="s">
        <v>3405</v>
      </c>
      <c r="K1191" s="356">
        <v>1000</v>
      </c>
      <c r="L1191" s="334">
        <v>15790</v>
      </c>
      <c r="M1191" s="362"/>
      <c r="N1191" s="362">
        <f t="shared" si="36"/>
        <v>15790</v>
      </c>
      <c r="O1191" s="356"/>
      <c r="P1191" s="356" t="s">
        <v>52</v>
      </c>
      <c r="Q1191" s="356"/>
      <c r="R1191" s="356"/>
      <c r="S1191" s="356"/>
      <c r="T1191" s="356"/>
      <c r="U1191" s="372"/>
      <c r="V1191" s="372"/>
      <c r="W1191" s="372"/>
      <c r="X1191" s="373"/>
      <c r="Y1191" s="348" t="s">
        <v>501</v>
      </c>
      <c r="Z1191" s="348"/>
      <c r="AA1191" s="348"/>
    </row>
    <row r="1192" s="331" customFormat="1" ht="17" customHeight="1" spans="1:27">
      <c r="A1192" s="348">
        <v>2025537</v>
      </c>
      <c r="B1192" s="348" t="s">
        <v>335</v>
      </c>
      <c r="C1192" s="348" t="s">
        <v>615</v>
      </c>
      <c r="D1192" s="349" t="s">
        <v>337</v>
      </c>
      <c r="E1192" s="336">
        <v>43621</v>
      </c>
      <c r="F1192" s="336">
        <v>43620</v>
      </c>
      <c r="G1192" s="350"/>
      <c r="H1192" s="334" t="s">
        <v>3406</v>
      </c>
      <c r="I1192" s="356">
        <v>18017005855</v>
      </c>
      <c r="J1192" s="361" t="s">
        <v>3407</v>
      </c>
      <c r="K1192" s="356">
        <v>1500</v>
      </c>
      <c r="L1192" s="362"/>
      <c r="M1192" s="362"/>
      <c r="N1192" s="362">
        <f t="shared" si="36"/>
        <v>0</v>
      </c>
      <c r="O1192" s="356"/>
      <c r="Q1192" s="356"/>
      <c r="R1192" s="356"/>
      <c r="S1192" s="356"/>
      <c r="T1192" s="356"/>
      <c r="U1192" s="372" t="s">
        <v>3408</v>
      </c>
      <c r="V1192" s="372"/>
      <c r="W1192" s="372"/>
      <c r="X1192" s="373"/>
      <c r="Y1192" s="348"/>
      <c r="Z1192" s="348"/>
      <c r="AA1192" s="348"/>
    </row>
    <row r="1193" s="331" customFormat="1" ht="17" customHeight="1" spans="1:27">
      <c r="A1193" s="348"/>
      <c r="B1193" s="348" t="s">
        <v>281</v>
      </c>
      <c r="C1193" s="348" t="s">
        <v>517</v>
      </c>
      <c r="D1193" s="349" t="s">
        <v>518</v>
      </c>
      <c r="E1193" s="336">
        <v>43635</v>
      </c>
      <c r="F1193" s="336">
        <v>43631</v>
      </c>
      <c r="G1193" s="336">
        <v>43660</v>
      </c>
      <c r="H1193" s="334" t="s">
        <v>3409</v>
      </c>
      <c r="I1193" s="356">
        <v>18918267368</v>
      </c>
      <c r="J1193" s="361" t="s">
        <v>3410</v>
      </c>
      <c r="K1193" s="356">
        <v>1000</v>
      </c>
      <c r="L1193" s="334">
        <v>4755</v>
      </c>
      <c r="M1193" s="334"/>
      <c r="N1193" s="362">
        <f t="shared" si="36"/>
        <v>4755</v>
      </c>
      <c r="O1193" s="356"/>
      <c r="Q1193" s="356"/>
      <c r="R1193" s="356"/>
      <c r="S1193" s="356"/>
      <c r="T1193" s="356"/>
      <c r="U1193" s="372"/>
      <c r="V1193" s="372"/>
      <c r="W1193" s="372"/>
      <c r="X1193" s="373"/>
      <c r="Y1193" s="348" t="s">
        <v>501</v>
      </c>
      <c r="Z1193" s="348"/>
      <c r="AA1193" s="348"/>
    </row>
    <row r="1194" s="331" customFormat="1" ht="17" customHeight="1" spans="1:27">
      <c r="A1194" s="348">
        <v>2025538</v>
      </c>
      <c r="B1194" s="348" t="s">
        <v>335</v>
      </c>
      <c r="C1194" s="348" t="s">
        <v>615</v>
      </c>
      <c r="D1194" s="349" t="s">
        <v>337</v>
      </c>
      <c r="E1194" s="336">
        <v>43621</v>
      </c>
      <c r="F1194" s="336">
        <v>43620</v>
      </c>
      <c r="G1194" s="350"/>
      <c r="H1194" s="334" t="s">
        <v>3406</v>
      </c>
      <c r="I1194" s="356">
        <v>18017005855</v>
      </c>
      <c r="J1194" s="361" t="s">
        <v>3411</v>
      </c>
      <c r="K1194" s="356">
        <v>1500</v>
      </c>
      <c r="L1194" s="362"/>
      <c r="M1194" s="362"/>
      <c r="N1194" s="362">
        <f t="shared" si="36"/>
        <v>0</v>
      </c>
      <c r="O1194" s="356"/>
      <c r="Q1194" s="356"/>
      <c r="R1194" s="356"/>
      <c r="S1194" s="356"/>
      <c r="T1194" s="356"/>
      <c r="U1194" s="372" t="s">
        <v>3408</v>
      </c>
      <c r="V1194" s="372"/>
      <c r="W1194" s="372"/>
      <c r="X1194" s="373"/>
      <c r="Y1194" s="348"/>
      <c r="Z1194" s="348"/>
      <c r="AA1194" s="348"/>
    </row>
    <row r="1195" s="331" customFormat="1" ht="17" customHeight="1" spans="1:27">
      <c r="A1195" s="348"/>
      <c r="B1195" s="348" t="s">
        <v>281</v>
      </c>
      <c r="C1195" s="348" t="s">
        <v>491</v>
      </c>
      <c r="D1195" s="349" t="s">
        <v>143</v>
      </c>
      <c r="E1195" s="336" t="s">
        <v>1627</v>
      </c>
      <c r="F1195" s="336">
        <v>43604</v>
      </c>
      <c r="G1195" s="336">
        <v>43651</v>
      </c>
      <c r="H1195" s="334" t="s">
        <v>3412</v>
      </c>
      <c r="I1195" s="356">
        <v>18017113588</v>
      </c>
      <c r="J1195" s="361" t="s">
        <v>3413</v>
      </c>
      <c r="K1195" s="356">
        <v>30000</v>
      </c>
      <c r="L1195" s="334">
        <v>123080</v>
      </c>
      <c r="M1195" s="334">
        <v>420</v>
      </c>
      <c r="N1195" s="362">
        <f t="shared" si="36"/>
        <v>123500</v>
      </c>
      <c r="O1195" s="356"/>
      <c r="Q1195" s="356"/>
      <c r="R1195" s="356"/>
      <c r="S1195" s="356"/>
      <c r="T1195" s="356"/>
      <c r="U1195" s="372"/>
      <c r="V1195" s="372"/>
      <c r="W1195" s="372"/>
      <c r="X1195" s="373"/>
      <c r="Y1195" s="348"/>
      <c r="Z1195" s="348"/>
      <c r="AA1195" s="348"/>
    </row>
    <row r="1196" s="331" customFormat="1" ht="17" customHeight="1" spans="1:27">
      <c r="A1196" s="348">
        <v>2022709</v>
      </c>
      <c r="B1196" s="348" t="s">
        <v>354</v>
      </c>
      <c r="C1196" s="334" t="s">
        <v>355</v>
      </c>
      <c r="D1196" s="349" t="s">
        <v>149</v>
      </c>
      <c r="E1196" s="336">
        <v>43549</v>
      </c>
      <c r="F1196" s="336">
        <v>43548</v>
      </c>
      <c r="G1196" s="336">
        <v>43672</v>
      </c>
      <c r="H1196" s="334" t="s">
        <v>3414</v>
      </c>
      <c r="I1196" s="356">
        <v>18017354954</v>
      </c>
      <c r="J1196" s="361" t="s">
        <v>3415</v>
      </c>
      <c r="K1196" s="356">
        <f>7049+1000</f>
        <v>8049</v>
      </c>
      <c r="L1196" s="334">
        <v>8794</v>
      </c>
      <c r="M1196" s="362"/>
      <c r="N1196" s="362">
        <f t="shared" si="36"/>
        <v>8794</v>
      </c>
      <c r="O1196" s="356"/>
      <c r="Q1196" s="356"/>
      <c r="R1196" s="356"/>
      <c r="S1196" s="356"/>
      <c r="T1196" s="356"/>
      <c r="U1196" s="372"/>
      <c r="V1196" s="372"/>
      <c r="W1196" s="372"/>
      <c r="X1196" s="373"/>
      <c r="Y1196" s="348"/>
      <c r="Z1196" s="348"/>
      <c r="AA1196" s="348"/>
    </row>
    <row r="1197" s="331" customFormat="1" ht="17" customHeight="1" spans="1:27">
      <c r="A1197" s="348"/>
      <c r="B1197" s="348" t="s">
        <v>281</v>
      </c>
      <c r="C1197" s="348" t="s">
        <v>498</v>
      </c>
      <c r="D1197" s="352" t="s">
        <v>49</v>
      </c>
      <c r="E1197" s="336">
        <v>43635</v>
      </c>
      <c r="F1197" s="336">
        <v>43631</v>
      </c>
      <c r="G1197" s="350"/>
      <c r="H1197" s="334" t="s">
        <v>3416</v>
      </c>
      <c r="I1197" s="356">
        <v>13311831396</v>
      </c>
      <c r="J1197" s="361" t="s">
        <v>3417</v>
      </c>
      <c r="K1197" s="356">
        <v>1000</v>
      </c>
      <c r="L1197" s="362"/>
      <c r="M1197" s="362"/>
      <c r="N1197" s="362">
        <f t="shared" si="36"/>
        <v>0</v>
      </c>
      <c r="O1197" s="356"/>
      <c r="Q1197" s="356"/>
      <c r="R1197" s="356" t="s">
        <v>52</v>
      </c>
      <c r="S1197" s="356"/>
      <c r="T1197" s="356"/>
      <c r="U1197" s="407" t="s">
        <v>12</v>
      </c>
      <c r="V1197" s="372"/>
      <c r="W1197" s="372"/>
      <c r="X1197" s="373"/>
      <c r="Y1197" s="348" t="s">
        <v>501</v>
      </c>
      <c r="Z1197" s="348"/>
      <c r="AA1197" s="348"/>
    </row>
    <row r="1198" s="331" customFormat="1" ht="17" customHeight="1" spans="1:27">
      <c r="A1198" s="348"/>
      <c r="B1198" s="348" t="s">
        <v>281</v>
      </c>
      <c r="C1198" s="348" t="s">
        <v>498</v>
      </c>
      <c r="D1198" s="352" t="s">
        <v>49</v>
      </c>
      <c r="E1198" s="336">
        <v>43635</v>
      </c>
      <c r="F1198" s="336">
        <v>43631</v>
      </c>
      <c r="G1198" s="350" t="s">
        <v>3418</v>
      </c>
      <c r="H1198" s="334" t="s">
        <v>84</v>
      </c>
      <c r="I1198" s="356">
        <v>15921100333</v>
      </c>
      <c r="J1198" s="361" t="s">
        <v>3419</v>
      </c>
      <c r="K1198" s="356">
        <v>1000</v>
      </c>
      <c r="L1198" s="362"/>
      <c r="M1198" s="362"/>
      <c r="N1198" s="362">
        <f t="shared" si="36"/>
        <v>0</v>
      </c>
      <c r="O1198" s="356"/>
      <c r="Q1198" s="356"/>
      <c r="R1198" s="356" t="s">
        <v>52</v>
      </c>
      <c r="S1198" s="356"/>
      <c r="T1198" s="356"/>
      <c r="U1198" s="372"/>
      <c r="V1198" s="372"/>
      <c r="W1198" s="372"/>
      <c r="X1198" s="373"/>
      <c r="Y1198" s="348" t="s">
        <v>501</v>
      </c>
      <c r="Z1198" s="348"/>
      <c r="AA1198" s="348"/>
    </row>
    <row r="1199" s="331" customFormat="1" ht="17" customHeight="1" spans="1:27">
      <c r="A1199" s="348"/>
      <c r="B1199" s="348" t="s">
        <v>281</v>
      </c>
      <c r="C1199" s="348" t="s">
        <v>498</v>
      </c>
      <c r="D1199" s="352" t="s">
        <v>49</v>
      </c>
      <c r="E1199" s="336">
        <v>43635</v>
      </c>
      <c r="F1199" s="336">
        <v>43631</v>
      </c>
      <c r="G1199" s="372" t="s">
        <v>231</v>
      </c>
      <c r="H1199" s="334" t="s">
        <v>3420</v>
      </c>
      <c r="I1199" s="356">
        <v>13917142215</v>
      </c>
      <c r="J1199" s="361" t="s">
        <v>3421</v>
      </c>
      <c r="K1199" s="356">
        <v>1000</v>
      </c>
      <c r="L1199" s="362"/>
      <c r="M1199" s="362"/>
      <c r="N1199" s="362">
        <f t="shared" si="36"/>
        <v>0</v>
      </c>
      <c r="O1199" s="356"/>
      <c r="P1199" s="356" t="s">
        <v>52</v>
      </c>
      <c r="Q1199" s="356"/>
      <c r="R1199" s="356"/>
      <c r="S1199" s="356"/>
      <c r="T1199" s="356"/>
      <c r="U1199" s="372"/>
      <c r="V1199" s="372"/>
      <c r="W1199" s="372"/>
      <c r="X1199" s="373"/>
      <c r="Y1199" s="348" t="s">
        <v>501</v>
      </c>
      <c r="Z1199" s="348"/>
      <c r="AA1199" s="348"/>
    </row>
    <row r="1200" s="331" customFormat="1" ht="17" customHeight="1" spans="1:27">
      <c r="A1200" s="348"/>
      <c r="B1200" s="348" t="s">
        <v>281</v>
      </c>
      <c r="C1200" s="348" t="s">
        <v>498</v>
      </c>
      <c r="D1200" s="352" t="s">
        <v>49</v>
      </c>
      <c r="E1200" s="336">
        <v>43635</v>
      </c>
      <c r="F1200" s="336">
        <v>43631</v>
      </c>
      <c r="G1200" s="350"/>
      <c r="H1200" s="334" t="s">
        <v>3422</v>
      </c>
      <c r="I1200" s="356">
        <v>13501997882</v>
      </c>
      <c r="J1200" s="361" t="s">
        <v>3423</v>
      </c>
      <c r="K1200" s="356">
        <v>1000</v>
      </c>
      <c r="L1200" s="362"/>
      <c r="M1200" s="362"/>
      <c r="N1200" s="362">
        <f t="shared" si="36"/>
        <v>0</v>
      </c>
      <c r="O1200" s="356"/>
      <c r="Q1200" s="356"/>
      <c r="R1200" s="356"/>
      <c r="S1200" s="356"/>
      <c r="T1200" s="356"/>
      <c r="U1200" s="379">
        <v>6.22</v>
      </c>
      <c r="V1200" s="372"/>
      <c r="W1200" s="372"/>
      <c r="X1200" s="373"/>
      <c r="Y1200" s="348" t="s">
        <v>501</v>
      </c>
      <c r="Z1200" s="348"/>
      <c r="AA1200" s="348"/>
    </row>
    <row r="1201" s="331" customFormat="1" ht="17" customHeight="1" spans="1:27">
      <c r="A1201" s="550" t="s">
        <v>3424</v>
      </c>
      <c r="B1201" s="348" t="s">
        <v>35</v>
      </c>
      <c r="C1201" s="348" t="s">
        <v>328</v>
      </c>
      <c r="D1201" s="349" t="s">
        <v>37</v>
      </c>
      <c r="E1201" s="336">
        <v>43589</v>
      </c>
      <c r="F1201" s="336">
        <v>43588</v>
      </c>
      <c r="G1201" s="350" t="s">
        <v>69</v>
      </c>
      <c r="H1201" s="334" t="s">
        <v>3425</v>
      </c>
      <c r="I1201" s="356">
        <v>18017699322</v>
      </c>
      <c r="J1201" s="361" t="s">
        <v>3426</v>
      </c>
      <c r="K1201" s="356">
        <f>10000+3000+1000</f>
        <v>14000</v>
      </c>
      <c r="L1201" s="362"/>
      <c r="M1201" s="362"/>
      <c r="N1201" s="362">
        <f t="shared" si="36"/>
        <v>0</v>
      </c>
      <c r="O1201" s="356"/>
      <c r="Q1201" s="356"/>
      <c r="R1201" s="356"/>
      <c r="S1201" s="356" t="s">
        <v>52</v>
      </c>
      <c r="T1201" s="356"/>
      <c r="U1201" s="372"/>
      <c r="V1201" s="372"/>
      <c r="W1201" s="372"/>
      <c r="X1201" s="373"/>
      <c r="Y1201" s="348" t="s">
        <v>1508</v>
      </c>
      <c r="Z1201" s="348"/>
      <c r="AA1201" s="348"/>
    </row>
    <row r="1202" s="331" customFormat="1" ht="17" customHeight="1" spans="1:27">
      <c r="A1202" s="348"/>
      <c r="B1202" s="348" t="s">
        <v>281</v>
      </c>
      <c r="C1202" s="348" t="s">
        <v>498</v>
      </c>
      <c r="D1202" s="352" t="s">
        <v>49</v>
      </c>
      <c r="E1202" s="336">
        <v>43635</v>
      </c>
      <c r="F1202" s="336">
        <v>43631</v>
      </c>
      <c r="G1202" s="372" t="s">
        <v>231</v>
      </c>
      <c r="H1202" s="334" t="s">
        <v>3427</v>
      </c>
      <c r="I1202" s="356">
        <v>13917826483</v>
      </c>
      <c r="J1202" s="361" t="s">
        <v>3428</v>
      </c>
      <c r="K1202" s="356">
        <v>1000</v>
      </c>
      <c r="L1202" s="362"/>
      <c r="M1202" s="362"/>
      <c r="N1202" s="362">
        <f t="shared" si="36"/>
        <v>0</v>
      </c>
      <c r="O1202" s="356" t="s">
        <v>52</v>
      </c>
      <c r="Q1202" s="356"/>
      <c r="R1202" s="356"/>
      <c r="S1202" s="356"/>
      <c r="T1202" s="356"/>
      <c r="U1202" s="372"/>
      <c r="V1202" s="372"/>
      <c r="W1202" s="372"/>
      <c r="X1202" s="373"/>
      <c r="Y1202" s="348" t="s">
        <v>501</v>
      </c>
      <c r="Z1202" s="348"/>
      <c r="AA1202" s="348"/>
    </row>
    <row r="1203" s="331" customFormat="1" ht="17" customHeight="1" spans="1:27">
      <c r="A1203" s="348"/>
      <c r="B1203" s="348" t="s">
        <v>281</v>
      </c>
      <c r="C1203" s="348" t="s">
        <v>498</v>
      </c>
      <c r="D1203" s="352" t="s">
        <v>49</v>
      </c>
      <c r="E1203" s="336">
        <v>43635</v>
      </c>
      <c r="F1203" s="336">
        <v>43631</v>
      </c>
      <c r="G1203" s="362" t="s">
        <v>499</v>
      </c>
      <c r="H1203" s="334" t="s">
        <v>3429</v>
      </c>
      <c r="I1203" s="356">
        <v>18016378902</v>
      </c>
      <c r="J1203" s="361" t="s">
        <v>3430</v>
      </c>
      <c r="K1203" s="356">
        <v>1000</v>
      </c>
      <c r="L1203" s="362"/>
      <c r="M1203" s="362"/>
      <c r="N1203" s="362">
        <f t="shared" si="36"/>
        <v>0</v>
      </c>
      <c r="O1203" s="356"/>
      <c r="Q1203" s="356"/>
      <c r="R1203" s="356"/>
      <c r="S1203" s="356"/>
      <c r="T1203" s="356" t="s">
        <v>52</v>
      </c>
      <c r="U1203" s="372"/>
      <c r="V1203" s="372"/>
      <c r="W1203" s="372"/>
      <c r="X1203" s="373"/>
      <c r="Y1203" s="348" t="s">
        <v>501</v>
      </c>
      <c r="Z1203" s="348"/>
      <c r="AA1203" s="348"/>
    </row>
    <row r="1204" s="331" customFormat="1" ht="17" customHeight="1" spans="1:27">
      <c r="A1204" s="348"/>
      <c r="B1204" s="348" t="s">
        <v>281</v>
      </c>
      <c r="C1204" s="348" t="s">
        <v>498</v>
      </c>
      <c r="D1204" s="352" t="s">
        <v>49</v>
      </c>
      <c r="E1204" s="336">
        <v>43635</v>
      </c>
      <c r="F1204" s="336">
        <v>43631</v>
      </c>
      <c r="G1204" s="372" t="s">
        <v>231</v>
      </c>
      <c r="H1204" s="334" t="s">
        <v>3431</v>
      </c>
      <c r="I1204" s="356">
        <v>18201983427</v>
      </c>
      <c r="J1204" s="361" t="s">
        <v>3432</v>
      </c>
      <c r="K1204" s="356">
        <v>1000</v>
      </c>
      <c r="L1204" s="362"/>
      <c r="M1204" s="362"/>
      <c r="N1204" s="362">
        <f t="shared" si="36"/>
        <v>0</v>
      </c>
      <c r="O1204" s="356"/>
      <c r="P1204" s="356" t="s">
        <v>52</v>
      </c>
      <c r="Q1204" s="356"/>
      <c r="R1204" s="356"/>
      <c r="S1204" s="356"/>
      <c r="T1204" s="356"/>
      <c r="U1204" s="372"/>
      <c r="V1204" s="372"/>
      <c r="W1204" s="372"/>
      <c r="X1204" s="373"/>
      <c r="Y1204" s="348" t="s">
        <v>501</v>
      </c>
      <c r="Z1204" s="348"/>
      <c r="AA1204" s="348"/>
    </row>
    <row r="1205" s="331" customFormat="1" ht="17" customHeight="1" spans="1:27">
      <c r="A1205" s="348"/>
      <c r="B1205" s="348" t="s">
        <v>281</v>
      </c>
      <c r="C1205" s="334" t="s">
        <v>587</v>
      </c>
      <c r="D1205" s="349" t="s">
        <v>518</v>
      </c>
      <c r="E1205" s="336">
        <v>43635</v>
      </c>
      <c r="F1205" s="336">
        <v>43631</v>
      </c>
      <c r="G1205" s="336">
        <v>43660</v>
      </c>
      <c r="H1205" s="334" t="s">
        <v>3433</v>
      </c>
      <c r="I1205" s="356">
        <v>18616265166</v>
      </c>
      <c r="J1205" s="361" t="s">
        <v>3434</v>
      </c>
      <c r="K1205" s="356">
        <v>1000</v>
      </c>
      <c r="L1205" s="334">
        <v>7728</v>
      </c>
      <c r="M1205" s="334"/>
      <c r="N1205" s="362">
        <f t="shared" si="36"/>
        <v>7728</v>
      </c>
      <c r="O1205" s="356"/>
      <c r="Q1205" s="356"/>
      <c r="R1205" s="356"/>
      <c r="S1205" s="356"/>
      <c r="T1205" s="356"/>
      <c r="U1205" s="372"/>
      <c r="V1205" s="372"/>
      <c r="W1205" s="372"/>
      <c r="X1205" s="373"/>
      <c r="Y1205" s="348" t="s">
        <v>501</v>
      </c>
      <c r="Z1205" s="348"/>
      <c r="AA1205" s="348"/>
    </row>
    <row r="1206" s="331" customFormat="1" ht="17" customHeight="1" spans="1:27">
      <c r="A1206" s="348"/>
      <c r="B1206" s="348" t="s">
        <v>281</v>
      </c>
      <c r="C1206" s="348" t="s">
        <v>498</v>
      </c>
      <c r="D1206" s="352" t="s">
        <v>49</v>
      </c>
      <c r="E1206" s="336">
        <v>43635</v>
      </c>
      <c r="F1206" s="336">
        <v>43631</v>
      </c>
      <c r="G1206" s="350"/>
      <c r="H1206" s="334" t="s">
        <v>3435</v>
      </c>
      <c r="I1206" s="356">
        <v>18017820333</v>
      </c>
      <c r="J1206" s="361" t="s">
        <v>3436</v>
      </c>
      <c r="K1206" s="356">
        <v>1000</v>
      </c>
      <c r="L1206" s="362"/>
      <c r="M1206" s="362"/>
      <c r="N1206" s="362">
        <f t="shared" si="36"/>
        <v>0</v>
      </c>
      <c r="O1206" s="356"/>
      <c r="P1206" s="356" t="s">
        <v>52</v>
      </c>
      <c r="Q1206" s="356"/>
      <c r="R1206" s="356"/>
      <c r="S1206" s="356"/>
      <c r="T1206" s="356"/>
      <c r="U1206" s="407" t="s">
        <v>12</v>
      </c>
      <c r="V1206" s="372"/>
      <c r="W1206" s="372"/>
      <c r="X1206" s="373"/>
      <c r="Y1206" s="348" t="s">
        <v>501</v>
      </c>
      <c r="Z1206" s="348"/>
      <c r="AA1206" s="348"/>
    </row>
    <row r="1207" s="331" customFormat="1" ht="17" customHeight="1" spans="1:27">
      <c r="A1207" s="348"/>
      <c r="B1207" s="348" t="s">
        <v>281</v>
      </c>
      <c r="C1207" s="334" t="s">
        <v>517</v>
      </c>
      <c r="D1207" s="334" t="s">
        <v>518</v>
      </c>
      <c r="E1207" s="336">
        <v>43795</v>
      </c>
      <c r="F1207" s="336">
        <v>43631</v>
      </c>
      <c r="G1207" s="336">
        <v>43795</v>
      </c>
      <c r="H1207" s="334" t="s">
        <v>3437</v>
      </c>
      <c r="I1207" s="356">
        <v>15800825100</v>
      </c>
      <c r="J1207" s="361" t="s">
        <v>3438</v>
      </c>
      <c r="K1207" s="356">
        <v>1000</v>
      </c>
      <c r="L1207" s="334">
        <v>5334</v>
      </c>
      <c r="M1207" s="362"/>
      <c r="N1207" s="362">
        <f t="shared" si="36"/>
        <v>5334</v>
      </c>
      <c r="O1207" s="356"/>
      <c r="Q1207" s="356" t="s">
        <v>52</v>
      </c>
      <c r="R1207" s="356"/>
      <c r="S1207" s="356"/>
      <c r="T1207" s="356"/>
      <c r="U1207" s="372"/>
      <c r="V1207" s="372"/>
      <c r="W1207" s="372"/>
      <c r="X1207" s="373"/>
      <c r="Y1207" s="348" t="s">
        <v>501</v>
      </c>
      <c r="Z1207" s="348"/>
      <c r="AA1207" s="348"/>
    </row>
    <row r="1208" s="331" customFormat="1" ht="17" customHeight="1" spans="1:28">
      <c r="A1208" s="550" t="s">
        <v>3439</v>
      </c>
      <c r="B1208" s="348" t="s">
        <v>123</v>
      </c>
      <c r="C1208" s="348" t="s">
        <v>124</v>
      </c>
      <c r="D1208" s="349" t="s">
        <v>125</v>
      </c>
      <c r="E1208" s="336">
        <v>43694</v>
      </c>
      <c r="F1208" s="336">
        <v>43623</v>
      </c>
      <c r="G1208" s="336">
        <v>43694</v>
      </c>
      <c r="H1208" s="334" t="s">
        <v>3440</v>
      </c>
      <c r="I1208" s="356">
        <v>18018503263</v>
      </c>
      <c r="J1208" s="361" t="s">
        <v>3441</v>
      </c>
      <c r="K1208" s="356">
        <v>1000</v>
      </c>
      <c r="L1208" s="334">
        <v>13571</v>
      </c>
      <c r="M1208" s="362"/>
      <c r="N1208" s="362">
        <f t="shared" si="36"/>
        <v>13571</v>
      </c>
      <c r="O1208" s="356"/>
      <c r="Q1208" s="356"/>
      <c r="R1208" s="356" t="s">
        <v>52</v>
      </c>
      <c r="S1208" s="356"/>
      <c r="T1208" s="356"/>
      <c r="U1208" s="372"/>
      <c r="V1208" s="374">
        <v>43692</v>
      </c>
      <c r="W1208" s="372"/>
      <c r="X1208" s="373"/>
      <c r="Y1208" s="348"/>
      <c r="Z1208" s="348"/>
      <c r="AA1208" s="348"/>
      <c r="AB1208" s="331" t="s">
        <v>659</v>
      </c>
    </row>
    <row r="1209" s="331" customFormat="1" ht="17" customHeight="1" spans="1:27">
      <c r="A1209" s="348">
        <v>2066912</v>
      </c>
      <c r="B1209" s="348" t="s">
        <v>185</v>
      </c>
      <c r="C1209" s="348" t="s">
        <v>1204</v>
      </c>
      <c r="D1209" s="349" t="s">
        <v>44</v>
      </c>
      <c r="E1209" s="336">
        <v>43610</v>
      </c>
      <c r="F1209" s="336">
        <v>43608</v>
      </c>
      <c r="G1209" s="350" t="s">
        <v>231</v>
      </c>
      <c r="H1209" s="334" t="s">
        <v>3440</v>
      </c>
      <c r="I1209" s="356">
        <v>18018503884</v>
      </c>
      <c r="J1209" s="361" t="s">
        <v>3442</v>
      </c>
      <c r="K1209" s="356">
        <v>500</v>
      </c>
      <c r="L1209" s="362"/>
      <c r="M1209" s="362"/>
      <c r="N1209" s="362">
        <f t="shared" si="36"/>
        <v>0</v>
      </c>
      <c r="O1209" s="356"/>
      <c r="Q1209" s="356" t="s">
        <v>52</v>
      </c>
      <c r="R1209" s="356"/>
      <c r="S1209" s="356"/>
      <c r="T1209" s="356"/>
      <c r="U1209" s="372"/>
      <c r="V1209" s="372"/>
      <c r="W1209" s="372"/>
      <c r="X1209" s="373"/>
      <c r="Y1209" s="348" t="s">
        <v>2149</v>
      </c>
      <c r="Z1209" s="348"/>
      <c r="AA1209" s="348"/>
    </row>
    <row r="1210" s="331" customFormat="1" ht="17" customHeight="1" spans="1:27">
      <c r="A1210" s="348"/>
      <c r="B1210" s="348" t="s">
        <v>281</v>
      </c>
      <c r="C1210" s="348" t="s">
        <v>498</v>
      </c>
      <c r="D1210" s="352" t="s">
        <v>49</v>
      </c>
      <c r="E1210" s="336">
        <v>43635</v>
      </c>
      <c r="F1210" s="336">
        <v>43631</v>
      </c>
      <c r="G1210" s="350"/>
      <c r="H1210" s="334" t="s">
        <v>3443</v>
      </c>
      <c r="I1210" s="356">
        <v>13331879087</v>
      </c>
      <c r="J1210" s="361" t="s">
        <v>3444</v>
      </c>
      <c r="K1210" s="356">
        <v>1000</v>
      </c>
      <c r="L1210" s="362"/>
      <c r="M1210" s="362"/>
      <c r="N1210" s="362">
        <f t="shared" si="36"/>
        <v>0</v>
      </c>
      <c r="O1210" s="356"/>
      <c r="Q1210" s="356" t="s">
        <v>52</v>
      </c>
      <c r="R1210" s="356"/>
      <c r="S1210" s="356"/>
      <c r="T1210" s="356"/>
      <c r="U1210" s="372" t="s">
        <v>12</v>
      </c>
      <c r="V1210" s="372"/>
      <c r="W1210" s="372"/>
      <c r="X1210" s="373"/>
      <c r="Y1210" s="348" t="s">
        <v>501</v>
      </c>
      <c r="Z1210" s="348"/>
      <c r="AA1210" s="348"/>
    </row>
    <row r="1211" s="331" customFormat="1" ht="17" customHeight="1" spans="1:27">
      <c r="A1211" s="550" t="s">
        <v>3445</v>
      </c>
      <c r="B1211" s="348" t="s">
        <v>66</v>
      </c>
      <c r="C1211" s="348" t="s">
        <v>67</v>
      </c>
      <c r="D1211" s="352" t="s">
        <v>1436</v>
      </c>
      <c r="E1211" s="336"/>
      <c r="F1211" s="336">
        <v>43648</v>
      </c>
      <c r="G1211" s="350"/>
      <c r="H1211" s="334" t="s">
        <v>2904</v>
      </c>
      <c r="I1211" s="356">
        <v>18018513310</v>
      </c>
      <c r="J1211" s="361" t="s">
        <v>3446</v>
      </c>
      <c r="K1211" s="356">
        <v>500</v>
      </c>
      <c r="L1211" s="362"/>
      <c r="M1211" s="362"/>
      <c r="N1211" s="362">
        <f t="shared" si="36"/>
        <v>0</v>
      </c>
      <c r="O1211" s="390" t="s">
        <v>3447</v>
      </c>
      <c r="Q1211" s="356"/>
      <c r="R1211" s="356"/>
      <c r="S1211" s="356"/>
      <c r="T1211" s="356"/>
      <c r="U1211" s="372"/>
      <c r="V1211" s="372"/>
      <c r="W1211" s="372"/>
      <c r="X1211" s="373"/>
      <c r="Y1211" s="348" t="s">
        <v>3448</v>
      </c>
      <c r="Z1211" s="348"/>
      <c r="AA1211" s="348"/>
    </row>
    <row r="1212" s="331" customFormat="1" ht="17" customHeight="1" spans="1:27">
      <c r="A1212" s="348"/>
      <c r="B1212" s="348" t="s">
        <v>281</v>
      </c>
      <c r="C1212" s="334" t="s">
        <v>1831</v>
      </c>
      <c r="D1212" s="349" t="s">
        <v>518</v>
      </c>
      <c r="E1212" s="336">
        <v>43635</v>
      </c>
      <c r="F1212" s="336">
        <v>43631</v>
      </c>
      <c r="G1212" s="336">
        <v>43671</v>
      </c>
      <c r="H1212" s="334" t="s">
        <v>3449</v>
      </c>
      <c r="I1212" s="356">
        <v>18202130332</v>
      </c>
      <c r="J1212" s="361" t="s">
        <v>3450</v>
      </c>
      <c r="K1212" s="356">
        <v>1000</v>
      </c>
      <c r="L1212" s="334">
        <v>27635</v>
      </c>
      <c r="M1212" s="362"/>
      <c r="N1212" s="362">
        <f t="shared" si="36"/>
        <v>27635</v>
      </c>
      <c r="O1212" s="356"/>
      <c r="Q1212" s="356" t="s">
        <v>52</v>
      </c>
      <c r="R1212" s="356"/>
      <c r="S1212" s="356"/>
      <c r="T1212" s="356"/>
      <c r="U1212" s="372"/>
      <c r="V1212" s="372"/>
      <c r="W1212" s="372"/>
      <c r="X1212" s="373"/>
      <c r="Y1212" s="348" t="s">
        <v>501</v>
      </c>
      <c r="Z1212" s="348"/>
      <c r="AA1212" s="348"/>
    </row>
    <row r="1213" s="331" customFormat="1" ht="17" customHeight="1" spans="1:27">
      <c r="A1213" s="348"/>
      <c r="B1213" s="348" t="s">
        <v>281</v>
      </c>
      <c r="C1213" s="334" t="s">
        <v>491</v>
      </c>
      <c r="D1213" s="334" t="s">
        <v>518</v>
      </c>
      <c r="E1213" s="336">
        <v>43705</v>
      </c>
      <c r="F1213" s="336">
        <v>43631</v>
      </c>
      <c r="G1213" s="336">
        <v>43705</v>
      </c>
      <c r="H1213" s="334" t="s">
        <v>3451</v>
      </c>
      <c r="I1213" s="356">
        <v>18516099888</v>
      </c>
      <c r="J1213" s="361" t="s">
        <v>3452</v>
      </c>
      <c r="K1213" s="356">
        <v>1000</v>
      </c>
      <c r="L1213" s="334">
        <v>22316</v>
      </c>
      <c r="M1213" s="362"/>
      <c r="N1213" s="362">
        <f t="shared" si="36"/>
        <v>22316</v>
      </c>
      <c r="O1213" s="356"/>
      <c r="Q1213" s="356"/>
      <c r="R1213" s="356" t="s">
        <v>52</v>
      </c>
      <c r="S1213" s="356"/>
      <c r="T1213" s="356"/>
      <c r="U1213" s="372"/>
      <c r="V1213" s="372"/>
      <c r="W1213" s="372"/>
      <c r="X1213" s="373"/>
      <c r="Y1213" s="348" t="s">
        <v>501</v>
      </c>
      <c r="Z1213" s="348"/>
      <c r="AA1213" s="348"/>
    </row>
    <row r="1214" s="331" customFormat="1" ht="17" customHeight="1" spans="1:27">
      <c r="A1214" s="348"/>
      <c r="B1214" s="348" t="s">
        <v>160</v>
      </c>
      <c r="C1214" s="348" t="s">
        <v>161</v>
      </c>
      <c r="D1214" s="349" t="s">
        <v>162</v>
      </c>
      <c r="E1214" s="336">
        <v>43541</v>
      </c>
      <c r="F1214" s="336">
        <v>43541</v>
      </c>
      <c r="G1214" s="350"/>
      <c r="H1214" s="351" t="s">
        <v>795</v>
      </c>
      <c r="I1214" s="356">
        <v>18018669525</v>
      </c>
      <c r="J1214" s="361" t="s">
        <v>767</v>
      </c>
      <c r="K1214" s="356">
        <v>500</v>
      </c>
      <c r="L1214" s="362"/>
      <c r="M1214" s="362"/>
      <c r="N1214" s="362">
        <f t="shared" si="36"/>
        <v>0</v>
      </c>
      <c r="O1214" s="356"/>
      <c r="Q1214" s="356"/>
      <c r="R1214" s="356"/>
      <c r="S1214" s="356"/>
      <c r="T1214" s="356"/>
      <c r="U1214" s="372" t="s">
        <v>3453</v>
      </c>
      <c r="V1214" s="372"/>
      <c r="W1214" s="372"/>
      <c r="X1214" s="373"/>
      <c r="Y1214" s="348"/>
      <c r="Z1214" s="348"/>
      <c r="AA1214" s="348"/>
    </row>
    <row r="1215" s="331" customFormat="1" ht="17" customHeight="1" spans="1:27">
      <c r="A1215" s="348"/>
      <c r="B1215" s="348" t="s">
        <v>281</v>
      </c>
      <c r="C1215" s="348" t="s">
        <v>498</v>
      </c>
      <c r="D1215" s="352" t="s">
        <v>49</v>
      </c>
      <c r="E1215" s="336">
        <v>43635</v>
      </c>
      <c r="F1215" s="336">
        <v>43631</v>
      </c>
      <c r="G1215" s="350"/>
      <c r="H1215" s="334" t="s">
        <v>3454</v>
      </c>
      <c r="I1215" s="356">
        <v>13621956832</v>
      </c>
      <c r="J1215" s="361" t="s">
        <v>3455</v>
      </c>
      <c r="K1215" s="356">
        <v>1000</v>
      </c>
      <c r="L1215" s="362"/>
      <c r="M1215" s="362"/>
      <c r="N1215" s="362">
        <f t="shared" si="36"/>
        <v>0</v>
      </c>
      <c r="O1215" s="356" t="s">
        <v>52</v>
      </c>
      <c r="Q1215" s="356"/>
      <c r="R1215" s="356"/>
      <c r="S1215" s="356"/>
      <c r="T1215" s="356"/>
      <c r="U1215" s="372"/>
      <c r="V1215" s="372"/>
      <c r="W1215" s="372"/>
      <c r="X1215" s="373"/>
      <c r="Y1215" s="348" t="s">
        <v>501</v>
      </c>
      <c r="Z1215" s="348"/>
      <c r="AA1215" s="348"/>
    </row>
    <row r="1216" s="331" customFormat="1" ht="17" customHeight="1" spans="1:27">
      <c r="A1216" s="550" t="s">
        <v>3456</v>
      </c>
      <c r="B1216" s="348" t="s">
        <v>137</v>
      </c>
      <c r="C1216" s="334" t="s">
        <v>406</v>
      </c>
      <c r="D1216" s="349" t="s">
        <v>68</v>
      </c>
      <c r="E1216" s="336">
        <v>43687</v>
      </c>
      <c r="F1216" s="336">
        <v>43643</v>
      </c>
      <c r="G1216" s="336">
        <v>43687</v>
      </c>
      <c r="H1216" s="334" t="s">
        <v>3457</v>
      </c>
      <c r="I1216" s="356">
        <v>18019387079</v>
      </c>
      <c r="J1216" s="361" t="s">
        <v>3458</v>
      </c>
      <c r="K1216" s="356">
        <f>5000+5000</f>
        <v>10000</v>
      </c>
      <c r="L1216" s="334">
        <v>10022</v>
      </c>
      <c r="M1216" s="334">
        <v>1340</v>
      </c>
      <c r="N1216" s="362">
        <f t="shared" si="36"/>
        <v>11362</v>
      </c>
      <c r="O1216" s="356">
        <v>1</v>
      </c>
      <c r="Q1216" s="356"/>
      <c r="R1216" s="356"/>
      <c r="S1216" s="356"/>
      <c r="T1216" s="356"/>
      <c r="U1216" s="372"/>
      <c r="V1216" s="372"/>
      <c r="W1216" s="372"/>
      <c r="X1216" s="373"/>
      <c r="Y1216" s="348"/>
      <c r="Z1216" s="348"/>
      <c r="AA1216" s="348"/>
    </row>
    <row r="1217" s="331" customFormat="1" ht="17" customHeight="1" spans="1:27">
      <c r="A1217" s="348"/>
      <c r="B1217" s="348" t="s">
        <v>281</v>
      </c>
      <c r="C1217" s="348" t="s">
        <v>498</v>
      </c>
      <c r="D1217" s="352" t="s">
        <v>49</v>
      </c>
      <c r="E1217" s="336">
        <v>43635</v>
      </c>
      <c r="F1217" s="336">
        <v>43631</v>
      </c>
      <c r="G1217" s="350" t="s">
        <v>3418</v>
      </c>
      <c r="H1217" s="334" t="s">
        <v>3459</v>
      </c>
      <c r="I1217" s="356">
        <v>13524237686</v>
      </c>
      <c r="J1217" s="361" t="s">
        <v>3460</v>
      </c>
      <c r="K1217" s="356">
        <v>1000</v>
      </c>
      <c r="L1217" s="362"/>
      <c r="M1217" s="362"/>
      <c r="N1217" s="362">
        <f t="shared" si="36"/>
        <v>0</v>
      </c>
      <c r="O1217" s="356" t="s">
        <v>52</v>
      </c>
      <c r="Q1217" s="356"/>
      <c r="R1217" s="356"/>
      <c r="S1217" s="356"/>
      <c r="T1217" s="356"/>
      <c r="U1217" s="372"/>
      <c r="V1217" s="372"/>
      <c r="W1217" s="372"/>
      <c r="X1217" s="373"/>
      <c r="Y1217" s="348" t="s">
        <v>501</v>
      </c>
      <c r="Z1217" s="348"/>
      <c r="AA1217" s="348"/>
    </row>
    <row r="1218" s="331" customFormat="1" ht="17" customHeight="1" spans="1:27">
      <c r="A1218" s="348"/>
      <c r="B1218" s="348" t="s">
        <v>281</v>
      </c>
      <c r="C1218" s="348" t="s">
        <v>498</v>
      </c>
      <c r="D1218" s="352" t="s">
        <v>49</v>
      </c>
      <c r="E1218" s="336">
        <v>43635</v>
      </c>
      <c r="F1218" s="336">
        <v>43631</v>
      </c>
      <c r="G1218" s="350"/>
      <c r="H1218" s="334" t="s">
        <v>3461</v>
      </c>
      <c r="I1218" s="356">
        <v>17349711079</v>
      </c>
      <c r="J1218" s="361" t="s">
        <v>3462</v>
      </c>
      <c r="K1218" s="356">
        <v>1000</v>
      </c>
      <c r="L1218" s="362"/>
      <c r="M1218" s="362"/>
      <c r="N1218" s="362">
        <f t="shared" si="36"/>
        <v>0</v>
      </c>
      <c r="O1218" s="356"/>
      <c r="Q1218" s="356"/>
      <c r="R1218" s="356"/>
      <c r="S1218" s="356"/>
      <c r="T1218" s="356"/>
      <c r="U1218" s="379">
        <v>6.19</v>
      </c>
      <c r="V1218" s="372"/>
      <c r="W1218" s="372"/>
      <c r="X1218" s="373"/>
      <c r="Y1218" s="348" t="s">
        <v>501</v>
      </c>
      <c r="Z1218" s="348"/>
      <c r="AA1218" s="348"/>
    </row>
    <row r="1219" s="331" customFormat="1" ht="17" customHeight="1" spans="1:27">
      <c r="A1219" s="348"/>
      <c r="B1219" s="348" t="s">
        <v>281</v>
      </c>
      <c r="C1219" s="348" t="s">
        <v>498</v>
      </c>
      <c r="D1219" s="352" t="s">
        <v>49</v>
      </c>
      <c r="E1219" s="336">
        <v>43636</v>
      </c>
      <c r="F1219" s="336">
        <v>43631</v>
      </c>
      <c r="G1219" s="350"/>
      <c r="H1219" s="334" t="s">
        <v>3463</v>
      </c>
      <c r="I1219" s="356">
        <v>18918817722</v>
      </c>
      <c r="J1219" s="361" t="s">
        <v>3464</v>
      </c>
      <c r="K1219" s="356">
        <v>1000</v>
      </c>
      <c r="L1219" s="362"/>
      <c r="M1219" s="362"/>
      <c r="N1219" s="362">
        <f t="shared" si="36"/>
        <v>0</v>
      </c>
      <c r="O1219" s="356"/>
      <c r="Q1219" s="356" t="s">
        <v>52</v>
      </c>
      <c r="R1219" s="356"/>
      <c r="S1219" s="356"/>
      <c r="T1219" s="356"/>
      <c r="U1219" s="372"/>
      <c r="V1219" s="372"/>
      <c r="W1219" s="372"/>
      <c r="X1219" s="373"/>
      <c r="Y1219" s="348" t="s">
        <v>501</v>
      </c>
      <c r="Z1219" s="348"/>
      <c r="AA1219" s="348"/>
    </row>
    <row r="1220" s="331" customFormat="1" ht="17" customHeight="1" spans="1:27">
      <c r="A1220" s="348"/>
      <c r="B1220" s="348" t="s">
        <v>281</v>
      </c>
      <c r="C1220" s="334" t="s">
        <v>491</v>
      </c>
      <c r="D1220" s="334" t="s">
        <v>518</v>
      </c>
      <c r="E1220" s="336">
        <v>43797</v>
      </c>
      <c r="F1220" s="336">
        <v>43631</v>
      </c>
      <c r="G1220" s="336">
        <v>43794</v>
      </c>
      <c r="H1220" s="334" t="s">
        <v>3465</v>
      </c>
      <c r="I1220" s="356">
        <v>13701633854</v>
      </c>
      <c r="J1220" s="361" t="s">
        <v>3466</v>
      </c>
      <c r="K1220" s="356">
        <v>1000</v>
      </c>
      <c r="L1220" s="334">
        <v>48082</v>
      </c>
      <c r="M1220" s="362"/>
      <c r="N1220" s="362">
        <f t="shared" si="36"/>
        <v>48082</v>
      </c>
      <c r="O1220" s="356"/>
      <c r="P1220" s="356" t="s">
        <v>52</v>
      </c>
      <c r="Q1220" s="356"/>
      <c r="R1220" s="356"/>
      <c r="S1220" s="356"/>
      <c r="T1220" s="356"/>
      <c r="U1220" s="372"/>
      <c r="V1220" s="372"/>
      <c r="W1220" s="372"/>
      <c r="X1220" s="373"/>
      <c r="Y1220" s="348" t="s">
        <v>501</v>
      </c>
      <c r="Z1220" s="348"/>
      <c r="AA1220" s="348"/>
    </row>
    <row r="1221" s="331" customFormat="1" ht="17" customHeight="1" spans="1:27">
      <c r="A1221" s="550" t="s">
        <v>3467</v>
      </c>
      <c r="B1221" s="348" t="s">
        <v>58</v>
      </c>
      <c r="C1221" s="348" t="s">
        <v>342</v>
      </c>
      <c r="D1221" s="349" t="s">
        <v>110</v>
      </c>
      <c r="E1221" s="336">
        <v>43619</v>
      </c>
      <c r="F1221" s="336">
        <v>43618</v>
      </c>
      <c r="G1221" s="336">
        <v>43660</v>
      </c>
      <c r="H1221" s="334" t="s">
        <v>3468</v>
      </c>
      <c r="I1221" s="356">
        <v>18019416221</v>
      </c>
      <c r="J1221" s="361" t="s">
        <v>3469</v>
      </c>
      <c r="K1221" s="356">
        <v>1000</v>
      </c>
      <c r="L1221" s="334">
        <v>11835</v>
      </c>
      <c r="M1221" s="334">
        <v>536</v>
      </c>
      <c r="N1221" s="362">
        <f t="shared" ref="N1221:N1266" si="37">L1221+M1221</f>
        <v>12371</v>
      </c>
      <c r="O1221" s="356"/>
      <c r="Q1221" s="356"/>
      <c r="R1221" s="356"/>
      <c r="S1221" s="356"/>
      <c r="T1221" s="356"/>
      <c r="U1221" s="372"/>
      <c r="V1221" s="372"/>
      <c r="W1221" s="372"/>
      <c r="X1221" s="373"/>
      <c r="Y1221" s="348" t="s">
        <v>331</v>
      </c>
      <c r="Z1221" s="348"/>
      <c r="AA1221" s="348" t="s">
        <v>3470</v>
      </c>
    </row>
    <row r="1222" s="331" customFormat="1" ht="17" customHeight="1" spans="1:27">
      <c r="A1222" s="348">
        <v>2066603</v>
      </c>
      <c r="B1222" s="348" t="s">
        <v>335</v>
      </c>
      <c r="C1222" s="348" t="s">
        <v>615</v>
      </c>
      <c r="D1222" s="349" t="s">
        <v>635</v>
      </c>
      <c r="E1222" s="336">
        <v>43635</v>
      </c>
      <c r="F1222" s="336">
        <v>43634</v>
      </c>
      <c r="G1222" s="336">
        <v>43664</v>
      </c>
      <c r="H1222" s="334" t="s">
        <v>3471</v>
      </c>
      <c r="I1222" s="356">
        <v>13761645115</v>
      </c>
      <c r="J1222" s="361" t="s">
        <v>3472</v>
      </c>
      <c r="K1222" s="356">
        <v>2734</v>
      </c>
      <c r="L1222" s="334">
        <v>8684</v>
      </c>
      <c r="M1222" s="334"/>
      <c r="N1222" s="362">
        <f t="shared" si="37"/>
        <v>8684</v>
      </c>
      <c r="O1222" s="356"/>
      <c r="Q1222" s="356"/>
      <c r="R1222" s="356"/>
      <c r="S1222" s="356"/>
      <c r="T1222" s="356"/>
      <c r="U1222" s="372"/>
      <c r="V1222" s="372"/>
      <c r="W1222" s="372"/>
      <c r="X1222" s="373"/>
      <c r="Y1222" s="348"/>
      <c r="Z1222" s="348"/>
      <c r="AA1222" s="348"/>
    </row>
    <row r="1223" s="331" customFormat="1" ht="17" customHeight="1" spans="1:27">
      <c r="A1223" s="550" t="s">
        <v>3473</v>
      </c>
      <c r="B1223" s="348" t="s">
        <v>58</v>
      </c>
      <c r="C1223" s="348" t="s">
        <v>109</v>
      </c>
      <c r="D1223" s="352" t="s">
        <v>110</v>
      </c>
      <c r="E1223" s="336">
        <v>43635</v>
      </c>
      <c r="F1223" s="336">
        <v>43635</v>
      </c>
      <c r="G1223" s="336">
        <v>43676</v>
      </c>
      <c r="H1223" s="334" t="s">
        <v>3474</v>
      </c>
      <c r="I1223" s="356">
        <v>13564963020</v>
      </c>
      <c r="J1223" s="361" t="s">
        <v>3475</v>
      </c>
      <c r="K1223" s="356">
        <v>1998</v>
      </c>
      <c r="L1223" s="334">
        <v>2930</v>
      </c>
      <c r="M1223" s="362"/>
      <c r="N1223" s="362">
        <f t="shared" si="37"/>
        <v>2930</v>
      </c>
      <c r="O1223" s="365" t="s">
        <v>52</v>
      </c>
      <c r="Q1223" s="356"/>
      <c r="R1223" s="356"/>
      <c r="S1223" s="356"/>
      <c r="T1223" s="356"/>
      <c r="U1223" s="372"/>
      <c r="V1223" s="372"/>
      <c r="W1223" s="372"/>
      <c r="X1223" s="373"/>
      <c r="Y1223" s="348"/>
      <c r="Z1223" s="348" t="s">
        <v>1296</v>
      </c>
      <c r="AA1223" s="348"/>
    </row>
    <row r="1224" s="331" customFormat="1" ht="17" customHeight="1" spans="1:27">
      <c r="A1224" s="550" t="s">
        <v>3476</v>
      </c>
      <c r="B1224" s="348" t="s">
        <v>315</v>
      </c>
      <c r="C1224" s="348" t="s">
        <v>161</v>
      </c>
      <c r="D1224" s="349" t="s">
        <v>162</v>
      </c>
      <c r="E1224" s="336">
        <v>43635</v>
      </c>
      <c r="F1224" s="336">
        <v>43635</v>
      </c>
      <c r="G1224" s="336">
        <v>43662</v>
      </c>
      <c r="H1224" s="334" t="s">
        <v>3477</v>
      </c>
      <c r="I1224" s="356">
        <v>13818249745</v>
      </c>
      <c r="J1224" s="361" t="s">
        <v>3478</v>
      </c>
      <c r="K1224" s="356">
        <v>1998</v>
      </c>
      <c r="L1224" s="334">
        <v>10043</v>
      </c>
      <c r="M1224" s="334"/>
      <c r="N1224" s="362">
        <f t="shared" si="37"/>
        <v>10043</v>
      </c>
      <c r="O1224" s="356"/>
      <c r="Q1224" s="356"/>
      <c r="R1224" s="356"/>
      <c r="S1224" s="356"/>
      <c r="T1224" s="356"/>
      <c r="U1224" s="372"/>
      <c r="V1224" s="372"/>
      <c r="W1224" s="372"/>
      <c r="X1224" s="373"/>
      <c r="Y1224" s="348"/>
      <c r="Z1224" s="348"/>
      <c r="AA1224" s="348"/>
    </row>
    <row r="1225" s="331" customFormat="1" ht="17" customHeight="1" spans="1:27">
      <c r="A1225" s="348">
        <v>2066657</v>
      </c>
      <c r="B1225" s="348" t="s">
        <v>205</v>
      </c>
      <c r="C1225" s="348" t="s">
        <v>1467</v>
      </c>
      <c r="D1225" s="349" t="s">
        <v>60</v>
      </c>
      <c r="E1225" s="336">
        <v>43635</v>
      </c>
      <c r="F1225" s="336">
        <v>43635</v>
      </c>
      <c r="G1225" s="336">
        <v>43654</v>
      </c>
      <c r="H1225" s="334" t="s">
        <v>3479</v>
      </c>
      <c r="I1225" s="356">
        <v>13916269799</v>
      </c>
      <c r="J1225" s="361" t="s">
        <v>3480</v>
      </c>
      <c r="K1225" s="356">
        <v>3634</v>
      </c>
      <c r="L1225" s="334">
        <v>3634</v>
      </c>
      <c r="M1225" s="334"/>
      <c r="N1225" s="362">
        <f t="shared" si="37"/>
        <v>3634</v>
      </c>
      <c r="O1225" s="356"/>
      <c r="Q1225" s="356"/>
      <c r="R1225" s="356"/>
      <c r="S1225" s="356"/>
      <c r="T1225" s="356"/>
      <c r="U1225" s="372"/>
      <c r="V1225" s="372"/>
      <c r="W1225" s="372"/>
      <c r="X1225" s="373"/>
      <c r="Y1225" s="348"/>
      <c r="Z1225" s="348"/>
      <c r="AA1225" s="348"/>
    </row>
    <row r="1226" s="331" customFormat="1" ht="17" customHeight="1" spans="1:27">
      <c r="A1226" s="348"/>
      <c r="B1226" s="348" t="s">
        <v>87</v>
      </c>
      <c r="C1226" s="348" t="s">
        <v>466</v>
      </c>
      <c r="D1226" s="349" t="s">
        <v>89</v>
      </c>
      <c r="E1226" s="336">
        <v>43635</v>
      </c>
      <c r="F1226" s="336">
        <v>43634</v>
      </c>
      <c r="G1226" s="350"/>
      <c r="H1226" s="334" t="s">
        <v>3481</v>
      </c>
      <c r="I1226" s="356">
        <v>13795331716</v>
      </c>
      <c r="J1226" s="361" t="s">
        <v>3482</v>
      </c>
      <c r="K1226" s="356">
        <v>2734</v>
      </c>
      <c r="L1226" s="362"/>
      <c r="M1226" s="362"/>
      <c r="N1226" s="362">
        <f t="shared" si="37"/>
        <v>0</v>
      </c>
      <c r="O1226" s="356" t="s">
        <v>52</v>
      </c>
      <c r="P1226" s="356"/>
      <c r="Q1226" s="356"/>
      <c r="R1226" s="356"/>
      <c r="S1226" s="356"/>
      <c r="T1226" s="356"/>
      <c r="U1226" s="415" t="s">
        <v>40</v>
      </c>
      <c r="V1226" s="372"/>
      <c r="W1226" s="372"/>
      <c r="X1226" s="373"/>
      <c r="Y1226" s="348" t="s">
        <v>3483</v>
      </c>
      <c r="Z1226" s="348"/>
      <c r="AA1226" s="348"/>
    </row>
    <row r="1227" s="331" customFormat="1" ht="17" customHeight="1" spans="1:27">
      <c r="A1227" s="348"/>
      <c r="B1227" s="348" t="s">
        <v>87</v>
      </c>
      <c r="C1227" s="348" t="s">
        <v>466</v>
      </c>
      <c r="D1227" s="349" t="s">
        <v>89</v>
      </c>
      <c r="E1227" s="336">
        <v>43635</v>
      </c>
      <c r="F1227" s="336">
        <v>43634</v>
      </c>
      <c r="G1227" s="350"/>
      <c r="H1227" s="334" t="s">
        <v>3484</v>
      </c>
      <c r="I1227" s="356">
        <v>13817735420</v>
      </c>
      <c r="J1227" s="361" t="s">
        <v>3485</v>
      </c>
      <c r="K1227" s="356">
        <v>7644.22</v>
      </c>
      <c r="L1227" s="362"/>
      <c r="M1227" s="362"/>
      <c r="N1227" s="362">
        <f t="shared" si="37"/>
        <v>0</v>
      </c>
      <c r="O1227" s="356"/>
      <c r="Q1227" s="356"/>
      <c r="R1227" s="356"/>
      <c r="S1227" s="356"/>
      <c r="T1227" s="356"/>
      <c r="U1227" s="372" t="s">
        <v>63</v>
      </c>
      <c r="V1227" s="372"/>
      <c r="W1227" s="372"/>
      <c r="X1227" s="373"/>
      <c r="Y1227" s="348"/>
      <c r="Z1227" s="348"/>
      <c r="AA1227" s="348"/>
    </row>
    <row r="1228" s="331" customFormat="1" ht="17" customHeight="1" spans="1:27">
      <c r="A1228" s="348"/>
      <c r="B1228" s="348" t="s">
        <v>87</v>
      </c>
      <c r="C1228" s="348" t="s">
        <v>466</v>
      </c>
      <c r="D1228" s="349" t="s">
        <v>89</v>
      </c>
      <c r="E1228" s="336">
        <v>43635</v>
      </c>
      <c r="F1228" s="336">
        <v>43634</v>
      </c>
      <c r="G1228" s="336">
        <v>43677</v>
      </c>
      <c r="H1228" s="334" t="s">
        <v>3486</v>
      </c>
      <c r="I1228" s="356">
        <v>13816699297</v>
      </c>
      <c r="J1228" s="361" t="s">
        <v>3487</v>
      </c>
      <c r="K1228" s="356">
        <v>7640</v>
      </c>
      <c r="L1228" s="334">
        <v>17946</v>
      </c>
      <c r="M1228" s="362"/>
      <c r="N1228" s="362">
        <f t="shared" si="37"/>
        <v>17946</v>
      </c>
      <c r="O1228" s="356"/>
      <c r="Q1228" s="356"/>
      <c r="R1228" s="356"/>
      <c r="S1228" s="356"/>
      <c r="T1228" s="356"/>
      <c r="U1228" s="372"/>
      <c r="V1228" s="372"/>
      <c r="W1228" s="372"/>
      <c r="X1228" s="373"/>
      <c r="Y1228" s="348" t="s">
        <v>856</v>
      </c>
      <c r="Z1228" s="348"/>
      <c r="AA1228" s="348"/>
    </row>
    <row r="1229" s="331" customFormat="1" ht="17" customHeight="1" spans="1:27">
      <c r="A1229" s="348">
        <v>2067305</v>
      </c>
      <c r="B1229" s="348" t="s">
        <v>147</v>
      </c>
      <c r="C1229" s="348" t="s">
        <v>148</v>
      </c>
      <c r="D1229" s="349" t="s">
        <v>132</v>
      </c>
      <c r="E1229" s="336">
        <v>43635</v>
      </c>
      <c r="F1229" s="336">
        <v>43634</v>
      </c>
      <c r="G1229" s="336">
        <v>43677</v>
      </c>
      <c r="H1229" s="334" t="s">
        <v>3488</v>
      </c>
      <c r="I1229" s="356">
        <v>13817696821</v>
      </c>
      <c r="J1229" s="361" t="s">
        <v>3489</v>
      </c>
      <c r="K1229" s="356">
        <v>1000</v>
      </c>
      <c r="L1229" s="334">
        <v>6039</v>
      </c>
      <c r="M1229" s="334">
        <v>4471</v>
      </c>
      <c r="N1229" s="362">
        <f t="shared" si="37"/>
        <v>10510</v>
      </c>
      <c r="O1229" s="356"/>
      <c r="Q1229" s="356"/>
      <c r="R1229" s="356"/>
      <c r="S1229" s="356"/>
      <c r="T1229" s="356"/>
      <c r="U1229" s="372"/>
      <c r="V1229" s="376" t="s">
        <v>1946</v>
      </c>
      <c r="W1229" s="372" t="s">
        <v>3490</v>
      </c>
      <c r="X1229" s="373"/>
      <c r="Y1229" s="348"/>
      <c r="Z1229" s="348"/>
      <c r="AA1229" s="348"/>
    </row>
    <row r="1230" s="331" customFormat="1" ht="17" customHeight="1" spans="1:27">
      <c r="A1230" s="550" t="s">
        <v>3491</v>
      </c>
      <c r="B1230" s="348" t="s">
        <v>359</v>
      </c>
      <c r="C1230" s="348" t="s">
        <v>3018</v>
      </c>
      <c r="D1230" s="349" t="s">
        <v>361</v>
      </c>
      <c r="E1230" s="336">
        <v>43764</v>
      </c>
      <c r="F1230" s="336">
        <v>43635</v>
      </c>
      <c r="G1230" s="336">
        <v>43763</v>
      </c>
      <c r="H1230" s="334" t="s">
        <v>3492</v>
      </c>
      <c r="I1230" s="356">
        <v>13916169787</v>
      </c>
      <c r="J1230" s="361" t="s">
        <v>3493</v>
      </c>
      <c r="K1230" s="356">
        <v>1000</v>
      </c>
      <c r="L1230" s="334">
        <v>39438</v>
      </c>
      <c r="M1230" s="362"/>
      <c r="N1230" s="362">
        <f t="shared" si="37"/>
        <v>39438</v>
      </c>
      <c r="O1230" s="356"/>
      <c r="Q1230" s="356"/>
      <c r="R1230" s="356"/>
      <c r="S1230" s="356" t="s">
        <v>23</v>
      </c>
      <c r="T1230" s="356"/>
      <c r="U1230" s="372"/>
      <c r="V1230" s="372"/>
      <c r="W1230" s="372"/>
      <c r="X1230" s="395"/>
      <c r="Y1230" s="348"/>
      <c r="Z1230" s="348"/>
      <c r="AA1230" s="348"/>
    </row>
    <row r="1231" s="331" customFormat="1" ht="15" customHeight="1" spans="1:27">
      <c r="A1231" s="550" t="s">
        <v>3494</v>
      </c>
      <c r="B1231" s="348" t="s">
        <v>58</v>
      </c>
      <c r="C1231" s="348" t="s">
        <v>347</v>
      </c>
      <c r="D1231" s="352" t="s">
        <v>343</v>
      </c>
      <c r="E1231" s="336">
        <v>43635</v>
      </c>
      <c r="F1231" s="336">
        <v>43635</v>
      </c>
      <c r="G1231" s="350"/>
      <c r="H1231" s="334" t="s">
        <v>3495</v>
      </c>
      <c r="I1231" s="356">
        <v>13564608026</v>
      </c>
      <c r="J1231" s="361" t="s">
        <v>3496</v>
      </c>
      <c r="K1231" s="356">
        <v>1000</v>
      </c>
      <c r="L1231" s="362"/>
      <c r="M1231" s="362"/>
      <c r="N1231" s="362">
        <f t="shared" si="37"/>
        <v>0</v>
      </c>
      <c r="O1231" s="365" t="s">
        <v>52</v>
      </c>
      <c r="Q1231" s="356"/>
      <c r="R1231" s="356"/>
      <c r="S1231" s="356"/>
      <c r="T1231" s="356"/>
      <c r="U1231" s="372"/>
      <c r="V1231" s="372"/>
      <c r="W1231" s="372"/>
      <c r="X1231" s="373"/>
      <c r="Y1231" s="348" t="s">
        <v>3497</v>
      </c>
      <c r="Z1231" s="348" t="s">
        <v>3498</v>
      </c>
      <c r="AA1231" s="348"/>
    </row>
    <row r="1232" s="331" customFormat="1" ht="17" customHeight="1" spans="1:27">
      <c r="A1232" s="348"/>
      <c r="B1232" s="348" t="s">
        <v>35</v>
      </c>
      <c r="C1232" s="348" t="s">
        <v>392</v>
      </c>
      <c r="D1232" s="349" t="s">
        <v>37</v>
      </c>
      <c r="E1232" s="336">
        <v>43769</v>
      </c>
      <c r="F1232" s="336">
        <v>43634</v>
      </c>
      <c r="G1232" s="336">
        <v>43765</v>
      </c>
      <c r="H1232" s="334" t="s">
        <v>3499</v>
      </c>
      <c r="I1232" s="356">
        <v>13761183423</v>
      </c>
      <c r="J1232" s="361" t="s">
        <v>3500</v>
      </c>
      <c r="K1232" s="356">
        <v>6665</v>
      </c>
      <c r="L1232" s="334">
        <v>14500</v>
      </c>
      <c r="M1232" s="362"/>
      <c r="N1232" s="362">
        <f t="shared" si="37"/>
        <v>14500</v>
      </c>
      <c r="O1232" s="356"/>
      <c r="P1232" s="356"/>
      <c r="Q1232" s="356" t="s">
        <v>52</v>
      </c>
      <c r="R1232" s="356"/>
      <c r="S1232" s="356"/>
      <c r="T1232" s="356"/>
      <c r="U1232" s="372"/>
      <c r="V1232" s="372"/>
      <c r="W1232" s="372"/>
      <c r="X1232" s="373"/>
      <c r="Y1232" s="348" t="s">
        <v>856</v>
      </c>
      <c r="Z1232" s="348"/>
      <c r="AA1232" s="348"/>
    </row>
    <row r="1233" s="331" customFormat="1" ht="17" customHeight="1" spans="1:27">
      <c r="A1233" s="550" t="s">
        <v>3501</v>
      </c>
      <c r="B1233" s="348" t="s">
        <v>315</v>
      </c>
      <c r="C1233" s="348" t="s">
        <v>275</v>
      </c>
      <c r="D1233" s="349" t="s">
        <v>162</v>
      </c>
      <c r="E1233" s="336">
        <v>43735</v>
      </c>
      <c r="F1233" s="336">
        <v>43634</v>
      </c>
      <c r="G1233" s="336">
        <v>43734</v>
      </c>
      <c r="H1233" s="334" t="s">
        <v>3502</v>
      </c>
      <c r="I1233" s="356">
        <v>13916706906</v>
      </c>
      <c r="J1233" s="361" t="s">
        <v>3503</v>
      </c>
      <c r="K1233" s="356">
        <v>1998</v>
      </c>
      <c r="L1233" s="334">
        <v>3308</v>
      </c>
      <c r="M1233" s="362"/>
      <c r="N1233" s="362">
        <f t="shared" si="37"/>
        <v>3308</v>
      </c>
      <c r="O1233" s="356">
        <v>1</v>
      </c>
      <c r="Q1233" s="356"/>
      <c r="R1233" s="356"/>
      <c r="S1233" s="356"/>
      <c r="T1233" s="356"/>
      <c r="U1233" s="372"/>
      <c r="V1233" s="372"/>
      <c r="W1233" s="372"/>
      <c r="X1233" s="373"/>
      <c r="Y1233" s="348"/>
      <c r="Z1233" s="348"/>
      <c r="AA1233" s="348"/>
    </row>
    <row r="1234" s="331" customFormat="1" ht="17" customHeight="1" spans="1:27">
      <c r="A1234" s="550" t="s">
        <v>3504</v>
      </c>
      <c r="B1234" s="348" t="s">
        <v>185</v>
      </c>
      <c r="C1234" s="348" t="s">
        <v>1620</v>
      </c>
      <c r="D1234" s="349" t="s">
        <v>44</v>
      </c>
      <c r="E1234" s="336">
        <v>43697</v>
      </c>
      <c r="F1234" s="336">
        <v>43632</v>
      </c>
      <c r="G1234" s="336">
        <v>43697</v>
      </c>
      <c r="H1234" s="334" t="s">
        <v>3505</v>
      </c>
      <c r="I1234" s="356">
        <v>15221561171</v>
      </c>
      <c r="J1234" s="361" t="s">
        <v>3506</v>
      </c>
      <c r="K1234" s="356">
        <v>3000</v>
      </c>
      <c r="L1234" s="334">
        <f>10640-1340</f>
        <v>9300</v>
      </c>
      <c r="M1234" s="334">
        <v>1340</v>
      </c>
      <c r="N1234" s="362">
        <f t="shared" si="37"/>
        <v>10640</v>
      </c>
      <c r="O1234" s="356"/>
      <c r="Q1234" s="356"/>
      <c r="R1234" s="356"/>
      <c r="S1234" s="356"/>
      <c r="T1234" s="356"/>
      <c r="U1234" s="372"/>
      <c r="V1234" s="372"/>
      <c r="W1234" s="372"/>
      <c r="X1234" s="373"/>
      <c r="Y1234" s="348"/>
      <c r="Z1234" s="348"/>
      <c r="AA1234" s="348"/>
    </row>
    <row r="1235" s="331" customFormat="1" ht="17" customHeight="1" spans="1:27">
      <c r="A1235" s="550" t="s">
        <v>3507</v>
      </c>
      <c r="B1235" s="348" t="s">
        <v>66</v>
      </c>
      <c r="C1235" s="348" t="s">
        <v>505</v>
      </c>
      <c r="D1235" s="349" t="s">
        <v>37</v>
      </c>
      <c r="E1235" s="336">
        <v>43635</v>
      </c>
      <c r="F1235" s="336">
        <v>43635</v>
      </c>
      <c r="G1235" s="336">
        <v>43652</v>
      </c>
      <c r="H1235" s="334" t="s">
        <v>3508</v>
      </c>
      <c r="I1235" s="356">
        <v>15026921959</v>
      </c>
      <c r="J1235" s="361" t="s">
        <v>3509</v>
      </c>
      <c r="K1235" s="356">
        <v>4297</v>
      </c>
      <c r="L1235" s="334">
        <v>5688</v>
      </c>
      <c r="M1235" s="334">
        <v>35</v>
      </c>
      <c r="N1235" s="362">
        <f t="shared" si="37"/>
        <v>5723</v>
      </c>
      <c r="O1235" s="356"/>
      <c r="Q1235" s="356"/>
      <c r="R1235" s="356"/>
      <c r="S1235" s="356"/>
      <c r="T1235" s="356"/>
      <c r="U1235" s="372"/>
      <c r="V1235" s="372"/>
      <c r="W1235" s="372"/>
      <c r="X1235" s="373"/>
      <c r="Y1235" s="348"/>
      <c r="Z1235" s="348"/>
      <c r="AA1235" s="348"/>
    </row>
    <row r="1236" s="331" customFormat="1" ht="17" customHeight="1" spans="1:27">
      <c r="A1236" s="348">
        <v>2022774</v>
      </c>
      <c r="B1236" s="348" t="s">
        <v>243</v>
      </c>
      <c r="C1236" s="348" t="s">
        <v>309</v>
      </c>
      <c r="D1236" s="352" t="s">
        <v>49</v>
      </c>
      <c r="E1236" s="336">
        <v>43769</v>
      </c>
      <c r="F1236" s="336">
        <v>43635</v>
      </c>
      <c r="G1236" s="336">
        <v>43769</v>
      </c>
      <c r="H1236" s="334" t="s">
        <v>3510</v>
      </c>
      <c r="I1236" s="356" t="s">
        <v>3511</v>
      </c>
      <c r="J1236" s="361" t="s">
        <v>3512</v>
      </c>
      <c r="K1236" s="356">
        <v>1000</v>
      </c>
      <c r="L1236" s="334">
        <v>13104</v>
      </c>
      <c r="M1236" s="362"/>
      <c r="N1236" s="362">
        <f t="shared" si="37"/>
        <v>13104</v>
      </c>
      <c r="O1236" s="356"/>
      <c r="Q1236" s="356"/>
      <c r="R1236" s="356" t="s">
        <v>52</v>
      </c>
      <c r="S1236" s="356"/>
      <c r="T1236" s="356"/>
      <c r="U1236" s="372"/>
      <c r="V1236" s="372"/>
      <c r="W1236" s="372"/>
      <c r="X1236" s="373"/>
      <c r="Y1236" s="348"/>
      <c r="Z1236" s="348"/>
      <c r="AA1236" s="348"/>
    </row>
    <row r="1237" s="331" customFormat="1" ht="17" customHeight="1" spans="1:27">
      <c r="A1237" s="550" t="s">
        <v>3513</v>
      </c>
      <c r="B1237" s="348" t="s">
        <v>58</v>
      </c>
      <c r="C1237" s="348" t="s">
        <v>347</v>
      </c>
      <c r="D1237" s="349" t="s">
        <v>343</v>
      </c>
      <c r="E1237" s="336">
        <v>43635</v>
      </c>
      <c r="F1237" s="336">
        <v>43634</v>
      </c>
      <c r="G1237" s="336">
        <v>43674</v>
      </c>
      <c r="H1237" s="334" t="s">
        <v>3514</v>
      </c>
      <c r="I1237" s="356">
        <v>15800682898</v>
      </c>
      <c r="J1237" s="361" t="s">
        <v>3515</v>
      </c>
      <c r="K1237" s="356">
        <v>5000</v>
      </c>
      <c r="L1237" s="334">
        <v>8050</v>
      </c>
      <c r="M1237" s="362"/>
      <c r="N1237" s="362">
        <f t="shared" si="37"/>
        <v>8050</v>
      </c>
      <c r="O1237" s="356"/>
      <c r="Q1237" s="365" t="s">
        <v>52</v>
      </c>
      <c r="R1237" s="356"/>
      <c r="S1237" s="356"/>
      <c r="T1237" s="356"/>
      <c r="U1237" s="372"/>
      <c r="V1237" s="372"/>
      <c r="W1237" s="372"/>
      <c r="X1237" s="373"/>
      <c r="Y1237" s="348" t="s">
        <v>856</v>
      </c>
      <c r="Z1237" s="348"/>
      <c r="AA1237" s="348"/>
    </row>
    <row r="1238" s="331" customFormat="1" ht="17" customHeight="1" spans="1:27">
      <c r="A1238" s="550" t="s">
        <v>3516</v>
      </c>
      <c r="B1238" s="348" t="s">
        <v>169</v>
      </c>
      <c r="C1238" s="348" t="s">
        <v>634</v>
      </c>
      <c r="D1238" s="349" t="s">
        <v>635</v>
      </c>
      <c r="E1238" s="336">
        <v>43527</v>
      </c>
      <c r="F1238" s="336">
        <v>43526</v>
      </c>
      <c r="G1238" s="350"/>
      <c r="H1238" s="351" t="s">
        <v>1672</v>
      </c>
      <c r="I1238" s="356">
        <v>18019497796</v>
      </c>
      <c r="J1238" s="361" t="s">
        <v>3517</v>
      </c>
      <c r="K1238" s="356">
        <v>1799</v>
      </c>
      <c r="L1238" s="362"/>
      <c r="M1238" s="362"/>
      <c r="N1238" s="362">
        <f t="shared" si="37"/>
        <v>0</v>
      </c>
      <c r="O1238" s="356"/>
      <c r="Q1238" s="356"/>
      <c r="R1238" s="356"/>
      <c r="S1238" s="356"/>
      <c r="T1238" s="356"/>
      <c r="U1238" s="356" t="s">
        <v>12</v>
      </c>
      <c r="V1238" s="372"/>
      <c r="W1238" s="372"/>
      <c r="X1238" s="373"/>
      <c r="Y1238" s="348" t="s">
        <v>473</v>
      </c>
      <c r="Z1238" s="348"/>
      <c r="AA1238" s="348"/>
    </row>
    <row r="1239" s="331" customFormat="1" ht="17" customHeight="1" spans="1:27">
      <c r="A1239" s="550" t="s">
        <v>3518</v>
      </c>
      <c r="B1239" s="348" t="s">
        <v>315</v>
      </c>
      <c r="C1239" s="348" t="s">
        <v>161</v>
      </c>
      <c r="D1239" s="349" t="s">
        <v>162</v>
      </c>
      <c r="E1239" s="336">
        <v>43635</v>
      </c>
      <c r="F1239" s="336">
        <v>43635</v>
      </c>
      <c r="G1239" s="350"/>
      <c r="H1239" s="334" t="s">
        <v>3519</v>
      </c>
      <c r="I1239" s="356">
        <v>18621738107</v>
      </c>
      <c r="J1239" s="361" t="s">
        <v>3520</v>
      </c>
      <c r="K1239" s="356">
        <v>2399</v>
      </c>
      <c r="L1239" s="362"/>
      <c r="M1239" s="362"/>
      <c r="N1239" s="362">
        <f t="shared" si="37"/>
        <v>0</v>
      </c>
      <c r="O1239" s="356">
        <v>1</v>
      </c>
      <c r="Q1239" s="356"/>
      <c r="R1239" s="356"/>
      <c r="S1239" s="356"/>
      <c r="T1239" s="356"/>
      <c r="U1239" s="372" t="s">
        <v>269</v>
      </c>
      <c r="V1239" s="372"/>
      <c r="W1239" s="372"/>
      <c r="X1239" s="373"/>
      <c r="Y1239" s="348"/>
      <c r="Z1239" s="348"/>
      <c r="AA1239" s="348"/>
    </row>
    <row r="1240" s="331" customFormat="1" ht="17" customHeight="1" spans="1:27">
      <c r="A1240" s="550" t="s">
        <v>3521</v>
      </c>
      <c r="B1240" s="348" t="s">
        <v>354</v>
      </c>
      <c r="C1240" s="348" t="s">
        <v>355</v>
      </c>
      <c r="D1240" s="349" t="s">
        <v>149</v>
      </c>
      <c r="E1240" s="336">
        <v>43704</v>
      </c>
      <c r="F1240" s="336">
        <v>43635</v>
      </c>
      <c r="G1240" s="336">
        <v>43700</v>
      </c>
      <c r="H1240" s="334" t="s">
        <v>3522</v>
      </c>
      <c r="I1240" s="356">
        <v>13301790997</v>
      </c>
      <c r="J1240" s="361" t="s">
        <v>3523</v>
      </c>
      <c r="K1240" s="356">
        <v>1567</v>
      </c>
      <c r="L1240" s="334">
        <v>2447</v>
      </c>
      <c r="M1240" s="362"/>
      <c r="N1240" s="362">
        <f t="shared" si="37"/>
        <v>2447</v>
      </c>
      <c r="O1240" s="356" t="s">
        <v>52</v>
      </c>
      <c r="Q1240" s="356"/>
      <c r="R1240" s="356"/>
      <c r="S1240" s="356"/>
      <c r="T1240" s="356"/>
      <c r="U1240" s="372"/>
      <c r="V1240" s="372"/>
      <c r="W1240" s="372"/>
      <c r="X1240" s="373"/>
      <c r="Y1240" s="348"/>
      <c r="Z1240" s="348"/>
      <c r="AA1240" s="348"/>
    </row>
    <row r="1241" s="331" customFormat="1" ht="17" customHeight="1" spans="1:27">
      <c r="A1241" s="550" t="s">
        <v>3524</v>
      </c>
      <c r="B1241" s="348" t="s">
        <v>58</v>
      </c>
      <c r="C1241" s="348" t="s">
        <v>109</v>
      </c>
      <c r="D1241" s="352" t="s">
        <v>110</v>
      </c>
      <c r="E1241" s="336">
        <v>43689</v>
      </c>
      <c r="F1241" s="336">
        <v>43635</v>
      </c>
      <c r="G1241" s="336">
        <v>43688</v>
      </c>
      <c r="H1241" s="334" t="s">
        <v>3525</v>
      </c>
      <c r="I1241" s="356">
        <v>13918015383</v>
      </c>
      <c r="J1241" s="361" t="s">
        <v>3526</v>
      </c>
      <c r="K1241" s="356">
        <v>1000</v>
      </c>
      <c r="L1241" s="334">
        <v>10638</v>
      </c>
      <c r="M1241" s="362"/>
      <c r="N1241" s="362">
        <f t="shared" si="37"/>
        <v>10638</v>
      </c>
      <c r="O1241" s="356"/>
      <c r="Q1241" s="356"/>
      <c r="R1241" s="365" t="s">
        <v>52</v>
      </c>
      <c r="S1241" s="356"/>
      <c r="T1241" s="356"/>
      <c r="U1241" s="372"/>
      <c r="V1241" s="372"/>
      <c r="W1241" s="372"/>
      <c r="X1241" s="373"/>
      <c r="Y1241" s="348"/>
      <c r="Z1241" s="348"/>
      <c r="AA1241" s="348"/>
    </row>
    <row r="1242" s="331" customFormat="1" ht="17" customHeight="1" spans="1:27">
      <c r="A1242" s="550" t="s">
        <v>3527</v>
      </c>
      <c r="B1242" s="348" t="s">
        <v>315</v>
      </c>
      <c r="C1242" s="348" t="s">
        <v>258</v>
      </c>
      <c r="D1242" s="334" t="s">
        <v>182</v>
      </c>
      <c r="E1242" s="336">
        <v>43774</v>
      </c>
      <c r="F1242" s="336">
        <v>43634</v>
      </c>
      <c r="G1242" s="336">
        <v>43771</v>
      </c>
      <c r="H1242" s="334" t="s">
        <v>3528</v>
      </c>
      <c r="I1242" s="356">
        <v>18918643989</v>
      </c>
      <c r="J1242" s="361" t="s">
        <v>3529</v>
      </c>
      <c r="K1242" s="356">
        <v>1000</v>
      </c>
      <c r="L1242" s="334">
        <v>11085</v>
      </c>
      <c r="M1242" s="362"/>
      <c r="N1242" s="362">
        <f t="shared" si="37"/>
        <v>11085</v>
      </c>
      <c r="O1242" s="356">
        <v>1</v>
      </c>
      <c r="Q1242" s="356"/>
      <c r="R1242" s="356"/>
      <c r="S1242" s="356"/>
      <c r="T1242" s="356"/>
      <c r="U1242" s="372"/>
      <c r="V1242" s="372"/>
      <c r="W1242" s="372"/>
      <c r="X1242" s="373"/>
      <c r="Y1242" s="348" t="s">
        <v>856</v>
      </c>
      <c r="Z1242" s="348"/>
      <c r="AA1242" s="348"/>
    </row>
    <row r="1243" s="331" customFormat="1" ht="17" customHeight="1" spans="1:27">
      <c r="A1243" s="550" t="s">
        <v>3530</v>
      </c>
      <c r="B1243" s="348" t="s">
        <v>66</v>
      </c>
      <c r="C1243" s="348" t="s">
        <v>119</v>
      </c>
      <c r="D1243" s="349" t="s">
        <v>68</v>
      </c>
      <c r="E1243" s="336">
        <v>43635</v>
      </c>
      <c r="F1243" s="336">
        <v>43634</v>
      </c>
      <c r="G1243" s="414" t="s">
        <v>3531</v>
      </c>
      <c r="H1243" s="334" t="s">
        <v>3532</v>
      </c>
      <c r="I1243" s="356">
        <v>18116080066</v>
      </c>
      <c r="J1243" s="361" t="s">
        <v>3533</v>
      </c>
      <c r="K1243" s="356">
        <v>1000</v>
      </c>
      <c r="L1243" s="362"/>
      <c r="M1243" s="362"/>
      <c r="N1243" s="362">
        <f t="shared" si="37"/>
        <v>0</v>
      </c>
      <c r="O1243" s="356"/>
      <c r="Q1243" s="356"/>
      <c r="R1243" s="356"/>
      <c r="S1243" s="356"/>
      <c r="T1243" s="356"/>
      <c r="U1243" s="372"/>
      <c r="V1243" s="372"/>
      <c r="W1243" s="372"/>
      <c r="X1243" s="373"/>
      <c r="Y1243" s="348"/>
      <c r="Z1243" s="348"/>
      <c r="AA1243" s="348"/>
    </row>
    <row r="1244" s="331" customFormat="1" ht="17" customHeight="1" spans="1:27">
      <c r="A1244" s="550" t="s">
        <v>3534</v>
      </c>
      <c r="B1244" s="348" t="s">
        <v>185</v>
      </c>
      <c r="C1244" s="348" t="s">
        <v>886</v>
      </c>
      <c r="D1244" s="334" t="s">
        <v>44</v>
      </c>
      <c r="E1244" s="336">
        <v>43732</v>
      </c>
      <c r="F1244" s="336">
        <v>43635</v>
      </c>
      <c r="G1244" s="336">
        <v>43732</v>
      </c>
      <c r="H1244" s="334" t="s">
        <v>3535</v>
      </c>
      <c r="I1244" s="356">
        <v>18018670558</v>
      </c>
      <c r="J1244" s="361" t="s">
        <v>3536</v>
      </c>
      <c r="K1244" s="356">
        <v>1000</v>
      </c>
      <c r="L1244" s="334">
        <f>16749-1072</f>
        <v>15677</v>
      </c>
      <c r="M1244" s="334">
        <v>1072</v>
      </c>
      <c r="N1244" s="362">
        <f t="shared" si="37"/>
        <v>16749</v>
      </c>
      <c r="O1244" s="356"/>
      <c r="P1244" s="356"/>
      <c r="Q1244" s="356" t="s">
        <v>52</v>
      </c>
      <c r="R1244" s="356"/>
      <c r="S1244" s="356"/>
      <c r="T1244" s="356"/>
      <c r="U1244" s="372"/>
      <c r="V1244" s="372"/>
      <c r="W1244" s="372"/>
      <c r="X1244" s="373"/>
      <c r="Y1244" s="348"/>
      <c r="Z1244" s="348"/>
      <c r="AA1244" s="348"/>
    </row>
    <row r="1245" s="331" customFormat="1" ht="17" customHeight="1" spans="1:27">
      <c r="A1245" s="550" t="s">
        <v>3537</v>
      </c>
      <c r="B1245" s="348" t="s">
        <v>726</v>
      </c>
      <c r="C1245" s="348" t="s">
        <v>727</v>
      </c>
      <c r="D1245" s="334" t="s">
        <v>271</v>
      </c>
      <c r="E1245" s="336">
        <v>43713</v>
      </c>
      <c r="F1245" s="336">
        <v>43634</v>
      </c>
      <c r="G1245" s="336">
        <v>43712</v>
      </c>
      <c r="H1245" s="334" t="s">
        <v>3538</v>
      </c>
      <c r="I1245" s="356">
        <v>18621600840</v>
      </c>
      <c r="J1245" s="361" t="s">
        <v>3539</v>
      </c>
      <c r="K1245" s="356">
        <v>1000</v>
      </c>
      <c r="L1245" s="334">
        <f>4216-736</f>
        <v>3480</v>
      </c>
      <c r="M1245" s="334">
        <v>736</v>
      </c>
      <c r="N1245" s="362">
        <f t="shared" si="37"/>
        <v>4216</v>
      </c>
      <c r="O1245" s="356"/>
      <c r="Q1245" s="356"/>
      <c r="R1245" s="356" t="s">
        <v>22</v>
      </c>
      <c r="S1245" s="356"/>
      <c r="T1245" s="356"/>
      <c r="U1245" s="372"/>
      <c r="V1245" s="372"/>
      <c r="W1245" s="372"/>
      <c r="X1245" s="373"/>
      <c r="Y1245" s="348" t="s">
        <v>856</v>
      </c>
      <c r="Z1245" s="348"/>
      <c r="AA1245" s="348"/>
    </row>
    <row r="1246" s="331" customFormat="1" ht="17" customHeight="1" spans="1:27">
      <c r="A1246" s="550" t="s">
        <v>3540</v>
      </c>
      <c r="B1246" s="348" t="s">
        <v>58</v>
      </c>
      <c r="C1246" s="348" t="s">
        <v>347</v>
      </c>
      <c r="D1246" s="349" t="s">
        <v>343</v>
      </c>
      <c r="E1246" s="336">
        <v>43627</v>
      </c>
      <c r="F1246" s="336">
        <v>43626</v>
      </c>
      <c r="G1246" s="336">
        <v>43665</v>
      </c>
      <c r="H1246" s="334" t="s">
        <v>3541</v>
      </c>
      <c r="I1246" s="356">
        <v>18019704099</v>
      </c>
      <c r="J1246" s="361" t="s">
        <v>3542</v>
      </c>
      <c r="K1246" s="356">
        <f>5000+3000</f>
        <v>8000</v>
      </c>
      <c r="L1246" s="334">
        <v>14234</v>
      </c>
      <c r="M1246" s="334"/>
      <c r="N1246" s="362">
        <f t="shared" si="37"/>
        <v>14234</v>
      </c>
      <c r="O1246" s="356"/>
      <c r="Q1246" s="356"/>
      <c r="R1246" s="356"/>
      <c r="S1246" s="356"/>
      <c r="T1246" s="356"/>
      <c r="U1246" s="372"/>
      <c r="V1246" s="372"/>
      <c r="W1246" s="372"/>
      <c r="X1246" s="373"/>
      <c r="Y1246" s="348"/>
      <c r="Z1246" s="348"/>
      <c r="AA1246" s="348" t="s">
        <v>3543</v>
      </c>
    </row>
    <row r="1247" s="331" customFormat="1" ht="17" customHeight="1" spans="1:27">
      <c r="A1247" s="550" t="s">
        <v>3544</v>
      </c>
      <c r="B1247" s="348" t="s">
        <v>315</v>
      </c>
      <c r="C1247" s="348" t="s">
        <v>366</v>
      </c>
      <c r="D1247" s="352" t="s">
        <v>132</v>
      </c>
      <c r="E1247" s="336">
        <v>43635</v>
      </c>
      <c r="F1247" s="336">
        <v>43625</v>
      </c>
      <c r="G1247" s="350"/>
      <c r="H1247" s="334" t="s">
        <v>3545</v>
      </c>
      <c r="I1247" s="356">
        <v>18321071360</v>
      </c>
      <c r="J1247" s="361" t="s">
        <v>3546</v>
      </c>
      <c r="K1247" s="356">
        <v>9600</v>
      </c>
      <c r="L1247" s="362"/>
      <c r="M1247" s="362"/>
      <c r="N1247" s="362">
        <f t="shared" si="37"/>
        <v>0</v>
      </c>
      <c r="O1247" s="356"/>
      <c r="Q1247" s="356"/>
      <c r="R1247" s="356"/>
      <c r="S1247" s="356"/>
      <c r="T1247" s="356"/>
      <c r="U1247" s="372" t="s">
        <v>136</v>
      </c>
      <c r="V1247" s="372"/>
      <c r="W1247" s="372"/>
      <c r="X1247" s="373"/>
      <c r="Y1247" s="348"/>
      <c r="Z1247" s="348"/>
      <c r="AA1247" s="348"/>
    </row>
    <row r="1248" s="331" customFormat="1" ht="17" customHeight="1" spans="1:27">
      <c r="A1248" s="348">
        <v>2068240</v>
      </c>
      <c r="B1248" s="348" t="s">
        <v>66</v>
      </c>
      <c r="C1248" s="348" t="s">
        <v>67</v>
      </c>
      <c r="D1248" s="334" t="s">
        <v>2302</v>
      </c>
      <c r="E1248" s="336">
        <v>43745</v>
      </c>
      <c r="F1248" s="336">
        <v>43634</v>
      </c>
      <c r="G1248" s="336">
        <v>43745</v>
      </c>
      <c r="H1248" s="334" t="s">
        <v>3547</v>
      </c>
      <c r="I1248" s="356">
        <v>18017728831</v>
      </c>
      <c r="J1248" s="361" t="s">
        <v>3548</v>
      </c>
      <c r="K1248" s="356">
        <v>2580</v>
      </c>
      <c r="L1248" s="334">
        <v>10000</v>
      </c>
      <c r="M1248" s="362"/>
      <c r="N1248" s="362">
        <f t="shared" si="37"/>
        <v>10000</v>
      </c>
      <c r="O1248" s="356"/>
      <c r="Q1248" s="356"/>
      <c r="R1248" s="356"/>
      <c r="S1248" s="356"/>
      <c r="T1248" s="356" t="s">
        <v>52</v>
      </c>
      <c r="U1248" s="372"/>
      <c r="V1248" s="372"/>
      <c r="W1248" s="372"/>
      <c r="X1248" s="373"/>
      <c r="Y1248" s="348" t="s">
        <v>856</v>
      </c>
      <c r="Z1248" s="348"/>
      <c r="AA1248" s="348"/>
    </row>
    <row r="1249" s="331" customFormat="1" ht="17" customHeight="1" spans="1:27">
      <c r="A1249" s="550" t="s">
        <v>3549</v>
      </c>
      <c r="B1249" s="348" t="s">
        <v>169</v>
      </c>
      <c r="C1249" s="348" t="s">
        <v>542</v>
      </c>
      <c r="D1249" s="349" t="s">
        <v>171</v>
      </c>
      <c r="E1249" s="336">
        <v>43635</v>
      </c>
      <c r="F1249" s="336">
        <v>43634</v>
      </c>
      <c r="G1249" s="336">
        <v>43654</v>
      </c>
      <c r="H1249" s="334" t="s">
        <v>3550</v>
      </c>
      <c r="I1249" s="356">
        <v>13585709868</v>
      </c>
      <c r="J1249" s="361" t="s">
        <v>3551</v>
      </c>
      <c r="K1249" s="356">
        <v>3998</v>
      </c>
      <c r="L1249" s="334">
        <v>10683</v>
      </c>
      <c r="M1249" s="334">
        <f>168+736+368</f>
        <v>1272</v>
      </c>
      <c r="N1249" s="362">
        <f t="shared" si="37"/>
        <v>11955</v>
      </c>
      <c r="O1249" s="356"/>
      <c r="Q1249" s="356"/>
      <c r="R1249" s="356"/>
      <c r="S1249" s="356"/>
      <c r="T1249" s="356"/>
      <c r="U1249" s="372"/>
      <c r="V1249" s="372"/>
      <c r="W1249" s="372"/>
      <c r="X1249" s="373"/>
      <c r="Y1249" s="348" t="s">
        <v>856</v>
      </c>
      <c r="Z1249" s="348"/>
      <c r="AA1249" s="348"/>
    </row>
    <row r="1250" s="331" customFormat="1" ht="17" customHeight="1" spans="1:27">
      <c r="A1250" s="348">
        <v>2027588</v>
      </c>
      <c r="B1250" s="348" t="s">
        <v>73</v>
      </c>
      <c r="C1250" s="348" t="s">
        <v>74</v>
      </c>
      <c r="D1250" s="352" t="s">
        <v>75</v>
      </c>
      <c r="E1250" s="336">
        <v>43635</v>
      </c>
      <c r="F1250" s="336">
        <v>43635</v>
      </c>
      <c r="G1250" s="350" t="s">
        <v>69</v>
      </c>
      <c r="H1250" s="334" t="s">
        <v>3552</v>
      </c>
      <c r="I1250" s="356">
        <v>13564742513</v>
      </c>
      <c r="J1250" s="361" t="s">
        <v>3553</v>
      </c>
      <c r="K1250" s="356">
        <v>1000</v>
      </c>
      <c r="L1250" s="362"/>
      <c r="M1250" s="362"/>
      <c r="N1250" s="362">
        <f t="shared" si="37"/>
        <v>0</v>
      </c>
      <c r="O1250" s="366" t="s">
        <v>52</v>
      </c>
      <c r="Q1250" s="356"/>
      <c r="R1250" s="356"/>
      <c r="S1250" s="356"/>
      <c r="T1250" s="356"/>
      <c r="U1250" s="372"/>
      <c r="V1250" s="372"/>
      <c r="W1250" s="372"/>
      <c r="X1250" s="373"/>
      <c r="Y1250" s="348"/>
      <c r="Z1250" s="348" t="s">
        <v>79</v>
      </c>
      <c r="AA1250" s="348"/>
    </row>
    <row r="1251" s="331" customFormat="1" ht="17" customHeight="1" spans="1:27">
      <c r="A1251" s="348">
        <v>2027587</v>
      </c>
      <c r="B1251" s="348" t="s">
        <v>73</v>
      </c>
      <c r="C1251" s="348" t="s">
        <v>178</v>
      </c>
      <c r="D1251" s="349" t="s">
        <v>44</v>
      </c>
      <c r="E1251" s="336">
        <v>43635</v>
      </c>
      <c r="F1251" s="336">
        <v>43635</v>
      </c>
      <c r="G1251" s="336">
        <v>43666</v>
      </c>
      <c r="H1251" s="334" t="s">
        <v>3554</v>
      </c>
      <c r="I1251" s="356">
        <v>18939723040</v>
      </c>
      <c r="J1251" s="361" t="s">
        <v>3555</v>
      </c>
      <c r="K1251" s="356">
        <v>1000</v>
      </c>
      <c r="L1251" s="334">
        <v>18260</v>
      </c>
      <c r="M1251" s="362"/>
      <c r="N1251" s="362">
        <f t="shared" si="37"/>
        <v>18260</v>
      </c>
      <c r="O1251" s="356"/>
      <c r="Q1251" s="356"/>
      <c r="R1251" s="356"/>
      <c r="S1251" s="356"/>
      <c r="T1251" s="356"/>
      <c r="U1251" s="372"/>
      <c r="V1251" s="372"/>
      <c r="W1251" s="372"/>
      <c r="X1251" s="373"/>
      <c r="Y1251" s="348"/>
      <c r="Z1251" s="348" t="s">
        <v>79</v>
      </c>
      <c r="AA1251" s="348"/>
    </row>
    <row r="1252" s="331" customFormat="1" ht="17" customHeight="1" spans="1:27">
      <c r="A1252" s="348">
        <v>2067625</v>
      </c>
      <c r="B1252" s="348" t="s">
        <v>243</v>
      </c>
      <c r="C1252" s="348" t="s">
        <v>309</v>
      </c>
      <c r="D1252" s="352" t="s">
        <v>49</v>
      </c>
      <c r="E1252" s="336">
        <v>43533</v>
      </c>
      <c r="F1252" s="336">
        <v>43533</v>
      </c>
      <c r="G1252" s="350"/>
      <c r="H1252" s="351" t="s">
        <v>3556</v>
      </c>
      <c r="I1252" s="356">
        <v>18049813591</v>
      </c>
      <c r="J1252" s="361" t="s">
        <v>3557</v>
      </c>
      <c r="K1252" s="356">
        <v>1000</v>
      </c>
      <c r="L1252" s="362"/>
      <c r="M1252" s="362"/>
      <c r="N1252" s="362">
        <f t="shared" si="37"/>
        <v>0</v>
      </c>
      <c r="O1252" s="356"/>
      <c r="Q1252" s="356"/>
      <c r="R1252" s="356"/>
      <c r="S1252" s="356"/>
      <c r="T1252" s="356"/>
      <c r="U1252" s="372" t="s">
        <v>3558</v>
      </c>
      <c r="V1252" s="372"/>
      <c r="W1252" s="372"/>
      <c r="X1252" s="373"/>
      <c r="Y1252" s="348"/>
      <c r="Z1252" s="348"/>
      <c r="AA1252" s="348"/>
    </row>
    <row r="1253" s="331" customFormat="1" ht="17" customHeight="1" spans="1:27">
      <c r="A1253" s="550" t="s">
        <v>3559</v>
      </c>
      <c r="B1253" s="348" t="s">
        <v>66</v>
      </c>
      <c r="C1253" s="348" t="s">
        <v>67</v>
      </c>
      <c r="D1253" s="349" t="s">
        <v>68</v>
      </c>
      <c r="E1253" s="336">
        <v>43635</v>
      </c>
      <c r="F1253" s="336">
        <v>43635</v>
      </c>
      <c r="G1253" s="336">
        <v>43676</v>
      </c>
      <c r="H1253" s="334" t="s">
        <v>3560</v>
      </c>
      <c r="I1253" s="356">
        <v>18321568428</v>
      </c>
      <c r="J1253" s="361" t="s">
        <v>3561</v>
      </c>
      <c r="K1253" s="356">
        <v>1000</v>
      </c>
      <c r="L1253" s="334">
        <v>17109</v>
      </c>
      <c r="M1253" s="334">
        <f>804+536</f>
        <v>1340</v>
      </c>
      <c r="N1253" s="362">
        <f t="shared" si="37"/>
        <v>18449</v>
      </c>
      <c r="O1253" s="356"/>
      <c r="Q1253" s="356" t="s">
        <v>21</v>
      </c>
      <c r="R1253" s="356"/>
      <c r="S1253" s="356"/>
      <c r="T1253" s="356"/>
      <c r="U1253" s="372"/>
      <c r="V1253" s="372" t="s">
        <v>2494</v>
      </c>
      <c r="W1253" s="372"/>
      <c r="X1253" s="373"/>
      <c r="Y1253" s="348" t="s">
        <v>3497</v>
      </c>
      <c r="Z1253" s="348"/>
      <c r="AA1253" s="348"/>
    </row>
    <row r="1254" s="331" customFormat="1" ht="17" customHeight="1" spans="1:27">
      <c r="A1254" s="348">
        <v>2027589</v>
      </c>
      <c r="B1254" s="348" t="s">
        <v>73</v>
      </c>
      <c r="C1254" s="348" t="s">
        <v>74</v>
      </c>
      <c r="D1254" s="352" t="s">
        <v>717</v>
      </c>
      <c r="E1254" s="336">
        <v>43702</v>
      </c>
      <c r="F1254" s="336">
        <v>43635</v>
      </c>
      <c r="G1254" s="336">
        <v>43701</v>
      </c>
      <c r="H1254" s="334" t="s">
        <v>3562</v>
      </c>
      <c r="I1254" s="356">
        <v>18802100289</v>
      </c>
      <c r="J1254" s="361" t="s">
        <v>3563</v>
      </c>
      <c r="K1254" s="356">
        <v>1000</v>
      </c>
      <c r="L1254" s="334">
        <v>40576</v>
      </c>
      <c r="M1254" s="362"/>
      <c r="N1254" s="362">
        <f t="shared" si="37"/>
        <v>40576</v>
      </c>
      <c r="O1254" s="366"/>
      <c r="Q1254" s="366" t="s">
        <v>52</v>
      </c>
      <c r="R1254" s="356"/>
      <c r="S1254" s="356"/>
      <c r="T1254" s="356"/>
      <c r="U1254" s="372"/>
      <c r="V1254" s="372"/>
      <c r="W1254" s="372"/>
      <c r="X1254" s="373"/>
      <c r="Y1254" s="348" t="s">
        <v>3497</v>
      </c>
      <c r="Z1254" s="348" t="s">
        <v>79</v>
      </c>
      <c r="AA1254" s="348"/>
    </row>
    <row r="1255" s="331" customFormat="1" ht="17" customHeight="1" spans="1:27">
      <c r="A1255" s="550" t="s">
        <v>3564</v>
      </c>
      <c r="B1255" s="348" t="s">
        <v>31</v>
      </c>
      <c r="C1255" s="348" t="s">
        <v>419</v>
      </c>
      <c r="D1255" s="349" t="s">
        <v>89</v>
      </c>
      <c r="E1255" s="336">
        <v>43635</v>
      </c>
      <c r="F1255" s="336">
        <v>43635</v>
      </c>
      <c r="G1255" s="336">
        <v>43656</v>
      </c>
      <c r="H1255" s="334" t="s">
        <v>3565</v>
      </c>
      <c r="I1255" s="356">
        <v>13761799710</v>
      </c>
      <c r="J1255" s="361" t="s">
        <v>3566</v>
      </c>
      <c r="K1255" s="356">
        <v>3000</v>
      </c>
      <c r="L1255" s="334">
        <v>11375</v>
      </c>
      <c r="M1255" s="334">
        <v>1016</v>
      </c>
      <c r="N1255" s="362">
        <f t="shared" si="37"/>
        <v>12391</v>
      </c>
      <c r="O1255" s="356"/>
      <c r="Q1255" s="356"/>
      <c r="R1255" s="356"/>
      <c r="S1255" s="356"/>
      <c r="T1255" s="356"/>
      <c r="U1255" s="372"/>
      <c r="V1255" s="372"/>
      <c r="W1255" s="372"/>
      <c r="X1255" s="373"/>
      <c r="Y1255" s="348" t="s">
        <v>856</v>
      </c>
      <c r="Z1255" s="348"/>
      <c r="AA1255" s="348"/>
    </row>
    <row r="1256" s="331" customFormat="1" ht="17" customHeight="1" spans="1:27">
      <c r="A1256" s="550" t="s">
        <v>3567</v>
      </c>
      <c r="B1256" s="348" t="s">
        <v>315</v>
      </c>
      <c r="C1256" s="348" t="s">
        <v>230</v>
      </c>
      <c r="D1256" s="349" t="s">
        <v>182</v>
      </c>
      <c r="E1256" s="336">
        <v>43636</v>
      </c>
      <c r="F1256" s="336">
        <v>43636</v>
      </c>
      <c r="G1256" s="336">
        <v>43652</v>
      </c>
      <c r="H1256" s="334" t="s">
        <v>3568</v>
      </c>
      <c r="I1256" s="356">
        <v>13764368807</v>
      </c>
      <c r="J1256" s="361" t="s">
        <v>3569</v>
      </c>
      <c r="K1256" s="356">
        <v>1000</v>
      </c>
      <c r="L1256" s="334">
        <v>11761</v>
      </c>
      <c r="M1256" s="334">
        <v>1104</v>
      </c>
      <c r="N1256" s="362">
        <f t="shared" si="37"/>
        <v>12865</v>
      </c>
      <c r="O1256" s="356"/>
      <c r="Q1256" s="356"/>
      <c r="R1256" s="356"/>
      <c r="S1256" s="356"/>
      <c r="T1256" s="356"/>
      <c r="U1256" s="372"/>
      <c r="V1256" s="372"/>
      <c r="W1256" s="372"/>
      <c r="X1256" s="373"/>
      <c r="Y1256" s="348"/>
      <c r="Z1256" s="348"/>
      <c r="AA1256" s="348"/>
    </row>
    <row r="1257" s="331" customFormat="1" ht="17" customHeight="1" spans="1:27">
      <c r="A1257" s="348"/>
      <c r="B1257" s="348" t="s">
        <v>31</v>
      </c>
      <c r="C1257" s="348" t="s">
        <v>419</v>
      </c>
      <c r="D1257" s="334" t="s">
        <v>954</v>
      </c>
      <c r="E1257" s="336">
        <v>43737</v>
      </c>
      <c r="F1257" s="336">
        <v>43636</v>
      </c>
      <c r="G1257" s="336">
        <v>43736</v>
      </c>
      <c r="H1257" s="334" t="s">
        <v>3570</v>
      </c>
      <c r="I1257" s="356">
        <v>15921401584</v>
      </c>
      <c r="J1257" s="361" t="s">
        <v>3571</v>
      </c>
      <c r="K1257" s="356">
        <v>1998</v>
      </c>
      <c r="L1257" s="334">
        <v>7545</v>
      </c>
      <c r="M1257" s="362"/>
      <c r="N1257" s="362">
        <f t="shared" si="37"/>
        <v>7545</v>
      </c>
      <c r="O1257" s="356"/>
      <c r="Q1257" s="366" t="s">
        <v>52</v>
      </c>
      <c r="R1257" s="356"/>
      <c r="S1257" s="356"/>
      <c r="T1257" s="356"/>
      <c r="U1257" s="372"/>
      <c r="V1257" s="372"/>
      <c r="W1257" s="372"/>
      <c r="X1257" s="373"/>
      <c r="Y1257" s="348"/>
      <c r="Z1257" s="348"/>
      <c r="AA1257" s="348"/>
    </row>
    <row r="1258" s="331" customFormat="1" ht="17" customHeight="1" spans="1:27">
      <c r="A1258" s="348">
        <v>2024345</v>
      </c>
      <c r="B1258" s="348" t="s">
        <v>137</v>
      </c>
      <c r="C1258" s="348" t="s">
        <v>406</v>
      </c>
      <c r="D1258" s="334" t="s">
        <v>717</v>
      </c>
      <c r="E1258" s="336">
        <v>43767</v>
      </c>
      <c r="F1258" s="336">
        <v>43636</v>
      </c>
      <c r="G1258" s="336">
        <v>43767</v>
      </c>
      <c r="H1258" s="334" t="s">
        <v>3572</v>
      </c>
      <c r="I1258" s="356">
        <v>13916101777</v>
      </c>
      <c r="J1258" s="361" t="s">
        <v>3573</v>
      </c>
      <c r="K1258" s="356">
        <v>800</v>
      </c>
      <c r="L1258" s="334">
        <v>900000</v>
      </c>
      <c r="M1258" s="362"/>
      <c r="N1258" s="362">
        <f t="shared" si="37"/>
        <v>900000</v>
      </c>
      <c r="O1258" s="356">
        <v>1</v>
      </c>
      <c r="Q1258" s="356"/>
      <c r="R1258" s="356"/>
      <c r="S1258" s="356"/>
      <c r="T1258" s="356"/>
      <c r="U1258" s="372"/>
      <c r="V1258" s="372"/>
      <c r="W1258" s="372"/>
      <c r="X1258" s="373">
        <v>1</v>
      </c>
      <c r="Y1258" s="348"/>
      <c r="Z1258" s="348"/>
      <c r="AA1258" s="348"/>
    </row>
    <row r="1259" s="331" customFormat="1" ht="17" customHeight="1" spans="1:27">
      <c r="A1259" s="550" t="s">
        <v>813</v>
      </c>
      <c r="B1259" s="348" t="s">
        <v>185</v>
      </c>
      <c r="C1259" s="348" t="s">
        <v>1204</v>
      </c>
      <c r="D1259" s="349" t="s">
        <v>44</v>
      </c>
      <c r="E1259" s="336">
        <v>43636</v>
      </c>
      <c r="F1259" s="336">
        <v>43632</v>
      </c>
      <c r="G1259" s="350"/>
      <c r="H1259" s="334" t="s">
        <v>3574</v>
      </c>
      <c r="I1259" s="356">
        <v>18202194913</v>
      </c>
      <c r="J1259" s="361" t="s">
        <v>3575</v>
      </c>
      <c r="K1259" s="356">
        <v>1998</v>
      </c>
      <c r="L1259" s="362"/>
      <c r="M1259" s="362"/>
      <c r="N1259" s="362">
        <f t="shared" si="37"/>
        <v>0</v>
      </c>
      <c r="O1259" s="356"/>
      <c r="Q1259" s="356"/>
      <c r="R1259" s="356"/>
      <c r="S1259" s="356"/>
      <c r="T1259" s="356"/>
      <c r="U1259" s="374">
        <v>43695</v>
      </c>
      <c r="V1259" s="372"/>
      <c r="W1259" s="372"/>
      <c r="X1259" s="373"/>
      <c r="Y1259" s="348"/>
      <c r="Z1259" s="348"/>
      <c r="AA1259" s="348"/>
    </row>
    <row r="1260" s="331" customFormat="1" ht="17" customHeight="1" spans="1:27">
      <c r="A1260" s="550" t="s">
        <v>3576</v>
      </c>
      <c r="B1260" s="348" t="s">
        <v>123</v>
      </c>
      <c r="C1260" s="348" t="s">
        <v>2301</v>
      </c>
      <c r="D1260" s="349" t="s">
        <v>125</v>
      </c>
      <c r="E1260" s="336">
        <v>43636</v>
      </c>
      <c r="F1260" s="336">
        <v>43636</v>
      </c>
      <c r="G1260" s="336">
        <v>43651</v>
      </c>
      <c r="H1260" s="334" t="s">
        <v>3577</v>
      </c>
      <c r="I1260" s="356">
        <v>18017978118</v>
      </c>
      <c r="J1260" s="361" t="s">
        <v>3578</v>
      </c>
      <c r="K1260" s="356">
        <v>5000</v>
      </c>
      <c r="L1260" s="334">
        <v>6090</v>
      </c>
      <c r="M1260" s="334">
        <v>1104</v>
      </c>
      <c r="N1260" s="362">
        <f t="shared" si="37"/>
        <v>7194</v>
      </c>
      <c r="O1260" s="356"/>
      <c r="Q1260" s="356"/>
      <c r="R1260" s="356"/>
      <c r="S1260" s="356"/>
      <c r="T1260" s="356"/>
      <c r="U1260" s="372"/>
      <c r="V1260" s="372"/>
      <c r="W1260" s="372"/>
      <c r="X1260" s="373"/>
      <c r="Y1260" s="348"/>
      <c r="Z1260" s="348"/>
      <c r="AA1260" s="348"/>
    </row>
    <row r="1261" s="331" customFormat="1" ht="17" customHeight="1" spans="1:27">
      <c r="A1261" s="348"/>
      <c r="B1261" s="348" t="s">
        <v>169</v>
      </c>
      <c r="C1261" s="348" t="s">
        <v>634</v>
      </c>
      <c r="D1261" s="349" t="s">
        <v>635</v>
      </c>
      <c r="E1261" s="336">
        <v>43637</v>
      </c>
      <c r="F1261" s="336">
        <v>43634</v>
      </c>
      <c r="G1261" s="356" t="s">
        <v>231</v>
      </c>
      <c r="H1261" s="334" t="s">
        <v>3579</v>
      </c>
      <c r="I1261" s="356">
        <v>15300483543</v>
      </c>
      <c r="J1261" s="361" t="s">
        <v>3580</v>
      </c>
      <c r="K1261" s="356">
        <v>2734</v>
      </c>
      <c r="L1261" s="362"/>
      <c r="M1261" s="362"/>
      <c r="N1261" s="362">
        <f t="shared" si="37"/>
        <v>0</v>
      </c>
      <c r="O1261" s="356"/>
      <c r="Q1261" s="356"/>
      <c r="R1261" s="356"/>
      <c r="S1261" s="356"/>
      <c r="T1261" s="356"/>
      <c r="U1261" s="372"/>
      <c r="V1261" s="372"/>
      <c r="W1261" s="372"/>
      <c r="X1261" s="373"/>
      <c r="Y1261" s="348"/>
      <c r="Z1261" s="348"/>
      <c r="AA1261" s="348"/>
    </row>
    <row r="1262" s="331" customFormat="1" ht="17" customHeight="1" spans="1:27">
      <c r="A1262" s="348">
        <v>2024309</v>
      </c>
      <c r="B1262" s="348" t="s">
        <v>137</v>
      </c>
      <c r="C1262" s="348" t="s">
        <v>406</v>
      </c>
      <c r="D1262" s="349" t="s">
        <v>139</v>
      </c>
      <c r="E1262" s="336">
        <v>43637</v>
      </c>
      <c r="F1262" s="336">
        <v>43637</v>
      </c>
      <c r="G1262" s="336">
        <v>43649</v>
      </c>
      <c r="H1262" s="334" t="s">
        <v>3581</v>
      </c>
      <c r="I1262" s="356">
        <v>13621771125</v>
      </c>
      <c r="J1262" s="361" t="s">
        <v>3582</v>
      </c>
      <c r="K1262" s="356">
        <v>3000</v>
      </c>
      <c r="L1262" s="334">
        <v>24623</v>
      </c>
      <c r="M1262" s="334">
        <v>1154</v>
      </c>
      <c r="N1262" s="362">
        <f t="shared" si="37"/>
        <v>25777</v>
      </c>
      <c r="O1262" s="356"/>
      <c r="Q1262" s="356"/>
      <c r="R1262" s="356"/>
      <c r="S1262" s="356"/>
      <c r="T1262" s="356"/>
      <c r="U1262" s="372"/>
      <c r="V1262" s="372"/>
      <c r="W1262" s="372"/>
      <c r="X1262" s="373"/>
      <c r="Y1262" s="348" t="s">
        <v>3583</v>
      </c>
      <c r="Z1262" s="348"/>
      <c r="AA1262" s="348"/>
    </row>
    <row r="1263" s="331" customFormat="1" ht="17" customHeight="1" spans="1:27">
      <c r="A1263" s="348"/>
      <c r="B1263" s="348" t="s">
        <v>87</v>
      </c>
      <c r="C1263" s="348" t="s">
        <v>199</v>
      </c>
      <c r="D1263" s="349" t="s">
        <v>89</v>
      </c>
      <c r="E1263" s="336">
        <v>43637</v>
      </c>
      <c r="F1263" s="336">
        <v>43637</v>
      </c>
      <c r="G1263" s="350"/>
      <c r="H1263" s="334" t="s">
        <v>3584</v>
      </c>
      <c r="I1263" s="356">
        <v>18017917220</v>
      </c>
      <c r="J1263" s="361" t="s">
        <v>3585</v>
      </c>
      <c r="K1263" s="356">
        <v>1999</v>
      </c>
      <c r="L1263" s="362"/>
      <c r="M1263" s="362"/>
      <c r="N1263" s="362">
        <f t="shared" si="37"/>
        <v>0</v>
      </c>
      <c r="O1263" s="356"/>
      <c r="Q1263" s="356"/>
      <c r="R1263" s="356"/>
      <c r="S1263" s="356"/>
      <c r="T1263" s="356"/>
      <c r="U1263" s="411" t="s">
        <v>12</v>
      </c>
      <c r="V1263" s="372"/>
      <c r="W1263" s="372"/>
      <c r="X1263" s="373"/>
      <c r="Y1263" s="348" t="s">
        <v>92</v>
      </c>
      <c r="Z1263" s="348"/>
      <c r="AA1263" s="348"/>
    </row>
    <row r="1264" s="331" customFormat="1" ht="17" customHeight="1" spans="1:27">
      <c r="A1264" s="348">
        <v>2024539</v>
      </c>
      <c r="B1264" s="348" t="s">
        <v>73</v>
      </c>
      <c r="C1264" s="348" t="s">
        <v>74</v>
      </c>
      <c r="D1264" s="349" t="s">
        <v>143</v>
      </c>
      <c r="E1264" s="336">
        <v>43681</v>
      </c>
      <c r="F1264" s="336">
        <v>43631</v>
      </c>
      <c r="G1264" s="336">
        <v>43681</v>
      </c>
      <c r="H1264" s="334" t="s">
        <v>3586</v>
      </c>
      <c r="I1264" s="356">
        <v>18049860597</v>
      </c>
      <c r="J1264" s="361" t="s">
        <v>3587</v>
      </c>
      <c r="K1264" s="356">
        <f>1000+1000</f>
        <v>2000</v>
      </c>
      <c r="L1264" s="334">
        <v>68040</v>
      </c>
      <c r="M1264" s="362"/>
      <c r="N1264" s="362">
        <f t="shared" si="37"/>
        <v>68040</v>
      </c>
      <c r="O1264" s="366" t="s">
        <v>52</v>
      </c>
      <c r="Q1264" s="356"/>
      <c r="R1264" s="356"/>
      <c r="S1264" s="356"/>
      <c r="T1264" s="356"/>
      <c r="U1264" s="372"/>
      <c r="V1264" s="372"/>
      <c r="W1264" s="372"/>
      <c r="X1264" s="373"/>
      <c r="Y1264" s="348"/>
      <c r="Z1264" s="348" t="s">
        <v>79</v>
      </c>
      <c r="AA1264" s="348"/>
    </row>
    <row r="1265" s="331" customFormat="1" ht="17" customHeight="1" spans="1:27">
      <c r="A1265" s="348"/>
      <c r="B1265" s="348" t="s">
        <v>153</v>
      </c>
      <c r="C1265" s="348" t="s">
        <v>302</v>
      </c>
      <c r="D1265" s="349" t="s">
        <v>155</v>
      </c>
      <c r="E1265" s="336"/>
      <c r="F1265" s="336">
        <v>43637</v>
      </c>
      <c r="G1265" s="350"/>
      <c r="H1265" s="334" t="s">
        <v>3588</v>
      </c>
      <c r="I1265" s="356">
        <v>13761386361</v>
      </c>
      <c r="J1265" s="361" t="s">
        <v>3589</v>
      </c>
      <c r="K1265" s="356">
        <v>999</v>
      </c>
      <c r="L1265" s="362"/>
      <c r="M1265" s="362"/>
      <c r="N1265" s="362">
        <f t="shared" si="37"/>
        <v>0</v>
      </c>
      <c r="O1265" s="356"/>
      <c r="Q1265" s="356"/>
      <c r="R1265" s="356"/>
      <c r="S1265" s="356"/>
      <c r="T1265" s="356"/>
      <c r="U1265" s="379" t="s">
        <v>1842</v>
      </c>
      <c r="V1265" s="372"/>
      <c r="W1265" s="372"/>
      <c r="X1265" s="373"/>
      <c r="Y1265" s="348"/>
      <c r="Z1265" s="348"/>
      <c r="AA1265" s="348"/>
    </row>
    <row r="1266" s="331" customFormat="1" ht="17" customHeight="1" spans="1:27">
      <c r="A1266" s="348">
        <v>2068673</v>
      </c>
      <c r="B1266" s="348" t="s">
        <v>137</v>
      </c>
      <c r="C1266" s="348" t="s">
        <v>411</v>
      </c>
      <c r="D1266" s="349" t="s">
        <v>139</v>
      </c>
      <c r="E1266" s="336">
        <v>43637</v>
      </c>
      <c r="F1266" s="336">
        <v>43636</v>
      </c>
      <c r="G1266" s="336">
        <v>43677</v>
      </c>
      <c r="H1266" s="334" t="s">
        <v>3590</v>
      </c>
      <c r="I1266" s="356">
        <v>18121411776</v>
      </c>
      <c r="J1266" s="361" t="s">
        <v>3591</v>
      </c>
      <c r="K1266" s="356">
        <v>2000</v>
      </c>
      <c r="L1266" s="334">
        <v>5714</v>
      </c>
      <c r="M1266" s="334">
        <f>268+268</f>
        <v>536</v>
      </c>
      <c r="N1266" s="362">
        <f t="shared" si="37"/>
        <v>6250</v>
      </c>
      <c r="O1266" s="356">
        <v>1</v>
      </c>
      <c r="Q1266" s="356"/>
      <c r="R1266" s="356"/>
      <c r="S1266" s="356"/>
      <c r="T1266" s="356"/>
      <c r="U1266" s="372"/>
      <c r="V1266" s="372"/>
      <c r="W1266" s="372"/>
      <c r="X1266" s="373"/>
      <c r="Y1266" s="348" t="s">
        <v>3592</v>
      </c>
      <c r="Z1266" s="348"/>
      <c r="AA1266" s="348"/>
    </row>
    <row r="1267" s="331" customFormat="1" ht="17" customHeight="1" spans="1:27">
      <c r="A1267" s="550" t="s">
        <v>3593</v>
      </c>
      <c r="B1267" s="348" t="s">
        <v>185</v>
      </c>
      <c r="C1267" s="348" t="s">
        <v>186</v>
      </c>
      <c r="D1267" s="349" t="s">
        <v>44</v>
      </c>
      <c r="E1267" s="336">
        <v>43637</v>
      </c>
      <c r="F1267" s="336">
        <v>43637</v>
      </c>
      <c r="G1267" s="336">
        <v>43655</v>
      </c>
      <c r="H1267" s="334" t="s">
        <v>3594</v>
      </c>
      <c r="I1267" s="356">
        <v>15021395458</v>
      </c>
      <c r="J1267" s="361" t="s">
        <v>3595</v>
      </c>
      <c r="K1267" s="356">
        <v>4596</v>
      </c>
      <c r="L1267" s="334">
        <v>12990</v>
      </c>
      <c r="M1267" s="334"/>
      <c r="N1267" s="362">
        <f t="shared" ref="N1267:N1293" si="38">L1267+M1267</f>
        <v>12990</v>
      </c>
      <c r="O1267" s="356"/>
      <c r="Q1267" s="356"/>
      <c r="R1267" s="356"/>
      <c r="S1267" s="356"/>
      <c r="T1267" s="356"/>
      <c r="U1267" s="372"/>
      <c r="V1267" s="372"/>
      <c r="W1267" s="372"/>
      <c r="X1267" s="373"/>
      <c r="Y1267" s="348"/>
      <c r="Z1267" s="348"/>
      <c r="AA1267" s="348"/>
    </row>
    <row r="1268" s="331" customFormat="1" ht="17" customHeight="1" spans="1:27">
      <c r="A1268" s="550" t="s">
        <v>3596</v>
      </c>
      <c r="B1268" s="348" t="s">
        <v>31</v>
      </c>
      <c r="C1268" s="348" t="s">
        <v>32</v>
      </c>
      <c r="D1268" s="349" t="s">
        <v>33</v>
      </c>
      <c r="E1268" s="336" t="s">
        <v>133</v>
      </c>
      <c r="F1268" s="336">
        <v>43637</v>
      </c>
      <c r="G1268" s="350"/>
      <c r="H1268" s="334" t="s">
        <v>3597</v>
      </c>
      <c r="I1268" s="356">
        <v>13661815651</v>
      </c>
      <c r="J1268" s="361" t="s">
        <v>3598</v>
      </c>
      <c r="K1268" s="356">
        <v>4510</v>
      </c>
      <c r="L1268" s="362"/>
      <c r="M1268" s="362"/>
      <c r="N1268" s="362">
        <f t="shared" si="38"/>
        <v>0</v>
      </c>
      <c r="O1268" s="356"/>
      <c r="Q1268" s="356"/>
      <c r="R1268" s="356"/>
      <c r="S1268" s="366" t="s">
        <v>52</v>
      </c>
      <c r="T1268" s="356"/>
      <c r="U1268" s="372"/>
      <c r="V1268" s="372"/>
      <c r="W1268" s="372"/>
      <c r="X1268" s="373"/>
      <c r="Y1268" s="348"/>
      <c r="Z1268" s="348"/>
      <c r="AA1268" s="348"/>
    </row>
    <row r="1269" s="331" customFormat="1" ht="17" customHeight="1" spans="1:27">
      <c r="A1269" s="550" t="s">
        <v>3599</v>
      </c>
      <c r="B1269" s="348" t="s">
        <v>31</v>
      </c>
      <c r="C1269" s="348" t="s">
        <v>377</v>
      </c>
      <c r="D1269" s="349" t="s">
        <v>221</v>
      </c>
      <c r="E1269" s="336">
        <v>43730</v>
      </c>
      <c r="F1269" s="336">
        <v>43637</v>
      </c>
      <c r="G1269" s="336">
        <v>43729</v>
      </c>
      <c r="H1269" s="334" t="s">
        <v>3600</v>
      </c>
      <c r="I1269" s="356">
        <v>18017665128</v>
      </c>
      <c r="J1269" s="361" t="s">
        <v>3601</v>
      </c>
      <c r="K1269" s="356">
        <v>2000</v>
      </c>
      <c r="L1269" s="334">
        <f>27580-2208</f>
        <v>25372</v>
      </c>
      <c r="M1269" s="334">
        <v>2208</v>
      </c>
      <c r="N1269" s="362">
        <f t="shared" si="38"/>
        <v>27580</v>
      </c>
      <c r="O1269" s="356"/>
      <c r="Q1269" s="356"/>
      <c r="R1269" s="366"/>
      <c r="S1269" s="366" t="s">
        <v>52</v>
      </c>
      <c r="T1269" s="356"/>
      <c r="U1269" s="372"/>
      <c r="V1269" s="372"/>
      <c r="W1269" s="372"/>
      <c r="X1269" s="373">
        <v>1</v>
      </c>
      <c r="Y1269" s="348"/>
      <c r="Z1269" s="348"/>
      <c r="AA1269" s="348"/>
    </row>
    <row r="1270" s="331" customFormat="1" ht="17" customHeight="1" spans="1:27">
      <c r="A1270" s="550" t="s">
        <v>3602</v>
      </c>
      <c r="B1270" s="348" t="s">
        <v>58</v>
      </c>
      <c r="C1270" s="348" t="s">
        <v>794</v>
      </c>
      <c r="D1270" s="349" t="s">
        <v>110</v>
      </c>
      <c r="E1270" s="336">
        <v>43641</v>
      </c>
      <c r="F1270" s="336">
        <v>43637</v>
      </c>
      <c r="G1270" s="336">
        <v>43655</v>
      </c>
      <c r="H1270" s="334" t="s">
        <v>1920</v>
      </c>
      <c r="I1270" s="356">
        <v>13816862433</v>
      </c>
      <c r="J1270" s="361" t="s">
        <v>3603</v>
      </c>
      <c r="K1270" s="356">
        <v>2997</v>
      </c>
      <c r="L1270" s="334">
        <v>3999</v>
      </c>
      <c r="M1270" s="334"/>
      <c r="N1270" s="362">
        <f t="shared" si="38"/>
        <v>3999</v>
      </c>
      <c r="O1270" s="356"/>
      <c r="Q1270" s="356"/>
      <c r="R1270" s="356"/>
      <c r="S1270" s="356"/>
      <c r="T1270" s="356"/>
      <c r="U1270" s="372"/>
      <c r="V1270" s="372"/>
      <c r="W1270" s="372"/>
      <c r="X1270" s="373"/>
      <c r="Y1270" s="348"/>
      <c r="Z1270" s="348"/>
      <c r="AA1270" s="348"/>
    </row>
    <row r="1271" s="331" customFormat="1" ht="17" customHeight="1" spans="1:27">
      <c r="A1271" s="348"/>
      <c r="B1271" s="348" t="s">
        <v>281</v>
      </c>
      <c r="C1271" s="348" t="s">
        <v>498</v>
      </c>
      <c r="D1271" s="352" t="s">
        <v>49</v>
      </c>
      <c r="E1271" s="336">
        <v>43635</v>
      </c>
      <c r="F1271" s="336">
        <v>43631</v>
      </c>
      <c r="G1271" s="350"/>
      <c r="H1271" s="334" t="s">
        <v>1131</v>
      </c>
      <c r="I1271" s="356">
        <v>18049863098</v>
      </c>
      <c r="J1271" s="361" t="s">
        <v>3604</v>
      </c>
      <c r="K1271" s="356">
        <v>1000</v>
      </c>
      <c r="L1271" s="362"/>
      <c r="M1271" s="362"/>
      <c r="N1271" s="362">
        <f t="shared" si="38"/>
        <v>0</v>
      </c>
      <c r="O1271" s="356"/>
      <c r="Q1271" s="356"/>
      <c r="R1271" s="356"/>
      <c r="S1271" s="356"/>
      <c r="T1271" s="356"/>
      <c r="U1271" s="379">
        <v>6.18</v>
      </c>
      <c r="V1271" s="372"/>
      <c r="W1271" s="372"/>
      <c r="X1271" s="373"/>
      <c r="Y1271" s="348" t="s">
        <v>501</v>
      </c>
      <c r="Z1271" s="348"/>
      <c r="AA1271" s="348"/>
    </row>
    <row r="1272" s="331" customFormat="1" ht="17" customHeight="1" spans="1:27">
      <c r="A1272" s="348">
        <v>2017590</v>
      </c>
      <c r="B1272" s="348" t="s">
        <v>73</v>
      </c>
      <c r="C1272" s="348" t="s">
        <v>74</v>
      </c>
      <c r="D1272" s="352" t="s">
        <v>143</v>
      </c>
      <c r="E1272" s="336">
        <v>43708</v>
      </c>
      <c r="F1272" s="336">
        <v>43636</v>
      </c>
      <c r="G1272" s="336">
        <v>43708</v>
      </c>
      <c r="H1272" s="334" t="s">
        <v>3605</v>
      </c>
      <c r="I1272" s="356">
        <v>13611718687</v>
      </c>
      <c r="J1272" s="361" t="s">
        <v>3606</v>
      </c>
      <c r="K1272" s="356">
        <v>1000</v>
      </c>
      <c r="L1272" s="334">
        <v>28820</v>
      </c>
      <c r="M1272" s="362"/>
      <c r="N1272" s="362">
        <f t="shared" si="38"/>
        <v>28820</v>
      </c>
      <c r="O1272" s="366" t="s">
        <v>52</v>
      </c>
      <c r="Q1272" s="356"/>
      <c r="R1272" s="356"/>
      <c r="S1272" s="356"/>
      <c r="T1272" s="356"/>
      <c r="U1272" s="372"/>
      <c r="V1272" s="372"/>
      <c r="W1272" s="372"/>
      <c r="X1272" s="373"/>
      <c r="Y1272" s="348"/>
      <c r="Z1272" s="348" t="s">
        <v>79</v>
      </c>
      <c r="AA1272" s="348"/>
    </row>
    <row r="1273" s="331" customFormat="1" ht="17" customHeight="1" spans="1:27">
      <c r="A1273" s="550" t="s">
        <v>3607</v>
      </c>
      <c r="B1273" s="348" t="s">
        <v>2625</v>
      </c>
      <c r="C1273" s="348" t="s">
        <v>2626</v>
      </c>
      <c r="D1273" s="352" t="s">
        <v>89</v>
      </c>
      <c r="E1273" s="336">
        <v>43637</v>
      </c>
      <c r="F1273" s="336">
        <v>43637</v>
      </c>
      <c r="G1273" s="350"/>
      <c r="H1273" s="334" t="s">
        <v>3608</v>
      </c>
      <c r="I1273" s="356">
        <v>18019126723</v>
      </c>
      <c r="J1273" s="361" t="s">
        <v>3609</v>
      </c>
      <c r="K1273" s="356">
        <v>1000</v>
      </c>
      <c r="L1273" s="362"/>
      <c r="M1273" s="362"/>
      <c r="N1273" s="362">
        <f t="shared" si="38"/>
        <v>0</v>
      </c>
      <c r="O1273" s="356"/>
      <c r="Q1273" s="356"/>
      <c r="R1273" s="356"/>
      <c r="S1273" s="356"/>
      <c r="T1273" s="356"/>
      <c r="U1273" s="372">
        <v>43648</v>
      </c>
      <c r="V1273" s="372"/>
      <c r="W1273" s="372"/>
      <c r="X1273" s="373"/>
      <c r="Y1273" s="348" t="s">
        <v>856</v>
      </c>
      <c r="Z1273" s="348"/>
      <c r="AA1273" s="348"/>
    </row>
    <row r="1274" s="331" customFormat="1" ht="17" customHeight="1" spans="1:27">
      <c r="A1274" s="348"/>
      <c r="B1274" s="348" t="s">
        <v>35</v>
      </c>
      <c r="C1274" s="348" t="s">
        <v>392</v>
      </c>
      <c r="D1274" s="349" t="s">
        <v>37</v>
      </c>
      <c r="E1274" s="336">
        <v>43672</v>
      </c>
      <c r="F1274" s="336">
        <v>43638</v>
      </c>
      <c r="G1274" s="336">
        <v>43660</v>
      </c>
      <c r="H1274" s="334" t="s">
        <v>3610</v>
      </c>
      <c r="I1274" s="356">
        <v>17811892590</v>
      </c>
      <c r="J1274" s="361" t="s">
        <v>3611</v>
      </c>
      <c r="K1274" s="356">
        <v>2798</v>
      </c>
      <c r="L1274" s="334">
        <v>6068</v>
      </c>
      <c r="M1274" s="362"/>
      <c r="N1274" s="362">
        <f t="shared" si="38"/>
        <v>6068</v>
      </c>
      <c r="O1274" s="356"/>
      <c r="Q1274" s="356"/>
      <c r="R1274" s="356"/>
      <c r="S1274" s="356"/>
      <c r="T1274" s="356"/>
      <c r="U1274" s="372"/>
      <c r="V1274" s="372"/>
      <c r="W1274" s="372"/>
      <c r="X1274" s="373"/>
      <c r="Y1274" s="348"/>
      <c r="Z1274" s="348"/>
      <c r="AA1274" s="348"/>
    </row>
    <row r="1275" s="331" customFormat="1" ht="17" customHeight="1" spans="1:27">
      <c r="A1275" s="550" t="s">
        <v>3612</v>
      </c>
      <c r="B1275" s="348" t="s">
        <v>185</v>
      </c>
      <c r="C1275" s="348" t="s">
        <v>886</v>
      </c>
      <c r="D1275" s="349" t="s">
        <v>187</v>
      </c>
      <c r="E1275" s="336"/>
      <c r="F1275" s="336">
        <v>43638</v>
      </c>
      <c r="G1275" s="350"/>
      <c r="H1275" s="334" t="s">
        <v>3613</v>
      </c>
      <c r="I1275" s="356">
        <v>15002151604</v>
      </c>
      <c r="J1275" s="361" t="s">
        <v>3614</v>
      </c>
      <c r="K1275" s="356">
        <v>0</v>
      </c>
      <c r="L1275" s="362"/>
      <c r="M1275" s="362"/>
      <c r="N1275" s="362">
        <f t="shared" si="38"/>
        <v>0</v>
      </c>
      <c r="O1275" s="356"/>
      <c r="Q1275" s="356"/>
      <c r="R1275" s="356"/>
      <c r="S1275" s="356" t="s">
        <v>52</v>
      </c>
      <c r="T1275" s="356"/>
      <c r="U1275" s="374">
        <v>43647</v>
      </c>
      <c r="V1275" s="372"/>
      <c r="W1275" s="372"/>
      <c r="X1275" s="373"/>
      <c r="Y1275" s="348"/>
      <c r="Z1275" s="348" t="s">
        <v>3615</v>
      </c>
      <c r="AA1275" s="348"/>
    </row>
    <row r="1276" s="331" customFormat="1" ht="17" customHeight="1" spans="1:27">
      <c r="A1276" s="550" t="s">
        <v>3616</v>
      </c>
      <c r="B1276" s="348" t="s">
        <v>58</v>
      </c>
      <c r="C1276" s="348" t="s">
        <v>347</v>
      </c>
      <c r="D1276" s="349" t="s">
        <v>343</v>
      </c>
      <c r="E1276" s="336">
        <v>43638</v>
      </c>
      <c r="F1276" s="336">
        <v>43638</v>
      </c>
      <c r="G1276" s="336">
        <v>43661</v>
      </c>
      <c r="H1276" s="334" t="s">
        <v>3617</v>
      </c>
      <c r="I1276" s="356">
        <v>13501661388</v>
      </c>
      <c r="J1276" s="361" t="s">
        <v>3618</v>
      </c>
      <c r="K1276" s="356">
        <v>30000</v>
      </c>
      <c r="L1276" s="334">
        <v>30000</v>
      </c>
      <c r="M1276" s="334"/>
      <c r="N1276" s="362">
        <f t="shared" si="38"/>
        <v>30000</v>
      </c>
      <c r="O1276" s="356"/>
      <c r="Q1276" s="356"/>
      <c r="R1276" s="356"/>
      <c r="S1276" s="356"/>
      <c r="T1276" s="356"/>
      <c r="U1276" s="372"/>
      <c r="V1276" s="372"/>
      <c r="W1276" s="372"/>
      <c r="X1276" s="373"/>
      <c r="Y1276" s="348"/>
      <c r="Z1276" s="348" t="s">
        <v>3619</v>
      </c>
      <c r="AA1276" s="348"/>
    </row>
    <row r="1277" s="331" customFormat="1" ht="17" customHeight="1" spans="1:27">
      <c r="A1277" s="348">
        <v>2024531</v>
      </c>
      <c r="B1277" s="348" t="s">
        <v>73</v>
      </c>
      <c r="C1277" s="348" t="s">
        <v>74</v>
      </c>
      <c r="D1277" s="352" t="s">
        <v>75</v>
      </c>
      <c r="E1277" s="336">
        <v>43625</v>
      </c>
      <c r="F1277" s="336">
        <v>43624</v>
      </c>
      <c r="G1277" s="350" t="s">
        <v>69</v>
      </c>
      <c r="H1277" s="334" t="s">
        <v>3620</v>
      </c>
      <c r="I1277" s="356">
        <v>13701701743</v>
      </c>
      <c r="J1277" s="361" t="s">
        <v>3621</v>
      </c>
      <c r="K1277" s="356">
        <v>1000</v>
      </c>
      <c r="L1277" s="362"/>
      <c r="M1277" s="362"/>
      <c r="N1277" s="362">
        <f t="shared" si="38"/>
        <v>0</v>
      </c>
      <c r="O1277" s="356"/>
      <c r="Q1277" s="366" t="s">
        <v>52</v>
      </c>
      <c r="R1277" s="356"/>
      <c r="S1277" s="356"/>
      <c r="T1277" s="356"/>
      <c r="U1277" s="372"/>
      <c r="V1277" s="372"/>
      <c r="W1277" s="372"/>
      <c r="X1277" s="373"/>
      <c r="Y1277" s="348"/>
      <c r="Z1277" s="348" t="s">
        <v>79</v>
      </c>
      <c r="AA1277" s="348"/>
    </row>
    <row r="1278" s="331" customFormat="1" ht="17" customHeight="1" spans="1:27">
      <c r="A1278" s="550" t="s">
        <v>3622</v>
      </c>
      <c r="B1278" s="348" t="s">
        <v>2625</v>
      </c>
      <c r="C1278" s="348" t="s">
        <v>2626</v>
      </c>
      <c r="D1278" s="352" t="s">
        <v>89</v>
      </c>
      <c r="E1278" s="336">
        <v>43638</v>
      </c>
      <c r="F1278" s="336">
        <v>43638</v>
      </c>
      <c r="G1278" s="350"/>
      <c r="H1278" s="334" t="s">
        <v>3623</v>
      </c>
      <c r="I1278" s="356">
        <v>13381820101</v>
      </c>
      <c r="J1278" s="361" t="s">
        <v>3624</v>
      </c>
      <c r="K1278" s="356">
        <v>1000</v>
      </c>
      <c r="L1278" s="362"/>
      <c r="M1278" s="362"/>
      <c r="N1278" s="362">
        <f t="shared" si="38"/>
        <v>0</v>
      </c>
      <c r="O1278" s="356" t="s">
        <v>19</v>
      </c>
      <c r="Q1278" s="356"/>
      <c r="R1278" s="356"/>
      <c r="S1278" s="356"/>
      <c r="T1278" s="356"/>
      <c r="U1278" s="372"/>
      <c r="V1278" s="372"/>
      <c r="W1278" s="372"/>
      <c r="X1278" s="373">
        <v>1</v>
      </c>
      <c r="Y1278" s="348"/>
      <c r="Z1278" s="348"/>
      <c r="AA1278" s="348"/>
    </row>
    <row r="1279" s="331" customFormat="1" ht="17" customHeight="1" spans="1:27">
      <c r="A1279" s="550" t="s">
        <v>3014</v>
      </c>
      <c r="B1279" s="348" t="s">
        <v>94</v>
      </c>
      <c r="C1279" s="348" t="s">
        <v>95</v>
      </c>
      <c r="D1279" s="352" t="s">
        <v>49</v>
      </c>
      <c r="E1279" s="336">
        <v>43638</v>
      </c>
      <c r="F1279" s="336">
        <v>43638</v>
      </c>
      <c r="G1279" s="336">
        <v>43676</v>
      </c>
      <c r="H1279" s="334" t="s">
        <v>3625</v>
      </c>
      <c r="I1279" s="356">
        <v>13162678005</v>
      </c>
      <c r="J1279" s="361" t="s">
        <v>3626</v>
      </c>
      <c r="K1279" s="356">
        <v>1000</v>
      </c>
      <c r="L1279" s="334">
        <v>5851</v>
      </c>
      <c r="M1279" s="362"/>
      <c r="N1279" s="362">
        <f t="shared" si="38"/>
        <v>5851</v>
      </c>
      <c r="O1279" s="356"/>
      <c r="Q1279" s="356"/>
      <c r="R1279" s="356"/>
      <c r="S1279" s="366"/>
      <c r="T1279" s="356"/>
      <c r="U1279" s="372"/>
      <c r="V1279" s="372"/>
      <c r="W1279" s="372" t="s">
        <v>98</v>
      </c>
      <c r="X1279" s="373"/>
      <c r="Y1279" s="348"/>
      <c r="Z1279" s="348"/>
      <c r="AA1279" s="348"/>
    </row>
    <row r="1280" s="331" customFormat="1" ht="17" customHeight="1" spans="1:27">
      <c r="A1280" s="550" t="s">
        <v>3627</v>
      </c>
      <c r="B1280" s="348" t="s">
        <v>94</v>
      </c>
      <c r="C1280" s="348" t="s">
        <v>101</v>
      </c>
      <c r="D1280" s="352" t="s">
        <v>49</v>
      </c>
      <c r="E1280" s="336">
        <v>43638</v>
      </c>
      <c r="F1280" s="336">
        <v>43638</v>
      </c>
      <c r="G1280" s="336">
        <v>43668</v>
      </c>
      <c r="H1280" s="334" t="s">
        <v>3628</v>
      </c>
      <c r="I1280" s="356">
        <v>13611677970</v>
      </c>
      <c r="J1280" s="361" t="s">
        <v>3629</v>
      </c>
      <c r="K1280" s="356">
        <v>1000</v>
      </c>
      <c r="L1280" s="334">
        <v>18814</v>
      </c>
      <c r="M1280" s="362"/>
      <c r="N1280" s="362">
        <f t="shared" si="38"/>
        <v>18814</v>
      </c>
      <c r="O1280" s="356"/>
      <c r="Q1280" s="356"/>
      <c r="R1280" s="356"/>
      <c r="S1280" s="356"/>
      <c r="T1280" s="356"/>
      <c r="U1280" s="372"/>
      <c r="V1280" s="372"/>
      <c r="W1280" s="372"/>
      <c r="X1280" s="373"/>
      <c r="Y1280" s="348"/>
      <c r="Z1280" s="348"/>
      <c r="AA1280" s="348"/>
    </row>
    <row r="1281" s="331" customFormat="1" ht="17" customHeight="1" spans="1:27">
      <c r="A1281" s="550" t="s">
        <v>3062</v>
      </c>
      <c r="B1281" s="348" t="s">
        <v>94</v>
      </c>
      <c r="C1281" s="348" t="s">
        <v>101</v>
      </c>
      <c r="D1281" s="352" t="s">
        <v>49</v>
      </c>
      <c r="E1281" s="336">
        <v>43680</v>
      </c>
      <c r="F1281" s="336">
        <v>43638</v>
      </c>
      <c r="G1281" s="336">
        <v>43679</v>
      </c>
      <c r="H1281" s="334" t="s">
        <v>3630</v>
      </c>
      <c r="I1281" s="356">
        <v>18121217200</v>
      </c>
      <c r="J1281" s="361" t="s">
        <v>3631</v>
      </c>
      <c r="K1281" s="356">
        <v>1000</v>
      </c>
      <c r="L1281" s="334">
        <v>10697</v>
      </c>
      <c r="M1281" s="362">
        <f>268+536</f>
        <v>804</v>
      </c>
      <c r="N1281" s="362">
        <f t="shared" si="38"/>
        <v>11501</v>
      </c>
      <c r="O1281" s="356"/>
      <c r="Q1281" s="366"/>
      <c r="R1281" s="356"/>
      <c r="S1281" s="356"/>
      <c r="T1281" s="356"/>
      <c r="U1281" s="372"/>
      <c r="V1281" s="372"/>
      <c r="W1281" s="372" t="s">
        <v>98</v>
      </c>
      <c r="X1281" s="373"/>
      <c r="Y1281" s="348"/>
      <c r="Z1281" s="348"/>
      <c r="AA1281" s="348"/>
    </row>
    <row r="1282" s="331" customFormat="1" ht="17" customHeight="1" spans="1:27">
      <c r="A1282" s="550" t="s">
        <v>3632</v>
      </c>
      <c r="B1282" s="348" t="s">
        <v>169</v>
      </c>
      <c r="C1282" s="348" t="s">
        <v>170</v>
      </c>
      <c r="D1282" s="352" t="s">
        <v>171</v>
      </c>
      <c r="E1282" s="336">
        <v>43681</v>
      </c>
      <c r="F1282" s="336">
        <v>43632</v>
      </c>
      <c r="G1282" s="336">
        <v>43680</v>
      </c>
      <c r="H1282" s="334" t="s">
        <v>3633</v>
      </c>
      <c r="I1282" s="356">
        <v>18301793117</v>
      </c>
      <c r="J1282" s="361" t="s">
        <v>3634</v>
      </c>
      <c r="K1282" s="356">
        <v>1000</v>
      </c>
      <c r="L1282" s="334">
        <v>4529</v>
      </c>
      <c r="M1282" s="362"/>
      <c r="N1282" s="362">
        <f t="shared" si="38"/>
        <v>4529</v>
      </c>
      <c r="O1282" s="356" t="s">
        <v>19</v>
      </c>
      <c r="Q1282" s="356"/>
      <c r="R1282" s="356"/>
      <c r="S1282" s="356"/>
      <c r="T1282" s="356"/>
      <c r="U1282" s="372"/>
      <c r="V1282" s="372"/>
      <c r="W1282" s="372" t="s">
        <v>3635</v>
      </c>
      <c r="X1282" s="373"/>
      <c r="Y1282" s="348"/>
      <c r="Z1282" s="348"/>
      <c r="AA1282" s="348"/>
    </row>
    <row r="1283" s="331" customFormat="1" ht="17" customHeight="1" spans="1:27">
      <c r="A1283" s="550" t="s">
        <v>3636</v>
      </c>
      <c r="B1283" s="348" t="s">
        <v>66</v>
      </c>
      <c r="C1283" s="348" t="s">
        <v>119</v>
      </c>
      <c r="D1283" s="349" t="s">
        <v>68</v>
      </c>
      <c r="E1283" s="336">
        <v>43696</v>
      </c>
      <c r="F1283" s="336">
        <v>43638</v>
      </c>
      <c r="G1283" s="336">
        <v>43696</v>
      </c>
      <c r="H1283" s="334" t="s">
        <v>3637</v>
      </c>
      <c r="I1283" s="356">
        <v>15800564322</v>
      </c>
      <c r="J1283" s="361" t="s">
        <v>3638</v>
      </c>
      <c r="K1283" s="356">
        <v>4900</v>
      </c>
      <c r="L1283" s="334">
        <v>4900</v>
      </c>
      <c r="M1283" s="362"/>
      <c r="N1283" s="362">
        <f t="shared" si="38"/>
        <v>4900</v>
      </c>
      <c r="O1283" s="356"/>
      <c r="Q1283" s="356" t="s">
        <v>1686</v>
      </c>
      <c r="R1283" s="356"/>
      <c r="S1283" s="356"/>
      <c r="T1283" s="356"/>
      <c r="U1283" s="372"/>
      <c r="V1283" s="372"/>
      <c r="W1283" s="372"/>
      <c r="X1283" s="373"/>
      <c r="Y1283" s="348"/>
      <c r="Z1283" s="348"/>
      <c r="AA1283" s="348"/>
    </row>
    <row r="1284" s="331" customFormat="1" ht="17" customHeight="1" spans="1:27">
      <c r="A1284" s="550" t="s">
        <v>3639</v>
      </c>
      <c r="B1284" s="348" t="s">
        <v>123</v>
      </c>
      <c r="C1284" s="348" t="s">
        <v>124</v>
      </c>
      <c r="D1284" s="349" t="s">
        <v>125</v>
      </c>
      <c r="E1284" s="336">
        <v>43638</v>
      </c>
      <c r="F1284" s="336">
        <v>43638</v>
      </c>
      <c r="G1284" s="336">
        <v>43669</v>
      </c>
      <c r="H1284" s="334" t="s">
        <v>3640</v>
      </c>
      <c r="I1284" s="356">
        <v>13917741726</v>
      </c>
      <c r="J1284" s="361" t="s">
        <v>3641</v>
      </c>
      <c r="K1284" s="356">
        <v>5000</v>
      </c>
      <c r="L1284" s="334">
        <v>6707</v>
      </c>
      <c r="M1284" s="334">
        <v>1104</v>
      </c>
      <c r="N1284" s="362">
        <f t="shared" si="38"/>
        <v>7811</v>
      </c>
      <c r="O1284" s="356"/>
      <c r="Q1284" s="356"/>
      <c r="R1284" s="356"/>
      <c r="S1284" s="356"/>
      <c r="T1284" s="356"/>
      <c r="U1284" s="372"/>
      <c r="V1284" s="372"/>
      <c r="W1284" s="372"/>
      <c r="X1284" s="373"/>
      <c r="Y1284" s="348"/>
      <c r="Z1284" s="348"/>
      <c r="AA1284" s="348"/>
    </row>
    <row r="1285" s="331" customFormat="1" ht="17" customHeight="1" spans="1:27">
      <c r="A1285" s="550" t="s">
        <v>3642</v>
      </c>
      <c r="B1285" s="348" t="s">
        <v>315</v>
      </c>
      <c r="C1285" s="348" t="s">
        <v>181</v>
      </c>
      <c r="D1285" s="349" t="s">
        <v>132</v>
      </c>
      <c r="E1285" s="336">
        <v>43638</v>
      </c>
      <c r="F1285" s="336">
        <v>43638</v>
      </c>
      <c r="G1285" s="336">
        <v>43653</v>
      </c>
      <c r="H1285" s="334" t="s">
        <v>3643</v>
      </c>
      <c r="I1285" s="356">
        <v>15800906218</v>
      </c>
      <c r="J1285" s="361" t="s">
        <v>3644</v>
      </c>
      <c r="K1285" s="356">
        <v>7032</v>
      </c>
      <c r="L1285" s="334">
        <v>8190</v>
      </c>
      <c r="M1285" s="334">
        <v>1340</v>
      </c>
      <c r="N1285" s="362">
        <f t="shared" si="38"/>
        <v>9530</v>
      </c>
      <c r="O1285" s="356"/>
      <c r="Q1285" s="356"/>
      <c r="R1285" s="356"/>
      <c r="S1285" s="356"/>
      <c r="T1285" s="356"/>
      <c r="U1285" s="372"/>
      <c r="V1285" s="372"/>
      <c r="W1285" s="372"/>
      <c r="X1285" s="373"/>
      <c r="Y1285" s="348"/>
      <c r="Z1285" s="348"/>
      <c r="AA1285" s="348"/>
    </row>
    <row r="1286" s="331" customFormat="1" ht="17" customHeight="1" spans="1:27">
      <c r="A1286" s="348"/>
      <c r="B1286" s="348" t="s">
        <v>281</v>
      </c>
      <c r="C1286" s="416" t="s">
        <v>491</v>
      </c>
      <c r="D1286" s="352" t="s">
        <v>49</v>
      </c>
      <c r="E1286" s="336"/>
      <c r="F1286" s="336">
        <v>43554</v>
      </c>
      <c r="G1286" s="372" t="s">
        <v>231</v>
      </c>
      <c r="H1286" s="334" t="s">
        <v>3645</v>
      </c>
      <c r="I1286" s="356">
        <v>18097347818</v>
      </c>
      <c r="J1286" s="361" t="s">
        <v>3646</v>
      </c>
      <c r="K1286" s="356">
        <v>500</v>
      </c>
      <c r="L1286" s="362"/>
      <c r="M1286" s="362"/>
      <c r="N1286" s="362">
        <f t="shared" si="38"/>
        <v>0</v>
      </c>
      <c r="O1286" s="356"/>
      <c r="Q1286" s="356" t="s">
        <v>52</v>
      </c>
      <c r="R1286" s="356"/>
      <c r="S1286" s="356"/>
      <c r="T1286" s="356"/>
      <c r="U1286" s="372"/>
      <c r="V1286" s="372"/>
      <c r="W1286" s="372"/>
      <c r="X1286" s="373"/>
      <c r="Y1286" s="348"/>
      <c r="Z1286" s="348"/>
      <c r="AA1286" s="348"/>
    </row>
    <row r="1287" s="331" customFormat="1" ht="17" customHeight="1" spans="1:27">
      <c r="A1287" s="348">
        <v>2066932</v>
      </c>
      <c r="B1287" s="348" t="s">
        <v>335</v>
      </c>
      <c r="C1287" s="348" t="s">
        <v>399</v>
      </c>
      <c r="D1287" s="349" t="s">
        <v>337</v>
      </c>
      <c r="E1287" s="336">
        <v>43689</v>
      </c>
      <c r="F1287" s="336">
        <v>43638</v>
      </c>
      <c r="G1287" s="336">
        <v>43688</v>
      </c>
      <c r="H1287" s="334" t="s">
        <v>3647</v>
      </c>
      <c r="I1287" s="356" t="s">
        <v>3648</v>
      </c>
      <c r="J1287" s="361" t="s">
        <v>3649</v>
      </c>
      <c r="K1287" s="356">
        <v>1000</v>
      </c>
      <c r="L1287" s="334">
        <v>20000</v>
      </c>
      <c r="M1287" s="362"/>
      <c r="N1287" s="362">
        <f t="shared" si="38"/>
        <v>20000</v>
      </c>
      <c r="O1287" s="356"/>
      <c r="Q1287" s="356"/>
      <c r="R1287" s="356"/>
      <c r="S1287" s="356"/>
      <c r="T1287" s="356"/>
      <c r="U1287" s="372"/>
      <c r="V1287" s="372" t="s">
        <v>3650</v>
      </c>
      <c r="W1287" s="372"/>
      <c r="X1287" s="373"/>
      <c r="Y1287" s="348" t="s">
        <v>274</v>
      </c>
      <c r="Z1287" s="348"/>
      <c r="AA1287" s="348"/>
    </row>
    <row r="1288" s="331" customFormat="1" ht="17" customHeight="1" spans="1:27">
      <c r="A1288" s="348"/>
      <c r="B1288" s="348" t="s">
        <v>87</v>
      </c>
      <c r="C1288" s="348" t="s">
        <v>1757</v>
      </c>
      <c r="D1288" s="349" t="s">
        <v>75</v>
      </c>
      <c r="E1288" s="336">
        <v>43639</v>
      </c>
      <c r="F1288" s="336">
        <v>43638</v>
      </c>
      <c r="G1288" s="336">
        <v>43653</v>
      </c>
      <c r="H1288" s="334" t="s">
        <v>187</v>
      </c>
      <c r="I1288" s="356">
        <v>13671605968</v>
      </c>
      <c r="J1288" s="361" t="s">
        <v>3651</v>
      </c>
      <c r="K1288" s="356">
        <v>1000</v>
      </c>
      <c r="L1288" s="334">
        <v>8361</v>
      </c>
      <c r="M1288" s="334"/>
      <c r="N1288" s="362">
        <f t="shared" si="38"/>
        <v>8361</v>
      </c>
      <c r="O1288" s="356"/>
      <c r="Q1288" s="356"/>
      <c r="R1288" s="356"/>
      <c r="S1288" s="356"/>
      <c r="T1288" s="356"/>
      <c r="U1288" s="372"/>
      <c r="V1288" s="372"/>
      <c r="W1288" s="372"/>
      <c r="X1288" s="373"/>
      <c r="Y1288" s="348" t="s">
        <v>3652</v>
      </c>
      <c r="Z1288" s="348"/>
      <c r="AA1288" s="348"/>
    </row>
    <row r="1289" s="331" customFormat="1" ht="17" customHeight="1" spans="1:27">
      <c r="A1289" s="550" t="s">
        <v>3653</v>
      </c>
      <c r="B1289" s="348" t="s">
        <v>42</v>
      </c>
      <c r="C1289" s="348" t="s">
        <v>1728</v>
      </c>
      <c r="D1289" s="349" t="s">
        <v>44</v>
      </c>
      <c r="E1289" s="336">
        <v>43639</v>
      </c>
      <c r="F1289" s="336">
        <v>43638</v>
      </c>
      <c r="G1289" s="356" t="s">
        <v>3654</v>
      </c>
      <c r="H1289" s="334" t="s">
        <v>3655</v>
      </c>
      <c r="I1289" s="356">
        <v>13918221303</v>
      </c>
      <c r="J1289" s="361" t="s">
        <v>3656</v>
      </c>
      <c r="K1289" s="356">
        <v>1000</v>
      </c>
      <c r="L1289" s="362"/>
      <c r="M1289" s="362"/>
      <c r="N1289" s="362">
        <f t="shared" si="38"/>
        <v>0</v>
      </c>
      <c r="O1289" s="356"/>
      <c r="P1289" s="356"/>
      <c r="Q1289" s="356"/>
      <c r="R1289" s="356" t="s">
        <v>22</v>
      </c>
      <c r="S1289" s="356"/>
      <c r="T1289" s="356"/>
      <c r="U1289" s="372"/>
      <c r="V1289" s="372"/>
      <c r="W1289" s="372"/>
      <c r="X1289" s="373"/>
      <c r="Y1289" s="348"/>
      <c r="Z1289" s="348"/>
      <c r="AA1289" s="348"/>
    </row>
    <row r="1290" s="331" customFormat="1" ht="17" customHeight="1" spans="1:27">
      <c r="A1290" s="550" t="s">
        <v>3657</v>
      </c>
      <c r="B1290" s="348" t="s">
        <v>2625</v>
      </c>
      <c r="C1290" s="348" t="s">
        <v>2626</v>
      </c>
      <c r="D1290" s="349" t="s">
        <v>44</v>
      </c>
      <c r="E1290" s="336">
        <v>43696</v>
      </c>
      <c r="F1290" s="336">
        <v>43639</v>
      </c>
      <c r="G1290" s="336">
        <v>43694</v>
      </c>
      <c r="H1290" s="334" t="s">
        <v>3658</v>
      </c>
      <c r="I1290" s="356">
        <v>13381787533</v>
      </c>
      <c r="J1290" s="361" t="s">
        <v>3659</v>
      </c>
      <c r="K1290" s="356">
        <v>2000</v>
      </c>
      <c r="L1290" s="334">
        <v>31000</v>
      </c>
      <c r="M1290" s="362"/>
      <c r="N1290" s="362">
        <f t="shared" si="38"/>
        <v>31000</v>
      </c>
      <c r="O1290" s="356"/>
      <c r="Q1290" s="356"/>
      <c r="R1290" s="356"/>
      <c r="S1290" s="356" t="s">
        <v>3660</v>
      </c>
      <c r="T1290" s="356"/>
      <c r="U1290" s="372"/>
      <c r="V1290" s="372"/>
      <c r="W1290" s="372"/>
      <c r="X1290" s="373"/>
      <c r="Y1290" s="348"/>
      <c r="Z1290" s="348"/>
      <c r="AA1290" s="348"/>
    </row>
    <row r="1291" s="331" customFormat="1" ht="17" customHeight="1" spans="1:27">
      <c r="A1291" s="348"/>
      <c r="B1291" s="348" t="s">
        <v>281</v>
      </c>
      <c r="C1291" s="348" t="s">
        <v>498</v>
      </c>
      <c r="D1291" s="352" t="s">
        <v>49</v>
      </c>
      <c r="E1291" s="336">
        <v>43695</v>
      </c>
      <c r="F1291" s="336">
        <v>43631</v>
      </c>
      <c r="G1291" s="336">
        <v>43695</v>
      </c>
      <c r="H1291" s="334" t="s">
        <v>3661</v>
      </c>
      <c r="I1291" s="356">
        <v>18101655033</v>
      </c>
      <c r="J1291" s="361" t="s">
        <v>3662</v>
      </c>
      <c r="K1291" s="356">
        <v>1000</v>
      </c>
      <c r="L1291" s="334">
        <v>44598</v>
      </c>
      <c r="M1291" s="362"/>
      <c r="N1291" s="362">
        <f t="shared" si="38"/>
        <v>44598</v>
      </c>
      <c r="O1291" s="356"/>
      <c r="Q1291" s="356"/>
      <c r="R1291" s="356" t="s">
        <v>52</v>
      </c>
      <c r="S1291" s="356"/>
      <c r="T1291" s="356"/>
      <c r="U1291" s="372"/>
      <c r="V1291" s="372"/>
      <c r="W1291" s="372"/>
      <c r="X1291" s="373"/>
      <c r="Y1291" s="348" t="s">
        <v>501</v>
      </c>
      <c r="Z1291" s="348"/>
      <c r="AA1291" s="348"/>
    </row>
    <row r="1292" s="331" customFormat="1" ht="17" customHeight="1" spans="1:27">
      <c r="A1292" s="348"/>
      <c r="B1292" s="348" t="s">
        <v>281</v>
      </c>
      <c r="C1292" s="348" t="s">
        <v>498</v>
      </c>
      <c r="D1292" s="352" t="s">
        <v>49</v>
      </c>
      <c r="E1292" s="336">
        <v>43635</v>
      </c>
      <c r="F1292" s="336">
        <v>43631</v>
      </c>
      <c r="G1292" s="350"/>
      <c r="H1292" s="334" t="s">
        <v>943</v>
      </c>
      <c r="I1292" s="356">
        <v>18116248869</v>
      </c>
      <c r="J1292" s="361" t="s">
        <v>3403</v>
      </c>
      <c r="K1292" s="356">
        <v>1000</v>
      </c>
      <c r="L1292" s="362"/>
      <c r="M1292" s="362"/>
      <c r="N1292" s="362">
        <f t="shared" si="38"/>
        <v>0</v>
      </c>
      <c r="O1292" s="356" t="s">
        <v>52</v>
      </c>
      <c r="Q1292" s="356"/>
      <c r="R1292" s="356"/>
      <c r="S1292" s="356"/>
      <c r="T1292" s="356"/>
      <c r="U1292" s="407" t="s">
        <v>12</v>
      </c>
      <c r="V1292" s="372"/>
      <c r="W1292" s="372"/>
      <c r="X1292" s="373"/>
      <c r="Y1292" s="348" t="s">
        <v>501</v>
      </c>
      <c r="Z1292" s="348"/>
      <c r="AA1292" s="348"/>
    </row>
    <row r="1293" s="331" customFormat="1" ht="17" customHeight="1" spans="1:27">
      <c r="A1293" s="348"/>
      <c r="B1293" s="348" t="s">
        <v>315</v>
      </c>
      <c r="C1293" s="348" t="s">
        <v>275</v>
      </c>
      <c r="D1293" s="349" t="s">
        <v>162</v>
      </c>
      <c r="E1293" s="336">
        <v>43745</v>
      </c>
      <c r="F1293" s="336">
        <v>43639</v>
      </c>
      <c r="G1293" s="336">
        <v>43745</v>
      </c>
      <c r="H1293" s="334" t="s">
        <v>3663</v>
      </c>
      <c r="I1293" s="356">
        <v>13917799227</v>
      </c>
      <c r="J1293" s="361" t="s">
        <v>3664</v>
      </c>
      <c r="K1293" s="356">
        <v>1000</v>
      </c>
      <c r="L1293" s="334">
        <v>14500</v>
      </c>
      <c r="M1293" s="362"/>
      <c r="N1293" s="362">
        <f t="shared" si="38"/>
        <v>14500</v>
      </c>
      <c r="O1293" s="356"/>
      <c r="Q1293" s="356"/>
      <c r="R1293" s="356">
        <v>1</v>
      </c>
      <c r="S1293" s="356"/>
      <c r="T1293" s="356"/>
      <c r="U1293" s="372"/>
      <c r="V1293" s="372"/>
      <c r="W1293" s="372"/>
      <c r="X1293" s="373"/>
      <c r="Y1293" s="348"/>
      <c r="Z1293" s="348"/>
      <c r="AA1293" s="348"/>
    </row>
    <row r="1294" s="331" customFormat="1" ht="17" customHeight="1" spans="1:27">
      <c r="A1294" s="348">
        <v>2066506</v>
      </c>
      <c r="B1294" s="348" t="s">
        <v>243</v>
      </c>
      <c r="C1294" s="348" t="s">
        <v>304</v>
      </c>
      <c r="D1294" s="352" t="s">
        <v>49</v>
      </c>
      <c r="E1294" s="336">
        <v>43641</v>
      </c>
      <c r="F1294" s="336">
        <v>43639</v>
      </c>
      <c r="G1294" s="350">
        <v>43639</v>
      </c>
      <c r="H1294" s="334" t="s">
        <v>3665</v>
      </c>
      <c r="I1294" s="356">
        <v>18756677085</v>
      </c>
      <c r="J1294" s="361" t="s">
        <v>3666</v>
      </c>
      <c r="K1294" s="356">
        <v>3699</v>
      </c>
      <c r="L1294" s="362"/>
      <c r="M1294" s="362"/>
      <c r="N1294" s="362">
        <f t="shared" ref="N1294:N1337" si="39">L1294+M1294</f>
        <v>0</v>
      </c>
      <c r="O1294" s="356"/>
      <c r="Q1294" s="356"/>
      <c r="R1294" s="356"/>
      <c r="S1294" s="356"/>
      <c r="T1294" s="356"/>
      <c r="U1294" s="372"/>
      <c r="V1294" s="372"/>
      <c r="W1294" s="372"/>
      <c r="X1294" s="373"/>
      <c r="Y1294" s="348"/>
      <c r="Z1294" s="348"/>
      <c r="AA1294" s="348"/>
    </row>
    <row r="1295" s="331" customFormat="1" ht="17" customHeight="1" spans="1:27">
      <c r="A1295" s="550" t="s">
        <v>3090</v>
      </c>
      <c r="B1295" s="348" t="s">
        <v>94</v>
      </c>
      <c r="C1295" s="348" t="s">
        <v>3196</v>
      </c>
      <c r="D1295" s="352" t="s">
        <v>49</v>
      </c>
      <c r="E1295" s="336">
        <v>43721</v>
      </c>
      <c r="F1295" s="336">
        <v>43639</v>
      </c>
      <c r="G1295" s="336">
        <v>43720</v>
      </c>
      <c r="H1295" s="334" t="s">
        <v>3667</v>
      </c>
      <c r="I1295" s="356">
        <v>15000670958</v>
      </c>
      <c r="J1295" s="361" t="s">
        <v>3668</v>
      </c>
      <c r="K1295" s="356">
        <v>1000</v>
      </c>
      <c r="L1295" s="334">
        <f>17775-1104</f>
        <v>16671</v>
      </c>
      <c r="M1295" s="334">
        <v>1104</v>
      </c>
      <c r="N1295" s="362">
        <f t="shared" si="39"/>
        <v>17775</v>
      </c>
      <c r="O1295" s="356"/>
      <c r="Q1295" s="366" t="s">
        <v>52</v>
      </c>
      <c r="R1295" s="366"/>
      <c r="S1295" s="356"/>
      <c r="T1295" s="356"/>
      <c r="U1295" s="372"/>
      <c r="V1295" s="372"/>
      <c r="W1295" s="372"/>
      <c r="X1295" s="373"/>
      <c r="Y1295" s="348"/>
      <c r="Z1295" s="348"/>
      <c r="AA1295" s="348"/>
    </row>
    <row r="1296" s="331" customFormat="1" ht="15" customHeight="1" spans="1:27">
      <c r="A1296" s="550" t="s">
        <v>3669</v>
      </c>
      <c r="B1296" s="348" t="s">
        <v>58</v>
      </c>
      <c r="C1296" s="348" t="s">
        <v>342</v>
      </c>
      <c r="D1296" s="352" t="s">
        <v>343</v>
      </c>
      <c r="E1296" s="336">
        <v>43732</v>
      </c>
      <c r="F1296" s="336">
        <v>43638</v>
      </c>
      <c r="G1296" s="336">
        <v>43732</v>
      </c>
      <c r="H1296" s="334" t="s">
        <v>3670</v>
      </c>
      <c r="I1296" s="356">
        <v>13764816418</v>
      </c>
      <c r="J1296" s="361" t="s">
        <v>3671</v>
      </c>
      <c r="K1296" s="356">
        <v>10000</v>
      </c>
      <c r="L1296" s="334">
        <f>14536-1104</f>
        <v>13432</v>
      </c>
      <c r="M1296" s="334">
        <v>1104</v>
      </c>
      <c r="N1296" s="362">
        <f t="shared" si="39"/>
        <v>14536</v>
      </c>
      <c r="O1296" s="365" t="s">
        <v>52</v>
      </c>
      <c r="Q1296" s="356"/>
      <c r="R1296" s="356"/>
      <c r="S1296" s="356"/>
      <c r="T1296" s="356"/>
      <c r="U1296" s="372"/>
      <c r="V1296" s="372"/>
      <c r="W1296" s="372"/>
      <c r="X1296" s="373"/>
      <c r="Y1296" s="348" t="s">
        <v>3672</v>
      </c>
      <c r="Z1296" s="348"/>
      <c r="AA1296" s="348"/>
    </row>
    <row r="1297" s="331" customFormat="1" ht="17" customHeight="1" spans="1:27">
      <c r="A1297" s="550" t="s">
        <v>3673</v>
      </c>
      <c r="B1297" s="348" t="s">
        <v>315</v>
      </c>
      <c r="C1297" s="348" t="s">
        <v>161</v>
      </c>
      <c r="D1297" s="349" t="s">
        <v>162</v>
      </c>
      <c r="E1297" s="336">
        <v>43738</v>
      </c>
      <c r="F1297" s="336">
        <v>43646</v>
      </c>
      <c r="G1297" s="336">
        <v>43731</v>
      </c>
      <c r="H1297" s="334" t="s">
        <v>837</v>
      </c>
      <c r="I1297" s="356">
        <v>18121110168</v>
      </c>
      <c r="J1297" s="361" t="s">
        <v>3674</v>
      </c>
      <c r="K1297" s="356">
        <v>1000</v>
      </c>
      <c r="L1297" s="334">
        <v>25697</v>
      </c>
      <c r="M1297" s="362"/>
      <c r="N1297" s="362">
        <f t="shared" si="39"/>
        <v>25697</v>
      </c>
      <c r="O1297" s="356"/>
      <c r="Q1297" s="356"/>
      <c r="R1297" s="356">
        <v>1</v>
      </c>
      <c r="S1297" s="356"/>
      <c r="T1297" s="356"/>
      <c r="U1297" s="372"/>
      <c r="V1297" s="372"/>
      <c r="W1297" s="372"/>
      <c r="X1297" s="373"/>
      <c r="Y1297" s="348"/>
      <c r="Z1297" s="348"/>
      <c r="AA1297" s="348"/>
    </row>
    <row r="1298" s="331" customFormat="1" ht="17" customHeight="1" spans="1:27">
      <c r="A1298" s="348"/>
      <c r="B1298" s="348" t="s">
        <v>35</v>
      </c>
      <c r="C1298" s="348" t="s">
        <v>392</v>
      </c>
      <c r="D1298" s="349" t="s">
        <v>37</v>
      </c>
      <c r="E1298" s="336">
        <v>43708</v>
      </c>
      <c r="F1298" s="336">
        <v>43638</v>
      </c>
      <c r="G1298" s="336">
        <v>43703</v>
      </c>
      <c r="H1298" s="334" t="s">
        <v>3675</v>
      </c>
      <c r="I1298" s="356">
        <v>13917566282</v>
      </c>
      <c r="J1298" s="361" t="s">
        <v>3676</v>
      </c>
      <c r="K1298" s="356">
        <v>1000</v>
      </c>
      <c r="L1298" s="334">
        <v>13000</v>
      </c>
      <c r="M1298" s="362"/>
      <c r="N1298" s="362">
        <f t="shared" si="39"/>
        <v>13000</v>
      </c>
      <c r="O1298" s="356" t="s">
        <v>52</v>
      </c>
      <c r="Q1298" s="356"/>
      <c r="R1298" s="356"/>
      <c r="S1298" s="356"/>
      <c r="T1298" s="356"/>
      <c r="U1298" s="372"/>
      <c r="V1298" s="372"/>
      <c r="W1298" s="372"/>
      <c r="X1298" s="373">
        <v>1</v>
      </c>
      <c r="Y1298" s="348"/>
      <c r="Z1298" s="348"/>
      <c r="AA1298" s="348"/>
    </row>
    <row r="1299" s="331" customFormat="1" ht="17" customHeight="1" spans="1:27">
      <c r="A1299" s="550" t="s">
        <v>3677</v>
      </c>
      <c r="B1299" s="348" t="s">
        <v>315</v>
      </c>
      <c r="C1299" s="348" t="s">
        <v>161</v>
      </c>
      <c r="D1299" s="349" t="s">
        <v>162</v>
      </c>
      <c r="E1299" s="336">
        <v>43639</v>
      </c>
      <c r="F1299" s="336">
        <v>43617</v>
      </c>
      <c r="G1299" s="350"/>
      <c r="H1299" s="334" t="s">
        <v>3678</v>
      </c>
      <c r="I1299" s="356">
        <v>15618979281</v>
      </c>
      <c r="J1299" s="361" t="s">
        <v>3679</v>
      </c>
      <c r="K1299" s="356">
        <v>1000</v>
      </c>
      <c r="L1299" s="362"/>
      <c r="M1299" s="362"/>
      <c r="N1299" s="362">
        <f t="shared" si="39"/>
        <v>0</v>
      </c>
      <c r="O1299" s="356"/>
      <c r="Q1299" s="356"/>
      <c r="R1299" s="356"/>
      <c r="S1299" s="356"/>
      <c r="T1299" s="356"/>
      <c r="U1299" s="372" t="s">
        <v>136</v>
      </c>
      <c r="V1299" s="372"/>
      <c r="W1299" s="372"/>
      <c r="X1299" s="373"/>
      <c r="Y1299" s="348"/>
      <c r="Z1299" s="348"/>
      <c r="AA1299" s="348"/>
    </row>
    <row r="1300" s="331" customFormat="1" ht="17" customHeight="1" spans="1:27">
      <c r="A1300" s="550" t="s">
        <v>3680</v>
      </c>
      <c r="B1300" s="348" t="s">
        <v>315</v>
      </c>
      <c r="C1300" s="348" t="s">
        <v>275</v>
      </c>
      <c r="D1300" s="349" t="s">
        <v>162</v>
      </c>
      <c r="E1300" s="336">
        <v>43696</v>
      </c>
      <c r="F1300" s="336">
        <v>43638</v>
      </c>
      <c r="G1300" s="336">
        <v>43694</v>
      </c>
      <c r="H1300" s="334" t="s">
        <v>3681</v>
      </c>
      <c r="I1300" s="356">
        <v>13524328612</v>
      </c>
      <c r="J1300" s="361" t="s">
        <v>3682</v>
      </c>
      <c r="K1300" s="356">
        <v>1000</v>
      </c>
      <c r="L1300" s="334">
        <v>8000</v>
      </c>
      <c r="M1300" s="362">
        <v>0</v>
      </c>
      <c r="N1300" s="362">
        <f t="shared" si="39"/>
        <v>8000</v>
      </c>
      <c r="O1300" s="356">
        <v>1</v>
      </c>
      <c r="Q1300" s="356"/>
      <c r="R1300" s="356"/>
      <c r="S1300" s="356"/>
      <c r="T1300" s="356"/>
      <c r="U1300" s="372"/>
      <c r="V1300" s="372"/>
      <c r="W1300" s="372"/>
      <c r="X1300" s="373"/>
      <c r="Y1300" s="348"/>
      <c r="Z1300" s="348"/>
      <c r="AA1300" s="348"/>
    </row>
    <row r="1301" s="331" customFormat="1" ht="17" customHeight="1" spans="1:27">
      <c r="A1301" s="348">
        <v>2025332</v>
      </c>
      <c r="B1301" s="348" t="s">
        <v>137</v>
      </c>
      <c r="C1301" s="348" t="s">
        <v>411</v>
      </c>
      <c r="D1301" s="334" t="s">
        <v>443</v>
      </c>
      <c r="E1301" s="336">
        <v>43759</v>
      </c>
      <c r="F1301" s="336">
        <v>43638</v>
      </c>
      <c r="G1301" s="336">
        <v>43757</v>
      </c>
      <c r="H1301" s="334" t="s">
        <v>3683</v>
      </c>
      <c r="I1301" s="356" t="s">
        <v>3684</v>
      </c>
      <c r="J1301" s="361" t="s">
        <v>3685</v>
      </c>
      <c r="K1301" s="356">
        <v>1000</v>
      </c>
      <c r="L1301" s="334">
        <v>11417</v>
      </c>
      <c r="M1301" s="362"/>
      <c r="N1301" s="362">
        <f t="shared" si="39"/>
        <v>11417</v>
      </c>
      <c r="O1301" s="356"/>
      <c r="P1301" s="331">
        <v>1</v>
      </c>
      <c r="Q1301" s="356"/>
      <c r="R1301" s="356"/>
      <c r="S1301" s="356"/>
      <c r="T1301" s="356"/>
      <c r="U1301" s="372"/>
      <c r="V1301" s="372"/>
      <c r="W1301" s="372"/>
      <c r="X1301" s="373"/>
      <c r="Y1301" s="348" t="s">
        <v>3686</v>
      </c>
      <c r="Z1301" s="348"/>
      <c r="AA1301" s="348"/>
    </row>
    <row r="1302" s="331" customFormat="1" ht="17" customHeight="1" spans="1:27">
      <c r="A1302" s="550" t="s">
        <v>3687</v>
      </c>
      <c r="B1302" s="348" t="s">
        <v>315</v>
      </c>
      <c r="C1302" s="348" t="s">
        <v>722</v>
      </c>
      <c r="D1302" s="349" t="s">
        <v>132</v>
      </c>
      <c r="E1302" s="336">
        <v>43639</v>
      </c>
      <c r="F1302" s="336">
        <v>43638</v>
      </c>
      <c r="G1302" s="350"/>
      <c r="H1302" s="334" t="s">
        <v>3688</v>
      </c>
      <c r="I1302" s="356">
        <v>18604876989</v>
      </c>
      <c r="J1302" s="361" t="s">
        <v>3689</v>
      </c>
      <c r="K1302" s="356">
        <v>1000</v>
      </c>
      <c r="L1302" s="362"/>
      <c r="M1302" s="362"/>
      <c r="N1302" s="362">
        <f t="shared" si="39"/>
        <v>0</v>
      </c>
      <c r="O1302" s="356">
        <v>1</v>
      </c>
      <c r="Q1302" s="356"/>
      <c r="R1302" s="356"/>
      <c r="S1302" s="356"/>
      <c r="T1302" s="356"/>
      <c r="U1302" s="372"/>
      <c r="V1302" s="372"/>
      <c r="W1302" s="372"/>
      <c r="X1302" s="373"/>
      <c r="Y1302" s="348"/>
      <c r="Z1302" s="348"/>
      <c r="AA1302" s="348"/>
    </row>
    <row r="1303" s="331" customFormat="1" ht="17" customHeight="1" spans="1:27">
      <c r="A1303" s="550" t="s">
        <v>2475</v>
      </c>
      <c r="B1303" s="348" t="s">
        <v>66</v>
      </c>
      <c r="C1303" s="348" t="s">
        <v>1749</v>
      </c>
      <c r="D1303" s="349" t="s">
        <v>68</v>
      </c>
      <c r="E1303" s="336">
        <v>43639</v>
      </c>
      <c r="F1303" s="336">
        <v>43638</v>
      </c>
      <c r="G1303" s="336">
        <v>43667</v>
      </c>
      <c r="H1303" s="334" t="s">
        <v>3690</v>
      </c>
      <c r="I1303" s="356">
        <v>13262972432</v>
      </c>
      <c r="J1303" s="361" t="s">
        <v>3691</v>
      </c>
      <c r="K1303" s="356">
        <v>1000</v>
      </c>
      <c r="L1303" s="334">
        <v>3285</v>
      </c>
      <c r="M1303" s="334">
        <v>736</v>
      </c>
      <c r="N1303" s="362">
        <f t="shared" si="39"/>
        <v>4021</v>
      </c>
      <c r="O1303" s="356"/>
      <c r="Q1303" s="356"/>
      <c r="R1303" s="356"/>
      <c r="S1303" s="356"/>
      <c r="T1303" s="356"/>
      <c r="U1303" s="372"/>
      <c r="V1303" s="372"/>
      <c r="W1303" s="372"/>
      <c r="X1303" s="373"/>
      <c r="Y1303" s="348" t="s">
        <v>3686</v>
      </c>
      <c r="Z1303" s="348"/>
      <c r="AA1303" s="348"/>
    </row>
    <row r="1304" s="331" customFormat="1" ht="17" customHeight="1" spans="1:27">
      <c r="A1304" s="550" t="s">
        <v>3692</v>
      </c>
      <c r="B1304" s="348" t="s">
        <v>31</v>
      </c>
      <c r="C1304" s="348" t="s">
        <v>377</v>
      </c>
      <c r="D1304" s="349" t="s">
        <v>221</v>
      </c>
      <c r="E1304" s="336">
        <v>43688</v>
      </c>
      <c r="F1304" s="336" t="s">
        <v>800</v>
      </c>
      <c r="G1304" s="336">
        <v>43687</v>
      </c>
      <c r="H1304" s="334" t="s">
        <v>3693</v>
      </c>
      <c r="I1304" s="356">
        <v>15121122062</v>
      </c>
      <c r="J1304" s="361" t="s">
        <v>3694</v>
      </c>
      <c r="K1304" s="356">
        <v>1000</v>
      </c>
      <c r="L1304" s="334"/>
      <c r="M1304" s="334">
        <v>-13001</v>
      </c>
      <c r="N1304" s="362">
        <f t="shared" si="39"/>
        <v>-13001</v>
      </c>
      <c r="O1304" s="356"/>
      <c r="Q1304" s="356"/>
      <c r="R1304" s="356"/>
      <c r="S1304" s="356"/>
      <c r="T1304" s="356"/>
      <c r="U1304" s="372"/>
      <c r="V1304" s="372"/>
      <c r="W1304" s="372"/>
      <c r="X1304" s="373"/>
      <c r="Y1304" s="348"/>
      <c r="Z1304" s="348"/>
      <c r="AA1304" s="348"/>
    </row>
    <row r="1305" s="331" customFormat="1" ht="17" customHeight="1" spans="1:27">
      <c r="A1305" s="550" t="s">
        <v>3695</v>
      </c>
      <c r="B1305" s="348" t="s">
        <v>58</v>
      </c>
      <c r="C1305" s="348" t="s">
        <v>342</v>
      </c>
      <c r="D1305" s="349" t="s">
        <v>343</v>
      </c>
      <c r="E1305" s="336">
        <v>43703</v>
      </c>
      <c r="F1305" s="336">
        <v>43638</v>
      </c>
      <c r="G1305" s="336">
        <v>43702</v>
      </c>
      <c r="H1305" s="334" t="s">
        <v>3696</v>
      </c>
      <c r="I1305" s="356">
        <v>13764122384</v>
      </c>
      <c r="J1305" s="361" t="s">
        <v>3697</v>
      </c>
      <c r="K1305" s="356">
        <v>10000</v>
      </c>
      <c r="L1305" s="334">
        <v>14000</v>
      </c>
      <c r="M1305" s="362"/>
      <c r="N1305" s="362">
        <f t="shared" si="39"/>
        <v>14000</v>
      </c>
      <c r="O1305" s="365" t="s">
        <v>52</v>
      </c>
      <c r="Q1305" s="356"/>
      <c r="R1305" s="356"/>
      <c r="S1305" s="356"/>
      <c r="T1305" s="356"/>
      <c r="U1305" s="372"/>
      <c r="V1305" s="372"/>
      <c r="W1305" s="372"/>
      <c r="X1305" s="373"/>
      <c r="Y1305" s="348"/>
      <c r="Z1305" s="348"/>
      <c r="AA1305" s="348" t="s">
        <v>3698</v>
      </c>
    </row>
    <row r="1306" s="331" customFormat="1" ht="17" customHeight="1" spans="1:27">
      <c r="A1306" s="550" t="s">
        <v>3699</v>
      </c>
      <c r="B1306" s="348" t="s">
        <v>315</v>
      </c>
      <c r="C1306" s="348" t="s">
        <v>230</v>
      </c>
      <c r="D1306" s="334" t="s">
        <v>132</v>
      </c>
      <c r="E1306" s="336">
        <v>43711</v>
      </c>
      <c r="F1306" s="336">
        <v>43638</v>
      </c>
      <c r="G1306" s="336">
        <v>43711</v>
      </c>
      <c r="H1306" s="334" t="s">
        <v>3700</v>
      </c>
      <c r="I1306" s="356">
        <v>18621671733</v>
      </c>
      <c r="J1306" s="361" t="s">
        <v>3701</v>
      </c>
      <c r="K1306" s="356">
        <v>1000</v>
      </c>
      <c r="L1306" s="334">
        <f>9478-1104</f>
        <v>8374</v>
      </c>
      <c r="M1306" s="334">
        <v>1104</v>
      </c>
      <c r="N1306" s="362">
        <f t="shared" si="39"/>
        <v>9478</v>
      </c>
      <c r="O1306" s="356">
        <v>1</v>
      </c>
      <c r="Q1306" s="356"/>
      <c r="R1306" s="356"/>
      <c r="S1306" s="356"/>
      <c r="T1306" s="356"/>
      <c r="U1306" s="372"/>
      <c r="V1306" s="372"/>
      <c r="W1306" s="372"/>
      <c r="X1306" s="373"/>
      <c r="Y1306" s="348"/>
      <c r="Z1306" s="348"/>
      <c r="AA1306" s="348"/>
    </row>
    <row r="1307" s="331" customFormat="1" ht="17" customHeight="1" spans="1:27">
      <c r="A1307" s="348"/>
      <c r="B1307" s="348" t="s">
        <v>35</v>
      </c>
      <c r="C1307" s="348" t="s">
        <v>36</v>
      </c>
      <c r="D1307" s="349" t="s">
        <v>37</v>
      </c>
      <c r="E1307" s="336">
        <v>43794</v>
      </c>
      <c r="F1307" s="336">
        <v>43638</v>
      </c>
      <c r="G1307" s="336">
        <v>43793</v>
      </c>
      <c r="H1307" s="334" t="s">
        <v>3702</v>
      </c>
      <c r="I1307" s="356">
        <v>15921979760</v>
      </c>
      <c r="J1307" s="361" t="s">
        <v>3703</v>
      </c>
      <c r="K1307" s="356">
        <v>1000</v>
      </c>
      <c r="L1307" s="334">
        <v>12068</v>
      </c>
      <c r="M1307" s="362"/>
      <c r="N1307" s="362">
        <f t="shared" si="39"/>
        <v>12068</v>
      </c>
      <c r="O1307" s="356"/>
      <c r="Q1307" s="356" t="s">
        <v>52</v>
      </c>
      <c r="R1307" s="356"/>
      <c r="S1307" s="356"/>
      <c r="T1307" s="356"/>
      <c r="U1307" s="372"/>
      <c r="V1307" s="372"/>
      <c r="W1307" s="372"/>
      <c r="X1307" s="373"/>
      <c r="Y1307" s="348" t="s">
        <v>3704</v>
      </c>
      <c r="Z1307" s="348"/>
      <c r="AA1307" s="348"/>
    </row>
    <row r="1308" s="331" customFormat="1" ht="17" customHeight="1" spans="1:27">
      <c r="A1308" s="348"/>
      <c r="B1308" s="348" t="s">
        <v>169</v>
      </c>
      <c r="C1308" s="348" t="s">
        <v>634</v>
      </c>
      <c r="D1308" s="349" t="s">
        <v>635</v>
      </c>
      <c r="E1308" s="336">
        <v>43702</v>
      </c>
      <c r="F1308" s="336">
        <v>43638</v>
      </c>
      <c r="G1308" s="336">
        <v>43701</v>
      </c>
      <c r="H1308" s="334" t="s">
        <v>3705</v>
      </c>
      <c r="I1308" s="356">
        <v>18521420070</v>
      </c>
      <c r="J1308" s="361" t="s">
        <v>3706</v>
      </c>
      <c r="K1308" s="356">
        <v>1000</v>
      </c>
      <c r="L1308" s="334">
        <v>8104</v>
      </c>
      <c r="M1308" s="362"/>
      <c r="N1308" s="362">
        <f t="shared" si="39"/>
        <v>8104</v>
      </c>
      <c r="O1308" s="356"/>
      <c r="Q1308" s="356"/>
      <c r="R1308" s="356"/>
      <c r="S1308" s="356"/>
      <c r="T1308" s="356"/>
      <c r="U1308" s="372"/>
      <c r="V1308" s="372" t="s">
        <v>2134</v>
      </c>
      <c r="W1308" s="372"/>
      <c r="X1308" s="373"/>
      <c r="Y1308" s="348"/>
      <c r="Z1308" s="348"/>
      <c r="AA1308" s="348"/>
    </row>
    <row r="1309" s="331" customFormat="1" ht="17" customHeight="1" spans="1:27">
      <c r="A1309" s="550" t="s">
        <v>3707</v>
      </c>
      <c r="B1309" s="348" t="s">
        <v>137</v>
      </c>
      <c r="C1309" s="348" t="s">
        <v>138</v>
      </c>
      <c r="D1309" s="349" t="s">
        <v>139</v>
      </c>
      <c r="E1309" s="336">
        <v>43639</v>
      </c>
      <c r="F1309" s="336">
        <v>43638</v>
      </c>
      <c r="G1309" s="336">
        <v>43677</v>
      </c>
      <c r="H1309" s="334" t="s">
        <v>3708</v>
      </c>
      <c r="I1309" s="356">
        <v>13671880650</v>
      </c>
      <c r="J1309" s="361" t="s">
        <v>3709</v>
      </c>
      <c r="K1309" s="356">
        <v>5000</v>
      </c>
      <c r="L1309" s="334">
        <v>9565</v>
      </c>
      <c r="M1309" s="362"/>
      <c r="N1309" s="362">
        <f t="shared" si="39"/>
        <v>9565</v>
      </c>
      <c r="O1309" s="356"/>
      <c r="Q1309" s="356">
        <v>1</v>
      </c>
      <c r="R1309" s="356"/>
      <c r="S1309" s="356"/>
      <c r="T1309" s="356"/>
      <c r="U1309" s="372"/>
      <c r="V1309" s="372"/>
      <c r="W1309" s="372"/>
      <c r="X1309" s="373"/>
      <c r="Y1309" s="348"/>
      <c r="Z1309" s="348"/>
      <c r="AA1309" s="348"/>
    </row>
    <row r="1310" s="331" customFormat="1" ht="17" customHeight="1" spans="1:27">
      <c r="A1310" s="550" t="s">
        <v>3710</v>
      </c>
      <c r="B1310" s="348" t="s">
        <v>185</v>
      </c>
      <c r="C1310" s="348" t="s">
        <v>886</v>
      </c>
      <c r="D1310" s="349" t="s">
        <v>44</v>
      </c>
      <c r="E1310" s="336">
        <v>43639</v>
      </c>
      <c r="F1310" s="336">
        <v>43639</v>
      </c>
      <c r="G1310" s="336">
        <v>43665</v>
      </c>
      <c r="H1310" s="334" t="s">
        <v>3711</v>
      </c>
      <c r="I1310" s="356">
        <v>13402192750</v>
      </c>
      <c r="J1310" s="361" t="s">
        <v>3712</v>
      </c>
      <c r="K1310" s="356">
        <v>0</v>
      </c>
      <c r="L1310" s="334">
        <v>9586</v>
      </c>
      <c r="M1310" s="362"/>
      <c r="N1310" s="362">
        <f t="shared" si="39"/>
        <v>9586</v>
      </c>
      <c r="O1310" s="356"/>
      <c r="Q1310" s="356"/>
      <c r="R1310" s="356"/>
      <c r="S1310" s="356"/>
      <c r="T1310" s="356"/>
      <c r="U1310" s="372"/>
      <c r="V1310" s="372"/>
      <c r="W1310" s="372"/>
      <c r="X1310" s="373"/>
      <c r="Y1310" s="348"/>
      <c r="Z1310" s="348" t="s">
        <v>3713</v>
      </c>
      <c r="AA1310" s="348"/>
    </row>
    <row r="1311" s="331" customFormat="1" ht="15" customHeight="1" spans="1:27">
      <c r="A1311" s="550" t="s">
        <v>3714</v>
      </c>
      <c r="B1311" s="348" t="s">
        <v>405</v>
      </c>
      <c r="C1311" s="348" t="s">
        <v>1234</v>
      </c>
      <c r="D1311" s="349" t="s">
        <v>407</v>
      </c>
      <c r="E1311" s="336">
        <v>43737</v>
      </c>
      <c r="F1311" s="336">
        <v>43638</v>
      </c>
      <c r="G1311" s="336">
        <v>43737</v>
      </c>
      <c r="H1311" s="334" t="s">
        <v>3715</v>
      </c>
      <c r="I1311" s="356">
        <v>18321579168</v>
      </c>
      <c r="J1311" s="361" t="s">
        <v>3716</v>
      </c>
      <c r="K1311" s="356">
        <f>39000+1000</f>
        <v>40000</v>
      </c>
      <c r="L1311" s="334">
        <v>40000</v>
      </c>
      <c r="M1311" s="362"/>
      <c r="N1311" s="362">
        <f t="shared" si="39"/>
        <v>40000</v>
      </c>
      <c r="O1311" s="356"/>
      <c r="Q1311" s="356"/>
      <c r="R1311" s="356" t="s">
        <v>52</v>
      </c>
      <c r="S1311" s="356"/>
      <c r="T1311" s="356"/>
      <c r="U1311" s="372"/>
      <c r="V1311" s="372"/>
      <c r="W1311" s="372"/>
      <c r="X1311" s="373">
        <v>1</v>
      </c>
      <c r="Y1311" s="348" t="s">
        <v>274</v>
      </c>
      <c r="Z1311" s="348"/>
      <c r="AA1311" s="348"/>
    </row>
    <row r="1312" s="331" customFormat="1" ht="17" customHeight="1" spans="1:27">
      <c r="A1312" s="550" t="s">
        <v>3717</v>
      </c>
      <c r="B1312" s="348" t="s">
        <v>405</v>
      </c>
      <c r="C1312" s="348" t="s">
        <v>823</v>
      </c>
      <c r="D1312" s="349" t="s">
        <v>407</v>
      </c>
      <c r="E1312" s="336">
        <v>43639</v>
      </c>
      <c r="F1312" s="336">
        <v>43639</v>
      </c>
      <c r="G1312" s="336">
        <v>43652</v>
      </c>
      <c r="H1312" s="334" t="s">
        <v>3718</v>
      </c>
      <c r="I1312" s="356">
        <v>18221303040</v>
      </c>
      <c r="J1312" s="361" t="s">
        <v>3719</v>
      </c>
      <c r="K1312" s="356">
        <v>3000</v>
      </c>
      <c r="L1312" s="334">
        <v>11675</v>
      </c>
      <c r="M1312" s="334">
        <v>1284</v>
      </c>
      <c r="N1312" s="362">
        <f t="shared" si="39"/>
        <v>12959</v>
      </c>
      <c r="O1312" s="356"/>
      <c r="Q1312" s="356"/>
      <c r="R1312" s="356"/>
      <c r="S1312" s="356"/>
      <c r="T1312" s="356"/>
      <c r="U1312" s="372"/>
      <c r="V1312" s="372"/>
      <c r="W1312" s="372"/>
      <c r="X1312" s="373"/>
      <c r="Y1312" s="348"/>
      <c r="Z1312" s="348"/>
      <c r="AA1312" s="348"/>
    </row>
    <row r="1313" s="331" customFormat="1" ht="17" customHeight="1" spans="1:27">
      <c r="A1313" s="348">
        <v>2066259</v>
      </c>
      <c r="B1313" s="348" t="s">
        <v>205</v>
      </c>
      <c r="C1313" s="348" t="s">
        <v>1467</v>
      </c>
      <c r="D1313" s="349" t="s">
        <v>89</v>
      </c>
      <c r="E1313" s="336">
        <v>43690</v>
      </c>
      <c r="F1313" s="336">
        <v>43639</v>
      </c>
      <c r="G1313" s="336">
        <v>43690</v>
      </c>
      <c r="H1313" s="334" t="s">
        <v>3720</v>
      </c>
      <c r="I1313" s="356">
        <v>13661720825</v>
      </c>
      <c r="J1313" s="361" t="s">
        <v>3721</v>
      </c>
      <c r="K1313" s="356">
        <v>5824</v>
      </c>
      <c r="L1313" s="334">
        <v>5824</v>
      </c>
      <c r="M1313" s="362"/>
      <c r="N1313" s="362">
        <f t="shared" si="39"/>
        <v>5824</v>
      </c>
      <c r="O1313" s="356"/>
      <c r="P1313" s="356"/>
      <c r="Q1313" s="356"/>
      <c r="R1313" s="356"/>
      <c r="S1313" s="356"/>
      <c r="T1313" s="356"/>
      <c r="U1313" s="372"/>
      <c r="V1313" s="372"/>
      <c r="W1313" s="372" t="s">
        <v>3722</v>
      </c>
      <c r="X1313" s="373"/>
      <c r="Y1313" s="348"/>
      <c r="Z1313" s="348"/>
      <c r="AA1313" s="348"/>
    </row>
    <row r="1314" s="331" customFormat="1" ht="17" customHeight="1" spans="1:27">
      <c r="A1314" s="348">
        <v>2066936</v>
      </c>
      <c r="B1314" s="348" t="s">
        <v>335</v>
      </c>
      <c r="C1314" s="348" t="s">
        <v>336</v>
      </c>
      <c r="D1314" s="349" t="s">
        <v>337</v>
      </c>
      <c r="E1314" s="336">
        <v>43739</v>
      </c>
      <c r="F1314" s="336">
        <v>43639</v>
      </c>
      <c r="G1314" s="336">
        <v>43739</v>
      </c>
      <c r="H1314" s="334" t="s">
        <v>3723</v>
      </c>
      <c r="I1314" s="356">
        <v>19945602720</v>
      </c>
      <c r="J1314" s="361" t="s">
        <v>3724</v>
      </c>
      <c r="K1314" s="356">
        <v>5000</v>
      </c>
      <c r="L1314" s="334">
        <f>11395-1104</f>
        <v>10291</v>
      </c>
      <c r="M1314" s="334">
        <v>1104</v>
      </c>
      <c r="N1314" s="362">
        <f t="shared" si="39"/>
        <v>11395</v>
      </c>
      <c r="O1314" s="356"/>
      <c r="Q1314" s="356"/>
      <c r="R1314" s="356"/>
      <c r="S1314" s="366" t="s">
        <v>52</v>
      </c>
      <c r="T1314" s="356"/>
      <c r="U1314" s="372"/>
      <c r="V1314" s="372"/>
      <c r="W1314" s="372"/>
      <c r="X1314" s="373"/>
      <c r="Y1314" s="348"/>
      <c r="Z1314" s="348"/>
      <c r="AA1314" s="348"/>
    </row>
    <row r="1315" s="331" customFormat="1" ht="17" customHeight="1" spans="1:27">
      <c r="A1315" s="348">
        <v>2066607</v>
      </c>
      <c r="B1315" s="348" t="s">
        <v>335</v>
      </c>
      <c r="C1315" s="348" t="s">
        <v>336</v>
      </c>
      <c r="D1315" s="349" t="s">
        <v>337</v>
      </c>
      <c r="E1315" s="336">
        <v>43639</v>
      </c>
      <c r="F1315" s="336">
        <v>43639</v>
      </c>
      <c r="G1315" s="336">
        <v>43669</v>
      </c>
      <c r="H1315" s="334" t="s">
        <v>3725</v>
      </c>
      <c r="I1315" s="356">
        <v>18821211446</v>
      </c>
      <c r="J1315" s="361" t="s">
        <v>3726</v>
      </c>
      <c r="K1315" s="356">
        <v>1000</v>
      </c>
      <c r="L1315" s="334">
        <v>7841</v>
      </c>
      <c r="M1315" s="362"/>
      <c r="N1315" s="362">
        <f t="shared" si="39"/>
        <v>7841</v>
      </c>
      <c r="O1315" s="356"/>
      <c r="Q1315" s="356"/>
      <c r="R1315" s="356"/>
      <c r="S1315" s="356"/>
      <c r="T1315" s="356"/>
      <c r="U1315" s="372"/>
      <c r="V1315" s="372"/>
      <c r="W1315" s="372"/>
      <c r="X1315" s="373"/>
      <c r="Y1315" s="348"/>
      <c r="Z1315" s="348"/>
      <c r="AA1315" s="348"/>
    </row>
    <row r="1316" s="331" customFormat="1" ht="17" customHeight="1" spans="1:27">
      <c r="A1316" s="348">
        <v>2067307</v>
      </c>
      <c r="B1316" s="348" t="s">
        <v>236</v>
      </c>
      <c r="C1316" s="348" t="s">
        <v>703</v>
      </c>
      <c r="D1316" s="352" t="s">
        <v>125</v>
      </c>
      <c r="E1316" s="336">
        <v>43710</v>
      </c>
      <c r="F1316" s="336">
        <v>43638</v>
      </c>
      <c r="G1316" s="336">
        <v>43709</v>
      </c>
      <c r="H1316" s="334" t="s">
        <v>3727</v>
      </c>
      <c r="I1316" s="356">
        <v>17701701966</v>
      </c>
      <c r="J1316" s="361" t="s">
        <v>3728</v>
      </c>
      <c r="K1316" s="356">
        <v>1000</v>
      </c>
      <c r="L1316" s="334">
        <v>6455</v>
      </c>
      <c r="M1316" s="362"/>
      <c r="N1316" s="362">
        <f t="shared" si="39"/>
        <v>6455</v>
      </c>
      <c r="O1316" s="356"/>
      <c r="P1316" s="356" t="s">
        <v>3729</v>
      </c>
      <c r="Q1316" s="356"/>
      <c r="R1316" s="356"/>
      <c r="S1316" s="356"/>
      <c r="T1316" s="356"/>
      <c r="U1316" s="372"/>
      <c r="V1316" s="372"/>
      <c r="W1316" s="372"/>
      <c r="X1316" s="373"/>
      <c r="Y1316" s="348"/>
      <c r="Z1316" s="348"/>
      <c r="AA1316" s="348"/>
    </row>
    <row r="1317" s="331" customFormat="1" ht="17" customHeight="1" spans="1:27">
      <c r="A1317" s="348">
        <v>2067309</v>
      </c>
      <c r="B1317" s="348" t="s">
        <v>236</v>
      </c>
      <c r="C1317" s="348" t="s">
        <v>703</v>
      </c>
      <c r="D1317" s="349" t="s">
        <v>187</v>
      </c>
      <c r="E1317" s="336">
        <v>43639</v>
      </c>
      <c r="F1317" s="336">
        <v>43638</v>
      </c>
      <c r="G1317" s="336">
        <v>43675</v>
      </c>
      <c r="H1317" s="334" t="s">
        <v>3730</v>
      </c>
      <c r="I1317" s="356">
        <v>13002113276</v>
      </c>
      <c r="J1317" s="361" t="s">
        <v>3731</v>
      </c>
      <c r="K1317" s="356">
        <v>25000</v>
      </c>
      <c r="L1317" s="334">
        <v>25000</v>
      </c>
      <c r="M1317" s="362"/>
      <c r="N1317" s="362">
        <f t="shared" si="39"/>
        <v>25000</v>
      </c>
      <c r="O1317" s="356" t="s">
        <v>1526</v>
      </c>
      <c r="Q1317" s="356"/>
      <c r="R1317" s="356"/>
      <c r="S1317" s="356"/>
      <c r="T1317" s="356"/>
      <c r="U1317" s="372"/>
      <c r="V1317" s="372"/>
      <c r="W1317" s="372"/>
      <c r="X1317" s="373"/>
      <c r="Y1317" s="348" t="s">
        <v>2315</v>
      </c>
      <c r="Z1317" s="348"/>
      <c r="AA1317" s="348"/>
    </row>
    <row r="1318" s="331" customFormat="1" ht="17" customHeight="1" spans="1:27">
      <c r="A1318" s="550" t="s">
        <v>1136</v>
      </c>
      <c r="B1318" s="348" t="s">
        <v>31</v>
      </c>
      <c r="C1318" s="348" t="s">
        <v>419</v>
      </c>
      <c r="D1318" s="349" t="s">
        <v>221</v>
      </c>
      <c r="E1318" s="336">
        <v>43639</v>
      </c>
      <c r="F1318" s="336">
        <v>43639</v>
      </c>
      <c r="G1318" s="350"/>
      <c r="H1318" s="334" t="s">
        <v>3732</v>
      </c>
      <c r="I1318" s="356">
        <v>13801972542</v>
      </c>
      <c r="J1318" s="361" t="s">
        <v>3733</v>
      </c>
      <c r="K1318" s="356">
        <v>1000</v>
      </c>
      <c r="L1318" s="362"/>
      <c r="M1318" s="362"/>
      <c r="N1318" s="362">
        <f t="shared" si="39"/>
        <v>0</v>
      </c>
      <c r="O1318" s="366" t="s">
        <v>52</v>
      </c>
      <c r="Q1318" s="356"/>
      <c r="R1318" s="356"/>
      <c r="S1318" s="356"/>
      <c r="T1318" s="356"/>
      <c r="U1318" s="372"/>
      <c r="V1318" s="372"/>
      <c r="W1318" s="372"/>
      <c r="X1318" s="373"/>
      <c r="Y1318" s="348"/>
      <c r="Z1318" s="348"/>
      <c r="AA1318" s="348"/>
    </row>
    <row r="1319" s="331" customFormat="1" ht="17" customHeight="1" spans="1:27">
      <c r="A1319" s="348">
        <v>2027591</v>
      </c>
      <c r="B1319" s="348" t="s">
        <v>73</v>
      </c>
      <c r="C1319" s="348" t="s">
        <v>74</v>
      </c>
      <c r="D1319" s="352" t="s">
        <v>75</v>
      </c>
      <c r="E1319" s="336">
        <v>43639</v>
      </c>
      <c r="F1319" s="336">
        <v>43639</v>
      </c>
      <c r="G1319" s="350" t="s">
        <v>69</v>
      </c>
      <c r="H1319" s="334" t="s">
        <v>3734</v>
      </c>
      <c r="I1319" s="356">
        <v>13917189198</v>
      </c>
      <c r="J1319" s="361" t="s">
        <v>3735</v>
      </c>
      <c r="K1319" s="356">
        <v>1000</v>
      </c>
      <c r="L1319" s="362"/>
      <c r="M1319" s="362"/>
      <c r="N1319" s="362">
        <f t="shared" si="39"/>
        <v>0</v>
      </c>
      <c r="O1319" s="366"/>
      <c r="P1319" s="366" t="s">
        <v>52</v>
      </c>
      <c r="Q1319" s="356"/>
      <c r="R1319" s="356"/>
      <c r="S1319" s="356"/>
      <c r="T1319" s="356"/>
      <c r="U1319" s="372"/>
      <c r="V1319" s="372"/>
      <c r="W1319" s="372"/>
      <c r="X1319" s="373"/>
      <c r="Y1319" s="348" t="s">
        <v>3686</v>
      </c>
      <c r="Z1319" s="348"/>
      <c r="AA1319" s="348"/>
    </row>
    <row r="1320" s="331" customFormat="1" ht="17" customHeight="1" spans="1:27">
      <c r="A1320" s="550" t="s">
        <v>3736</v>
      </c>
      <c r="B1320" s="348" t="s">
        <v>66</v>
      </c>
      <c r="C1320" s="348" t="s">
        <v>119</v>
      </c>
      <c r="D1320" s="349" t="s">
        <v>68</v>
      </c>
      <c r="E1320" s="336">
        <v>43639</v>
      </c>
      <c r="F1320" s="336">
        <v>43639</v>
      </c>
      <c r="G1320" s="336">
        <v>43662</v>
      </c>
      <c r="H1320" s="334" t="s">
        <v>1204</v>
      </c>
      <c r="I1320" s="356">
        <v>13764362032</v>
      </c>
      <c r="J1320" s="361" t="s">
        <v>3737</v>
      </c>
      <c r="K1320" s="356">
        <v>1000</v>
      </c>
      <c r="L1320" s="334">
        <v>6247</v>
      </c>
      <c r="M1320" s="334">
        <v>3103</v>
      </c>
      <c r="N1320" s="362">
        <f t="shared" si="39"/>
        <v>9350</v>
      </c>
      <c r="O1320" s="356"/>
      <c r="Q1320" s="356"/>
      <c r="R1320" s="356"/>
      <c r="S1320" s="356"/>
      <c r="T1320" s="356"/>
      <c r="U1320" s="372"/>
      <c r="V1320" s="372"/>
      <c r="W1320" s="372"/>
      <c r="X1320" s="373">
        <v>1</v>
      </c>
      <c r="Y1320" s="348" t="s">
        <v>3738</v>
      </c>
      <c r="Z1320" s="348"/>
      <c r="AA1320" s="348"/>
    </row>
    <row r="1321" s="331" customFormat="1" ht="17" customHeight="1" spans="1:27">
      <c r="A1321" s="550" t="s">
        <v>3739</v>
      </c>
      <c r="B1321" s="348" t="s">
        <v>726</v>
      </c>
      <c r="C1321" s="348" t="s">
        <v>727</v>
      </c>
      <c r="D1321" s="334" t="s">
        <v>271</v>
      </c>
      <c r="E1321" s="336">
        <v>43773</v>
      </c>
      <c r="F1321" s="336">
        <v>43639</v>
      </c>
      <c r="G1321" s="336">
        <v>43771</v>
      </c>
      <c r="H1321" s="334" t="s">
        <v>3740</v>
      </c>
      <c r="I1321" s="356">
        <v>13002016343</v>
      </c>
      <c r="J1321" s="361" t="s">
        <v>3741</v>
      </c>
      <c r="K1321" s="356">
        <v>1000</v>
      </c>
      <c r="L1321" s="334">
        <v>6428</v>
      </c>
      <c r="M1321" s="362"/>
      <c r="N1321" s="362">
        <f t="shared" si="39"/>
        <v>6428</v>
      </c>
      <c r="O1321" s="356" t="s">
        <v>3742</v>
      </c>
      <c r="Q1321" s="356"/>
      <c r="R1321" s="356"/>
      <c r="S1321" s="356"/>
      <c r="T1321" s="356"/>
      <c r="U1321" s="372"/>
      <c r="V1321" s="372"/>
      <c r="W1321" s="372"/>
      <c r="X1321" s="373"/>
      <c r="Y1321" s="348" t="s">
        <v>3686</v>
      </c>
      <c r="Z1321" s="348"/>
      <c r="AA1321" s="348"/>
    </row>
    <row r="1322" s="331" customFormat="1" ht="17" customHeight="1" spans="1:27">
      <c r="A1322" s="348"/>
      <c r="B1322" s="348" t="s">
        <v>66</v>
      </c>
      <c r="C1322" s="348" t="s">
        <v>505</v>
      </c>
      <c r="D1322" s="349" t="s">
        <v>68</v>
      </c>
      <c r="E1322" s="336">
        <v>43637</v>
      </c>
      <c r="F1322" s="336">
        <v>43634</v>
      </c>
      <c r="G1322" s="336">
        <v>43675</v>
      </c>
      <c r="H1322" s="334" t="s">
        <v>3743</v>
      </c>
      <c r="I1322" s="356">
        <v>18321768681</v>
      </c>
      <c r="J1322" s="361" t="s">
        <v>3744</v>
      </c>
      <c r="K1322" s="356">
        <f>1267+4600.99</f>
        <v>5867.99</v>
      </c>
      <c r="L1322" s="334">
        <v>4630.99</v>
      </c>
      <c r="M1322" s="334">
        <v>1565</v>
      </c>
      <c r="N1322" s="362">
        <f t="shared" si="39"/>
        <v>6195.99</v>
      </c>
      <c r="O1322" s="356"/>
      <c r="Q1322" s="356"/>
      <c r="R1322" s="356"/>
      <c r="S1322" s="356"/>
      <c r="T1322" s="356"/>
      <c r="U1322" s="372"/>
      <c r="V1322" s="372"/>
      <c r="W1322" s="372"/>
      <c r="X1322" s="373"/>
      <c r="Y1322" s="348" t="s">
        <v>856</v>
      </c>
      <c r="Z1322" s="348"/>
      <c r="AA1322" s="348"/>
    </row>
    <row r="1323" s="331" customFormat="1" ht="17" customHeight="1" spans="1:27">
      <c r="A1323" s="550" t="s">
        <v>3745</v>
      </c>
      <c r="B1323" s="348" t="s">
        <v>42</v>
      </c>
      <c r="C1323" s="348" t="s">
        <v>1728</v>
      </c>
      <c r="D1323" s="349" t="s">
        <v>356</v>
      </c>
      <c r="E1323" s="336">
        <v>43640</v>
      </c>
      <c r="F1323" s="336">
        <v>43639</v>
      </c>
      <c r="G1323" s="350"/>
      <c r="H1323" s="334" t="s">
        <v>3746</v>
      </c>
      <c r="I1323" s="356">
        <v>18602122635</v>
      </c>
      <c r="J1323" s="361" t="s">
        <v>3747</v>
      </c>
      <c r="K1323" s="356">
        <v>8755</v>
      </c>
      <c r="L1323" s="362"/>
      <c r="M1323" s="362"/>
      <c r="N1323" s="362">
        <f t="shared" si="39"/>
        <v>0</v>
      </c>
      <c r="O1323" s="356"/>
      <c r="Q1323" s="356"/>
      <c r="R1323" s="356"/>
      <c r="S1323" s="356"/>
      <c r="T1323" s="356"/>
      <c r="U1323" s="372" t="s">
        <v>3748</v>
      </c>
      <c r="V1323" s="372"/>
      <c r="W1323" s="372"/>
      <c r="X1323" s="373"/>
      <c r="Y1323" s="348"/>
      <c r="Z1323" s="348"/>
      <c r="AA1323" s="348"/>
    </row>
    <row r="1324" s="331" customFormat="1" ht="17" customHeight="1" spans="1:27">
      <c r="A1324" s="550" t="s">
        <v>3749</v>
      </c>
      <c r="B1324" s="348" t="s">
        <v>87</v>
      </c>
      <c r="C1324" s="348" t="s">
        <v>1757</v>
      </c>
      <c r="D1324" s="349" t="s">
        <v>89</v>
      </c>
      <c r="E1324" s="336">
        <v>43759</v>
      </c>
      <c r="F1324" s="336">
        <v>43618</v>
      </c>
      <c r="G1324" s="336">
        <v>43758</v>
      </c>
      <c r="H1324" s="334" t="s">
        <v>3556</v>
      </c>
      <c r="I1324" s="356">
        <v>18501631690</v>
      </c>
      <c r="J1324" s="361" t="s">
        <v>3750</v>
      </c>
      <c r="K1324" s="356">
        <f>1000+3000</f>
        <v>4000</v>
      </c>
      <c r="L1324" s="334">
        <v>17894</v>
      </c>
      <c r="M1324" s="362"/>
      <c r="N1324" s="362">
        <f t="shared" si="39"/>
        <v>17894</v>
      </c>
      <c r="O1324" s="356" t="s">
        <v>52</v>
      </c>
      <c r="Q1324" s="356"/>
      <c r="R1324" s="356"/>
      <c r="S1324" s="356"/>
      <c r="T1324" s="356"/>
      <c r="U1324" s="372"/>
      <c r="V1324" s="372"/>
      <c r="W1324" s="372"/>
      <c r="X1324" s="373"/>
      <c r="Y1324" s="348"/>
      <c r="Z1324" s="348"/>
      <c r="AA1324" s="348"/>
    </row>
    <row r="1325" s="331" customFormat="1" ht="17" customHeight="1" spans="1:27">
      <c r="A1325" s="550" t="s">
        <v>1720</v>
      </c>
      <c r="B1325" s="348" t="s">
        <v>169</v>
      </c>
      <c r="C1325" s="348" t="s">
        <v>634</v>
      </c>
      <c r="D1325" s="349" t="s">
        <v>635</v>
      </c>
      <c r="E1325" s="336">
        <v>43703</v>
      </c>
      <c r="F1325" s="336">
        <v>43639</v>
      </c>
      <c r="G1325" s="336">
        <v>43688</v>
      </c>
      <c r="H1325" s="334" t="s">
        <v>3751</v>
      </c>
      <c r="I1325" s="356">
        <v>15214379271</v>
      </c>
      <c r="J1325" s="361" t="s">
        <v>3752</v>
      </c>
      <c r="K1325" s="356">
        <v>1000</v>
      </c>
      <c r="L1325" s="334">
        <v>20273</v>
      </c>
      <c r="M1325" s="362"/>
      <c r="N1325" s="362">
        <f t="shared" si="39"/>
        <v>20273</v>
      </c>
      <c r="O1325" s="356"/>
      <c r="Q1325" s="356"/>
      <c r="R1325" s="356"/>
      <c r="S1325" s="356"/>
      <c r="T1325" s="356"/>
      <c r="U1325" s="372"/>
      <c r="V1325" s="372" t="s">
        <v>2134</v>
      </c>
      <c r="W1325" s="372"/>
      <c r="X1325" s="373"/>
      <c r="Y1325" s="348"/>
      <c r="Z1325" s="348"/>
      <c r="AA1325" s="348"/>
    </row>
    <row r="1326" s="331" customFormat="1" ht="17" customHeight="1" spans="1:27">
      <c r="A1326" s="550" t="s">
        <v>3753</v>
      </c>
      <c r="B1326" s="348" t="s">
        <v>58</v>
      </c>
      <c r="C1326" s="348" t="s">
        <v>342</v>
      </c>
      <c r="D1326" s="349" t="s">
        <v>110</v>
      </c>
      <c r="E1326" s="336">
        <v>43640</v>
      </c>
      <c r="F1326" s="336">
        <v>43639</v>
      </c>
      <c r="G1326" s="336">
        <v>43666</v>
      </c>
      <c r="H1326" s="334" t="s">
        <v>3754</v>
      </c>
      <c r="I1326" s="356">
        <v>13917601941</v>
      </c>
      <c r="J1326" s="361" t="s">
        <v>3755</v>
      </c>
      <c r="K1326" s="356">
        <v>10000</v>
      </c>
      <c r="L1326" s="334">
        <v>8498</v>
      </c>
      <c r="M1326" s="334">
        <v>804</v>
      </c>
      <c r="N1326" s="362">
        <f t="shared" si="39"/>
        <v>9302</v>
      </c>
      <c r="O1326" s="356"/>
      <c r="Q1326" s="356"/>
      <c r="R1326" s="356"/>
      <c r="S1326" s="356"/>
      <c r="T1326" s="356"/>
      <c r="U1326" s="372"/>
      <c r="V1326" s="372"/>
      <c r="W1326" s="372"/>
      <c r="X1326" s="373"/>
      <c r="Y1326" s="348"/>
      <c r="Z1326" s="348"/>
      <c r="AA1326" s="348" t="s">
        <v>3756</v>
      </c>
    </row>
    <row r="1327" s="57" customFormat="1" ht="17" customHeight="1" spans="1:27">
      <c r="A1327" s="348">
        <v>2068677</v>
      </c>
      <c r="B1327" s="348" t="s">
        <v>137</v>
      </c>
      <c r="C1327" s="348" t="s">
        <v>411</v>
      </c>
      <c r="D1327" s="349" t="s">
        <v>427</v>
      </c>
      <c r="E1327" s="336">
        <v>43640</v>
      </c>
      <c r="F1327" s="336">
        <v>43639</v>
      </c>
      <c r="G1327" s="350"/>
      <c r="H1327" s="334" t="s">
        <v>3757</v>
      </c>
      <c r="I1327" s="356">
        <v>18621181678</v>
      </c>
      <c r="J1327" s="348" t="s">
        <v>3758</v>
      </c>
      <c r="K1327" s="356">
        <v>1000</v>
      </c>
      <c r="L1327" s="362"/>
      <c r="M1327" s="362"/>
      <c r="N1327" s="362">
        <f t="shared" si="39"/>
        <v>0</v>
      </c>
      <c r="O1327" s="356"/>
      <c r="Q1327" s="356"/>
      <c r="R1327" s="356">
        <v>1</v>
      </c>
      <c r="S1327" s="356"/>
      <c r="T1327" s="356"/>
      <c r="U1327" s="372" t="s">
        <v>12</v>
      </c>
      <c r="V1327" s="372"/>
      <c r="W1327" s="372"/>
      <c r="X1327" s="373"/>
      <c r="Y1327" s="348" t="s">
        <v>1181</v>
      </c>
      <c r="Z1327" s="348"/>
      <c r="AA1327" s="348"/>
    </row>
    <row r="1328" s="331" customFormat="1" ht="17" customHeight="1" spans="1:27">
      <c r="A1328" s="550" t="s">
        <v>3759</v>
      </c>
      <c r="B1328" s="348" t="s">
        <v>315</v>
      </c>
      <c r="C1328" s="348" t="s">
        <v>258</v>
      </c>
      <c r="D1328" s="352" t="s">
        <v>132</v>
      </c>
      <c r="E1328" s="336">
        <v>43682</v>
      </c>
      <c r="F1328" s="336">
        <v>43639</v>
      </c>
      <c r="G1328" s="336">
        <v>43681</v>
      </c>
      <c r="H1328" s="334" t="s">
        <v>3760</v>
      </c>
      <c r="I1328" s="356">
        <v>15216622865</v>
      </c>
      <c r="J1328" s="361" t="s">
        <v>3761</v>
      </c>
      <c r="K1328" s="356">
        <v>1000</v>
      </c>
      <c r="L1328" s="334">
        <v>4092</v>
      </c>
      <c r="M1328" s="362">
        <v>736</v>
      </c>
      <c r="N1328" s="362">
        <f t="shared" si="39"/>
        <v>4828</v>
      </c>
      <c r="O1328" s="356">
        <v>1</v>
      </c>
      <c r="Q1328" s="356"/>
      <c r="R1328" s="356"/>
      <c r="S1328" s="356"/>
      <c r="T1328" s="356"/>
      <c r="U1328" s="372"/>
      <c r="V1328" s="372"/>
      <c r="W1328" s="372"/>
      <c r="X1328" s="373"/>
      <c r="Y1328" s="348"/>
      <c r="Z1328" s="348"/>
      <c r="AA1328" s="348"/>
    </row>
    <row r="1329" s="331" customFormat="1" ht="17" customHeight="1" spans="1:27">
      <c r="A1329" s="348"/>
      <c r="B1329" s="348" t="s">
        <v>160</v>
      </c>
      <c r="C1329" s="348" t="s">
        <v>161</v>
      </c>
      <c r="D1329" s="349" t="s">
        <v>162</v>
      </c>
      <c r="E1329" s="336">
        <v>43554</v>
      </c>
      <c r="F1329" s="336">
        <v>43552</v>
      </c>
      <c r="G1329" s="350"/>
      <c r="H1329" s="334" t="s">
        <v>3762</v>
      </c>
      <c r="I1329" s="356">
        <v>18501660705</v>
      </c>
      <c r="J1329" s="361" t="s">
        <v>3763</v>
      </c>
      <c r="K1329" s="356">
        <v>500</v>
      </c>
      <c r="L1329" s="362"/>
      <c r="M1329" s="362"/>
      <c r="N1329" s="362">
        <f t="shared" si="39"/>
        <v>0</v>
      </c>
      <c r="O1329" s="356">
        <v>1</v>
      </c>
      <c r="Q1329" s="356"/>
      <c r="R1329" s="356"/>
      <c r="S1329" s="356"/>
      <c r="T1329" s="356"/>
      <c r="U1329" s="393" t="s">
        <v>40</v>
      </c>
      <c r="V1329" s="372"/>
      <c r="W1329" s="372"/>
      <c r="X1329" s="373"/>
      <c r="Y1329" s="348" t="s">
        <v>792</v>
      </c>
      <c r="Z1329" s="348"/>
      <c r="AA1329" s="348"/>
    </row>
    <row r="1330" s="331" customFormat="1" ht="17" customHeight="1" spans="1:27">
      <c r="A1330" s="550" t="s">
        <v>3764</v>
      </c>
      <c r="B1330" s="348" t="s">
        <v>185</v>
      </c>
      <c r="C1330" s="348" t="s">
        <v>186</v>
      </c>
      <c r="D1330" s="349" t="s">
        <v>187</v>
      </c>
      <c r="E1330" s="336">
        <v>43640</v>
      </c>
      <c r="F1330" s="336">
        <v>43639</v>
      </c>
      <c r="G1330" s="350"/>
      <c r="H1330" s="334" t="s">
        <v>3765</v>
      </c>
      <c r="I1330" s="356">
        <v>18917444014</v>
      </c>
      <c r="J1330" s="361" t="s">
        <v>3766</v>
      </c>
      <c r="K1330" s="356">
        <v>1000</v>
      </c>
      <c r="L1330" s="362"/>
      <c r="M1330" s="362"/>
      <c r="N1330" s="362">
        <f t="shared" si="39"/>
        <v>0</v>
      </c>
      <c r="O1330" s="356" t="s">
        <v>52</v>
      </c>
      <c r="Q1330" s="356"/>
      <c r="R1330" s="356"/>
      <c r="S1330" s="356"/>
      <c r="T1330" s="356"/>
      <c r="U1330" s="374">
        <v>43647</v>
      </c>
      <c r="V1330" s="372"/>
      <c r="W1330" s="372"/>
      <c r="X1330" s="373"/>
      <c r="Y1330" s="348" t="s">
        <v>1181</v>
      </c>
      <c r="Z1330" s="348"/>
      <c r="AA1330" s="348"/>
    </row>
    <row r="1331" s="331" customFormat="1" ht="17" customHeight="1" spans="1:27">
      <c r="A1331" s="550" t="s">
        <v>3767</v>
      </c>
      <c r="B1331" s="348" t="s">
        <v>185</v>
      </c>
      <c r="C1331" s="348" t="s">
        <v>186</v>
      </c>
      <c r="D1331" s="349" t="s">
        <v>187</v>
      </c>
      <c r="E1331" s="336">
        <v>43640</v>
      </c>
      <c r="F1331" s="336">
        <v>43639</v>
      </c>
      <c r="G1331" s="336">
        <v>43647</v>
      </c>
      <c r="H1331" s="334" t="s">
        <v>3768</v>
      </c>
      <c r="I1331" s="356">
        <v>18930658740</v>
      </c>
      <c r="J1331" s="361" t="s">
        <v>3769</v>
      </c>
      <c r="K1331" s="356">
        <v>1000</v>
      </c>
      <c r="L1331" s="334">
        <v>4548</v>
      </c>
      <c r="M1331" s="334">
        <v>268</v>
      </c>
      <c r="N1331" s="362">
        <f t="shared" si="39"/>
        <v>4816</v>
      </c>
      <c r="O1331" s="356"/>
      <c r="Q1331" s="356"/>
      <c r="R1331" s="356"/>
      <c r="S1331" s="356"/>
      <c r="T1331" s="356"/>
      <c r="U1331" s="372"/>
      <c r="V1331" s="372"/>
      <c r="W1331" s="372"/>
      <c r="X1331" s="373"/>
      <c r="Y1331" s="348"/>
      <c r="Z1331" s="348"/>
      <c r="AA1331" s="348"/>
    </row>
    <row r="1332" s="331" customFormat="1" ht="17" customHeight="1" spans="1:27">
      <c r="A1332" s="550" t="s">
        <v>3770</v>
      </c>
      <c r="B1332" s="348" t="s">
        <v>137</v>
      </c>
      <c r="C1332" s="348" t="s">
        <v>480</v>
      </c>
      <c r="D1332" s="349" t="s">
        <v>2381</v>
      </c>
      <c r="E1332" s="336">
        <v>43703</v>
      </c>
      <c r="F1332" s="336">
        <v>43639</v>
      </c>
      <c r="G1332" s="336">
        <v>43702</v>
      </c>
      <c r="H1332" s="334" t="s">
        <v>3771</v>
      </c>
      <c r="I1332" s="356">
        <v>13916352801</v>
      </c>
      <c r="J1332" s="361" t="s">
        <v>3772</v>
      </c>
      <c r="K1332" s="356">
        <v>1000</v>
      </c>
      <c r="L1332" s="334">
        <v>1570</v>
      </c>
      <c r="M1332" s="362"/>
      <c r="N1332" s="362">
        <f t="shared" si="39"/>
        <v>1570</v>
      </c>
      <c r="O1332" s="356"/>
      <c r="Q1332" s="356"/>
      <c r="R1332" s="356">
        <v>1</v>
      </c>
      <c r="S1332" s="356"/>
      <c r="T1332" s="356"/>
      <c r="U1332" s="372"/>
      <c r="V1332" s="372"/>
      <c r="W1332" s="372"/>
      <c r="X1332" s="373"/>
      <c r="Y1332" s="348" t="s">
        <v>274</v>
      </c>
      <c r="Z1332" s="348"/>
      <c r="AA1332" s="348"/>
    </row>
    <row r="1333" s="331" customFormat="1" ht="17" customHeight="1" spans="1:27">
      <c r="A1333" s="348">
        <v>2020217</v>
      </c>
      <c r="B1333" s="348" t="s">
        <v>137</v>
      </c>
      <c r="C1333" s="348" t="s">
        <v>480</v>
      </c>
      <c r="D1333" s="349" t="s">
        <v>139</v>
      </c>
      <c r="E1333" s="336">
        <v>43640</v>
      </c>
      <c r="F1333" s="336">
        <v>43639</v>
      </c>
      <c r="G1333" s="336">
        <v>43675</v>
      </c>
      <c r="H1333" s="334" t="s">
        <v>3773</v>
      </c>
      <c r="I1333" s="356">
        <v>13661566929</v>
      </c>
      <c r="J1333" s="361" t="s">
        <v>3774</v>
      </c>
      <c r="K1333" s="356">
        <v>20000</v>
      </c>
      <c r="L1333" s="334">
        <v>20000</v>
      </c>
      <c r="M1333" s="362"/>
      <c r="N1333" s="362">
        <f t="shared" si="39"/>
        <v>20000</v>
      </c>
      <c r="O1333" s="356"/>
      <c r="Q1333" s="356"/>
      <c r="R1333" s="356">
        <v>1</v>
      </c>
      <c r="S1333" s="356"/>
      <c r="T1333" s="356"/>
      <c r="U1333" s="372"/>
      <c r="V1333" s="372"/>
      <c r="W1333" s="372"/>
      <c r="X1333" s="373"/>
      <c r="Y1333" s="348" t="s">
        <v>274</v>
      </c>
      <c r="Z1333" s="348"/>
      <c r="AA1333" s="348"/>
    </row>
    <row r="1334" s="331" customFormat="1" ht="17" customHeight="1" spans="1:27">
      <c r="A1334" s="348">
        <v>2025335</v>
      </c>
      <c r="B1334" s="348" t="s">
        <v>137</v>
      </c>
      <c r="C1334" s="348" t="s">
        <v>2705</v>
      </c>
      <c r="D1334" s="334" t="s">
        <v>2381</v>
      </c>
      <c r="E1334" s="336">
        <v>43725</v>
      </c>
      <c r="F1334" s="336">
        <v>43639</v>
      </c>
      <c r="G1334" s="336">
        <v>43722</v>
      </c>
      <c r="H1334" s="334" t="s">
        <v>3775</v>
      </c>
      <c r="I1334" s="356">
        <v>18017860319</v>
      </c>
      <c r="J1334" s="361" t="s">
        <v>3776</v>
      </c>
      <c r="K1334" s="356">
        <v>5000</v>
      </c>
      <c r="L1334" s="334">
        <v>8276</v>
      </c>
      <c r="M1334" s="362"/>
      <c r="N1334" s="362">
        <f t="shared" si="39"/>
        <v>8276</v>
      </c>
      <c r="O1334" s="356"/>
      <c r="Q1334" s="356"/>
      <c r="R1334" s="356"/>
      <c r="S1334" s="356">
        <v>1</v>
      </c>
      <c r="T1334" s="356"/>
      <c r="U1334" s="372"/>
      <c r="V1334" s="372"/>
      <c r="W1334" s="372"/>
      <c r="X1334" s="373"/>
      <c r="Y1334" s="348" t="s">
        <v>1181</v>
      </c>
      <c r="Z1334" s="348"/>
      <c r="AA1334" s="348"/>
    </row>
    <row r="1335" s="331" customFormat="1" ht="17" customHeight="1" spans="1:27">
      <c r="A1335" s="550" t="s">
        <v>3777</v>
      </c>
      <c r="B1335" s="348" t="s">
        <v>185</v>
      </c>
      <c r="C1335" s="348" t="s">
        <v>186</v>
      </c>
      <c r="D1335" s="349" t="s">
        <v>44</v>
      </c>
      <c r="E1335" s="336">
        <v>43640</v>
      </c>
      <c r="F1335" s="336">
        <v>43632</v>
      </c>
      <c r="G1335" s="336">
        <v>43664</v>
      </c>
      <c r="H1335" s="334" t="s">
        <v>3778</v>
      </c>
      <c r="I1335" s="356">
        <v>15902191514</v>
      </c>
      <c r="J1335" s="361" t="s">
        <v>3779</v>
      </c>
      <c r="K1335" s="356">
        <v>1000</v>
      </c>
      <c r="L1335" s="334">
        <v>12412</v>
      </c>
      <c r="M1335" s="334"/>
      <c r="N1335" s="362">
        <f t="shared" si="39"/>
        <v>12412</v>
      </c>
      <c r="O1335" s="356"/>
      <c r="Q1335" s="356"/>
      <c r="R1335" s="356"/>
      <c r="S1335" s="356"/>
      <c r="T1335" s="356"/>
      <c r="U1335" s="372"/>
      <c r="V1335" s="372"/>
      <c r="W1335" s="372"/>
      <c r="X1335" s="373"/>
      <c r="Y1335" s="348" t="s">
        <v>3221</v>
      </c>
      <c r="Z1335" s="348"/>
      <c r="AA1335" s="348"/>
    </row>
    <row r="1336" s="57" customFormat="1" ht="17" customHeight="1" spans="1:27">
      <c r="A1336" s="550" t="s">
        <v>3780</v>
      </c>
      <c r="B1336" s="348" t="s">
        <v>137</v>
      </c>
      <c r="C1336" s="348" t="s">
        <v>861</v>
      </c>
      <c r="D1336" s="334" t="s">
        <v>75</v>
      </c>
      <c r="E1336" s="336">
        <v>43799</v>
      </c>
      <c r="F1336" s="336">
        <v>43639</v>
      </c>
      <c r="G1336" s="336">
        <v>43799</v>
      </c>
      <c r="H1336" s="334" t="s">
        <v>3781</v>
      </c>
      <c r="I1336" s="356">
        <v>13801808365</v>
      </c>
      <c r="J1336" s="348" t="s">
        <v>3782</v>
      </c>
      <c r="K1336" s="356">
        <v>5000</v>
      </c>
      <c r="L1336" s="334">
        <v>5000</v>
      </c>
      <c r="M1336" s="362"/>
      <c r="N1336" s="362">
        <f t="shared" si="39"/>
        <v>5000</v>
      </c>
      <c r="O1336" s="356"/>
      <c r="Q1336" s="356"/>
      <c r="R1336" s="356">
        <v>1</v>
      </c>
      <c r="S1336" s="356"/>
      <c r="T1336" s="356"/>
      <c r="U1336" s="372"/>
      <c r="V1336" s="372"/>
      <c r="W1336" s="372"/>
      <c r="X1336" s="373"/>
      <c r="Y1336" s="348"/>
      <c r="Z1336" s="348"/>
      <c r="AA1336" s="348"/>
    </row>
    <row r="1337" s="331" customFormat="1" ht="17" customHeight="1" spans="1:27">
      <c r="A1337" s="550" t="s">
        <v>3783</v>
      </c>
      <c r="B1337" s="348" t="s">
        <v>185</v>
      </c>
      <c r="C1337" s="348" t="s">
        <v>1620</v>
      </c>
      <c r="D1337" s="349" t="s">
        <v>44</v>
      </c>
      <c r="E1337" s="336">
        <v>43640</v>
      </c>
      <c r="F1337" s="336">
        <v>43640</v>
      </c>
      <c r="G1337" s="336">
        <v>43676</v>
      </c>
      <c r="H1337" s="334" t="s">
        <v>3784</v>
      </c>
      <c r="I1337" s="356">
        <v>18101889785</v>
      </c>
      <c r="J1337" s="361" t="s">
        <v>3785</v>
      </c>
      <c r="K1337" s="356">
        <v>15000</v>
      </c>
      <c r="L1337" s="334">
        <v>14909</v>
      </c>
      <c r="M1337" s="334">
        <v>2208</v>
      </c>
      <c r="N1337" s="362">
        <f t="shared" si="39"/>
        <v>17117</v>
      </c>
      <c r="O1337" s="356"/>
      <c r="Q1337" s="356"/>
      <c r="R1337" s="356"/>
      <c r="S1337" s="356"/>
      <c r="T1337" s="356"/>
      <c r="U1337" s="372"/>
      <c r="V1337" s="372"/>
      <c r="W1337" s="372"/>
      <c r="X1337" s="373"/>
      <c r="Y1337" s="348" t="s">
        <v>274</v>
      </c>
      <c r="Z1337" s="348"/>
      <c r="AA1337" s="348"/>
    </row>
    <row r="1338" s="331" customFormat="1" customHeight="1" spans="1:27">
      <c r="A1338" s="348">
        <v>2067311</v>
      </c>
      <c r="B1338" s="348" t="s">
        <v>236</v>
      </c>
      <c r="C1338" s="348" t="s">
        <v>195</v>
      </c>
      <c r="D1338" s="352" t="s">
        <v>237</v>
      </c>
      <c r="E1338" s="336">
        <v>43640</v>
      </c>
      <c r="F1338" s="336">
        <v>43639</v>
      </c>
      <c r="G1338" s="350"/>
      <c r="H1338" s="334" t="s">
        <v>3786</v>
      </c>
      <c r="I1338" s="356">
        <v>15900555680</v>
      </c>
      <c r="J1338" s="361" t="s">
        <v>3787</v>
      </c>
      <c r="K1338" s="356">
        <v>1000</v>
      </c>
      <c r="L1338" s="362"/>
      <c r="M1338" s="362"/>
      <c r="N1338" s="362">
        <f t="shared" ref="N1338:N1355" si="40">L1338+M1338</f>
        <v>0</v>
      </c>
      <c r="O1338" s="356"/>
      <c r="Q1338" s="356"/>
      <c r="R1338" s="356"/>
      <c r="S1338" s="356"/>
      <c r="T1338" s="356"/>
      <c r="U1338" s="356" t="s">
        <v>52</v>
      </c>
      <c r="V1338" s="372"/>
      <c r="W1338" s="372"/>
      <c r="X1338" s="373"/>
      <c r="Y1338" s="348"/>
      <c r="Z1338" s="348"/>
      <c r="AA1338" s="348"/>
    </row>
    <row r="1339" s="331" customFormat="1" ht="17" customHeight="1" spans="1:27">
      <c r="A1339" s="348">
        <v>2067312</v>
      </c>
      <c r="B1339" s="348" t="s">
        <v>236</v>
      </c>
      <c r="C1339" s="348" t="s">
        <v>703</v>
      </c>
      <c r="D1339" s="334" t="s">
        <v>187</v>
      </c>
      <c r="E1339" s="336">
        <v>43710</v>
      </c>
      <c r="F1339" s="336">
        <v>43639</v>
      </c>
      <c r="G1339" s="336">
        <v>43703</v>
      </c>
      <c r="H1339" s="334" t="s">
        <v>3788</v>
      </c>
      <c r="I1339" s="356">
        <v>18621873182</v>
      </c>
      <c r="J1339" s="361" t="s">
        <v>3789</v>
      </c>
      <c r="K1339" s="356">
        <v>1000</v>
      </c>
      <c r="L1339" s="334">
        <v>22765</v>
      </c>
      <c r="M1339" s="362"/>
      <c r="N1339" s="362">
        <f t="shared" si="40"/>
        <v>22765</v>
      </c>
      <c r="O1339" s="356"/>
      <c r="Q1339" s="356"/>
      <c r="R1339" s="356" t="s">
        <v>22</v>
      </c>
      <c r="S1339" s="356"/>
      <c r="T1339" s="356"/>
      <c r="U1339" s="372"/>
      <c r="V1339" s="372"/>
      <c r="W1339" s="372"/>
      <c r="X1339" s="373"/>
      <c r="Y1339" s="348" t="s">
        <v>1181</v>
      </c>
      <c r="Z1339" s="348"/>
      <c r="AA1339" s="348"/>
    </row>
    <row r="1340" s="331" customFormat="1" ht="17" customHeight="1" spans="1:27">
      <c r="A1340" s="550" t="s">
        <v>3790</v>
      </c>
      <c r="B1340" s="348" t="s">
        <v>354</v>
      </c>
      <c r="C1340" s="348" t="s">
        <v>355</v>
      </c>
      <c r="D1340" s="349" t="s">
        <v>356</v>
      </c>
      <c r="E1340" s="336">
        <v>43640</v>
      </c>
      <c r="F1340" s="336">
        <v>43633</v>
      </c>
      <c r="G1340" s="336">
        <v>43666</v>
      </c>
      <c r="H1340" s="334" t="s">
        <v>3791</v>
      </c>
      <c r="I1340" s="356">
        <v>15002127218</v>
      </c>
      <c r="J1340" s="361" t="s">
        <v>3792</v>
      </c>
      <c r="K1340" s="356">
        <v>4562</v>
      </c>
      <c r="L1340" s="334">
        <v>4483</v>
      </c>
      <c r="M1340" s="362"/>
      <c r="N1340" s="362">
        <f t="shared" si="40"/>
        <v>4483</v>
      </c>
      <c r="O1340" s="356"/>
      <c r="Q1340" s="356"/>
      <c r="R1340" s="356"/>
      <c r="S1340" s="356"/>
      <c r="T1340" s="356"/>
      <c r="U1340" s="372"/>
      <c r="V1340" s="372"/>
      <c r="W1340" s="372"/>
      <c r="X1340" s="373"/>
      <c r="Y1340" s="348"/>
      <c r="Z1340" s="348"/>
      <c r="AA1340" s="348"/>
    </row>
    <row r="1341" s="331" customFormat="1" ht="17" customHeight="1" spans="1:27">
      <c r="A1341" s="348">
        <v>2020218</v>
      </c>
      <c r="B1341" s="348" t="s">
        <v>137</v>
      </c>
      <c r="C1341" s="348" t="s">
        <v>411</v>
      </c>
      <c r="D1341" s="334" t="s">
        <v>139</v>
      </c>
      <c r="E1341" s="336">
        <v>43707</v>
      </c>
      <c r="F1341" s="336">
        <v>43640</v>
      </c>
      <c r="G1341" s="336">
        <v>43707</v>
      </c>
      <c r="H1341" s="334" t="s">
        <v>3793</v>
      </c>
      <c r="I1341" s="356">
        <v>13913249152</v>
      </c>
      <c r="J1341" s="361" t="s">
        <v>3794</v>
      </c>
      <c r="K1341" s="356">
        <v>5000</v>
      </c>
      <c r="L1341" s="334">
        <f>4900-840</f>
        <v>4060</v>
      </c>
      <c r="M1341" s="334">
        <v>840</v>
      </c>
      <c r="N1341" s="362">
        <f t="shared" si="40"/>
        <v>4900</v>
      </c>
      <c r="O1341" s="356">
        <v>1</v>
      </c>
      <c r="Q1341" s="356"/>
      <c r="R1341" s="356"/>
      <c r="S1341" s="356"/>
      <c r="T1341" s="356"/>
      <c r="U1341" s="372"/>
      <c r="V1341" s="372"/>
      <c r="W1341" s="372"/>
      <c r="X1341" s="373"/>
      <c r="Y1341" s="348"/>
      <c r="Z1341" s="348"/>
      <c r="AA1341" s="348"/>
    </row>
    <row r="1342" s="331" customFormat="1" ht="17" customHeight="1" spans="1:28">
      <c r="A1342" s="550" t="s">
        <v>3795</v>
      </c>
      <c r="B1342" s="348" t="s">
        <v>123</v>
      </c>
      <c r="C1342" s="348" t="s">
        <v>902</v>
      </c>
      <c r="D1342" s="349" t="s">
        <v>125</v>
      </c>
      <c r="E1342" s="336">
        <v>43640</v>
      </c>
      <c r="F1342" s="336">
        <v>43639</v>
      </c>
      <c r="G1342" s="350"/>
      <c r="H1342" s="334" t="s">
        <v>3796</v>
      </c>
      <c r="I1342" s="356">
        <v>17707060070</v>
      </c>
      <c r="J1342" s="361" t="s">
        <v>3797</v>
      </c>
      <c r="K1342" s="356">
        <v>1000</v>
      </c>
      <c r="L1342" s="362"/>
      <c r="M1342" s="362"/>
      <c r="N1342" s="362">
        <f t="shared" si="40"/>
        <v>0</v>
      </c>
      <c r="O1342" s="356" t="s">
        <v>19</v>
      </c>
      <c r="Q1342" s="356"/>
      <c r="R1342" s="356"/>
      <c r="S1342" s="356"/>
      <c r="T1342" s="356"/>
      <c r="U1342" s="372" t="s">
        <v>40</v>
      </c>
      <c r="V1342" s="372"/>
      <c r="W1342" s="372"/>
      <c r="X1342" s="373"/>
      <c r="Y1342" s="348"/>
      <c r="Z1342" s="348"/>
      <c r="AA1342" s="348"/>
      <c r="AB1342" s="331" t="s">
        <v>659</v>
      </c>
    </row>
    <row r="1343" s="331" customFormat="1" ht="17" customHeight="1" spans="1:27">
      <c r="A1343" s="348">
        <v>2024545</v>
      </c>
      <c r="B1343" s="348" t="s">
        <v>73</v>
      </c>
      <c r="C1343" s="348" t="s">
        <v>74</v>
      </c>
      <c r="D1343" s="349" t="s">
        <v>143</v>
      </c>
      <c r="E1343" s="336">
        <v>43691</v>
      </c>
      <c r="F1343" s="336">
        <v>43639</v>
      </c>
      <c r="G1343" s="336">
        <v>43688</v>
      </c>
      <c r="H1343" s="334" t="s">
        <v>3798</v>
      </c>
      <c r="I1343" s="356">
        <v>18758573721</v>
      </c>
      <c r="J1343" s="361" t="s">
        <v>3799</v>
      </c>
      <c r="K1343" s="356">
        <v>1000</v>
      </c>
      <c r="L1343" s="334">
        <v>6033</v>
      </c>
      <c r="M1343" s="334">
        <v>804</v>
      </c>
      <c r="N1343" s="362">
        <f t="shared" si="40"/>
        <v>6837</v>
      </c>
      <c r="O1343" s="356"/>
      <c r="Q1343" s="366" t="s">
        <v>52</v>
      </c>
      <c r="R1343" s="356"/>
      <c r="S1343" s="356"/>
      <c r="T1343" s="356"/>
      <c r="U1343" s="372"/>
      <c r="V1343" s="372"/>
      <c r="W1343" s="372"/>
      <c r="X1343" s="373"/>
      <c r="Y1343" s="348" t="s">
        <v>1181</v>
      </c>
      <c r="Z1343" s="348" t="s">
        <v>79</v>
      </c>
      <c r="AA1343" s="348"/>
    </row>
    <row r="1344" s="331" customFormat="1" ht="15" customHeight="1" spans="1:27">
      <c r="A1344" s="550" t="s">
        <v>3800</v>
      </c>
      <c r="B1344" s="348" t="s">
        <v>58</v>
      </c>
      <c r="C1344" s="348" t="s">
        <v>347</v>
      </c>
      <c r="D1344" s="352" t="s">
        <v>343</v>
      </c>
      <c r="E1344" s="336">
        <v>43528</v>
      </c>
      <c r="F1344" s="336">
        <v>43527</v>
      </c>
      <c r="G1344" s="350"/>
      <c r="H1344" s="351" t="s">
        <v>3801</v>
      </c>
      <c r="I1344" s="356">
        <v>18514007501</v>
      </c>
      <c r="J1344" s="361" t="s">
        <v>3802</v>
      </c>
      <c r="K1344" s="356">
        <v>1000</v>
      </c>
      <c r="L1344" s="362"/>
      <c r="M1344" s="362"/>
      <c r="N1344" s="362">
        <f t="shared" si="40"/>
        <v>0</v>
      </c>
      <c r="O1344" s="356"/>
      <c r="Q1344" s="366" t="s">
        <v>52</v>
      </c>
      <c r="R1344" s="356"/>
      <c r="S1344" s="356"/>
      <c r="T1344" s="356"/>
      <c r="U1344" s="372"/>
      <c r="V1344" s="372"/>
      <c r="W1344" s="372"/>
      <c r="X1344" s="373"/>
      <c r="Y1344" s="348"/>
      <c r="Z1344" s="348"/>
      <c r="AA1344" s="348"/>
    </row>
    <row r="1345" s="331" customFormat="1" ht="17" customHeight="1" spans="1:27">
      <c r="A1345" s="348">
        <v>2024543</v>
      </c>
      <c r="B1345" s="348" t="s">
        <v>73</v>
      </c>
      <c r="C1345" s="348" t="s">
        <v>74</v>
      </c>
      <c r="D1345" s="349" t="s">
        <v>75</v>
      </c>
      <c r="E1345" s="336">
        <v>43640</v>
      </c>
      <c r="F1345" s="336">
        <v>43639</v>
      </c>
      <c r="G1345" s="350" t="s">
        <v>69</v>
      </c>
      <c r="H1345" s="334" t="s">
        <v>3803</v>
      </c>
      <c r="I1345" s="356">
        <v>15921595730</v>
      </c>
      <c r="J1345" s="361" t="s">
        <v>3804</v>
      </c>
      <c r="K1345" s="356">
        <v>1000</v>
      </c>
      <c r="L1345" s="362"/>
      <c r="M1345" s="362"/>
      <c r="N1345" s="362">
        <f t="shared" si="40"/>
        <v>0</v>
      </c>
      <c r="O1345" s="366"/>
      <c r="P1345" s="366" t="s">
        <v>52</v>
      </c>
      <c r="Q1345" s="356"/>
      <c r="R1345" s="356"/>
      <c r="S1345" s="356"/>
      <c r="T1345" s="356"/>
      <c r="U1345" s="372"/>
      <c r="V1345" s="372"/>
      <c r="W1345" s="372"/>
      <c r="X1345" s="373"/>
      <c r="Y1345" s="348" t="s">
        <v>1181</v>
      </c>
      <c r="Z1345" s="348" t="s">
        <v>79</v>
      </c>
      <c r="AA1345" s="348"/>
    </row>
    <row r="1346" s="331" customFormat="1" ht="17" customHeight="1" spans="1:27">
      <c r="A1346" s="348">
        <v>2026794</v>
      </c>
      <c r="B1346" s="348" t="s">
        <v>73</v>
      </c>
      <c r="C1346" s="348" t="s">
        <v>178</v>
      </c>
      <c r="D1346" s="352" t="s">
        <v>132</v>
      </c>
      <c r="E1346" s="336">
        <v>43631</v>
      </c>
      <c r="F1346" s="336">
        <v>43631</v>
      </c>
      <c r="G1346" s="350" t="s">
        <v>69</v>
      </c>
      <c r="H1346" s="334" t="s">
        <v>3805</v>
      </c>
      <c r="I1346" s="356">
        <v>18018116007</v>
      </c>
      <c r="J1346" s="361" t="s">
        <v>3806</v>
      </c>
      <c r="K1346" s="356">
        <v>1000</v>
      </c>
      <c r="L1346" s="362"/>
      <c r="M1346" s="362"/>
      <c r="N1346" s="362">
        <f t="shared" si="40"/>
        <v>0</v>
      </c>
      <c r="O1346" s="366" t="s">
        <v>52</v>
      </c>
      <c r="Q1346" s="356"/>
      <c r="R1346" s="356"/>
      <c r="S1346" s="356"/>
      <c r="T1346" s="356"/>
      <c r="U1346" s="372"/>
      <c r="V1346" s="372"/>
      <c r="W1346" s="372"/>
      <c r="X1346" s="373"/>
      <c r="Y1346" s="348"/>
      <c r="Z1346" s="348" t="s">
        <v>79</v>
      </c>
      <c r="AA1346" s="348"/>
    </row>
    <row r="1347" s="331" customFormat="1" ht="17" customHeight="1" spans="1:27">
      <c r="A1347" s="348">
        <v>2024547</v>
      </c>
      <c r="B1347" s="348" t="s">
        <v>73</v>
      </c>
      <c r="C1347" s="348" t="s">
        <v>178</v>
      </c>
      <c r="D1347" s="349" t="s">
        <v>143</v>
      </c>
      <c r="E1347" s="336">
        <v>43640</v>
      </c>
      <c r="F1347" s="336">
        <v>43639</v>
      </c>
      <c r="G1347" s="336">
        <v>43661</v>
      </c>
      <c r="H1347" s="334" t="s">
        <v>3807</v>
      </c>
      <c r="I1347" s="356">
        <v>13501957831</v>
      </c>
      <c r="J1347" s="361" t="s">
        <v>3808</v>
      </c>
      <c r="K1347" s="356">
        <v>1000</v>
      </c>
      <c r="L1347" s="334">
        <v>14707</v>
      </c>
      <c r="M1347" s="334">
        <v>1520</v>
      </c>
      <c r="N1347" s="362">
        <f t="shared" si="40"/>
        <v>16227</v>
      </c>
      <c r="O1347" s="356"/>
      <c r="Q1347" s="356"/>
      <c r="R1347" s="356"/>
      <c r="S1347" s="356"/>
      <c r="T1347" s="356"/>
      <c r="U1347" s="372"/>
      <c r="V1347" s="372"/>
      <c r="W1347" s="372"/>
      <c r="X1347" s="373"/>
      <c r="Y1347" s="348" t="s">
        <v>1181</v>
      </c>
      <c r="Z1347" s="348" t="s">
        <v>79</v>
      </c>
      <c r="AA1347" s="348"/>
    </row>
    <row r="1348" s="331" customFormat="1" ht="17" customHeight="1" spans="1:27">
      <c r="A1348" s="348">
        <v>2024546</v>
      </c>
      <c r="B1348" s="348" t="s">
        <v>73</v>
      </c>
      <c r="C1348" s="348" t="s">
        <v>178</v>
      </c>
      <c r="D1348" s="349" t="s">
        <v>132</v>
      </c>
      <c r="E1348" s="336">
        <v>43640</v>
      </c>
      <c r="F1348" s="336">
        <v>43639</v>
      </c>
      <c r="G1348" s="336">
        <v>43663</v>
      </c>
      <c r="H1348" s="334" t="s">
        <v>3809</v>
      </c>
      <c r="I1348" s="356">
        <v>13918319422</v>
      </c>
      <c r="J1348" s="361" t="s">
        <v>3810</v>
      </c>
      <c r="K1348" s="356">
        <v>1000</v>
      </c>
      <c r="L1348" s="334">
        <v>5212</v>
      </c>
      <c r="M1348" s="334">
        <v>2603</v>
      </c>
      <c r="N1348" s="362">
        <f t="shared" si="40"/>
        <v>7815</v>
      </c>
      <c r="O1348" s="356"/>
      <c r="Q1348" s="356"/>
      <c r="R1348" s="356"/>
      <c r="S1348" s="356"/>
      <c r="T1348" s="356"/>
      <c r="U1348" s="372"/>
      <c r="V1348" s="372"/>
      <c r="W1348" s="372"/>
      <c r="X1348" s="373"/>
      <c r="Y1348" s="348" t="s">
        <v>1181</v>
      </c>
      <c r="Z1348" s="348" t="s">
        <v>79</v>
      </c>
      <c r="AA1348" s="348"/>
    </row>
    <row r="1349" s="331" customFormat="1" ht="17" customHeight="1" spans="1:28">
      <c r="A1349" s="550" t="s">
        <v>3811</v>
      </c>
      <c r="B1349" s="348" t="s">
        <v>123</v>
      </c>
      <c r="C1349" s="348" t="s">
        <v>2301</v>
      </c>
      <c r="D1349" s="349" t="s">
        <v>125</v>
      </c>
      <c r="E1349" s="336">
        <v>43712</v>
      </c>
      <c r="F1349" s="336">
        <v>43639</v>
      </c>
      <c r="G1349" s="336">
        <v>43712</v>
      </c>
      <c r="H1349" s="334" t="s">
        <v>3812</v>
      </c>
      <c r="I1349" s="356">
        <v>13501874414</v>
      </c>
      <c r="J1349" s="361" t="s">
        <v>3813</v>
      </c>
      <c r="K1349" s="356">
        <v>1000</v>
      </c>
      <c r="L1349" s="334">
        <v>11293</v>
      </c>
      <c r="M1349" s="362"/>
      <c r="N1349" s="362">
        <f t="shared" si="40"/>
        <v>11293</v>
      </c>
      <c r="O1349" s="356"/>
      <c r="Q1349" s="356"/>
      <c r="R1349" s="356"/>
      <c r="S1349" s="356" t="s">
        <v>52</v>
      </c>
      <c r="T1349" s="356"/>
      <c r="U1349" s="372"/>
      <c r="V1349" s="374" t="s">
        <v>289</v>
      </c>
      <c r="W1349" s="372"/>
      <c r="X1349" s="373"/>
      <c r="Y1349" s="348"/>
      <c r="Z1349" s="348"/>
      <c r="AA1349" s="348"/>
      <c r="AB1349" s="331" t="s">
        <v>659</v>
      </c>
    </row>
    <row r="1350" s="331" customFormat="1" ht="17" customHeight="1" spans="1:27">
      <c r="A1350" s="348">
        <v>2024548</v>
      </c>
      <c r="B1350" s="348" t="s">
        <v>73</v>
      </c>
      <c r="C1350" s="348" t="s">
        <v>74</v>
      </c>
      <c r="D1350" s="334" t="s">
        <v>717</v>
      </c>
      <c r="E1350" s="336">
        <v>43705</v>
      </c>
      <c r="F1350" s="336">
        <v>43639</v>
      </c>
      <c r="G1350" s="336">
        <v>43703</v>
      </c>
      <c r="H1350" s="334" t="s">
        <v>3814</v>
      </c>
      <c r="I1350" s="356">
        <v>13651930910</v>
      </c>
      <c r="J1350" s="361" t="s">
        <v>3815</v>
      </c>
      <c r="K1350" s="356">
        <v>1000</v>
      </c>
      <c r="L1350" s="334">
        <v>10843</v>
      </c>
      <c r="M1350" s="334">
        <f>28497</f>
        <v>28497</v>
      </c>
      <c r="N1350" s="362">
        <f t="shared" si="40"/>
        <v>39340</v>
      </c>
      <c r="O1350" s="356"/>
      <c r="Q1350" s="366"/>
      <c r="R1350" s="366" t="s">
        <v>52</v>
      </c>
      <c r="S1350" s="356"/>
      <c r="T1350" s="356"/>
      <c r="U1350" s="372"/>
      <c r="V1350" s="372"/>
      <c r="W1350" s="372"/>
      <c r="X1350" s="373"/>
      <c r="Y1350" s="348" t="s">
        <v>1181</v>
      </c>
      <c r="Z1350" s="348" t="s">
        <v>79</v>
      </c>
      <c r="AA1350" s="348"/>
    </row>
    <row r="1351" s="331" customFormat="1" ht="17" customHeight="1" spans="1:27">
      <c r="A1351" s="348">
        <v>2024542</v>
      </c>
      <c r="B1351" s="348" t="s">
        <v>73</v>
      </c>
      <c r="C1351" s="348" t="s">
        <v>178</v>
      </c>
      <c r="D1351" s="349" t="s">
        <v>75</v>
      </c>
      <c r="E1351" s="336">
        <v>43638</v>
      </c>
      <c r="F1351" s="336">
        <v>43638</v>
      </c>
      <c r="G1351" s="350"/>
      <c r="H1351" s="334" t="s">
        <v>3816</v>
      </c>
      <c r="I1351" s="356">
        <v>13761170053</v>
      </c>
      <c r="J1351" s="361" t="s">
        <v>3817</v>
      </c>
      <c r="K1351" s="356">
        <v>1000</v>
      </c>
      <c r="L1351" s="362"/>
      <c r="M1351" s="362"/>
      <c r="N1351" s="362">
        <f t="shared" si="40"/>
        <v>0</v>
      </c>
      <c r="O1351" s="366"/>
      <c r="P1351" s="366" t="s">
        <v>52</v>
      </c>
      <c r="Q1351" s="356"/>
      <c r="R1351" s="356"/>
      <c r="S1351" s="356"/>
      <c r="T1351" s="356"/>
      <c r="U1351" s="350" t="s">
        <v>40</v>
      </c>
      <c r="V1351" s="372"/>
      <c r="W1351" s="372"/>
      <c r="X1351" s="373"/>
      <c r="Y1351" s="348"/>
      <c r="Z1351" s="348" t="s">
        <v>79</v>
      </c>
      <c r="AA1351" s="348"/>
    </row>
    <row r="1352" s="331" customFormat="1" ht="17" customHeight="1" spans="1:27">
      <c r="A1352" s="550" t="s">
        <v>3818</v>
      </c>
      <c r="B1352" s="348" t="s">
        <v>35</v>
      </c>
      <c r="C1352" s="348" t="s">
        <v>392</v>
      </c>
      <c r="D1352" s="349" t="s">
        <v>37</v>
      </c>
      <c r="E1352" s="336">
        <v>43769</v>
      </c>
      <c r="F1352" s="336">
        <v>43639</v>
      </c>
      <c r="G1352" s="336">
        <v>43769</v>
      </c>
      <c r="H1352" s="334" t="s">
        <v>3819</v>
      </c>
      <c r="I1352" s="356">
        <v>13248041828</v>
      </c>
      <c r="J1352" s="361" t="s">
        <v>3820</v>
      </c>
      <c r="K1352" s="356">
        <v>1000</v>
      </c>
      <c r="L1352" s="334">
        <v>6828</v>
      </c>
      <c r="M1352" s="362"/>
      <c r="N1352" s="362">
        <f t="shared" si="40"/>
        <v>6828</v>
      </c>
      <c r="O1352" s="356"/>
      <c r="P1352" s="356"/>
      <c r="Q1352" s="356"/>
      <c r="R1352" s="356" t="s">
        <v>52</v>
      </c>
      <c r="S1352" s="356"/>
      <c r="T1352" s="356"/>
      <c r="U1352" s="372"/>
      <c r="V1352" s="372"/>
      <c r="W1352" s="372"/>
      <c r="X1352" s="373"/>
      <c r="Y1352" s="348"/>
      <c r="Z1352" s="348"/>
      <c r="AA1352" s="348"/>
    </row>
    <row r="1353" s="331" customFormat="1" ht="17" customHeight="1" spans="1:27">
      <c r="A1353" s="550" t="s">
        <v>3821</v>
      </c>
      <c r="B1353" s="348" t="s">
        <v>169</v>
      </c>
      <c r="C1353" s="348" t="s">
        <v>634</v>
      </c>
      <c r="D1353" s="349" t="s">
        <v>635</v>
      </c>
      <c r="E1353" s="336">
        <v>43738</v>
      </c>
      <c r="F1353" s="336">
        <v>43640</v>
      </c>
      <c r="G1353" s="336">
        <v>43738</v>
      </c>
      <c r="H1353" s="334" t="s">
        <v>3822</v>
      </c>
      <c r="I1353" s="356">
        <v>15001916642</v>
      </c>
      <c r="J1353" s="361" t="s">
        <v>3823</v>
      </c>
      <c r="K1353" s="356">
        <v>1000</v>
      </c>
      <c r="L1353" s="334">
        <v>4003</v>
      </c>
      <c r="M1353" s="362"/>
      <c r="N1353" s="362">
        <f t="shared" si="40"/>
        <v>4003</v>
      </c>
      <c r="O1353" s="356" t="s">
        <v>19</v>
      </c>
      <c r="P1353" s="356"/>
      <c r="Q1353" s="356"/>
      <c r="R1353" s="356"/>
      <c r="S1353" s="356"/>
      <c r="T1353" s="356"/>
      <c r="U1353" s="356" t="s">
        <v>12</v>
      </c>
      <c r="V1353" s="372"/>
      <c r="W1353" s="372"/>
      <c r="X1353" s="373"/>
      <c r="Y1353" s="348"/>
      <c r="Z1353" s="348"/>
      <c r="AA1353" s="348"/>
    </row>
    <row r="1354" s="331" customFormat="1" ht="17" customHeight="1" spans="1:27">
      <c r="A1354" s="550" t="s">
        <v>3824</v>
      </c>
      <c r="B1354" s="348" t="s">
        <v>153</v>
      </c>
      <c r="C1354" s="348" t="s">
        <v>154</v>
      </c>
      <c r="D1354" s="349" t="s">
        <v>155</v>
      </c>
      <c r="E1354" s="336">
        <v>43640</v>
      </c>
      <c r="F1354" s="336">
        <v>43639</v>
      </c>
      <c r="G1354" s="336">
        <v>43652</v>
      </c>
      <c r="H1354" s="351" t="s">
        <v>3825</v>
      </c>
      <c r="I1354" s="356">
        <v>13901915155</v>
      </c>
      <c r="J1354" s="361" t="s">
        <v>3826</v>
      </c>
      <c r="K1354" s="356">
        <v>10000</v>
      </c>
      <c r="L1354" s="334">
        <v>14274</v>
      </c>
      <c r="M1354" s="334"/>
      <c r="N1354" s="362">
        <f t="shared" si="40"/>
        <v>14274</v>
      </c>
      <c r="O1354" s="356"/>
      <c r="P1354" s="356"/>
      <c r="Q1354" s="356"/>
      <c r="R1354" s="356"/>
      <c r="S1354" s="356"/>
      <c r="T1354" s="356"/>
      <c r="U1354" s="372"/>
      <c r="V1354" s="372"/>
      <c r="W1354" s="372"/>
      <c r="X1354" s="373"/>
      <c r="Y1354" s="348" t="s">
        <v>3185</v>
      </c>
      <c r="Z1354" s="348"/>
      <c r="AA1354" s="348"/>
    </row>
    <row r="1355" s="331" customFormat="1" ht="17" customHeight="1" spans="1:27">
      <c r="A1355" s="550" t="s">
        <v>3827</v>
      </c>
      <c r="B1355" s="348" t="s">
        <v>185</v>
      </c>
      <c r="C1355" s="348" t="s">
        <v>886</v>
      </c>
      <c r="D1355" s="349" t="s">
        <v>187</v>
      </c>
      <c r="E1355" s="336">
        <v>43640</v>
      </c>
      <c r="F1355" s="336">
        <v>43638</v>
      </c>
      <c r="G1355" s="336">
        <v>43671</v>
      </c>
      <c r="H1355" s="334" t="s">
        <v>3828</v>
      </c>
      <c r="I1355" s="356" t="s">
        <v>3829</v>
      </c>
      <c r="J1355" s="361" t="s">
        <v>3830</v>
      </c>
      <c r="K1355" s="356">
        <v>1000</v>
      </c>
      <c r="L1355" s="334">
        <v>26800</v>
      </c>
      <c r="M1355" s="362"/>
      <c r="N1355" s="362">
        <f t="shared" si="40"/>
        <v>26800</v>
      </c>
      <c r="O1355" s="356"/>
      <c r="P1355" s="356" t="s">
        <v>52</v>
      </c>
      <c r="Q1355" s="356"/>
      <c r="R1355" s="356"/>
      <c r="S1355" s="356"/>
      <c r="T1355" s="356"/>
      <c r="U1355" s="372"/>
      <c r="V1355" s="372"/>
      <c r="W1355" s="372"/>
      <c r="X1355" s="373"/>
      <c r="Y1355" s="348"/>
      <c r="Z1355" s="348"/>
      <c r="AA1355" s="348"/>
    </row>
    <row r="1356" s="331" customFormat="1" ht="17" customHeight="1" spans="1:27">
      <c r="A1356" s="348"/>
      <c r="B1356" s="348" t="s">
        <v>31</v>
      </c>
      <c r="C1356" s="348" t="s">
        <v>251</v>
      </c>
      <c r="D1356" s="334" t="s">
        <v>954</v>
      </c>
      <c r="E1356" s="336">
        <v>43725</v>
      </c>
      <c r="F1356" s="336">
        <v>43639</v>
      </c>
      <c r="G1356" s="336">
        <v>43723</v>
      </c>
      <c r="H1356" s="334" t="s">
        <v>3831</v>
      </c>
      <c r="I1356" s="356">
        <v>13916144400</v>
      </c>
      <c r="J1356" s="334" t="s">
        <v>3832</v>
      </c>
      <c r="K1356" s="356">
        <v>4601</v>
      </c>
      <c r="L1356" s="334">
        <v>4801</v>
      </c>
      <c r="M1356" s="362"/>
      <c r="N1356" s="362">
        <f t="shared" ref="N1356:N1383" si="41">L1356+M1356</f>
        <v>4801</v>
      </c>
      <c r="O1356" s="356"/>
      <c r="P1356" s="356"/>
      <c r="Q1356" s="366" t="s">
        <v>52</v>
      </c>
      <c r="R1356" s="356"/>
      <c r="S1356" s="356"/>
      <c r="T1356" s="356"/>
      <c r="U1356" s="372"/>
      <c r="V1356" s="372"/>
      <c r="W1356" s="372"/>
      <c r="X1356" s="373"/>
      <c r="Y1356" s="348"/>
      <c r="Z1356" s="348"/>
      <c r="AA1356" s="348"/>
    </row>
    <row r="1357" s="331" customFormat="1" ht="17" customHeight="1" spans="1:27">
      <c r="A1357" s="348"/>
      <c r="B1357" s="348" t="s">
        <v>31</v>
      </c>
      <c r="C1357" s="348" t="s">
        <v>220</v>
      </c>
      <c r="D1357" s="349" t="s">
        <v>221</v>
      </c>
      <c r="E1357" s="336">
        <v>43640</v>
      </c>
      <c r="F1357" s="336">
        <v>43640</v>
      </c>
      <c r="G1357" s="350"/>
      <c r="H1357" s="334" t="s">
        <v>3833</v>
      </c>
      <c r="I1357" s="356">
        <v>13373580330</v>
      </c>
      <c r="J1357" s="361" t="s">
        <v>3834</v>
      </c>
      <c r="K1357" s="356">
        <v>1000</v>
      </c>
      <c r="L1357" s="362"/>
      <c r="M1357" s="362"/>
      <c r="N1357" s="362">
        <f t="shared" si="41"/>
        <v>0</v>
      </c>
      <c r="O1357" s="356"/>
      <c r="P1357" s="356"/>
      <c r="Q1357" s="366" t="s">
        <v>52</v>
      </c>
      <c r="R1357" s="356"/>
      <c r="S1357" s="356"/>
      <c r="T1357" s="356"/>
      <c r="U1357" s="372" t="s">
        <v>12</v>
      </c>
      <c r="V1357" s="372"/>
      <c r="W1357" s="372"/>
      <c r="X1357" s="373"/>
      <c r="Y1357" s="348" t="s">
        <v>92</v>
      </c>
      <c r="Z1357" s="348"/>
      <c r="AA1357" s="348"/>
    </row>
    <row r="1358" s="331" customFormat="1" ht="17" customHeight="1" spans="1:27">
      <c r="A1358" s="550" t="s">
        <v>3835</v>
      </c>
      <c r="B1358" s="348" t="s">
        <v>35</v>
      </c>
      <c r="C1358" s="348" t="s">
        <v>36</v>
      </c>
      <c r="D1358" s="349" t="s">
        <v>37</v>
      </c>
      <c r="E1358" s="336">
        <v>43692</v>
      </c>
      <c r="F1358" s="336">
        <v>43639</v>
      </c>
      <c r="G1358" s="336">
        <v>43692</v>
      </c>
      <c r="H1358" s="334" t="s">
        <v>3836</v>
      </c>
      <c r="I1358" s="356">
        <v>13611918590</v>
      </c>
      <c r="J1358" s="361" t="s">
        <v>3837</v>
      </c>
      <c r="K1358" s="356">
        <v>7459.12</v>
      </c>
      <c r="L1358" s="334">
        <v>8263</v>
      </c>
      <c r="M1358" s="362"/>
      <c r="N1358" s="362">
        <f t="shared" si="41"/>
        <v>8263</v>
      </c>
      <c r="O1358" s="356"/>
      <c r="P1358" s="356" t="s">
        <v>52</v>
      </c>
      <c r="Q1358" s="356"/>
      <c r="R1358" s="356"/>
      <c r="S1358" s="356"/>
      <c r="T1358" s="356"/>
      <c r="U1358" s="372"/>
      <c r="V1358" s="372"/>
      <c r="W1358" s="372"/>
      <c r="X1358" s="373"/>
      <c r="Y1358" s="348"/>
      <c r="Z1358" s="348"/>
      <c r="AA1358" s="348"/>
    </row>
    <row r="1359" s="331" customFormat="1" ht="17" customHeight="1" spans="1:27">
      <c r="A1359" s="550" t="s">
        <v>3838</v>
      </c>
      <c r="B1359" s="348" t="s">
        <v>42</v>
      </c>
      <c r="C1359" s="348" t="s">
        <v>1728</v>
      </c>
      <c r="D1359" s="349" t="s">
        <v>356</v>
      </c>
      <c r="E1359" s="336">
        <v>43641</v>
      </c>
      <c r="F1359" s="336">
        <v>43640</v>
      </c>
      <c r="G1359" s="350"/>
      <c r="H1359" s="334" t="s">
        <v>3839</v>
      </c>
      <c r="I1359" s="356">
        <v>18721721606</v>
      </c>
      <c r="J1359" s="361" t="s">
        <v>3840</v>
      </c>
      <c r="K1359" s="356">
        <v>1000</v>
      </c>
      <c r="L1359" s="362"/>
      <c r="M1359" s="362"/>
      <c r="N1359" s="362">
        <f t="shared" si="41"/>
        <v>0</v>
      </c>
      <c r="O1359" s="356"/>
      <c r="P1359" s="356"/>
      <c r="Q1359" s="356"/>
      <c r="R1359" s="356"/>
      <c r="S1359" s="356"/>
      <c r="T1359" s="356"/>
      <c r="U1359" s="372" t="s">
        <v>3841</v>
      </c>
      <c r="V1359" s="372"/>
      <c r="W1359" s="372"/>
      <c r="X1359" s="373"/>
      <c r="Y1359" s="348"/>
      <c r="Z1359" s="348"/>
      <c r="AA1359" s="348"/>
    </row>
    <row r="1360" s="331" customFormat="1" ht="17" customHeight="1" spans="1:27">
      <c r="A1360" s="550" t="s">
        <v>3842</v>
      </c>
      <c r="B1360" s="348" t="s">
        <v>66</v>
      </c>
      <c r="C1360" s="348" t="s">
        <v>119</v>
      </c>
      <c r="D1360" s="349" t="s">
        <v>68</v>
      </c>
      <c r="E1360" s="336">
        <v>43641</v>
      </c>
      <c r="F1360" s="336">
        <v>43640</v>
      </c>
      <c r="G1360" s="350"/>
      <c r="H1360" s="334" t="s">
        <v>3843</v>
      </c>
      <c r="I1360" s="356">
        <v>13918581368</v>
      </c>
      <c r="J1360" s="361" t="s">
        <v>3844</v>
      </c>
      <c r="K1360" s="356">
        <v>1000</v>
      </c>
      <c r="L1360" s="362"/>
      <c r="M1360" s="362"/>
      <c r="N1360" s="362">
        <f t="shared" si="41"/>
        <v>0</v>
      </c>
      <c r="O1360" s="356"/>
      <c r="P1360" s="356"/>
      <c r="Q1360" s="356" t="s">
        <v>21</v>
      </c>
      <c r="R1360" s="356"/>
      <c r="S1360" s="356"/>
      <c r="T1360" s="356"/>
      <c r="U1360" s="372" t="s">
        <v>12</v>
      </c>
      <c r="V1360" s="372"/>
      <c r="W1360" s="372"/>
      <c r="X1360" s="373"/>
      <c r="Y1360" s="348"/>
      <c r="Z1360" s="348"/>
      <c r="AA1360" s="348"/>
    </row>
    <row r="1361" s="331" customFormat="1" ht="17" customHeight="1" spans="1:27">
      <c r="A1361" s="550" t="s">
        <v>3845</v>
      </c>
      <c r="B1361" s="334" t="s">
        <v>58</v>
      </c>
      <c r="C1361" s="334" t="s">
        <v>59</v>
      </c>
      <c r="D1361" s="349" t="s">
        <v>343</v>
      </c>
      <c r="E1361" s="336" t="s">
        <v>133</v>
      </c>
      <c r="F1361" s="336">
        <v>43450</v>
      </c>
      <c r="G1361" s="336">
        <v>43672</v>
      </c>
      <c r="H1361" s="363" t="s">
        <v>3846</v>
      </c>
      <c r="I1361" s="363">
        <v>18918351333</v>
      </c>
      <c r="J1361" s="364" t="s">
        <v>3847</v>
      </c>
      <c r="K1361" s="356">
        <v>3000</v>
      </c>
      <c r="L1361" s="334">
        <v>39950</v>
      </c>
      <c r="M1361" s="362"/>
      <c r="N1361" s="362">
        <f t="shared" si="41"/>
        <v>39950</v>
      </c>
      <c r="O1361" s="356"/>
      <c r="P1361" s="366" t="s">
        <v>52</v>
      </c>
      <c r="Q1361" s="356"/>
      <c r="R1361" s="356"/>
      <c r="S1361" s="356"/>
      <c r="T1361" s="356"/>
      <c r="U1361" s="372"/>
      <c r="V1361" s="372"/>
      <c r="W1361" s="372"/>
      <c r="X1361" s="373">
        <v>1</v>
      </c>
      <c r="Y1361" s="348" t="s">
        <v>3848</v>
      </c>
      <c r="Z1361" s="348"/>
      <c r="AA1361" s="348"/>
    </row>
    <row r="1362" s="331" customFormat="1" ht="17" customHeight="1" spans="1:27">
      <c r="A1362" s="348">
        <v>2022347</v>
      </c>
      <c r="B1362" s="348" t="s">
        <v>35</v>
      </c>
      <c r="C1362" s="348" t="s">
        <v>392</v>
      </c>
      <c r="D1362" s="349" t="s">
        <v>37</v>
      </c>
      <c r="E1362" s="336">
        <v>43641</v>
      </c>
      <c r="F1362" s="336">
        <v>43640</v>
      </c>
      <c r="G1362" s="336">
        <v>43675</v>
      </c>
      <c r="H1362" s="334" t="s">
        <v>3849</v>
      </c>
      <c r="I1362" s="356">
        <v>13918262174</v>
      </c>
      <c r="J1362" s="361" t="s">
        <v>3850</v>
      </c>
      <c r="K1362" s="356">
        <v>10000</v>
      </c>
      <c r="L1362" s="334">
        <v>20165</v>
      </c>
      <c r="M1362" s="362"/>
      <c r="N1362" s="362">
        <f t="shared" si="41"/>
        <v>20165</v>
      </c>
      <c r="O1362" s="356"/>
      <c r="P1362" s="356"/>
      <c r="Q1362" s="356"/>
      <c r="R1362" s="356"/>
      <c r="S1362" s="356"/>
      <c r="T1362" s="356"/>
      <c r="U1362" s="372"/>
      <c r="V1362" s="372"/>
      <c r="W1362" s="372"/>
      <c r="X1362" s="373"/>
      <c r="Y1362" s="348"/>
      <c r="Z1362" s="348"/>
      <c r="AA1362" s="348"/>
    </row>
    <row r="1363" s="331" customFormat="1" ht="17" customHeight="1" spans="1:27">
      <c r="A1363" s="550" t="s">
        <v>3851</v>
      </c>
      <c r="B1363" s="348" t="s">
        <v>315</v>
      </c>
      <c r="C1363" s="348" t="s">
        <v>275</v>
      </c>
      <c r="D1363" s="334" t="s">
        <v>132</v>
      </c>
      <c r="E1363" s="336">
        <v>43718</v>
      </c>
      <c r="F1363" s="336">
        <v>43639</v>
      </c>
      <c r="G1363" s="336">
        <v>43716</v>
      </c>
      <c r="H1363" s="334" t="s">
        <v>3852</v>
      </c>
      <c r="I1363" s="356">
        <v>18017713887</v>
      </c>
      <c r="J1363" s="361" t="s">
        <v>3853</v>
      </c>
      <c r="K1363" s="356">
        <v>1000</v>
      </c>
      <c r="L1363" s="334">
        <v>12729</v>
      </c>
      <c r="M1363" s="362"/>
      <c r="N1363" s="362">
        <f t="shared" si="41"/>
        <v>12729</v>
      </c>
      <c r="O1363" s="356"/>
      <c r="P1363" s="356"/>
      <c r="Q1363" s="356">
        <v>1</v>
      </c>
      <c r="R1363" s="356"/>
      <c r="S1363" s="356"/>
      <c r="T1363" s="356"/>
      <c r="U1363" s="372"/>
      <c r="V1363" s="372"/>
      <c r="W1363" s="372"/>
      <c r="X1363" s="373"/>
      <c r="Y1363" s="348"/>
      <c r="Z1363" s="348"/>
      <c r="AA1363" s="348"/>
    </row>
    <row r="1364" s="331" customFormat="1" ht="17" customHeight="1" spans="1:27">
      <c r="A1364" s="550" t="s">
        <v>3854</v>
      </c>
      <c r="B1364" s="348" t="s">
        <v>185</v>
      </c>
      <c r="C1364" s="348" t="s">
        <v>886</v>
      </c>
      <c r="D1364" s="349" t="s">
        <v>187</v>
      </c>
      <c r="E1364" s="336"/>
      <c r="F1364" s="336">
        <v>43639</v>
      </c>
      <c r="G1364" s="350"/>
      <c r="H1364" s="334" t="s">
        <v>3855</v>
      </c>
      <c r="I1364" s="356">
        <v>15678635072</v>
      </c>
      <c r="J1364" s="361" t="s">
        <v>3856</v>
      </c>
      <c r="K1364" s="356">
        <v>0</v>
      </c>
      <c r="L1364" s="362"/>
      <c r="M1364" s="362"/>
      <c r="N1364" s="362">
        <f t="shared" si="41"/>
        <v>0</v>
      </c>
      <c r="O1364" s="356"/>
      <c r="P1364" s="356"/>
      <c r="Q1364" s="366" t="s">
        <v>52</v>
      </c>
      <c r="R1364" s="356"/>
      <c r="S1364" s="356"/>
      <c r="T1364" s="356"/>
      <c r="U1364" s="374">
        <v>43687</v>
      </c>
      <c r="V1364" s="372"/>
      <c r="W1364" s="372"/>
      <c r="X1364" s="373"/>
      <c r="Y1364" s="348"/>
      <c r="Z1364" s="348" t="s">
        <v>3713</v>
      </c>
      <c r="AA1364" s="348"/>
    </row>
    <row r="1365" s="331" customFormat="1" ht="17" customHeight="1" spans="1:27">
      <c r="A1365" s="348"/>
      <c r="B1365" s="348" t="s">
        <v>153</v>
      </c>
      <c r="C1365" s="348" t="s">
        <v>302</v>
      </c>
      <c r="D1365" s="352" t="s">
        <v>155</v>
      </c>
      <c r="E1365" s="336">
        <v>43641</v>
      </c>
      <c r="F1365" s="336">
        <v>43641</v>
      </c>
      <c r="G1365" s="336">
        <v>43651</v>
      </c>
      <c r="H1365" s="334" t="s">
        <v>3857</v>
      </c>
      <c r="I1365" s="356">
        <v>13611887783</v>
      </c>
      <c r="J1365" s="361" t="s">
        <v>3858</v>
      </c>
      <c r="K1365" s="356">
        <v>1000</v>
      </c>
      <c r="L1365" s="334">
        <f>7000-1104</f>
        <v>5896</v>
      </c>
      <c r="M1365" s="334">
        <f>736+368</f>
        <v>1104</v>
      </c>
      <c r="N1365" s="362">
        <f t="shared" si="41"/>
        <v>7000</v>
      </c>
      <c r="O1365" s="356"/>
      <c r="P1365" s="356"/>
      <c r="Q1365" s="356"/>
      <c r="R1365" s="356"/>
      <c r="S1365" s="356"/>
      <c r="T1365" s="356"/>
      <c r="U1365" s="372"/>
      <c r="V1365" s="372"/>
      <c r="W1365" s="372"/>
      <c r="X1365" s="373"/>
      <c r="Y1365" s="348"/>
      <c r="Z1365" s="348"/>
      <c r="AA1365" s="348"/>
    </row>
    <row r="1366" s="331" customFormat="1" ht="17" customHeight="1" spans="1:27">
      <c r="A1366" s="348">
        <v>2027576</v>
      </c>
      <c r="B1366" s="348" t="s">
        <v>73</v>
      </c>
      <c r="C1366" s="348" t="s">
        <v>1130</v>
      </c>
      <c r="D1366" s="349" t="s">
        <v>75</v>
      </c>
      <c r="E1366" s="336">
        <v>43728</v>
      </c>
      <c r="F1366" s="336">
        <v>43641</v>
      </c>
      <c r="G1366" s="336">
        <v>43727</v>
      </c>
      <c r="H1366" s="334" t="s">
        <v>3859</v>
      </c>
      <c r="I1366" s="356">
        <v>18918795939</v>
      </c>
      <c r="J1366" s="361" t="s">
        <v>3860</v>
      </c>
      <c r="K1366" s="356">
        <v>1000</v>
      </c>
      <c r="L1366" s="334">
        <v>10950</v>
      </c>
      <c r="M1366" s="362"/>
      <c r="N1366" s="362">
        <f t="shared" si="41"/>
        <v>10950</v>
      </c>
      <c r="O1366" s="366" t="s">
        <v>52</v>
      </c>
      <c r="P1366" s="356"/>
      <c r="Q1366" s="356"/>
      <c r="R1366" s="356"/>
      <c r="S1366" s="356"/>
      <c r="T1366" s="356"/>
      <c r="U1366" s="372"/>
      <c r="V1366" s="372"/>
      <c r="W1366" s="372"/>
      <c r="X1366" s="373">
        <v>1</v>
      </c>
      <c r="Y1366" s="348" t="s">
        <v>2618</v>
      </c>
      <c r="Z1366" s="348" t="s">
        <v>79</v>
      </c>
      <c r="AA1366" s="348"/>
    </row>
    <row r="1367" s="331" customFormat="1" ht="17" customHeight="1" spans="1:27">
      <c r="A1367" s="348">
        <v>2024520</v>
      </c>
      <c r="B1367" s="348" t="s">
        <v>73</v>
      </c>
      <c r="C1367" s="348" t="s">
        <v>1130</v>
      </c>
      <c r="D1367" s="349" t="s">
        <v>717</v>
      </c>
      <c r="E1367" s="336">
        <v>43641</v>
      </c>
      <c r="F1367" s="336">
        <v>43618</v>
      </c>
      <c r="G1367" s="336">
        <v>43677</v>
      </c>
      <c r="H1367" s="334" t="s">
        <v>3861</v>
      </c>
      <c r="I1367" s="356">
        <v>13636466621</v>
      </c>
      <c r="J1367" s="361" t="s">
        <v>3862</v>
      </c>
      <c r="K1367" s="356">
        <v>1000</v>
      </c>
      <c r="L1367" s="334">
        <v>15395</v>
      </c>
      <c r="M1367" s="362"/>
      <c r="N1367" s="362">
        <f t="shared" si="41"/>
        <v>15395</v>
      </c>
      <c r="O1367" s="366" t="s">
        <v>52</v>
      </c>
      <c r="P1367" s="356"/>
      <c r="Q1367" s="356"/>
      <c r="R1367" s="356"/>
      <c r="S1367" s="356"/>
      <c r="T1367" s="356"/>
      <c r="U1367" s="372"/>
      <c r="V1367" s="372"/>
      <c r="W1367" s="372"/>
      <c r="X1367" s="373"/>
      <c r="Y1367" s="348" t="s">
        <v>787</v>
      </c>
      <c r="Z1367" s="348" t="s">
        <v>79</v>
      </c>
      <c r="AA1367" s="348"/>
    </row>
    <row r="1368" s="331" customFormat="1" ht="17" customHeight="1" spans="1:27">
      <c r="A1368" s="550" t="s">
        <v>3863</v>
      </c>
      <c r="B1368" s="348" t="s">
        <v>58</v>
      </c>
      <c r="C1368" s="348" t="s">
        <v>109</v>
      </c>
      <c r="D1368" s="352" t="s">
        <v>110</v>
      </c>
      <c r="E1368" s="336">
        <v>43641</v>
      </c>
      <c r="F1368" s="336">
        <v>43639</v>
      </c>
      <c r="G1368" s="336">
        <v>43673</v>
      </c>
      <c r="H1368" s="334" t="s">
        <v>3864</v>
      </c>
      <c r="I1368" s="356" t="s">
        <v>3865</v>
      </c>
      <c r="J1368" s="361" t="s">
        <v>3866</v>
      </c>
      <c r="K1368" s="356">
        <v>1000</v>
      </c>
      <c r="L1368" s="334">
        <v>3146</v>
      </c>
      <c r="M1368" s="334">
        <v>368</v>
      </c>
      <c r="N1368" s="362">
        <f t="shared" si="41"/>
        <v>3514</v>
      </c>
      <c r="O1368" s="356"/>
      <c r="P1368" s="356"/>
      <c r="Q1368" s="356"/>
      <c r="R1368" s="366" t="s">
        <v>52</v>
      </c>
      <c r="S1368" s="356"/>
      <c r="T1368" s="356"/>
      <c r="U1368" s="372"/>
      <c r="V1368" s="372"/>
      <c r="W1368" s="372"/>
      <c r="X1368" s="373"/>
      <c r="Y1368" s="348" t="s">
        <v>1181</v>
      </c>
      <c r="Z1368" s="348"/>
      <c r="AA1368" s="348"/>
    </row>
    <row r="1369" s="331" customFormat="1" ht="17" customHeight="1" spans="1:27">
      <c r="A1369" s="348"/>
      <c r="B1369" s="348" t="s">
        <v>58</v>
      </c>
      <c r="C1369" s="348" t="s">
        <v>109</v>
      </c>
      <c r="D1369" s="352" t="s">
        <v>110</v>
      </c>
      <c r="E1369" s="336">
        <v>43692</v>
      </c>
      <c r="F1369" s="336">
        <v>43641</v>
      </c>
      <c r="G1369" s="336">
        <v>43692</v>
      </c>
      <c r="H1369" s="334" t="s">
        <v>3867</v>
      </c>
      <c r="I1369" s="356">
        <v>137642886</v>
      </c>
      <c r="J1369" s="361" t="s">
        <v>3868</v>
      </c>
      <c r="K1369" s="356">
        <v>15000</v>
      </c>
      <c r="L1369" s="334">
        <f>15950-1472</f>
        <v>14478</v>
      </c>
      <c r="M1369" s="362">
        <f>736*2</f>
        <v>1472</v>
      </c>
      <c r="N1369" s="362">
        <f t="shared" si="41"/>
        <v>15950</v>
      </c>
      <c r="O1369" s="356"/>
      <c r="P1369" s="356"/>
      <c r="Q1369" s="356"/>
      <c r="R1369" s="366" t="s">
        <v>52</v>
      </c>
      <c r="S1369" s="356"/>
      <c r="T1369" s="356"/>
      <c r="U1369" s="372"/>
      <c r="V1369" s="372"/>
      <c r="W1369" s="372"/>
      <c r="X1369" s="373"/>
      <c r="Y1369" s="348" t="s">
        <v>274</v>
      </c>
      <c r="Z1369" s="348"/>
      <c r="AA1369" s="348" t="s">
        <v>3869</v>
      </c>
    </row>
    <row r="1370" s="331" customFormat="1" ht="17" customHeight="1" spans="1:27">
      <c r="A1370" s="550" t="s">
        <v>3870</v>
      </c>
      <c r="B1370" s="348" t="s">
        <v>2625</v>
      </c>
      <c r="C1370" s="348" t="s">
        <v>2626</v>
      </c>
      <c r="D1370" s="349" t="s">
        <v>635</v>
      </c>
      <c r="E1370" s="336">
        <v>43682</v>
      </c>
      <c r="F1370" s="336">
        <v>43641</v>
      </c>
      <c r="G1370" s="336">
        <v>43682</v>
      </c>
      <c r="H1370" s="334" t="s">
        <v>3871</v>
      </c>
      <c r="I1370" s="356">
        <v>13801850877</v>
      </c>
      <c r="J1370" s="361" t="s">
        <v>3872</v>
      </c>
      <c r="K1370" s="356">
        <v>1000</v>
      </c>
      <c r="L1370" s="334">
        <v>12000</v>
      </c>
      <c r="M1370" s="362"/>
      <c r="N1370" s="362">
        <f t="shared" si="41"/>
        <v>12000</v>
      </c>
      <c r="O1370" s="356"/>
      <c r="P1370" s="356"/>
      <c r="Q1370" s="356"/>
      <c r="R1370" s="356"/>
      <c r="S1370" s="356"/>
      <c r="T1370" s="356"/>
      <c r="U1370" s="372"/>
      <c r="V1370" s="372"/>
      <c r="W1370" s="374">
        <v>43679</v>
      </c>
      <c r="X1370" s="373">
        <v>1</v>
      </c>
      <c r="Y1370" s="348"/>
      <c r="Z1370" s="348"/>
      <c r="AA1370" s="348"/>
    </row>
    <row r="1371" s="331" customFormat="1" ht="17" customHeight="1" spans="1:27">
      <c r="A1371" s="550" t="s">
        <v>3873</v>
      </c>
      <c r="B1371" s="348" t="s">
        <v>2625</v>
      </c>
      <c r="C1371" s="348" t="s">
        <v>2626</v>
      </c>
      <c r="D1371" s="352" t="s">
        <v>89</v>
      </c>
      <c r="E1371" s="336">
        <v>43641</v>
      </c>
      <c r="F1371" s="336">
        <v>43641</v>
      </c>
      <c r="G1371" s="350"/>
      <c r="H1371" s="334" t="s">
        <v>3874</v>
      </c>
      <c r="I1371" s="356">
        <v>18917826170</v>
      </c>
      <c r="J1371" s="361" t="s">
        <v>3875</v>
      </c>
      <c r="K1371" s="356">
        <v>2000</v>
      </c>
      <c r="L1371" s="362"/>
      <c r="M1371" s="362"/>
      <c r="N1371" s="362">
        <f t="shared" si="41"/>
        <v>0</v>
      </c>
      <c r="O1371" s="356"/>
      <c r="P1371" s="356"/>
      <c r="Q1371" s="356"/>
      <c r="R1371" s="356"/>
      <c r="S1371" s="356"/>
      <c r="T1371" s="356"/>
      <c r="U1371" s="382">
        <v>43649</v>
      </c>
      <c r="V1371" s="372"/>
      <c r="W1371" s="372"/>
      <c r="X1371" s="373"/>
      <c r="Y1371" s="348"/>
      <c r="Z1371" s="348"/>
      <c r="AA1371" s="348"/>
    </row>
    <row r="1372" s="331" customFormat="1" ht="17" customHeight="1" spans="1:27">
      <c r="A1372" s="550" t="s">
        <v>3876</v>
      </c>
      <c r="B1372" s="348" t="s">
        <v>66</v>
      </c>
      <c r="C1372" s="348" t="s">
        <v>119</v>
      </c>
      <c r="D1372" s="349" t="s">
        <v>68</v>
      </c>
      <c r="E1372" s="336">
        <v>43790</v>
      </c>
      <c r="F1372" s="336">
        <v>43641</v>
      </c>
      <c r="G1372" s="336">
        <v>43790</v>
      </c>
      <c r="H1372" s="348" t="s">
        <v>3877</v>
      </c>
      <c r="I1372" s="356">
        <v>13512165353</v>
      </c>
      <c r="J1372" s="361" t="s">
        <v>3878</v>
      </c>
      <c r="K1372" s="356">
        <v>1000</v>
      </c>
      <c r="L1372" s="334">
        <v>5120</v>
      </c>
      <c r="M1372" s="362"/>
      <c r="N1372" s="362">
        <f t="shared" si="41"/>
        <v>5120</v>
      </c>
      <c r="O1372" s="356" t="s">
        <v>19</v>
      </c>
      <c r="P1372" s="356"/>
      <c r="Q1372" s="356"/>
      <c r="R1372" s="356"/>
      <c r="S1372" s="356"/>
      <c r="T1372" s="356"/>
      <c r="U1372" s="372"/>
      <c r="V1372" s="372"/>
      <c r="W1372" s="372"/>
      <c r="X1372" s="373"/>
      <c r="Y1372" s="348"/>
      <c r="Z1372" s="348"/>
      <c r="AA1372" s="348"/>
    </row>
    <row r="1373" s="331" customFormat="1" ht="17" customHeight="1" spans="1:27">
      <c r="A1373" s="348"/>
      <c r="B1373" s="348" t="s">
        <v>281</v>
      </c>
      <c r="C1373" s="334" t="s">
        <v>517</v>
      </c>
      <c r="D1373" s="334" t="s">
        <v>518</v>
      </c>
      <c r="E1373" s="336">
        <v>43830</v>
      </c>
      <c r="F1373" s="336">
        <v>43631</v>
      </c>
      <c r="G1373" s="336">
        <v>43804</v>
      </c>
      <c r="H1373" s="334" t="s">
        <v>140</v>
      </c>
      <c r="I1373" s="356">
        <v>18515206693</v>
      </c>
      <c r="J1373" s="361" t="s">
        <v>3879</v>
      </c>
      <c r="K1373" s="356">
        <v>1000</v>
      </c>
      <c r="L1373" s="334">
        <v>29060</v>
      </c>
      <c r="M1373" s="362"/>
      <c r="N1373" s="362">
        <f t="shared" si="41"/>
        <v>29060</v>
      </c>
      <c r="O1373" s="356" t="s">
        <v>52</v>
      </c>
      <c r="P1373" s="356"/>
      <c r="Q1373" s="356"/>
      <c r="R1373" s="356"/>
      <c r="S1373" s="356"/>
      <c r="T1373" s="356"/>
      <c r="U1373" s="372"/>
      <c r="V1373" s="372"/>
      <c r="W1373" s="372"/>
      <c r="X1373" s="373"/>
      <c r="Y1373" s="348" t="s">
        <v>501</v>
      </c>
      <c r="Z1373" s="348"/>
      <c r="AA1373" s="348"/>
    </row>
    <row r="1374" s="331" customFormat="1" ht="17" customHeight="1" spans="1:27">
      <c r="A1374" s="550" t="s">
        <v>3880</v>
      </c>
      <c r="B1374" s="348" t="s">
        <v>137</v>
      </c>
      <c r="C1374" s="348" t="s">
        <v>480</v>
      </c>
      <c r="D1374" s="349" t="s">
        <v>139</v>
      </c>
      <c r="E1374" s="336">
        <v>43642</v>
      </c>
      <c r="F1374" s="336">
        <v>43642</v>
      </c>
      <c r="G1374" s="336">
        <v>43672</v>
      </c>
      <c r="H1374" s="334" t="s">
        <v>3881</v>
      </c>
      <c r="I1374" s="356">
        <v>18117449539</v>
      </c>
      <c r="J1374" s="361" t="s">
        <v>3882</v>
      </c>
      <c r="K1374" s="356">
        <v>15000</v>
      </c>
      <c r="L1374" s="334">
        <v>13336</v>
      </c>
      <c r="M1374" s="362"/>
      <c r="N1374" s="362">
        <f t="shared" si="41"/>
        <v>13336</v>
      </c>
      <c r="O1374" s="356">
        <v>1</v>
      </c>
      <c r="P1374" s="356"/>
      <c r="Q1374" s="356"/>
      <c r="R1374" s="356"/>
      <c r="S1374" s="356"/>
      <c r="T1374" s="356"/>
      <c r="U1374" s="372"/>
      <c r="V1374" s="372"/>
      <c r="W1374" s="372"/>
      <c r="X1374" s="373"/>
      <c r="Y1374" s="348" t="s">
        <v>274</v>
      </c>
      <c r="Z1374" s="348"/>
      <c r="AA1374" s="348"/>
    </row>
    <row r="1375" s="331" customFormat="1" ht="17" customHeight="1" spans="1:27">
      <c r="A1375" s="348">
        <v>2067282</v>
      </c>
      <c r="B1375" s="348" t="s">
        <v>805</v>
      </c>
      <c r="C1375" s="348" t="s">
        <v>806</v>
      </c>
      <c r="D1375" s="334" t="s">
        <v>171</v>
      </c>
      <c r="E1375" s="336">
        <v>43708</v>
      </c>
      <c r="F1375" s="336">
        <v>43641</v>
      </c>
      <c r="G1375" s="336">
        <v>43707</v>
      </c>
      <c r="H1375" s="334" t="s">
        <v>1360</v>
      </c>
      <c r="I1375" s="356">
        <v>18918908168</v>
      </c>
      <c r="J1375" s="361" t="s">
        <v>3883</v>
      </c>
      <c r="K1375" s="356">
        <v>5000</v>
      </c>
      <c r="L1375" s="334">
        <v>23887</v>
      </c>
      <c r="M1375" s="334">
        <v>1072</v>
      </c>
      <c r="N1375" s="362">
        <f t="shared" si="41"/>
        <v>24959</v>
      </c>
      <c r="O1375" s="356"/>
      <c r="P1375" s="356"/>
      <c r="Q1375" s="356" t="s">
        <v>52</v>
      </c>
      <c r="R1375" s="356"/>
      <c r="S1375" s="356"/>
      <c r="T1375" s="356"/>
      <c r="U1375" s="372"/>
      <c r="V1375" s="372"/>
      <c r="W1375" s="372"/>
      <c r="X1375" s="373"/>
      <c r="Y1375" s="348"/>
      <c r="Z1375" s="348"/>
      <c r="AA1375" s="348"/>
    </row>
    <row r="1376" s="331" customFormat="1" ht="15" customHeight="1" spans="1:27">
      <c r="A1376" s="550" t="s">
        <v>3884</v>
      </c>
      <c r="B1376" s="348" t="s">
        <v>58</v>
      </c>
      <c r="C1376" s="348" t="s">
        <v>59</v>
      </c>
      <c r="D1376" s="349" t="s">
        <v>271</v>
      </c>
      <c r="E1376" s="336">
        <v>43642</v>
      </c>
      <c r="F1376" s="336">
        <v>43641</v>
      </c>
      <c r="G1376" s="350"/>
      <c r="H1376" s="334" t="s">
        <v>3885</v>
      </c>
      <c r="I1376" s="356">
        <v>16601797538</v>
      </c>
      <c r="J1376" s="361" t="s">
        <v>3886</v>
      </c>
      <c r="K1376" s="356">
        <v>1000</v>
      </c>
      <c r="L1376" s="362"/>
      <c r="M1376" s="362"/>
      <c r="N1376" s="362">
        <f t="shared" si="41"/>
        <v>0</v>
      </c>
      <c r="O1376" s="365" t="s">
        <v>52</v>
      </c>
      <c r="P1376" s="356"/>
      <c r="Q1376" s="356"/>
      <c r="R1376" s="366"/>
      <c r="S1376" s="356"/>
      <c r="T1376" s="356"/>
      <c r="U1376" s="372"/>
      <c r="V1376" s="372"/>
      <c r="W1376" s="372"/>
      <c r="X1376" s="373">
        <v>1</v>
      </c>
      <c r="Y1376" s="348" t="s">
        <v>3672</v>
      </c>
      <c r="Z1376" s="348"/>
      <c r="AA1376" s="348"/>
    </row>
    <row r="1377" s="331" customFormat="1" ht="17" customHeight="1" spans="1:27">
      <c r="A1377" s="550" t="s">
        <v>3887</v>
      </c>
      <c r="B1377" s="348" t="s">
        <v>58</v>
      </c>
      <c r="C1377" s="348" t="s">
        <v>347</v>
      </c>
      <c r="D1377" s="349" t="s">
        <v>343</v>
      </c>
      <c r="E1377" s="336">
        <v>43632</v>
      </c>
      <c r="F1377" s="336">
        <v>43632</v>
      </c>
      <c r="G1377" s="336">
        <v>43677</v>
      </c>
      <c r="H1377" s="334" t="s">
        <v>3888</v>
      </c>
      <c r="I1377" s="356">
        <v>18516100596</v>
      </c>
      <c r="J1377" s="361" t="s">
        <v>3889</v>
      </c>
      <c r="K1377" s="356">
        <f>15000+5000</f>
        <v>20000</v>
      </c>
      <c r="L1377" s="334">
        <v>20894</v>
      </c>
      <c r="M1377" s="362"/>
      <c r="N1377" s="362">
        <f t="shared" si="41"/>
        <v>20894</v>
      </c>
      <c r="O1377" s="356"/>
      <c r="P1377" s="356"/>
      <c r="Q1377" s="365" t="s">
        <v>52</v>
      </c>
      <c r="R1377" s="356"/>
      <c r="S1377" s="356"/>
      <c r="T1377" s="356"/>
      <c r="U1377" s="372"/>
      <c r="V1377" s="372"/>
      <c r="W1377" s="372"/>
      <c r="X1377" s="373"/>
      <c r="Y1377" s="348" t="s">
        <v>3221</v>
      </c>
      <c r="Z1377" s="348"/>
      <c r="AA1377" s="348"/>
    </row>
    <row r="1378" s="57" customFormat="1" ht="17" customHeight="1" spans="1:27">
      <c r="A1378" s="348">
        <v>2024304</v>
      </c>
      <c r="B1378" s="348" t="s">
        <v>137</v>
      </c>
      <c r="C1378" s="348" t="s">
        <v>411</v>
      </c>
      <c r="D1378" s="349" t="s">
        <v>427</v>
      </c>
      <c r="E1378" s="336">
        <v>43619</v>
      </c>
      <c r="F1378" s="336">
        <v>43618</v>
      </c>
      <c r="G1378" s="356" t="s">
        <v>69</v>
      </c>
      <c r="H1378" s="334" t="s">
        <v>3890</v>
      </c>
      <c r="I1378" s="356">
        <v>18516518733</v>
      </c>
      <c r="J1378" s="348" t="s">
        <v>3891</v>
      </c>
      <c r="K1378" s="356">
        <v>3000</v>
      </c>
      <c r="L1378" s="362"/>
      <c r="M1378" s="362"/>
      <c r="N1378" s="362">
        <f t="shared" si="41"/>
        <v>0</v>
      </c>
      <c r="O1378" s="356">
        <v>1</v>
      </c>
      <c r="P1378" s="356"/>
      <c r="Q1378" s="356"/>
      <c r="R1378" s="356"/>
      <c r="S1378" s="356"/>
      <c r="T1378" s="356"/>
      <c r="U1378" s="372"/>
      <c r="V1378" s="372"/>
      <c r="W1378" s="372"/>
      <c r="X1378" s="373"/>
      <c r="Y1378" s="348" t="s">
        <v>2364</v>
      </c>
      <c r="Z1378" s="348"/>
      <c r="AA1378" s="348"/>
    </row>
    <row r="1379" s="331" customFormat="1" ht="17" customHeight="1" spans="1:27">
      <c r="A1379" s="550" t="s">
        <v>3892</v>
      </c>
      <c r="B1379" s="348" t="s">
        <v>31</v>
      </c>
      <c r="C1379" s="348" t="s">
        <v>419</v>
      </c>
      <c r="D1379" s="349" t="s">
        <v>33</v>
      </c>
      <c r="E1379" s="336">
        <v>43642</v>
      </c>
      <c r="F1379" s="336">
        <v>43642</v>
      </c>
      <c r="G1379" s="336">
        <v>43648</v>
      </c>
      <c r="H1379" s="334" t="s">
        <v>3893</v>
      </c>
      <c r="I1379" s="356">
        <v>18916320900</v>
      </c>
      <c r="J1379" s="361" t="s">
        <v>3894</v>
      </c>
      <c r="K1379" s="356">
        <v>4201</v>
      </c>
      <c r="L1379" s="334">
        <v>4201</v>
      </c>
      <c r="M1379" s="417"/>
      <c r="N1379" s="362">
        <f t="shared" si="41"/>
        <v>4201</v>
      </c>
      <c r="O1379" s="334"/>
      <c r="P1379" s="334"/>
      <c r="Q1379" s="334"/>
      <c r="R1379" s="334"/>
      <c r="S1379" s="334"/>
      <c r="T1379" s="334"/>
      <c r="U1379" s="372"/>
      <c r="V1379" s="372"/>
      <c r="W1379" s="372"/>
      <c r="X1379" s="418"/>
      <c r="Y1379" s="348" t="s">
        <v>92</v>
      </c>
      <c r="Z1379" s="348"/>
      <c r="AA1379" s="348"/>
    </row>
    <row r="1380" s="331" customFormat="1" ht="17" customHeight="1" spans="1:27">
      <c r="A1380" s="348"/>
      <c r="B1380" s="348" t="s">
        <v>42</v>
      </c>
      <c r="C1380" s="348" t="s">
        <v>43</v>
      </c>
      <c r="D1380" s="349" t="s">
        <v>125</v>
      </c>
      <c r="E1380" s="336">
        <v>43642</v>
      </c>
      <c r="F1380" s="336">
        <v>43624</v>
      </c>
      <c r="G1380" s="336">
        <v>43677</v>
      </c>
      <c r="H1380" s="334" t="s">
        <v>3895</v>
      </c>
      <c r="I1380" s="356">
        <v>13917096091</v>
      </c>
      <c r="J1380" s="361" t="s">
        <v>3896</v>
      </c>
      <c r="K1380" s="356">
        <v>13000</v>
      </c>
      <c r="L1380" s="334">
        <v>12494</v>
      </c>
      <c r="M1380" s="362"/>
      <c r="N1380" s="362">
        <f t="shared" si="41"/>
        <v>12494</v>
      </c>
      <c r="O1380" s="356"/>
      <c r="P1380" s="356"/>
      <c r="Q1380" s="356"/>
      <c r="R1380" s="356"/>
      <c r="S1380" s="356"/>
      <c r="T1380" s="356" t="s">
        <v>3897</v>
      </c>
      <c r="U1380" s="372"/>
      <c r="V1380" s="374">
        <v>43676</v>
      </c>
      <c r="W1380" s="372"/>
      <c r="X1380" s="373">
        <v>1</v>
      </c>
      <c r="Y1380" s="348"/>
      <c r="Z1380" s="348"/>
      <c r="AA1380" s="348"/>
    </row>
    <row r="1381" s="331" customFormat="1" ht="17" customHeight="1" spans="1:27">
      <c r="A1381" s="348">
        <v>2020219</v>
      </c>
      <c r="B1381" s="348" t="s">
        <v>137</v>
      </c>
      <c r="C1381" s="348" t="s">
        <v>480</v>
      </c>
      <c r="D1381" s="349" t="s">
        <v>171</v>
      </c>
      <c r="E1381" s="336">
        <v>43642</v>
      </c>
      <c r="F1381" s="336">
        <v>43642</v>
      </c>
      <c r="G1381" s="336">
        <v>43655</v>
      </c>
      <c r="H1381" s="334" t="s">
        <v>3898</v>
      </c>
      <c r="I1381" s="356">
        <v>15021140298</v>
      </c>
      <c r="J1381" s="361" t="s">
        <v>3899</v>
      </c>
      <c r="K1381" s="356">
        <v>20000</v>
      </c>
      <c r="L1381" s="334">
        <v>15822</v>
      </c>
      <c r="M1381" s="334"/>
      <c r="N1381" s="362">
        <f t="shared" si="41"/>
        <v>15822</v>
      </c>
      <c r="O1381" s="356"/>
      <c r="P1381" s="356"/>
      <c r="Q1381" s="356"/>
      <c r="R1381" s="356"/>
      <c r="S1381" s="356"/>
      <c r="T1381" s="356"/>
      <c r="U1381" s="372"/>
      <c r="V1381" s="372"/>
      <c r="W1381" s="372"/>
      <c r="X1381" s="373"/>
      <c r="Y1381" s="348"/>
      <c r="Z1381" s="348"/>
      <c r="AA1381" s="348"/>
    </row>
    <row r="1382" s="331" customFormat="1" ht="17" customHeight="1" spans="1:27">
      <c r="A1382" s="550" t="s">
        <v>3900</v>
      </c>
      <c r="B1382" s="348" t="s">
        <v>42</v>
      </c>
      <c r="C1382" s="348" t="s">
        <v>43</v>
      </c>
      <c r="D1382" s="349" t="s">
        <v>125</v>
      </c>
      <c r="E1382" s="336">
        <v>43642</v>
      </c>
      <c r="F1382" s="336">
        <v>43642</v>
      </c>
      <c r="G1382" s="336">
        <v>43675</v>
      </c>
      <c r="H1382" s="334" t="s">
        <v>3901</v>
      </c>
      <c r="I1382" s="356">
        <v>13817392566</v>
      </c>
      <c r="J1382" s="361" t="s">
        <v>3902</v>
      </c>
      <c r="K1382" s="356">
        <v>5534</v>
      </c>
      <c r="L1382" s="334">
        <v>4998</v>
      </c>
      <c r="M1382" s="334">
        <v>536</v>
      </c>
      <c r="N1382" s="362">
        <f t="shared" si="41"/>
        <v>5534</v>
      </c>
      <c r="O1382" s="356"/>
      <c r="P1382" s="356" t="s">
        <v>20</v>
      </c>
      <c r="Q1382" s="356"/>
      <c r="R1382" s="356"/>
      <c r="S1382" s="356"/>
      <c r="T1382" s="356"/>
      <c r="U1382" s="372"/>
      <c r="V1382" s="374">
        <v>43674</v>
      </c>
      <c r="W1382" s="372"/>
      <c r="X1382" s="373"/>
      <c r="Y1382" s="348"/>
      <c r="Z1382" s="348"/>
      <c r="AA1382" s="348"/>
    </row>
    <row r="1383" s="331" customFormat="1" ht="17" customHeight="1" spans="1:27">
      <c r="A1383" s="550" t="s">
        <v>3903</v>
      </c>
      <c r="B1383" s="348" t="s">
        <v>185</v>
      </c>
      <c r="C1383" s="348" t="s">
        <v>1620</v>
      </c>
      <c r="D1383" s="349" t="s">
        <v>44</v>
      </c>
      <c r="E1383" s="336">
        <v>43696</v>
      </c>
      <c r="F1383" s="336">
        <v>43642</v>
      </c>
      <c r="G1383" s="336">
        <v>43695</v>
      </c>
      <c r="H1383" s="334" t="s">
        <v>3904</v>
      </c>
      <c r="I1383" s="356">
        <v>17621154155</v>
      </c>
      <c r="J1383" s="361" t="s">
        <v>3905</v>
      </c>
      <c r="K1383" s="356">
        <v>3000</v>
      </c>
      <c r="L1383" s="334">
        <f>16222-1104</f>
        <v>15118</v>
      </c>
      <c r="M1383" s="334">
        <v>1104</v>
      </c>
      <c r="N1383" s="362">
        <f t="shared" si="41"/>
        <v>16222</v>
      </c>
      <c r="O1383" s="356"/>
      <c r="P1383" s="356"/>
      <c r="Q1383" s="366" t="s">
        <v>52</v>
      </c>
      <c r="R1383" s="356"/>
      <c r="S1383" s="356"/>
      <c r="T1383" s="356"/>
      <c r="U1383" s="372"/>
      <c r="V1383" s="372"/>
      <c r="W1383" s="372"/>
      <c r="X1383" s="373"/>
      <c r="Y1383" s="348"/>
      <c r="Z1383" s="348"/>
      <c r="AA1383" s="348"/>
    </row>
    <row r="1384" s="331" customFormat="1" ht="17" customHeight="1" spans="1:27">
      <c r="A1384" s="348">
        <v>2066939</v>
      </c>
      <c r="B1384" s="348" t="s">
        <v>335</v>
      </c>
      <c r="C1384" s="348" t="s">
        <v>615</v>
      </c>
      <c r="D1384" s="349" t="s">
        <v>337</v>
      </c>
      <c r="E1384" s="336">
        <v>43695</v>
      </c>
      <c r="F1384" s="336">
        <v>43643</v>
      </c>
      <c r="G1384" s="336">
        <v>43695</v>
      </c>
      <c r="H1384" s="334" t="s">
        <v>3906</v>
      </c>
      <c r="I1384" s="356">
        <v>15618178286</v>
      </c>
      <c r="J1384" s="361" t="s">
        <v>3907</v>
      </c>
      <c r="K1384" s="356">
        <v>5000</v>
      </c>
      <c r="L1384" s="334">
        <f>12520-1134</f>
        <v>11386</v>
      </c>
      <c r="M1384" s="334">
        <v>1134</v>
      </c>
      <c r="N1384" s="362">
        <f t="shared" ref="N1384:N1415" si="42">L1384+M1384</f>
        <v>12520</v>
      </c>
      <c r="O1384" s="356"/>
      <c r="P1384" s="356"/>
      <c r="Q1384" s="356"/>
      <c r="R1384" s="366" t="s">
        <v>52</v>
      </c>
      <c r="S1384" s="356"/>
      <c r="T1384" s="356"/>
      <c r="U1384" s="372"/>
      <c r="V1384" s="372"/>
      <c r="W1384" s="372"/>
      <c r="X1384" s="373"/>
      <c r="Y1384" s="348"/>
      <c r="Z1384" s="348"/>
      <c r="AA1384" s="348"/>
    </row>
    <row r="1385" s="331" customFormat="1" ht="17" customHeight="1" spans="1:27">
      <c r="A1385" s="348">
        <v>2022950</v>
      </c>
      <c r="B1385" s="348" t="s">
        <v>243</v>
      </c>
      <c r="C1385" s="348" t="s">
        <v>244</v>
      </c>
      <c r="D1385" s="352" t="s">
        <v>49</v>
      </c>
      <c r="E1385" s="336">
        <v>43639</v>
      </c>
      <c r="F1385" s="336">
        <v>43632</v>
      </c>
      <c r="G1385" s="350">
        <v>43635</v>
      </c>
      <c r="H1385" s="334" t="s">
        <v>2409</v>
      </c>
      <c r="I1385" s="356">
        <v>18521708125</v>
      </c>
      <c r="J1385" s="361" t="s">
        <v>3908</v>
      </c>
      <c r="K1385" s="356">
        <v>4318</v>
      </c>
      <c r="L1385" s="362"/>
      <c r="M1385" s="362"/>
      <c r="N1385" s="362">
        <f t="shared" si="42"/>
        <v>0</v>
      </c>
      <c r="O1385" s="356"/>
      <c r="P1385" s="356"/>
      <c r="Q1385" s="356"/>
      <c r="R1385" s="356"/>
      <c r="S1385" s="356"/>
      <c r="T1385" s="356"/>
      <c r="U1385" s="372"/>
      <c r="V1385" s="372"/>
      <c r="W1385" s="372"/>
      <c r="X1385" s="373"/>
      <c r="Y1385" s="348"/>
      <c r="Z1385" s="348"/>
      <c r="AA1385" s="348"/>
    </row>
    <row r="1386" s="331" customFormat="1" ht="17" customHeight="1" spans="1:27">
      <c r="A1386" s="348">
        <v>2027555</v>
      </c>
      <c r="B1386" s="348" t="s">
        <v>73</v>
      </c>
      <c r="C1386" s="348" t="s">
        <v>74</v>
      </c>
      <c r="D1386" s="352" t="s">
        <v>717</v>
      </c>
      <c r="E1386" s="336">
        <v>43695</v>
      </c>
      <c r="F1386" s="336" t="s">
        <v>800</v>
      </c>
      <c r="G1386" s="336">
        <v>43695</v>
      </c>
      <c r="H1386" s="334" t="s">
        <v>3909</v>
      </c>
      <c r="I1386" s="356">
        <v>18621608587</v>
      </c>
      <c r="J1386" s="361" t="s">
        <v>3910</v>
      </c>
      <c r="K1386" s="356">
        <f>1000+25000</f>
        <v>26000</v>
      </c>
      <c r="L1386" s="362"/>
      <c r="M1386" s="334">
        <v>247</v>
      </c>
      <c r="N1386" s="362">
        <f t="shared" si="42"/>
        <v>247</v>
      </c>
      <c r="O1386" s="366" t="s">
        <v>52</v>
      </c>
      <c r="P1386" s="356"/>
      <c r="Q1386" s="356"/>
      <c r="R1386" s="356"/>
      <c r="S1386" s="356"/>
      <c r="T1386" s="356"/>
      <c r="U1386" s="372"/>
      <c r="V1386" s="372"/>
      <c r="W1386" s="372"/>
      <c r="X1386" s="373"/>
      <c r="Y1386" s="348"/>
      <c r="Z1386" s="348"/>
      <c r="AA1386" s="348"/>
    </row>
    <row r="1387" s="331" customFormat="1" ht="17" customHeight="1" spans="1:27">
      <c r="A1387" s="348"/>
      <c r="B1387" s="348" t="s">
        <v>169</v>
      </c>
      <c r="C1387" s="348" t="s">
        <v>634</v>
      </c>
      <c r="D1387" s="349" t="s">
        <v>635</v>
      </c>
      <c r="E1387" s="336">
        <v>43643</v>
      </c>
      <c r="F1387" s="336">
        <v>43642</v>
      </c>
      <c r="G1387" s="336">
        <v>43649</v>
      </c>
      <c r="H1387" s="334" t="s">
        <v>3911</v>
      </c>
      <c r="I1387" s="356">
        <v>18101900145</v>
      </c>
      <c r="J1387" s="361" t="s">
        <v>3912</v>
      </c>
      <c r="K1387" s="356">
        <v>1667</v>
      </c>
      <c r="L1387" s="334">
        <v>4029</v>
      </c>
      <c r="M1387" s="362"/>
      <c r="N1387" s="362">
        <f t="shared" si="42"/>
        <v>4029</v>
      </c>
      <c r="O1387" s="356"/>
      <c r="P1387" s="356"/>
      <c r="Q1387" s="356"/>
      <c r="R1387" s="356"/>
      <c r="S1387" s="356"/>
      <c r="T1387" s="356"/>
      <c r="U1387" s="372"/>
      <c r="V1387" s="372"/>
      <c r="W1387" s="372"/>
      <c r="X1387" s="373"/>
      <c r="Y1387" s="348"/>
      <c r="Z1387" s="348"/>
      <c r="AA1387" s="348"/>
    </row>
    <row r="1388" s="331" customFormat="1" ht="17" customHeight="1" spans="1:27">
      <c r="A1388" s="550" t="s">
        <v>3913</v>
      </c>
      <c r="B1388" s="348" t="s">
        <v>123</v>
      </c>
      <c r="C1388" s="348" t="s">
        <v>902</v>
      </c>
      <c r="D1388" s="349" t="s">
        <v>125</v>
      </c>
      <c r="E1388" s="336">
        <v>43643</v>
      </c>
      <c r="F1388" s="336">
        <v>43642</v>
      </c>
      <c r="G1388" s="350"/>
      <c r="H1388" s="334" t="s">
        <v>3914</v>
      </c>
      <c r="I1388" s="356">
        <v>13661929369</v>
      </c>
      <c r="J1388" s="361" t="s">
        <v>3915</v>
      </c>
      <c r="K1388" s="356">
        <v>1000</v>
      </c>
      <c r="L1388" s="362"/>
      <c r="M1388" s="362"/>
      <c r="N1388" s="362">
        <f t="shared" si="42"/>
        <v>0</v>
      </c>
      <c r="O1388" s="356"/>
      <c r="P1388" s="356"/>
      <c r="Q1388" s="356"/>
      <c r="R1388" s="356"/>
      <c r="S1388" s="356"/>
      <c r="T1388" s="356"/>
      <c r="U1388" s="372" t="s">
        <v>40</v>
      </c>
      <c r="V1388" s="372"/>
      <c r="W1388" s="372"/>
      <c r="X1388" s="373">
        <v>1</v>
      </c>
      <c r="Y1388" s="348"/>
      <c r="Z1388" s="348"/>
      <c r="AA1388" s="348"/>
    </row>
    <row r="1389" s="331" customFormat="1" ht="17" customHeight="1" spans="1:27">
      <c r="A1389" s="550" t="s">
        <v>3916</v>
      </c>
      <c r="B1389" s="348" t="s">
        <v>66</v>
      </c>
      <c r="C1389" s="348" t="s">
        <v>67</v>
      </c>
      <c r="D1389" s="349" t="s">
        <v>68</v>
      </c>
      <c r="E1389" s="336">
        <v>43625</v>
      </c>
      <c r="F1389" s="336">
        <v>43625</v>
      </c>
      <c r="G1389" s="356"/>
      <c r="H1389" s="334" t="s">
        <v>2128</v>
      </c>
      <c r="I1389" s="356">
        <v>18621661329</v>
      </c>
      <c r="J1389" s="361" t="s">
        <v>3917</v>
      </c>
      <c r="K1389" s="356">
        <v>1000</v>
      </c>
      <c r="L1389" s="362"/>
      <c r="M1389" s="362"/>
      <c r="N1389" s="362">
        <f t="shared" si="42"/>
        <v>0</v>
      </c>
      <c r="O1389" s="356"/>
      <c r="P1389" s="356"/>
      <c r="Q1389" s="356" t="s">
        <v>21</v>
      </c>
      <c r="R1389" s="356"/>
      <c r="S1389" s="356"/>
      <c r="T1389" s="356"/>
      <c r="U1389" s="372" t="s">
        <v>12</v>
      </c>
      <c r="V1389" s="372"/>
      <c r="W1389" s="372"/>
      <c r="X1389" s="373"/>
      <c r="Y1389" s="348" t="s">
        <v>2660</v>
      </c>
      <c r="Z1389" s="348"/>
      <c r="AA1389" s="348"/>
    </row>
    <row r="1390" s="331" customFormat="1" ht="17" customHeight="1" spans="1:27">
      <c r="A1390" s="348">
        <v>2026800</v>
      </c>
      <c r="B1390" s="348" t="s">
        <v>73</v>
      </c>
      <c r="C1390" s="348" t="s">
        <v>74</v>
      </c>
      <c r="D1390" s="349" t="s">
        <v>132</v>
      </c>
      <c r="E1390" s="336">
        <v>43643</v>
      </c>
      <c r="F1390" s="336">
        <v>43643</v>
      </c>
      <c r="G1390" s="336">
        <v>43677</v>
      </c>
      <c r="H1390" s="334" t="s">
        <v>3918</v>
      </c>
      <c r="I1390" s="356">
        <v>13917333893</v>
      </c>
      <c r="J1390" s="361" t="s">
        <v>3919</v>
      </c>
      <c r="K1390" s="356">
        <v>1000</v>
      </c>
      <c r="L1390" s="334">
        <v>15879</v>
      </c>
      <c r="M1390" s="362"/>
      <c r="N1390" s="362">
        <f t="shared" si="42"/>
        <v>15879</v>
      </c>
      <c r="O1390" s="366" t="s">
        <v>52</v>
      </c>
      <c r="P1390" s="356"/>
      <c r="Q1390" s="356"/>
      <c r="R1390" s="356"/>
      <c r="S1390" s="356"/>
      <c r="T1390" s="356"/>
      <c r="U1390" s="372"/>
      <c r="V1390" s="372"/>
      <c r="W1390" s="372"/>
      <c r="X1390" s="373"/>
      <c r="Y1390" s="348"/>
      <c r="Z1390" s="348" t="s">
        <v>79</v>
      </c>
      <c r="AA1390" s="348"/>
    </row>
    <row r="1391" s="331" customFormat="1" ht="15" customHeight="1" spans="1:27">
      <c r="A1391" s="550" t="s">
        <v>3920</v>
      </c>
      <c r="B1391" s="348" t="s">
        <v>58</v>
      </c>
      <c r="C1391" s="348" t="s">
        <v>59</v>
      </c>
      <c r="D1391" s="349" t="s">
        <v>271</v>
      </c>
      <c r="E1391" s="336">
        <v>43643</v>
      </c>
      <c r="F1391" s="336">
        <v>43641</v>
      </c>
      <c r="G1391" s="350"/>
      <c r="H1391" s="334" t="s">
        <v>3921</v>
      </c>
      <c r="I1391" s="356">
        <v>18616929429</v>
      </c>
      <c r="J1391" s="361" t="s">
        <v>3922</v>
      </c>
      <c r="K1391" s="356">
        <v>1000</v>
      </c>
      <c r="L1391" s="362"/>
      <c r="M1391" s="362"/>
      <c r="N1391" s="362">
        <f t="shared" si="42"/>
        <v>0</v>
      </c>
      <c r="O1391" s="365" t="s">
        <v>52</v>
      </c>
      <c r="P1391" s="356"/>
      <c r="Q1391" s="356"/>
      <c r="R1391" s="356"/>
      <c r="S1391" s="356"/>
      <c r="T1391" s="356"/>
      <c r="U1391" s="372"/>
      <c r="V1391" s="372"/>
      <c r="W1391" s="372"/>
      <c r="X1391" s="373"/>
      <c r="Y1391" s="348" t="s">
        <v>3923</v>
      </c>
      <c r="Z1391" s="348"/>
      <c r="AA1391" s="348"/>
    </row>
    <row r="1392" s="331" customFormat="1" ht="17" customHeight="1" spans="1:27">
      <c r="A1392" s="348">
        <v>2027593</v>
      </c>
      <c r="B1392" s="348" t="s">
        <v>73</v>
      </c>
      <c r="C1392" s="348" t="s">
        <v>74</v>
      </c>
      <c r="D1392" s="349" t="s">
        <v>143</v>
      </c>
      <c r="E1392" s="336">
        <v>43702</v>
      </c>
      <c r="F1392" s="336">
        <v>43643</v>
      </c>
      <c r="G1392" s="336">
        <v>43701</v>
      </c>
      <c r="H1392" s="334" t="s">
        <v>3924</v>
      </c>
      <c r="I1392" s="356">
        <v>13821954686</v>
      </c>
      <c r="J1392" s="361" t="s">
        <v>3925</v>
      </c>
      <c r="K1392" s="356">
        <v>1000</v>
      </c>
      <c r="L1392" s="334">
        <v>17693</v>
      </c>
      <c r="M1392" s="362"/>
      <c r="N1392" s="362">
        <f t="shared" si="42"/>
        <v>17693</v>
      </c>
      <c r="O1392" s="366" t="s">
        <v>52</v>
      </c>
      <c r="P1392" s="356"/>
      <c r="Q1392" s="356"/>
      <c r="R1392" s="356"/>
      <c r="S1392" s="356"/>
      <c r="T1392" s="356"/>
      <c r="U1392" s="372"/>
      <c r="V1392" s="372"/>
      <c r="W1392" s="372"/>
      <c r="X1392" s="373"/>
      <c r="Y1392" s="348" t="s">
        <v>3926</v>
      </c>
      <c r="Z1392" s="348" t="s">
        <v>79</v>
      </c>
      <c r="AA1392" s="348"/>
    </row>
    <row r="1393" s="331" customFormat="1" ht="17" customHeight="1" spans="1:27">
      <c r="A1393" s="348">
        <v>2066507</v>
      </c>
      <c r="B1393" s="348" t="s">
        <v>243</v>
      </c>
      <c r="C1393" s="348" t="s">
        <v>244</v>
      </c>
      <c r="D1393" s="352" t="s">
        <v>49</v>
      </c>
      <c r="E1393" s="336">
        <v>43748</v>
      </c>
      <c r="F1393" s="336">
        <v>43644</v>
      </c>
      <c r="G1393" s="336">
        <v>43748</v>
      </c>
      <c r="H1393" s="334" t="s">
        <v>3927</v>
      </c>
      <c r="I1393" s="356">
        <v>18964839603</v>
      </c>
      <c r="J1393" s="361" t="s">
        <v>3928</v>
      </c>
      <c r="K1393" s="356">
        <v>5000</v>
      </c>
      <c r="L1393" s="334">
        <v>32236</v>
      </c>
      <c r="M1393" s="362"/>
      <c r="N1393" s="362">
        <f t="shared" si="42"/>
        <v>32236</v>
      </c>
      <c r="O1393" s="356"/>
      <c r="P1393" s="356"/>
      <c r="Q1393" s="356" t="s">
        <v>52</v>
      </c>
      <c r="R1393" s="356"/>
      <c r="S1393" s="356"/>
      <c r="T1393" s="356"/>
      <c r="U1393" s="372"/>
      <c r="V1393" s="372"/>
      <c r="W1393" s="372"/>
      <c r="X1393" s="373"/>
      <c r="Y1393" s="348"/>
      <c r="Z1393" s="348"/>
      <c r="AA1393" s="348"/>
    </row>
    <row r="1394" s="331" customFormat="1" ht="17" customHeight="1" spans="1:27">
      <c r="A1394" s="348"/>
      <c r="B1394" s="348" t="s">
        <v>35</v>
      </c>
      <c r="C1394" s="348" t="s">
        <v>392</v>
      </c>
      <c r="D1394" s="349" t="s">
        <v>37</v>
      </c>
      <c r="E1394" s="336">
        <v>43644</v>
      </c>
      <c r="F1394" s="336">
        <v>43644</v>
      </c>
      <c r="G1394" s="350"/>
      <c r="H1394" s="334" t="s">
        <v>3929</v>
      </c>
      <c r="I1394" s="356">
        <v>18918527696</v>
      </c>
      <c r="J1394" s="361" t="s">
        <v>3930</v>
      </c>
      <c r="K1394" s="356">
        <v>1000</v>
      </c>
      <c r="L1394" s="362"/>
      <c r="M1394" s="362"/>
      <c r="N1394" s="362">
        <f t="shared" si="42"/>
        <v>0</v>
      </c>
      <c r="O1394" s="356" t="s">
        <v>52</v>
      </c>
      <c r="P1394" s="356"/>
      <c r="Q1394" s="356"/>
      <c r="R1394" s="356"/>
      <c r="S1394" s="356"/>
      <c r="T1394" s="356"/>
      <c r="U1394" s="372" t="s">
        <v>40</v>
      </c>
      <c r="V1394" s="372"/>
      <c r="W1394" s="372"/>
      <c r="X1394" s="373"/>
      <c r="Y1394" s="348" t="s">
        <v>3185</v>
      </c>
      <c r="Z1394" s="348"/>
      <c r="AA1394" s="348"/>
    </row>
    <row r="1395" s="331" customFormat="1" ht="17" customHeight="1" spans="1:27">
      <c r="A1395" s="550" t="s">
        <v>3931</v>
      </c>
      <c r="B1395" s="348" t="s">
        <v>147</v>
      </c>
      <c r="C1395" s="348" t="s">
        <v>148</v>
      </c>
      <c r="D1395" s="352" t="s">
        <v>149</v>
      </c>
      <c r="E1395" s="336">
        <v>43644</v>
      </c>
      <c r="F1395" s="336">
        <v>43644</v>
      </c>
      <c r="G1395" s="350"/>
      <c r="H1395" s="334" t="s">
        <v>3932</v>
      </c>
      <c r="I1395" s="356">
        <v>18321816552</v>
      </c>
      <c r="J1395" s="361" t="s">
        <v>3933</v>
      </c>
      <c r="K1395" s="356">
        <v>20042</v>
      </c>
      <c r="L1395" s="362"/>
      <c r="M1395" s="362"/>
      <c r="N1395" s="362">
        <f t="shared" si="42"/>
        <v>0</v>
      </c>
      <c r="O1395" s="356"/>
      <c r="P1395" s="356"/>
      <c r="Q1395" s="356"/>
      <c r="R1395" s="356"/>
      <c r="S1395" s="356"/>
      <c r="T1395" s="356"/>
      <c r="U1395" s="372" t="s">
        <v>63</v>
      </c>
      <c r="V1395" s="372"/>
      <c r="W1395" s="372"/>
      <c r="X1395" s="373"/>
      <c r="Y1395" s="348"/>
      <c r="Z1395" s="348"/>
      <c r="AA1395" s="348"/>
    </row>
    <row r="1396" s="331" customFormat="1" ht="15" customHeight="1" spans="1:27">
      <c r="A1396" s="348">
        <v>2026694</v>
      </c>
      <c r="B1396" s="348" t="s">
        <v>405</v>
      </c>
      <c r="C1396" s="348" t="s">
        <v>3934</v>
      </c>
      <c r="D1396" s="349" t="s">
        <v>407</v>
      </c>
      <c r="E1396" s="336">
        <v>43470</v>
      </c>
      <c r="F1396" s="336">
        <v>43470</v>
      </c>
      <c r="G1396" s="350"/>
      <c r="H1396" s="351" t="s">
        <v>3002</v>
      </c>
      <c r="I1396" s="356">
        <v>18621855376</v>
      </c>
      <c r="J1396" s="361" t="s">
        <v>3935</v>
      </c>
      <c r="K1396" s="356">
        <v>1000</v>
      </c>
      <c r="L1396" s="362"/>
      <c r="M1396" s="362"/>
      <c r="N1396" s="362">
        <f t="shared" si="42"/>
        <v>0</v>
      </c>
      <c r="O1396" s="356"/>
      <c r="P1396" s="356"/>
      <c r="Q1396" s="356" t="s">
        <v>52</v>
      </c>
      <c r="R1396" s="356"/>
      <c r="S1396" s="356"/>
      <c r="T1396" s="356"/>
      <c r="U1396" s="393" t="s">
        <v>40</v>
      </c>
      <c r="V1396" s="372"/>
      <c r="W1396" s="372"/>
      <c r="X1396" s="373">
        <v>1</v>
      </c>
      <c r="Y1396" s="348"/>
      <c r="Z1396" s="348"/>
      <c r="AA1396" s="348"/>
    </row>
    <row r="1397" s="331" customFormat="1" ht="17" customHeight="1" spans="1:27">
      <c r="A1397" s="550" t="s">
        <v>3936</v>
      </c>
      <c r="B1397" s="348" t="s">
        <v>42</v>
      </c>
      <c r="C1397" s="348" t="s">
        <v>1728</v>
      </c>
      <c r="D1397" s="349" t="s">
        <v>149</v>
      </c>
      <c r="E1397" s="336">
        <v>43644</v>
      </c>
      <c r="F1397" s="336">
        <v>43644</v>
      </c>
      <c r="G1397" s="336">
        <v>43677</v>
      </c>
      <c r="H1397" s="334" t="s">
        <v>3937</v>
      </c>
      <c r="I1397" s="356">
        <v>18916821138</v>
      </c>
      <c r="J1397" s="361" t="s">
        <v>3938</v>
      </c>
      <c r="K1397" s="356">
        <v>1000</v>
      </c>
      <c r="L1397" s="334">
        <v>11368</v>
      </c>
      <c r="M1397" s="334">
        <v>1145</v>
      </c>
      <c r="N1397" s="362">
        <f t="shared" si="42"/>
        <v>12513</v>
      </c>
      <c r="O1397" s="356"/>
      <c r="P1397" s="356"/>
      <c r="Q1397" s="356"/>
      <c r="R1397" s="356"/>
      <c r="S1397" s="356"/>
      <c r="T1397" s="356"/>
      <c r="U1397" s="372"/>
      <c r="V1397" s="372"/>
      <c r="W1397" s="376" t="s">
        <v>3939</v>
      </c>
      <c r="X1397" s="384"/>
      <c r="Y1397" s="348"/>
      <c r="Z1397" s="348"/>
      <c r="AA1397" s="348"/>
    </row>
    <row r="1398" s="331" customFormat="1" ht="17" customHeight="1" spans="1:27">
      <c r="A1398" s="348"/>
      <c r="B1398" s="348" t="s">
        <v>58</v>
      </c>
      <c r="C1398" s="348" t="s">
        <v>347</v>
      </c>
      <c r="D1398" s="349" t="s">
        <v>343</v>
      </c>
      <c r="E1398" s="336">
        <v>43644</v>
      </c>
      <c r="F1398" s="336">
        <v>43643</v>
      </c>
      <c r="G1398" s="336">
        <v>43677</v>
      </c>
      <c r="H1398" s="334" t="s">
        <v>3940</v>
      </c>
      <c r="I1398" s="356">
        <v>13918566351</v>
      </c>
      <c r="J1398" s="361" t="s">
        <v>3941</v>
      </c>
      <c r="K1398" s="356">
        <v>10000</v>
      </c>
      <c r="L1398" s="334">
        <v>11306</v>
      </c>
      <c r="M1398" s="362"/>
      <c r="N1398" s="362">
        <f t="shared" si="42"/>
        <v>11306</v>
      </c>
      <c r="O1398" s="356"/>
      <c r="P1398" s="356"/>
      <c r="Q1398" s="365" t="s">
        <v>52</v>
      </c>
      <c r="R1398" s="356"/>
      <c r="S1398" s="356"/>
      <c r="T1398" s="356"/>
      <c r="U1398" s="372"/>
      <c r="V1398" s="372"/>
      <c r="W1398" s="372"/>
      <c r="X1398" s="373"/>
      <c r="Y1398" s="348" t="s">
        <v>274</v>
      </c>
      <c r="Z1398" s="348"/>
      <c r="AA1398" s="348" t="s">
        <v>3942</v>
      </c>
    </row>
    <row r="1399" s="331" customFormat="1" ht="17" customHeight="1" spans="1:27">
      <c r="A1399" s="550" t="s">
        <v>3943</v>
      </c>
      <c r="B1399" s="348" t="s">
        <v>35</v>
      </c>
      <c r="C1399" s="348" t="s">
        <v>36</v>
      </c>
      <c r="D1399" s="349" t="s">
        <v>37</v>
      </c>
      <c r="E1399" s="336">
        <v>43727</v>
      </c>
      <c r="F1399" s="336">
        <v>43642</v>
      </c>
      <c r="G1399" s="336">
        <v>43726</v>
      </c>
      <c r="H1399" s="334" t="s">
        <v>3944</v>
      </c>
      <c r="I1399" s="356">
        <v>13801805501</v>
      </c>
      <c r="J1399" s="361" t="s">
        <v>3945</v>
      </c>
      <c r="K1399" s="356">
        <v>1000</v>
      </c>
      <c r="L1399" s="334">
        <f>4000-736</f>
        <v>3264</v>
      </c>
      <c r="M1399" s="334">
        <v>736</v>
      </c>
      <c r="N1399" s="362">
        <f t="shared" si="42"/>
        <v>4000</v>
      </c>
      <c r="O1399" s="356" t="s">
        <v>52</v>
      </c>
      <c r="P1399" s="356"/>
      <c r="Q1399" s="356"/>
      <c r="R1399" s="356"/>
      <c r="S1399" s="356"/>
      <c r="T1399" s="356"/>
      <c r="U1399" s="372" t="s">
        <v>40</v>
      </c>
      <c r="V1399" s="372"/>
      <c r="W1399" s="372"/>
      <c r="X1399" s="373"/>
      <c r="Y1399" s="348"/>
      <c r="Z1399" s="348"/>
      <c r="AA1399" s="348"/>
    </row>
    <row r="1400" s="331" customFormat="1" ht="17" customHeight="1" spans="1:27">
      <c r="A1400" s="348">
        <v>2022555</v>
      </c>
      <c r="B1400" s="348" t="s">
        <v>73</v>
      </c>
      <c r="C1400" s="348" t="s">
        <v>74</v>
      </c>
      <c r="D1400" s="352" t="s">
        <v>717</v>
      </c>
      <c r="E1400" s="336">
        <v>43644</v>
      </c>
      <c r="F1400" s="336">
        <v>43644</v>
      </c>
      <c r="G1400" s="350">
        <v>43646</v>
      </c>
      <c r="H1400" s="334" t="s">
        <v>3946</v>
      </c>
      <c r="I1400" s="356">
        <v>13122849118</v>
      </c>
      <c r="J1400" s="361" t="s">
        <v>3947</v>
      </c>
      <c r="K1400" s="356">
        <v>1000</v>
      </c>
      <c r="L1400" s="362"/>
      <c r="M1400" s="362"/>
      <c r="N1400" s="362">
        <f t="shared" si="42"/>
        <v>0</v>
      </c>
      <c r="O1400" s="356"/>
      <c r="P1400" s="356"/>
      <c r="Q1400" s="356"/>
      <c r="R1400" s="356"/>
      <c r="S1400" s="356"/>
      <c r="T1400" s="356"/>
      <c r="U1400" s="372"/>
      <c r="V1400" s="372"/>
      <c r="W1400" s="372"/>
      <c r="X1400" s="373"/>
      <c r="Y1400" s="348"/>
      <c r="Z1400" s="348" t="s">
        <v>79</v>
      </c>
      <c r="AA1400" s="348"/>
    </row>
    <row r="1401" s="331" customFormat="1" ht="17" customHeight="1" spans="1:27">
      <c r="A1401" s="550" t="s">
        <v>3948</v>
      </c>
      <c r="B1401" s="348" t="s">
        <v>205</v>
      </c>
      <c r="C1401" s="348" t="s">
        <v>1467</v>
      </c>
      <c r="D1401" s="349" t="s">
        <v>89</v>
      </c>
      <c r="E1401" s="336">
        <v>43644</v>
      </c>
      <c r="F1401" s="336">
        <v>43643</v>
      </c>
      <c r="G1401" s="336">
        <v>43676</v>
      </c>
      <c r="H1401" s="334" t="s">
        <v>3949</v>
      </c>
      <c r="I1401" s="356">
        <v>18964798597</v>
      </c>
      <c r="J1401" s="361" t="s">
        <v>3950</v>
      </c>
      <c r="K1401" s="356">
        <v>25000</v>
      </c>
      <c r="L1401" s="334">
        <v>50167</v>
      </c>
      <c r="M1401" s="362"/>
      <c r="N1401" s="362">
        <f t="shared" si="42"/>
        <v>50167</v>
      </c>
      <c r="O1401" s="356"/>
      <c r="P1401" s="356" t="s">
        <v>20</v>
      </c>
      <c r="Q1401" s="356"/>
      <c r="R1401" s="356"/>
      <c r="S1401" s="356"/>
      <c r="T1401" s="356"/>
      <c r="U1401" s="372"/>
      <c r="V1401" s="372"/>
      <c r="W1401" s="372"/>
      <c r="X1401" s="373">
        <v>1</v>
      </c>
      <c r="Y1401" s="348"/>
      <c r="Z1401" s="348"/>
      <c r="AA1401" s="348"/>
    </row>
    <row r="1402" s="331" customFormat="1" ht="17" customHeight="1" spans="1:27">
      <c r="A1402" s="348">
        <v>2026795</v>
      </c>
      <c r="B1402" s="348" t="s">
        <v>73</v>
      </c>
      <c r="C1402" s="348" t="s">
        <v>178</v>
      </c>
      <c r="D1402" s="352" t="s">
        <v>75</v>
      </c>
      <c r="E1402" s="336">
        <v>43640</v>
      </c>
      <c r="F1402" s="336">
        <v>43639</v>
      </c>
      <c r="G1402" s="350"/>
      <c r="H1402" s="334" t="s">
        <v>3951</v>
      </c>
      <c r="I1402" s="356">
        <v>13761893381</v>
      </c>
      <c r="J1402" s="361" t="s">
        <v>3952</v>
      </c>
      <c r="K1402" s="356">
        <v>1000</v>
      </c>
      <c r="L1402" s="362"/>
      <c r="M1402" s="362"/>
      <c r="N1402" s="362">
        <f t="shared" si="42"/>
        <v>0</v>
      </c>
      <c r="O1402" s="366" t="s">
        <v>52</v>
      </c>
      <c r="Q1402" s="356"/>
      <c r="R1402" s="356"/>
      <c r="S1402" s="356"/>
      <c r="T1402" s="356"/>
      <c r="U1402" s="372"/>
      <c r="V1402" s="372"/>
      <c r="W1402" s="372"/>
      <c r="X1402" s="373"/>
      <c r="Y1402" s="348" t="s">
        <v>1181</v>
      </c>
      <c r="Z1402" s="348" t="s">
        <v>79</v>
      </c>
      <c r="AA1402" s="348"/>
    </row>
    <row r="1403" s="331" customFormat="1" ht="17" customHeight="1" spans="1:27">
      <c r="A1403" s="550" t="s">
        <v>3953</v>
      </c>
      <c r="B1403" s="348" t="s">
        <v>66</v>
      </c>
      <c r="C1403" s="348" t="s">
        <v>3954</v>
      </c>
      <c r="D1403" s="349" t="s">
        <v>44</v>
      </c>
      <c r="E1403" s="336">
        <v>43697</v>
      </c>
      <c r="F1403" s="336">
        <v>43644</v>
      </c>
      <c r="G1403" s="336">
        <v>43697</v>
      </c>
      <c r="H1403" s="334" t="s">
        <v>3955</v>
      </c>
      <c r="I1403" s="356">
        <v>13816525076</v>
      </c>
      <c r="J1403" s="361" t="s">
        <v>3956</v>
      </c>
      <c r="K1403" s="356">
        <v>1000</v>
      </c>
      <c r="L1403" s="334">
        <f>7764-760</f>
        <v>7004</v>
      </c>
      <c r="M1403" s="334">
        <v>760</v>
      </c>
      <c r="N1403" s="362">
        <f t="shared" si="42"/>
        <v>7764</v>
      </c>
      <c r="O1403" s="356"/>
      <c r="P1403" s="356" t="s">
        <v>1526</v>
      </c>
      <c r="Q1403" s="356"/>
      <c r="R1403" s="356"/>
      <c r="S1403" s="356"/>
      <c r="T1403" s="356"/>
      <c r="U1403" s="372"/>
      <c r="V1403" s="372"/>
      <c r="W1403" s="372"/>
      <c r="X1403" s="373"/>
      <c r="Y1403" s="348" t="s">
        <v>3672</v>
      </c>
      <c r="Z1403" s="348"/>
      <c r="AA1403" s="348" t="s">
        <v>3957</v>
      </c>
    </row>
    <row r="1404" s="331" customFormat="1" ht="17" customHeight="1" spans="1:27">
      <c r="A1404" s="550" t="s">
        <v>3958</v>
      </c>
      <c r="B1404" s="348" t="s">
        <v>185</v>
      </c>
      <c r="C1404" s="348" t="s">
        <v>1204</v>
      </c>
      <c r="D1404" s="349" t="s">
        <v>44</v>
      </c>
      <c r="E1404" s="336">
        <v>43681</v>
      </c>
      <c r="F1404" s="336">
        <v>43644</v>
      </c>
      <c r="G1404" s="336">
        <v>43680</v>
      </c>
      <c r="H1404" s="334" t="s">
        <v>3959</v>
      </c>
      <c r="I1404" s="356">
        <v>13817615099</v>
      </c>
      <c r="J1404" s="361" t="s">
        <v>3960</v>
      </c>
      <c r="K1404" s="356">
        <v>1000</v>
      </c>
      <c r="L1404" s="334">
        <v>11157</v>
      </c>
      <c r="M1404" s="334">
        <v>2577</v>
      </c>
      <c r="N1404" s="362">
        <f t="shared" si="42"/>
        <v>13734</v>
      </c>
      <c r="O1404" s="356"/>
      <c r="P1404" s="366" t="s">
        <v>52</v>
      </c>
      <c r="Q1404" s="356"/>
      <c r="R1404" s="356"/>
      <c r="S1404" s="356"/>
      <c r="T1404" s="356"/>
      <c r="U1404" s="372"/>
      <c r="V1404" s="372"/>
      <c r="W1404" s="372"/>
      <c r="X1404" s="373"/>
      <c r="Y1404" s="348"/>
      <c r="Z1404" s="348"/>
      <c r="AA1404" s="348"/>
    </row>
    <row r="1405" s="331" customFormat="1" ht="15" customHeight="1" spans="1:27">
      <c r="A1405" s="550" t="s">
        <v>3961</v>
      </c>
      <c r="B1405" s="348" t="s">
        <v>405</v>
      </c>
      <c r="C1405" s="348" t="s">
        <v>823</v>
      </c>
      <c r="D1405" s="349" t="s">
        <v>407</v>
      </c>
      <c r="E1405" s="336">
        <v>43785</v>
      </c>
      <c r="F1405" s="336">
        <v>43644</v>
      </c>
      <c r="G1405" s="336">
        <v>43782</v>
      </c>
      <c r="H1405" s="334" t="s">
        <v>3962</v>
      </c>
      <c r="I1405" s="356">
        <v>15921372396</v>
      </c>
      <c r="J1405" s="361" t="s">
        <v>3963</v>
      </c>
      <c r="K1405" s="356">
        <v>10000</v>
      </c>
      <c r="L1405" s="334">
        <v>9500</v>
      </c>
      <c r="M1405" s="362"/>
      <c r="N1405" s="362">
        <f t="shared" si="42"/>
        <v>9500</v>
      </c>
      <c r="O1405" s="356" t="s">
        <v>52</v>
      </c>
      <c r="P1405" s="356"/>
      <c r="Q1405" s="356"/>
      <c r="R1405" s="356"/>
      <c r="S1405" s="356"/>
      <c r="T1405" s="356"/>
      <c r="U1405" s="372"/>
      <c r="V1405" s="372"/>
      <c r="W1405" s="372"/>
      <c r="X1405" s="373"/>
      <c r="Y1405" s="348"/>
      <c r="Z1405" s="348"/>
      <c r="AA1405" s="348"/>
    </row>
    <row r="1406" s="331" customFormat="1" ht="17" customHeight="1" spans="1:27">
      <c r="A1406" s="550" t="s">
        <v>3964</v>
      </c>
      <c r="B1406" s="348" t="s">
        <v>47</v>
      </c>
      <c r="C1406" s="348" t="s">
        <v>2399</v>
      </c>
      <c r="D1406" s="349" t="s">
        <v>3965</v>
      </c>
      <c r="E1406" s="336">
        <v>43644</v>
      </c>
      <c r="F1406" s="336">
        <v>43644</v>
      </c>
      <c r="G1406" s="336">
        <v>43653</v>
      </c>
      <c r="H1406" s="334" t="s">
        <v>3966</v>
      </c>
      <c r="I1406" s="356">
        <v>18930218386</v>
      </c>
      <c r="J1406" s="361" t="s">
        <v>3967</v>
      </c>
      <c r="K1406" s="356">
        <v>3000</v>
      </c>
      <c r="L1406" s="334">
        <v>7543</v>
      </c>
      <c r="M1406" s="334"/>
      <c r="N1406" s="362">
        <f t="shared" si="42"/>
        <v>7543</v>
      </c>
      <c r="O1406" s="356"/>
      <c r="P1406" s="356"/>
      <c r="Q1406" s="356"/>
      <c r="R1406" s="356"/>
      <c r="S1406" s="356"/>
      <c r="T1406" s="356"/>
      <c r="U1406" s="372"/>
      <c r="V1406" s="372"/>
      <c r="W1406" s="372"/>
      <c r="X1406" s="373"/>
      <c r="Y1406" s="348"/>
      <c r="Z1406" s="348"/>
      <c r="AA1406" s="348"/>
    </row>
    <row r="1407" s="331" customFormat="1" ht="17" customHeight="1" spans="1:27">
      <c r="A1407" s="550" t="s">
        <v>3968</v>
      </c>
      <c r="B1407" s="348" t="s">
        <v>31</v>
      </c>
      <c r="C1407" s="348" t="s">
        <v>32</v>
      </c>
      <c r="D1407" s="349" t="s">
        <v>182</v>
      </c>
      <c r="E1407" s="336">
        <v>43700</v>
      </c>
      <c r="F1407" s="336">
        <v>43625</v>
      </c>
      <c r="G1407" s="336">
        <v>43700</v>
      </c>
      <c r="H1407" s="334" t="s">
        <v>3969</v>
      </c>
      <c r="I1407" s="356">
        <v>18621913936</v>
      </c>
      <c r="J1407" s="361" t="s">
        <v>3970</v>
      </c>
      <c r="K1407" s="356">
        <f>1000+1000</f>
        <v>2000</v>
      </c>
      <c r="L1407" s="334">
        <v>4480</v>
      </c>
      <c r="M1407" s="362"/>
      <c r="N1407" s="362">
        <f t="shared" si="42"/>
        <v>4480</v>
      </c>
      <c r="O1407" s="356"/>
      <c r="P1407" s="366" t="s">
        <v>52</v>
      </c>
      <c r="Q1407" s="356"/>
      <c r="R1407" s="356"/>
      <c r="S1407" s="356"/>
      <c r="T1407" s="356"/>
      <c r="U1407" s="372"/>
      <c r="V1407" s="372"/>
      <c r="W1407" s="372"/>
      <c r="X1407" s="373"/>
      <c r="Y1407" s="348"/>
      <c r="Z1407" s="348"/>
      <c r="AA1407" s="348"/>
    </row>
    <row r="1408" s="331" customFormat="1" ht="17" customHeight="1" spans="1:27">
      <c r="A1408" s="348">
        <v>2022554</v>
      </c>
      <c r="B1408" s="348" t="s">
        <v>73</v>
      </c>
      <c r="C1408" s="348" t="s">
        <v>74</v>
      </c>
      <c r="D1408" s="349" t="s">
        <v>187</v>
      </c>
      <c r="E1408" s="336">
        <v>43644</v>
      </c>
      <c r="F1408" s="336">
        <v>43644</v>
      </c>
      <c r="G1408" s="336">
        <v>43675</v>
      </c>
      <c r="H1408" s="334" t="s">
        <v>3971</v>
      </c>
      <c r="I1408" s="356">
        <v>13761316431</v>
      </c>
      <c r="J1408" s="361" t="s">
        <v>3972</v>
      </c>
      <c r="K1408" s="356">
        <v>1000</v>
      </c>
      <c r="L1408" s="334">
        <v>25302</v>
      </c>
      <c r="M1408" s="362"/>
      <c r="N1408" s="362">
        <f t="shared" si="42"/>
        <v>25302</v>
      </c>
      <c r="O1408" s="366" t="s">
        <v>52</v>
      </c>
      <c r="P1408" s="356"/>
      <c r="Q1408" s="356"/>
      <c r="R1408" s="356"/>
      <c r="S1408" s="356"/>
      <c r="T1408" s="356"/>
      <c r="U1408" s="372"/>
      <c r="V1408" s="372"/>
      <c r="W1408" s="372"/>
      <c r="X1408" s="373"/>
      <c r="Y1408" s="348"/>
      <c r="Z1408" s="348" t="s">
        <v>79</v>
      </c>
      <c r="AA1408" s="348"/>
    </row>
    <row r="1409" s="331" customFormat="1" ht="17" customHeight="1" spans="1:27">
      <c r="A1409" s="550" t="s">
        <v>1409</v>
      </c>
      <c r="B1409" s="348" t="s">
        <v>94</v>
      </c>
      <c r="C1409" s="348" t="s">
        <v>3973</v>
      </c>
      <c r="D1409" s="352" t="s">
        <v>49</v>
      </c>
      <c r="E1409" s="336">
        <v>43645</v>
      </c>
      <c r="F1409" s="336">
        <v>43644</v>
      </c>
      <c r="G1409" s="350"/>
      <c r="H1409" s="334" t="s">
        <v>3974</v>
      </c>
      <c r="I1409" s="356">
        <v>13901790836</v>
      </c>
      <c r="J1409" s="361" t="s">
        <v>3975</v>
      </c>
      <c r="K1409" s="356">
        <v>1000</v>
      </c>
      <c r="L1409" s="362"/>
      <c r="M1409" s="362"/>
      <c r="N1409" s="362">
        <f t="shared" si="42"/>
        <v>0</v>
      </c>
      <c r="O1409" s="356"/>
      <c r="P1409" s="356"/>
      <c r="Q1409" s="366"/>
      <c r="R1409" s="366" t="s">
        <v>52</v>
      </c>
      <c r="S1409" s="366"/>
      <c r="T1409" s="356"/>
      <c r="U1409" s="372"/>
      <c r="V1409" s="372"/>
      <c r="W1409" s="372"/>
      <c r="X1409" s="373"/>
      <c r="Y1409" s="348"/>
      <c r="Z1409" s="348"/>
      <c r="AA1409" s="348"/>
    </row>
    <row r="1410" s="331" customFormat="1" ht="17" customHeight="1" spans="1:27">
      <c r="A1410" s="550" t="s">
        <v>3976</v>
      </c>
      <c r="B1410" s="348" t="s">
        <v>2625</v>
      </c>
      <c r="C1410" s="348" t="s">
        <v>2626</v>
      </c>
      <c r="D1410" s="349" t="s">
        <v>44</v>
      </c>
      <c r="E1410" s="336">
        <v>43696</v>
      </c>
      <c r="F1410" s="336">
        <v>43644</v>
      </c>
      <c r="G1410" s="336">
        <v>43696</v>
      </c>
      <c r="H1410" s="334" t="s">
        <v>3977</v>
      </c>
      <c r="I1410" s="356">
        <v>18018533488</v>
      </c>
      <c r="J1410" s="361" t="s">
        <v>3978</v>
      </c>
      <c r="K1410" s="356">
        <v>1000</v>
      </c>
      <c r="L1410" s="334">
        <v>13500</v>
      </c>
      <c r="M1410" s="362"/>
      <c r="N1410" s="362">
        <f t="shared" si="42"/>
        <v>13500</v>
      </c>
      <c r="O1410" s="356"/>
      <c r="P1410" s="356"/>
      <c r="Q1410" s="356"/>
      <c r="R1410" s="356"/>
      <c r="S1410" s="356"/>
      <c r="T1410" s="356"/>
      <c r="U1410" s="372"/>
      <c r="V1410" s="372"/>
      <c r="W1410" s="372"/>
      <c r="X1410" s="373"/>
      <c r="Y1410" s="348"/>
      <c r="Z1410" s="348"/>
      <c r="AA1410" s="348"/>
    </row>
    <row r="1411" s="331" customFormat="1" ht="17" customHeight="1" spans="1:27">
      <c r="A1411" s="348">
        <v>2025491</v>
      </c>
      <c r="B1411" s="348" t="s">
        <v>94</v>
      </c>
      <c r="C1411" s="348" t="s">
        <v>95</v>
      </c>
      <c r="D1411" s="352" t="s">
        <v>49</v>
      </c>
      <c r="E1411" s="336">
        <v>43645</v>
      </c>
      <c r="F1411" s="336">
        <v>43644</v>
      </c>
      <c r="G1411" s="336">
        <v>43672</v>
      </c>
      <c r="H1411" s="334" t="s">
        <v>3979</v>
      </c>
      <c r="I1411" s="356">
        <v>18621943216</v>
      </c>
      <c r="J1411" s="361" t="s">
        <v>3980</v>
      </c>
      <c r="K1411" s="356">
        <v>1000</v>
      </c>
      <c r="L1411" s="334">
        <v>10599</v>
      </c>
      <c r="M1411" s="362"/>
      <c r="N1411" s="362">
        <f t="shared" si="42"/>
        <v>10599</v>
      </c>
      <c r="O1411" s="356"/>
      <c r="P1411" s="356"/>
      <c r="Q1411" s="356"/>
      <c r="R1411" s="356"/>
      <c r="S1411" s="356"/>
      <c r="T1411" s="356"/>
      <c r="U1411" s="372"/>
      <c r="V1411" s="372"/>
      <c r="W1411" s="372" t="s">
        <v>98</v>
      </c>
      <c r="X1411" s="373"/>
      <c r="Y1411" s="348"/>
      <c r="Z1411" s="348"/>
      <c r="AA1411" s="348"/>
    </row>
    <row r="1412" s="331" customFormat="1" ht="17" customHeight="1" spans="1:27">
      <c r="A1412" s="550" t="s">
        <v>3981</v>
      </c>
      <c r="B1412" s="348" t="s">
        <v>94</v>
      </c>
      <c r="C1412" s="348" t="s">
        <v>101</v>
      </c>
      <c r="D1412" s="352" t="s">
        <v>49</v>
      </c>
      <c r="E1412" s="336">
        <v>43645</v>
      </c>
      <c r="F1412" s="336">
        <v>43644</v>
      </c>
      <c r="G1412" s="336">
        <v>43658</v>
      </c>
      <c r="H1412" s="334" t="s">
        <v>3982</v>
      </c>
      <c r="I1412" s="356">
        <v>15221676675</v>
      </c>
      <c r="J1412" s="361" t="s">
        <v>3983</v>
      </c>
      <c r="K1412" s="356">
        <v>1000</v>
      </c>
      <c r="L1412" s="334">
        <v>10418</v>
      </c>
      <c r="M1412" s="334">
        <v>1104</v>
      </c>
      <c r="N1412" s="362">
        <f t="shared" si="42"/>
        <v>11522</v>
      </c>
      <c r="O1412" s="356"/>
      <c r="P1412" s="356"/>
      <c r="Q1412" s="356"/>
      <c r="R1412" s="356"/>
      <c r="S1412" s="356"/>
      <c r="T1412" s="356"/>
      <c r="U1412" s="372"/>
      <c r="V1412" s="372"/>
      <c r="W1412" s="372"/>
      <c r="X1412" s="373"/>
      <c r="Y1412" s="348"/>
      <c r="Z1412" s="348"/>
      <c r="AA1412" s="348"/>
    </row>
    <row r="1413" s="331" customFormat="1" ht="17" customHeight="1" spans="1:27">
      <c r="A1413" s="550" t="s">
        <v>3984</v>
      </c>
      <c r="B1413" s="348" t="s">
        <v>94</v>
      </c>
      <c r="C1413" s="348" t="s">
        <v>101</v>
      </c>
      <c r="D1413" s="352" t="s">
        <v>49</v>
      </c>
      <c r="E1413" s="336">
        <v>43645</v>
      </c>
      <c r="F1413" s="336">
        <v>43644</v>
      </c>
      <c r="G1413" s="336">
        <v>43654</v>
      </c>
      <c r="H1413" s="334" t="s">
        <v>3985</v>
      </c>
      <c r="I1413" s="356">
        <v>15202173534</v>
      </c>
      <c r="J1413" s="361" t="s">
        <v>3986</v>
      </c>
      <c r="K1413" s="356">
        <v>1000</v>
      </c>
      <c r="L1413" s="334">
        <v>12520</v>
      </c>
      <c r="M1413" s="334"/>
      <c r="N1413" s="362">
        <f t="shared" si="42"/>
        <v>12520</v>
      </c>
      <c r="O1413" s="356"/>
      <c r="P1413" s="356"/>
      <c r="Q1413" s="356"/>
      <c r="R1413" s="356"/>
      <c r="S1413" s="356"/>
      <c r="T1413" s="356"/>
      <c r="U1413" s="372"/>
      <c r="V1413" s="372"/>
      <c r="W1413" s="372"/>
      <c r="X1413" s="373"/>
      <c r="Y1413" s="348"/>
      <c r="Z1413" s="348"/>
      <c r="AA1413" s="348"/>
    </row>
    <row r="1414" s="331" customFormat="1" ht="17" customHeight="1" spans="1:27">
      <c r="A1414" s="550" t="s">
        <v>3987</v>
      </c>
      <c r="B1414" s="348" t="s">
        <v>94</v>
      </c>
      <c r="C1414" s="348" t="s">
        <v>101</v>
      </c>
      <c r="D1414" s="352" t="s">
        <v>49</v>
      </c>
      <c r="E1414" s="336">
        <v>43645</v>
      </c>
      <c r="F1414" s="336">
        <v>43644</v>
      </c>
      <c r="G1414" s="336">
        <v>43651</v>
      </c>
      <c r="H1414" s="334" t="s">
        <v>3988</v>
      </c>
      <c r="I1414" s="356">
        <v>13917604077</v>
      </c>
      <c r="J1414" s="361" t="s">
        <v>3989</v>
      </c>
      <c r="K1414" s="356">
        <v>1000</v>
      </c>
      <c r="L1414" s="334">
        <v>6868</v>
      </c>
      <c r="M1414" s="334"/>
      <c r="N1414" s="362">
        <f t="shared" si="42"/>
        <v>6868</v>
      </c>
      <c r="O1414" s="356"/>
      <c r="P1414" s="356"/>
      <c r="Q1414" s="356"/>
      <c r="R1414" s="356"/>
      <c r="S1414" s="356"/>
      <c r="T1414" s="356"/>
      <c r="U1414" s="372"/>
      <c r="V1414" s="372"/>
      <c r="W1414" s="372"/>
      <c r="X1414" s="373"/>
      <c r="Y1414" s="348"/>
      <c r="Z1414" s="348"/>
      <c r="AA1414" s="348"/>
    </row>
    <row r="1415" s="331" customFormat="1" ht="17" customHeight="1" spans="1:27">
      <c r="A1415" s="550" t="s">
        <v>3990</v>
      </c>
      <c r="B1415" s="348" t="s">
        <v>94</v>
      </c>
      <c r="C1415" s="348" t="s">
        <v>95</v>
      </c>
      <c r="D1415" s="352" t="s">
        <v>49</v>
      </c>
      <c r="E1415" s="336">
        <v>43645</v>
      </c>
      <c r="F1415" s="336">
        <v>43645</v>
      </c>
      <c r="G1415" s="336">
        <v>43670</v>
      </c>
      <c r="H1415" s="334" t="s">
        <v>3991</v>
      </c>
      <c r="I1415" s="356" t="s">
        <v>3992</v>
      </c>
      <c r="J1415" s="361" t="s">
        <v>3993</v>
      </c>
      <c r="K1415" s="356">
        <v>1000</v>
      </c>
      <c r="L1415" s="334">
        <v>12737</v>
      </c>
      <c r="M1415" s="362"/>
      <c r="N1415" s="362">
        <f t="shared" si="42"/>
        <v>12737</v>
      </c>
      <c r="O1415" s="356"/>
      <c r="P1415" s="356"/>
      <c r="Q1415" s="356"/>
      <c r="R1415" s="356"/>
      <c r="S1415" s="356"/>
      <c r="T1415" s="356"/>
      <c r="U1415" s="372"/>
      <c r="V1415" s="372"/>
      <c r="W1415" s="372" t="s">
        <v>98</v>
      </c>
      <c r="X1415" s="373"/>
      <c r="Y1415" s="348"/>
      <c r="Z1415" s="348"/>
      <c r="AA1415" s="348"/>
    </row>
    <row r="1416" s="331" customFormat="1" ht="17" customHeight="1" spans="1:27">
      <c r="A1416" s="348">
        <v>2024331</v>
      </c>
      <c r="B1416" s="348" t="s">
        <v>137</v>
      </c>
      <c r="C1416" s="348" t="s">
        <v>1041</v>
      </c>
      <c r="D1416" s="349" t="s">
        <v>139</v>
      </c>
      <c r="E1416" s="336">
        <v>43597</v>
      </c>
      <c r="F1416" s="336">
        <v>43596</v>
      </c>
      <c r="G1416" s="336">
        <v>43676</v>
      </c>
      <c r="H1416" s="334" t="s">
        <v>3994</v>
      </c>
      <c r="I1416" s="356">
        <v>18621970298</v>
      </c>
      <c r="J1416" s="361" t="s">
        <v>3995</v>
      </c>
      <c r="K1416" s="356">
        <f>52000+3000</f>
        <v>55000</v>
      </c>
      <c r="L1416" s="334">
        <v>54982</v>
      </c>
      <c r="M1416" s="362"/>
      <c r="N1416" s="362">
        <f t="shared" ref="N1416:N1442" si="43">L1416+M1416</f>
        <v>54982</v>
      </c>
      <c r="O1416" s="356">
        <v>1</v>
      </c>
      <c r="P1416" s="356"/>
      <c r="Q1416" s="356"/>
      <c r="R1416" s="356"/>
      <c r="S1416" s="356"/>
      <c r="T1416" s="356"/>
      <c r="U1416" s="372"/>
      <c r="V1416" s="372"/>
      <c r="W1416" s="372"/>
      <c r="X1416" s="373">
        <v>1</v>
      </c>
      <c r="Y1416" s="348" t="s">
        <v>1994</v>
      </c>
      <c r="Z1416" s="348"/>
      <c r="AA1416" s="348"/>
    </row>
    <row r="1417" s="331" customFormat="1" ht="17" customHeight="1" spans="1:27">
      <c r="A1417" s="348"/>
      <c r="B1417" s="348" t="s">
        <v>87</v>
      </c>
      <c r="C1417" s="348" t="s">
        <v>466</v>
      </c>
      <c r="D1417" s="349" t="s">
        <v>89</v>
      </c>
      <c r="E1417" s="336">
        <v>43645</v>
      </c>
      <c r="F1417" s="336">
        <v>43645</v>
      </c>
      <c r="G1417" s="336">
        <v>43677</v>
      </c>
      <c r="H1417" s="334" t="s">
        <v>3996</v>
      </c>
      <c r="I1417" s="356">
        <v>13052107800</v>
      </c>
      <c r="J1417" s="361" t="s">
        <v>3997</v>
      </c>
      <c r="K1417" s="356">
        <v>1000</v>
      </c>
      <c r="L1417" s="334">
        <v>9550</v>
      </c>
      <c r="M1417" s="362"/>
      <c r="N1417" s="362">
        <f t="shared" si="43"/>
        <v>9550</v>
      </c>
      <c r="O1417" s="356"/>
      <c r="P1417" s="356"/>
      <c r="Q1417" s="356" t="s">
        <v>52</v>
      </c>
      <c r="R1417" s="356"/>
      <c r="S1417" s="356"/>
      <c r="T1417" s="356"/>
      <c r="U1417" s="372"/>
      <c r="V1417" s="372"/>
      <c r="W1417" s="372"/>
      <c r="X1417" s="373"/>
      <c r="Y1417" s="348" t="s">
        <v>3998</v>
      </c>
      <c r="Z1417" s="348"/>
      <c r="AA1417" s="348"/>
    </row>
    <row r="1418" s="331" customFormat="1" ht="17" customHeight="1" spans="1:27">
      <c r="A1418" s="550" t="s">
        <v>3999</v>
      </c>
      <c r="B1418" s="348" t="s">
        <v>35</v>
      </c>
      <c r="C1418" s="348" t="s">
        <v>328</v>
      </c>
      <c r="D1418" s="349" t="s">
        <v>37</v>
      </c>
      <c r="E1418" s="336">
        <v>43645</v>
      </c>
      <c r="F1418" s="336">
        <v>43645</v>
      </c>
      <c r="G1418" s="336">
        <v>43649</v>
      </c>
      <c r="H1418" s="334" t="s">
        <v>4000</v>
      </c>
      <c r="I1418" s="356">
        <v>15221485775</v>
      </c>
      <c r="J1418" s="361" t="s">
        <v>4001</v>
      </c>
      <c r="K1418" s="356">
        <v>10000</v>
      </c>
      <c r="L1418" s="334">
        <v>12557</v>
      </c>
      <c r="M1418" s="334">
        <v>1104</v>
      </c>
      <c r="N1418" s="362">
        <f t="shared" si="43"/>
        <v>13661</v>
      </c>
      <c r="O1418" s="356"/>
      <c r="P1418" s="356"/>
      <c r="Q1418" s="356"/>
      <c r="R1418" s="356"/>
      <c r="S1418" s="356"/>
      <c r="T1418" s="356"/>
      <c r="U1418" s="372"/>
      <c r="V1418" s="372"/>
      <c r="W1418" s="372"/>
      <c r="X1418" s="373"/>
      <c r="Y1418" s="348" t="s">
        <v>274</v>
      </c>
      <c r="Z1418" s="348"/>
      <c r="AA1418" s="348"/>
    </row>
    <row r="1419" s="331" customFormat="1" ht="17" customHeight="1" spans="1:27">
      <c r="A1419" s="550" t="s">
        <v>4002</v>
      </c>
      <c r="B1419" s="348" t="s">
        <v>2625</v>
      </c>
      <c r="C1419" s="348" t="s">
        <v>2626</v>
      </c>
      <c r="D1419" s="334" t="s">
        <v>635</v>
      </c>
      <c r="E1419" s="336">
        <v>43715</v>
      </c>
      <c r="F1419" s="336">
        <v>43645</v>
      </c>
      <c r="G1419" s="336">
        <v>43715</v>
      </c>
      <c r="H1419" s="334" t="s">
        <v>4003</v>
      </c>
      <c r="I1419" s="552" t="s">
        <v>4004</v>
      </c>
      <c r="J1419" s="361" t="s">
        <v>4005</v>
      </c>
      <c r="K1419" s="356">
        <v>1000</v>
      </c>
      <c r="L1419" s="334">
        <v>14000</v>
      </c>
      <c r="M1419" s="362"/>
      <c r="N1419" s="362">
        <f t="shared" si="43"/>
        <v>14000</v>
      </c>
      <c r="O1419" s="356"/>
      <c r="P1419" s="356"/>
      <c r="Q1419" s="356"/>
      <c r="R1419" s="356" t="s">
        <v>3660</v>
      </c>
      <c r="S1419" s="356"/>
      <c r="T1419" s="356"/>
      <c r="U1419" s="372"/>
      <c r="V1419" s="372"/>
      <c r="W1419" s="374">
        <v>43710</v>
      </c>
      <c r="X1419" s="373"/>
      <c r="Y1419" s="348" t="s">
        <v>274</v>
      </c>
      <c r="Z1419" s="348"/>
      <c r="AA1419" s="348"/>
    </row>
    <row r="1420" s="331" customFormat="1" ht="17" customHeight="1" spans="1:27">
      <c r="A1420" s="348"/>
      <c r="B1420" s="348" t="s">
        <v>66</v>
      </c>
      <c r="C1420" s="348" t="s">
        <v>67</v>
      </c>
      <c r="D1420" s="349" t="s">
        <v>68</v>
      </c>
      <c r="E1420" s="336">
        <v>43645</v>
      </c>
      <c r="F1420" s="336">
        <v>43645</v>
      </c>
      <c r="G1420" s="336">
        <v>43677</v>
      </c>
      <c r="H1420" s="334" t="s">
        <v>4006</v>
      </c>
      <c r="I1420" s="356">
        <v>13621701805</v>
      </c>
      <c r="J1420" s="361" t="s">
        <v>4007</v>
      </c>
      <c r="K1420" s="356">
        <v>10000</v>
      </c>
      <c r="L1420" s="334">
        <v>9975</v>
      </c>
      <c r="M1420" s="362"/>
      <c r="N1420" s="362">
        <f t="shared" si="43"/>
        <v>9975</v>
      </c>
      <c r="O1420" s="356" t="s">
        <v>4008</v>
      </c>
      <c r="P1420" s="356"/>
      <c r="Q1420" s="356"/>
      <c r="R1420" s="356"/>
      <c r="S1420" s="356"/>
      <c r="T1420" s="356"/>
      <c r="U1420" s="372"/>
      <c r="V1420" s="372"/>
      <c r="W1420" s="372"/>
      <c r="X1420" s="373"/>
      <c r="Y1420" s="348" t="s">
        <v>274</v>
      </c>
      <c r="Z1420" s="348"/>
      <c r="AA1420" s="348"/>
    </row>
    <row r="1421" s="331" customFormat="1" ht="17" customHeight="1" spans="1:27">
      <c r="A1421" s="348"/>
      <c r="B1421" s="348" t="s">
        <v>4009</v>
      </c>
      <c r="C1421" s="348" t="s">
        <v>4010</v>
      </c>
      <c r="D1421" s="349" t="s">
        <v>207</v>
      </c>
      <c r="E1421" s="336">
        <v>43645</v>
      </c>
      <c r="F1421" s="336">
        <v>43645</v>
      </c>
      <c r="G1421" s="356" t="s">
        <v>469</v>
      </c>
      <c r="H1421" s="334" t="s">
        <v>4011</v>
      </c>
      <c r="I1421" s="356">
        <v>13701622826</v>
      </c>
      <c r="J1421" s="361" t="s">
        <v>4012</v>
      </c>
      <c r="K1421" s="356">
        <v>20000</v>
      </c>
      <c r="L1421" s="362"/>
      <c r="M1421" s="362"/>
      <c r="N1421" s="362">
        <f t="shared" si="43"/>
        <v>0</v>
      </c>
      <c r="O1421" s="356"/>
      <c r="P1421" s="356"/>
      <c r="Q1421" s="356"/>
      <c r="R1421" s="356"/>
      <c r="S1421" s="356"/>
      <c r="T1421" s="356"/>
      <c r="U1421" s="372"/>
      <c r="V1421" s="372"/>
      <c r="W1421" s="375">
        <v>6.24</v>
      </c>
      <c r="X1421" s="373"/>
      <c r="Y1421" s="348" t="s">
        <v>1181</v>
      </c>
      <c r="Z1421" s="348"/>
      <c r="AA1421" s="348"/>
    </row>
    <row r="1422" s="331" customFormat="1" ht="17" customHeight="1" spans="1:27">
      <c r="A1422" s="550" t="s">
        <v>4013</v>
      </c>
      <c r="B1422" s="348" t="s">
        <v>31</v>
      </c>
      <c r="C1422" s="348" t="s">
        <v>377</v>
      </c>
      <c r="D1422" s="349" t="s">
        <v>221</v>
      </c>
      <c r="E1422" s="336">
        <v>43645</v>
      </c>
      <c r="F1422" s="336">
        <v>43645</v>
      </c>
      <c r="G1422" s="350"/>
      <c r="H1422" s="334" t="s">
        <v>4014</v>
      </c>
      <c r="I1422" s="356">
        <v>18801779906</v>
      </c>
      <c r="J1422" s="361" t="s">
        <v>4015</v>
      </c>
      <c r="K1422" s="356">
        <v>1000</v>
      </c>
      <c r="L1422" s="362"/>
      <c r="M1422" s="362"/>
      <c r="N1422" s="362">
        <f t="shared" si="43"/>
        <v>0</v>
      </c>
      <c r="O1422" s="356"/>
      <c r="P1422" s="356"/>
      <c r="Q1422" s="356"/>
      <c r="R1422" s="356"/>
      <c r="S1422" s="366" t="s">
        <v>52</v>
      </c>
      <c r="T1422" s="356"/>
      <c r="U1422" s="372"/>
      <c r="V1422" s="372"/>
      <c r="W1422" s="372"/>
      <c r="X1422" s="373"/>
      <c r="Y1422" s="348"/>
      <c r="Z1422" s="348"/>
      <c r="AA1422" s="348"/>
    </row>
    <row r="1423" s="331" customFormat="1" ht="17" customHeight="1" spans="1:27">
      <c r="A1423" s="550" t="s">
        <v>4016</v>
      </c>
      <c r="B1423" s="348" t="s">
        <v>66</v>
      </c>
      <c r="C1423" s="348" t="s">
        <v>951</v>
      </c>
      <c r="D1423" s="349" t="s">
        <v>68</v>
      </c>
      <c r="E1423" s="336">
        <v>43728</v>
      </c>
      <c r="F1423" s="336">
        <v>43645</v>
      </c>
      <c r="G1423" s="336">
        <v>43716</v>
      </c>
      <c r="H1423" s="334" t="s">
        <v>4017</v>
      </c>
      <c r="I1423" s="356">
        <v>18521434455</v>
      </c>
      <c r="J1423" s="361" t="s">
        <v>4018</v>
      </c>
      <c r="K1423" s="356">
        <v>3000</v>
      </c>
      <c r="L1423" s="334">
        <v>6817</v>
      </c>
      <c r="M1423" s="362"/>
      <c r="N1423" s="362">
        <f t="shared" si="43"/>
        <v>6817</v>
      </c>
      <c r="O1423" s="356" t="s">
        <v>3245</v>
      </c>
      <c r="P1423" s="356"/>
      <c r="Q1423" s="356"/>
      <c r="R1423" s="356"/>
      <c r="S1423" s="356"/>
      <c r="T1423" s="356"/>
      <c r="U1423" s="372"/>
      <c r="V1423" s="372"/>
      <c r="W1423" s="372"/>
      <c r="X1423" s="373"/>
      <c r="Y1423" s="348"/>
      <c r="Z1423" s="348"/>
      <c r="AA1423" s="348"/>
    </row>
    <row r="1424" s="331" customFormat="1" ht="17" customHeight="1" spans="1:27">
      <c r="A1424" s="348"/>
      <c r="B1424" s="348" t="s">
        <v>66</v>
      </c>
      <c r="C1424" s="348" t="s">
        <v>505</v>
      </c>
      <c r="D1424" s="349" t="s">
        <v>68</v>
      </c>
      <c r="E1424" s="336">
        <v>43645</v>
      </c>
      <c r="F1424" s="336">
        <v>43644</v>
      </c>
      <c r="G1424" s="350"/>
      <c r="H1424" s="334" t="s">
        <v>4019</v>
      </c>
      <c r="I1424" s="356">
        <v>18516768637</v>
      </c>
      <c r="J1424" s="361" t="s">
        <v>4020</v>
      </c>
      <c r="K1424" s="356">
        <v>1000</v>
      </c>
      <c r="L1424" s="362"/>
      <c r="M1424" s="362"/>
      <c r="N1424" s="362">
        <f t="shared" si="43"/>
        <v>0</v>
      </c>
      <c r="O1424" s="356"/>
      <c r="P1424" s="356"/>
      <c r="Q1424" s="356"/>
      <c r="R1424" s="356"/>
      <c r="S1424" s="356"/>
      <c r="T1424" s="356"/>
      <c r="U1424" s="372" t="s">
        <v>12</v>
      </c>
      <c r="V1424" s="372"/>
      <c r="W1424" s="372"/>
      <c r="X1424" s="373"/>
      <c r="Y1424" s="348" t="s">
        <v>4021</v>
      </c>
      <c r="Z1424" s="348"/>
      <c r="AA1424" s="348"/>
    </row>
    <row r="1425" s="331" customFormat="1" ht="17" customHeight="1" spans="1:27">
      <c r="A1425" s="550" t="s">
        <v>4022</v>
      </c>
      <c r="B1425" s="348" t="s">
        <v>354</v>
      </c>
      <c r="C1425" s="348" t="s">
        <v>355</v>
      </c>
      <c r="D1425" s="349" t="s">
        <v>149</v>
      </c>
      <c r="E1425" s="336">
        <v>43714</v>
      </c>
      <c r="F1425" s="336">
        <v>43644</v>
      </c>
      <c r="G1425" s="336">
        <v>43714</v>
      </c>
      <c r="H1425" s="334" t="s">
        <v>4023</v>
      </c>
      <c r="I1425" s="356">
        <v>15618721529</v>
      </c>
      <c r="J1425" s="367" t="s">
        <v>4024</v>
      </c>
      <c r="K1425" s="356">
        <v>200</v>
      </c>
      <c r="L1425" s="334">
        <v>6257</v>
      </c>
      <c r="M1425" s="362"/>
      <c r="N1425" s="362">
        <f t="shared" si="43"/>
        <v>6257</v>
      </c>
      <c r="O1425" s="366" t="s">
        <v>4025</v>
      </c>
      <c r="P1425" s="356"/>
      <c r="Q1425" s="356"/>
      <c r="R1425" s="356"/>
      <c r="S1425" s="356"/>
      <c r="T1425" s="356"/>
      <c r="U1425" s="372"/>
      <c r="V1425" s="372"/>
      <c r="W1425" s="372"/>
      <c r="X1425" s="373"/>
      <c r="Y1425" s="348"/>
      <c r="Z1425" s="348"/>
      <c r="AA1425" s="348"/>
    </row>
    <row r="1426" s="331" customFormat="1" ht="17" customHeight="1" spans="1:27">
      <c r="A1426" s="550" t="s">
        <v>4026</v>
      </c>
      <c r="B1426" s="348" t="s">
        <v>147</v>
      </c>
      <c r="C1426" s="348" t="s">
        <v>148</v>
      </c>
      <c r="D1426" s="352" t="s">
        <v>149</v>
      </c>
      <c r="E1426" s="336">
        <v>43645</v>
      </c>
      <c r="F1426" s="336">
        <v>43644</v>
      </c>
      <c r="G1426" s="350"/>
      <c r="H1426" s="334" t="s">
        <v>4027</v>
      </c>
      <c r="I1426" s="356">
        <v>13564550378</v>
      </c>
      <c r="J1426" s="361" t="s">
        <v>4028</v>
      </c>
      <c r="K1426" s="356">
        <v>4196</v>
      </c>
      <c r="L1426" s="362"/>
      <c r="M1426" s="362"/>
      <c r="N1426" s="362">
        <f t="shared" si="43"/>
        <v>0</v>
      </c>
      <c r="O1426" s="356"/>
      <c r="P1426" s="356"/>
      <c r="Q1426" s="356"/>
      <c r="R1426" s="356"/>
      <c r="S1426" s="356"/>
      <c r="T1426" s="356"/>
      <c r="U1426" s="372" t="s">
        <v>63</v>
      </c>
      <c r="V1426" s="372"/>
      <c r="W1426" s="372"/>
      <c r="X1426" s="373"/>
      <c r="Y1426" s="348"/>
      <c r="Z1426" s="348"/>
      <c r="AA1426" s="348"/>
    </row>
    <row r="1427" s="331" customFormat="1" ht="17" customHeight="1" spans="1:27">
      <c r="A1427" s="348"/>
      <c r="B1427" s="348" t="s">
        <v>35</v>
      </c>
      <c r="C1427" s="348" t="s">
        <v>392</v>
      </c>
      <c r="D1427" s="349" t="s">
        <v>37</v>
      </c>
      <c r="E1427" s="336">
        <v>43645</v>
      </c>
      <c r="F1427" s="336">
        <v>43633</v>
      </c>
      <c r="G1427" s="336">
        <v>43662</v>
      </c>
      <c r="H1427" s="334" t="s">
        <v>4029</v>
      </c>
      <c r="I1427" s="356">
        <v>18930889280</v>
      </c>
      <c r="J1427" s="361" t="s">
        <v>4030</v>
      </c>
      <c r="K1427" s="356">
        <v>1000</v>
      </c>
      <c r="L1427" s="334">
        <v>10313</v>
      </c>
      <c r="M1427" s="334"/>
      <c r="N1427" s="362">
        <f t="shared" si="43"/>
        <v>10313</v>
      </c>
      <c r="O1427" s="356"/>
      <c r="P1427" s="356"/>
      <c r="Q1427" s="356"/>
      <c r="R1427" s="356"/>
      <c r="S1427" s="356"/>
      <c r="T1427" s="356"/>
      <c r="U1427" s="372"/>
      <c r="V1427" s="372"/>
      <c r="W1427" s="372"/>
      <c r="X1427" s="373"/>
      <c r="Y1427" s="348"/>
      <c r="Z1427" s="348"/>
      <c r="AA1427" s="348"/>
    </row>
    <row r="1428" s="331" customFormat="1" ht="17" customHeight="1" spans="1:27">
      <c r="A1428" s="550" t="s">
        <v>4031</v>
      </c>
      <c r="B1428" s="348" t="s">
        <v>315</v>
      </c>
      <c r="C1428" s="348" t="s">
        <v>181</v>
      </c>
      <c r="D1428" s="352" t="s">
        <v>182</v>
      </c>
      <c r="E1428" s="336">
        <v>43645</v>
      </c>
      <c r="F1428" s="336">
        <v>43644</v>
      </c>
      <c r="G1428" s="350" t="s">
        <v>69</v>
      </c>
      <c r="H1428" s="334" t="s">
        <v>4032</v>
      </c>
      <c r="I1428" s="356">
        <v>13651926601</v>
      </c>
      <c r="J1428" s="361" t="s">
        <v>4033</v>
      </c>
      <c r="K1428" s="356">
        <v>1000</v>
      </c>
      <c r="L1428" s="362"/>
      <c r="M1428" s="362"/>
      <c r="N1428" s="362">
        <f t="shared" si="43"/>
        <v>0</v>
      </c>
      <c r="O1428" s="356">
        <v>1</v>
      </c>
      <c r="P1428" s="356"/>
      <c r="Q1428" s="356"/>
      <c r="R1428" s="356"/>
      <c r="S1428" s="356"/>
      <c r="T1428" s="356"/>
      <c r="U1428" s="372"/>
      <c r="V1428" s="372"/>
      <c r="W1428" s="372"/>
      <c r="X1428" s="373"/>
      <c r="Y1428" s="348"/>
      <c r="Z1428" s="348"/>
      <c r="AA1428" s="348"/>
    </row>
    <row r="1429" s="331" customFormat="1" ht="17" customHeight="1" spans="1:27">
      <c r="A1429" s="348">
        <v>2024324</v>
      </c>
      <c r="B1429" s="348" t="s">
        <v>137</v>
      </c>
      <c r="C1429" s="348" t="s">
        <v>2705</v>
      </c>
      <c r="D1429" s="349" t="s">
        <v>427</v>
      </c>
      <c r="E1429" s="336">
        <v>43645</v>
      </c>
      <c r="F1429" s="336">
        <v>43644</v>
      </c>
      <c r="G1429" s="336">
        <v>43672</v>
      </c>
      <c r="H1429" s="334" t="s">
        <v>4034</v>
      </c>
      <c r="I1429" s="356">
        <v>17821808404</v>
      </c>
      <c r="J1429" s="361" t="s">
        <v>4035</v>
      </c>
      <c r="K1429" s="356">
        <v>4504</v>
      </c>
      <c r="L1429" s="334">
        <v>7918</v>
      </c>
      <c r="M1429" s="362"/>
      <c r="N1429" s="362">
        <f t="shared" si="43"/>
        <v>7918</v>
      </c>
      <c r="O1429" s="356"/>
      <c r="P1429" s="356"/>
      <c r="Q1429" s="356">
        <v>1</v>
      </c>
      <c r="R1429" s="356"/>
      <c r="S1429" s="356"/>
      <c r="T1429" s="356"/>
      <c r="U1429" s="372"/>
      <c r="V1429" s="372"/>
      <c r="W1429" s="372"/>
      <c r="X1429" s="373"/>
      <c r="Y1429" s="348"/>
      <c r="Z1429" s="348"/>
      <c r="AA1429" s="348"/>
    </row>
    <row r="1430" s="331" customFormat="1" ht="17" customHeight="1" spans="1:27">
      <c r="A1430" s="550" t="s">
        <v>4036</v>
      </c>
      <c r="B1430" s="348" t="s">
        <v>354</v>
      </c>
      <c r="C1430" s="348" t="s">
        <v>355</v>
      </c>
      <c r="D1430" s="349" t="s">
        <v>182</v>
      </c>
      <c r="E1430" s="336">
        <v>43693</v>
      </c>
      <c r="F1430" s="336">
        <v>43645</v>
      </c>
      <c r="G1430" s="336">
        <v>43693</v>
      </c>
      <c r="H1430" s="334" t="s">
        <v>4037</v>
      </c>
      <c r="I1430" s="356">
        <v>15021518885</v>
      </c>
      <c r="J1430" s="361" t="s">
        <v>4038</v>
      </c>
      <c r="K1430" s="356">
        <v>500</v>
      </c>
      <c r="L1430" s="334">
        <v>16935</v>
      </c>
      <c r="M1430" s="362"/>
      <c r="N1430" s="362">
        <f t="shared" si="43"/>
        <v>16935</v>
      </c>
      <c r="O1430" s="356"/>
      <c r="P1430" s="356" t="s">
        <v>52</v>
      </c>
      <c r="Q1430" s="356"/>
      <c r="R1430" s="356"/>
      <c r="S1430" s="356"/>
      <c r="T1430" s="356"/>
      <c r="U1430" s="372"/>
      <c r="V1430" s="372"/>
      <c r="W1430" s="372"/>
      <c r="X1430" s="373"/>
      <c r="Y1430" s="348"/>
      <c r="Z1430" s="348"/>
      <c r="AA1430" s="348"/>
    </row>
    <row r="1431" s="331" customFormat="1" ht="17" customHeight="1" spans="1:27">
      <c r="A1431" s="550" t="s">
        <v>4039</v>
      </c>
      <c r="B1431" s="348" t="s">
        <v>31</v>
      </c>
      <c r="C1431" s="348" t="s">
        <v>2716</v>
      </c>
      <c r="D1431" s="349" t="s">
        <v>33</v>
      </c>
      <c r="E1431" s="336">
        <v>43679</v>
      </c>
      <c r="F1431" s="336">
        <v>43645</v>
      </c>
      <c r="G1431" s="336">
        <v>43679</v>
      </c>
      <c r="H1431" s="334" t="s">
        <v>4040</v>
      </c>
      <c r="I1431" s="356" t="s">
        <v>4041</v>
      </c>
      <c r="J1431" s="361" t="s">
        <v>4042</v>
      </c>
      <c r="K1431" s="356">
        <v>1998</v>
      </c>
      <c r="L1431" s="334">
        <v>8025</v>
      </c>
      <c r="M1431" s="362"/>
      <c r="N1431" s="362">
        <f t="shared" si="43"/>
        <v>8025</v>
      </c>
      <c r="O1431" s="356"/>
      <c r="P1431" s="356"/>
      <c r="Q1431" s="356"/>
      <c r="R1431" s="356"/>
      <c r="S1431" s="356"/>
      <c r="T1431" s="356"/>
      <c r="U1431" s="372"/>
      <c r="V1431" s="372"/>
      <c r="W1431" s="372" t="s">
        <v>52</v>
      </c>
      <c r="X1431" s="420"/>
      <c r="Y1431" s="348"/>
      <c r="Z1431" s="348"/>
      <c r="AA1431" s="348"/>
    </row>
    <row r="1432" s="331" customFormat="1" ht="17" customHeight="1" spans="1:27">
      <c r="A1432" s="550" t="s">
        <v>4043</v>
      </c>
      <c r="B1432" s="348" t="s">
        <v>31</v>
      </c>
      <c r="C1432" s="348" t="s">
        <v>251</v>
      </c>
      <c r="D1432" s="349" t="s">
        <v>33</v>
      </c>
      <c r="E1432" s="336">
        <v>43645</v>
      </c>
      <c r="F1432" s="336">
        <v>43643</v>
      </c>
      <c r="G1432" s="350"/>
      <c r="H1432" s="334" t="s">
        <v>4044</v>
      </c>
      <c r="I1432" s="356">
        <v>13524680801</v>
      </c>
      <c r="J1432" s="361" t="s">
        <v>4045</v>
      </c>
      <c r="K1432" s="356">
        <v>1000</v>
      </c>
      <c r="L1432" s="362"/>
      <c r="M1432" s="362"/>
      <c r="N1432" s="362">
        <f t="shared" si="43"/>
        <v>0</v>
      </c>
      <c r="O1432" s="356"/>
      <c r="P1432" s="356"/>
      <c r="Q1432" s="356"/>
      <c r="R1432" s="366" t="s">
        <v>52</v>
      </c>
      <c r="S1432" s="356"/>
      <c r="T1432" s="356"/>
      <c r="U1432" s="372"/>
      <c r="V1432" s="372"/>
      <c r="W1432" s="372"/>
      <c r="X1432" s="373"/>
      <c r="Y1432" s="348"/>
      <c r="Z1432" s="348"/>
      <c r="AA1432" s="348"/>
    </row>
    <row r="1433" s="331" customFormat="1" ht="17" customHeight="1" spans="1:27">
      <c r="A1433" s="348">
        <v>2025484</v>
      </c>
      <c r="B1433" s="348" t="s">
        <v>58</v>
      </c>
      <c r="C1433" s="348" t="s">
        <v>342</v>
      </c>
      <c r="D1433" s="352" t="s">
        <v>343</v>
      </c>
      <c r="E1433" s="336">
        <v>43555</v>
      </c>
      <c r="F1433" s="336">
        <v>43554</v>
      </c>
      <c r="G1433" s="350"/>
      <c r="H1433" s="334" t="s">
        <v>1899</v>
      </c>
      <c r="I1433" s="356">
        <v>18717987257</v>
      </c>
      <c r="J1433" s="361" t="s">
        <v>4046</v>
      </c>
      <c r="K1433" s="356">
        <v>1000</v>
      </c>
      <c r="L1433" s="362"/>
      <c r="M1433" s="362"/>
      <c r="N1433" s="362">
        <f t="shared" si="43"/>
        <v>0</v>
      </c>
      <c r="O1433" s="356"/>
      <c r="P1433" s="356"/>
      <c r="Q1433" s="356"/>
      <c r="R1433" s="356"/>
      <c r="S1433" s="356"/>
      <c r="T1433" s="356"/>
      <c r="U1433" s="372"/>
      <c r="V1433" s="372"/>
      <c r="W1433" s="372"/>
      <c r="X1433" s="373"/>
      <c r="Y1433" s="348"/>
      <c r="Z1433" s="348" t="s">
        <v>836</v>
      </c>
      <c r="AA1433" s="348"/>
    </row>
    <row r="1434" s="331" customFormat="1" ht="17" customHeight="1" spans="1:27">
      <c r="A1434" s="550" t="s">
        <v>4047</v>
      </c>
      <c r="B1434" s="348" t="s">
        <v>123</v>
      </c>
      <c r="C1434" s="348" t="s">
        <v>2301</v>
      </c>
      <c r="D1434" s="349" t="s">
        <v>125</v>
      </c>
      <c r="E1434" s="336">
        <v>43645</v>
      </c>
      <c r="F1434" s="336">
        <v>43645</v>
      </c>
      <c r="G1434" s="336">
        <v>43666</v>
      </c>
      <c r="H1434" s="334" t="s">
        <v>4048</v>
      </c>
      <c r="I1434" s="356">
        <v>13817347457</v>
      </c>
      <c r="J1434" s="361" t="s">
        <v>4049</v>
      </c>
      <c r="K1434" s="356">
        <v>1000</v>
      </c>
      <c r="L1434" s="334">
        <v>10250</v>
      </c>
      <c r="M1434" s="334">
        <v>736</v>
      </c>
      <c r="N1434" s="362">
        <f t="shared" si="43"/>
        <v>10986</v>
      </c>
      <c r="O1434" s="356"/>
      <c r="P1434" s="356"/>
      <c r="Q1434" s="356"/>
      <c r="R1434" s="356"/>
      <c r="S1434" s="356"/>
      <c r="T1434" s="356"/>
      <c r="U1434" s="372"/>
      <c r="V1434" s="372"/>
      <c r="W1434" s="372"/>
      <c r="X1434" s="373"/>
      <c r="Y1434" s="348"/>
      <c r="Z1434" s="348"/>
      <c r="AA1434" s="348"/>
    </row>
    <row r="1435" s="331" customFormat="1" ht="17" customHeight="1" spans="1:27">
      <c r="A1435" s="348">
        <v>2027595</v>
      </c>
      <c r="B1435" s="348" t="s">
        <v>73</v>
      </c>
      <c r="C1435" s="348" t="s">
        <v>178</v>
      </c>
      <c r="D1435" s="349" t="s">
        <v>143</v>
      </c>
      <c r="E1435" s="336">
        <v>43706</v>
      </c>
      <c r="F1435" s="336">
        <v>43645</v>
      </c>
      <c r="G1435" s="336">
        <v>43705</v>
      </c>
      <c r="H1435" s="334" t="s">
        <v>4050</v>
      </c>
      <c r="I1435" s="356">
        <v>13321813230</v>
      </c>
      <c r="J1435" s="361" t="s">
        <v>4051</v>
      </c>
      <c r="K1435" s="356">
        <v>1000</v>
      </c>
      <c r="L1435" s="334">
        <v>23287</v>
      </c>
      <c r="M1435" s="362"/>
      <c r="N1435" s="362">
        <f t="shared" si="43"/>
        <v>23287</v>
      </c>
      <c r="O1435" s="366" t="s">
        <v>52</v>
      </c>
      <c r="P1435" s="356"/>
      <c r="Q1435" s="356"/>
      <c r="R1435" s="356"/>
      <c r="S1435" s="356"/>
      <c r="T1435" s="356"/>
      <c r="U1435" s="372"/>
      <c r="V1435" s="372"/>
      <c r="W1435" s="372"/>
      <c r="X1435" s="373"/>
      <c r="Y1435" s="348"/>
      <c r="Z1435" s="348" t="s">
        <v>79</v>
      </c>
      <c r="AA1435" s="348"/>
    </row>
    <row r="1436" s="331" customFormat="1" ht="17" customHeight="1" spans="1:27">
      <c r="A1436" s="550" t="s">
        <v>4052</v>
      </c>
      <c r="B1436" s="348" t="s">
        <v>153</v>
      </c>
      <c r="C1436" s="348" t="s">
        <v>302</v>
      </c>
      <c r="D1436" s="349" t="s">
        <v>155</v>
      </c>
      <c r="E1436" s="336">
        <v>43646</v>
      </c>
      <c r="F1436" s="336">
        <v>43645</v>
      </c>
      <c r="G1436" s="336">
        <v>43673</v>
      </c>
      <c r="H1436" s="334" t="s">
        <v>4053</v>
      </c>
      <c r="I1436" s="356">
        <v>139015292</v>
      </c>
      <c r="J1436" s="361" t="s">
        <v>4054</v>
      </c>
      <c r="K1436" s="356">
        <v>36000</v>
      </c>
      <c r="L1436" s="334">
        <v>49532</v>
      </c>
      <c r="M1436" s="362"/>
      <c r="N1436" s="362">
        <f t="shared" si="43"/>
        <v>49532</v>
      </c>
      <c r="O1436" s="356"/>
      <c r="P1436" s="356"/>
      <c r="Q1436" s="356" t="s">
        <v>52</v>
      </c>
      <c r="R1436" s="356"/>
      <c r="S1436" s="356"/>
      <c r="T1436" s="356"/>
      <c r="U1436" s="372"/>
      <c r="V1436" s="372"/>
      <c r="W1436" s="372"/>
      <c r="X1436" s="373"/>
      <c r="Y1436" s="348" t="s">
        <v>274</v>
      </c>
      <c r="Z1436" s="348"/>
      <c r="AA1436" s="348"/>
    </row>
    <row r="1437" s="331" customFormat="1" ht="17" customHeight="1" spans="1:27">
      <c r="A1437" s="348">
        <v>2024325</v>
      </c>
      <c r="B1437" s="348" t="s">
        <v>137</v>
      </c>
      <c r="C1437" s="348" t="s">
        <v>480</v>
      </c>
      <c r="D1437" s="349" t="s">
        <v>139</v>
      </c>
      <c r="E1437" s="336">
        <v>43645</v>
      </c>
      <c r="F1437" s="336">
        <v>43645</v>
      </c>
      <c r="G1437" s="336">
        <v>43673</v>
      </c>
      <c r="H1437" s="334" t="s">
        <v>4055</v>
      </c>
      <c r="I1437" s="356">
        <v>13381887727</v>
      </c>
      <c r="J1437" s="361" t="s">
        <v>4056</v>
      </c>
      <c r="K1437" s="356">
        <v>5000</v>
      </c>
      <c r="L1437" s="334">
        <v>8428</v>
      </c>
      <c r="M1437" s="362"/>
      <c r="N1437" s="362">
        <f t="shared" si="43"/>
        <v>8428</v>
      </c>
      <c r="O1437" s="356"/>
      <c r="P1437" s="356"/>
      <c r="Q1437" s="356"/>
      <c r="R1437" s="356">
        <v>1</v>
      </c>
      <c r="S1437" s="356"/>
      <c r="T1437" s="356"/>
      <c r="U1437" s="372"/>
      <c r="V1437" s="372"/>
      <c r="W1437" s="372"/>
      <c r="X1437" s="373"/>
      <c r="Y1437" s="348"/>
      <c r="Z1437" s="348"/>
      <c r="AA1437" s="348"/>
    </row>
    <row r="1438" s="331" customFormat="1" ht="17" customHeight="1" spans="1:27">
      <c r="A1438" s="550" t="s">
        <v>4057</v>
      </c>
      <c r="B1438" s="348" t="s">
        <v>42</v>
      </c>
      <c r="C1438" s="348" t="s">
        <v>43</v>
      </c>
      <c r="D1438" s="349" t="s">
        <v>125</v>
      </c>
      <c r="E1438" s="336">
        <v>43645</v>
      </c>
      <c r="F1438" s="336">
        <v>43645</v>
      </c>
      <c r="G1438" s="336">
        <v>43675</v>
      </c>
      <c r="H1438" s="334" t="s">
        <v>4058</v>
      </c>
      <c r="I1438" s="356">
        <v>15721466683</v>
      </c>
      <c r="J1438" s="361" t="s">
        <v>4059</v>
      </c>
      <c r="K1438" s="356">
        <v>6000</v>
      </c>
      <c r="L1438" s="334">
        <v>12896</v>
      </c>
      <c r="M1438" s="334">
        <v>1104</v>
      </c>
      <c r="N1438" s="362">
        <f t="shared" si="43"/>
        <v>14000</v>
      </c>
      <c r="O1438" s="391" t="s">
        <v>4060</v>
      </c>
      <c r="P1438" s="356"/>
      <c r="Q1438" s="356"/>
      <c r="R1438" s="356"/>
      <c r="S1438" s="356"/>
      <c r="T1438" s="356"/>
      <c r="U1438" s="372"/>
      <c r="V1438" s="372"/>
      <c r="W1438" s="372"/>
      <c r="X1438" s="373"/>
      <c r="Y1438" s="348"/>
      <c r="Z1438" s="348"/>
      <c r="AA1438" s="348"/>
    </row>
    <row r="1439" s="331" customFormat="1" ht="17" customHeight="1" spans="1:27">
      <c r="A1439" s="348"/>
      <c r="B1439" s="348" t="s">
        <v>130</v>
      </c>
      <c r="C1439" s="348" t="s">
        <v>722</v>
      </c>
      <c r="D1439" s="349" t="s">
        <v>182</v>
      </c>
      <c r="E1439" s="336">
        <v>43577</v>
      </c>
      <c r="F1439" s="336">
        <v>43576</v>
      </c>
      <c r="G1439" s="350"/>
      <c r="H1439" s="334" t="s">
        <v>3556</v>
      </c>
      <c r="I1439" s="356">
        <v>18721452178</v>
      </c>
      <c r="J1439" s="361" t="s">
        <v>4061</v>
      </c>
      <c r="K1439" s="356">
        <v>3000</v>
      </c>
      <c r="L1439" s="362"/>
      <c r="M1439" s="362"/>
      <c r="N1439" s="362">
        <f t="shared" si="43"/>
        <v>0</v>
      </c>
      <c r="O1439" s="356"/>
      <c r="P1439" s="356"/>
      <c r="Q1439" s="356"/>
      <c r="R1439" s="356"/>
      <c r="S1439" s="356"/>
      <c r="T1439" s="356"/>
      <c r="U1439" s="372" t="s">
        <v>136</v>
      </c>
      <c r="V1439" s="372"/>
      <c r="W1439" s="372"/>
      <c r="X1439" s="373"/>
      <c r="Y1439" s="348"/>
      <c r="Z1439" s="348"/>
      <c r="AA1439" s="348"/>
    </row>
    <row r="1440" s="331" customFormat="1" ht="17" customHeight="1" spans="1:27">
      <c r="A1440" s="550" t="s">
        <v>4062</v>
      </c>
      <c r="B1440" s="348" t="s">
        <v>66</v>
      </c>
      <c r="C1440" s="348" t="s">
        <v>119</v>
      </c>
      <c r="D1440" s="349" t="s">
        <v>68</v>
      </c>
      <c r="E1440" s="336">
        <v>43645</v>
      </c>
      <c r="F1440" s="336">
        <v>43645</v>
      </c>
      <c r="G1440" s="336">
        <v>43666</v>
      </c>
      <c r="H1440" s="334" t="s">
        <v>4063</v>
      </c>
      <c r="I1440" s="356">
        <v>18918413198</v>
      </c>
      <c r="J1440" s="361" t="s">
        <v>4064</v>
      </c>
      <c r="K1440" s="356">
        <v>10000</v>
      </c>
      <c r="L1440" s="334">
        <v>4114</v>
      </c>
      <c r="M1440" s="334">
        <v>2686</v>
      </c>
      <c r="N1440" s="362">
        <f t="shared" si="43"/>
        <v>6800</v>
      </c>
      <c r="O1440" s="356"/>
      <c r="P1440" s="356"/>
      <c r="Q1440" s="356"/>
      <c r="R1440" s="356"/>
      <c r="S1440" s="356"/>
      <c r="T1440" s="356"/>
      <c r="U1440" s="372"/>
      <c r="V1440" s="372"/>
      <c r="W1440" s="372"/>
      <c r="X1440" s="373"/>
      <c r="Y1440" s="348" t="s">
        <v>274</v>
      </c>
      <c r="Z1440" s="348"/>
      <c r="AA1440" s="348"/>
    </row>
    <row r="1441" s="331" customFormat="1" ht="17" customHeight="1" spans="1:27">
      <c r="A1441" s="550" t="s">
        <v>4065</v>
      </c>
      <c r="B1441" s="348" t="s">
        <v>185</v>
      </c>
      <c r="C1441" s="348" t="s">
        <v>1133</v>
      </c>
      <c r="D1441" s="349" t="s">
        <v>44</v>
      </c>
      <c r="E1441" s="336">
        <v>43691</v>
      </c>
      <c r="F1441" s="336">
        <v>43645</v>
      </c>
      <c r="G1441" s="350">
        <v>43687</v>
      </c>
      <c r="H1441" s="334" t="s">
        <v>4066</v>
      </c>
      <c r="I1441" s="356">
        <v>13795396076</v>
      </c>
      <c r="J1441" s="361" t="s">
        <v>4067</v>
      </c>
      <c r="K1441" s="356">
        <v>3000</v>
      </c>
      <c r="L1441" s="334">
        <v>6378</v>
      </c>
      <c r="M1441" s="362"/>
      <c r="N1441" s="362">
        <f t="shared" si="43"/>
        <v>6378</v>
      </c>
      <c r="O1441" s="356"/>
      <c r="P1441" s="356"/>
      <c r="Q1441" s="366" t="s">
        <v>52</v>
      </c>
      <c r="R1441" s="366"/>
      <c r="S1441" s="356"/>
      <c r="T1441" s="356"/>
      <c r="U1441" s="372"/>
      <c r="V1441" s="372"/>
      <c r="W1441" s="372"/>
      <c r="X1441" s="373"/>
      <c r="Y1441" s="348"/>
      <c r="Z1441" s="348"/>
      <c r="AA1441" s="348"/>
    </row>
    <row r="1442" s="331" customFormat="1" ht="17" customHeight="1" spans="1:27">
      <c r="A1442" s="550" t="s">
        <v>4068</v>
      </c>
      <c r="B1442" s="348" t="s">
        <v>31</v>
      </c>
      <c r="C1442" s="348" t="s">
        <v>377</v>
      </c>
      <c r="D1442" s="349" t="s">
        <v>221</v>
      </c>
      <c r="E1442" s="336">
        <v>43704</v>
      </c>
      <c r="F1442" s="336">
        <v>43645</v>
      </c>
      <c r="G1442" s="336">
        <v>43704</v>
      </c>
      <c r="H1442" s="334" t="s">
        <v>4069</v>
      </c>
      <c r="I1442" s="356">
        <v>13816073112</v>
      </c>
      <c r="J1442" s="361" t="s">
        <v>4070</v>
      </c>
      <c r="K1442" s="356">
        <v>3000</v>
      </c>
      <c r="L1442" s="334">
        <v>9196</v>
      </c>
      <c r="M1442" s="362"/>
      <c r="N1442" s="362">
        <f t="shared" si="43"/>
        <v>9196</v>
      </c>
      <c r="O1442" s="356"/>
      <c r="P1442" s="356"/>
      <c r="Q1442" s="366"/>
      <c r="R1442" s="356"/>
      <c r="S1442" s="356"/>
      <c r="T1442" s="356"/>
      <c r="U1442" s="372"/>
      <c r="V1442" s="372"/>
      <c r="W1442" s="372"/>
      <c r="X1442" s="373"/>
      <c r="Y1442" s="348"/>
      <c r="Z1442" s="348"/>
      <c r="AA1442" s="348"/>
    </row>
    <row r="1443" s="331" customFormat="1" ht="17" customHeight="1" spans="1:27">
      <c r="A1443" s="550" t="s">
        <v>4071</v>
      </c>
      <c r="B1443" s="348" t="s">
        <v>169</v>
      </c>
      <c r="C1443" s="348" t="s">
        <v>170</v>
      </c>
      <c r="D1443" s="352" t="s">
        <v>171</v>
      </c>
      <c r="E1443" s="336">
        <v>43587</v>
      </c>
      <c r="F1443" s="336">
        <v>43586</v>
      </c>
      <c r="G1443" s="350"/>
      <c r="H1443" s="334" t="s">
        <v>1641</v>
      </c>
      <c r="I1443" s="356">
        <v>18907144586</v>
      </c>
      <c r="J1443" s="361" t="s">
        <v>4072</v>
      </c>
      <c r="K1443" s="356">
        <v>1000</v>
      </c>
      <c r="L1443" s="362"/>
      <c r="M1443" s="362"/>
      <c r="N1443" s="362">
        <f t="shared" ref="N1443:N1482" si="44">L1443+M1443</f>
        <v>0</v>
      </c>
      <c r="O1443" s="356" t="s">
        <v>19</v>
      </c>
      <c r="P1443" s="356"/>
      <c r="Q1443" s="356"/>
      <c r="R1443" s="356"/>
      <c r="S1443" s="356"/>
      <c r="T1443" s="356"/>
      <c r="U1443" s="356" t="s">
        <v>12</v>
      </c>
      <c r="V1443" s="372"/>
      <c r="W1443" s="372"/>
      <c r="X1443" s="373"/>
      <c r="Y1443" s="348" t="s">
        <v>1223</v>
      </c>
      <c r="Z1443" s="348"/>
      <c r="AA1443" s="348"/>
    </row>
    <row r="1444" s="331" customFormat="1" ht="17" customHeight="1" spans="1:27">
      <c r="A1444" s="348">
        <v>2066608</v>
      </c>
      <c r="B1444" s="348" t="s">
        <v>335</v>
      </c>
      <c r="C1444" s="348" t="s">
        <v>615</v>
      </c>
      <c r="D1444" s="349" t="s">
        <v>337</v>
      </c>
      <c r="E1444" s="336">
        <v>43722</v>
      </c>
      <c r="F1444" s="336">
        <v>43645</v>
      </c>
      <c r="G1444" s="336">
        <v>43720</v>
      </c>
      <c r="H1444" s="334" t="s">
        <v>4073</v>
      </c>
      <c r="I1444" s="356">
        <v>13681797672</v>
      </c>
      <c r="J1444" s="361" t="s">
        <v>4074</v>
      </c>
      <c r="K1444" s="356">
        <v>18000</v>
      </c>
      <c r="L1444" s="334">
        <v>17785</v>
      </c>
      <c r="M1444" s="362"/>
      <c r="N1444" s="362">
        <f t="shared" si="44"/>
        <v>17785</v>
      </c>
      <c r="O1444" s="356"/>
      <c r="P1444" s="366" t="s">
        <v>52</v>
      </c>
      <c r="Q1444" s="356"/>
      <c r="R1444" s="356"/>
      <c r="S1444" s="356"/>
      <c r="T1444" s="356"/>
      <c r="U1444" s="372"/>
      <c r="V1444" s="372"/>
      <c r="W1444" s="372"/>
      <c r="X1444" s="373">
        <v>1</v>
      </c>
      <c r="Y1444" s="348"/>
      <c r="Z1444" s="348"/>
      <c r="AA1444" s="348"/>
    </row>
    <row r="1445" s="331" customFormat="1" ht="17" customHeight="1" spans="1:27">
      <c r="A1445" s="348"/>
      <c r="B1445" s="348" t="s">
        <v>185</v>
      </c>
      <c r="C1445" s="348" t="s">
        <v>186</v>
      </c>
      <c r="D1445" s="349" t="s">
        <v>187</v>
      </c>
      <c r="E1445" s="336">
        <v>43645</v>
      </c>
      <c r="F1445" s="336">
        <v>43644</v>
      </c>
      <c r="G1445" s="336">
        <v>43674</v>
      </c>
      <c r="H1445" s="334" t="s">
        <v>4075</v>
      </c>
      <c r="I1445" s="356">
        <v>18679571292</v>
      </c>
      <c r="J1445" s="361" t="s">
        <v>4076</v>
      </c>
      <c r="K1445" s="356">
        <v>1000</v>
      </c>
      <c r="L1445" s="334">
        <v>6663</v>
      </c>
      <c r="M1445" s="334">
        <v>1104</v>
      </c>
      <c r="N1445" s="362">
        <f t="shared" si="44"/>
        <v>7767</v>
      </c>
      <c r="O1445" s="356" t="s">
        <v>52</v>
      </c>
      <c r="P1445" s="356"/>
      <c r="Q1445" s="356"/>
      <c r="R1445" s="356"/>
      <c r="S1445" s="356"/>
      <c r="T1445" s="356"/>
      <c r="U1445" s="372"/>
      <c r="V1445" s="372"/>
      <c r="W1445" s="372"/>
      <c r="X1445" s="373"/>
      <c r="Y1445" s="348" t="s">
        <v>3672</v>
      </c>
      <c r="Z1445" s="348"/>
      <c r="AA1445" s="348"/>
    </row>
    <row r="1446" s="331" customFormat="1" ht="17" customHeight="1" spans="1:27">
      <c r="A1446" s="550" t="s">
        <v>4077</v>
      </c>
      <c r="B1446" s="348" t="s">
        <v>185</v>
      </c>
      <c r="C1446" s="348" t="s">
        <v>186</v>
      </c>
      <c r="D1446" s="349" t="s">
        <v>44</v>
      </c>
      <c r="E1446" s="336">
        <v>43645</v>
      </c>
      <c r="F1446" s="336">
        <v>43645</v>
      </c>
      <c r="G1446" s="336">
        <v>43648</v>
      </c>
      <c r="H1446" s="334" t="s">
        <v>4078</v>
      </c>
      <c r="I1446" s="356">
        <v>18917277392</v>
      </c>
      <c r="J1446" s="361" t="s">
        <v>4079</v>
      </c>
      <c r="K1446" s="356">
        <v>1000</v>
      </c>
      <c r="L1446" s="334">
        <v>3263</v>
      </c>
      <c r="M1446" s="334">
        <v>736</v>
      </c>
      <c r="N1446" s="362">
        <f t="shared" si="44"/>
        <v>3999</v>
      </c>
      <c r="O1446" s="356"/>
      <c r="P1446" s="356"/>
      <c r="Q1446" s="356"/>
      <c r="R1446" s="356"/>
      <c r="S1446" s="356"/>
      <c r="T1446" s="356"/>
      <c r="U1446" s="372"/>
      <c r="V1446" s="372"/>
      <c r="W1446" s="372"/>
      <c r="X1446" s="373"/>
      <c r="Y1446" s="348" t="s">
        <v>3672</v>
      </c>
      <c r="Z1446" s="348"/>
      <c r="AA1446" s="348"/>
    </row>
    <row r="1447" s="331" customFormat="1" ht="17" customHeight="1" spans="1:27">
      <c r="A1447" s="550" t="s">
        <v>4080</v>
      </c>
      <c r="B1447" s="348" t="s">
        <v>205</v>
      </c>
      <c r="C1447" s="348" t="s">
        <v>1467</v>
      </c>
      <c r="D1447" s="349" t="s">
        <v>89</v>
      </c>
      <c r="E1447" s="336">
        <v>43645</v>
      </c>
      <c r="F1447" s="336">
        <v>43645</v>
      </c>
      <c r="G1447" s="336">
        <v>43674</v>
      </c>
      <c r="H1447" s="334" t="s">
        <v>4081</v>
      </c>
      <c r="I1447" s="356">
        <v>13301711071</v>
      </c>
      <c r="J1447" s="361" t="s">
        <v>4082</v>
      </c>
      <c r="K1447" s="356">
        <v>15000</v>
      </c>
      <c r="L1447" s="334">
        <v>25500</v>
      </c>
      <c r="M1447" s="362"/>
      <c r="N1447" s="362">
        <f t="shared" si="44"/>
        <v>25500</v>
      </c>
      <c r="O1447" s="356"/>
      <c r="P1447" s="356" t="s">
        <v>20</v>
      </c>
      <c r="Q1447" s="356"/>
      <c r="R1447" s="356"/>
      <c r="S1447" s="356"/>
      <c r="T1447" s="356"/>
      <c r="U1447" s="372"/>
      <c r="V1447" s="372"/>
      <c r="W1447" s="372"/>
      <c r="X1447" s="373">
        <v>1</v>
      </c>
      <c r="Y1447" s="348" t="s">
        <v>274</v>
      </c>
      <c r="Z1447" s="348"/>
      <c r="AA1447" s="348"/>
    </row>
    <row r="1448" s="331" customFormat="1" ht="17" customHeight="1" spans="1:27">
      <c r="A1448" s="550" t="s">
        <v>4083</v>
      </c>
      <c r="B1448" s="348" t="s">
        <v>137</v>
      </c>
      <c r="C1448" s="348" t="s">
        <v>480</v>
      </c>
      <c r="D1448" s="349" t="s">
        <v>139</v>
      </c>
      <c r="E1448" s="336">
        <v>43750</v>
      </c>
      <c r="F1448" s="336">
        <v>43645</v>
      </c>
      <c r="G1448" s="336">
        <v>43750</v>
      </c>
      <c r="H1448" s="334" t="s">
        <v>4084</v>
      </c>
      <c r="I1448" s="356">
        <v>18118019922</v>
      </c>
      <c r="J1448" s="361" t="s">
        <v>4085</v>
      </c>
      <c r="K1448" s="356">
        <v>1000</v>
      </c>
      <c r="L1448" s="334">
        <v>11383</v>
      </c>
      <c r="M1448" s="362"/>
      <c r="N1448" s="362">
        <f t="shared" si="44"/>
        <v>11383</v>
      </c>
      <c r="O1448" s="356"/>
      <c r="P1448" s="356"/>
      <c r="Q1448" s="356"/>
      <c r="R1448" s="356">
        <v>1</v>
      </c>
      <c r="S1448" s="356"/>
      <c r="T1448" s="356"/>
      <c r="U1448" s="372"/>
      <c r="V1448" s="372"/>
      <c r="W1448" s="372"/>
      <c r="X1448" s="373"/>
      <c r="Y1448" s="348" t="s">
        <v>274</v>
      </c>
      <c r="Z1448" s="348"/>
      <c r="AA1448" s="348"/>
    </row>
    <row r="1449" s="331" customFormat="1" ht="17" customHeight="1" spans="1:27">
      <c r="A1449" s="348">
        <v>2025737</v>
      </c>
      <c r="B1449" s="348" t="s">
        <v>35</v>
      </c>
      <c r="C1449" s="348" t="s">
        <v>392</v>
      </c>
      <c r="D1449" s="349" t="s">
        <v>37</v>
      </c>
      <c r="E1449" s="336">
        <v>43531</v>
      </c>
      <c r="F1449" s="336">
        <v>43529</v>
      </c>
      <c r="G1449" s="350"/>
      <c r="H1449" s="351" t="s">
        <v>212</v>
      </c>
      <c r="I1449" s="356">
        <v>18916064907</v>
      </c>
      <c r="J1449" s="361" t="s">
        <v>4086</v>
      </c>
      <c r="K1449" s="356">
        <v>1000</v>
      </c>
      <c r="L1449" s="419"/>
      <c r="M1449" s="419"/>
      <c r="N1449" s="362">
        <f t="shared" si="44"/>
        <v>0</v>
      </c>
      <c r="O1449" s="356" t="s">
        <v>52</v>
      </c>
      <c r="P1449" s="356"/>
      <c r="Q1449" s="356"/>
      <c r="R1449" s="356"/>
      <c r="S1449" s="356"/>
      <c r="T1449" s="356"/>
      <c r="U1449" s="372" t="s">
        <v>40</v>
      </c>
      <c r="V1449" s="372"/>
      <c r="W1449" s="372"/>
      <c r="X1449" s="373"/>
      <c r="Y1449" s="348" t="s">
        <v>418</v>
      </c>
      <c r="Z1449" s="348"/>
      <c r="AA1449" s="348"/>
    </row>
    <row r="1450" s="331" customFormat="1" ht="17" customHeight="1" spans="1:27">
      <c r="A1450" s="550" t="s">
        <v>4087</v>
      </c>
      <c r="B1450" s="348" t="s">
        <v>66</v>
      </c>
      <c r="C1450" s="348" t="s">
        <v>1749</v>
      </c>
      <c r="D1450" s="349" t="s">
        <v>68</v>
      </c>
      <c r="E1450" s="336">
        <v>43610</v>
      </c>
      <c r="F1450" s="336">
        <v>43608</v>
      </c>
      <c r="G1450" s="336">
        <v>43670</v>
      </c>
      <c r="H1450" s="334" t="s">
        <v>4088</v>
      </c>
      <c r="I1450" s="356">
        <v>18917034263</v>
      </c>
      <c r="J1450" s="361" t="s">
        <v>4089</v>
      </c>
      <c r="K1450" s="356">
        <f>5000+500</f>
        <v>5500</v>
      </c>
      <c r="L1450" s="334">
        <v>7554</v>
      </c>
      <c r="M1450" s="362"/>
      <c r="N1450" s="362">
        <f t="shared" si="44"/>
        <v>7554</v>
      </c>
      <c r="O1450" s="356"/>
      <c r="P1450" s="356"/>
      <c r="Q1450" s="356"/>
      <c r="R1450" s="356"/>
      <c r="S1450" s="356"/>
      <c r="T1450" s="356"/>
      <c r="U1450" s="372"/>
      <c r="V1450" s="372" t="s">
        <v>2327</v>
      </c>
      <c r="W1450" s="372"/>
      <c r="X1450" s="373"/>
      <c r="Y1450" s="348" t="s">
        <v>2149</v>
      </c>
      <c r="Z1450" s="348"/>
      <c r="AA1450" s="348" t="s">
        <v>4090</v>
      </c>
    </row>
    <row r="1451" s="331" customFormat="1" ht="17" customHeight="1" spans="1:27">
      <c r="A1451" s="348"/>
      <c r="B1451" s="348" t="s">
        <v>58</v>
      </c>
      <c r="C1451" s="348" t="s">
        <v>347</v>
      </c>
      <c r="D1451" s="349" t="s">
        <v>343</v>
      </c>
      <c r="E1451" s="336">
        <v>43670</v>
      </c>
      <c r="F1451" s="336">
        <v>43645</v>
      </c>
      <c r="G1451" s="336">
        <v>43669</v>
      </c>
      <c r="H1451" s="334" t="s">
        <v>4091</v>
      </c>
      <c r="I1451" s="356">
        <v>13564661514</v>
      </c>
      <c r="J1451" s="361" t="s">
        <v>4092</v>
      </c>
      <c r="K1451" s="356">
        <v>15000</v>
      </c>
      <c r="L1451" s="334">
        <v>42582</v>
      </c>
      <c r="M1451" s="362"/>
      <c r="N1451" s="362">
        <f t="shared" si="44"/>
        <v>42582</v>
      </c>
      <c r="O1451" s="356"/>
      <c r="P1451" s="356"/>
      <c r="Q1451" s="356"/>
      <c r="R1451" s="356"/>
      <c r="S1451" s="356"/>
      <c r="T1451" s="356"/>
      <c r="U1451" s="372"/>
      <c r="V1451" s="372"/>
      <c r="W1451" s="372"/>
      <c r="X1451" s="373"/>
      <c r="Y1451" s="348"/>
      <c r="Z1451" s="348"/>
      <c r="AA1451" s="348" t="s">
        <v>3942</v>
      </c>
    </row>
    <row r="1452" s="331" customFormat="1" ht="17" customHeight="1" spans="1:27">
      <c r="A1452" s="348"/>
      <c r="B1452" s="348" t="s">
        <v>58</v>
      </c>
      <c r="C1452" s="348" t="s">
        <v>347</v>
      </c>
      <c r="D1452" s="349" t="s">
        <v>343</v>
      </c>
      <c r="E1452" s="336">
        <v>43690</v>
      </c>
      <c r="F1452" s="336">
        <v>43645</v>
      </c>
      <c r="G1452" s="336">
        <v>43689</v>
      </c>
      <c r="H1452" s="334" t="s">
        <v>4093</v>
      </c>
      <c r="I1452" s="356" t="s">
        <v>4094</v>
      </c>
      <c r="J1452" s="361" t="s">
        <v>4095</v>
      </c>
      <c r="K1452" s="356">
        <v>15000</v>
      </c>
      <c r="L1452" s="334">
        <v>20519</v>
      </c>
      <c r="M1452" s="362"/>
      <c r="N1452" s="362">
        <f t="shared" si="44"/>
        <v>20519</v>
      </c>
      <c r="O1452" s="356"/>
      <c r="P1452" s="356"/>
      <c r="Q1452" s="366" t="s">
        <v>52</v>
      </c>
      <c r="R1452" s="356"/>
      <c r="S1452" s="356"/>
      <c r="T1452" s="356"/>
      <c r="U1452" s="372"/>
      <c r="V1452" s="372"/>
      <c r="W1452" s="372"/>
      <c r="X1452" s="373"/>
      <c r="Y1452" s="348"/>
      <c r="Z1452" s="348" t="s">
        <v>3619</v>
      </c>
      <c r="AA1452" s="348"/>
    </row>
    <row r="1453" s="331" customFormat="1" ht="17" customHeight="1" spans="1:27">
      <c r="A1453" s="348">
        <v>2067314</v>
      </c>
      <c r="B1453" s="348" t="s">
        <v>236</v>
      </c>
      <c r="C1453" s="348" t="s">
        <v>703</v>
      </c>
      <c r="D1453" s="349" t="s">
        <v>143</v>
      </c>
      <c r="E1453" s="336">
        <v>43646</v>
      </c>
      <c r="F1453" s="336">
        <v>43645</v>
      </c>
      <c r="G1453" s="336">
        <v>43660</v>
      </c>
      <c r="H1453" s="334" t="s">
        <v>4096</v>
      </c>
      <c r="I1453" s="356">
        <v>17717046476</v>
      </c>
      <c r="J1453" s="361" t="s">
        <v>4097</v>
      </c>
      <c r="K1453" s="356">
        <v>2000</v>
      </c>
      <c r="L1453" s="334">
        <v>18373</v>
      </c>
      <c r="M1453" s="334">
        <f>268+536</f>
        <v>804</v>
      </c>
      <c r="N1453" s="362">
        <f t="shared" si="44"/>
        <v>19177</v>
      </c>
      <c r="O1453" s="356"/>
      <c r="P1453" s="356"/>
      <c r="Q1453" s="356"/>
      <c r="R1453" s="356"/>
      <c r="S1453" s="356"/>
      <c r="T1453" s="356"/>
      <c r="U1453" s="372"/>
      <c r="V1453" s="372"/>
      <c r="W1453" s="372"/>
      <c r="X1453" s="373"/>
      <c r="Y1453" s="348" t="s">
        <v>274</v>
      </c>
      <c r="Z1453" s="348"/>
      <c r="AA1453" s="348"/>
    </row>
    <row r="1454" s="331" customFormat="1" ht="17" customHeight="1" spans="1:28">
      <c r="A1454" s="550" t="s">
        <v>4098</v>
      </c>
      <c r="B1454" s="348" t="s">
        <v>123</v>
      </c>
      <c r="C1454" s="348" t="s">
        <v>124</v>
      </c>
      <c r="D1454" s="349" t="s">
        <v>125</v>
      </c>
      <c r="E1454" s="336"/>
      <c r="F1454" s="336">
        <v>43590</v>
      </c>
      <c r="G1454" s="350"/>
      <c r="H1454" s="334" t="s">
        <v>401</v>
      </c>
      <c r="I1454" s="356">
        <v>18917340693</v>
      </c>
      <c r="J1454" s="361" t="s">
        <v>4099</v>
      </c>
      <c r="K1454" s="356">
        <v>300</v>
      </c>
      <c r="L1454" s="362"/>
      <c r="M1454" s="362"/>
      <c r="N1454" s="362">
        <f t="shared" si="44"/>
        <v>0</v>
      </c>
      <c r="O1454" s="356" t="s">
        <v>52</v>
      </c>
      <c r="P1454" s="356"/>
      <c r="Q1454" s="356"/>
      <c r="R1454" s="356"/>
      <c r="S1454" s="356"/>
      <c r="T1454" s="356"/>
      <c r="U1454" s="372"/>
      <c r="V1454" s="372"/>
      <c r="W1454" s="372"/>
      <c r="X1454" s="373"/>
      <c r="Y1454" s="348"/>
      <c r="Z1454" s="348"/>
      <c r="AA1454" s="348"/>
      <c r="AB1454" s="331" t="s">
        <v>4100</v>
      </c>
    </row>
    <row r="1455" s="331" customFormat="1" ht="17" customHeight="1" spans="1:27">
      <c r="A1455" s="550" t="s">
        <v>4101</v>
      </c>
      <c r="B1455" s="348" t="s">
        <v>31</v>
      </c>
      <c r="C1455" s="348" t="s">
        <v>377</v>
      </c>
      <c r="D1455" s="349" t="s">
        <v>221</v>
      </c>
      <c r="E1455" s="336">
        <v>43646</v>
      </c>
      <c r="F1455" s="336">
        <v>43646</v>
      </c>
      <c r="G1455" s="350"/>
      <c r="H1455" s="334" t="s">
        <v>1179</v>
      </c>
      <c r="I1455" s="356">
        <v>18917375111</v>
      </c>
      <c r="J1455" s="361" t="s">
        <v>4102</v>
      </c>
      <c r="K1455" s="356">
        <v>1000</v>
      </c>
      <c r="L1455" s="362"/>
      <c r="M1455" s="362"/>
      <c r="N1455" s="362">
        <f t="shared" si="44"/>
        <v>0</v>
      </c>
      <c r="O1455" s="356"/>
      <c r="P1455" s="356"/>
      <c r="Q1455" s="356"/>
      <c r="R1455" s="366"/>
      <c r="S1455" s="366" t="s">
        <v>52</v>
      </c>
      <c r="T1455" s="356"/>
      <c r="U1455" s="372"/>
      <c r="V1455" s="372"/>
      <c r="W1455" s="372"/>
      <c r="X1455" s="373">
        <v>1</v>
      </c>
      <c r="Y1455" s="348" t="s">
        <v>3672</v>
      </c>
      <c r="Z1455" s="348"/>
      <c r="AA1455" s="348"/>
    </row>
    <row r="1456" s="331" customFormat="1" ht="17" customHeight="1" spans="1:27">
      <c r="A1456" s="550" t="s">
        <v>4103</v>
      </c>
      <c r="B1456" s="348" t="s">
        <v>35</v>
      </c>
      <c r="C1456" s="348" t="s">
        <v>36</v>
      </c>
      <c r="D1456" s="349" t="s">
        <v>37</v>
      </c>
      <c r="E1456" s="336">
        <v>43696</v>
      </c>
      <c r="F1456" s="336">
        <v>43623</v>
      </c>
      <c r="G1456" s="336">
        <v>43695</v>
      </c>
      <c r="H1456" s="334" t="s">
        <v>4104</v>
      </c>
      <c r="I1456" s="356">
        <v>18917763785</v>
      </c>
      <c r="J1456" s="361" t="s">
        <v>4105</v>
      </c>
      <c r="K1456" s="356">
        <f>4500+8000+1000</f>
        <v>13500</v>
      </c>
      <c r="L1456" s="334">
        <f>23655-1104</f>
        <v>22551</v>
      </c>
      <c r="M1456" s="334">
        <v>1104</v>
      </c>
      <c r="N1456" s="362">
        <f t="shared" si="44"/>
        <v>23655</v>
      </c>
      <c r="O1456" s="356"/>
      <c r="P1456" s="356"/>
      <c r="Q1456" s="356" t="s">
        <v>52</v>
      </c>
      <c r="R1456" s="356"/>
      <c r="S1456" s="356"/>
      <c r="T1456" s="356"/>
      <c r="U1456" s="372"/>
      <c r="V1456" s="372"/>
      <c r="W1456" s="372"/>
      <c r="X1456" s="373">
        <v>1</v>
      </c>
      <c r="Y1456" s="348" t="s">
        <v>2613</v>
      </c>
      <c r="Z1456" s="348"/>
      <c r="AA1456" s="348"/>
    </row>
    <row r="1457" s="331" customFormat="1" ht="17" customHeight="1" spans="1:27">
      <c r="A1457" s="348"/>
      <c r="B1457" s="348" t="s">
        <v>58</v>
      </c>
      <c r="C1457" s="348" t="s">
        <v>342</v>
      </c>
      <c r="D1457" s="352" t="s">
        <v>75</v>
      </c>
      <c r="E1457" s="336">
        <v>43702</v>
      </c>
      <c r="F1457" s="336">
        <v>43645</v>
      </c>
      <c r="G1457" s="336">
        <v>43701</v>
      </c>
      <c r="H1457" s="334" t="s">
        <v>4106</v>
      </c>
      <c r="I1457" s="356">
        <v>13917140133</v>
      </c>
      <c r="J1457" s="361" t="s">
        <v>4107</v>
      </c>
      <c r="K1457" s="356">
        <v>15000</v>
      </c>
      <c r="L1457" s="334"/>
      <c r="M1457" s="334">
        <v>23494</v>
      </c>
      <c r="N1457" s="362">
        <f t="shared" si="44"/>
        <v>23494</v>
      </c>
      <c r="O1457" s="356"/>
      <c r="P1457" s="356"/>
      <c r="Q1457" s="356"/>
      <c r="R1457" s="366" t="s">
        <v>52</v>
      </c>
      <c r="S1457" s="356"/>
      <c r="T1457" s="356"/>
      <c r="U1457" s="372"/>
      <c r="V1457" s="372"/>
      <c r="W1457" s="372"/>
      <c r="X1457" s="373"/>
      <c r="Y1457" s="348"/>
      <c r="Z1457" s="348"/>
      <c r="AA1457" s="348"/>
    </row>
    <row r="1458" s="331" customFormat="1" ht="17" customHeight="1" spans="1:27">
      <c r="A1458" s="348"/>
      <c r="B1458" s="348" t="s">
        <v>35</v>
      </c>
      <c r="C1458" s="348" t="s">
        <v>328</v>
      </c>
      <c r="D1458" s="349" t="s">
        <v>37</v>
      </c>
      <c r="E1458" s="336">
        <v>43646</v>
      </c>
      <c r="F1458" s="336">
        <v>43645</v>
      </c>
      <c r="G1458" s="350"/>
      <c r="H1458" s="334" t="s">
        <v>4108</v>
      </c>
      <c r="I1458" s="356">
        <v>13601695836</v>
      </c>
      <c r="J1458" s="361" t="s">
        <v>4109</v>
      </c>
      <c r="K1458" s="356">
        <v>1000</v>
      </c>
      <c r="L1458" s="362"/>
      <c r="M1458" s="362"/>
      <c r="N1458" s="362">
        <f t="shared" si="44"/>
        <v>0</v>
      </c>
      <c r="O1458" s="356"/>
      <c r="P1458" s="356"/>
      <c r="Q1458" s="356" t="s">
        <v>52</v>
      </c>
      <c r="R1458" s="356"/>
      <c r="S1458" s="356"/>
      <c r="T1458" s="356"/>
      <c r="U1458" s="400" t="s">
        <v>4110</v>
      </c>
      <c r="V1458" s="372"/>
      <c r="W1458" s="372"/>
      <c r="X1458" s="373"/>
      <c r="Y1458" s="348" t="s">
        <v>274</v>
      </c>
      <c r="Z1458" s="348"/>
      <c r="AA1458" s="348"/>
    </row>
    <row r="1459" s="331" customFormat="1" ht="17" customHeight="1" spans="1:27">
      <c r="A1459" s="348"/>
      <c r="B1459" s="348" t="s">
        <v>35</v>
      </c>
      <c r="C1459" s="348" t="s">
        <v>392</v>
      </c>
      <c r="D1459" s="349" t="s">
        <v>37</v>
      </c>
      <c r="E1459" s="336">
        <v>43646</v>
      </c>
      <c r="F1459" s="336">
        <v>43645</v>
      </c>
      <c r="G1459" s="350"/>
      <c r="H1459" s="334" t="s">
        <v>4111</v>
      </c>
      <c r="I1459" s="356">
        <v>18601681808</v>
      </c>
      <c r="J1459" s="361" t="s">
        <v>4112</v>
      </c>
      <c r="K1459" s="356">
        <v>1000</v>
      </c>
      <c r="L1459" s="362"/>
      <c r="M1459" s="362"/>
      <c r="N1459" s="362">
        <f t="shared" si="44"/>
        <v>0</v>
      </c>
      <c r="O1459" s="356"/>
      <c r="P1459" s="356"/>
      <c r="Q1459" s="356" t="s">
        <v>52</v>
      </c>
      <c r="R1459" s="356"/>
      <c r="S1459" s="356"/>
      <c r="T1459" s="356"/>
      <c r="U1459" s="372" t="s">
        <v>40</v>
      </c>
      <c r="V1459" s="372"/>
      <c r="W1459" s="372"/>
      <c r="X1459" s="373">
        <v>1</v>
      </c>
      <c r="Y1459" s="348" t="s">
        <v>274</v>
      </c>
      <c r="Z1459" s="348"/>
      <c r="AA1459" s="348"/>
    </row>
    <row r="1460" s="331" customFormat="1" ht="15" customHeight="1" spans="1:27">
      <c r="A1460" s="348"/>
      <c r="B1460" s="348" t="s">
        <v>58</v>
      </c>
      <c r="C1460" s="348" t="s">
        <v>59</v>
      </c>
      <c r="D1460" s="349" t="s">
        <v>271</v>
      </c>
      <c r="E1460" s="336">
        <v>43646</v>
      </c>
      <c r="F1460" s="336">
        <v>43645</v>
      </c>
      <c r="G1460" s="350"/>
      <c r="H1460" s="334" t="s">
        <v>4113</v>
      </c>
      <c r="I1460" s="356">
        <v>13764244347</v>
      </c>
      <c r="J1460" s="361" t="s">
        <v>4114</v>
      </c>
      <c r="K1460" s="356">
        <v>1000</v>
      </c>
      <c r="L1460" s="362"/>
      <c r="M1460" s="362"/>
      <c r="N1460" s="362">
        <f t="shared" si="44"/>
        <v>0</v>
      </c>
      <c r="O1460" s="356"/>
      <c r="P1460" s="356"/>
      <c r="Q1460" s="366" t="s">
        <v>52</v>
      </c>
      <c r="R1460" s="356"/>
      <c r="S1460" s="356"/>
      <c r="T1460" s="356"/>
      <c r="U1460" s="372"/>
      <c r="V1460" s="372"/>
      <c r="W1460" s="372"/>
      <c r="X1460" s="373"/>
      <c r="Y1460" s="348" t="s">
        <v>274</v>
      </c>
      <c r="Z1460" s="348"/>
      <c r="AA1460" s="348" t="s">
        <v>782</v>
      </c>
    </row>
    <row r="1461" s="331" customFormat="1" ht="15" customHeight="1" spans="1:27">
      <c r="A1461" s="348"/>
      <c r="B1461" s="348" t="s">
        <v>58</v>
      </c>
      <c r="C1461" s="348" t="s">
        <v>59</v>
      </c>
      <c r="D1461" s="349" t="s">
        <v>271</v>
      </c>
      <c r="E1461" s="336">
        <v>43769</v>
      </c>
      <c r="F1461" s="336">
        <v>43645</v>
      </c>
      <c r="G1461" s="336">
        <v>43769</v>
      </c>
      <c r="H1461" s="334" t="s">
        <v>4115</v>
      </c>
      <c r="I1461" s="356">
        <v>13524608383</v>
      </c>
      <c r="J1461" s="361" t="s">
        <v>4116</v>
      </c>
      <c r="K1461" s="356">
        <v>1000</v>
      </c>
      <c r="L1461" s="334">
        <v>19880</v>
      </c>
      <c r="M1461" s="362"/>
      <c r="N1461" s="362">
        <f t="shared" si="44"/>
        <v>19880</v>
      </c>
      <c r="O1461" s="356"/>
      <c r="P1461" s="365" t="s">
        <v>52</v>
      </c>
      <c r="Q1461" s="356"/>
      <c r="R1461" s="356"/>
      <c r="S1461" s="356"/>
      <c r="T1461" s="356"/>
      <c r="U1461" s="372"/>
      <c r="V1461" s="372"/>
      <c r="W1461" s="372"/>
      <c r="X1461" s="373"/>
      <c r="Y1461" s="348" t="s">
        <v>274</v>
      </c>
      <c r="Z1461" s="348"/>
      <c r="AA1461" s="348"/>
    </row>
    <row r="1462" s="331" customFormat="1" ht="17" customHeight="1" spans="1:27">
      <c r="A1462" s="348"/>
      <c r="B1462" s="348" t="s">
        <v>281</v>
      </c>
      <c r="C1462" s="334" t="s">
        <v>587</v>
      </c>
      <c r="D1462" s="334" t="s">
        <v>518</v>
      </c>
      <c r="E1462" s="336">
        <v>43711</v>
      </c>
      <c r="F1462" s="336">
        <v>43631</v>
      </c>
      <c r="G1462" s="336">
        <v>43711</v>
      </c>
      <c r="H1462" s="334" t="s">
        <v>4117</v>
      </c>
      <c r="I1462" s="356">
        <v>18917797367</v>
      </c>
      <c r="J1462" s="367" t="s">
        <v>4118</v>
      </c>
      <c r="K1462" s="356">
        <v>1000</v>
      </c>
      <c r="L1462" s="334">
        <v>7888</v>
      </c>
      <c r="M1462" s="362"/>
      <c r="N1462" s="362">
        <f t="shared" si="44"/>
        <v>7888</v>
      </c>
      <c r="O1462" s="356" t="s">
        <v>52</v>
      </c>
      <c r="P1462" s="356"/>
      <c r="Q1462" s="356"/>
      <c r="R1462" s="356"/>
      <c r="S1462" s="356"/>
      <c r="T1462" s="356"/>
      <c r="U1462" s="372"/>
      <c r="V1462" s="372"/>
      <c r="W1462" s="372"/>
      <c r="X1462" s="373"/>
      <c r="Y1462" s="348" t="s">
        <v>501</v>
      </c>
      <c r="Z1462" s="348"/>
      <c r="AA1462" s="348"/>
    </row>
    <row r="1463" s="331" customFormat="1" ht="17" customHeight="1" spans="1:27">
      <c r="A1463" s="550" t="s">
        <v>4119</v>
      </c>
      <c r="B1463" s="348" t="s">
        <v>58</v>
      </c>
      <c r="C1463" s="348" t="s">
        <v>347</v>
      </c>
      <c r="D1463" s="349" t="s">
        <v>271</v>
      </c>
      <c r="E1463" s="336" t="s">
        <v>133</v>
      </c>
      <c r="F1463" s="336">
        <v>43645</v>
      </c>
      <c r="G1463" s="336">
        <v>43676</v>
      </c>
      <c r="H1463" s="334" t="s">
        <v>4120</v>
      </c>
      <c r="I1463" s="356" t="s">
        <v>4121</v>
      </c>
      <c r="J1463" s="361" t="s">
        <v>4122</v>
      </c>
      <c r="K1463" s="356">
        <v>32000</v>
      </c>
      <c r="L1463" s="334">
        <v>34920</v>
      </c>
      <c r="M1463" s="362"/>
      <c r="N1463" s="362">
        <f t="shared" si="44"/>
        <v>34920</v>
      </c>
      <c r="O1463" s="356"/>
      <c r="P1463" s="365" t="s">
        <v>52</v>
      </c>
      <c r="Q1463" s="356"/>
      <c r="R1463" s="356"/>
      <c r="S1463" s="356"/>
      <c r="T1463" s="356"/>
      <c r="U1463" s="393" t="s">
        <v>40</v>
      </c>
      <c r="V1463" s="372"/>
      <c r="W1463" s="372"/>
      <c r="X1463" s="373"/>
      <c r="Y1463" s="348"/>
      <c r="Z1463" s="348"/>
      <c r="AA1463" s="348"/>
    </row>
    <row r="1464" s="331" customFormat="1" ht="17" customHeight="1" spans="1:27">
      <c r="A1464" s="348">
        <v>2022067</v>
      </c>
      <c r="B1464" s="348" t="s">
        <v>160</v>
      </c>
      <c r="C1464" s="348" t="s">
        <v>161</v>
      </c>
      <c r="D1464" s="349" t="s">
        <v>162</v>
      </c>
      <c r="E1464" s="336">
        <v>43513</v>
      </c>
      <c r="F1464" s="336">
        <v>43512</v>
      </c>
      <c r="G1464" s="350"/>
      <c r="H1464" s="351" t="s">
        <v>4123</v>
      </c>
      <c r="I1464" s="356">
        <v>18918001767</v>
      </c>
      <c r="J1464" s="361" t="s">
        <v>4124</v>
      </c>
      <c r="K1464" s="356">
        <f>500+1000</f>
        <v>1500</v>
      </c>
      <c r="L1464" s="362"/>
      <c r="M1464" s="362"/>
      <c r="N1464" s="362">
        <f t="shared" si="44"/>
        <v>0</v>
      </c>
      <c r="O1464" s="356"/>
      <c r="P1464" s="356"/>
      <c r="Q1464" s="356"/>
      <c r="R1464" s="356"/>
      <c r="S1464" s="356"/>
      <c r="T1464" s="356"/>
      <c r="U1464" s="372" t="s">
        <v>269</v>
      </c>
      <c r="V1464" s="372"/>
      <c r="W1464" s="372"/>
      <c r="X1464" s="373"/>
      <c r="Y1464" s="348" t="s">
        <v>4125</v>
      </c>
      <c r="Z1464" s="348"/>
      <c r="AA1464" s="348"/>
    </row>
    <row r="1465" s="331" customFormat="1" ht="17" customHeight="1" spans="1:27">
      <c r="A1465" s="550" t="s">
        <v>4126</v>
      </c>
      <c r="B1465" s="348" t="s">
        <v>185</v>
      </c>
      <c r="C1465" s="348" t="s">
        <v>1620</v>
      </c>
      <c r="D1465" s="349" t="s">
        <v>44</v>
      </c>
      <c r="E1465" s="336">
        <v>43646</v>
      </c>
      <c r="F1465" s="336">
        <v>43646</v>
      </c>
      <c r="G1465" s="336">
        <v>43675</v>
      </c>
      <c r="H1465" s="334" t="s">
        <v>4127</v>
      </c>
      <c r="I1465" s="356">
        <v>13564398173</v>
      </c>
      <c r="J1465" s="361" t="s">
        <v>4128</v>
      </c>
      <c r="K1465" s="356">
        <v>20000</v>
      </c>
      <c r="L1465" s="334">
        <v>20010</v>
      </c>
      <c r="M1465" s="362"/>
      <c r="N1465" s="362">
        <f t="shared" si="44"/>
        <v>20010</v>
      </c>
      <c r="O1465" s="356"/>
      <c r="P1465" s="356"/>
      <c r="Q1465" s="356"/>
      <c r="R1465" s="356"/>
      <c r="S1465" s="356"/>
      <c r="T1465" s="356"/>
      <c r="U1465" s="372"/>
      <c r="V1465" s="372"/>
      <c r="W1465" s="372"/>
      <c r="X1465" s="373"/>
      <c r="Y1465" s="348" t="s">
        <v>274</v>
      </c>
      <c r="Z1465" s="348"/>
      <c r="AA1465" s="348"/>
    </row>
    <row r="1466" s="331" customFormat="1" ht="17" customHeight="1" spans="1:27">
      <c r="A1466" s="550" t="s">
        <v>4129</v>
      </c>
      <c r="B1466" s="348" t="s">
        <v>94</v>
      </c>
      <c r="C1466" s="348" t="s">
        <v>101</v>
      </c>
      <c r="D1466" s="352" t="s">
        <v>49</v>
      </c>
      <c r="E1466" s="336">
        <v>43646</v>
      </c>
      <c r="F1466" s="336">
        <v>43646</v>
      </c>
      <c r="G1466" s="336">
        <v>43674</v>
      </c>
      <c r="H1466" s="334" t="s">
        <v>4130</v>
      </c>
      <c r="I1466" s="356">
        <v>18917872481</v>
      </c>
      <c r="J1466" s="361" t="s">
        <v>4131</v>
      </c>
      <c r="K1466" s="356">
        <v>1000</v>
      </c>
      <c r="L1466" s="334">
        <v>13000</v>
      </c>
      <c r="M1466" s="362"/>
      <c r="N1466" s="362">
        <f t="shared" si="44"/>
        <v>13000</v>
      </c>
      <c r="O1466" s="356"/>
      <c r="P1466" s="356"/>
      <c r="Q1466" s="356"/>
      <c r="R1466" s="356"/>
      <c r="S1466" s="356"/>
      <c r="T1466" s="356"/>
      <c r="U1466" s="372"/>
      <c r="V1466" s="372"/>
      <c r="W1466" s="372" t="s">
        <v>98</v>
      </c>
      <c r="X1466" s="373"/>
      <c r="Y1466" s="348"/>
      <c r="Z1466" s="348"/>
      <c r="AA1466" s="348"/>
    </row>
    <row r="1467" s="331" customFormat="1" ht="17" customHeight="1" spans="1:27">
      <c r="A1467" s="348">
        <v>2025492</v>
      </c>
      <c r="B1467" s="348" t="s">
        <v>94</v>
      </c>
      <c r="C1467" s="348" t="s">
        <v>101</v>
      </c>
      <c r="D1467" s="352" t="s">
        <v>49</v>
      </c>
      <c r="E1467" s="336">
        <v>43646</v>
      </c>
      <c r="F1467" s="336">
        <v>43646</v>
      </c>
      <c r="G1467" s="336">
        <v>43660</v>
      </c>
      <c r="H1467" s="334" t="s">
        <v>4132</v>
      </c>
      <c r="I1467" s="356">
        <v>13671688586</v>
      </c>
      <c r="J1467" s="361" t="s">
        <v>4133</v>
      </c>
      <c r="K1467" s="356">
        <v>1000</v>
      </c>
      <c r="L1467" s="334">
        <v>14801</v>
      </c>
      <c r="M1467" s="334">
        <v>804</v>
      </c>
      <c r="N1467" s="362">
        <f t="shared" si="44"/>
        <v>15605</v>
      </c>
      <c r="O1467" s="356"/>
      <c r="P1467" s="356"/>
      <c r="Q1467" s="356"/>
      <c r="R1467" s="356"/>
      <c r="S1467" s="356"/>
      <c r="T1467" s="356"/>
      <c r="U1467" s="372"/>
      <c r="V1467" s="372"/>
      <c r="W1467" s="372"/>
      <c r="X1467" s="373"/>
      <c r="Y1467" s="348"/>
      <c r="Z1467" s="348"/>
      <c r="AA1467" s="348"/>
    </row>
    <row r="1468" s="331" customFormat="1" ht="17" customHeight="1" spans="1:27">
      <c r="A1468" s="348"/>
      <c r="B1468" s="348" t="s">
        <v>243</v>
      </c>
      <c r="C1468" s="348" t="s">
        <v>304</v>
      </c>
      <c r="D1468" s="352" t="s">
        <v>49</v>
      </c>
      <c r="E1468" s="336">
        <v>43689</v>
      </c>
      <c r="F1468" s="336">
        <v>43646</v>
      </c>
      <c r="G1468" s="336">
        <v>43689</v>
      </c>
      <c r="H1468" s="334" t="s">
        <v>4134</v>
      </c>
      <c r="I1468" s="356">
        <v>13916461408</v>
      </c>
      <c r="J1468" s="361" t="s">
        <v>4135</v>
      </c>
      <c r="K1468" s="356">
        <v>1000</v>
      </c>
      <c r="L1468" s="334">
        <v>20440</v>
      </c>
      <c r="M1468" s="334">
        <v>2208</v>
      </c>
      <c r="N1468" s="362">
        <f t="shared" si="44"/>
        <v>22648</v>
      </c>
      <c r="O1468" s="356"/>
      <c r="P1468" s="356"/>
      <c r="Q1468" s="356" t="s">
        <v>52</v>
      </c>
      <c r="R1468" s="356"/>
      <c r="S1468" s="356"/>
      <c r="T1468" s="356"/>
      <c r="U1468" s="372"/>
      <c r="V1468" s="372"/>
      <c r="W1468" s="372"/>
      <c r="X1468" s="373"/>
      <c r="Y1468" s="348"/>
      <c r="Z1468" s="348"/>
      <c r="AA1468" s="348"/>
    </row>
    <row r="1469" s="331" customFormat="1" ht="17" customHeight="1" spans="1:27">
      <c r="A1469" s="550" t="s">
        <v>4136</v>
      </c>
      <c r="B1469" s="348" t="s">
        <v>2625</v>
      </c>
      <c r="C1469" s="348" t="s">
        <v>2626</v>
      </c>
      <c r="D1469" s="349" t="s">
        <v>635</v>
      </c>
      <c r="E1469" s="336">
        <v>43646</v>
      </c>
      <c r="F1469" s="336">
        <v>43646</v>
      </c>
      <c r="G1469" s="336">
        <v>43663</v>
      </c>
      <c r="H1469" s="334" t="s">
        <v>4137</v>
      </c>
      <c r="I1469" s="356">
        <v>18621112942</v>
      </c>
      <c r="J1469" s="361" t="s">
        <v>4138</v>
      </c>
      <c r="K1469" s="356">
        <v>1000</v>
      </c>
      <c r="L1469" s="334">
        <v>5860</v>
      </c>
      <c r="M1469" s="334"/>
      <c r="N1469" s="362">
        <f t="shared" si="44"/>
        <v>5860</v>
      </c>
      <c r="O1469" s="356"/>
      <c r="P1469" s="356"/>
      <c r="Q1469" s="356"/>
      <c r="R1469" s="356"/>
      <c r="S1469" s="356"/>
      <c r="T1469" s="356"/>
      <c r="U1469" s="372"/>
      <c r="V1469" s="372"/>
      <c r="W1469" s="372"/>
      <c r="X1469" s="373"/>
      <c r="Y1469" s="348"/>
      <c r="Z1469" s="348"/>
      <c r="AA1469" s="348"/>
    </row>
    <row r="1470" s="331" customFormat="1" ht="17" customHeight="1" spans="1:27">
      <c r="A1470" s="550" t="s">
        <v>4139</v>
      </c>
      <c r="B1470" s="348" t="s">
        <v>31</v>
      </c>
      <c r="C1470" s="348" t="s">
        <v>419</v>
      </c>
      <c r="D1470" s="349" t="s">
        <v>33</v>
      </c>
      <c r="E1470" s="336">
        <v>43646</v>
      </c>
      <c r="F1470" s="336">
        <v>43646</v>
      </c>
      <c r="G1470" s="336">
        <v>43652</v>
      </c>
      <c r="H1470" s="334" t="s">
        <v>4140</v>
      </c>
      <c r="I1470" s="356">
        <v>13917811423</v>
      </c>
      <c r="J1470" s="361" t="s">
        <v>4141</v>
      </c>
      <c r="K1470" s="356">
        <v>1000</v>
      </c>
      <c r="L1470" s="334">
        <v>16689</v>
      </c>
      <c r="M1470" s="334"/>
      <c r="N1470" s="362">
        <f t="shared" si="44"/>
        <v>16689</v>
      </c>
      <c r="O1470" s="356"/>
      <c r="P1470" s="356"/>
      <c r="Q1470" s="356"/>
      <c r="R1470" s="356"/>
      <c r="S1470" s="356"/>
      <c r="T1470" s="356"/>
      <c r="U1470" s="372"/>
      <c r="V1470" s="372"/>
      <c r="W1470" s="372"/>
      <c r="X1470" s="373"/>
      <c r="Y1470" s="348"/>
      <c r="Z1470" s="348"/>
      <c r="AA1470" s="348"/>
    </row>
    <row r="1471" s="331" customFormat="1" ht="17" customHeight="1" spans="1:27">
      <c r="A1471" s="550" t="s">
        <v>4142</v>
      </c>
      <c r="B1471" s="348" t="s">
        <v>42</v>
      </c>
      <c r="C1471" s="348" t="s">
        <v>43</v>
      </c>
      <c r="D1471" s="349" t="s">
        <v>125</v>
      </c>
      <c r="E1471" s="336">
        <v>43646</v>
      </c>
      <c r="F1471" s="336">
        <v>43646</v>
      </c>
      <c r="G1471" s="336">
        <v>43675</v>
      </c>
      <c r="H1471" s="334" t="s">
        <v>4143</v>
      </c>
      <c r="I1471" s="356">
        <v>18019092688</v>
      </c>
      <c r="J1471" s="361" t="s">
        <v>4144</v>
      </c>
      <c r="K1471" s="356">
        <v>15000</v>
      </c>
      <c r="L1471" s="334">
        <v>13870</v>
      </c>
      <c r="M1471" s="362"/>
      <c r="N1471" s="362">
        <f t="shared" si="44"/>
        <v>13870</v>
      </c>
      <c r="O1471" s="356" t="s">
        <v>19</v>
      </c>
      <c r="P1471" s="356"/>
      <c r="Q1471" s="356"/>
      <c r="R1471" s="356"/>
      <c r="S1471" s="356"/>
      <c r="T1471" s="356"/>
      <c r="U1471" s="372"/>
      <c r="V1471" s="372"/>
      <c r="W1471" s="372"/>
      <c r="X1471" s="373"/>
      <c r="Y1471" s="348"/>
      <c r="Z1471" s="348"/>
      <c r="AA1471" s="348"/>
    </row>
    <row r="1472" s="331" customFormat="1" ht="17" customHeight="1" spans="1:27">
      <c r="A1472" s="550" t="s">
        <v>4145</v>
      </c>
      <c r="B1472" s="348" t="s">
        <v>185</v>
      </c>
      <c r="C1472" s="348" t="s">
        <v>4146</v>
      </c>
      <c r="D1472" s="349" t="s">
        <v>187</v>
      </c>
      <c r="E1472" s="336">
        <v>43646</v>
      </c>
      <c r="F1472" s="336">
        <v>43646</v>
      </c>
      <c r="G1472" s="336">
        <v>43656</v>
      </c>
      <c r="H1472" s="334" t="s">
        <v>4147</v>
      </c>
      <c r="I1472" s="356">
        <v>18917808580</v>
      </c>
      <c r="J1472" s="361" t="s">
        <v>4148</v>
      </c>
      <c r="K1472" s="356">
        <v>1000</v>
      </c>
      <c r="L1472" s="334">
        <v>23500</v>
      </c>
      <c r="M1472" s="334"/>
      <c r="N1472" s="362">
        <f t="shared" si="44"/>
        <v>23500</v>
      </c>
      <c r="O1472" s="356"/>
      <c r="P1472" s="356"/>
      <c r="Q1472" s="356"/>
      <c r="R1472" s="356"/>
      <c r="S1472" s="356"/>
      <c r="T1472" s="356"/>
      <c r="U1472" s="372"/>
      <c r="V1472" s="372"/>
      <c r="W1472" s="372"/>
      <c r="X1472" s="373"/>
      <c r="Y1472" s="348"/>
      <c r="Z1472" s="348"/>
      <c r="AA1472" s="348"/>
    </row>
    <row r="1473" s="331" customFormat="1" ht="17" customHeight="1" spans="1:27">
      <c r="A1473" s="550" t="s">
        <v>4149</v>
      </c>
      <c r="B1473" s="348" t="s">
        <v>726</v>
      </c>
      <c r="C1473" s="348" t="s">
        <v>727</v>
      </c>
      <c r="D1473" s="349" t="s">
        <v>89</v>
      </c>
      <c r="E1473" s="336">
        <v>43646</v>
      </c>
      <c r="F1473" s="336">
        <v>43646</v>
      </c>
      <c r="G1473" s="336">
        <v>43672</v>
      </c>
      <c r="H1473" s="334" t="s">
        <v>4150</v>
      </c>
      <c r="I1473" s="334">
        <v>13764300489</v>
      </c>
      <c r="J1473" s="361" t="s">
        <v>4151</v>
      </c>
      <c r="K1473" s="356">
        <v>1000</v>
      </c>
      <c r="L1473" s="334">
        <v>11761</v>
      </c>
      <c r="M1473" s="362"/>
      <c r="N1473" s="362">
        <f t="shared" si="44"/>
        <v>11761</v>
      </c>
      <c r="O1473" s="356"/>
      <c r="P1473" s="356"/>
      <c r="Q1473" s="356"/>
      <c r="R1473" s="356"/>
      <c r="S1473" s="356"/>
      <c r="T1473" s="356"/>
      <c r="U1473" s="372"/>
      <c r="V1473" s="372" t="s">
        <v>4152</v>
      </c>
      <c r="W1473" s="372"/>
      <c r="X1473" s="373"/>
      <c r="Y1473" s="348"/>
      <c r="Z1473" s="348"/>
      <c r="AA1473" s="348"/>
    </row>
    <row r="1474" s="331" customFormat="1" ht="17" customHeight="1" spans="1:27">
      <c r="A1474" s="348">
        <v>2025660</v>
      </c>
      <c r="B1474" s="348" t="s">
        <v>281</v>
      </c>
      <c r="C1474" s="348" t="s">
        <v>491</v>
      </c>
      <c r="D1474" s="352" t="s">
        <v>49</v>
      </c>
      <c r="E1474" s="336">
        <v>43542</v>
      </c>
      <c r="F1474" s="336">
        <v>43541</v>
      </c>
      <c r="G1474" s="350"/>
      <c r="H1474" s="334" t="s">
        <v>2557</v>
      </c>
      <c r="I1474" s="356">
        <v>18918066019</v>
      </c>
      <c r="J1474" s="361" t="s">
        <v>4153</v>
      </c>
      <c r="K1474" s="356">
        <v>1000</v>
      </c>
      <c r="L1474" s="362"/>
      <c r="M1474" s="362"/>
      <c r="N1474" s="362">
        <f t="shared" si="44"/>
        <v>0</v>
      </c>
      <c r="O1474" s="356" t="s">
        <v>52</v>
      </c>
      <c r="P1474" s="356"/>
      <c r="Q1474" s="356"/>
      <c r="R1474" s="356"/>
      <c r="S1474" s="356"/>
      <c r="T1474" s="356"/>
      <c r="U1474" s="372"/>
      <c r="V1474" s="372"/>
      <c r="W1474" s="372"/>
      <c r="X1474" s="373"/>
      <c r="Y1474" s="348"/>
      <c r="Z1474" s="348"/>
      <c r="AA1474" s="348"/>
    </row>
    <row r="1475" s="331" customFormat="1" ht="17" customHeight="1" spans="1:27">
      <c r="A1475" s="348">
        <v>2026391</v>
      </c>
      <c r="B1475" s="348" t="s">
        <v>281</v>
      </c>
      <c r="C1475" s="348" t="s">
        <v>282</v>
      </c>
      <c r="D1475" s="352" t="s">
        <v>49</v>
      </c>
      <c r="E1475" s="336"/>
      <c r="F1475" s="336">
        <v>43488</v>
      </c>
      <c r="G1475" s="350"/>
      <c r="H1475" s="351" t="s">
        <v>4154</v>
      </c>
      <c r="I1475" s="356">
        <v>18918265729</v>
      </c>
      <c r="J1475" s="361" t="s">
        <v>4155</v>
      </c>
      <c r="K1475" s="356">
        <v>500</v>
      </c>
      <c r="L1475" s="362"/>
      <c r="M1475" s="362"/>
      <c r="N1475" s="362">
        <f t="shared" si="44"/>
        <v>0</v>
      </c>
      <c r="O1475" s="356"/>
      <c r="P1475" s="356"/>
      <c r="Q1475" s="356"/>
      <c r="R1475" s="356"/>
      <c r="S1475" s="356"/>
      <c r="T1475" s="356"/>
      <c r="U1475" s="379">
        <v>3.21</v>
      </c>
      <c r="V1475" s="372"/>
      <c r="W1475" s="372"/>
      <c r="X1475" s="373"/>
      <c r="Y1475" s="348"/>
      <c r="Z1475" s="348"/>
      <c r="AA1475" s="348"/>
    </row>
    <row r="1476" s="331" customFormat="1" ht="17" customHeight="1" spans="1:27">
      <c r="A1476" s="550" t="s">
        <v>4156</v>
      </c>
      <c r="B1476" s="348" t="s">
        <v>66</v>
      </c>
      <c r="C1476" s="348" t="s">
        <v>67</v>
      </c>
      <c r="D1476" s="352" t="s">
        <v>1436</v>
      </c>
      <c r="E1476" s="336">
        <v>43646</v>
      </c>
      <c r="F1476" s="336">
        <v>43646</v>
      </c>
      <c r="G1476" s="350"/>
      <c r="H1476" s="334" t="s">
        <v>4157</v>
      </c>
      <c r="I1476" s="356">
        <v>18918069565</v>
      </c>
      <c r="J1476" s="361" t="s">
        <v>4158</v>
      </c>
      <c r="K1476" s="356">
        <v>1000</v>
      </c>
      <c r="L1476" s="362"/>
      <c r="M1476" s="362"/>
      <c r="N1476" s="362">
        <f t="shared" si="44"/>
        <v>0</v>
      </c>
      <c r="O1476" s="356" t="s">
        <v>4159</v>
      </c>
      <c r="P1476" s="356"/>
      <c r="Q1476" s="356"/>
      <c r="R1476" s="356"/>
      <c r="S1476" s="356"/>
      <c r="T1476" s="356"/>
      <c r="U1476" s="393" t="s">
        <v>40</v>
      </c>
      <c r="V1476" s="372"/>
      <c r="W1476" s="372"/>
      <c r="X1476" s="373">
        <v>1</v>
      </c>
      <c r="Y1476" s="348" t="s">
        <v>3672</v>
      </c>
      <c r="Z1476" s="348"/>
      <c r="AA1476" s="348"/>
    </row>
    <row r="1477" s="331" customFormat="1" ht="17" customHeight="1" spans="1:27">
      <c r="A1477" s="348"/>
      <c r="B1477" s="348" t="s">
        <v>66</v>
      </c>
      <c r="C1477" s="348" t="s">
        <v>67</v>
      </c>
      <c r="D1477" s="349" t="s">
        <v>68</v>
      </c>
      <c r="E1477" s="336">
        <v>43646</v>
      </c>
      <c r="F1477" s="336">
        <v>43646</v>
      </c>
      <c r="G1477" s="336">
        <v>43677</v>
      </c>
      <c r="H1477" s="334" t="s">
        <v>4160</v>
      </c>
      <c r="I1477" s="356">
        <v>15800361400</v>
      </c>
      <c r="J1477" s="361" t="s">
        <v>4161</v>
      </c>
      <c r="K1477" s="356">
        <v>1000</v>
      </c>
      <c r="L1477" s="334">
        <v>3577</v>
      </c>
      <c r="M1477" s="362"/>
      <c r="N1477" s="362">
        <f t="shared" si="44"/>
        <v>3577</v>
      </c>
      <c r="O1477" s="356"/>
      <c r="P1477" s="356"/>
      <c r="Q1477" s="356" t="s">
        <v>21</v>
      </c>
      <c r="R1477" s="356"/>
      <c r="S1477" s="356"/>
      <c r="T1477" s="356"/>
      <c r="U1477" s="372"/>
      <c r="V1477" s="372"/>
      <c r="W1477" s="372"/>
      <c r="X1477" s="373"/>
      <c r="Y1477" s="348"/>
      <c r="Z1477" s="348"/>
      <c r="AA1477" s="348"/>
    </row>
    <row r="1478" s="331" customFormat="1" ht="17" customHeight="1" spans="1:27">
      <c r="A1478" s="348"/>
      <c r="B1478" s="348" t="s">
        <v>58</v>
      </c>
      <c r="C1478" s="348" t="s">
        <v>109</v>
      </c>
      <c r="D1478" s="349" t="s">
        <v>343</v>
      </c>
      <c r="E1478" s="336">
        <v>43646</v>
      </c>
      <c r="F1478" s="336">
        <v>43646</v>
      </c>
      <c r="G1478" s="336">
        <v>43657</v>
      </c>
      <c r="H1478" s="334" t="s">
        <v>4162</v>
      </c>
      <c r="I1478" s="356">
        <v>18616675966</v>
      </c>
      <c r="J1478" s="361" t="s">
        <v>4163</v>
      </c>
      <c r="K1478" s="356">
        <v>1000</v>
      </c>
      <c r="L1478" s="334">
        <v>82168</v>
      </c>
      <c r="M1478" s="334"/>
      <c r="N1478" s="362">
        <f t="shared" si="44"/>
        <v>82168</v>
      </c>
      <c r="O1478" s="356"/>
      <c r="P1478" s="356"/>
      <c r="Q1478" s="356"/>
      <c r="R1478" s="356"/>
      <c r="S1478" s="356"/>
      <c r="T1478" s="356"/>
      <c r="U1478" s="372"/>
      <c r="V1478" s="372"/>
      <c r="W1478" s="372"/>
      <c r="X1478" s="373"/>
      <c r="Y1478" s="348"/>
      <c r="Z1478" s="348"/>
      <c r="AA1478" s="348"/>
    </row>
    <row r="1479" s="331" customFormat="1" ht="17" customHeight="1" spans="1:27">
      <c r="A1479" s="348">
        <v>2022085</v>
      </c>
      <c r="B1479" s="348" t="s">
        <v>160</v>
      </c>
      <c r="C1479" s="348" t="s">
        <v>161</v>
      </c>
      <c r="D1479" s="349" t="s">
        <v>162</v>
      </c>
      <c r="E1479" s="336">
        <v>43528</v>
      </c>
      <c r="F1479" s="336">
        <v>43526</v>
      </c>
      <c r="G1479" s="350"/>
      <c r="H1479" s="351" t="s">
        <v>4154</v>
      </c>
      <c r="I1479" s="356">
        <v>18918265729</v>
      </c>
      <c r="J1479" s="361" t="s">
        <v>4164</v>
      </c>
      <c r="K1479" s="356">
        <v>1000</v>
      </c>
      <c r="L1479" s="362"/>
      <c r="M1479" s="362"/>
      <c r="N1479" s="362">
        <f t="shared" si="44"/>
        <v>0</v>
      </c>
      <c r="O1479" s="356"/>
      <c r="P1479" s="356"/>
      <c r="Q1479" s="356"/>
      <c r="R1479" s="356"/>
      <c r="S1479" s="356"/>
      <c r="T1479" s="356"/>
      <c r="U1479" s="372" t="s">
        <v>136</v>
      </c>
      <c r="V1479" s="372"/>
      <c r="W1479" s="372"/>
      <c r="X1479" s="373"/>
      <c r="Y1479" s="348" t="s">
        <v>4165</v>
      </c>
      <c r="Z1479" s="348"/>
      <c r="AA1479" s="348"/>
    </row>
    <row r="1480" s="331" customFormat="1" ht="17" customHeight="1" spans="1:27">
      <c r="A1480" s="550" t="s">
        <v>4166</v>
      </c>
      <c r="B1480" s="348" t="s">
        <v>31</v>
      </c>
      <c r="C1480" s="348" t="s">
        <v>251</v>
      </c>
      <c r="D1480" s="349" t="s">
        <v>33</v>
      </c>
      <c r="E1480" s="336">
        <v>43646</v>
      </c>
      <c r="F1480" s="336">
        <v>43646</v>
      </c>
      <c r="G1480" s="350"/>
      <c r="H1480" s="334" t="s">
        <v>1235</v>
      </c>
      <c r="I1480" s="356">
        <v>13361939199</v>
      </c>
      <c r="J1480" s="361" t="s">
        <v>4167</v>
      </c>
      <c r="K1480" s="356">
        <v>1000</v>
      </c>
      <c r="L1480" s="362"/>
      <c r="M1480" s="362"/>
      <c r="N1480" s="362">
        <f t="shared" si="44"/>
        <v>0</v>
      </c>
      <c r="O1480" s="356"/>
      <c r="P1480" s="366" t="s">
        <v>52</v>
      </c>
      <c r="Q1480" s="356"/>
      <c r="R1480" s="356"/>
      <c r="S1480" s="356"/>
      <c r="T1480" s="356"/>
      <c r="U1480" s="372"/>
      <c r="V1480" s="372"/>
      <c r="W1480" s="372"/>
      <c r="X1480" s="373"/>
      <c r="Y1480" s="348"/>
      <c r="Z1480" s="348"/>
      <c r="AA1480" s="348"/>
    </row>
    <row r="1481" s="331" customFormat="1" ht="17" customHeight="1" spans="1:27">
      <c r="A1481" s="348"/>
      <c r="B1481" s="348" t="s">
        <v>160</v>
      </c>
      <c r="C1481" s="348" t="s">
        <v>161</v>
      </c>
      <c r="D1481" s="349" t="s">
        <v>60</v>
      </c>
      <c r="E1481" s="336">
        <v>43585</v>
      </c>
      <c r="F1481" s="336">
        <v>43583</v>
      </c>
      <c r="G1481" s="336">
        <v>43654</v>
      </c>
      <c r="H1481" s="334" t="s">
        <v>4168</v>
      </c>
      <c r="I1481" s="356">
        <v>18918687107</v>
      </c>
      <c r="J1481" s="361" t="s">
        <v>4169</v>
      </c>
      <c r="K1481" s="356">
        <v>3193</v>
      </c>
      <c r="L1481" s="334">
        <v>25551</v>
      </c>
      <c r="M1481" s="334">
        <f>1840</f>
        <v>1840</v>
      </c>
      <c r="N1481" s="362">
        <f t="shared" si="44"/>
        <v>27391</v>
      </c>
      <c r="O1481" s="356"/>
      <c r="P1481" s="356"/>
      <c r="Q1481" s="356"/>
      <c r="R1481" s="356"/>
      <c r="S1481" s="356"/>
      <c r="T1481" s="356"/>
      <c r="U1481" s="372"/>
      <c r="V1481" s="372"/>
      <c r="W1481" s="372"/>
      <c r="X1481" s="373"/>
      <c r="Y1481" s="348"/>
      <c r="Z1481" s="348"/>
      <c r="AA1481" s="348"/>
    </row>
    <row r="1482" s="331" customFormat="1" ht="17" customHeight="1" spans="1:27">
      <c r="A1482" s="550" t="s">
        <v>4170</v>
      </c>
      <c r="B1482" s="348" t="s">
        <v>805</v>
      </c>
      <c r="C1482" s="348" t="s">
        <v>1458</v>
      </c>
      <c r="D1482" s="352" t="s">
        <v>635</v>
      </c>
      <c r="E1482" s="336" t="s">
        <v>4171</v>
      </c>
      <c r="F1482" s="336">
        <v>43590</v>
      </c>
      <c r="G1482" s="350" t="s">
        <v>69</v>
      </c>
      <c r="H1482" s="334" t="s">
        <v>4168</v>
      </c>
      <c r="I1482" s="356">
        <v>18918687107</v>
      </c>
      <c r="J1482" s="361" t="s">
        <v>4172</v>
      </c>
      <c r="K1482" s="356">
        <v>10000</v>
      </c>
      <c r="L1482" s="362"/>
      <c r="M1482" s="362"/>
      <c r="N1482" s="362">
        <f t="shared" ref="N1482:N1525" si="45">L1482+M1482</f>
        <v>0</v>
      </c>
      <c r="O1482" s="356"/>
      <c r="P1482" s="356"/>
      <c r="Q1482" s="356"/>
      <c r="R1482" s="356"/>
      <c r="S1482" s="356"/>
      <c r="T1482" s="356"/>
      <c r="U1482" s="372"/>
      <c r="V1482" s="372"/>
      <c r="W1482" s="372"/>
      <c r="X1482" s="373"/>
      <c r="Y1482" s="348"/>
      <c r="Z1482" s="348"/>
      <c r="AA1482" s="348"/>
    </row>
    <row r="1483" s="331" customFormat="1" ht="17" customHeight="1" spans="1:27">
      <c r="A1483" s="348"/>
      <c r="B1483" s="348" t="s">
        <v>281</v>
      </c>
      <c r="C1483" s="348" t="s">
        <v>498</v>
      </c>
      <c r="D1483" s="352" t="s">
        <v>49</v>
      </c>
      <c r="E1483" s="336">
        <v>43635</v>
      </c>
      <c r="F1483" s="336">
        <v>43631</v>
      </c>
      <c r="G1483" s="350"/>
      <c r="H1483" s="334" t="s">
        <v>3152</v>
      </c>
      <c r="I1483" s="356">
        <v>18921682013</v>
      </c>
      <c r="J1483" s="361" t="s">
        <v>4173</v>
      </c>
      <c r="K1483" s="356">
        <v>1000</v>
      </c>
      <c r="L1483" s="362"/>
      <c r="M1483" s="362"/>
      <c r="N1483" s="362">
        <f t="shared" si="45"/>
        <v>0</v>
      </c>
      <c r="O1483" s="356" t="s">
        <v>52</v>
      </c>
      <c r="P1483" s="356"/>
      <c r="Q1483" s="356"/>
      <c r="R1483" s="356"/>
      <c r="S1483" s="356"/>
      <c r="T1483" s="356"/>
      <c r="U1483" s="394" t="s">
        <v>12</v>
      </c>
      <c r="V1483" s="372"/>
      <c r="W1483" s="372"/>
      <c r="X1483" s="373"/>
      <c r="Y1483" s="348" t="s">
        <v>501</v>
      </c>
      <c r="Z1483" s="348"/>
      <c r="AA1483" s="348"/>
    </row>
    <row r="1484" s="331" customFormat="1" ht="17" customHeight="1" spans="1:27">
      <c r="A1484" s="550" t="s">
        <v>4174</v>
      </c>
      <c r="B1484" s="348" t="s">
        <v>31</v>
      </c>
      <c r="C1484" s="348" t="s">
        <v>32</v>
      </c>
      <c r="D1484" s="349" t="s">
        <v>33</v>
      </c>
      <c r="E1484" s="336">
        <v>43646</v>
      </c>
      <c r="F1484" s="336">
        <v>43645</v>
      </c>
      <c r="G1484" s="350"/>
      <c r="H1484" s="334" t="s">
        <v>4175</v>
      </c>
      <c r="I1484" s="356">
        <v>13524310182</v>
      </c>
      <c r="J1484" s="361" t="s">
        <v>4176</v>
      </c>
      <c r="K1484" s="356">
        <v>1000</v>
      </c>
      <c r="L1484" s="362"/>
      <c r="M1484" s="362"/>
      <c r="N1484" s="362">
        <f t="shared" si="45"/>
        <v>0</v>
      </c>
      <c r="O1484" s="356"/>
      <c r="P1484" s="356"/>
      <c r="Q1484" s="356"/>
      <c r="R1484" s="356"/>
      <c r="S1484" s="356"/>
      <c r="T1484" s="356"/>
      <c r="U1484" s="372" t="s">
        <v>12</v>
      </c>
      <c r="V1484" s="372"/>
      <c r="W1484" s="372"/>
      <c r="X1484" s="373">
        <v>1</v>
      </c>
      <c r="Y1484" s="348"/>
      <c r="Z1484" s="348"/>
      <c r="AA1484" s="348"/>
    </row>
    <row r="1485" s="331" customFormat="1" ht="17" customHeight="1" spans="1:27">
      <c r="A1485" s="348"/>
      <c r="B1485" s="348" t="s">
        <v>315</v>
      </c>
      <c r="C1485" s="348" t="s">
        <v>181</v>
      </c>
      <c r="D1485" s="334" t="s">
        <v>162</v>
      </c>
      <c r="E1485" s="336">
        <v>43710</v>
      </c>
      <c r="F1485" s="336">
        <v>43645</v>
      </c>
      <c r="G1485" s="336">
        <v>43709</v>
      </c>
      <c r="H1485" s="334" t="s">
        <v>4177</v>
      </c>
      <c r="I1485" s="356">
        <v>15000788401</v>
      </c>
      <c r="J1485" s="361" t="s">
        <v>4178</v>
      </c>
      <c r="K1485" s="356">
        <v>1000</v>
      </c>
      <c r="L1485" s="334">
        <f>17065-2208</f>
        <v>14857</v>
      </c>
      <c r="M1485" s="334">
        <v>2208</v>
      </c>
      <c r="N1485" s="362">
        <f t="shared" si="45"/>
        <v>17065</v>
      </c>
      <c r="O1485" s="356"/>
      <c r="P1485" s="356">
        <v>1</v>
      </c>
      <c r="Q1485" s="356"/>
      <c r="R1485" s="356"/>
      <c r="S1485" s="356"/>
      <c r="T1485" s="356"/>
      <c r="U1485" s="372"/>
      <c r="V1485" s="372"/>
      <c r="W1485" s="372"/>
      <c r="X1485" s="373"/>
      <c r="Y1485" s="348"/>
      <c r="Z1485" s="348"/>
      <c r="AA1485" s="348"/>
    </row>
    <row r="1486" s="331" customFormat="1" ht="17" customHeight="1" spans="1:27">
      <c r="A1486" s="550" t="s">
        <v>4179</v>
      </c>
      <c r="B1486" s="348" t="s">
        <v>315</v>
      </c>
      <c r="C1486" s="348" t="s">
        <v>181</v>
      </c>
      <c r="D1486" s="349" t="s">
        <v>162</v>
      </c>
      <c r="E1486" s="336">
        <v>43702</v>
      </c>
      <c r="F1486" s="336">
        <v>43645</v>
      </c>
      <c r="G1486" s="336">
        <v>43701</v>
      </c>
      <c r="H1486" s="334" t="s">
        <v>4180</v>
      </c>
      <c r="I1486" s="356">
        <v>13818317996</v>
      </c>
      <c r="J1486" s="361" t="s">
        <v>4181</v>
      </c>
      <c r="K1486" s="356">
        <v>1000</v>
      </c>
      <c r="L1486" s="334">
        <v>7740</v>
      </c>
      <c r="M1486" s="362"/>
      <c r="N1486" s="362">
        <f t="shared" si="45"/>
        <v>7740</v>
      </c>
      <c r="O1486" s="356">
        <v>1</v>
      </c>
      <c r="P1486" s="356"/>
      <c r="Q1486" s="356"/>
      <c r="R1486" s="356"/>
      <c r="S1486" s="356"/>
      <c r="T1486" s="356"/>
      <c r="U1486" s="372"/>
      <c r="V1486" s="372"/>
      <c r="W1486" s="372"/>
      <c r="X1486" s="373"/>
      <c r="Y1486" s="348"/>
      <c r="Z1486" s="348"/>
      <c r="AA1486" s="348"/>
    </row>
    <row r="1487" s="331" customFormat="1" ht="17" customHeight="1" spans="1:27">
      <c r="A1487" s="550" t="s">
        <v>4182</v>
      </c>
      <c r="B1487" s="348" t="s">
        <v>66</v>
      </c>
      <c r="C1487" s="348" t="s">
        <v>951</v>
      </c>
      <c r="D1487" s="349" t="s">
        <v>68</v>
      </c>
      <c r="E1487" s="336">
        <v>43646</v>
      </c>
      <c r="F1487" s="336">
        <v>43645</v>
      </c>
      <c r="G1487" s="336">
        <v>43649</v>
      </c>
      <c r="H1487" s="334" t="s">
        <v>4183</v>
      </c>
      <c r="I1487" s="356">
        <v>13501804030</v>
      </c>
      <c r="J1487" s="361" t="s">
        <v>4184</v>
      </c>
      <c r="K1487" s="356">
        <v>5000</v>
      </c>
      <c r="L1487" s="334">
        <v>7880</v>
      </c>
      <c r="M1487" s="334">
        <v>200</v>
      </c>
      <c r="N1487" s="362">
        <f t="shared" si="45"/>
        <v>8080</v>
      </c>
      <c r="O1487" s="356"/>
      <c r="P1487" s="356"/>
      <c r="Q1487" s="356"/>
      <c r="R1487" s="356"/>
      <c r="S1487" s="356"/>
      <c r="T1487" s="356"/>
      <c r="U1487" s="372"/>
      <c r="V1487" s="372"/>
      <c r="W1487" s="372"/>
      <c r="X1487" s="373"/>
      <c r="Y1487" s="348" t="s">
        <v>274</v>
      </c>
      <c r="Z1487" s="348"/>
      <c r="AA1487" s="348"/>
    </row>
    <row r="1488" s="331" customFormat="1" ht="17" customHeight="1" spans="1:27">
      <c r="A1488" s="348"/>
      <c r="B1488" s="348" t="s">
        <v>66</v>
      </c>
      <c r="C1488" s="348" t="s">
        <v>505</v>
      </c>
      <c r="D1488" s="349" t="s">
        <v>143</v>
      </c>
      <c r="E1488" s="336">
        <v>43646</v>
      </c>
      <c r="F1488" s="336">
        <v>43645</v>
      </c>
      <c r="G1488" s="336">
        <v>43668</v>
      </c>
      <c r="H1488" s="334" t="s">
        <v>4185</v>
      </c>
      <c r="I1488" s="356">
        <v>13916259649</v>
      </c>
      <c r="J1488" s="361" t="s">
        <v>4186</v>
      </c>
      <c r="K1488" s="356">
        <v>3962</v>
      </c>
      <c r="L1488" s="334">
        <v>4962</v>
      </c>
      <c r="M1488" s="362"/>
      <c r="N1488" s="362">
        <f t="shared" si="45"/>
        <v>4962</v>
      </c>
      <c r="O1488" s="356"/>
      <c r="P1488" s="356"/>
      <c r="Q1488" s="356"/>
      <c r="R1488" s="356"/>
      <c r="S1488" s="356"/>
      <c r="T1488" s="356"/>
      <c r="U1488" s="372"/>
      <c r="V1488" s="372"/>
      <c r="W1488" s="372"/>
      <c r="X1488" s="373"/>
      <c r="Y1488" s="348" t="s">
        <v>274</v>
      </c>
      <c r="Z1488" s="348"/>
      <c r="AA1488" s="348"/>
    </row>
    <row r="1489" s="331" customFormat="1" ht="17" customHeight="1" spans="1:27">
      <c r="A1489" s="550" t="s">
        <v>4187</v>
      </c>
      <c r="B1489" s="348" t="s">
        <v>137</v>
      </c>
      <c r="C1489" s="348" t="s">
        <v>138</v>
      </c>
      <c r="D1489" s="349" t="s">
        <v>139</v>
      </c>
      <c r="E1489" s="336">
        <v>43646</v>
      </c>
      <c r="F1489" s="336">
        <v>43645</v>
      </c>
      <c r="G1489" s="336">
        <v>43673</v>
      </c>
      <c r="H1489" s="334" t="s">
        <v>4188</v>
      </c>
      <c r="I1489" s="356">
        <v>17621855866</v>
      </c>
      <c r="J1489" s="361" t="s">
        <v>4189</v>
      </c>
      <c r="K1489" s="356">
        <v>5000</v>
      </c>
      <c r="L1489" s="334">
        <v>15074</v>
      </c>
      <c r="M1489" s="362"/>
      <c r="N1489" s="362">
        <f t="shared" si="45"/>
        <v>15074</v>
      </c>
      <c r="O1489" s="356"/>
      <c r="P1489" s="356"/>
      <c r="Q1489" s="356">
        <v>1</v>
      </c>
      <c r="R1489" s="356"/>
      <c r="S1489" s="356"/>
      <c r="T1489" s="356"/>
      <c r="U1489" s="372"/>
      <c r="V1489" s="372"/>
      <c r="W1489" s="372"/>
      <c r="X1489" s="373"/>
      <c r="Y1489" s="348" t="s">
        <v>274</v>
      </c>
      <c r="Z1489" s="348"/>
      <c r="AA1489" s="348"/>
    </row>
    <row r="1490" s="331" customFormat="1" ht="17" customHeight="1" spans="1:27">
      <c r="A1490" s="348">
        <v>2066720</v>
      </c>
      <c r="B1490" s="348" t="s">
        <v>137</v>
      </c>
      <c r="C1490" s="348" t="s">
        <v>2705</v>
      </c>
      <c r="D1490" s="349" t="s">
        <v>139</v>
      </c>
      <c r="E1490" s="336" t="s">
        <v>133</v>
      </c>
      <c r="F1490" s="336">
        <v>43645</v>
      </c>
      <c r="G1490" s="336">
        <v>43677</v>
      </c>
      <c r="H1490" s="334" t="s">
        <v>4190</v>
      </c>
      <c r="I1490" s="356">
        <v>15669820544</v>
      </c>
      <c r="J1490" s="361" t="s">
        <v>4191</v>
      </c>
      <c r="K1490" s="356">
        <v>4593</v>
      </c>
      <c r="L1490" s="334">
        <v>7593</v>
      </c>
      <c r="M1490" s="362"/>
      <c r="N1490" s="362">
        <f t="shared" si="45"/>
        <v>7593</v>
      </c>
      <c r="O1490" s="356"/>
      <c r="P1490" s="356"/>
      <c r="Q1490" s="356">
        <v>1</v>
      </c>
      <c r="R1490" s="356"/>
      <c r="S1490" s="356"/>
      <c r="T1490" s="356"/>
      <c r="U1490" s="372"/>
      <c r="V1490" s="372"/>
      <c r="W1490" s="372"/>
      <c r="X1490" s="373">
        <v>1</v>
      </c>
      <c r="Y1490" s="348"/>
      <c r="Z1490" s="348"/>
      <c r="AA1490" s="348"/>
    </row>
    <row r="1491" s="57" customFormat="1" ht="17" customHeight="1" spans="1:27">
      <c r="A1491" s="348">
        <v>2067474</v>
      </c>
      <c r="B1491" s="348" t="s">
        <v>137</v>
      </c>
      <c r="C1491" s="348" t="s">
        <v>480</v>
      </c>
      <c r="D1491" s="349" t="s">
        <v>139</v>
      </c>
      <c r="E1491" s="336"/>
      <c r="F1491" s="336">
        <v>43648</v>
      </c>
      <c r="G1491" s="350"/>
      <c r="H1491" s="334" t="s">
        <v>1672</v>
      </c>
      <c r="I1491" s="356">
        <v>18930692010</v>
      </c>
      <c r="J1491" s="348" t="s">
        <v>4192</v>
      </c>
      <c r="K1491" s="356">
        <v>500</v>
      </c>
      <c r="L1491" s="362"/>
      <c r="M1491" s="362"/>
      <c r="N1491" s="362">
        <f t="shared" si="45"/>
        <v>0</v>
      </c>
      <c r="O1491" s="356"/>
      <c r="P1491" s="356">
        <v>1</v>
      </c>
      <c r="Q1491" s="356"/>
      <c r="R1491" s="356"/>
      <c r="S1491" s="356"/>
      <c r="T1491" s="356"/>
      <c r="U1491" s="372" t="s">
        <v>12</v>
      </c>
      <c r="V1491" s="372"/>
      <c r="W1491" s="372"/>
      <c r="X1491" s="373"/>
      <c r="Y1491" s="348" t="s">
        <v>4193</v>
      </c>
      <c r="Z1491" s="348"/>
      <c r="AA1491" s="348"/>
    </row>
    <row r="1492" s="331" customFormat="1" ht="17" customHeight="1" spans="1:27">
      <c r="A1492" s="348">
        <v>2027596</v>
      </c>
      <c r="B1492" s="348" t="s">
        <v>73</v>
      </c>
      <c r="C1492" s="348" t="s">
        <v>74</v>
      </c>
      <c r="D1492" s="352" t="s">
        <v>717</v>
      </c>
      <c r="E1492" s="336">
        <v>43724</v>
      </c>
      <c r="F1492" s="336">
        <v>43646</v>
      </c>
      <c r="G1492" s="336">
        <v>43724</v>
      </c>
      <c r="H1492" s="334" t="s">
        <v>4194</v>
      </c>
      <c r="I1492" s="356">
        <v>18516742960</v>
      </c>
      <c r="J1492" s="361" t="s">
        <v>4195</v>
      </c>
      <c r="K1492" s="356">
        <v>1000</v>
      </c>
      <c r="L1492" s="334">
        <v>10430</v>
      </c>
      <c r="M1492" s="362"/>
      <c r="N1492" s="362">
        <f t="shared" si="45"/>
        <v>10430</v>
      </c>
      <c r="O1492" s="366" t="s">
        <v>52</v>
      </c>
      <c r="P1492" s="356"/>
      <c r="Q1492" s="356"/>
      <c r="R1492" s="356"/>
      <c r="S1492" s="356"/>
      <c r="T1492" s="356"/>
      <c r="U1492" s="372"/>
      <c r="V1492" s="372"/>
      <c r="W1492" s="372"/>
      <c r="X1492" s="373"/>
      <c r="Y1492" s="348" t="s">
        <v>274</v>
      </c>
      <c r="Z1492" s="348" t="s">
        <v>79</v>
      </c>
      <c r="AA1492" s="348"/>
    </row>
    <row r="1493" s="331" customFormat="1" ht="17" customHeight="1" spans="1:27">
      <c r="A1493" s="550" t="s">
        <v>4196</v>
      </c>
      <c r="B1493" s="348" t="s">
        <v>31</v>
      </c>
      <c r="C1493" s="348" t="s">
        <v>251</v>
      </c>
      <c r="D1493" s="334" t="s">
        <v>221</v>
      </c>
      <c r="E1493" s="336">
        <v>43713</v>
      </c>
      <c r="F1493" s="336">
        <v>43645</v>
      </c>
      <c r="G1493" s="336">
        <v>43712</v>
      </c>
      <c r="H1493" s="334" t="s">
        <v>4197</v>
      </c>
      <c r="I1493" s="356">
        <v>18321050800</v>
      </c>
      <c r="J1493" s="361" t="s">
        <v>4198</v>
      </c>
      <c r="K1493" s="356">
        <v>1000</v>
      </c>
      <c r="L1493" s="334">
        <v>11600</v>
      </c>
      <c r="M1493" s="362"/>
      <c r="N1493" s="362">
        <f t="shared" si="45"/>
        <v>11600</v>
      </c>
      <c r="O1493" s="356"/>
      <c r="P1493" s="356"/>
      <c r="Q1493" s="366" t="s">
        <v>52</v>
      </c>
      <c r="R1493" s="356"/>
      <c r="S1493" s="356"/>
      <c r="T1493" s="356"/>
      <c r="U1493" s="372"/>
      <c r="V1493" s="372"/>
      <c r="W1493" s="372"/>
      <c r="X1493" s="373"/>
      <c r="Y1493" s="348"/>
      <c r="Z1493" s="348"/>
      <c r="AA1493" s="348"/>
    </row>
    <row r="1494" s="331" customFormat="1" ht="17" customHeight="1" spans="1:27">
      <c r="A1494" s="550" t="s">
        <v>4199</v>
      </c>
      <c r="B1494" s="348" t="s">
        <v>66</v>
      </c>
      <c r="C1494" s="348" t="s">
        <v>2389</v>
      </c>
      <c r="D1494" s="349" t="s">
        <v>68</v>
      </c>
      <c r="E1494" s="336">
        <v>43702</v>
      </c>
      <c r="F1494" s="336">
        <v>43645</v>
      </c>
      <c r="G1494" s="336">
        <v>43702</v>
      </c>
      <c r="H1494" s="334" t="s">
        <v>4200</v>
      </c>
      <c r="I1494" s="356">
        <v>18621542135</v>
      </c>
      <c r="J1494" s="361" t="s">
        <v>4201</v>
      </c>
      <c r="K1494" s="356">
        <v>3000</v>
      </c>
      <c r="L1494" s="334">
        <v>22504</v>
      </c>
      <c r="M1494" s="334">
        <v>1104</v>
      </c>
      <c r="N1494" s="362">
        <f t="shared" si="45"/>
        <v>23608</v>
      </c>
      <c r="O1494" s="356"/>
      <c r="P1494" s="356"/>
      <c r="Q1494" s="356" t="s">
        <v>21</v>
      </c>
      <c r="R1494" s="356"/>
      <c r="S1494" s="356"/>
      <c r="T1494" s="356"/>
      <c r="U1494" s="372"/>
      <c r="V1494" s="372"/>
      <c r="W1494" s="372"/>
      <c r="X1494" s="373"/>
      <c r="Y1494" s="348"/>
      <c r="Z1494" s="348"/>
      <c r="AA1494" s="348"/>
    </row>
    <row r="1495" s="331" customFormat="1" ht="17" customHeight="1" spans="1:27">
      <c r="A1495" s="550" t="s">
        <v>4202</v>
      </c>
      <c r="B1495" s="348" t="s">
        <v>58</v>
      </c>
      <c r="C1495" s="348" t="s">
        <v>342</v>
      </c>
      <c r="D1495" s="349" t="s">
        <v>343</v>
      </c>
      <c r="E1495" s="336" t="s">
        <v>133</v>
      </c>
      <c r="F1495" s="336">
        <v>43645</v>
      </c>
      <c r="G1495" s="336">
        <v>43677</v>
      </c>
      <c r="H1495" s="351" t="s">
        <v>4203</v>
      </c>
      <c r="I1495" s="356">
        <v>18621299977</v>
      </c>
      <c r="J1495" s="361" t="s">
        <v>4204</v>
      </c>
      <c r="K1495" s="356">
        <v>25000</v>
      </c>
      <c r="L1495" s="334">
        <v>24557</v>
      </c>
      <c r="M1495" s="362"/>
      <c r="N1495" s="362">
        <f t="shared" si="45"/>
        <v>24557</v>
      </c>
      <c r="O1495" s="356"/>
      <c r="P1495" s="356"/>
      <c r="Q1495" s="356"/>
      <c r="R1495" s="366" t="s">
        <v>52</v>
      </c>
      <c r="S1495" s="356"/>
      <c r="T1495" s="356"/>
      <c r="U1495" s="372"/>
      <c r="V1495" s="372"/>
      <c r="W1495" s="372"/>
      <c r="X1495" s="373">
        <v>1</v>
      </c>
      <c r="Y1495" s="348"/>
      <c r="Z1495" s="348"/>
      <c r="AA1495" s="348"/>
    </row>
    <row r="1496" s="331" customFormat="1" ht="17" customHeight="1" spans="1:27">
      <c r="A1496" s="348">
        <v>2025337</v>
      </c>
      <c r="B1496" s="348" t="s">
        <v>58</v>
      </c>
      <c r="C1496" s="348" t="s">
        <v>109</v>
      </c>
      <c r="D1496" s="349" t="s">
        <v>110</v>
      </c>
      <c r="E1496" s="336">
        <v>43646</v>
      </c>
      <c r="F1496" s="336">
        <v>43645</v>
      </c>
      <c r="G1496" s="336">
        <v>43660</v>
      </c>
      <c r="H1496" s="334" t="s">
        <v>4205</v>
      </c>
      <c r="I1496" s="356">
        <v>18939800646</v>
      </c>
      <c r="J1496" s="361" t="s">
        <v>4206</v>
      </c>
      <c r="K1496" s="356">
        <v>25000</v>
      </c>
      <c r="L1496" s="334">
        <v>26900</v>
      </c>
      <c r="M1496" s="334"/>
      <c r="N1496" s="362">
        <f t="shared" si="45"/>
        <v>26900</v>
      </c>
      <c r="O1496" s="356"/>
      <c r="P1496" s="356"/>
      <c r="Q1496" s="356"/>
      <c r="R1496" s="356"/>
      <c r="S1496" s="356"/>
      <c r="T1496" s="356"/>
      <c r="U1496" s="372"/>
      <c r="V1496" s="372"/>
      <c r="W1496" s="372"/>
      <c r="X1496" s="373"/>
      <c r="Y1496" s="348"/>
      <c r="Z1496" s="348"/>
      <c r="AA1496" s="348"/>
    </row>
    <row r="1497" s="331" customFormat="1" ht="17" customHeight="1" spans="1:27">
      <c r="A1497" s="348">
        <v>2020297</v>
      </c>
      <c r="B1497" s="348" t="s">
        <v>58</v>
      </c>
      <c r="C1497" s="348" t="s">
        <v>109</v>
      </c>
      <c r="D1497" s="352" t="s">
        <v>110</v>
      </c>
      <c r="E1497" s="336">
        <v>43689</v>
      </c>
      <c r="F1497" s="336">
        <v>43645</v>
      </c>
      <c r="G1497" s="336">
        <v>43688</v>
      </c>
      <c r="H1497" s="334" t="s">
        <v>4207</v>
      </c>
      <c r="I1497" s="356">
        <v>13482771259</v>
      </c>
      <c r="J1497" s="361" t="s">
        <v>4208</v>
      </c>
      <c r="K1497" s="356">
        <v>20000</v>
      </c>
      <c r="L1497" s="334">
        <v>19496</v>
      </c>
      <c r="M1497" s="334">
        <v>1840</v>
      </c>
      <c r="N1497" s="362">
        <f t="shared" si="45"/>
        <v>21336</v>
      </c>
      <c r="O1497" s="366"/>
      <c r="P1497" s="356"/>
      <c r="Q1497" s="366" t="s">
        <v>52</v>
      </c>
      <c r="R1497" s="356"/>
      <c r="S1497" s="356"/>
      <c r="T1497" s="356"/>
      <c r="U1497" s="372"/>
      <c r="V1497" s="372"/>
      <c r="W1497" s="372"/>
      <c r="X1497" s="373"/>
      <c r="Y1497" s="348" t="s">
        <v>274</v>
      </c>
      <c r="Z1497" s="348"/>
      <c r="AA1497" s="348" t="s">
        <v>4209</v>
      </c>
    </row>
    <row r="1498" s="331" customFormat="1" ht="17" customHeight="1" spans="1:27">
      <c r="A1498" s="550" t="s">
        <v>4210</v>
      </c>
      <c r="B1498" s="348" t="s">
        <v>35</v>
      </c>
      <c r="C1498" s="348" t="s">
        <v>392</v>
      </c>
      <c r="D1498" s="349" t="s">
        <v>37</v>
      </c>
      <c r="E1498" s="336">
        <v>43646</v>
      </c>
      <c r="F1498" s="336">
        <v>43646</v>
      </c>
      <c r="G1498" s="336">
        <v>43672</v>
      </c>
      <c r="H1498" s="334" t="s">
        <v>4211</v>
      </c>
      <c r="I1498" s="356">
        <v>13701725815</v>
      </c>
      <c r="J1498" s="361" t="s">
        <v>4212</v>
      </c>
      <c r="K1498" s="356">
        <v>1000</v>
      </c>
      <c r="L1498" s="334">
        <v>9288</v>
      </c>
      <c r="M1498" s="334">
        <v>1840</v>
      </c>
      <c r="N1498" s="362">
        <f t="shared" si="45"/>
        <v>11128</v>
      </c>
      <c r="O1498" s="356"/>
      <c r="P1498" s="356" t="s">
        <v>52</v>
      </c>
      <c r="Q1498" s="356"/>
      <c r="R1498" s="356"/>
      <c r="S1498" s="356"/>
      <c r="T1498" s="356"/>
      <c r="U1498" s="372"/>
      <c r="V1498" s="372"/>
      <c r="W1498" s="372"/>
      <c r="X1498" s="373"/>
      <c r="Y1498" s="348" t="s">
        <v>274</v>
      </c>
      <c r="Z1498" s="348"/>
      <c r="AA1498" s="348"/>
    </row>
    <row r="1499" s="331" customFormat="1" ht="15" customHeight="1" spans="1:27">
      <c r="A1499" s="550" t="s">
        <v>2142</v>
      </c>
      <c r="B1499" s="348" t="s">
        <v>58</v>
      </c>
      <c r="C1499" s="348" t="s">
        <v>794</v>
      </c>
      <c r="D1499" s="352" t="s">
        <v>110</v>
      </c>
      <c r="E1499" s="336">
        <v>43589</v>
      </c>
      <c r="F1499" s="336">
        <v>43589</v>
      </c>
      <c r="G1499" s="350"/>
      <c r="H1499" s="334" t="s">
        <v>3890</v>
      </c>
      <c r="I1499" s="356">
        <v>18930929162</v>
      </c>
      <c r="J1499" s="361" t="s">
        <v>4213</v>
      </c>
      <c r="K1499" s="356">
        <v>3000</v>
      </c>
      <c r="L1499" s="362"/>
      <c r="M1499" s="362"/>
      <c r="N1499" s="362">
        <f t="shared" si="45"/>
        <v>0</v>
      </c>
      <c r="O1499" s="366" t="s">
        <v>52</v>
      </c>
      <c r="P1499" s="356"/>
      <c r="Q1499" s="356"/>
      <c r="R1499" s="356"/>
      <c r="S1499" s="356"/>
      <c r="T1499" s="356"/>
      <c r="U1499" s="374">
        <v>43706</v>
      </c>
      <c r="V1499" s="372"/>
      <c r="W1499" s="372"/>
      <c r="X1499" s="373"/>
      <c r="Y1499" s="348" t="s">
        <v>1338</v>
      </c>
      <c r="Z1499" s="348"/>
      <c r="AA1499" s="348"/>
    </row>
    <row r="1500" s="331" customFormat="1" ht="17" customHeight="1" spans="1:27">
      <c r="A1500" s="550" t="s">
        <v>4214</v>
      </c>
      <c r="B1500" s="348" t="s">
        <v>31</v>
      </c>
      <c r="C1500" s="348" t="s">
        <v>3186</v>
      </c>
      <c r="D1500" s="349" t="s">
        <v>33</v>
      </c>
      <c r="E1500" s="336">
        <v>43682</v>
      </c>
      <c r="F1500" s="336">
        <v>43646</v>
      </c>
      <c r="G1500" s="336">
        <v>43680</v>
      </c>
      <c r="H1500" s="334" t="s">
        <v>4215</v>
      </c>
      <c r="I1500" s="356">
        <v>13482451876</v>
      </c>
      <c r="J1500" s="361" t="s">
        <v>4216</v>
      </c>
      <c r="K1500" s="356">
        <v>1000</v>
      </c>
      <c r="L1500" s="334">
        <v>13657</v>
      </c>
      <c r="M1500" s="334">
        <f>736+368</f>
        <v>1104</v>
      </c>
      <c r="N1500" s="362">
        <f t="shared" si="45"/>
        <v>14761</v>
      </c>
      <c r="O1500" s="356"/>
      <c r="P1500" s="356"/>
      <c r="Q1500" s="366" t="s">
        <v>52</v>
      </c>
      <c r="R1500" s="356"/>
      <c r="S1500" s="356"/>
      <c r="T1500" s="356"/>
      <c r="U1500" s="372"/>
      <c r="V1500" s="372"/>
      <c r="W1500" s="372"/>
      <c r="X1500" s="373"/>
      <c r="Y1500" s="348"/>
      <c r="Z1500" s="348"/>
      <c r="AA1500" s="348"/>
    </row>
    <row r="1501" s="331" customFormat="1" ht="17" customHeight="1" spans="1:27">
      <c r="A1501" s="550" t="s">
        <v>4217</v>
      </c>
      <c r="B1501" s="348" t="s">
        <v>31</v>
      </c>
      <c r="C1501" s="348" t="s">
        <v>3186</v>
      </c>
      <c r="D1501" s="334" t="s">
        <v>954</v>
      </c>
      <c r="E1501" s="336">
        <v>43710</v>
      </c>
      <c r="F1501" s="336">
        <v>43646</v>
      </c>
      <c r="G1501" s="336">
        <v>43709</v>
      </c>
      <c r="H1501" s="334" t="s">
        <v>4218</v>
      </c>
      <c r="I1501" s="356">
        <v>18916570685</v>
      </c>
      <c r="J1501" s="361" t="s">
        <v>4219</v>
      </c>
      <c r="K1501" s="356">
        <v>1000</v>
      </c>
      <c r="L1501" s="334">
        <f>13300-1472</f>
        <v>11828</v>
      </c>
      <c r="M1501" s="334">
        <v>1472</v>
      </c>
      <c r="N1501" s="362">
        <f t="shared" si="45"/>
        <v>13300</v>
      </c>
      <c r="O1501" s="366" t="s">
        <v>52</v>
      </c>
      <c r="P1501" s="356"/>
      <c r="Q1501" s="356"/>
      <c r="R1501" s="356"/>
      <c r="S1501" s="356"/>
      <c r="T1501" s="356"/>
      <c r="U1501" s="372"/>
      <c r="V1501" s="372"/>
      <c r="W1501" s="372"/>
      <c r="X1501" s="373">
        <v>1</v>
      </c>
      <c r="Y1501" s="348"/>
      <c r="Z1501" s="348"/>
      <c r="AA1501" s="348"/>
    </row>
    <row r="1502" s="331" customFormat="1" ht="17" customHeight="1" spans="1:27">
      <c r="A1502" s="348">
        <v>2025344</v>
      </c>
      <c r="B1502" s="348" t="s">
        <v>137</v>
      </c>
      <c r="C1502" s="348" t="s">
        <v>138</v>
      </c>
      <c r="D1502" s="349" t="s">
        <v>139</v>
      </c>
      <c r="E1502" s="336">
        <v>43646</v>
      </c>
      <c r="F1502" s="336">
        <v>43646</v>
      </c>
      <c r="G1502" s="350"/>
      <c r="H1502" s="334" t="s">
        <v>4220</v>
      </c>
      <c r="I1502" s="356">
        <v>13636620045</v>
      </c>
      <c r="J1502" s="361" t="s">
        <v>4221</v>
      </c>
      <c r="K1502" s="356">
        <v>1000</v>
      </c>
      <c r="L1502" s="362"/>
      <c r="M1502" s="362"/>
      <c r="N1502" s="362">
        <f t="shared" si="45"/>
        <v>0</v>
      </c>
      <c r="O1502" s="356"/>
      <c r="P1502" s="356">
        <v>1</v>
      </c>
      <c r="Q1502" s="356"/>
      <c r="R1502" s="356"/>
      <c r="S1502" s="356"/>
      <c r="T1502" s="356"/>
      <c r="U1502" s="400" t="s">
        <v>4222</v>
      </c>
      <c r="V1502" s="372"/>
      <c r="W1502" s="372"/>
      <c r="X1502" s="373"/>
      <c r="Y1502" s="348"/>
      <c r="Z1502" s="348"/>
      <c r="AA1502" s="348"/>
    </row>
    <row r="1503" s="331" customFormat="1" ht="17" customHeight="1" spans="1:27">
      <c r="A1503" s="550" t="s">
        <v>4223</v>
      </c>
      <c r="B1503" s="348" t="s">
        <v>31</v>
      </c>
      <c r="C1503" s="348" t="s">
        <v>377</v>
      </c>
      <c r="D1503" s="334" t="s">
        <v>407</v>
      </c>
      <c r="E1503" s="336">
        <v>43737</v>
      </c>
      <c r="F1503" s="336">
        <v>43639</v>
      </c>
      <c r="G1503" s="336">
        <v>43737</v>
      </c>
      <c r="H1503" s="334" t="s">
        <v>4224</v>
      </c>
      <c r="I1503" s="356">
        <v>18964106715</v>
      </c>
      <c r="J1503" s="361" t="s">
        <v>4225</v>
      </c>
      <c r="K1503" s="356">
        <f>1000+1000</f>
        <v>2000</v>
      </c>
      <c r="L1503" s="334">
        <v>11000</v>
      </c>
      <c r="M1503" s="362"/>
      <c r="N1503" s="362">
        <f t="shared" si="45"/>
        <v>11000</v>
      </c>
      <c r="O1503" s="366" t="s">
        <v>52</v>
      </c>
      <c r="P1503" s="356"/>
      <c r="Q1503" s="356"/>
      <c r="R1503" s="356"/>
      <c r="S1503" s="356"/>
      <c r="T1503" s="356"/>
      <c r="U1503" s="372"/>
      <c r="V1503" s="372"/>
      <c r="W1503" s="372"/>
      <c r="X1503" s="373"/>
      <c r="Y1503" s="348" t="s">
        <v>3672</v>
      </c>
      <c r="Z1503" s="348"/>
      <c r="AA1503" s="348"/>
    </row>
    <row r="1504" s="331" customFormat="1" ht="17" customHeight="1" spans="1:27">
      <c r="A1504" s="550" t="s">
        <v>4226</v>
      </c>
      <c r="B1504" s="348" t="s">
        <v>354</v>
      </c>
      <c r="C1504" s="348" t="s">
        <v>355</v>
      </c>
      <c r="D1504" s="349" t="s">
        <v>356</v>
      </c>
      <c r="E1504" s="336">
        <v>43646</v>
      </c>
      <c r="F1504" s="336">
        <v>43646</v>
      </c>
      <c r="G1504" s="336">
        <v>43659</v>
      </c>
      <c r="H1504" s="334" t="s">
        <v>4227</v>
      </c>
      <c r="I1504" s="356">
        <v>13761271103</v>
      </c>
      <c r="J1504" s="361" t="s">
        <v>4228</v>
      </c>
      <c r="K1504" s="356">
        <v>1000</v>
      </c>
      <c r="L1504" s="334">
        <v>4000</v>
      </c>
      <c r="M1504" s="334"/>
      <c r="N1504" s="362">
        <f t="shared" si="45"/>
        <v>4000</v>
      </c>
      <c r="O1504" s="356"/>
      <c r="P1504" s="356"/>
      <c r="Q1504" s="356"/>
      <c r="R1504" s="356"/>
      <c r="S1504" s="356"/>
      <c r="T1504" s="356"/>
      <c r="U1504" s="372"/>
      <c r="V1504" s="372"/>
      <c r="W1504" s="372"/>
      <c r="X1504" s="373"/>
      <c r="Y1504" s="348"/>
      <c r="Z1504" s="348"/>
      <c r="AA1504" s="348"/>
    </row>
    <row r="1505" s="331" customFormat="1" ht="17" customHeight="1" spans="1:27">
      <c r="A1505" s="550" t="s">
        <v>4229</v>
      </c>
      <c r="B1505" s="348" t="s">
        <v>31</v>
      </c>
      <c r="C1505" s="348" t="s">
        <v>220</v>
      </c>
      <c r="D1505" s="349" t="s">
        <v>221</v>
      </c>
      <c r="E1505" s="336">
        <v>43646</v>
      </c>
      <c r="F1505" s="336">
        <v>43646</v>
      </c>
      <c r="G1505" s="350"/>
      <c r="H1505" s="334" t="s">
        <v>4230</v>
      </c>
      <c r="I1505" s="356">
        <v>13681888026</v>
      </c>
      <c r="J1505" s="361" t="s">
        <v>4231</v>
      </c>
      <c r="K1505" s="356">
        <v>1000</v>
      </c>
      <c r="L1505" s="362"/>
      <c r="M1505" s="362"/>
      <c r="N1505" s="362">
        <f t="shared" si="45"/>
        <v>0</v>
      </c>
      <c r="O1505" s="366"/>
      <c r="P1505" s="356"/>
      <c r="Q1505" s="356"/>
      <c r="R1505" s="356"/>
      <c r="S1505" s="356"/>
      <c r="T1505" s="356"/>
      <c r="U1505" s="336" t="s">
        <v>40</v>
      </c>
      <c r="V1505" s="366"/>
      <c r="W1505" s="372"/>
      <c r="X1505" s="373"/>
      <c r="Y1505" s="348"/>
      <c r="Z1505" s="348"/>
      <c r="AA1505" s="348"/>
    </row>
    <row r="1506" s="331" customFormat="1" ht="17" customHeight="1" spans="1:27">
      <c r="A1506" s="550" t="s">
        <v>4232</v>
      </c>
      <c r="B1506" s="348" t="s">
        <v>31</v>
      </c>
      <c r="C1506" s="348" t="s">
        <v>251</v>
      </c>
      <c r="D1506" s="349" t="s">
        <v>33</v>
      </c>
      <c r="E1506" s="336">
        <v>43646</v>
      </c>
      <c r="F1506" s="336">
        <v>43646</v>
      </c>
      <c r="G1506" s="350"/>
      <c r="H1506" s="334" t="s">
        <v>4233</v>
      </c>
      <c r="I1506" s="356">
        <v>15802100095</v>
      </c>
      <c r="J1506" s="361" t="s">
        <v>4234</v>
      </c>
      <c r="K1506" s="356">
        <v>1000</v>
      </c>
      <c r="L1506" s="362"/>
      <c r="M1506" s="362"/>
      <c r="N1506" s="362">
        <f t="shared" si="45"/>
        <v>0</v>
      </c>
      <c r="O1506" s="356"/>
      <c r="P1506" s="356"/>
      <c r="Q1506" s="366" t="s">
        <v>52</v>
      </c>
      <c r="R1506" s="356"/>
      <c r="S1506" s="356"/>
      <c r="T1506" s="356"/>
      <c r="U1506" s="372"/>
      <c r="V1506" s="372"/>
      <c r="W1506" s="372"/>
      <c r="X1506" s="373"/>
      <c r="Y1506" s="348"/>
      <c r="Z1506" s="348"/>
      <c r="AA1506" s="348"/>
    </row>
    <row r="1507" s="331" customFormat="1" ht="17" customHeight="1" spans="1:27">
      <c r="A1507" s="348">
        <v>2025346</v>
      </c>
      <c r="B1507" s="348" t="s">
        <v>137</v>
      </c>
      <c r="C1507" s="348" t="s">
        <v>861</v>
      </c>
      <c r="D1507" s="334" t="s">
        <v>139</v>
      </c>
      <c r="E1507" s="336">
        <v>43725</v>
      </c>
      <c r="F1507" s="336">
        <v>43646</v>
      </c>
      <c r="G1507" s="336">
        <v>43722</v>
      </c>
      <c r="H1507" s="334" t="s">
        <v>4235</v>
      </c>
      <c r="I1507" s="356">
        <v>18603852888</v>
      </c>
      <c r="J1507" s="361" t="s">
        <v>4236</v>
      </c>
      <c r="K1507" s="356">
        <v>5000</v>
      </c>
      <c r="L1507" s="334">
        <v>54550</v>
      </c>
      <c r="M1507" s="362"/>
      <c r="N1507" s="362">
        <f t="shared" si="45"/>
        <v>54550</v>
      </c>
      <c r="O1507" s="356"/>
      <c r="P1507" s="356">
        <v>1</v>
      </c>
      <c r="Q1507" s="356"/>
      <c r="R1507" s="356"/>
      <c r="S1507" s="356"/>
      <c r="T1507" s="356"/>
      <c r="U1507" s="372"/>
      <c r="V1507" s="372"/>
      <c r="W1507" s="372"/>
      <c r="X1507" s="373">
        <v>1</v>
      </c>
      <c r="Y1507" s="348"/>
      <c r="Z1507" s="348"/>
      <c r="AA1507" s="348"/>
    </row>
    <row r="1508" s="331" customFormat="1" ht="17" customHeight="1" spans="1:27">
      <c r="A1508" s="550" t="s">
        <v>4237</v>
      </c>
      <c r="B1508" s="348" t="s">
        <v>2625</v>
      </c>
      <c r="C1508" s="348" t="s">
        <v>2626</v>
      </c>
      <c r="D1508" s="352" t="s">
        <v>89</v>
      </c>
      <c r="E1508" s="336">
        <v>43751</v>
      </c>
      <c r="F1508" s="336">
        <v>43646</v>
      </c>
      <c r="G1508" s="336">
        <v>43751</v>
      </c>
      <c r="H1508" s="334" t="s">
        <v>4238</v>
      </c>
      <c r="I1508" s="356">
        <v>13917065742</v>
      </c>
      <c r="J1508" s="361" t="s">
        <v>4239</v>
      </c>
      <c r="K1508" s="356">
        <v>1000</v>
      </c>
      <c r="L1508" s="334">
        <v>11000</v>
      </c>
      <c r="M1508" s="362"/>
      <c r="N1508" s="362">
        <f t="shared" si="45"/>
        <v>11000</v>
      </c>
      <c r="O1508" s="356"/>
      <c r="P1508" s="356"/>
      <c r="Q1508" s="356"/>
      <c r="R1508" s="356"/>
      <c r="S1508" s="356" t="s">
        <v>3660</v>
      </c>
      <c r="T1508" s="356"/>
      <c r="U1508" s="372"/>
      <c r="V1508" s="372"/>
      <c r="W1508" s="372"/>
      <c r="X1508" s="373"/>
      <c r="Y1508" s="348" t="s">
        <v>274</v>
      </c>
      <c r="Z1508" s="348"/>
      <c r="AA1508" s="348"/>
    </row>
    <row r="1509" s="331" customFormat="1" ht="17" customHeight="1" spans="1:27">
      <c r="A1509" s="550" t="s">
        <v>4240</v>
      </c>
      <c r="B1509" s="348" t="s">
        <v>315</v>
      </c>
      <c r="C1509" s="348" t="s">
        <v>366</v>
      </c>
      <c r="D1509" s="352" t="s">
        <v>132</v>
      </c>
      <c r="E1509" s="336">
        <v>43646</v>
      </c>
      <c r="F1509" s="336">
        <v>43646</v>
      </c>
      <c r="G1509" s="350"/>
      <c r="H1509" s="334" t="s">
        <v>4241</v>
      </c>
      <c r="I1509" s="356">
        <v>18616380312</v>
      </c>
      <c r="J1509" s="361" t="s">
        <v>4242</v>
      </c>
      <c r="K1509" s="356">
        <v>1000</v>
      </c>
      <c r="L1509" s="362"/>
      <c r="M1509" s="362"/>
      <c r="N1509" s="362">
        <f t="shared" si="45"/>
        <v>0</v>
      </c>
      <c r="O1509" s="356"/>
      <c r="P1509" s="356"/>
      <c r="Q1509" s="356">
        <v>1</v>
      </c>
      <c r="R1509" s="356"/>
      <c r="S1509" s="356"/>
      <c r="T1509" s="356"/>
      <c r="U1509" s="400" t="s">
        <v>4243</v>
      </c>
      <c r="V1509" s="372"/>
      <c r="W1509" s="372"/>
      <c r="X1509" s="373"/>
      <c r="Y1509" s="348"/>
      <c r="Z1509" s="348"/>
      <c r="AA1509" s="348"/>
    </row>
    <row r="1510" s="331" customFormat="1" ht="17" customHeight="1" spans="1:27">
      <c r="A1510" s="550" t="s">
        <v>4244</v>
      </c>
      <c r="B1510" s="348" t="s">
        <v>123</v>
      </c>
      <c r="C1510" s="348" t="s">
        <v>902</v>
      </c>
      <c r="D1510" s="349" t="s">
        <v>125</v>
      </c>
      <c r="E1510" s="336">
        <v>43646</v>
      </c>
      <c r="F1510" s="336">
        <v>43646</v>
      </c>
      <c r="G1510" s="350"/>
      <c r="H1510" s="334" t="s">
        <v>4245</v>
      </c>
      <c r="I1510" s="356">
        <v>1347286186</v>
      </c>
      <c r="J1510" s="361" t="s">
        <v>4246</v>
      </c>
      <c r="K1510" s="356">
        <v>1000</v>
      </c>
      <c r="L1510" s="362"/>
      <c r="M1510" s="362"/>
      <c r="N1510" s="362">
        <f t="shared" si="45"/>
        <v>0</v>
      </c>
      <c r="O1510" s="356"/>
      <c r="P1510" s="356"/>
      <c r="Q1510" s="356"/>
      <c r="R1510" s="356"/>
      <c r="S1510" s="356"/>
      <c r="T1510" s="356"/>
      <c r="U1510" s="372" t="s">
        <v>40</v>
      </c>
      <c r="V1510" s="372"/>
      <c r="W1510" s="372"/>
      <c r="X1510" s="373"/>
      <c r="Y1510" s="348"/>
      <c r="Z1510" s="348"/>
      <c r="AA1510" s="348"/>
    </row>
    <row r="1511" s="331" customFormat="1" ht="17" customHeight="1" spans="1:27">
      <c r="A1511" s="550" t="s">
        <v>4247</v>
      </c>
      <c r="B1511" s="348" t="s">
        <v>205</v>
      </c>
      <c r="C1511" s="348" t="s">
        <v>1467</v>
      </c>
      <c r="D1511" s="349" t="s">
        <v>407</v>
      </c>
      <c r="E1511" s="336">
        <v>43646</v>
      </c>
      <c r="F1511" s="336">
        <v>43646</v>
      </c>
      <c r="G1511" s="336">
        <v>43676</v>
      </c>
      <c r="H1511" s="334" t="s">
        <v>4248</v>
      </c>
      <c r="I1511" s="356">
        <v>15901982013</v>
      </c>
      <c r="J1511" s="361" t="s">
        <v>4249</v>
      </c>
      <c r="K1511" s="356">
        <v>18188</v>
      </c>
      <c r="L1511" s="334">
        <v>20139</v>
      </c>
      <c r="M1511" s="362"/>
      <c r="N1511" s="362">
        <f t="shared" si="45"/>
        <v>20139</v>
      </c>
      <c r="O1511" s="356"/>
      <c r="P1511" s="356"/>
      <c r="Q1511" s="356" t="s">
        <v>4250</v>
      </c>
      <c r="R1511" s="356"/>
      <c r="S1511" s="356"/>
      <c r="T1511" s="356"/>
      <c r="U1511" s="372"/>
      <c r="V1511" s="372"/>
      <c r="W1511" s="372"/>
      <c r="X1511" s="373"/>
      <c r="Y1511" s="348"/>
      <c r="Z1511" s="348"/>
      <c r="AA1511" s="348"/>
    </row>
    <row r="1512" s="331" customFormat="1" ht="17" customHeight="1" spans="1:27">
      <c r="A1512" s="550" t="s">
        <v>4251</v>
      </c>
      <c r="B1512" s="348" t="s">
        <v>147</v>
      </c>
      <c r="C1512" s="348" t="s">
        <v>148</v>
      </c>
      <c r="D1512" s="349" t="s">
        <v>1170</v>
      </c>
      <c r="E1512" s="336">
        <v>43693</v>
      </c>
      <c r="F1512" s="336">
        <v>43646</v>
      </c>
      <c r="G1512" s="336">
        <v>43693</v>
      </c>
      <c r="H1512" s="334" t="s">
        <v>4252</v>
      </c>
      <c r="I1512" s="356">
        <v>13816855327</v>
      </c>
      <c r="J1512" s="361" t="s">
        <v>4253</v>
      </c>
      <c r="K1512" s="356">
        <v>1000</v>
      </c>
      <c r="L1512" s="334">
        <v>10081</v>
      </c>
      <c r="M1512" s="362"/>
      <c r="N1512" s="362">
        <f t="shared" si="45"/>
        <v>10081</v>
      </c>
      <c r="O1512" s="356"/>
      <c r="P1512" s="356"/>
      <c r="Q1512" s="356"/>
      <c r="R1512" s="391"/>
      <c r="S1512" s="391" t="s">
        <v>4254</v>
      </c>
      <c r="T1512" s="356"/>
      <c r="U1512" s="372"/>
      <c r="V1512" s="372"/>
      <c r="W1512" s="372"/>
      <c r="X1512" s="373"/>
      <c r="Y1512" s="348"/>
      <c r="Z1512" s="348"/>
      <c r="AA1512" s="348"/>
    </row>
    <row r="1513" s="331" customFormat="1" ht="17" customHeight="1" spans="1:27">
      <c r="A1513" s="550" t="s">
        <v>4255</v>
      </c>
      <c r="B1513" s="348" t="s">
        <v>147</v>
      </c>
      <c r="C1513" s="348" t="s">
        <v>148</v>
      </c>
      <c r="D1513" s="352" t="s">
        <v>149</v>
      </c>
      <c r="E1513" s="336">
        <v>43646</v>
      </c>
      <c r="F1513" s="336">
        <v>43646</v>
      </c>
      <c r="G1513" s="350"/>
      <c r="H1513" s="334" t="s">
        <v>4256</v>
      </c>
      <c r="I1513" s="356">
        <v>13918403129</v>
      </c>
      <c r="J1513" s="361" t="s">
        <v>4257</v>
      </c>
      <c r="K1513" s="356">
        <v>4901</v>
      </c>
      <c r="L1513" s="362"/>
      <c r="M1513" s="362"/>
      <c r="N1513" s="362">
        <f t="shared" si="45"/>
        <v>0</v>
      </c>
      <c r="O1513" s="356"/>
      <c r="P1513" s="356"/>
      <c r="Q1513" s="356"/>
      <c r="R1513" s="356"/>
      <c r="S1513" s="356"/>
      <c r="T1513" s="356"/>
      <c r="U1513" s="372" t="s">
        <v>4258</v>
      </c>
      <c r="V1513" s="372"/>
      <c r="W1513" s="372"/>
      <c r="X1513" s="373"/>
      <c r="Y1513" s="348"/>
      <c r="Z1513" s="348"/>
      <c r="AA1513" s="348"/>
    </row>
    <row r="1514" s="331" customFormat="1" ht="17" customHeight="1" spans="1:27">
      <c r="A1514" s="348"/>
      <c r="B1514" s="348" t="s">
        <v>405</v>
      </c>
      <c r="C1514" s="348" t="s">
        <v>1234</v>
      </c>
      <c r="D1514" s="349" t="s">
        <v>407</v>
      </c>
      <c r="E1514" s="336">
        <v>43696</v>
      </c>
      <c r="F1514" s="336">
        <v>43646</v>
      </c>
      <c r="G1514" s="336">
        <v>43694</v>
      </c>
      <c r="H1514" s="334" t="s">
        <v>4259</v>
      </c>
      <c r="I1514" s="356">
        <v>18801912253</v>
      </c>
      <c r="J1514" s="361" t="s">
        <v>4260</v>
      </c>
      <c r="K1514" s="356">
        <v>3000</v>
      </c>
      <c r="L1514" s="334">
        <v>7605</v>
      </c>
      <c r="M1514" s="362"/>
      <c r="N1514" s="362">
        <f t="shared" si="45"/>
        <v>7605</v>
      </c>
      <c r="O1514" s="356"/>
      <c r="P1514" s="356"/>
      <c r="Q1514" s="356"/>
      <c r="R1514" s="356" t="s">
        <v>52</v>
      </c>
      <c r="S1514" s="356"/>
      <c r="T1514" s="356"/>
      <c r="U1514" s="372"/>
      <c r="V1514" s="372"/>
      <c r="W1514" s="372">
        <v>8.11</v>
      </c>
      <c r="X1514" s="373"/>
      <c r="Y1514" s="348"/>
      <c r="Z1514" s="348"/>
      <c r="AA1514" s="348"/>
    </row>
    <row r="1515" s="331" customFormat="1" ht="15" customHeight="1" spans="1:27">
      <c r="A1515" s="348">
        <v>2068662</v>
      </c>
      <c r="B1515" s="348" t="s">
        <v>405</v>
      </c>
      <c r="C1515" s="348" t="s">
        <v>823</v>
      </c>
      <c r="D1515" s="349" t="s">
        <v>407</v>
      </c>
      <c r="E1515" s="336">
        <v>43646</v>
      </c>
      <c r="F1515" s="336">
        <v>43646</v>
      </c>
      <c r="G1515" s="350"/>
      <c r="H1515" s="334" t="s">
        <v>4261</v>
      </c>
      <c r="I1515" s="356">
        <v>13636641595</v>
      </c>
      <c r="J1515" s="361" t="s">
        <v>4262</v>
      </c>
      <c r="K1515" s="356">
        <v>1000</v>
      </c>
      <c r="L1515" s="362"/>
      <c r="M1515" s="362"/>
      <c r="N1515" s="362">
        <f t="shared" si="45"/>
        <v>0</v>
      </c>
      <c r="O1515" s="356"/>
      <c r="P1515" s="356"/>
      <c r="Q1515" s="356" t="s">
        <v>52</v>
      </c>
      <c r="R1515" s="356"/>
      <c r="S1515" s="356"/>
      <c r="T1515" s="356"/>
      <c r="U1515" s="372"/>
      <c r="V1515" s="372"/>
      <c r="W1515" s="372"/>
      <c r="X1515" s="373"/>
      <c r="Y1515" s="348"/>
      <c r="Z1515" s="348"/>
      <c r="AA1515" s="348"/>
    </row>
    <row r="1516" s="331" customFormat="1" ht="15" customHeight="1" spans="1:27">
      <c r="A1516" s="348"/>
      <c r="B1516" s="348" t="s">
        <v>405</v>
      </c>
      <c r="C1516" s="348" t="s">
        <v>823</v>
      </c>
      <c r="D1516" s="349" t="s">
        <v>407</v>
      </c>
      <c r="E1516" s="336">
        <v>43646</v>
      </c>
      <c r="F1516" s="336">
        <v>43646</v>
      </c>
      <c r="G1516" s="350"/>
      <c r="H1516" s="334" t="s">
        <v>4263</v>
      </c>
      <c r="I1516" s="356">
        <v>18930861915</v>
      </c>
      <c r="J1516" s="361" t="s">
        <v>4264</v>
      </c>
      <c r="K1516" s="356">
        <v>1000</v>
      </c>
      <c r="L1516" s="362"/>
      <c r="M1516" s="362"/>
      <c r="N1516" s="362">
        <f t="shared" si="45"/>
        <v>0</v>
      </c>
      <c r="O1516" s="356"/>
      <c r="P1516" s="356"/>
      <c r="Q1516" s="356" t="s">
        <v>52</v>
      </c>
      <c r="R1516" s="356"/>
      <c r="S1516" s="356"/>
      <c r="T1516" s="356"/>
      <c r="U1516" s="372"/>
      <c r="V1516" s="372"/>
      <c r="W1516" s="372"/>
      <c r="X1516" s="373"/>
      <c r="Y1516" s="348"/>
      <c r="Z1516" s="348"/>
      <c r="AA1516" s="348"/>
    </row>
    <row r="1517" s="331" customFormat="1" ht="17" customHeight="1" spans="1:27">
      <c r="A1517" s="348">
        <v>2068664</v>
      </c>
      <c r="B1517" s="348" t="s">
        <v>405</v>
      </c>
      <c r="C1517" s="348" t="s">
        <v>823</v>
      </c>
      <c r="D1517" s="349" t="s">
        <v>407</v>
      </c>
      <c r="E1517" s="336">
        <v>43696</v>
      </c>
      <c r="F1517" s="336">
        <v>43646</v>
      </c>
      <c r="G1517" s="350">
        <v>43694</v>
      </c>
      <c r="H1517" s="334" t="s">
        <v>4265</v>
      </c>
      <c r="I1517" s="356">
        <v>15021933948</v>
      </c>
      <c r="J1517" s="361" t="s">
        <v>4266</v>
      </c>
      <c r="K1517" s="356">
        <v>1000</v>
      </c>
      <c r="L1517" s="334">
        <v>22679</v>
      </c>
      <c r="M1517" s="334">
        <v>1346</v>
      </c>
      <c r="N1517" s="362">
        <f t="shared" si="45"/>
        <v>24025</v>
      </c>
      <c r="O1517" s="356"/>
      <c r="P1517" s="356"/>
      <c r="Q1517" s="356"/>
      <c r="R1517" s="356"/>
      <c r="S1517" s="356" t="s">
        <v>52</v>
      </c>
      <c r="T1517" s="356"/>
      <c r="U1517" s="372"/>
      <c r="V1517" s="372"/>
      <c r="W1517" s="372"/>
      <c r="X1517" s="373"/>
      <c r="Y1517" s="348"/>
      <c r="Z1517" s="348"/>
      <c r="AA1517" s="348"/>
    </row>
    <row r="1518" s="331" customFormat="1" ht="17" customHeight="1" spans="1:27">
      <c r="A1518" s="550" t="s">
        <v>1735</v>
      </c>
      <c r="B1518" s="348" t="s">
        <v>169</v>
      </c>
      <c r="C1518" s="348" t="s">
        <v>634</v>
      </c>
      <c r="D1518" s="349" t="s">
        <v>635</v>
      </c>
      <c r="E1518" s="336">
        <v>43646</v>
      </c>
      <c r="F1518" s="336">
        <v>43645</v>
      </c>
      <c r="G1518" s="336">
        <v>43656</v>
      </c>
      <c r="H1518" s="334" t="s">
        <v>4267</v>
      </c>
      <c r="I1518" s="356">
        <v>13901624896</v>
      </c>
      <c r="J1518" s="361" t="s">
        <v>4268</v>
      </c>
      <c r="K1518" s="356">
        <v>1000</v>
      </c>
      <c r="L1518" s="334">
        <v>10499</v>
      </c>
      <c r="M1518" s="334">
        <v>736</v>
      </c>
      <c r="N1518" s="362">
        <f t="shared" si="45"/>
        <v>11235</v>
      </c>
      <c r="O1518" s="356"/>
      <c r="P1518" s="356"/>
      <c r="Q1518" s="356"/>
      <c r="R1518" s="356"/>
      <c r="S1518" s="356"/>
      <c r="T1518" s="356"/>
      <c r="U1518" s="372"/>
      <c r="V1518" s="372"/>
      <c r="W1518" s="372"/>
      <c r="X1518" s="373"/>
      <c r="Y1518" s="348"/>
      <c r="Z1518" s="348"/>
      <c r="AA1518" s="348"/>
    </row>
    <row r="1519" s="331" customFormat="1" ht="17" customHeight="1" spans="1:27">
      <c r="A1519" s="550" t="s">
        <v>4269</v>
      </c>
      <c r="B1519" s="348" t="s">
        <v>169</v>
      </c>
      <c r="C1519" s="348" t="s">
        <v>634</v>
      </c>
      <c r="D1519" s="349" t="s">
        <v>635</v>
      </c>
      <c r="E1519" s="336">
        <v>43646</v>
      </c>
      <c r="F1519" s="336">
        <v>43645</v>
      </c>
      <c r="G1519" s="350"/>
      <c r="H1519" s="334" t="s">
        <v>4270</v>
      </c>
      <c r="I1519" s="356">
        <v>15710112736</v>
      </c>
      <c r="J1519" s="361" t="s">
        <v>4271</v>
      </c>
      <c r="K1519" s="356">
        <v>1000</v>
      </c>
      <c r="L1519" s="362"/>
      <c r="M1519" s="362"/>
      <c r="N1519" s="362">
        <f t="shared" si="45"/>
        <v>0</v>
      </c>
      <c r="O1519" s="356" t="s">
        <v>19</v>
      </c>
      <c r="P1519" s="356"/>
      <c r="Q1519" s="356"/>
      <c r="R1519" s="356"/>
      <c r="S1519" s="356"/>
      <c r="T1519" s="356"/>
      <c r="U1519" s="372">
        <v>11.16</v>
      </c>
      <c r="V1519" s="372"/>
      <c r="W1519" s="372"/>
      <c r="X1519" s="373"/>
      <c r="Y1519" s="348" t="s">
        <v>274</v>
      </c>
      <c r="Z1519" s="348"/>
      <c r="AA1519" s="348"/>
    </row>
    <row r="1520" s="331" customFormat="1" ht="17" customHeight="1" spans="1:27">
      <c r="A1520" s="550" t="s">
        <v>4272</v>
      </c>
      <c r="B1520" s="348" t="s">
        <v>169</v>
      </c>
      <c r="C1520" s="348" t="s">
        <v>634</v>
      </c>
      <c r="D1520" s="349" t="s">
        <v>635</v>
      </c>
      <c r="E1520" s="336">
        <v>43646</v>
      </c>
      <c r="F1520" s="336">
        <v>43645</v>
      </c>
      <c r="G1520" s="350"/>
      <c r="H1520" s="334" t="s">
        <v>4273</v>
      </c>
      <c r="I1520" s="356">
        <v>18616200189</v>
      </c>
      <c r="J1520" s="361" t="s">
        <v>4274</v>
      </c>
      <c r="K1520" s="356">
        <v>1000</v>
      </c>
      <c r="L1520" s="362"/>
      <c r="M1520" s="362"/>
      <c r="N1520" s="362">
        <f t="shared" si="45"/>
        <v>0</v>
      </c>
      <c r="O1520" s="356"/>
      <c r="P1520" s="356"/>
      <c r="Q1520" s="356"/>
      <c r="R1520" s="356"/>
      <c r="S1520" s="356"/>
      <c r="T1520" s="356"/>
      <c r="U1520" s="356" t="s">
        <v>12</v>
      </c>
      <c r="V1520" s="372"/>
      <c r="W1520" s="372"/>
      <c r="X1520" s="373"/>
      <c r="Y1520" s="348"/>
      <c r="Z1520" s="348"/>
      <c r="AA1520" s="348"/>
    </row>
    <row r="1521" s="331" customFormat="1" ht="17" customHeight="1" spans="1:27">
      <c r="A1521" s="550" t="s">
        <v>4275</v>
      </c>
      <c r="B1521" s="348" t="s">
        <v>169</v>
      </c>
      <c r="C1521" s="348" t="s">
        <v>634</v>
      </c>
      <c r="D1521" s="349" t="s">
        <v>635</v>
      </c>
      <c r="E1521" s="336">
        <v>43830</v>
      </c>
      <c r="F1521" s="336">
        <v>43645</v>
      </c>
      <c r="G1521" s="336">
        <v>43830</v>
      </c>
      <c r="H1521" s="334" t="s">
        <v>4276</v>
      </c>
      <c r="I1521" s="356">
        <v>13916964619</v>
      </c>
      <c r="J1521" s="361" t="s">
        <v>4277</v>
      </c>
      <c r="K1521" s="356">
        <v>1000</v>
      </c>
      <c r="L1521" s="334">
        <v>20000</v>
      </c>
      <c r="M1521" s="362"/>
      <c r="N1521" s="362">
        <f t="shared" si="45"/>
        <v>20000</v>
      </c>
      <c r="O1521" s="356" t="s">
        <v>19</v>
      </c>
      <c r="P1521" s="356"/>
      <c r="Q1521" s="356"/>
      <c r="R1521" s="356"/>
      <c r="S1521" s="356"/>
      <c r="T1521" s="356"/>
      <c r="U1521" s="372"/>
      <c r="V1521" s="372"/>
      <c r="W1521" s="372"/>
      <c r="X1521" s="373"/>
      <c r="Y1521" s="348"/>
      <c r="Z1521" s="348"/>
      <c r="AA1521" s="348"/>
    </row>
    <row r="1522" s="331" customFormat="1" ht="17" customHeight="1" spans="1:27">
      <c r="A1522" s="550" t="s">
        <v>4278</v>
      </c>
      <c r="B1522" s="348" t="s">
        <v>169</v>
      </c>
      <c r="C1522" s="348" t="s">
        <v>542</v>
      </c>
      <c r="D1522" s="349" t="s">
        <v>171</v>
      </c>
      <c r="E1522" s="336">
        <v>43762</v>
      </c>
      <c r="F1522" s="336">
        <v>43646</v>
      </c>
      <c r="G1522" s="336">
        <v>43758</v>
      </c>
      <c r="H1522" s="334" t="s">
        <v>4279</v>
      </c>
      <c r="I1522" s="356">
        <v>13023143275</v>
      </c>
      <c r="J1522" s="361" t="s">
        <v>4280</v>
      </c>
      <c r="K1522" s="356">
        <v>1000</v>
      </c>
      <c r="L1522" s="334">
        <v>6294</v>
      </c>
      <c r="M1522" s="362"/>
      <c r="N1522" s="362">
        <f t="shared" si="45"/>
        <v>6294</v>
      </c>
      <c r="O1522" s="356"/>
      <c r="P1522" s="356"/>
      <c r="Q1522" s="356" t="s">
        <v>21</v>
      </c>
      <c r="R1522" s="356"/>
      <c r="S1522" s="356"/>
      <c r="T1522" s="356"/>
      <c r="U1522" s="372"/>
      <c r="V1522" s="372"/>
      <c r="W1522" s="372"/>
      <c r="X1522" s="373"/>
      <c r="Y1522" s="348"/>
      <c r="Z1522" s="348"/>
      <c r="AA1522" s="348"/>
    </row>
    <row r="1523" s="331" customFormat="1" ht="17" customHeight="1" spans="1:27">
      <c r="A1523" s="348"/>
      <c r="B1523" s="348" t="s">
        <v>315</v>
      </c>
      <c r="C1523" s="348" t="s">
        <v>181</v>
      </c>
      <c r="D1523" s="349" t="s">
        <v>182</v>
      </c>
      <c r="E1523" s="336">
        <v>43646</v>
      </c>
      <c r="F1523" s="336">
        <v>43646</v>
      </c>
      <c r="G1523" s="336">
        <v>43652</v>
      </c>
      <c r="H1523" s="334" t="s">
        <v>4281</v>
      </c>
      <c r="I1523" s="356">
        <v>18721102835</v>
      </c>
      <c r="J1523" s="361" t="s">
        <v>4282</v>
      </c>
      <c r="K1523" s="356">
        <v>1000</v>
      </c>
      <c r="L1523" s="334">
        <v>8140</v>
      </c>
      <c r="M1523" s="334">
        <f>1472-300</f>
        <v>1172</v>
      </c>
      <c r="N1523" s="362">
        <f t="shared" si="45"/>
        <v>9312</v>
      </c>
      <c r="O1523" s="356"/>
      <c r="P1523" s="356"/>
      <c r="Q1523" s="356"/>
      <c r="R1523" s="356"/>
      <c r="S1523" s="356"/>
      <c r="T1523" s="356"/>
      <c r="U1523" s="372"/>
      <c r="V1523" s="372"/>
      <c r="W1523" s="372"/>
      <c r="X1523" s="373"/>
      <c r="Y1523" s="348" t="s">
        <v>274</v>
      </c>
      <c r="Z1523" s="348"/>
      <c r="AA1523" s="348"/>
    </row>
    <row r="1524" s="331" customFormat="1" ht="17" customHeight="1" spans="1:27">
      <c r="A1524" s="550" t="s">
        <v>4283</v>
      </c>
      <c r="B1524" s="348" t="s">
        <v>31</v>
      </c>
      <c r="C1524" s="348" t="s">
        <v>32</v>
      </c>
      <c r="D1524" s="349" t="s">
        <v>33</v>
      </c>
      <c r="E1524" s="336">
        <v>43730</v>
      </c>
      <c r="F1524" s="336">
        <v>43646</v>
      </c>
      <c r="G1524" s="336">
        <v>43730</v>
      </c>
      <c r="H1524" s="334" t="s">
        <v>4284</v>
      </c>
      <c r="I1524" s="356">
        <v>18918595278</v>
      </c>
      <c r="J1524" s="361" t="s">
        <v>4285</v>
      </c>
      <c r="K1524" s="356">
        <v>1000</v>
      </c>
      <c r="L1524" s="334">
        <f>23916-1340</f>
        <v>22576</v>
      </c>
      <c r="M1524" s="334">
        <v>1340</v>
      </c>
      <c r="N1524" s="362">
        <f t="shared" si="45"/>
        <v>23916</v>
      </c>
      <c r="O1524" s="356"/>
      <c r="P1524" s="356"/>
      <c r="Q1524" s="366" t="s">
        <v>52</v>
      </c>
      <c r="R1524" s="356"/>
      <c r="S1524" s="356"/>
      <c r="T1524" s="356"/>
      <c r="U1524" s="372"/>
      <c r="V1524" s="372"/>
      <c r="W1524" s="372"/>
      <c r="X1524" s="373"/>
      <c r="Y1524" s="348"/>
      <c r="Z1524" s="348"/>
      <c r="AA1524" s="348"/>
    </row>
    <row r="1525" s="331" customFormat="1" ht="15" customHeight="1" spans="1:27">
      <c r="A1525" s="348"/>
      <c r="B1525" s="348" t="s">
        <v>58</v>
      </c>
      <c r="C1525" s="348" t="s">
        <v>347</v>
      </c>
      <c r="D1525" s="352" t="s">
        <v>343</v>
      </c>
      <c r="E1525" s="336">
        <v>43716</v>
      </c>
      <c r="F1525" s="336">
        <v>43646</v>
      </c>
      <c r="G1525" s="336">
        <v>43714</v>
      </c>
      <c r="H1525" s="334" t="s">
        <v>4286</v>
      </c>
      <c r="I1525" s="356">
        <v>15821886628</v>
      </c>
      <c r="J1525" s="361" t="s">
        <v>4287</v>
      </c>
      <c r="K1525" s="356">
        <v>1000</v>
      </c>
      <c r="L1525" s="334">
        <v>16650</v>
      </c>
      <c r="M1525" s="362"/>
      <c r="N1525" s="362">
        <f t="shared" si="45"/>
        <v>16650</v>
      </c>
      <c r="O1525" s="356"/>
      <c r="P1525" s="366"/>
      <c r="Q1525" s="356"/>
      <c r="R1525" s="356"/>
      <c r="S1525" s="356"/>
      <c r="T1525" s="356"/>
      <c r="U1525" s="372"/>
      <c r="V1525" s="372"/>
      <c r="W1525" s="372">
        <v>9.4</v>
      </c>
      <c r="X1525" s="373"/>
      <c r="Y1525" s="348"/>
      <c r="Z1525" s="348"/>
      <c r="AA1525" s="348" t="s">
        <v>4288</v>
      </c>
    </row>
    <row r="1526" s="331" customFormat="1" ht="17" customHeight="1" spans="1:27">
      <c r="A1526" s="348"/>
      <c r="B1526" s="348" t="s">
        <v>35</v>
      </c>
      <c r="C1526" s="348" t="s">
        <v>392</v>
      </c>
      <c r="D1526" s="349" t="s">
        <v>37</v>
      </c>
      <c r="E1526" s="336">
        <v>43646</v>
      </c>
      <c r="F1526" s="336">
        <v>43646</v>
      </c>
      <c r="G1526" s="336">
        <v>43677</v>
      </c>
      <c r="H1526" s="334" t="s">
        <v>4289</v>
      </c>
      <c r="I1526" s="356">
        <v>13621675453</v>
      </c>
      <c r="J1526" s="361" t="s">
        <v>4290</v>
      </c>
      <c r="K1526" s="356">
        <v>1000</v>
      </c>
      <c r="L1526" s="334">
        <v>7535</v>
      </c>
      <c r="M1526" s="334">
        <f>736+368</f>
        <v>1104</v>
      </c>
      <c r="N1526" s="362">
        <f t="shared" ref="N1526:N1544" si="46">L1526+M1526</f>
        <v>8639</v>
      </c>
      <c r="O1526" s="356"/>
      <c r="P1526" s="356"/>
      <c r="Q1526" s="356" t="s">
        <v>52</v>
      </c>
      <c r="R1526" s="356"/>
      <c r="S1526" s="356"/>
      <c r="T1526" s="356"/>
      <c r="U1526" s="372"/>
      <c r="V1526" s="372"/>
      <c r="W1526" s="372"/>
      <c r="X1526" s="373"/>
      <c r="Y1526" s="348"/>
      <c r="Z1526" s="348" t="s">
        <v>318</v>
      </c>
      <c r="AA1526" s="348"/>
    </row>
    <row r="1527" s="57" customFormat="1" ht="17" customHeight="1" spans="1:27">
      <c r="A1527" s="348">
        <v>2024329</v>
      </c>
      <c r="B1527" s="334" t="s">
        <v>137</v>
      </c>
      <c r="C1527" s="348" t="s">
        <v>411</v>
      </c>
      <c r="D1527" s="349" t="s">
        <v>427</v>
      </c>
      <c r="E1527" s="336">
        <v>43646</v>
      </c>
      <c r="F1527" s="336">
        <v>43645</v>
      </c>
      <c r="G1527" s="356"/>
      <c r="H1527" s="348" t="s">
        <v>4291</v>
      </c>
      <c r="I1527" s="356">
        <v>18516357503</v>
      </c>
      <c r="J1527" s="348" t="s">
        <v>4292</v>
      </c>
      <c r="K1527" s="356">
        <v>1000</v>
      </c>
      <c r="L1527" s="362"/>
      <c r="M1527" s="362"/>
      <c r="N1527" s="362">
        <f t="shared" si="46"/>
        <v>0</v>
      </c>
      <c r="O1527" s="356" t="s">
        <v>4293</v>
      </c>
      <c r="P1527" s="356"/>
      <c r="Q1527" s="356">
        <v>1</v>
      </c>
      <c r="R1527" s="356"/>
      <c r="S1527" s="356"/>
      <c r="T1527" s="356"/>
      <c r="U1527" s="372"/>
      <c r="V1527" s="372"/>
      <c r="W1527" s="372"/>
      <c r="X1527" s="373"/>
      <c r="Y1527" s="348" t="s">
        <v>274</v>
      </c>
      <c r="Z1527" s="348"/>
      <c r="AA1527" s="348"/>
    </row>
    <row r="1528" s="57" customFormat="1" ht="17" customHeight="1" spans="1:27">
      <c r="A1528" s="348">
        <v>2024328</v>
      </c>
      <c r="B1528" s="348" t="s">
        <v>137</v>
      </c>
      <c r="C1528" s="348" t="s">
        <v>411</v>
      </c>
      <c r="D1528" s="349" t="s">
        <v>427</v>
      </c>
      <c r="E1528" s="336">
        <v>43646</v>
      </c>
      <c r="F1528" s="336">
        <v>43645</v>
      </c>
      <c r="G1528" s="350"/>
      <c r="H1528" s="334" t="s">
        <v>4294</v>
      </c>
      <c r="I1528" s="356">
        <v>15001896798</v>
      </c>
      <c r="J1528" s="348" t="s">
        <v>4295</v>
      </c>
      <c r="K1528" s="356">
        <v>1000</v>
      </c>
      <c r="L1528" s="362"/>
      <c r="M1528" s="362"/>
      <c r="N1528" s="362">
        <f t="shared" si="46"/>
        <v>0</v>
      </c>
      <c r="O1528" s="356"/>
      <c r="P1528" s="356"/>
      <c r="Q1528" s="356"/>
      <c r="R1528" s="356">
        <v>1</v>
      </c>
      <c r="S1528" s="356"/>
      <c r="T1528" s="356"/>
      <c r="U1528" s="372" t="s">
        <v>12</v>
      </c>
      <c r="V1528" s="372"/>
      <c r="W1528" s="372"/>
      <c r="X1528" s="373"/>
      <c r="Y1528" s="348" t="s">
        <v>274</v>
      </c>
      <c r="Z1528" s="348"/>
      <c r="AA1528" s="348"/>
    </row>
    <row r="1529" s="331" customFormat="1" ht="17" customHeight="1" spans="1:27">
      <c r="A1529" s="550" t="s">
        <v>4296</v>
      </c>
      <c r="B1529" s="348" t="s">
        <v>726</v>
      </c>
      <c r="C1529" s="348" t="s">
        <v>727</v>
      </c>
      <c r="D1529" s="334" t="s">
        <v>271</v>
      </c>
      <c r="E1529" s="336">
        <v>43737</v>
      </c>
      <c r="F1529" s="336">
        <v>43646</v>
      </c>
      <c r="G1529" s="336">
        <v>43737</v>
      </c>
      <c r="H1529" s="334" t="s">
        <v>4297</v>
      </c>
      <c r="I1529" s="356">
        <v>18501607673</v>
      </c>
      <c r="J1529" s="361" t="s">
        <v>4298</v>
      </c>
      <c r="K1529" s="356">
        <v>1000</v>
      </c>
      <c r="L1529" s="334">
        <f>4000-536</f>
        <v>3464</v>
      </c>
      <c r="M1529" s="334">
        <v>536</v>
      </c>
      <c r="N1529" s="362">
        <f t="shared" si="46"/>
        <v>4000</v>
      </c>
      <c r="O1529" s="356" t="s">
        <v>19</v>
      </c>
      <c r="P1529" s="356"/>
      <c r="Q1529" s="356"/>
      <c r="R1529" s="356"/>
      <c r="S1529" s="356"/>
      <c r="T1529" s="356"/>
      <c r="U1529" s="372"/>
      <c r="V1529" s="372"/>
      <c r="W1529" s="372"/>
      <c r="X1529" s="373"/>
      <c r="Y1529" s="348" t="s">
        <v>274</v>
      </c>
      <c r="Z1529" s="348"/>
      <c r="AA1529" s="348"/>
    </row>
    <row r="1530" s="331" customFormat="1" ht="17" customHeight="1" spans="1:27">
      <c r="A1530" s="550" t="s">
        <v>4299</v>
      </c>
      <c r="B1530" s="348" t="s">
        <v>87</v>
      </c>
      <c r="C1530" s="348" t="s">
        <v>199</v>
      </c>
      <c r="D1530" s="349" t="s">
        <v>89</v>
      </c>
      <c r="E1530" s="336">
        <v>43736</v>
      </c>
      <c r="F1530" s="336">
        <v>43645</v>
      </c>
      <c r="G1530" s="336">
        <v>43735</v>
      </c>
      <c r="H1530" s="334" t="s">
        <v>4300</v>
      </c>
      <c r="I1530" s="356">
        <v>13004170255</v>
      </c>
      <c r="J1530" s="361" t="s">
        <v>4301</v>
      </c>
      <c r="K1530" s="356">
        <v>1000</v>
      </c>
      <c r="L1530" s="334">
        <v>30599</v>
      </c>
      <c r="M1530" s="362"/>
      <c r="N1530" s="362">
        <f t="shared" si="46"/>
        <v>30599</v>
      </c>
      <c r="O1530" s="356"/>
      <c r="P1530" s="356"/>
      <c r="Q1530" s="356"/>
      <c r="R1530" s="356" t="s">
        <v>52</v>
      </c>
      <c r="S1530" s="356"/>
      <c r="T1530" s="356"/>
      <c r="U1530" s="372"/>
      <c r="V1530" s="372"/>
      <c r="W1530" s="372"/>
      <c r="X1530" s="373">
        <v>1</v>
      </c>
      <c r="Y1530" s="348"/>
      <c r="Z1530" s="348"/>
      <c r="AA1530" s="348"/>
    </row>
    <row r="1531" s="331" customFormat="1" ht="17" customHeight="1" spans="1:27">
      <c r="A1531" s="348">
        <v>2023566</v>
      </c>
      <c r="B1531" s="348" t="s">
        <v>73</v>
      </c>
      <c r="C1531" s="348" t="s">
        <v>178</v>
      </c>
      <c r="D1531" s="352" t="s">
        <v>717</v>
      </c>
      <c r="E1531" s="336">
        <v>43583</v>
      </c>
      <c r="F1531" s="336">
        <v>43582</v>
      </c>
      <c r="G1531" s="350" t="s">
        <v>4302</v>
      </c>
      <c r="H1531" s="334" t="s">
        <v>3412</v>
      </c>
      <c r="I1531" s="356">
        <v>18964110138</v>
      </c>
      <c r="J1531" s="361" t="s">
        <v>4303</v>
      </c>
      <c r="K1531" s="356">
        <v>1000</v>
      </c>
      <c r="L1531" s="362"/>
      <c r="M1531" s="362"/>
      <c r="N1531" s="362">
        <f t="shared" si="46"/>
        <v>0</v>
      </c>
      <c r="O1531" s="356"/>
      <c r="P1531" s="356"/>
      <c r="Q1531" s="356"/>
      <c r="R1531" s="356"/>
      <c r="S1531" s="356"/>
      <c r="T1531" s="356"/>
      <c r="U1531" s="372"/>
      <c r="V1531" s="372"/>
      <c r="W1531" s="372"/>
      <c r="X1531" s="373"/>
      <c r="Y1531" s="348" t="s">
        <v>380</v>
      </c>
      <c r="Z1531" s="348" t="s">
        <v>79</v>
      </c>
      <c r="AA1531" s="348"/>
    </row>
    <row r="1532" s="331" customFormat="1" ht="17" customHeight="1" spans="1:27">
      <c r="A1532" s="550" t="s">
        <v>4304</v>
      </c>
      <c r="B1532" s="348" t="s">
        <v>58</v>
      </c>
      <c r="C1532" s="348" t="s">
        <v>794</v>
      </c>
      <c r="D1532" s="352" t="s">
        <v>110</v>
      </c>
      <c r="E1532" s="336">
        <v>43646</v>
      </c>
      <c r="F1532" s="336">
        <v>43645</v>
      </c>
      <c r="G1532" s="336">
        <v>43677</v>
      </c>
      <c r="H1532" s="334" t="s">
        <v>4305</v>
      </c>
      <c r="I1532" s="356">
        <v>18049918206</v>
      </c>
      <c r="J1532" s="361" t="s">
        <v>4306</v>
      </c>
      <c r="K1532" s="356">
        <v>10000</v>
      </c>
      <c r="L1532" s="334">
        <v>8845</v>
      </c>
      <c r="M1532" s="334">
        <v>1680</v>
      </c>
      <c r="N1532" s="362">
        <f t="shared" si="46"/>
        <v>10525</v>
      </c>
      <c r="O1532" s="356"/>
      <c r="P1532" s="366" t="s">
        <v>52</v>
      </c>
      <c r="Q1532" s="356"/>
      <c r="R1532" s="356"/>
      <c r="S1532" s="356"/>
      <c r="T1532" s="356"/>
      <c r="U1532" s="372"/>
      <c r="V1532" s="372"/>
      <c r="W1532" s="372"/>
      <c r="X1532" s="373"/>
      <c r="Y1532" s="348"/>
      <c r="Z1532" s="348"/>
      <c r="AA1532" s="348"/>
    </row>
    <row r="1533" s="331" customFormat="1" ht="17" customHeight="1" spans="1:27">
      <c r="A1533" s="348"/>
      <c r="B1533" s="348" t="s">
        <v>58</v>
      </c>
      <c r="C1533" s="348" t="s">
        <v>794</v>
      </c>
      <c r="D1533" s="352" t="s">
        <v>110</v>
      </c>
      <c r="E1533" s="336">
        <v>43646</v>
      </c>
      <c r="F1533" s="336">
        <v>43645</v>
      </c>
      <c r="G1533" s="336">
        <v>43676</v>
      </c>
      <c r="H1533" s="334" t="s">
        <v>4307</v>
      </c>
      <c r="I1533" s="356">
        <v>13918199160</v>
      </c>
      <c r="J1533" s="361" t="s">
        <v>4308</v>
      </c>
      <c r="K1533" s="356">
        <v>20000</v>
      </c>
      <c r="L1533" s="334">
        <v>19724</v>
      </c>
      <c r="M1533" s="362"/>
      <c r="N1533" s="362">
        <f t="shared" si="46"/>
        <v>19724</v>
      </c>
      <c r="O1533" s="366" t="s">
        <v>52</v>
      </c>
      <c r="P1533" s="356"/>
      <c r="Q1533" s="356"/>
      <c r="R1533" s="356"/>
      <c r="S1533" s="356"/>
      <c r="T1533" s="356"/>
      <c r="U1533" s="372"/>
      <c r="V1533" s="372"/>
      <c r="W1533" s="372"/>
      <c r="X1533" s="373"/>
      <c r="Y1533" s="348" t="s">
        <v>274</v>
      </c>
      <c r="Z1533" s="348"/>
      <c r="AA1533" s="348"/>
    </row>
    <row r="1534" s="331" customFormat="1" ht="17" customHeight="1" spans="1:27">
      <c r="A1534" s="550" t="s">
        <v>4309</v>
      </c>
      <c r="B1534" s="348" t="s">
        <v>58</v>
      </c>
      <c r="C1534" s="348" t="s">
        <v>794</v>
      </c>
      <c r="D1534" s="352" t="s">
        <v>110</v>
      </c>
      <c r="E1534" s="336">
        <v>43708</v>
      </c>
      <c r="F1534" s="336">
        <v>43645</v>
      </c>
      <c r="G1534" s="336">
        <v>43708</v>
      </c>
      <c r="H1534" s="334" t="s">
        <v>4310</v>
      </c>
      <c r="I1534" s="356">
        <v>19921073995</v>
      </c>
      <c r="J1534" s="361" t="s">
        <v>4311</v>
      </c>
      <c r="K1534" s="356">
        <v>10000</v>
      </c>
      <c r="L1534" s="334">
        <v>10000</v>
      </c>
      <c r="M1534" s="362"/>
      <c r="N1534" s="362">
        <f t="shared" si="46"/>
        <v>10000</v>
      </c>
      <c r="O1534" s="366"/>
      <c r="P1534" s="366"/>
      <c r="Q1534" s="366" t="s">
        <v>52</v>
      </c>
      <c r="R1534" s="356"/>
      <c r="S1534" s="356"/>
      <c r="T1534" s="356"/>
      <c r="U1534" s="372"/>
      <c r="V1534" s="372"/>
      <c r="W1534" s="372"/>
      <c r="X1534" s="373"/>
      <c r="Y1534" s="348"/>
      <c r="Z1534" s="348"/>
      <c r="AA1534" s="348"/>
    </row>
    <row r="1535" s="331" customFormat="1" customHeight="1" spans="1:27">
      <c r="A1535" s="348">
        <v>2067303</v>
      </c>
      <c r="B1535" s="348" t="s">
        <v>236</v>
      </c>
      <c r="C1535" s="348" t="s">
        <v>703</v>
      </c>
      <c r="D1535" s="352" t="s">
        <v>237</v>
      </c>
      <c r="E1535" s="336"/>
      <c r="F1535" s="336">
        <v>43634</v>
      </c>
      <c r="G1535" s="350"/>
      <c r="H1535" s="334" t="s">
        <v>4312</v>
      </c>
      <c r="I1535" s="356">
        <v>13816872817</v>
      </c>
      <c r="J1535" s="361" t="s">
        <v>4313</v>
      </c>
      <c r="K1535" s="356">
        <v>200</v>
      </c>
      <c r="L1535" s="362"/>
      <c r="M1535" s="362"/>
      <c r="N1535" s="362">
        <f t="shared" si="46"/>
        <v>0</v>
      </c>
      <c r="O1535" s="356" t="s">
        <v>4314</v>
      </c>
      <c r="P1535" s="356"/>
      <c r="Q1535" s="356"/>
      <c r="R1535" s="356"/>
      <c r="S1535" s="356"/>
      <c r="T1535" s="356"/>
      <c r="U1535" s="372"/>
      <c r="V1535" s="372"/>
      <c r="W1535" s="372"/>
      <c r="X1535" s="373">
        <v>1</v>
      </c>
      <c r="Y1535" s="348" t="s">
        <v>856</v>
      </c>
      <c r="Z1535" s="348"/>
      <c r="AA1535" s="348"/>
    </row>
    <row r="1536" s="331" customFormat="1" customHeight="1" spans="1:27">
      <c r="A1536" s="348">
        <v>2067304</v>
      </c>
      <c r="B1536" s="348" t="s">
        <v>236</v>
      </c>
      <c r="C1536" s="348" t="s">
        <v>195</v>
      </c>
      <c r="D1536" s="352" t="s">
        <v>237</v>
      </c>
      <c r="E1536" s="336"/>
      <c r="F1536" s="336">
        <v>43634</v>
      </c>
      <c r="G1536" s="350"/>
      <c r="H1536" s="334" t="s">
        <v>4315</v>
      </c>
      <c r="I1536" s="356">
        <v>15821961103</v>
      </c>
      <c r="J1536" s="361" t="s">
        <v>4316</v>
      </c>
      <c r="K1536" s="356">
        <v>400</v>
      </c>
      <c r="L1536" s="362"/>
      <c r="M1536" s="362"/>
      <c r="N1536" s="362">
        <f t="shared" si="46"/>
        <v>0</v>
      </c>
      <c r="O1536" s="356"/>
      <c r="P1536" s="356"/>
      <c r="Q1536" s="356" t="s">
        <v>4317</v>
      </c>
      <c r="R1536" s="356"/>
      <c r="S1536" s="356"/>
      <c r="T1536" s="356"/>
      <c r="U1536" s="372"/>
      <c r="V1536" s="372"/>
      <c r="W1536" s="372"/>
      <c r="X1536" s="373"/>
      <c r="Y1536" s="348"/>
      <c r="Z1536" s="348"/>
      <c r="AA1536" s="348"/>
    </row>
    <row r="1537" s="331" customFormat="1" ht="17" customHeight="1" spans="1:27">
      <c r="A1537" s="348"/>
      <c r="B1537" s="348" t="s">
        <v>58</v>
      </c>
      <c r="C1537" s="348" t="s">
        <v>342</v>
      </c>
      <c r="D1537" s="334" t="s">
        <v>110</v>
      </c>
      <c r="E1537" s="336">
        <v>43709</v>
      </c>
      <c r="F1537" s="336">
        <v>43645</v>
      </c>
      <c r="G1537" s="336">
        <v>43709</v>
      </c>
      <c r="H1537" s="334" t="s">
        <v>4318</v>
      </c>
      <c r="I1537" s="356">
        <v>13564469822</v>
      </c>
      <c r="J1537" s="361" t="s">
        <v>4319</v>
      </c>
      <c r="K1537" s="356">
        <v>15000</v>
      </c>
      <c r="L1537" s="334">
        <v>11533</v>
      </c>
      <c r="M1537" s="362"/>
      <c r="N1537" s="362">
        <f t="shared" si="46"/>
        <v>11533</v>
      </c>
      <c r="O1537" s="356"/>
      <c r="P1537" s="366"/>
      <c r="Q1537" s="356"/>
      <c r="R1537" s="356"/>
      <c r="S1537" s="366" t="s">
        <v>52</v>
      </c>
      <c r="T1537" s="356"/>
      <c r="U1537" s="372"/>
      <c r="V1537" s="372"/>
      <c r="W1537" s="372"/>
      <c r="X1537" s="373"/>
      <c r="Y1537" s="348" t="s">
        <v>4320</v>
      </c>
      <c r="Z1537" s="348"/>
      <c r="AA1537" s="348"/>
    </row>
    <row r="1538" s="331" customFormat="1" ht="17" customHeight="1" spans="1:27">
      <c r="A1538" s="550" t="s">
        <v>4321</v>
      </c>
      <c r="B1538" s="348" t="s">
        <v>66</v>
      </c>
      <c r="C1538" s="348" t="s">
        <v>119</v>
      </c>
      <c r="D1538" s="349" t="s">
        <v>68</v>
      </c>
      <c r="E1538" s="336">
        <v>43646</v>
      </c>
      <c r="F1538" s="336">
        <v>43645</v>
      </c>
      <c r="G1538" s="336">
        <v>43650</v>
      </c>
      <c r="H1538" s="334" t="s">
        <v>4322</v>
      </c>
      <c r="I1538" s="356">
        <v>15921838160</v>
      </c>
      <c r="J1538" s="361" t="s">
        <v>4323</v>
      </c>
      <c r="K1538" s="356">
        <v>1000</v>
      </c>
      <c r="L1538" s="334">
        <v>7460</v>
      </c>
      <c r="M1538" s="334">
        <v>1072</v>
      </c>
      <c r="N1538" s="362">
        <f t="shared" si="46"/>
        <v>8532</v>
      </c>
      <c r="O1538" s="356"/>
      <c r="P1538" s="356"/>
      <c r="Q1538" s="356"/>
      <c r="R1538" s="356"/>
      <c r="S1538" s="356"/>
      <c r="T1538" s="356"/>
      <c r="U1538" s="372"/>
      <c r="V1538" s="372"/>
      <c r="W1538" s="372"/>
      <c r="X1538" s="373"/>
      <c r="Y1538" s="348"/>
      <c r="Z1538" s="348"/>
      <c r="AA1538" s="348"/>
    </row>
    <row r="1539" s="331" customFormat="1" ht="17" customHeight="1" spans="1:27">
      <c r="A1539" s="348">
        <v>2024326</v>
      </c>
      <c r="B1539" s="348" t="s">
        <v>137</v>
      </c>
      <c r="C1539" s="348" t="s">
        <v>411</v>
      </c>
      <c r="D1539" s="334" t="s">
        <v>139</v>
      </c>
      <c r="E1539" s="336">
        <v>43774</v>
      </c>
      <c r="F1539" s="336">
        <v>43645</v>
      </c>
      <c r="G1539" s="336">
        <v>43773</v>
      </c>
      <c r="H1539" s="334" t="s">
        <v>4324</v>
      </c>
      <c r="I1539" s="356">
        <v>18801735601</v>
      </c>
      <c r="J1539" s="361" t="s">
        <v>4325</v>
      </c>
      <c r="K1539" s="356">
        <v>1000</v>
      </c>
      <c r="L1539" s="334">
        <v>4324</v>
      </c>
      <c r="M1539" s="362"/>
      <c r="N1539" s="362">
        <f t="shared" si="46"/>
        <v>4324</v>
      </c>
      <c r="O1539" s="356"/>
      <c r="P1539" s="356"/>
      <c r="Q1539" s="356"/>
      <c r="R1539" s="356"/>
      <c r="S1539" s="356">
        <v>1</v>
      </c>
      <c r="T1539" s="356"/>
      <c r="U1539" s="372"/>
      <c r="V1539" s="372"/>
      <c r="W1539" s="372"/>
      <c r="X1539" s="373"/>
      <c r="Y1539" s="348"/>
      <c r="Z1539" s="348"/>
      <c r="AA1539" s="348"/>
    </row>
    <row r="1540" s="331" customFormat="1" ht="17" customHeight="1" spans="1:27">
      <c r="A1540" s="550" t="s">
        <v>4326</v>
      </c>
      <c r="B1540" s="348" t="s">
        <v>31</v>
      </c>
      <c r="C1540" s="348" t="s">
        <v>3186</v>
      </c>
      <c r="D1540" s="349" t="s">
        <v>221</v>
      </c>
      <c r="E1540" s="336">
        <v>43646</v>
      </c>
      <c r="F1540" s="336">
        <v>43645</v>
      </c>
      <c r="G1540" s="350"/>
      <c r="H1540" s="334" t="s">
        <v>4327</v>
      </c>
      <c r="I1540" s="356">
        <v>18017411090</v>
      </c>
      <c r="J1540" s="361" t="s">
        <v>4328</v>
      </c>
      <c r="K1540" s="356">
        <v>1000</v>
      </c>
      <c r="L1540" s="362"/>
      <c r="M1540" s="362"/>
      <c r="N1540" s="362">
        <f t="shared" si="46"/>
        <v>0</v>
      </c>
      <c r="O1540" s="366" t="s">
        <v>52</v>
      </c>
      <c r="P1540" s="356"/>
      <c r="Q1540" s="356"/>
      <c r="R1540" s="356"/>
      <c r="S1540" s="356"/>
      <c r="T1540" s="356"/>
      <c r="U1540" s="393" t="s">
        <v>40</v>
      </c>
      <c r="V1540" s="372"/>
      <c r="W1540" s="372"/>
      <c r="X1540" s="373"/>
      <c r="Y1540" s="348"/>
      <c r="Z1540" s="348"/>
      <c r="AA1540" s="348"/>
    </row>
    <row r="1541" s="331" customFormat="1" ht="17" customHeight="1" spans="1:27">
      <c r="A1541" s="550" t="s">
        <v>4329</v>
      </c>
      <c r="B1541" s="348" t="s">
        <v>31</v>
      </c>
      <c r="C1541" s="348" t="s">
        <v>251</v>
      </c>
      <c r="D1541" s="334" t="s">
        <v>221</v>
      </c>
      <c r="E1541" s="336">
        <v>43750</v>
      </c>
      <c r="F1541" s="336">
        <v>43646</v>
      </c>
      <c r="G1541" s="336">
        <v>43750</v>
      </c>
      <c r="H1541" s="334" t="s">
        <v>4330</v>
      </c>
      <c r="I1541" s="356">
        <v>13901813866</v>
      </c>
      <c r="J1541" s="361" t="s">
        <v>4331</v>
      </c>
      <c r="K1541" s="356">
        <v>1998</v>
      </c>
      <c r="L1541" s="334">
        <v>5544</v>
      </c>
      <c r="M1541" s="362"/>
      <c r="N1541" s="362">
        <f t="shared" si="46"/>
        <v>5544</v>
      </c>
      <c r="O1541" s="356"/>
      <c r="P1541" s="356"/>
      <c r="Q1541" s="356"/>
      <c r="R1541" s="366" t="s">
        <v>52</v>
      </c>
      <c r="S1541" s="356"/>
      <c r="T1541" s="356"/>
      <c r="U1541" s="372"/>
      <c r="V1541" s="372"/>
      <c r="W1541" s="372"/>
      <c r="X1541" s="373"/>
      <c r="Y1541" s="348"/>
      <c r="Z1541" s="348"/>
      <c r="AA1541" s="348"/>
    </row>
    <row r="1542" s="331" customFormat="1" ht="17" customHeight="1" spans="1:27">
      <c r="A1542" s="550" t="s">
        <v>4332</v>
      </c>
      <c r="B1542" s="348" t="s">
        <v>31</v>
      </c>
      <c r="C1542" s="348" t="s">
        <v>32</v>
      </c>
      <c r="D1542" s="349" t="s">
        <v>33</v>
      </c>
      <c r="E1542" s="336">
        <v>43688</v>
      </c>
      <c r="F1542" s="336">
        <v>43645</v>
      </c>
      <c r="G1542" s="336">
        <v>43688</v>
      </c>
      <c r="H1542" s="334" t="s">
        <v>4333</v>
      </c>
      <c r="I1542" s="356">
        <v>18916997775</v>
      </c>
      <c r="J1542" s="367" t="s">
        <v>4334</v>
      </c>
      <c r="K1542" s="356">
        <v>1000</v>
      </c>
      <c r="L1542" s="334">
        <v>5696</v>
      </c>
      <c r="M1542" s="334">
        <v>1104</v>
      </c>
      <c r="N1542" s="362">
        <f t="shared" si="46"/>
        <v>6800</v>
      </c>
      <c r="O1542" s="356"/>
      <c r="P1542" s="356"/>
      <c r="Q1542" s="366" t="s">
        <v>52</v>
      </c>
      <c r="R1542" s="356"/>
      <c r="S1542" s="356"/>
      <c r="T1542" s="356"/>
      <c r="U1542" s="372"/>
      <c r="V1542" s="372"/>
      <c r="W1542" s="372"/>
      <c r="X1542" s="373"/>
      <c r="Y1542" s="348"/>
      <c r="Z1542" s="348"/>
      <c r="AA1542" s="348" t="s">
        <v>4333</v>
      </c>
    </row>
    <row r="1543" s="331" customFormat="1" ht="17" customHeight="1" spans="1:27">
      <c r="A1543" s="550" t="s">
        <v>4335</v>
      </c>
      <c r="B1543" s="348" t="s">
        <v>153</v>
      </c>
      <c r="C1543" s="348" t="s">
        <v>302</v>
      </c>
      <c r="D1543" s="349" t="s">
        <v>155</v>
      </c>
      <c r="E1543" s="336">
        <v>43694</v>
      </c>
      <c r="F1543" s="336">
        <v>43646</v>
      </c>
      <c r="G1543" s="336">
        <v>43694</v>
      </c>
      <c r="H1543" s="334" t="s">
        <v>4336</v>
      </c>
      <c r="I1543" s="356">
        <v>17702159000</v>
      </c>
      <c r="J1543" s="361" t="s">
        <v>4337</v>
      </c>
      <c r="K1543" s="356">
        <v>1000</v>
      </c>
      <c r="L1543" s="334">
        <f>5002-536</f>
        <v>4466</v>
      </c>
      <c r="M1543" s="334">
        <v>536</v>
      </c>
      <c r="N1543" s="362">
        <f t="shared" si="46"/>
        <v>5002</v>
      </c>
      <c r="O1543" s="356"/>
      <c r="P1543" s="356"/>
      <c r="Q1543" s="356"/>
      <c r="R1543" s="356"/>
      <c r="S1543" s="356"/>
      <c r="T1543" s="356"/>
      <c r="U1543" s="372"/>
      <c r="V1543" s="372"/>
      <c r="W1543" s="372"/>
      <c r="X1543" s="373"/>
      <c r="Y1543" s="348"/>
      <c r="Z1543" s="348"/>
      <c r="AA1543" s="348"/>
    </row>
    <row r="1544" s="331" customFormat="1" ht="17" customHeight="1" spans="1:27">
      <c r="A1544" s="348"/>
      <c r="B1544" s="348" t="s">
        <v>35</v>
      </c>
      <c r="C1544" s="348" t="s">
        <v>36</v>
      </c>
      <c r="D1544" s="349" t="s">
        <v>37</v>
      </c>
      <c r="E1544" s="336">
        <v>43646</v>
      </c>
      <c r="F1544" s="336">
        <v>43646</v>
      </c>
      <c r="G1544" s="336">
        <v>43666</v>
      </c>
      <c r="H1544" s="334" t="s">
        <v>4338</v>
      </c>
      <c r="I1544" s="356">
        <v>18621368126</v>
      </c>
      <c r="J1544" s="361" t="s">
        <v>4339</v>
      </c>
      <c r="K1544" s="356">
        <v>1000</v>
      </c>
      <c r="L1544" s="334">
        <v>13651</v>
      </c>
      <c r="M1544" s="334">
        <v>6049</v>
      </c>
      <c r="N1544" s="362">
        <f t="shared" si="46"/>
        <v>19700</v>
      </c>
      <c r="O1544" s="356"/>
      <c r="P1544" s="356"/>
      <c r="Q1544" s="356"/>
      <c r="R1544" s="356"/>
      <c r="S1544" s="356"/>
      <c r="T1544" s="356"/>
      <c r="U1544" s="372"/>
      <c r="V1544" s="372"/>
      <c r="W1544" s="372"/>
      <c r="X1544" s="373"/>
      <c r="Y1544" s="348"/>
      <c r="Z1544" s="348"/>
      <c r="AA1544" s="348"/>
    </row>
    <row r="1545" s="331" customFormat="1" ht="17" customHeight="1" spans="1:27">
      <c r="A1545" s="348">
        <v>2025343</v>
      </c>
      <c r="B1545" s="348" t="s">
        <v>137</v>
      </c>
      <c r="C1545" s="348" t="s">
        <v>406</v>
      </c>
      <c r="D1545" s="349" t="s">
        <v>139</v>
      </c>
      <c r="E1545" s="336">
        <v>43690</v>
      </c>
      <c r="F1545" s="336">
        <v>43646</v>
      </c>
      <c r="G1545" s="336">
        <v>43689</v>
      </c>
      <c r="H1545" s="334" t="s">
        <v>4340</v>
      </c>
      <c r="I1545" s="356">
        <v>18816588360</v>
      </c>
      <c r="J1545" s="361" t="s">
        <v>4341</v>
      </c>
      <c r="K1545" s="356">
        <v>1000</v>
      </c>
      <c r="L1545" s="334">
        <f>6611-804</f>
        <v>5807</v>
      </c>
      <c r="M1545" s="334">
        <v>804</v>
      </c>
      <c r="N1545" s="362">
        <f t="shared" ref="N1545:N1603" si="47">L1545+M1545</f>
        <v>6611</v>
      </c>
      <c r="O1545" s="356"/>
      <c r="P1545" s="356"/>
      <c r="Q1545" s="356"/>
      <c r="R1545" s="356"/>
      <c r="S1545" s="356">
        <v>1</v>
      </c>
      <c r="T1545" s="356"/>
      <c r="U1545" s="372"/>
      <c r="V1545" s="372"/>
      <c r="W1545" s="372"/>
      <c r="X1545" s="373"/>
      <c r="Y1545" s="348" t="s">
        <v>2425</v>
      </c>
      <c r="Z1545" s="348"/>
      <c r="AA1545" s="348"/>
    </row>
    <row r="1546" s="331" customFormat="1" ht="17" customHeight="1" spans="1:27">
      <c r="A1546" s="348">
        <v>2025345</v>
      </c>
      <c r="B1546" s="348" t="s">
        <v>137</v>
      </c>
      <c r="C1546" s="348" t="s">
        <v>411</v>
      </c>
      <c r="D1546" s="349" t="s">
        <v>427</v>
      </c>
      <c r="E1546" s="336">
        <v>43646</v>
      </c>
      <c r="F1546" s="336">
        <v>43646</v>
      </c>
      <c r="G1546" s="336">
        <v>43675</v>
      </c>
      <c r="H1546" s="348" t="s">
        <v>4342</v>
      </c>
      <c r="I1546" s="356">
        <v>13040790709</v>
      </c>
      <c r="J1546" s="361" t="s">
        <v>4343</v>
      </c>
      <c r="K1546" s="356">
        <v>1000</v>
      </c>
      <c r="L1546" s="334">
        <v>16411</v>
      </c>
      <c r="M1546" s="362"/>
      <c r="N1546" s="362">
        <f t="shared" si="47"/>
        <v>16411</v>
      </c>
      <c r="O1546" s="356"/>
      <c r="P1546" s="356"/>
      <c r="Q1546" s="356"/>
      <c r="R1546" s="356"/>
      <c r="S1546" s="356">
        <v>1</v>
      </c>
      <c r="T1546" s="356"/>
      <c r="U1546" s="372"/>
      <c r="V1546" s="372"/>
      <c r="W1546" s="372"/>
      <c r="X1546" s="373"/>
      <c r="Y1546" s="348" t="s">
        <v>2425</v>
      </c>
      <c r="Z1546" s="348"/>
      <c r="AA1546" s="348"/>
    </row>
    <row r="1547" s="331" customFormat="1" ht="17" customHeight="1" spans="1:27">
      <c r="A1547" s="348"/>
      <c r="B1547" s="348" t="s">
        <v>58</v>
      </c>
      <c r="C1547" s="348" t="s">
        <v>794</v>
      </c>
      <c r="D1547" s="349" t="s">
        <v>343</v>
      </c>
      <c r="E1547" s="336">
        <v>43646</v>
      </c>
      <c r="F1547" s="336">
        <v>43646</v>
      </c>
      <c r="G1547" s="336">
        <v>43650</v>
      </c>
      <c r="H1547" s="334" t="s">
        <v>4344</v>
      </c>
      <c r="I1547" s="356">
        <v>13601770560</v>
      </c>
      <c r="J1547" s="361" t="s">
        <v>4345</v>
      </c>
      <c r="K1547" s="356">
        <v>1000</v>
      </c>
      <c r="L1547" s="334">
        <f>4296-736</f>
        <v>3560</v>
      </c>
      <c r="M1547" s="334">
        <v>736</v>
      </c>
      <c r="N1547" s="362">
        <f t="shared" si="47"/>
        <v>4296</v>
      </c>
      <c r="O1547" s="356"/>
      <c r="P1547" s="356"/>
      <c r="Q1547" s="356"/>
      <c r="R1547" s="356"/>
      <c r="S1547" s="356"/>
      <c r="T1547" s="356"/>
      <c r="U1547" s="372"/>
      <c r="V1547" s="372"/>
      <c r="W1547" s="372"/>
      <c r="X1547" s="373"/>
      <c r="Y1547" s="348"/>
      <c r="Z1547" s="348"/>
      <c r="AA1547" s="348"/>
    </row>
    <row r="1548" s="331" customFormat="1" ht="17" customHeight="1" spans="1:27">
      <c r="A1548" s="348"/>
      <c r="B1548" s="348" t="s">
        <v>58</v>
      </c>
      <c r="C1548" s="348" t="s">
        <v>794</v>
      </c>
      <c r="D1548" s="352" t="s">
        <v>110</v>
      </c>
      <c r="E1548" s="336">
        <v>43689</v>
      </c>
      <c r="F1548" s="336">
        <v>43646</v>
      </c>
      <c r="G1548" s="336">
        <v>43689</v>
      </c>
      <c r="H1548" s="334" t="s">
        <v>4346</v>
      </c>
      <c r="I1548" s="356">
        <v>18121447818</v>
      </c>
      <c r="J1548" s="361" t="s">
        <v>4347</v>
      </c>
      <c r="K1548" s="356">
        <v>3000</v>
      </c>
      <c r="L1548" s="334">
        <v>9544</v>
      </c>
      <c r="M1548" s="334">
        <f>1103+368</f>
        <v>1471</v>
      </c>
      <c r="N1548" s="362">
        <f t="shared" si="47"/>
        <v>11015</v>
      </c>
      <c r="O1548" s="356"/>
      <c r="P1548" s="366" t="s">
        <v>52</v>
      </c>
      <c r="Q1548" s="356"/>
      <c r="R1548" s="356"/>
      <c r="S1548" s="356"/>
      <c r="T1548" s="356"/>
      <c r="U1548" s="372"/>
      <c r="V1548" s="372"/>
      <c r="W1548" s="372"/>
      <c r="X1548" s="373"/>
      <c r="Y1548" s="348" t="s">
        <v>274</v>
      </c>
      <c r="Z1548" s="348"/>
      <c r="AA1548" s="348"/>
    </row>
    <row r="1549" s="331" customFormat="1" ht="17" customHeight="1" spans="1:27">
      <c r="A1549" s="550" t="s">
        <v>4348</v>
      </c>
      <c r="B1549" s="348" t="s">
        <v>185</v>
      </c>
      <c r="C1549" s="348" t="s">
        <v>1133</v>
      </c>
      <c r="D1549" s="349" t="s">
        <v>44</v>
      </c>
      <c r="E1549" s="336">
        <v>43724</v>
      </c>
      <c r="F1549" s="336">
        <v>43646</v>
      </c>
      <c r="G1549" s="336">
        <v>43715</v>
      </c>
      <c r="H1549" s="334" t="s">
        <v>4349</v>
      </c>
      <c r="I1549" s="356">
        <v>13512175979</v>
      </c>
      <c r="J1549" s="361" t="s">
        <v>4350</v>
      </c>
      <c r="K1549" s="356">
        <v>1000</v>
      </c>
      <c r="L1549" s="334">
        <f>17202-1140</f>
        <v>16062</v>
      </c>
      <c r="M1549" s="334">
        <v>1140</v>
      </c>
      <c r="N1549" s="362">
        <f t="shared" si="47"/>
        <v>17202</v>
      </c>
      <c r="O1549" s="356"/>
      <c r="P1549" s="356" t="s">
        <v>52</v>
      </c>
      <c r="Q1549" s="356"/>
      <c r="R1549" s="356"/>
      <c r="S1549" s="356"/>
      <c r="T1549" s="356"/>
      <c r="U1549" s="372"/>
      <c r="V1549" s="372"/>
      <c r="W1549" s="372"/>
      <c r="X1549" s="373"/>
      <c r="Y1549" s="348" t="s">
        <v>2425</v>
      </c>
      <c r="Z1549" s="348"/>
      <c r="AA1549" s="348"/>
    </row>
    <row r="1550" s="331" customFormat="1" ht="17" customHeight="1" spans="1:27">
      <c r="A1550" s="348">
        <v>2068057</v>
      </c>
      <c r="B1550" s="348" t="s">
        <v>87</v>
      </c>
      <c r="C1550" s="348" t="s">
        <v>466</v>
      </c>
      <c r="D1550" s="349" t="s">
        <v>89</v>
      </c>
      <c r="E1550" s="336">
        <v>43646</v>
      </c>
      <c r="F1550" s="336">
        <v>43646</v>
      </c>
      <c r="G1550" s="350"/>
      <c r="H1550" s="334" t="s">
        <v>4351</v>
      </c>
      <c r="I1550" s="356">
        <v>15021208607</v>
      </c>
      <c r="J1550" s="361" t="s">
        <v>4352</v>
      </c>
      <c r="K1550" s="356">
        <v>1000</v>
      </c>
      <c r="L1550" s="362"/>
      <c r="M1550" s="362"/>
      <c r="N1550" s="362">
        <f t="shared" si="47"/>
        <v>0</v>
      </c>
      <c r="O1550" s="356"/>
      <c r="P1550" s="356"/>
      <c r="Q1550" s="356"/>
      <c r="R1550" s="356"/>
      <c r="S1550" s="356"/>
      <c r="T1550" s="356" t="s">
        <v>52</v>
      </c>
      <c r="U1550" s="372"/>
      <c r="V1550" s="372"/>
      <c r="W1550" s="372"/>
      <c r="X1550" s="373"/>
      <c r="Y1550" s="348" t="s">
        <v>923</v>
      </c>
      <c r="Z1550" s="348"/>
      <c r="AA1550" s="348"/>
    </row>
    <row r="1551" s="331" customFormat="1" ht="17" customHeight="1" spans="1:27">
      <c r="A1551" s="550" t="s">
        <v>4353</v>
      </c>
      <c r="B1551" s="348" t="s">
        <v>315</v>
      </c>
      <c r="C1551" s="348" t="s">
        <v>230</v>
      </c>
      <c r="D1551" s="349" t="s">
        <v>182</v>
      </c>
      <c r="E1551" s="336">
        <v>43646</v>
      </c>
      <c r="F1551" s="336">
        <v>43646</v>
      </c>
      <c r="G1551" s="350" t="s">
        <v>69</v>
      </c>
      <c r="H1551" s="334" t="s">
        <v>4354</v>
      </c>
      <c r="I1551" s="356">
        <v>13701725177</v>
      </c>
      <c r="J1551" s="361" t="s">
        <v>4355</v>
      </c>
      <c r="K1551" s="356">
        <v>19900</v>
      </c>
      <c r="L1551" s="362"/>
      <c r="M1551" s="362"/>
      <c r="N1551" s="362">
        <f t="shared" si="47"/>
        <v>0</v>
      </c>
      <c r="O1551" s="356"/>
      <c r="P1551" s="356"/>
      <c r="Q1551" s="356"/>
      <c r="R1551" s="356"/>
      <c r="S1551" s="356"/>
      <c r="T1551" s="356"/>
      <c r="U1551" s="372"/>
      <c r="V1551" s="372"/>
      <c r="W1551" s="372"/>
      <c r="X1551" s="373"/>
      <c r="Y1551" s="348"/>
      <c r="Z1551" s="348"/>
      <c r="AA1551" s="348"/>
    </row>
    <row r="1552" s="331" customFormat="1" ht="17" customHeight="1" spans="1:27">
      <c r="A1552" s="550" t="s">
        <v>4356</v>
      </c>
      <c r="B1552" s="348" t="s">
        <v>31</v>
      </c>
      <c r="C1552" s="348" t="s">
        <v>377</v>
      </c>
      <c r="D1552" s="349" t="s">
        <v>33</v>
      </c>
      <c r="E1552" s="336">
        <v>43646</v>
      </c>
      <c r="F1552" s="336">
        <v>43646</v>
      </c>
      <c r="G1552" s="336">
        <v>43667</v>
      </c>
      <c r="H1552" s="334" t="s">
        <v>4357</v>
      </c>
      <c r="I1552" s="356">
        <v>13917765974</v>
      </c>
      <c r="J1552" s="361" t="s">
        <v>4358</v>
      </c>
      <c r="K1552" s="356">
        <v>1000</v>
      </c>
      <c r="L1552" s="334">
        <v>6863</v>
      </c>
      <c r="M1552" s="334">
        <v>1104</v>
      </c>
      <c r="N1552" s="362">
        <f t="shared" si="47"/>
        <v>7967</v>
      </c>
      <c r="O1552" s="356"/>
      <c r="P1552" s="356"/>
      <c r="Q1552" s="356"/>
      <c r="R1552" s="356"/>
      <c r="S1552" s="356"/>
      <c r="T1552" s="356"/>
      <c r="U1552" s="372"/>
      <c r="V1552" s="372"/>
      <c r="W1552" s="372"/>
      <c r="X1552" s="373"/>
      <c r="Y1552" s="348"/>
      <c r="Z1552" s="348"/>
      <c r="AA1552" s="348"/>
    </row>
    <row r="1553" s="331" customFormat="1" ht="17" customHeight="1" spans="1:27">
      <c r="A1553" s="348">
        <v>2025347</v>
      </c>
      <c r="B1553" s="348" t="s">
        <v>137</v>
      </c>
      <c r="C1553" s="348" t="s">
        <v>480</v>
      </c>
      <c r="D1553" s="349" t="s">
        <v>60</v>
      </c>
      <c r="E1553" s="336">
        <v>43646</v>
      </c>
      <c r="F1553" s="336">
        <v>43646</v>
      </c>
      <c r="G1553" s="336">
        <v>43658</v>
      </c>
      <c r="H1553" s="334" t="s">
        <v>4359</v>
      </c>
      <c r="I1553" s="356">
        <v>15900871965</v>
      </c>
      <c r="J1553" s="361" t="s">
        <v>4360</v>
      </c>
      <c r="K1553" s="356">
        <v>1000</v>
      </c>
      <c r="L1553" s="334">
        <v>14123</v>
      </c>
      <c r="M1553" s="334">
        <v>5090</v>
      </c>
      <c r="N1553" s="362">
        <f t="shared" si="47"/>
        <v>19213</v>
      </c>
      <c r="O1553" s="356"/>
      <c r="P1553" s="356"/>
      <c r="Q1553" s="356"/>
      <c r="R1553" s="356"/>
      <c r="S1553" s="356"/>
      <c r="T1553" s="356"/>
      <c r="U1553" s="372"/>
      <c r="V1553" s="372"/>
      <c r="W1553" s="372"/>
      <c r="X1553" s="373"/>
      <c r="Y1553" s="348"/>
      <c r="Z1553" s="348"/>
      <c r="AA1553" s="348"/>
    </row>
    <row r="1554" s="331" customFormat="1" ht="17" customHeight="1" spans="1:27">
      <c r="A1554" s="550" t="s">
        <v>4361</v>
      </c>
      <c r="B1554" s="348" t="s">
        <v>42</v>
      </c>
      <c r="C1554" s="348" t="s">
        <v>1728</v>
      </c>
      <c r="D1554" s="349" t="s">
        <v>44</v>
      </c>
      <c r="E1554" s="336" t="s">
        <v>584</v>
      </c>
      <c r="F1554" s="336">
        <v>43591</v>
      </c>
      <c r="G1554" s="356" t="s">
        <v>3654</v>
      </c>
      <c r="H1554" s="334" t="s">
        <v>2904</v>
      </c>
      <c r="I1554" s="356">
        <v>19946001614</v>
      </c>
      <c r="J1554" s="361" t="s">
        <v>2044</v>
      </c>
      <c r="K1554" s="356">
        <v>4999</v>
      </c>
      <c r="L1554" s="362"/>
      <c r="M1554" s="362"/>
      <c r="N1554" s="362">
        <f t="shared" si="47"/>
        <v>0</v>
      </c>
      <c r="O1554" s="356"/>
      <c r="P1554" s="356"/>
      <c r="Q1554" s="356"/>
      <c r="R1554" s="356"/>
      <c r="S1554" s="356"/>
      <c r="T1554" s="356"/>
      <c r="U1554" s="372"/>
      <c r="V1554" s="372"/>
      <c r="W1554" s="372"/>
      <c r="X1554" s="373"/>
      <c r="Y1554" s="348"/>
      <c r="Z1554" s="348"/>
      <c r="AA1554" s="348"/>
    </row>
    <row r="1555" s="331" customFormat="1" ht="17" customHeight="1" spans="1:27">
      <c r="A1555" s="550" t="s">
        <v>4362</v>
      </c>
      <c r="B1555" s="348" t="s">
        <v>66</v>
      </c>
      <c r="C1555" s="348" t="s">
        <v>951</v>
      </c>
      <c r="D1555" s="349" t="s">
        <v>68</v>
      </c>
      <c r="E1555" s="336">
        <v>43646</v>
      </c>
      <c r="F1555" s="336">
        <v>43646</v>
      </c>
      <c r="G1555" s="336">
        <v>43649</v>
      </c>
      <c r="H1555" s="334" t="s">
        <v>4363</v>
      </c>
      <c r="I1555" s="356">
        <v>13764008580</v>
      </c>
      <c r="J1555" s="361" t="s">
        <v>4364</v>
      </c>
      <c r="K1555" s="356">
        <v>5000</v>
      </c>
      <c r="L1555" s="334">
        <v>4991</v>
      </c>
      <c r="M1555" s="334">
        <v>1134</v>
      </c>
      <c r="N1555" s="362">
        <f t="shared" si="47"/>
        <v>6125</v>
      </c>
      <c r="O1555" s="356"/>
      <c r="P1555" s="356"/>
      <c r="Q1555" s="356"/>
      <c r="R1555" s="356"/>
      <c r="S1555" s="356"/>
      <c r="T1555" s="356"/>
      <c r="U1555" s="372"/>
      <c r="V1555" s="372"/>
      <c r="W1555" s="372"/>
      <c r="X1555" s="373"/>
      <c r="Y1555" s="348"/>
      <c r="Z1555" s="348"/>
      <c r="AA1555" s="348"/>
    </row>
    <row r="1556" s="331" customFormat="1" ht="17" customHeight="1" spans="1:27">
      <c r="A1556" s="550" t="s">
        <v>4365</v>
      </c>
      <c r="B1556" s="348" t="s">
        <v>315</v>
      </c>
      <c r="C1556" s="348" t="s">
        <v>230</v>
      </c>
      <c r="D1556" s="349" t="s">
        <v>182</v>
      </c>
      <c r="E1556" s="336">
        <v>43646</v>
      </c>
      <c r="F1556" s="336">
        <v>43646</v>
      </c>
      <c r="G1556" s="336">
        <v>43648</v>
      </c>
      <c r="H1556" s="334" t="s">
        <v>4366</v>
      </c>
      <c r="I1556" s="356">
        <v>13916011083</v>
      </c>
      <c r="J1556" s="361" t="s">
        <v>4367</v>
      </c>
      <c r="K1556" s="356">
        <v>13280</v>
      </c>
      <c r="L1556" s="334">
        <v>14280</v>
      </c>
      <c r="M1556" s="362"/>
      <c r="N1556" s="362">
        <f t="shared" si="47"/>
        <v>14280</v>
      </c>
      <c r="O1556" s="356"/>
      <c r="P1556" s="356"/>
      <c r="Q1556" s="356"/>
      <c r="R1556" s="356"/>
      <c r="S1556" s="356"/>
      <c r="T1556" s="356"/>
      <c r="U1556" s="372"/>
      <c r="V1556" s="372"/>
      <c r="W1556" s="372"/>
      <c r="X1556" s="373"/>
      <c r="Y1556" s="348"/>
      <c r="Z1556" s="348"/>
      <c r="AA1556" s="348"/>
    </row>
    <row r="1557" s="331" customFormat="1" ht="17" customHeight="1" spans="1:27">
      <c r="A1557" s="348">
        <v>2025350</v>
      </c>
      <c r="B1557" s="348" t="s">
        <v>137</v>
      </c>
      <c r="C1557" s="348" t="s">
        <v>480</v>
      </c>
      <c r="D1557" s="349" t="s">
        <v>139</v>
      </c>
      <c r="E1557" s="336">
        <v>43646</v>
      </c>
      <c r="F1557" s="336">
        <v>43646</v>
      </c>
      <c r="G1557" s="336">
        <v>43661</v>
      </c>
      <c r="H1557" s="334" t="s">
        <v>4368</v>
      </c>
      <c r="I1557" s="356">
        <v>13817989817</v>
      </c>
      <c r="J1557" s="361" t="s">
        <v>4369</v>
      </c>
      <c r="K1557" s="356">
        <v>1000</v>
      </c>
      <c r="L1557" s="334">
        <v>12203</v>
      </c>
      <c r="M1557" s="362"/>
      <c r="N1557" s="362">
        <f t="shared" si="47"/>
        <v>12203</v>
      </c>
      <c r="O1557" s="356"/>
      <c r="P1557" s="356"/>
      <c r="Q1557" s="356"/>
      <c r="R1557" s="356"/>
      <c r="S1557" s="356"/>
      <c r="T1557" s="356"/>
      <c r="U1557" s="372"/>
      <c r="V1557" s="372"/>
      <c r="W1557" s="372"/>
      <c r="X1557" s="373"/>
      <c r="Y1557" s="348" t="s">
        <v>2425</v>
      </c>
      <c r="Z1557" s="348"/>
      <c r="AA1557" s="348"/>
    </row>
    <row r="1558" s="331" customFormat="1" ht="17" customHeight="1" spans="1:27">
      <c r="A1558" s="348"/>
      <c r="B1558" s="348" t="s">
        <v>35</v>
      </c>
      <c r="C1558" s="348" t="s">
        <v>36</v>
      </c>
      <c r="D1558" s="349" t="s">
        <v>37</v>
      </c>
      <c r="E1558" s="336">
        <v>43646</v>
      </c>
      <c r="F1558" s="336">
        <v>43646</v>
      </c>
      <c r="G1558" s="336">
        <v>43660</v>
      </c>
      <c r="H1558" s="334" t="s">
        <v>4370</v>
      </c>
      <c r="I1558" s="356">
        <v>15121019516</v>
      </c>
      <c r="J1558" s="361" t="s">
        <v>4371</v>
      </c>
      <c r="K1558" s="356">
        <v>1000</v>
      </c>
      <c r="L1558" s="334">
        <v>3264</v>
      </c>
      <c r="M1558" s="334">
        <v>736</v>
      </c>
      <c r="N1558" s="362">
        <f t="shared" si="47"/>
        <v>4000</v>
      </c>
      <c r="O1558" s="356"/>
      <c r="P1558" s="356"/>
      <c r="Q1558" s="356"/>
      <c r="R1558" s="356"/>
      <c r="S1558" s="356"/>
      <c r="T1558" s="356"/>
      <c r="U1558" s="372"/>
      <c r="V1558" s="372"/>
      <c r="W1558" s="372"/>
      <c r="X1558" s="373"/>
      <c r="Y1558" s="348"/>
      <c r="Z1558" s="348"/>
      <c r="AA1558" s="348"/>
    </row>
    <row r="1559" s="331" customFormat="1" ht="17" customHeight="1" spans="1:27">
      <c r="A1559" s="550" t="s">
        <v>4372</v>
      </c>
      <c r="B1559" s="348" t="s">
        <v>31</v>
      </c>
      <c r="C1559" s="348" t="s">
        <v>2716</v>
      </c>
      <c r="D1559" s="349" t="s">
        <v>33</v>
      </c>
      <c r="E1559" s="336">
        <v>43679</v>
      </c>
      <c r="F1559" s="336">
        <v>43646</v>
      </c>
      <c r="G1559" s="336">
        <v>43679</v>
      </c>
      <c r="H1559" s="334" t="s">
        <v>4373</v>
      </c>
      <c r="I1559" s="552" t="s">
        <v>4374</v>
      </c>
      <c r="J1559" s="361" t="s">
        <v>4375</v>
      </c>
      <c r="K1559" s="356">
        <v>999.88</v>
      </c>
      <c r="L1559" s="334">
        <v>9537</v>
      </c>
      <c r="M1559" s="362">
        <f>368+368</f>
        <v>736</v>
      </c>
      <c r="N1559" s="362">
        <f t="shared" si="47"/>
        <v>10273</v>
      </c>
      <c r="O1559" s="356"/>
      <c r="P1559" s="356"/>
      <c r="Q1559" s="356"/>
      <c r="R1559" s="356"/>
      <c r="S1559" s="356"/>
      <c r="T1559" s="356"/>
      <c r="U1559" s="372"/>
      <c r="V1559" s="372"/>
      <c r="W1559" s="372" t="s">
        <v>52</v>
      </c>
      <c r="X1559" s="420"/>
      <c r="Y1559" s="348"/>
      <c r="Z1559" s="348"/>
      <c r="AA1559" s="348"/>
    </row>
    <row r="1560" s="331" customFormat="1" ht="17" customHeight="1" spans="1:27">
      <c r="A1560" s="550" t="s">
        <v>4376</v>
      </c>
      <c r="B1560" s="348" t="s">
        <v>58</v>
      </c>
      <c r="C1560" s="348" t="s">
        <v>109</v>
      </c>
      <c r="D1560" s="349" t="s">
        <v>110</v>
      </c>
      <c r="E1560" s="336" t="s">
        <v>133</v>
      </c>
      <c r="F1560" s="336">
        <v>43646</v>
      </c>
      <c r="G1560" s="336">
        <v>43660</v>
      </c>
      <c r="H1560" s="334" t="s">
        <v>4377</v>
      </c>
      <c r="I1560" s="356">
        <v>13917403274</v>
      </c>
      <c r="J1560" s="361" t="s">
        <v>4378</v>
      </c>
      <c r="K1560" s="356">
        <v>3850</v>
      </c>
      <c r="L1560" s="334">
        <v>9910</v>
      </c>
      <c r="M1560" s="334"/>
      <c r="N1560" s="362">
        <f t="shared" si="47"/>
        <v>9910</v>
      </c>
      <c r="O1560" s="356"/>
      <c r="P1560" s="356"/>
      <c r="Q1560" s="356"/>
      <c r="R1560" s="356"/>
      <c r="S1560" s="356"/>
      <c r="T1560" s="356"/>
      <c r="U1560" s="372"/>
      <c r="V1560" s="372"/>
      <c r="W1560" s="372"/>
      <c r="X1560" s="373"/>
      <c r="Y1560" s="348"/>
      <c r="Z1560" s="348"/>
      <c r="AA1560" s="348"/>
    </row>
    <row r="1561" s="331" customFormat="1" ht="17" customHeight="1" spans="1:27">
      <c r="A1561" s="348">
        <v>2067319</v>
      </c>
      <c r="B1561" s="348" t="s">
        <v>236</v>
      </c>
      <c r="C1561" s="348" t="s">
        <v>703</v>
      </c>
      <c r="D1561" s="349" t="s">
        <v>356</v>
      </c>
      <c r="E1561" s="336">
        <v>43646</v>
      </c>
      <c r="F1561" s="336">
        <v>43646</v>
      </c>
      <c r="G1561" s="336">
        <v>43661</v>
      </c>
      <c r="H1561" s="334" t="s">
        <v>4379</v>
      </c>
      <c r="I1561" s="356">
        <v>13381738484</v>
      </c>
      <c r="J1561" s="361" t="s">
        <v>4380</v>
      </c>
      <c r="K1561" s="356">
        <v>1000</v>
      </c>
      <c r="L1561" s="334">
        <v>4990</v>
      </c>
      <c r="M1561" s="334"/>
      <c r="N1561" s="362">
        <f t="shared" si="47"/>
        <v>4990</v>
      </c>
      <c r="O1561" s="356"/>
      <c r="P1561" s="356"/>
      <c r="Q1561" s="356"/>
      <c r="R1561" s="356"/>
      <c r="S1561" s="356"/>
      <c r="T1561" s="356"/>
      <c r="U1561" s="372"/>
      <c r="V1561" s="372"/>
      <c r="W1561" s="372"/>
      <c r="X1561" s="373"/>
      <c r="Y1561" s="348"/>
      <c r="Z1561" s="348"/>
      <c r="AA1561" s="348"/>
    </row>
    <row r="1562" s="331" customFormat="1" customHeight="1" spans="1:27">
      <c r="A1562" s="348">
        <v>2067316</v>
      </c>
      <c r="B1562" s="348" t="s">
        <v>236</v>
      </c>
      <c r="C1562" s="348" t="s">
        <v>195</v>
      </c>
      <c r="D1562" s="352" t="s">
        <v>237</v>
      </c>
      <c r="E1562" s="336">
        <v>43646</v>
      </c>
      <c r="F1562" s="336">
        <v>43645</v>
      </c>
      <c r="G1562" s="356" t="s">
        <v>69</v>
      </c>
      <c r="H1562" s="334" t="s">
        <v>4381</v>
      </c>
      <c r="I1562" s="356">
        <v>1894983573</v>
      </c>
      <c r="J1562" s="361" t="s">
        <v>4382</v>
      </c>
      <c r="K1562" s="356">
        <v>1000</v>
      </c>
      <c r="L1562" s="362"/>
      <c r="M1562" s="362"/>
      <c r="N1562" s="362">
        <f t="shared" si="47"/>
        <v>0</v>
      </c>
      <c r="O1562" s="356" t="s">
        <v>4383</v>
      </c>
      <c r="P1562" s="356"/>
      <c r="Q1562" s="356"/>
      <c r="R1562" s="356"/>
      <c r="S1562" s="356"/>
      <c r="T1562" s="356"/>
      <c r="U1562" s="372"/>
      <c r="V1562" s="372"/>
      <c r="W1562" s="372"/>
      <c r="X1562" s="373"/>
      <c r="Y1562" s="348"/>
      <c r="Z1562" s="348"/>
      <c r="AA1562" s="348"/>
    </row>
    <row r="1563" s="331" customFormat="1" ht="17" customHeight="1" spans="1:27">
      <c r="A1563" s="348">
        <v>2067318</v>
      </c>
      <c r="B1563" s="348" t="s">
        <v>236</v>
      </c>
      <c r="C1563" s="348" t="s">
        <v>195</v>
      </c>
      <c r="D1563" s="349" t="s">
        <v>143</v>
      </c>
      <c r="E1563" s="336">
        <v>43646</v>
      </c>
      <c r="F1563" s="336">
        <v>43646</v>
      </c>
      <c r="G1563" s="356" t="s">
        <v>69</v>
      </c>
      <c r="H1563" s="334" t="s">
        <v>4384</v>
      </c>
      <c r="I1563" s="356">
        <v>13311731136</v>
      </c>
      <c r="J1563" s="361" t="s">
        <v>4385</v>
      </c>
      <c r="K1563" s="356">
        <v>1000</v>
      </c>
      <c r="L1563" s="362"/>
      <c r="M1563" s="362"/>
      <c r="N1563" s="362">
        <f t="shared" si="47"/>
        <v>0</v>
      </c>
      <c r="O1563" s="356"/>
      <c r="P1563" s="356"/>
      <c r="Q1563" s="356" t="s">
        <v>21</v>
      </c>
      <c r="R1563" s="356"/>
      <c r="S1563" s="356"/>
      <c r="T1563" s="356"/>
      <c r="U1563" s="372"/>
      <c r="V1563" s="372"/>
      <c r="W1563" s="372"/>
      <c r="X1563" s="373">
        <v>1</v>
      </c>
      <c r="Y1563" s="348"/>
      <c r="Z1563" s="348"/>
      <c r="AA1563" s="348"/>
    </row>
    <row r="1564" s="331" customFormat="1" ht="17" customHeight="1" spans="1:27">
      <c r="A1564" s="550" t="s">
        <v>4386</v>
      </c>
      <c r="B1564" s="348" t="s">
        <v>315</v>
      </c>
      <c r="C1564" s="348" t="s">
        <v>722</v>
      </c>
      <c r="D1564" s="349" t="s">
        <v>717</v>
      </c>
      <c r="E1564" s="336">
        <v>43646</v>
      </c>
      <c r="F1564" s="336">
        <v>43646</v>
      </c>
      <c r="G1564" s="336">
        <v>43651</v>
      </c>
      <c r="H1564" s="334" t="s">
        <v>4387</v>
      </c>
      <c r="I1564" s="356">
        <v>1862150727</v>
      </c>
      <c r="J1564" s="361" t="s">
        <v>4388</v>
      </c>
      <c r="K1564" s="356">
        <v>1000</v>
      </c>
      <c r="L1564" s="334">
        <v>90000</v>
      </c>
      <c r="M1564" s="334"/>
      <c r="N1564" s="362">
        <f t="shared" si="47"/>
        <v>90000</v>
      </c>
      <c r="O1564" s="356"/>
      <c r="P1564" s="356"/>
      <c r="Q1564" s="356"/>
      <c r="R1564" s="356"/>
      <c r="S1564" s="356"/>
      <c r="T1564" s="356"/>
      <c r="U1564" s="372"/>
      <c r="V1564" s="372"/>
      <c r="W1564" s="372"/>
      <c r="X1564" s="373"/>
      <c r="Y1564" s="348"/>
      <c r="Z1564" s="348"/>
      <c r="AA1564" s="348"/>
    </row>
    <row r="1565" s="331" customFormat="1" ht="17" customHeight="1" spans="1:27">
      <c r="A1565" s="348"/>
      <c r="B1565" s="348" t="s">
        <v>35</v>
      </c>
      <c r="C1565" s="348" t="s">
        <v>392</v>
      </c>
      <c r="D1565" s="349" t="s">
        <v>37</v>
      </c>
      <c r="E1565" s="336">
        <v>43748</v>
      </c>
      <c r="F1565" s="336">
        <v>43646</v>
      </c>
      <c r="G1565" s="336">
        <v>43746</v>
      </c>
      <c r="H1565" s="334" t="s">
        <v>4389</v>
      </c>
      <c r="I1565" s="356">
        <v>13524898109</v>
      </c>
      <c r="J1565" s="361" t="s">
        <v>4390</v>
      </c>
      <c r="K1565" s="356">
        <v>1000</v>
      </c>
      <c r="L1565" s="334">
        <v>5040</v>
      </c>
      <c r="M1565" s="362"/>
      <c r="N1565" s="362">
        <f t="shared" si="47"/>
        <v>5040</v>
      </c>
      <c r="O1565" s="356" t="s">
        <v>52</v>
      </c>
      <c r="P1565" s="356"/>
      <c r="Q1565" s="356"/>
      <c r="R1565" s="356"/>
      <c r="S1565" s="356"/>
      <c r="T1565" s="356"/>
      <c r="U1565" s="372" t="s">
        <v>40</v>
      </c>
      <c r="V1565" s="372"/>
      <c r="W1565" s="372"/>
      <c r="X1565" s="373"/>
      <c r="Y1565" s="348"/>
      <c r="Z1565" s="348"/>
      <c r="AA1565" s="348"/>
    </row>
    <row r="1566" s="331" customFormat="1" ht="17" customHeight="1" spans="1:27">
      <c r="A1566" s="348">
        <v>2068166</v>
      </c>
      <c r="B1566" s="348" t="s">
        <v>66</v>
      </c>
      <c r="C1566" s="348" t="s">
        <v>951</v>
      </c>
      <c r="D1566" s="349" t="s">
        <v>68</v>
      </c>
      <c r="E1566" s="336">
        <v>43646</v>
      </c>
      <c r="F1566" s="336">
        <v>43646</v>
      </c>
      <c r="G1566" s="350"/>
      <c r="H1566" s="334" t="s">
        <v>4391</v>
      </c>
      <c r="I1566" s="356">
        <v>13402107921</v>
      </c>
      <c r="J1566" s="361" t="s">
        <v>4392</v>
      </c>
      <c r="K1566" s="356">
        <v>1000</v>
      </c>
      <c r="L1566" s="362"/>
      <c r="M1566" s="362"/>
      <c r="N1566" s="362">
        <f t="shared" si="47"/>
        <v>0</v>
      </c>
      <c r="O1566" s="356"/>
      <c r="P1566" s="356" t="s">
        <v>1526</v>
      </c>
      <c r="Q1566" s="356"/>
      <c r="R1566" s="356"/>
      <c r="S1566" s="356"/>
      <c r="T1566" s="356"/>
      <c r="U1566" s="400" t="s">
        <v>4393</v>
      </c>
      <c r="V1566" s="372"/>
      <c r="W1566" s="372"/>
      <c r="X1566" s="373"/>
      <c r="Y1566" s="348" t="s">
        <v>2425</v>
      </c>
      <c r="Z1566" s="348"/>
      <c r="AA1566" s="348"/>
    </row>
    <row r="1567" s="331" customFormat="1" ht="17" customHeight="1" spans="1:27">
      <c r="A1567" s="348"/>
      <c r="B1567" s="348" t="s">
        <v>87</v>
      </c>
      <c r="C1567" s="348" t="s">
        <v>1757</v>
      </c>
      <c r="D1567" s="349" t="s">
        <v>171</v>
      </c>
      <c r="E1567" s="336">
        <v>43646</v>
      </c>
      <c r="F1567" s="336">
        <v>43646</v>
      </c>
      <c r="G1567" s="336">
        <v>43653</v>
      </c>
      <c r="H1567" s="334" t="s">
        <v>4394</v>
      </c>
      <c r="I1567" s="356">
        <v>13585654787</v>
      </c>
      <c r="J1567" s="361" t="s">
        <v>4395</v>
      </c>
      <c r="K1567" s="356">
        <v>1000</v>
      </c>
      <c r="L1567" s="334">
        <v>14703</v>
      </c>
      <c r="M1567" s="334"/>
      <c r="N1567" s="362">
        <f t="shared" si="47"/>
        <v>14703</v>
      </c>
      <c r="O1567" s="356"/>
      <c r="P1567" s="356"/>
      <c r="Q1567" s="356"/>
      <c r="R1567" s="356"/>
      <c r="S1567" s="356"/>
      <c r="T1567" s="356"/>
      <c r="U1567" s="372"/>
      <c r="V1567" s="372"/>
      <c r="W1567" s="372"/>
      <c r="X1567" s="373"/>
      <c r="Y1567" s="348"/>
      <c r="Z1567" s="348"/>
      <c r="AA1567" s="348"/>
    </row>
    <row r="1568" s="331" customFormat="1" ht="17" customHeight="1" spans="1:27">
      <c r="A1568" s="348"/>
      <c r="B1568" s="348" t="s">
        <v>87</v>
      </c>
      <c r="C1568" s="348" t="s">
        <v>1757</v>
      </c>
      <c r="D1568" s="349" t="s">
        <v>89</v>
      </c>
      <c r="E1568" s="336">
        <v>43708</v>
      </c>
      <c r="F1568" s="336">
        <v>43646</v>
      </c>
      <c r="G1568" s="336">
        <v>43708</v>
      </c>
      <c r="H1568" s="334" t="s">
        <v>4396</v>
      </c>
      <c r="I1568" s="356">
        <v>13916771721</v>
      </c>
      <c r="J1568" s="361" t="s">
        <v>4397</v>
      </c>
      <c r="K1568" s="356">
        <v>1000</v>
      </c>
      <c r="L1568" s="334">
        <v>13938</v>
      </c>
      <c r="M1568" s="362"/>
      <c r="N1568" s="362">
        <f t="shared" si="47"/>
        <v>13938</v>
      </c>
      <c r="O1568" s="356"/>
      <c r="P1568" s="356" t="s">
        <v>52</v>
      </c>
      <c r="Q1568" s="356"/>
      <c r="R1568" s="356"/>
      <c r="S1568" s="356"/>
      <c r="T1568" s="356"/>
      <c r="U1568" s="372"/>
      <c r="V1568" s="372"/>
      <c r="W1568" s="372"/>
      <c r="X1568" s="373"/>
      <c r="Y1568" s="348"/>
      <c r="Z1568" s="348"/>
      <c r="AA1568" s="348"/>
    </row>
    <row r="1569" s="331" customFormat="1" ht="15" customHeight="1" spans="1:27">
      <c r="A1569" s="348">
        <v>2068666</v>
      </c>
      <c r="B1569" s="348" t="s">
        <v>405</v>
      </c>
      <c r="C1569" s="348" t="s">
        <v>1234</v>
      </c>
      <c r="D1569" s="349" t="s">
        <v>407</v>
      </c>
      <c r="E1569" s="336">
        <v>43819</v>
      </c>
      <c r="F1569" s="336">
        <v>43646</v>
      </c>
      <c r="G1569" s="336">
        <v>43812</v>
      </c>
      <c r="H1569" s="334" t="s">
        <v>4398</v>
      </c>
      <c r="I1569" s="356">
        <v>18801752860</v>
      </c>
      <c r="J1569" s="361" t="s">
        <v>4399</v>
      </c>
      <c r="K1569" s="356">
        <v>1000</v>
      </c>
      <c r="L1569" s="334">
        <v>82815</v>
      </c>
      <c r="M1569" s="362"/>
      <c r="N1569" s="362">
        <f t="shared" si="47"/>
        <v>82815</v>
      </c>
      <c r="O1569" s="356"/>
      <c r="P1569" s="356"/>
      <c r="Q1569" s="356"/>
      <c r="R1569" s="356"/>
      <c r="S1569" s="356" t="s">
        <v>52</v>
      </c>
      <c r="T1569" s="356"/>
      <c r="U1569" s="372"/>
      <c r="V1569" s="372" t="s">
        <v>4400</v>
      </c>
      <c r="W1569" s="372"/>
      <c r="X1569" s="373" t="s">
        <v>4401</v>
      </c>
      <c r="Y1569" s="348"/>
      <c r="Z1569" s="348"/>
      <c r="AA1569" s="348"/>
    </row>
    <row r="1570" s="331" customFormat="1" ht="15" customHeight="1" spans="1:27">
      <c r="A1570" s="348">
        <v>2068667</v>
      </c>
      <c r="B1570" s="348" t="s">
        <v>405</v>
      </c>
      <c r="C1570" s="348" t="s">
        <v>1234</v>
      </c>
      <c r="D1570" s="349" t="s">
        <v>407</v>
      </c>
      <c r="E1570" s="336">
        <v>43646</v>
      </c>
      <c r="F1570" s="336">
        <v>43646</v>
      </c>
      <c r="G1570" s="350"/>
      <c r="H1570" s="334" t="s">
        <v>4402</v>
      </c>
      <c r="I1570" s="356">
        <v>13671916515</v>
      </c>
      <c r="J1570" s="361" t="s">
        <v>4403</v>
      </c>
      <c r="K1570" s="356">
        <v>1000</v>
      </c>
      <c r="L1570" s="362"/>
      <c r="M1570" s="362"/>
      <c r="N1570" s="362">
        <f t="shared" si="47"/>
        <v>0</v>
      </c>
      <c r="O1570" s="356" t="s">
        <v>52</v>
      </c>
      <c r="P1570" s="356"/>
      <c r="Q1570" s="356"/>
      <c r="R1570" s="356"/>
      <c r="S1570" s="356"/>
      <c r="T1570" s="356"/>
      <c r="U1570" s="372" t="s">
        <v>63</v>
      </c>
      <c r="V1570" s="372"/>
      <c r="W1570" s="372"/>
      <c r="X1570" s="373"/>
      <c r="Y1570" s="348"/>
      <c r="Z1570" s="348"/>
      <c r="AA1570" s="348"/>
    </row>
    <row r="1571" s="331" customFormat="1" ht="15" customHeight="1" spans="1:27">
      <c r="A1571" s="550" t="s">
        <v>4404</v>
      </c>
      <c r="B1571" s="348" t="s">
        <v>405</v>
      </c>
      <c r="C1571" s="348" t="s">
        <v>1234</v>
      </c>
      <c r="D1571" s="349" t="s">
        <v>407</v>
      </c>
      <c r="E1571" s="336">
        <v>43646</v>
      </c>
      <c r="F1571" s="336">
        <v>43646</v>
      </c>
      <c r="G1571" s="350"/>
      <c r="H1571" s="334" t="s">
        <v>4405</v>
      </c>
      <c r="I1571" s="356">
        <v>13817342407</v>
      </c>
      <c r="J1571" s="361" t="s">
        <v>4406</v>
      </c>
      <c r="K1571" s="356">
        <v>1000</v>
      </c>
      <c r="L1571" s="362"/>
      <c r="M1571" s="362"/>
      <c r="N1571" s="362">
        <f t="shared" si="47"/>
        <v>0</v>
      </c>
      <c r="O1571" s="356"/>
      <c r="P1571" s="356"/>
      <c r="Q1571" s="356" t="s">
        <v>52</v>
      </c>
      <c r="R1571" s="356"/>
      <c r="S1571" s="356"/>
      <c r="T1571" s="356"/>
      <c r="U1571" s="372" t="s">
        <v>4407</v>
      </c>
      <c r="V1571" s="372"/>
      <c r="W1571" s="372"/>
      <c r="X1571" s="373"/>
      <c r="Y1571" s="348"/>
      <c r="Z1571" s="348"/>
      <c r="AA1571" s="348"/>
    </row>
    <row r="1572" s="331" customFormat="1" ht="17" customHeight="1" spans="1:27">
      <c r="A1572" s="550" t="s">
        <v>4408</v>
      </c>
      <c r="B1572" s="348" t="s">
        <v>405</v>
      </c>
      <c r="C1572" s="348" t="s">
        <v>1234</v>
      </c>
      <c r="D1572" s="349" t="s">
        <v>407</v>
      </c>
      <c r="E1572" s="336">
        <v>43646</v>
      </c>
      <c r="F1572" s="336">
        <v>43646</v>
      </c>
      <c r="G1572" s="350"/>
      <c r="H1572" s="334" t="s">
        <v>4409</v>
      </c>
      <c r="I1572" s="356">
        <v>13764205701</v>
      </c>
      <c r="J1572" s="361" t="s">
        <v>4410</v>
      </c>
      <c r="K1572" s="356">
        <v>1000</v>
      </c>
      <c r="L1572" s="362"/>
      <c r="M1572" s="362"/>
      <c r="N1572" s="362">
        <f t="shared" si="47"/>
        <v>0</v>
      </c>
      <c r="O1572" s="356" t="s">
        <v>52</v>
      </c>
      <c r="P1572" s="356"/>
      <c r="Q1572" s="356"/>
      <c r="R1572" s="356"/>
      <c r="S1572" s="356"/>
      <c r="T1572" s="356"/>
      <c r="U1572" s="372" t="s">
        <v>12</v>
      </c>
      <c r="V1572" s="372"/>
      <c r="W1572" s="372"/>
      <c r="X1572" s="373"/>
      <c r="Y1572" s="348"/>
      <c r="Z1572" s="348"/>
      <c r="AA1572" s="348"/>
    </row>
    <row r="1573" s="331" customFormat="1" ht="17" customHeight="1" spans="1:27">
      <c r="A1573" s="348"/>
      <c r="B1573" s="348" t="s">
        <v>185</v>
      </c>
      <c r="C1573" s="348" t="s">
        <v>886</v>
      </c>
      <c r="D1573" s="349" t="s">
        <v>187</v>
      </c>
      <c r="E1573" s="336">
        <v>43646</v>
      </c>
      <c r="F1573" s="336">
        <v>43646</v>
      </c>
      <c r="G1573" s="350"/>
      <c r="H1573" s="334" t="s">
        <v>4411</v>
      </c>
      <c r="I1573" s="356">
        <v>13816968075</v>
      </c>
      <c r="J1573" s="361" t="s">
        <v>4412</v>
      </c>
      <c r="K1573" s="356">
        <v>1299</v>
      </c>
      <c r="L1573" s="362"/>
      <c r="M1573" s="362"/>
      <c r="N1573" s="362">
        <f t="shared" si="47"/>
        <v>0</v>
      </c>
      <c r="O1573" s="356"/>
      <c r="P1573" s="356"/>
      <c r="Q1573" s="356"/>
      <c r="R1573" s="356"/>
      <c r="S1573" s="356" t="s">
        <v>52</v>
      </c>
      <c r="T1573" s="356"/>
      <c r="U1573" s="372" t="s">
        <v>889</v>
      </c>
      <c r="V1573" s="372"/>
      <c r="W1573" s="372"/>
      <c r="X1573" s="373"/>
      <c r="Y1573" s="348"/>
      <c r="Z1573" s="348"/>
      <c r="AA1573" s="348"/>
    </row>
    <row r="1574" s="331" customFormat="1" ht="17" customHeight="1" spans="1:27">
      <c r="A1574" s="348">
        <v>2023111</v>
      </c>
      <c r="B1574" s="348" t="s">
        <v>153</v>
      </c>
      <c r="C1574" s="348" t="s">
        <v>302</v>
      </c>
      <c r="D1574" s="349" t="s">
        <v>155</v>
      </c>
      <c r="E1574" s="336">
        <v>43646</v>
      </c>
      <c r="F1574" s="336">
        <v>43646</v>
      </c>
      <c r="G1574" s="336">
        <v>43672</v>
      </c>
      <c r="H1574" s="334" t="s">
        <v>4413</v>
      </c>
      <c r="I1574" s="356">
        <v>13816105587</v>
      </c>
      <c r="J1574" s="361" t="s">
        <v>4414</v>
      </c>
      <c r="K1574" s="356">
        <v>1000</v>
      </c>
      <c r="L1574" s="334">
        <v>24440</v>
      </c>
      <c r="M1574" s="334">
        <v>1960</v>
      </c>
      <c r="N1574" s="362">
        <f t="shared" si="47"/>
        <v>26400</v>
      </c>
      <c r="O1574" s="356"/>
      <c r="P1574" s="356"/>
      <c r="Q1574" s="356"/>
      <c r="R1574" s="356"/>
      <c r="S1574" s="356"/>
      <c r="T1574" s="356"/>
      <c r="U1574" s="372"/>
      <c r="V1574" s="372"/>
      <c r="W1574" s="372" t="s">
        <v>2494</v>
      </c>
      <c r="X1574" s="373"/>
      <c r="Y1574" s="348"/>
      <c r="Z1574" s="348"/>
      <c r="AA1574" s="348"/>
    </row>
    <row r="1575" s="331" customFormat="1" ht="17" customHeight="1" spans="1:27">
      <c r="A1575" s="348"/>
      <c r="B1575" s="348" t="s">
        <v>58</v>
      </c>
      <c r="C1575" s="348" t="s">
        <v>59</v>
      </c>
      <c r="D1575" s="349" t="s">
        <v>271</v>
      </c>
      <c r="E1575" s="336">
        <v>43646</v>
      </c>
      <c r="F1575" s="336">
        <v>43646</v>
      </c>
      <c r="G1575" s="336">
        <v>43671</v>
      </c>
      <c r="H1575" s="334" t="s">
        <v>4415</v>
      </c>
      <c r="I1575" s="356">
        <v>13701690980</v>
      </c>
      <c r="J1575" s="361" t="s">
        <v>4416</v>
      </c>
      <c r="K1575" s="356">
        <v>10300</v>
      </c>
      <c r="L1575" s="334">
        <v>12062</v>
      </c>
      <c r="M1575" s="334">
        <v>1472</v>
      </c>
      <c r="N1575" s="362">
        <f t="shared" si="47"/>
        <v>13534</v>
      </c>
      <c r="O1575" s="366" t="s">
        <v>52</v>
      </c>
      <c r="P1575" s="356"/>
      <c r="Q1575" s="356"/>
      <c r="R1575" s="356"/>
      <c r="S1575" s="356"/>
      <c r="T1575" s="356"/>
      <c r="U1575" s="372"/>
      <c r="V1575" s="372"/>
      <c r="W1575" s="372"/>
      <c r="X1575" s="373"/>
      <c r="Y1575" s="348" t="s">
        <v>2425</v>
      </c>
      <c r="Z1575" s="348"/>
      <c r="AA1575" s="348" t="s">
        <v>4417</v>
      </c>
    </row>
    <row r="1576" s="331" customFormat="1" ht="17" customHeight="1" spans="1:27">
      <c r="A1576" s="348"/>
      <c r="B1576" s="348" t="s">
        <v>58</v>
      </c>
      <c r="C1576" s="348" t="s">
        <v>59</v>
      </c>
      <c r="D1576" s="349" t="s">
        <v>271</v>
      </c>
      <c r="E1576" s="336">
        <v>43646</v>
      </c>
      <c r="F1576" s="336">
        <v>43646</v>
      </c>
      <c r="G1576" s="336">
        <v>43674</v>
      </c>
      <c r="H1576" s="334" t="s">
        <v>4418</v>
      </c>
      <c r="I1576" s="356">
        <v>13641814517</v>
      </c>
      <c r="J1576" s="361" t="s">
        <v>4419</v>
      </c>
      <c r="K1576" s="356">
        <v>1000</v>
      </c>
      <c r="L1576" s="334">
        <v>8024</v>
      </c>
      <c r="M1576" s="362"/>
      <c r="N1576" s="362">
        <f t="shared" si="47"/>
        <v>8024</v>
      </c>
      <c r="O1576" s="356"/>
      <c r="P1576" s="356"/>
      <c r="Q1576" s="356"/>
      <c r="R1576" s="366" t="s">
        <v>52</v>
      </c>
      <c r="S1576" s="356"/>
      <c r="T1576" s="356"/>
      <c r="U1576" s="372"/>
      <c r="V1576" s="372"/>
      <c r="W1576" s="372"/>
      <c r="X1576" s="373"/>
      <c r="Y1576" s="348" t="s">
        <v>2425</v>
      </c>
      <c r="Z1576" s="348"/>
      <c r="AA1576" s="348"/>
    </row>
    <row r="1577" s="331" customFormat="1" ht="17" customHeight="1" spans="1:27">
      <c r="A1577" s="348"/>
      <c r="B1577" s="348" t="s">
        <v>58</v>
      </c>
      <c r="C1577" s="348" t="s">
        <v>59</v>
      </c>
      <c r="D1577" s="349" t="s">
        <v>60</v>
      </c>
      <c r="E1577" s="336">
        <v>43646</v>
      </c>
      <c r="F1577" s="336">
        <v>43644</v>
      </c>
      <c r="G1577" s="350"/>
      <c r="H1577" s="334" t="s">
        <v>4420</v>
      </c>
      <c r="I1577" s="356">
        <v>13248252208</v>
      </c>
      <c r="J1577" s="361" t="s">
        <v>4421</v>
      </c>
      <c r="K1577" s="356">
        <v>10000</v>
      </c>
      <c r="L1577" s="362"/>
      <c r="M1577" s="362"/>
      <c r="N1577" s="362">
        <f t="shared" si="47"/>
        <v>0</v>
      </c>
      <c r="O1577" s="356"/>
      <c r="P1577" s="356"/>
      <c r="Q1577" s="356"/>
      <c r="R1577" s="366" t="s">
        <v>52</v>
      </c>
      <c r="S1577" s="356"/>
      <c r="T1577" s="356"/>
      <c r="U1577" s="400" t="s">
        <v>4422</v>
      </c>
      <c r="V1577" s="372"/>
      <c r="W1577" s="372"/>
      <c r="X1577" s="373">
        <v>1</v>
      </c>
      <c r="Y1577" s="348"/>
      <c r="Z1577" s="348"/>
      <c r="AA1577" s="348" t="s">
        <v>4423</v>
      </c>
    </row>
    <row r="1578" s="331" customFormat="1" ht="15" customHeight="1" spans="1:27">
      <c r="A1578" s="348"/>
      <c r="B1578" s="348" t="s">
        <v>58</v>
      </c>
      <c r="C1578" s="348" t="s">
        <v>271</v>
      </c>
      <c r="D1578" s="352" t="s">
        <v>271</v>
      </c>
      <c r="E1578" s="336">
        <v>43646</v>
      </c>
      <c r="F1578" s="336">
        <v>43646</v>
      </c>
      <c r="G1578" s="355">
        <v>43652</v>
      </c>
      <c r="H1578" s="334" t="s">
        <v>4424</v>
      </c>
      <c r="I1578" s="356">
        <v>13917859817</v>
      </c>
      <c r="J1578" s="361" t="s">
        <v>4425</v>
      </c>
      <c r="K1578" s="356">
        <v>5000</v>
      </c>
      <c r="L1578" s="362"/>
      <c r="M1578" s="362"/>
      <c r="N1578" s="362">
        <f t="shared" si="47"/>
        <v>0</v>
      </c>
      <c r="O1578" s="356"/>
      <c r="P1578" s="356"/>
      <c r="Q1578" s="366" t="s">
        <v>52</v>
      </c>
      <c r="R1578" s="356"/>
      <c r="S1578" s="356"/>
      <c r="T1578" s="356"/>
      <c r="U1578" s="372"/>
      <c r="V1578" s="372"/>
      <c r="W1578" s="372"/>
      <c r="X1578" s="373"/>
      <c r="Y1578" s="348" t="s">
        <v>274</v>
      </c>
      <c r="Z1578" s="348"/>
      <c r="AA1578" s="348"/>
    </row>
    <row r="1579" s="331" customFormat="1" ht="17" customHeight="1" spans="1:27">
      <c r="A1579" s="348">
        <v>2026796</v>
      </c>
      <c r="B1579" s="348" t="s">
        <v>73</v>
      </c>
      <c r="C1579" s="348" t="s">
        <v>74</v>
      </c>
      <c r="D1579" s="352" t="s">
        <v>75</v>
      </c>
      <c r="E1579" s="336">
        <v>43640</v>
      </c>
      <c r="F1579" s="336">
        <v>43639</v>
      </c>
      <c r="G1579" s="350" t="s">
        <v>69</v>
      </c>
      <c r="H1579" s="334" t="s">
        <v>4426</v>
      </c>
      <c r="I1579" s="356">
        <v>13052020001</v>
      </c>
      <c r="J1579" s="361" t="s">
        <v>4427</v>
      </c>
      <c r="K1579" s="356">
        <v>1000</v>
      </c>
      <c r="L1579" s="362"/>
      <c r="M1579" s="362"/>
      <c r="N1579" s="362">
        <f t="shared" si="47"/>
        <v>0</v>
      </c>
      <c r="O1579" s="366" t="s">
        <v>52</v>
      </c>
      <c r="P1579" s="356"/>
      <c r="Q1579" s="356"/>
      <c r="R1579" s="356"/>
      <c r="S1579" s="356"/>
      <c r="T1579" s="356"/>
      <c r="U1579" s="372"/>
      <c r="V1579" s="372"/>
      <c r="W1579" s="372"/>
      <c r="X1579" s="373"/>
      <c r="Y1579" s="348" t="s">
        <v>1181</v>
      </c>
      <c r="Z1579" s="348" t="s">
        <v>79</v>
      </c>
      <c r="AA1579" s="348"/>
    </row>
    <row r="1580" s="331" customFormat="1" ht="17" customHeight="1" spans="1:27">
      <c r="A1580" s="550" t="s">
        <v>4428</v>
      </c>
      <c r="B1580" s="348" t="s">
        <v>35</v>
      </c>
      <c r="C1580" s="348" t="s">
        <v>328</v>
      </c>
      <c r="D1580" s="349" t="s">
        <v>37</v>
      </c>
      <c r="E1580" s="336">
        <v>43646</v>
      </c>
      <c r="F1580" s="336">
        <v>43646</v>
      </c>
      <c r="G1580" s="336">
        <v>43676</v>
      </c>
      <c r="H1580" s="334" t="s">
        <v>4429</v>
      </c>
      <c r="I1580" s="356">
        <v>18918552996</v>
      </c>
      <c r="J1580" s="361" t="s">
        <v>4430</v>
      </c>
      <c r="K1580" s="356">
        <v>11535</v>
      </c>
      <c r="L1580" s="334">
        <v>11535</v>
      </c>
      <c r="M1580" s="362"/>
      <c r="N1580" s="362">
        <f t="shared" si="47"/>
        <v>11535</v>
      </c>
      <c r="O1580" s="356" t="s">
        <v>52</v>
      </c>
      <c r="P1580" s="356"/>
      <c r="Q1580" s="356"/>
      <c r="R1580" s="356"/>
      <c r="S1580" s="356"/>
      <c r="T1580" s="356"/>
      <c r="U1580" s="372"/>
      <c r="V1580" s="372"/>
      <c r="W1580" s="372"/>
      <c r="X1580" s="373"/>
      <c r="Y1580" s="348"/>
      <c r="Z1580" s="348"/>
      <c r="AA1580" s="348"/>
    </row>
    <row r="1581" s="331" customFormat="1" ht="17" customHeight="1" spans="1:27">
      <c r="A1581" s="348"/>
      <c r="B1581" s="348" t="s">
        <v>66</v>
      </c>
      <c r="C1581" s="348" t="s">
        <v>505</v>
      </c>
      <c r="D1581" s="349" t="s">
        <v>68</v>
      </c>
      <c r="E1581" s="336">
        <v>43646</v>
      </c>
      <c r="F1581" s="336">
        <v>43646</v>
      </c>
      <c r="G1581" s="350"/>
      <c r="H1581" s="334" t="s">
        <v>4431</v>
      </c>
      <c r="I1581" s="356">
        <v>13917109654</v>
      </c>
      <c r="J1581" s="361" t="s">
        <v>4432</v>
      </c>
      <c r="K1581" s="356">
        <v>1000</v>
      </c>
      <c r="L1581" s="362"/>
      <c r="M1581" s="362"/>
      <c r="N1581" s="362">
        <f t="shared" si="47"/>
        <v>0</v>
      </c>
      <c r="O1581" s="356"/>
      <c r="P1581" s="356"/>
      <c r="Q1581" s="356"/>
      <c r="R1581" s="356"/>
      <c r="S1581" s="356"/>
      <c r="T1581" s="356"/>
      <c r="U1581" s="372" t="s">
        <v>12</v>
      </c>
      <c r="V1581" s="372"/>
      <c r="W1581" s="372"/>
      <c r="X1581" s="373"/>
      <c r="Y1581" s="348" t="s">
        <v>2425</v>
      </c>
      <c r="Z1581" s="348"/>
      <c r="AA1581" s="348"/>
    </row>
    <row r="1582" s="331" customFormat="1" ht="17" customHeight="1" spans="1:27">
      <c r="A1582" s="348"/>
      <c r="B1582" s="348" t="s">
        <v>35</v>
      </c>
      <c r="C1582" s="348" t="s">
        <v>392</v>
      </c>
      <c r="D1582" s="349" t="s">
        <v>37</v>
      </c>
      <c r="E1582" s="336">
        <v>43646</v>
      </c>
      <c r="F1582" s="336">
        <v>43646</v>
      </c>
      <c r="G1582" s="350" t="s">
        <v>69</v>
      </c>
      <c r="H1582" s="334" t="s">
        <v>4433</v>
      </c>
      <c r="I1582" s="356">
        <v>13636653053</v>
      </c>
      <c r="J1582" s="361" t="s">
        <v>4434</v>
      </c>
      <c r="K1582" s="356">
        <v>1000</v>
      </c>
      <c r="L1582" s="362"/>
      <c r="M1582" s="362"/>
      <c r="N1582" s="362">
        <f t="shared" si="47"/>
        <v>0</v>
      </c>
      <c r="O1582" s="356"/>
      <c r="P1582" s="356"/>
      <c r="Q1582" s="356" t="s">
        <v>52</v>
      </c>
      <c r="R1582" s="356"/>
      <c r="S1582" s="356"/>
      <c r="T1582" s="356"/>
      <c r="U1582" s="372"/>
      <c r="V1582" s="372"/>
      <c r="W1582" s="372"/>
      <c r="X1582" s="373"/>
      <c r="Y1582" s="348" t="s">
        <v>3185</v>
      </c>
      <c r="Z1582" s="348"/>
      <c r="AA1582" s="348"/>
    </row>
    <row r="1583" s="331" customFormat="1" ht="17" customHeight="1" spans="1:27">
      <c r="A1583" s="348">
        <v>2027599</v>
      </c>
      <c r="B1583" s="348" t="s">
        <v>73</v>
      </c>
      <c r="C1583" s="348" t="s">
        <v>74</v>
      </c>
      <c r="D1583" s="349" t="s">
        <v>132</v>
      </c>
      <c r="E1583" s="336">
        <v>43647</v>
      </c>
      <c r="F1583" s="336">
        <v>43646</v>
      </c>
      <c r="G1583" s="336">
        <v>43667</v>
      </c>
      <c r="H1583" s="334" t="s">
        <v>4435</v>
      </c>
      <c r="I1583" s="356">
        <v>13816063227</v>
      </c>
      <c r="J1583" s="361" t="s">
        <v>4436</v>
      </c>
      <c r="K1583" s="356">
        <v>1000</v>
      </c>
      <c r="L1583" s="334">
        <v>2891</v>
      </c>
      <c r="M1583" s="362"/>
      <c r="N1583" s="362">
        <f t="shared" si="47"/>
        <v>2891</v>
      </c>
      <c r="O1583" s="356"/>
      <c r="P1583" s="356"/>
      <c r="Q1583" s="356"/>
      <c r="R1583" s="356"/>
      <c r="S1583" s="356"/>
      <c r="T1583" s="356"/>
      <c r="U1583" s="372"/>
      <c r="V1583" s="372"/>
      <c r="W1583" s="372"/>
      <c r="X1583" s="373"/>
      <c r="Y1583" s="348" t="s">
        <v>2425</v>
      </c>
      <c r="Z1583" s="348"/>
      <c r="AA1583" s="348"/>
    </row>
    <row r="1584" s="57" customFormat="1" ht="17" customHeight="1" spans="1:27">
      <c r="A1584" s="348">
        <v>2026695</v>
      </c>
      <c r="B1584" s="348" t="s">
        <v>137</v>
      </c>
      <c r="C1584" s="348" t="s">
        <v>480</v>
      </c>
      <c r="D1584" s="349" t="s">
        <v>139</v>
      </c>
      <c r="E1584" s="336" t="s">
        <v>498</v>
      </c>
      <c r="F1584" s="336">
        <v>43478</v>
      </c>
      <c r="G1584" s="356" t="s">
        <v>69</v>
      </c>
      <c r="H1584" s="351" t="s">
        <v>116</v>
      </c>
      <c r="I1584" s="356">
        <v>19946090508</v>
      </c>
      <c r="J1584" s="348" t="s">
        <v>4437</v>
      </c>
      <c r="K1584" s="356">
        <v>0</v>
      </c>
      <c r="L1584" s="362"/>
      <c r="M1584" s="362"/>
      <c r="N1584" s="362">
        <f t="shared" si="47"/>
        <v>0</v>
      </c>
      <c r="O1584" s="356"/>
      <c r="P1584" s="356"/>
      <c r="Q1584" s="356"/>
      <c r="R1584" s="356"/>
      <c r="S1584" s="356">
        <v>1</v>
      </c>
      <c r="T1584" s="356"/>
      <c r="U1584" s="372"/>
      <c r="V1584" s="372"/>
      <c r="W1584" s="372"/>
      <c r="X1584" s="373"/>
      <c r="Y1584" s="348" t="s">
        <v>4438</v>
      </c>
      <c r="Z1584" s="348"/>
      <c r="AA1584" s="348"/>
    </row>
    <row r="1585" s="331" customFormat="1" ht="17" customHeight="1" spans="1:27">
      <c r="A1585" s="348">
        <v>2066611</v>
      </c>
      <c r="B1585" s="348" t="s">
        <v>335</v>
      </c>
      <c r="C1585" s="348" t="s">
        <v>399</v>
      </c>
      <c r="D1585" s="349" t="s">
        <v>337</v>
      </c>
      <c r="E1585" s="336">
        <v>43647</v>
      </c>
      <c r="F1585" s="336">
        <v>43646</v>
      </c>
      <c r="G1585" s="336">
        <v>43661</v>
      </c>
      <c r="H1585" s="334" t="s">
        <v>4439</v>
      </c>
      <c r="I1585" s="356">
        <v>15921802691</v>
      </c>
      <c r="J1585" s="361" t="s">
        <v>4440</v>
      </c>
      <c r="K1585" s="356">
        <v>7000</v>
      </c>
      <c r="L1585" s="334">
        <v>14300</v>
      </c>
      <c r="M1585" s="362"/>
      <c r="N1585" s="362">
        <f t="shared" si="47"/>
        <v>14300</v>
      </c>
      <c r="O1585" s="356" t="s">
        <v>52</v>
      </c>
      <c r="P1585" s="356"/>
      <c r="Q1585" s="356"/>
      <c r="R1585" s="356"/>
      <c r="S1585" s="356"/>
      <c r="T1585" s="356"/>
      <c r="U1585" s="372"/>
      <c r="V1585" s="372"/>
      <c r="W1585" s="372"/>
      <c r="X1585" s="373"/>
      <c r="Y1585" s="348"/>
      <c r="Z1585" s="348"/>
      <c r="AA1585" s="348"/>
    </row>
    <row r="1586" s="331" customFormat="1" ht="17" customHeight="1" spans="1:27">
      <c r="A1586" s="348"/>
      <c r="B1586" s="348" t="s">
        <v>58</v>
      </c>
      <c r="C1586" s="348" t="s">
        <v>109</v>
      </c>
      <c r="D1586" s="352" t="s">
        <v>110</v>
      </c>
      <c r="E1586" s="336">
        <v>43647</v>
      </c>
      <c r="F1586" s="336">
        <v>43646</v>
      </c>
      <c r="G1586" s="336">
        <v>43648</v>
      </c>
      <c r="H1586" s="334" t="s">
        <v>4441</v>
      </c>
      <c r="I1586" s="356">
        <v>13816955850</v>
      </c>
      <c r="J1586" s="361" t="s">
        <v>4442</v>
      </c>
      <c r="K1586" s="356">
        <v>1000</v>
      </c>
      <c r="L1586" s="334">
        <v>18789</v>
      </c>
      <c r="M1586" s="334"/>
      <c r="N1586" s="362">
        <f t="shared" si="47"/>
        <v>18789</v>
      </c>
      <c r="O1586" s="356"/>
      <c r="P1586" s="356"/>
      <c r="Q1586" s="356"/>
      <c r="R1586" s="356"/>
      <c r="S1586" s="356"/>
      <c r="T1586" s="356"/>
      <c r="U1586" s="372"/>
      <c r="V1586" s="372"/>
      <c r="W1586" s="372"/>
      <c r="X1586" s="373"/>
      <c r="Y1586" s="348" t="s">
        <v>4320</v>
      </c>
      <c r="Z1586" s="348"/>
      <c r="AA1586" s="348"/>
    </row>
    <row r="1587" s="331" customFormat="1" ht="17" customHeight="1" spans="1:27">
      <c r="A1587" s="550" t="s">
        <v>4443</v>
      </c>
      <c r="B1587" s="348" t="s">
        <v>123</v>
      </c>
      <c r="C1587" s="334" t="s">
        <v>902</v>
      </c>
      <c r="D1587" s="349" t="s">
        <v>89</v>
      </c>
      <c r="E1587" s="336">
        <v>43647</v>
      </c>
      <c r="F1587" s="336">
        <v>43646</v>
      </c>
      <c r="G1587" s="336">
        <v>43649</v>
      </c>
      <c r="H1587" s="334" t="s">
        <v>4444</v>
      </c>
      <c r="I1587" s="356">
        <v>15721328809</v>
      </c>
      <c r="J1587" s="361" t="s">
        <v>4445</v>
      </c>
      <c r="K1587" s="356">
        <v>1000</v>
      </c>
      <c r="L1587" s="334">
        <v>6435</v>
      </c>
      <c r="M1587" s="334">
        <v>1104</v>
      </c>
      <c r="N1587" s="362">
        <f t="shared" si="47"/>
        <v>7539</v>
      </c>
      <c r="O1587" s="356"/>
      <c r="P1587" s="356"/>
      <c r="Q1587" s="356"/>
      <c r="R1587" s="356"/>
      <c r="S1587" s="356"/>
      <c r="T1587" s="356"/>
      <c r="U1587" s="372"/>
      <c r="V1587" s="372"/>
      <c r="W1587" s="372"/>
      <c r="X1587" s="373"/>
      <c r="Y1587" s="348"/>
      <c r="Z1587" s="348"/>
      <c r="AA1587" s="348"/>
    </row>
    <row r="1588" s="331" customFormat="1" ht="17" customHeight="1" spans="1:27">
      <c r="A1588" s="550" t="s">
        <v>4446</v>
      </c>
      <c r="B1588" s="348" t="s">
        <v>66</v>
      </c>
      <c r="C1588" s="348" t="s">
        <v>119</v>
      </c>
      <c r="D1588" s="349" t="s">
        <v>68</v>
      </c>
      <c r="E1588" s="336">
        <v>43619</v>
      </c>
      <c r="F1588" s="336">
        <v>43619</v>
      </c>
      <c r="G1588" s="336">
        <v>43677</v>
      </c>
      <c r="H1588" s="334" t="s">
        <v>4447</v>
      </c>
      <c r="I1588" s="356" t="s">
        <v>4448</v>
      </c>
      <c r="J1588" s="361" t="s">
        <v>4449</v>
      </c>
      <c r="K1588" s="356">
        <f>3000+3000</f>
        <v>6000</v>
      </c>
      <c r="L1588" s="334">
        <v>19637</v>
      </c>
      <c r="M1588" s="362"/>
      <c r="N1588" s="362">
        <f t="shared" si="47"/>
        <v>19637</v>
      </c>
      <c r="O1588" s="356"/>
      <c r="P1588" s="356"/>
      <c r="Q1588" s="356"/>
      <c r="R1588" s="356"/>
      <c r="S1588" s="356"/>
      <c r="T1588" s="356"/>
      <c r="U1588" s="372"/>
      <c r="V1588" s="372" t="s">
        <v>2494</v>
      </c>
      <c r="W1588" s="372"/>
      <c r="X1588" s="373"/>
      <c r="Y1588" s="348"/>
      <c r="Z1588" s="348"/>
      <c r="AA1588" s="348"/>
    </row>
    <row r="1589" s="331" customFormat="1" ht="17" customHeight="1" spans="1:27">
      <c r="A1589" s="348">
        <v>2067286</v>
      </c>
      <c r="B1589" s="348" t="s">
        <v>805</v>
      </c>
      <c r="C1589" s="348" t="s">
        <v>806</v>
      </c>
      <c r="D1589" s="349" t="s">
        <v>171</v>
      </c>
      <c r="E1589" s="336">
        <v>43692</v>
      </c>
      <c r="F1589" s="336">
        <v>43648</v>
      </c>
      <c r="G1589" s="336">
        <v>43692</v>
      </c>
      <c r="H1589" s="348" t="s">
        <v>4450</v>
      </c>
      <c r="I1589" s="356">
        <v>13162943736</v>
      </c>
      <c r="J1589" s="361" t="s">
        <v>4451</v>
      </c>
      <c r="K1589" s="356">
        <v>10000</v>
      </c>
      <c r="L1589" s="334">
        <v>10000</v>
      </c>
      <c r="M1589" s="362"/>
      <c r="N1589" s="362">
        <f t="shared" si="47"/>
        <v>10000</v>
      </c>
      <c r="O1589" s="356"/>
      <c r="P1589" s="356"/>
      <c r="Q1589" s="356"/>
      <c r="R1589" s="356"/>
      <c r="S1589" s="356" t="s">
        <v>52</v>
      </c>
      <c r="T1589" s="356"/>
      <c r="U1589" s="372"/>
      <c r="V1589" s="372"/>
      <c r="W1589" s="372"/>
      <c r="X1589" s="373"/>
      <c r="Y1589" s="348" t="s">
        <v>274</v>
      </c>
      <c r="Z1589" s="348"/>
      <c r="AA1589" s="348"/>
    </row>
    <row r="1590" s="331" customFormat="1" ht="17" customHeight="1" spans="1:27">
      <c r="A1590" s="550" t="s">
        <v>4452</v>
      </c>
      <c r="B1590" s="348" t="s">
        <v>805</v>
      </c>
      <c r="C1590" s="348" t="s">
        <v>806</v>
      </c>
      <c r="D1590" s="349" t="s">
        <v>75</v>
      </c>
      <c r="E1590" s="336">
        <v>43648</v>
      </c>
      <c r="F1590" s="336">
        <v>43648</v>
      </c>
      <c r="G1590" s="336">
        <v>43651</v>
      </c>
      <c r="H1590" s="334" t="s">
        <v>4453</v>
      </c>
      <c r="I1590" s="356">
        <v>13564287020</v>
      </c>
      <c r="J1590" s="361" t="s">
        <v>4454</v>
      </c>
      <c r="K1590" s="356">
        <v>5000</v>
      </c>
      <c r="L1590" s="334">
        <v>29726</v>
      </c>
      <c r="M1590" s="334"/>
      <c r="N1590" s="362">
        <f t="shared" si="47"/>
        <v>29726</v>
      </c>
      <c r="O1590" s="356"/>
      <c r="P1590" s="356"/>
      <c r="Q1590" s="356"/>
      <c r="R1590" s="356"/>
      <c r="S1590" s="356"/>
      <c r="T1590" s="356"/>
      <c r="U1590" s="372"/>
      <c r="V1590" s="372"/>
      <c r="W1590" s="372"/>
      <c r="X1590" s="373"/>
      <c r="Y1590" s="348" t="s">
        <v>2425</v>
      </c>
      <c r="Z1590" s="348"/>
      <c r="AA1590" s="348"/>
    </row>
    <row r="1591" s="331" customFormat="1" ht="17" customHeight="1" spans="1:27">
      <c r="A1591" s="550" t="s">
        <v>4455</v>
      </c>
      <c r="B1591" s="348" t="s">
        <v>185</v>
      </c>
      <c r="C1591" s="348" t="s">
        <v>186</v>
      </c>
      <c r="D1591" s="349" t="s">
        <v>187</v>
      </c>
      <c r="E1591" s="336">
        <v>43769</v>
      </c>
      <c r="F1591" s="336">
        <v>43647</v>
      </c>
      <c r="G1591" s="336">
        <v>43767</v>
      </c>
      <c r="H1591" s="334" t="s">
        <v>4456</v>
      </c>
      <c r="I1591" s="356">
        <v>15317877955</v>
      </c>
      <c r="J1591" s="348" t="s">
        <v>4457</v>
      </c>
      <c r="K1591" s="356">
        <v>1000</v>
      </c>
      <c r="L1591" s="334">
        <v>4220</v>
      </c>
      <c r="M1591" s="362"/>
      <c r="N1591" s="362">
        <f t="shared" si="47"/>
        <v>4220</v>
      </c>
      <c r="O1591" s="356"/>
      <c r="P1591" s="356"/>
      <c r="Q1591" s="356"/>
      <c r="R1591" s="356" t="s">
        <v>52</v>
      </c>
      <c r="S1591" s="356"/>
      <c r="T1591" s="356"/>
      <c r="U1591" s="372"/>
      <c r="V1591" s="372"/>
      <c r="W1591" s="372"/>
      <c r="X1591" s="373"/>
      <c r="Y1591" s="348"/>
      <c r="Z1591" s="348"/>
      <c r="AA1591" s="348"/>
    </row>
    <row r="1592" s="331" customFormat="1" ht="17" customHeight="1" spans="1:27">
      <c r="A1592" s="550" t="s">
        <v>4458</v>
      </c>
      <c r="B1592" s="348" t="s">
        <v>354</v>
      </c>
      <c r="C1592" s="348" t="s">
        <v>355</v>
      </c>
      <c r="D1592" s="349" t="s">
        <v>343</v>
      </c>
      <c r="E1592" s="336">
        <v>43690</v>
      </c>
      <c r="F1592" s="336">
        <v>43647</v>
      </c>
      <c r="G1592" s="336">
        <v>43689</v>
      </c>
      <c r="H1592" s="334" t="s">
        <v>4459</v>
      </c>
      <c r="I1592" s="356">
        <v>13952531911</v>
      </c>
      <c r="J1592" s="361" t="s">
        <v>4460</v>
      </c>
      <c r="K1592" s="356">
        <v>1000</v>
      </c>
      <c r="L1592" s="334">
        <v>4873</v>
      </c>
      <c r="M1592" s="334">
        <v>200</v>
      </c>
      <c r="N1592" s="362">
        <f t="shared" si="47"/>
        <v>5073</v>
      </c>
      <c r="O1592" s="356"/>
      <c r="P1592" s="356" t="s">
        <v>52</v>
      </c>
      <c r="Q1592" s="356"/>
      <c r="R1592" s="356"/>
      <c r="S1592" s="356"/>
      <c r="T1592" s="356"/>
      <c r="U1592" s="372"/>
      <c r="V1592" s="372"/>
      <c r="W1592" s="372"/>
      <c r="X1592" s="373">
        <v>1</v>
      </c>
      <c r="Y1592" s="348"/>
      <c r="Z1592" s="348"/>
      <c r="AA1592" s="348"/>
    </row>
    <row r="1593" s="331" customFormat="1" ht="17" customHeight="1" spans="1:27">
      <c r="A1593" s="550" t="s">
        <v>4461</v>
      </c>
      <c r="B1593" s="348" t="s">
        <v>31</v>
      </c>
      <c r="C1593" s="348" t="s">
        <v>220</v>
      </c>
      <c r="D1593" s="349" t="s">
        <v>221</v>
      </c>
      <c r="E1593" s="336">
        <v>43706</v>
      </c>
      <c r="F1593" s="336">
        <v>43648</v>
      </c>
      <c r="G1593" s="336">
        <v>43704</v>
      </c>
      <c r="H1593" s="334" t="s">
        <v>4462</v>
      </c>
      <c r="I1593" s="356">
        <v>18621788964</v>
      </c>
      <c r="J1593" s="361" t="s">
        <v>4463</v>
      </c>
      <c r="K1593" s="356">
        <v>1000</v>
      </c>
      <c r="L1593" s="334">
        <v>6032</v>
      </c>
      <c r="M1593" s="362"/>
      <c r="N1593" s="362">
        <f t="shared" si="47"/>
        <v>6032</v>
      </c>
      <c r="O1593" s="356"/>
      <c r="P1593" s="356"/>
      <c r="Q1593" s="356"/>
      <c r="R1593" s="356"/>
      <c r="S1593" s="356"/>
      <c r="T1593" s="356"/>
      <c r="U1593" s="372" t="s">
        <v>12</v>
      </c>
      <c r="V1593" s="372"/>
      <c r="W1593" s="372"/>
      <c r="X1593" s="373"/>
      <c r="Y1593" s="348"/>
      <c r="Z1593" s="348" t="s">
        <v>4464</v>
      </c>
      <c r="AA1593" s="348"/>
    </row>
    <row r="1594" s="331" customFormat="1" ht="17" customHeight="1" spans="1:27">
      <c r="A1594" s="550" t="s">
        <v>4465</v>
      </c>
      <c r="B1594" s="348" t="s">
        <v>31</v>
      </c>
      <c r="C1594" s="348" t="s">
        <v>220</v>
      </c>
      <c r="D1594" s="349" t="s">
        <v>221</v>
      </c>
      <c r="E1594" s="336">
        <v>43648</v>
      </c>
      <c r="F1594" s="336">
        <v>43648</v>
      </c>
      <c r="G1594" s="350"/>
      <c r="H1594" s="334" t="s">
        <v>4466</v>
      </c>
      <c r="I1594" s="356">
        <v>15601800471</v>
      </c>
      <c r="J1594" s="361" t="s">
        <v>4467</v>
      </c>
      <c r="K1594" s="356">
        <v>1000</v>
      </c>
      <c r="L1594" s="362"/>
      <c r="M1594" s="362"/>
      <c r="N1594" s="362">
        <f t="shared" si="47"/>
        <v>0</v>
      </c>
      <c r="O1594" s="356"/>
      <c r="P1594" s="356"/>
      <c r="Q1594" s="356"/>
      <c r="R1594" s="356"/>
      <c r="S1594" s="356"/>
      <c r="T1594" s="356"/>
      <c r="U1594" s="372" t="s">
        <v>12</v>
      </c>
      <c r="V1594" s="372"/>
      <c r="W1594" s="372"/>
      <c r="X1594" s="373"/>
      <c r="Y1594" s="348"/>
      <c r="Z1594" s="348" t="s">
        <v>4464</v>
      </c>
      <c r="AA1594" s="348"/>
    </row>
    <row r="1595" s="331" customFormat="1" ht="17" customHeight="1" spans="1:27">
      <c r="A1595" s="550" t="s">
        <v>2018</v>
      </c>
      <c r="B1595" s="348" t="s">
        <v>169</v>
      </c>
      <c r="C1595" s="348" t="s">
        <v>634</v>
      </c>
      <c r="D1595" s="349" t="s">
        <v>635</v>
      </c>
      <c r="E1595" s="336">
        <v>43708</v>
      </c>
      <c r="F1595" s="336">
        <v>43648</v>
      </c>
      <c r="G1595" s="336">
        <v>43707</v>
      </c>
      <c r="H1595" s="334" t="s">
        <v>4468</v>
      </c>
      <c r="I1595" s="356">
        <v>13601911424</v>
      </c>
      <c r="J1595" s="361" t="s">
        <v>4469</v>
      </c>
      <c r="K1595" s="356">
        <v>1000</v>
      </c>
      <c r="L1595" s="334">
        <f>15508-1472</f>
        <v>14036</v>
      </c>
      <c r="M1595" s="334">
        <v>1472</v>
      </c>
      <c r="N1595" s="362">
        <f t="shared" si="47"/>
        <v>15508</v>
      </c>
      <c r="O1595" s="356" t="s">
        <v>19</v>
      </c>
      <c r="P1595" s="356"/>
      <c r="Q1595" s="356"/>
      <c r="R1595" s="356"/>
      <c r="S1595" s="356"/>
      <c r="T1595" s="356"/>
      <c r="U1595" s="372"/>
      <c r="V1595" s="372"/>
      <c r="W1595" s="372"/>
      <c r="X1595" s="373"/>
      <c r="Y1595" s="348"/>
      <c r="Z1595" s="348"/>
      <c r="AA1595" s="348"/>
    </row>
    <row r="1596" s="331" customFormat="1" ht="17" customHeight="1" spans="1:27">
      <c r="A1596" s="550" t="s">
        <v>4470</v>
      </c>
      <c r="B1596" s="348" t="s">
        <v>66</v>
      </c>
      <c r="C1596" s="348" t="s">
        <v>119</v>
      </c>
      <c r="D1596" s="349" t="s">
        <v>68</v>
      </c>
      <c r="E1596" s="336"/>
      <c r="F1596" s="336">
        <v>43648</v>
      </c>
      <c r="G1596" s="350"/>
      <c r="H1596" s="334" t="s">
        <v>4471</v>
      </c>
      <c r="I1596" s="356">
        <v>13671796066</v>
      </c>
      <c r="J1596" s="361" t="s">
        <v>4472</v>
      </c>
      <c r="K1596" s="356">
        <v>500</v>
      </c>
      <c r="L1596" s="334"/>
      <c r="M1596" s="362"/>
      <c r="N1596" s="362">
        <f t="shared" si="47"/>
        <v>0</v>
      </c>
      <c r="O1596" s="356"/>
      <c r="P1596" s="356" t="s">
        <v>1526</v>
      </c>
      <c r="Q1596" s="356"/>
      <c r="R1596" s="356"/>
      <c r="S1596" s="356"/>
      <c r="T1596" s="356"/>
      <c r="U1596" s="372" t="s">
        <v>12</v>
      </c>
      <c r="V1596" s="372"/>
      <c r="W1596" s="372"/>
      <c r="X1596" s="373"/>
      <c r="Y1596" s="348" t="s">
        <v>3448</v>
      </c>
      <c r="Z1596" s="348"/>
      <c r="AA1596" s="348"/>
    </row>
    <row r="1597" s="331" customFormat="1" ht="17" customHeight="1" spans="1:27">
      <c r="A1597" s="550" t="s">
        <v>4473</v>
      </c>
      <c r="B1597" s="348" t="s">
        <v>66</v>
      </c>
      <c r="C1597" s="348" t="s">
        <v>2389</v>
      </c>
      <c r="D1597" s="334" t="s">
        <v>1436</v>
      </c>
      <c r="E1597" s="336">
        <v>43767</v>
      </c>
      <c r="F1597" s="336">
        <v>43648</v>
      </c>
      <c r="G1597" s="336">
        <v>43766</v>
      </c>
      <c r="H1597" s="334" t="s">
        <v>4474</v>
      </c>
      <c r="I1597" s="356">
        <v>13661500717</v>
      </c>
      <c r="J1597" s="361" t="s">
        <v>4475</v>
      </c>
      <c r="K1597" s="356">
        <v>500</v>
      </c>
      <c r="L1597" s="334">
        <v>15286</v>
      </c>
      <c r="M1597" s="362"/>
      <c r="N1597" s="362">
        <f t="shared" si="47"/>
        <v>15286</v>
      </c>
      <c r="O1597" s="356" t="s">
        <v>19</v>
      </c>
      <c r="P1597" s="356"/>
      <c r="Q1597" s="356"/>
      <c r="R1597" s="356"/>
      <c r="S1597" s="356"/>
      <c r="T1597" s="356"/>
      <c r="U1597" s="372"/>
      <c r="V1597" s="372"/>
      <c r="W1597" s="372"/>
      <c r="X1597" s="373"/>
      <c r="Y1597" s="348" t="s">
        <v>3448</v>
      </c>
      <c r="Z1597" s="348"/>
      <c r="AA1597" s="348"/>
    </row>
    <row r="1598" s="331" customFormat="1" ht="17" customHeight="1" spans="1:27">
      <c r="A1598" s="550" t="s">
        <v>4476</v>
      </c>
      <c r="B1598" s="348" t="s">
        <v>66</v>
      </c>
      <c r="C1598" s="348" t="s">
        <v>951</v>
      </c>
      <c r="D1598" s="349" t="s">
        <v>68</v>
      </c>
      <c r="E1598" s="336"/>
      <c r="F1598" s="336">
        <v>43648</v>
      </c>
      <c r="G1598" s="336">
        <v>43654</v>
      </c>
      <c r="H1598" s="334" t="s">
        <v>4477</v>
      </c>
      <c r="I1598" s="356">
        <v>13681258984</v>
      </c>
      <c r="J1598" s="361" t="s">
        <v>4478</v>
      </c>
      <c r="K1598" s="356">
        <v>500</v>
      </c>
      <c r="L1598" s="334">
        <v>2984</v>
      </c>
      <c r="M1598" s="334">
        <v>536</v>
      </c>
      <c r="N1598" s="362">
        <f t="shared" si="47"/>
        <v>3520</v>
      </c>
      <c r="O1598" s="356"/>
      <c r="P1598" s="356"/>
      <c r="Q1598" s="356"/>
      <c r="R1598" s="356"/>
      <c r="S1598" s="356"/>
      <c r="T1598" s="356"/>
      <c r="U1598" s="372"/>
      <c r="V1598" s="372"/>
      <c r="W1598" s="372"/>
      <c r="X1598" s="373"/>
      <c r="Y1598" s="348" t="s">
        <v>3448</v>
      </c>
      <c r="Z1598" s="348"/>
      <c r="AA1598" s="348"/>
    </row>
    <row r="1599" s="331" customFormat="1" ht="17" customHeight="1" spans="1:27">
      <c r="A1599" s="550" t="s">
        <v>4479</v>
      </c>
      <c r="B1599" s="348" t="s">
        <v>35</v>
      </c>
      <c r="C1599" s="348" t="s">
        <v>328</v>
      </c>
      <c r="D1599" s="349" t="s">
        <v>37</v>
      </c>
      <c r="E1599" s="336">
        <v>43649</v>
      </c>
      <c r="F1599" s="336">
        <v>43648</v>
      </c>
      <c r="G1599" s="350" t="s">
        <v>69</v>
      </c>
      <c r="H1599" s="334" t="s">
        <v>4480</v>
      </c>
      <c r="I1599" s="356">
        <v>13636498819</v>
      </c>
      <c r="J1599" s="361" t="s">
        <v>4481</v>
      </c>
      <c r="K1599" s="356">
        <v>1000</v>
      </c>
      <c r="L1599" s="362"/>
      <c r="M1599" s="362"/>
      <c r="N1599" s="362">
        <f t="shared" si="47"/>
        <v>0</v>
      </c>
      <c r="O1599" s="356"/>
      <c r="P1599" s="356"/>
      <c r="Q1599" s="356" t="s">
        <v>52</v>
      </c>
      <c r="R1599" s="356"/>
      <c r="S1599" s="356"/>
      <c r="T1599" s="356"/>
      <c r="U1599" s="372"/>
      <c r="V1599" s="372"/>
      <c r="W1599" s="372"/>
      <c r="X1599" s="373"/>
      <c r="Y1599" s="348" t="s">
        <v>4482</v>
      </c>
      <c r="Z1599" s="348"/>
      <c r="AA1599" s="348"/>
    </row>
    <row r="1600" s="331" customFormat="1" ht="17" customHeight="1" spans="1:27">
      <c r="A1600" s="348">
        <v>2023112</v>
      </c>
      <c r="B1600" s="348" t="s">
        <v>153</v>
      </c>
      <c r="C1600" s="348" t="s">
        <v>302</v>
      </c>
      <c r="D1600" s="349" t="s">
        <v>155</v>
      </c>
      <c r="E1600" s="336"/>
      <c r="F1600" s="336">
        <v>43648</v>
      </c>
      <c r="G1600" s="350"/>
      <c r="H1600" s="334" t="s">
        <v>4483</v>
      </c>
      <c r="I1600" s="356">
        <v>15300859522</v>
      </c>
      <c r="J1600" s="361" t="s">
        <v>4484</v>
      </c>
      <c r="K1600" s="356">
        <v>500</v>
      </c>
      <c r="L1600" s="362"/>
      <c r="M1600" s="362"/>
      <c r="N1600" s="362">
        <f t="shared" si="47"/>
        <v>0</v>
      </c>
      <c r="O1600" s="356"/>
      <c r="P1600" s="356"/>
      <c r="Q1600" s="356"/>
      <c r="R1600" s="356"/>
      <c r="S1600" s="356"/>
      <c r="T1600" s="356"/>
      <c r="U1600" s="375" t="s">
        <v>12</v>
      </c>
      <c r="V1600" s="372"/>
      <c r="W1600" s="372"/>
      <c r="X1600" s="373"/>
      <c r="Y1600" s="348" t="s">
        <v>3448</v>
      </c>
      <c r="Z1600" s="348"/>
      <c r="AA1600" s="348"/>
    </row>
    <row r="1601" s="331" customFormat="1" ht="17" customHeight="1" spans="1:27">
      <c r="A1601" s="550" t="s">
        <v>4485</v>
      </c>
      <c r="B1601" s="348" t="s">
        <v>31</v>
      </c>
      <c r="C1601" s="348" t="s">
        <v>220</v>
      </c>
      <c r="D1601" s="349" t="s">
        <v>221</v>
      </c>
      <c r="E1601" s="336"/>
      <c r="F1601" s="336">
        <v>43648</v>
      </c>
      <c r="G1601" s="350"/>
      <c r="H1601" s="334" t="s">
        <v>4486</v>
      </c>
      <c r="I1601" s="356">
        <v>17621771851</v>
      </c>
      <c r="J1601" s="361" t="s">
        <v>4487</v>
      </c>
      <c r="K1601" s="356">
        <v>500</v>
      </c>
      <c r="L1601" s="362"/>
      <c r="M1601" s="362"/>
      <c r="N1601" s="362">
        <f t="shared" ref="N1601:N1626" si="48">L1601+M1601</f>
        <v>0</v>
      </c>
      <c r="O1601" s="356"/>
      <c r="P1601" s="356"/>
      <c r="Q1601" s="366"/>
      <c r="R1601" s="356"/>
      <c r="S1601" s="356"/>
      <c r="T1601" s="356"/>
      <c r="U1601" s="385" t="s">
        <v>52</v>
      </c>
      <c r="V1601" s="372"/>
      <c r="W1601" s="372"/>
      <c r="X1601" s="373"/>
      <c r="Y1601" s="348" t="s">
        <v>3448</v>
      </c>
      <c r="Z1601" s="348"/>
      <c r="AA1601" s="348"/>
    </row>
    <row r="1602" s="331" customFormat="1" ht="17" customHeight="1" spans="1:27">
      <c r="A1602" s="550" t="s">
        <v>4488</v>
      </c>
      <c r="B1602" s="348" t="s">
        <v>31</v>
      </c>
      <c r="C1602" s="348" t="s">
        <v>220</v>
      </c>
      <c r="D1602" s="349" t="s">
        <v>221</v>
      </c>
      <c r="E1602" s="336"/>
      <c r="F1602" s="336">
        <v>43648</v>
      </c>
      <c r="G1602" s="350"/>
      <c r="H1602" s="334" t="s">
        <v>4489</v>
      </c>
      <c r="I1602" s="356">
        <v>13916551094</v>
      </c>
      <c r="J1602" s="361" t="s">
        <v>4490</v>
      </c>
      <c r="K1602" s="356">
        <v>500</v>
      </c>
      <c r="L1602" s="362"/>
      <c r="M1602" s="362"/>
      <c r="N1602" s="362">
        <f t="shared" si="48"/>
        <v>0</v>
      </c>
      <c r="O1602" s="366"/>
      <c r="P1602" s="356"/>
      <c r="Q1602" s="356"/>
      <c r="R1602" s="356"/>
      <c r="S1602" s="356"/>
      <c r="T1602" s="356"/>
      <c r="U1602" s="372"/>
      <c r="V1602" s="385" t="s">
        <v>52</v>
      </c>
      <c r="W1602" s="372"/>
      <c r="X1602" s="373"/>
      <c r="Y1602" s="348" t="s">
        <v>3448</v>
      </c>
      <c r="Z1602" s="348"/>
      <c r="AA1602" s="348"/>
    </row>
    <row r="1603" s="331" customFormat="1" ht="17" customHeight="1" spans="1:27">
      <c r="A1603" s="550" t="s">
        <v>4491</v>
      </c>
      <c r="B1603" s="348" t="s">
        <v>35</v>
      </c>
      <c r="C1603" s="348" t="s">
        <v>36</v>
      </c>
      <c r="D1603" s="349" t="s">
        <v>37</v>
      </c>
      <c r="E1603" s="336"/>
      <c r="F1603" s="336">
        <v>43648</v>
      </c>
      <c r="G1603" s="350" t="s">
        <v>69</v>
      </c>
      <c r="H1603" s="334" t="s">
        <v>4492</v>
      </c>
      <c r="I1603" s="356">
        <v>18916808180</v>
      </c>
      <c r="J1603" s="361" t="s">
        <v>4493</v>
      </c>
      <c r="K1603" s="356">
        <v>500</v>
      </c>
      <c r="L1603" s="362"/>
      <c r="M1603" s="362"/>
      <c r="N1603" s="362">
        <f t="shared" si="48"/>
        <v>0</v>
      </c>
      <c r="O1603" s="356"/>
      <c r="P1603" s="356"/>
      <c r="Q1603" s="356" t="s">
        <v>52</v>
      </c>
      <c r="R1603" s="356"/>
      <c r="S1603" s="356"/>
      <c r="T1603" s="356"/>
      <c r="U1603" s="372"/>
      <c r="V1603" s="372"/>
      <c r="W1603" s="372"/>
      <c r="X1603" s="373"/>
      <c r="Y1603" s="348" t="s">
        <v>4482</v>
      </c>
      <c r="Z1603" s="348"/>
      <c r="AA1603" s="348"/>
    </row>
    <row r="1604" s="331" customFormat="1" ht="15" customHeight="1" spans="1:27">
      <c r="A1604" s="550" t="s">
        <v>4494</v>
      </c>
      <c r="B1604" s="348" t="s">
        <v>58</v>
      </c>
      <c r="C1604" s="348" t="s">
        <v>1234</v>
      </c>
      <c r="D1604" s="352" t="s">
        <v>343</v>
      </c>
      <c r="E1604" s="336">
        <v>43582</v>
      </c>
      <c r="F1604" s="336">
        <v>43581</v>
      </c>
      <c r="G1604" s="355">
        <v>43709</v>
      </c>
      <c r="H1604" s="334" t="s">
        <v>4495</v>
      </c>
      <c r="I1604" s="356" t="s">
        <v>4496</v>
      </c>
      <c r="J1604" s="361" t="s">
        <v>4497</v>
      </c>
      <c r="K1604" s="356">
        <f>500+500</f>
        <v>1000</v>
      </c>
      <c r="L1604" s="362"/>
      <c r="M1604" s="362"/>
      <c r="N1604" s="362">
        <f t="shared" si="48"/>
        <v>0</v>
      </c>
      <c r="O1604" s="356"/>
      <c r="P1604" s="356"/>
      <c r="Q1604" s="356"/>
      <c r="R1604" s="356"/>
      <c r="S1604" s="356"/>
      <c r="T1604" s="356"/>
      <c r="U1604" s="401">
        <v>43739</v>
      </c>
      <c r="V1604" s="372"/>
      <c r="W1604" s="372"/>
      <c r="X1604" s="373"/>
      <c r="Y1604" s="348" t="s">
        <v>4498</v>
      </c>
      <c r="Z1604" s="348"/>
      <c r="AA1604" s="348"/>
    </row>
    <row r="1605" s="331" customFormat="1" ht="17" customHeight="1" spans="1:27">
      <c r="A1605" s="550" t="s">
        <v>4499</v>
      </c>
      <c r="B1605" s="348" t="s">
        <v>137</v>
      </c>
      <c r="C1605" s="348" t="s">
        <v>138</v>
      </c>
      <c r="D1605" s="349" t="s">
        <v>139</v>
      </c>
      <c r="E1605" s="336"/>
      <c r="F1605" s="336">
        <v>43648</v>
      </c>
      <c r="G1605" s="350" t="s">
        <v>69</v>
      </c>
      <c r="H1605" s="334" t="s">
        <v>4500</v>
      </c>
      <c r="I1605" s="356">
        <v>13918085088</v>
      </c>
      <c r="J1605" s="361" t="s">
        <v>4501</v>
      </c>
      <c r="K1605" s="356">
        <v>500</v>
      </c>
      <c r="L1605" s="362"/>
      <c r="M1605" s="362"/>
      <c r="N1605" s="362">
        <f t="shared" si="48"/>
        <v>0</v>
      </c>
      <c r="O1605" s="356"/>
      <c r="P1605" s="356"/>
      <c r="Q1605" s="356"/>
      <c r="R1605" s="356">
        <v>1</v>
      </c>
      <c r="S1605" s="356"/>
      <c r="T1605" s="356"/>
      <c r="U1605" s="372"/>
      <c r="V1605" s="372"/>
      <c r="W1605" s="372"/>
      <c r="X1605" s="373"/>
      <c r="Y1605" s="348" t="s">
        <v>4193</v>
      </c>
      <c r="Z1605" s="348"/>
      <c r="AA1605" s="348"/>
    </row>
    <row r="1606" s="331" customFormat="1" ht="17" customHeight="1" spans="1:27">
      <c r="A1606" s="550" t="s">
        <v>4502</v>
      </c>
      <c r="B1606" s="348" t="s">
        <v>73</v>
      </c>
      <c r="C1606" s="348" t="s">
        <v>74</v>
      </c>
      <c r="D1606" s="352" t="s">
        <v>75</v>
      </c>
      <c r="E1606" s="336">
        <v>43666</v>
      </c>
      <c r="F1606" s="336">
        <v>43666</v>
      </c>
      <c r="G1606" s="350"/>
      <c r="H1606" s="334" t="s">
        <v>4503</v>
      </c>
      <c r="I1606" s="356">
        <v>15221736056</v>
      </c>
      <c r="J1606" s="361" t="s">
        <v>4504</v>
      </c>
      <c r="K1606" s="356">
        <v>1000</v>
      </c>
      <c r="L1606" s="419"/>
      <c r="M1606" s="419"/>
      <c r="N1606" s="362">
        <f t="shared" si="48"/>
        <v>0</v>
      </c>
      <c r="O1606" s="356"/>
      <c r="P1606" s="366" t="s">
        <v>52</v>
      </c>
      <c r="Q1606" s="356"/>
      <c r="R1606" s="356"/>
      <c r="S1606" s="356"/>
      <c r="T1606" s="356"/>
      <c r="U1606" s="372"/>
      <c r="V1606" s="372"/>
      <c r="W1606" s="372"/>
      <c r="X1606" s="373"/>
      <c r="Y1606" s="348"/>
      <c r="Z1606" s="348"/>
      <c r="AA1606" s="348"/>
    </row>
    <row r="1607" s="331" customFormat="1" ht="17" customHeight="1" spans="1:27">
      <c r="A1607" s="550" t="s">
        <v>4505</v>
      </c>
      <c r="B1607" s="348" t="s">
        <v>137</v>
      </c>
      <c r="C1607" s="348" t="s">
        <v>138</v>
      </c>
      <c r="D1607" s="349" t="s">
        <v>139</v>
      </c>
      <c r="E1607" s="336"/>
      <c r="F1607" s="336">
        <v>43648</v>
      </c>
      <c r="G1607" s="350" t="s">
        <v>69</v>
      </c>
      <c r="H1607" s="334" t="s">
        <v>4506</v>
      </c>
      <c r="I1607" s="356">
        <v>18917385088</v>
      </c>
      <c r="J1607" s="361" t="s">
        <v>4507</v>
      </c>
      <c r="K1607" s="356">
        <v>500</v>
      </c>
      <c r="L1607" s="362"/>
      <c r="M1607" s="362"/>
      <c r="N1607" s="362">
        <f t="shared" si="48"/>
        <v>0</v>
      </c>
      <c r="O1607" s="356"/>
      <c r="P1607" s="356"/>
      <c r="Q1607" s="356">
        <v>1</v>
      </c>
      <c r="R1607" s="356"/>
      <c r="S1607" s="356"/>
      <c r="T1607" s="356"/>
      <c r="U1607" s="372"/>
      <c r="V1607" s="372"/>
      <c r="W1607" s="372"/>
      <c r="X1607" s="373"/>
      <c r="Y1607" s="348" t="s">
        <v>4193</v>
      </c>
      <c r="Z1607" s="348"/>
      <c r="AA1607" s="348"/>
    </row>
    <row r="1608" s="331" customFormat="1" ht="17" customHeight="1" spans="1:27">
      <c r="A1608" s="348">
        <v>2067473</v>
      </c>
      <c r="B1608" s="348" t="s">
        <v>137</v>
      </c>
      <c r="C1608" s="348" t="s">
        <v>480</v>
      </c>
      <c r="D1608" s="349" t="s">
        <v>139</v>
      </c>
      <c r="E1608" s="336">
        <v>43690</v>
      </c>
      <c r="F1608" s="336">
        <v>43648</v>
      </c>
      <c r="G1608" s="336">
        <v>43687</v>
      </c>
      <c r="H1608" s="334" t="s">
        <v>4508</v>
      </c>
      <c r="I1608" s="356">
        <v>18016002692</v>
      </c>
      <c r="J1608" s="361" t="s">
        <v>4509</v>
      </c>
      <c r="K1608" s="356">
        <v>500</v>
      </c>
      <c r="L1608" s="334">
        <f>15142-1072</f>
        <v>14070</v>
      </c>
      <c r="M1608" s="334">
        <f>268+804</f>
        <v>1072</v>
      </c>
      <c r="N1608" s="362">
        <f t="shared" si="48"/>
        <v>15142</v>
      </c>
      <c r="O1608" s="356"/>
      <c r="P1608" s="356">
        <v>1</v>
      </c>
      <c r="Q1608" s="356"/>
      <c r="R1608" s="356"/>
      <c r="S1608" s="356"/>
      <c r="T1608" s="356"/>
      <c r="U1608" s="372"/>
      <c r="V1608" s="372"/>
      <c r="W1608" s="372"/>
      <c r="X1608" s="373"/>
      <c r="Y1608" s="348" t="s">
        <v>4193</v>
      </c>
      <c r="Z1608" s="348"/>
      <c r="AA1608" s="348"/>
    </row>
    <row r="1609" s="331" customFormat="1" ht="17" customHeight="1" spans="1:27">
      <c r="A1609" s="348">
        <v>2067478</v>
      </c>
      <c r="B1609" s="348" t="s">
        <v>137</v>
      </c>
      <c r="C1609" s="348" t="s">
        <v>411</v>
      </c>
      <c r="D1609" s="334" t="s">
        <v>139</v>
      </c>
      <c r="E1609" s="336">
        <v>43707</v>
      </c>
      <c r="F1609" s="336">
        <v>43648</v>
      </c>
      <c r="G1609" s="336">
        <v>43707</v>
      </c>
      <c r="H1609" s="334" t="s">
        <v>4510</v>
      </c>
      <c r="I1609" s="356">
        <v>18101850159</v>
      </c>
      <c r="J1609" s="361" t="s">
        <v>4511</v>
      </c>
      <c r="K1609" s="356">
        <v>1000</v>
      </c>
      <c r="L1609" s="334">
        <f>6400-736</f>
        <v>5664</v>
      </c>
      <c r="M1609" s="334">
        <v>736</v>
      </c>
      <c r="N1609" s="362">
        <f t="shared" si="48"/>
        <v>6400</v>
      </c>
      <c r="O1609" s="356"/>
      <c r="P1609" s="356">
        <v>1</v>
      </c>
      <c r="Q1609" s="356"/>
      <c r="R1609" s="356"/>
      <c r="S1609" s="356"/>
      <c r="T1609" s="356"/>
      <c r="U1609" s="372"/>
      <c r="V1609" s="372"/>
      <c r="W1609" s="372"/>
      <c r="X1609" s="373"/>
      <c r="Y1609" s="348" t="s">
        <v>4193</v>
      </c>
      <c r="Z1609" s="348"/>
      <c r="AA1609" s="348"/>
    </row>
    <row r="1610" s="331" customFormat="1" ht="17" customHeight="1" spans="1:27">
      <c r="A1610" s="348">
        <v>2022912</v>
      </c>
      <c r="B1610" s="348" t="s">
        <v>243</v>
      </c>
      <c r="C1610" s="348" t="s">
        <v>309</v>
      </c>
      <c r="D1610" s="352" t="s">
        <v>49</v>
      </c>
      <c r="E1610" s="336">
        <v>43542</v>
      </c>
      <c r="F1610" s="336">
        <v>43541</v>
      </c>
      <c r="G1610" s="350"/>
      <c r="H1610" s="334" t="s">
        <v>2145</v>
      </c>
      <c r="I1610" s="356" t="s">
        <v>4512</v>
      </c>
      <c r="J1610" s="361" t="s">
        <v>4513</v>
      </c>
      <c r="K1610" s="356">
        <v>1000</v>
      </c>
      <c r="L1610" s="362"/>
      <c r="M1610" s="362"/>
      <c r="N1610" s="362">
        <f t="shared" si="48"/>
        <v>0</v>
      </c>
      <c r="O1610" s="356"/>
      <c r="P1610" s="356"/>
      <c r="Q1610" s="356"/>
      <c r="R1610" s="356"/>
      <c r="S1610" s="356"/>
      <c r="T1610" s="356"/>
      <c r="U1610" s="372" t="s">
        <v>56</v>
      </c>
      <c r="V1610" s="372"/>
      <c r="W1610" s="372"/>
      <c r="X1610" s="373"/>
      <c r="Y1610" s="348"/>
      <c r="Z1610" s="348"/>
      <c r="AA1610" s="348"/>
    </row>
    <row r="1611" s="331" customFormat="1" ht="17" customHeight="1" spans="1:27">
      <c r="A1611" s="550" t="s">
        <v>4514</v>
      </c>
      <c r="B1611" s="348" t="s">
        <v>315</v>
      </c>
      <c r="C1611" s="348" t="s">
        <v>161</v>
      </c>
      <c r="D1611" s="349" t="s">
        <v>149</v>
      </c>
      <c r="E1611" s="336">
        <v>43649</v>
      </c>
      <c r="F1611" s="336">
        <v>43648</v>
      </c>
      <c r="G1611" s="336">
        <v>43653</v>
      </c>
      <c r="H1611" s="334" t="s">
        <v>4515</v>
      </c>
      <c r="I1611" s="356">
        <v>15618396916</v>
      </c>
      <c r="J1611" s="361" t="s">
        <v>4516</v>
      </c>
      <c r="K1611" s="356">
        <v>1000</v>
      </c>
      <c r="L1611" s="334">
        <v>8353</v>
      </c>
      <c r="M1611" s="334"/>
      <c r="N1611" s="362">
        <f t="shared" si="48"/>
        <v>8353</v>
      </c>
      <c r="O1611" s="356"/>
      <c r="P1611" s="356"/>
      <c r="Q1611" s="356"/>
      <c r="R1611" s="356"/>
      <c r="S1611" s="356"/>
      <c r="T1611" s="356"/>
      <c r="U1611" s="372"/>
      <c r="V1611" s="372"/>
      <c r="W1611" s="372"/>
      <c r="X1611" s="373"/>
      <c r="Y1611" s="348"/>
      <c r="Z1611" s="348"/>
      <c r="AA1611" s="348"/>
    </row>
    <row r="1612" s="331" customFormat="1" ht="17" customHeight="1" spans="1:27">
      <c r="A1612" s="550" t="s">
        <v>4517</v>
      </c>
      <c r="B1612" s="348" t="s">
        <v>47</v>
      </c>
      <c r="C1612" s="348" t="s">
        <v>53</v>
      </c>
      <c r="D1612" s="352" t="s">
        <v>49</v>
      </c>
      <c r="E1612" s="336">
        <v>43710</v>
      </c>
      <c r="F1612" s="336">
        <v>43646</v>
      </c>
      <c r="G1612" s="336">
        <v>43710</v>
      </c>
      <c r="H1612" s="334" t="s">
        <v>4518</v>
      </c>
      <c r="I1612" s="356">
        <v>15000900711</v>
      </c>
      <c r="J1612" s="361" t="s">
        <v>4519</v>
      </c>
      <c r="K1612" s="356">
        <v>1000</v>
      </c>
      <c r="L1612" s="334">
        <f>4592-736</f>
        <v>3856</v>
      </c>
      <c r="M1612" s="334">
        <v>736</v>
      </c>
      <c r="N1612" s="362">
        <f t="shared" si="48"/>
        <v>4592</v>
      </c>
      <c r="O1612" s="356"/>
      <c r="P1612" s="356"/>
      <c r="Q1612" s="356"/>
      <c r="R1612" s="356" t="s">
        <v>52</v>
      </c>
      <c r="S1612" s="356"/>
      <c r="T1612" s="356"/>
      <c r="U1612" s="372"/>
      <c r="V1612" s="372"/>
      <c r="W1612" s="372"/>
      <c r="X1612" s="373"/>
      <c r="Y1612" s="348"/>
      <c r="Z1612" s="348"/>
      <c r="AA1612" s="348"/>
    </row>
    <row r="1613" s="331" customFormat="1" ht="17" customHeight="1" spans="1:27">
      <c r="A1613" s="348">
        <v>2067480</v>
      </c>
      <c r="B1613" s="348" t="s">
        <v>137</v>
      </c>
      <c r="C1613" s="348" t="s">
        <v>411</v>
      </c>
      <c r="D1613" s="349" t="s">
        <v>139</v>
      </c>
      <c r="E1613" s="336">
        <v>43649</v>
      </c>
      <c r="F1613" s="336">
        <v>43648</v>
      </c>
      <c r="G1613" s="336">
        <v>43652</v>
      </c>
      <c r="H1613" s="334" t="s">
        <v>4520</v>
      </c>
      <c r="I1613" s="356">
        <v>13655115000</v>
      </c>
      <c r="J1613" s="361" t="s">
        <v>4521</v>
      </c>
      <c r="K1613" s="356">
        <v>1000</v>
      </c>
      <c r="L1613" s="334">
        <v>16793</v>
      </c>
      <c r="M1613" s="334">
        <v>1104</v>
      </c>
      <c r="N1613" s="362">
        <f t="shared" si="48"/>
        <v>17897</v>
      </c>
      <c r="O1613" s="356"/>
      <c r="P1613" s="356"/>
      <c r="Q1613" s="356"/>
      <c r="R1613" s="356"/>
      <c r="S1613" s="356"/>
      <c r="T1613" s="356"/>
      <c r="U1613" s="372"/>
      <c r="V1613" s="372"/>
      <c r="W1613" s="372"/>
      <c r="X1613" s="373"/>
      <c r="Y1613" s="348" t="s">
        <v>4193</v>
      </c>
      <c r="Z1613" s="348"/>
      <c r="AA1613" s="348"/>
    </row>
    <row r="1614" s="331" customFormat="1" ht="17" customHeight="1" spans="1:27">
      <c r="A1614" s="348">
        <v>2067479</v>
      </c>
      <c r="B1614" s="348" t="s">
        <v>137</v>
      </c>
      <c r="C1614" s="348" t="s">
        <v>411</v>
      </c>
      <c r="D1614" s="349" t="s">
        <v>60</v>
      </c>
      <c r="E1614" s="336">
        <v>43649</v>
      </c>
      <c r="F1614" s="336">
        <v>43648</v>
      </c>
      <c r="G1614" s="336">
        <v>43651</v>
      </c>
      <c r="H1614" s="334" t="s">
        <v>4522</v>
      </c>
      <c r="I1614" s="356">
        <v>13917789747</v>
      </c>
      <c r="J1614" s="361" t="s">
        <v>4523</v>
      </c>
      <c r="K1614" s="356">
        <v>1000</v>
      </c>
      <c r="L1614" s="334">
        <v>11670</v>
      </c>
      <c r="M1614" s="334"/>
      <c r="N1614" s="362">
        <f t="shared" si="48"/>
        <v>11670</v>
      </c>
      <c r="O1614" s="356"/>
      <c r="P1614" s="356"/>
      <c r="Q1614" s="356"/>
      <c r="R1614" s="356"/>
      <c r="S1614" s="356"/>
      <c r="T1614" s="356"/>
      <c r="U1614" s="372"/>
      <c r="V1614" s="372"/>
      <c r="W1614" s="372"/>
      <c r="X1614" s="373"/>
      <c r="Y1614" s="348" t="s">
        <v>4193</v>
      </c>
      <c r="Z1614" s="348"/>
      <c r="AA1614" s="348"/>
    </row>
    <row r="1615" s="331" customFormat="1" ht="17" customHeight="1" spans="1:27">
      <c r="A1615" s="348"/>
      <c r="B1615" s="348" t="s">
        <v>66</v>
      </c>
      <c r="C1615" s="348" t="s">
        <v>1749</v>
      </c>
      <c r="D1615" s="349" t="s">
        <v>143</v>
      </c>
      <c r="E1615" s="336">
        <v>43649</v>
      </c>
      <c r="F1615" s="336">
        <v>43649</v>
      </c>
      <c r="G1615" s="336">
        <v>43677</v>
      </c>
      <c r="H1615" s="334" t="s">
        <v>4524</v>
      </c>
      <c r="I1615" s="356">
        <v>18616618575</v>
      </c>
      <c r="J1615" s="361" t="s">
        <v>4525</v>
      </c>
      <c r="K1615" s="356">
        <v>1000</v>
      </c>
      <c r="L1615" s="334">
        <v>4840</v>
      </c>
      <c r="M1615" s="334">
        <v>804</v>
      </c>
      <c r="N1615" s="362">
        <f t="shared" si="48"/>
        <v>5644</v>
      </c>
      <c r="O1615" s="356"/>
      <c r="P1615" s="356"/>
      <c r="Q1615" s="356" t="s">
        <v>21</v>
      </c>
      <c r="R1615" s="356"/>
      <c r="S1615" s="356"/>
      <c r="T1615" s="356"/>
      <c r="U1615" s="372"/>
      <c r="V1615" s="372"/>
      <c r="W1615" s="372"/>
      <c r="X1615" s="373"/>
      <c r="Y1615" s="348"/>
      <c r="Z1615" s="348"/>
      <c r="AA1615" s="348"/>
    </row>
    <row r="1616" s="331" customFormat="1" ht="17" customHeight="1" spans="1:27">
      <c r="A1616" s="550" t="s">
        <v>4526</v>
      </c>
      <c r="B1616" s="348" t="s">
        <v>726</v>
      </c>
      <c r="C1616" s="348" t="s">
        <v>727</v>
      </c>
      <c r="D1616" s="334" t="s">
        <v>271</v>
      </c>
      <c r="E1616" s="336">
        <v>43708</v>
      </c>
      <c r="F1616" s="336">
        <v>43648</v>
      </c>
      <c r="G1616" s="336">
        <v>43708</v>
      </c>
      <c r="H1616" s="334" t="s">
        <v>4527</v>
      </c>
      <c r="I1616" s="356">
        <v>13301879276</v>
      </c>
      <c r="J1616" s="361" t="s">
        <v>4528</v>
      </c>
      <c r="K1616" s="356">
        <v>1000</v>
      </c>
      <c r="L1616" s="334">
        <v>24785</v>
      </c>
      <c r="M1616" s="362"/>
      <c r="N1616" s="362">
        <f t="shared" si="48"/>
        <v>24785</v>
      </c>
      <c r="O1616" s="356"/>
      <c r="P1616" s="356"/>
      <c r="Q1616" s="356"/>
      <c r="R1616" s="356"/>
      <c r="S1616" s="356"/>
      <c r="T1616" s="356"/>
      <c r="U1616" s="372"/>
      <c r="V1616" s="372"/>
      <c r="W1616" s="421">
        <v>43700</v>
      </c>
      <c r="X1616" s="373"/>
      <c r="Y1616" s="348" t="s">
        <v>4193</v>
      </c>
      <c r="Z1616" s="348"/>
      <c r="AA1616" s="348"/>
    </row>
    <row r="1617" s="331" customFormat="1" ht="15" customHeight="1" spans="1:27">
      <c r="A1617" s="348"/>
      <c r="B1617" s="348" t="s">
        <v>58</v>
      </c>
      <c r="C1617" s="348" t="s">
        <v>794</v>
      </c>
      <c r="D1617" s="352" t="s">
        <v>110</v>
      </c>
      <c r="E1617" s="336">
        <v>43783</v>
      </c>
      <c r="F1617" s="336">
        <v>43649</v>
      </c>
      <c r="G1617" s="336">
        <v>43782</v>
      </c>
      <c r="H1617" s="334" t="s">
        <v>4529</v>
      </c>
      <c r="I1617" s="356">
        <v>13916260369</v>
      </c>
      <c r="J1617" s="361" t="s">
        <v>4530</v>
      </c>
      <c r="K1617" s="356">
        <v>3000</v>
      </c>
      <c r="L1617" s="334">
        <v>30257</v>
      </c>
      <c r="M1617" s="362"/>
      <c r="N1617" s="362">
        <f t="shared" si="48"/>
        <v>30257</v>
      </c>
      <c r="O1617" s="366"/>
      <c r="P1617" s="356"/>
      <c r="Q1617" s="366" t="s">
        <v>52</v>
      </c>
      <c r="R1617" s="356"/>
      <c r="S1617" s="356"/>
      <c r="T1617" s="356"/>
      <c r="U1617" s="372"/>
      <c r="V1617" s="372"/>
      <c r="W1617" s="372"/>
      <c r="X1617" s="373"/>
      <c r="Y1617" s="348" t="s">
        <v>4531</v>
      </c>
      <c r="Z1617" s="348"/>
      <c r="AA1617" s="348"/>
    </row>
    <row r="1618" s="331" customFormat="1" ht="17" customHeight="1" spans="1:27">
      <c r="A1618" s="550" t="s">
        <v>4532</v>
      </c>
      <c r="B1618" s="348" t="s">
        <v>147</v>
      </c>
      <c r="C1618" s="348" t="s">
        <v>148</v>
      </c>
      <c r="D1618" s="349" t="s">
        <v>171</v>
      </c>
      <c r="E1618" s="336">
        <v>43681</v>
      </c>
      <c r="F1618" s="336">
        <v>43649</v>
      </c>
      <c r="G1618" s="336">
        <v>43680</v>
      </c>
      <c r="H1618" s="334" t="s">
        <v>4533</v>
      </c>
      <c r="I1618" s="356">
        <v>13918901299</v>
      </c>
      <c r="J1618" s="361" t="s">
        <v>4534</v>
      </c>
      <c r="K1618" s="356">
        <v>500</v>
      </c>
      <c r="L1618" s="334">
        <v>8124</v>
      </c>
      <c r="M1618" s="334">
        <v>804</v>
      </c>
      <c r="N1618" s="362">
        <f t="shared" si="48"/>
        <v>8928</v>
      </c>
      <c r="O1618" s="356"/>
      <c r="P1618" s="356"/>
      <c r="Q1618" s="356"/>
      <c r="R1618" s="356"/>
      <c r="S1618" s="391" t="s">
        <v>4535</v>
      </c>
      <c r="T1618" s="356"/>
      <c r="U1618" s="372"/>
      <c r="V1618" s="372"/>
      <c r="W1618" s="372" t="s">
        <v>4536</v>
      </c>
      <c r="X1618" s="373"/>
      <c r="Y1618" s="348" t="s">
        <v>4482</v>
      </c>
      <c r="Z1618" s="348"/>
      <c r="AA1618" s="348"/>
    </row>
    <row r="1619" s="331" customFormat="1" ht="17" customHeight="1" spans="1:27">
      <c r="A1619" s="550" t="s">
        <v>4537</v>
      </c>
      <c r="B1619" s="348" t="s">
        <v>2625</v>
      </c>
      <c r="C1619" s="348" t="s">
        <v>2626</v>
      </c>
      <c r="D1619" s="334" t="s">
        <v>2302</v>
      </c>
      <c r="E1619" s="336">
        <v>43714</v>
      </c>
      <c r="F1619" s="336">
        <v>43649</v>
      </c>
      <c r="G1619" s="336">
        <v>43713</v>
      </c>
      <c r="H1619" s="334" t="s">
        <v>4538</v>
      </c>
      <c r="I1619" s="356">
        <v>13564220607</v>
      </c>
      <c r="J1619" s="361" t="s">
        <v>4539</v>
      </c>
      <c r="K1619" s="356">
        <v>1000</v>
      </c>
      <c r="L1619" s="334">
        <f>5408-760</f>
        <v>4648</v>
      </c>
      <c r="M1619" s="334">
        <v>760</v>
      </c>
      <c r="N1619" s="362">
        <f t="shared" si="48"/>
        <v>5408</v>
      </c>
      <c r="O1619" s="356"/>
      <c r="P1619" s="356"/>
      <c r="Q1619" s="356"/>
      <c r="R1619" s="356"/>
      <c r="S1619" s="356"/>
      <c r="T1619" s="356"/>
      <c r="U1619" s="372"/>
      <c r="V1619" s="372"/>
      <c r="W1619" s="387">
        <v>43713</v>
      </c>
      <c r="X1619" s="422"/>
      <c r="Y1619" s="348"/>
      <c r="Z1619" s="348"/>
      <c r="AA1619" s="348"/>
    </row>
    <row r="1620" s="331" customFormat="1" ht="17" customHeight="1" spans="1:27">
      <c r="A1620" s="550" t="s">
        <v>4540</v>
      </c>
      <c r="B1620" s="348" t="s">
        <v>42</v>
      </c>
      <c r="C1620" s="348" t="s">
        <v>43</v>
      </c>
      <c r="D1620" s="349" t="s">
        <v>356</v>
      </c>
      <c r="E1620" s="336">
        <v>43650</v>
      </c>
      <c r="F1620" s="336">
        <v>43649</v>
      </c>
      <c r="G1620" s="336">
        <v>43654</v>
      </c>
      <c r="H1620" s="334" t="s">
        <v>4541</v>
      </c>
      <c r="I1620" s="356">
        <v>13501876308</v>
      </c>
      <c r="J1620" s="361" t="s">
        <v>4542</v>
      </c>
      <c r="K1620" s="356">
        <v>3000</v>
      </c>
      <c r="L1620" s="334">
        <v>34300</v>
      </c>
      <c r="M1620" s="334">
        <f>-15153+16153</f>
        <v>1000</v>
      </c>
      <c r="N1620" s="362">
        <f t="shared" si="48"/>
        <v>35300</v>
      </c>
      <c r="O1620" s="356"/>
      <c r="P1620" s="356"/>
      <c r="Q1620" s="356"/>
      <c r="R1620" s="356"/>
      <c r="S1620" s="356"/>
      <c r="T1620" s="356"/>
      <c r="U1620" s="372"/>
      <c r="V1620" s="372"/>
      <c r="W1620" s="372"/>
      <c r="X1620" s="373"/>
      <c r="Y1620" s="348" t="s">
        <v>787</v>
      </c>
      <c r="Z1620" s="348"/>
      <c r="AA1620" s="348"/>
    </row>
    <row r="1621" s="331" customFormat="1" ht="17" customHeight="1" spans="1:27">
      <c r="A1621" s="550" t="s">
        <v>4543</v>
      </c>
      <c r="B1621" s="348" t="s">
        <v>147</v>
      </c>
      <c r="C1621" s="348" t="s">
        <v>148</v>
      </c>
      <c r="D1621" s="352" t="s">
        <v>149</v>
      </c>
      <c r="E1621" s="336"/>
      <c r="F1621" s="336">
        <v>43649</v>
      </c>
      <c r="G1621" s="350"/>
      <c r="H1621" s="334" t="s">
        <v>4544</v>
      </c>
      <c r="I1621" s="356">
        <v>13818895054</v>
      </c>
      <c r="J1621" s="361" t="s">
        <v>4545</v>
      </c>
      <c r="K1621" s="356">
        <v>500</v>
      </c>
      <c r="L1621" s="362"/>
      <c r="M1621" s="362"/>
      <c r="N1621" s="362">
        <f t="shared" si="48"/>
        <v>0</v>
      </c>
      <c r="O1621" s="356"/>
      <c r="P1621" s="356"/>
      <c r="Q1621" s="356"/>
      <c r="R1621" s="356"/>
      <c r="S1621" s="356"/>
      <c r="T1621" s="356"/>
      <c r="U1621" s="372" t="s">
        <v>3022</v>
      </c>
      <c r="V1621" s="372"/>
      <c r="W1621" s="372"/>
      <c r="X1621" s="373"/>
      <c r="Y1621" s="348"/>
      <c r="Z1621" s="348"/>
      <c r="AA1621" s="348"/>
    </row>
    <row r="1622" s="331" customFormat="1" ht="15" customHeight="1" spans="1:27">
      <c r="A1622" s="348"/>
      <c r="B1622" s="348" t="s">
        <v>58</v>
      </c>
      <c r="C1622" s="348" t="s">
        <v>109</v>
      </c>
      <c r="D1622" s="352" t="s">
        <v>110</v>
      </c>
      <c r="E1622" s="336">
        <v>43720</v>
      </c>
      <c r="F1622" s="336">
        <v>43649</v>
      </c>
      <c r="G1622" s="336">
        <v>43720</v>
      </c>
      <c r="H1622" s="334" t="s">
        <v>4546</v>
      </c>
      <c r="I1622" s="356">
        <v>19946085174</v>
      </c>
      <c r="J1622" s="361" t="s">
        <v>4547</v>
      </c>
      <c r="K1622" s="356">
        <v>500</v>
      </c>
      <c r="L1622" s="334">
        <f>17492-2208</f>
        <v>15284</v>
      </c>
      <c r="M1622" s="334">
        <v>2208</v>
      </c>
      <c r="N1622" s="362">
        <f t="shared" si="48"/>
        <v>17492</v>
      </c>
      <c r="O1622" s="366" t="s">
        <v>52</v>
      </c>
      <c r="P1622" s="356"/>
      <c r="Q1622" s="356"/>
      <c r="R1622" s="356"/>
      <c r="S1622" s="356"/>
      <c r="T1622" s="356"/>
      <c r="U1622" s="372"/>
      <c r="V1622" s="372"/>
      <c r="W1622" s="372"/>
      <c r="X1622" s="373"/>
      <c r="Y1622" s="348" t="s">
        <v>4548</v>
      </c>
      <c r="Z1622" s="348"/>
      <c r="AA1622" s="348"/>
    </row>
    <row r="1623" s="331" customFormat="1" ht="17" customHeight="1" spans="1:27">
      <c r="A1623" s="348"/>
      <c r="B1623" s="348" t="s">
        <v>58</v>
      </c>
      <c r="C1623" s="348" t="s">
        <v>109</v>
      </c>
      <c r="D1623" s="352" t="s">
        <v>110</v>
      </c>
      <c r="E1623" s="336">
        <v>43650</v>
      </c>
      <c r="F1623" s="336">
        <v>43649</v>
      </c>
      <c r="G1623" s="336">
        <v>43674</v>
      </c>
      <c r="H1623" s="334" t="s">
        <v>4549</v>
      </c>
      <c r="I1623" s="356">
        <v>13601946165</v>
      </c>
      <c r="J1623" s="361" t="s">
        <v>4550</v>
      </c>
      <c r="K1623" s="356">
        <v>1000</v>
      </c>
      <c r="L1623" s="334">
        <v>11387</v>
      </c>
      <c r="M1623" s="362"/>
      <c r="N1623" s="362">
        <f t="shared" si="48"/>
        <v>11387</v>
      </c>
      <c r="O1623" s="356"/>
      <c r="P1623" s="356"/>
      <c r="Q1623" s="366" t="s">
        <v>52</v>
      </c>
      <c r="R1623" s="356"/>
      <c r="S1623" s="356"/>
      <c r="T1623" s="356"/>
      <c r="U1623" s="372"/>
      <c r="V1623" s="372"/>
      <c r="W1623" s="372"/>
      <c r="X1623" s="373"/>
      <c r="Y1623" s="348" t="s">
        <v>4551</v>
      </c>
      <c r="Z1623" s="348"/>
      <c r="AA1623" s="348"/>
    </row>
    <row r="1624" s="331" customFormat="1" ht="17" customHeight="1" spans="1:27">
      <c r="A1624" s="348"/>
      <c r="B1624" s="348" t="s">
        <v>185</v>
      </c>
      <c r="C1624" s="348" t="s">
        <v>1620</v>
      </c>
      <c r="D1624" s="349" t="s">
        <v>44</v>
      </c>
      <c r="E1624" s="336">
        <v>43650</v>
      </c>
      <c r="F1624" s="336">
        <v>43649</v>
      </c>
      <c r="G1624" s="336">
        <v>43656</v>
      </c>
      <c r="H1624" s="334" t="s">
        <v>4552</v>
      </c>
      <c r="I1624" s="356">
        <v>15618943353</v>
      </c>
      <c r="J1624" s="361" t="s">
        <v>4553</v>
      </c>
      <c r="K1624" s="356">
        <v>1000</v>
      </c>
      <c r="L1624" s="334">
        <v>3460</v>
      </c>
      <c r="M1624" s="334">
        <v>736</v>
      </c>
      <c r="N1624" s="362">
        <f t="shared" si="48"/>
        <v>4196</v>
      </c>
      <c r="O1624" s="356"/>
      <c r="P1624" s="356"/>
      <c r="Q1624" s="356"/>
      <c r="R1624" s="356"/>
      <c r="S1624" s="356"/>
      <c r="T1624" s="356"/>
      <c r="U1624" s="372"/>
      <c r="V1624" s="372"/>
      <c r="W1624" s="372"/>
      <c r="X1624" s="373"/>
      <c r="Y1624" s="348"/>
      <c r="Z1624" s="348"/>
      <c r="AA1624" s="348"/>
    </row>
    <row r="1625" s="331" customFormat="1" ht="17" customHeight="1" spans="1:27">
      <c r="A1625" s="550" t="s">
        <v>4554</v>
      </c>
      <c r="B1625" s="348" t="s">
        <v>185</v>
      </c>
      <c r="C1625" s="348" t="s">
        <v>1133</v>
      </c>
      <c r="D1625" s="349" t="s">
        <v>44</v>
      </c>
      <c r="E1625" s="336"/>
      <c r="F1625" s="336">
        <v>43649</v>
      </c>
      <c r="G1625" s="350"/>
      <c r="H1625" s="334" t="s">
        <v>4555</v>
      </c>
      <c r="I1625" s="356">
        <v>13661928383</v>
      </c>
      <c r="J1625" s="361" t="s">
        <v>4556</v>
      </c>
      <c r="K1625" s="356">
        <v>500</v>
      </c>
      <c r="L1625" s="362"/>
      <c r="M1625" s="362"/>
      <c r="N1625" s="362">
        <f t="shared" si="48"/>
        <v>0</v>
      </c>
      <c r="O1625" s="356"/>
      <c r="P1625" s="356"/>
      <c r="Q1625" s="356"/>
      <c r="R1625" s="356"/>
      <c r="S1625" s="356"/>
      <c r="T1625" s="356"/>
      <c r="U1625" s="374">
        <v>43654</v>
      </c>
      <c r="V1625" s="372"/>
      <c r="W1625" s="372"/>
      <c r="X1625" s="373"/>
      <c r="Y1625" s="348"/>
      <c r="Z1625" s="348"/>
      <c r="AA1625" s="348"/>
    </row>
    <row r="1626" s="331" customFormat="1" ht="17" customHeight="1" spans="1:27">
      <c r="A1626" s="550" t="s">
        <v>4404</v>
      </c>
      <c r="B1626" s="348" t="s">
        <v>169</v>
      </c>
      <c r="C1626" s="348" t="s">
        <v>634</v>
      </c>
      <c r="D1626" s="349" t="s">
        <v>635</v>
      </c>
      <c r="E1626" s="336">
        <v>43657</v>
      </c>
      <c r="F1626" s="336">
        <v>43650</v>
      </c>
      <c r="G1626" s="336">
        <v>43657</v>
      </c>
      <c r="H1626" s="334" t="s">
        <v>4557</v>
      </c>
      <c r="I1626" s="356" t="s">
        <v>4558</v>
      </c>
      <c r="J1626" s="361" t="s">
        <v>4559</v>
      </c>
      <c r="K1626" s="356">
        <v>1000</v>
      </c>
      <c r="L1626" s="334">
        <v>2030</v>
      </c>
      <c r="M1626" s="334">
        <v>368</v>
      </c>
      <c r="N1626" s="362">
        <f t="shared" ref="N1626:N1657" si="49">L1626+M1626</f>
        <v>2398</v>
      </c>
      <c r="O1626" s="356"/>
      <c r="P1626" s="356"/>
      <c r="Q1626" s="356"/>
      <c r="R1626" s="356"/>
      <c r="S1626" s="356"/>
      <c r="T1626" s="356"/>
      <c r="U1626" s="372"/>
      <c r="V1626" s="372"/>
      <c r="W1626" s="372"/>
      <c r="X1626" s="373"/>
      <c r="Y1626" s="348" t="s">
        <v>4560</v>
      </c>
      <c r="Z1626" s="348"/>
      <c r="AA1626" s="348"/>
    </row>
    <row r="1627" s="331" customFormat="1" ht="17" customHeight="1" spans="1:27">
      <c r="A1627" s="348"/>
      <c r="B1627" s="348" t="s">
        <v>169</v>
      </c>
      <c r="C1627" s="348" t="s">
        <v>542</v>
      </c>
      <c r="D1627" s="349" t="s">
        <v>171</v>
      </c>
      <c r="E1627" s="336"/>
      <c r="F1627" s="336">
        <v>43648</v>
      </c>
      <c r="G1627" s="350"/>
      <c r="H1627" s="348" t="s">
        <v>4561</v>
      </c>
      <c r="I1627" s="356">
        <v>13621670477</v>
      </c>
      <c r="J1627" s="361" t="s">
        <v>4562</v>
      </c>
      <c r="K1627" s="356">
        <v>500</v>
      </c>
      <c r="L1627" s="362"/>
      <c r="M1627" s="362"/>
      <c r="N1627" s="362">
        <f t="shared" si="49"/>
        <v>0</v>
      </c>
      <c r="O1627" s="356"/>
      <c r="P1627" s="356"/>
      <c r="Q1627" s="356"/>
      <c r="R1627" s="356"/>
      <c r="S1627" s="356"/>
      <c r="T1627" s="356"/>
      <c r="U1627" s="372" t="s">
        <v>4563</v>
      </c>
      <c r="V1627" s="372"/>
      <c r="W1627" s="372"/>
      <c r="X1627" s="373"/>
      <c r="Y1627" s="348"/>
      <c r="Z1627" s="348"/>
      <c r="AA1627" s="348" t="s">
        <v>4564</v>
      </c>
    </row>
    <row r="1628" s="331" customFormat="1" ht="17" customHeight="1" spans="1:27">
      <c r="A1628" s="348">
        <v>2022560</v>
      </c>
      <c r="B1628" s="348" t="s">
        <v>73</v>
      </c>
      <c r="C1628" s="348" t="s">
        <v>4565</v>
      </c>
      <c r="D1628" s="349" t="s">
        <v>44</v>
      </c>
      <c r="E1628" s="336">
        <v>43650</v>
      </c>
      <c r="F1628" s="336">
        <v>43650</v>
      </c>
      <c r="G1628" s="336">
        <v>43674</v>
      </c>
      <c r="H1628" s="334" t="s">
        <v>4566</v>
      </c>
      <c r="I1628" s="356">
        <v>13816973547</v>
      </c>
      <c r="J1628" s="361" t="s">
        <v>4567</v>
      </c>
      <c r="K1628" s="356">
        <v>1000</v>
      </c>
      <c r="L1628" s="334">
        <v>12402</v>
      </c>
      <c r="M1628" s="362"/>
      <c r="N1628" s="362">
        <f t="shared" si="49"/>
        <v>12402</v>
      </c>
      <c r="O1628" s="366" t="s">
        <v>52</v>
      </c>
      <c r="P1628" s="356"/>
      <c r="Q1628" s="356"/>
      <c r="R1628" s="356"/>
      <c r="S1628" s="356"/>
      <c r="T1628" s="356"/>
      <c r="U1628" s="372"/>
      <c r="V1628" s="372"/>
      <c r="W1628" s="372"/>
      <c r="X1628" s="373"/>
      <c r="Y1628" s="348" t="s">
        <v>4560</v>
      </c>
      <c r="Z1628" s="348" t="s">
        <v>79</v>
      </c>
      <c r="AA1628" s="348"/>
    </row>
    <row r="1629" s="332" customFormat="1" ht="17" customHeight="1" spans="1:27">
      <c r="A1629" s="550" t="s">
        <v>4568</v>
      </c>
      <c r="B1629" s="348" t="s">
        <v>42</v>
      </c>
      <c r="C1629" s="348" t="s">
        <v>43</v>
      </c>
      <c r="D1629" s="334" t="s">
        <v>207</v>
      </c>
      <c r="E1629" s="336">
        <v>43745</v>
      </c>
      <c r="F1629" s="336">
        <v>43648</v>
      </c>
      <c r="G1629" s="336">
        <v>43745</v>
      </c>
      <c r="H1629" s="334" t="s">
        <v>4569</v>
      </c>
      <c r="I1629" s="356">
        <v>18116003390</v>
      </c>
      <c r="J1629" s="361" t="s">
        <v>4570</v>
      </c>
      <c r="K1629" s="356">
        <v>500</v>
      </c>
      <c r="L1629" s="334">
        <v>7347</v>
      </c>
      <c r="M1629" s="362"/>
      <c r="N1629" s="362">
        <f t="shared" si="49"/>
        <v>7347</v>
      </c>
      <c r="O1629" s="356" t="s">
        <v>19</v>
      </c>
      <c r="P1629" s="356"/>
      <c r="Q1629" s="356"/>
      <c r="R1629" s="356"/>
      <c r="S1629" s="356"/>
      <c r="T1629" s="356"/>
      <c r="U1629" s="372"/>
      <c r="V1629" s="372"/>
      <c r="W1629" s="372"/>
      <c r="X1629" s="373"/>
      <c r="Y1629" s="348" t="s">
        <v>4482</v>
      </c>
      <c r="Z1629" s="348"/>
      <c r="AA1629" s="348"/>
    </row>
    <row r="1630" s="332" customFormat="1" ht="17" customHeight="1" spans="1:27">
      <c r="A1630" s="550" t="s">
        <v>4571</v>
      </c>
      <c r="B1630" s="348" t="s">
        <v>42</v>
      </c>
      <c r="C1630" s="348" t="s">
        <v>43</v>
      </c>
      <c r="D1630" s="349" t="s">
        <v>149</v>
      </c>
      <c r="E1630" s="336">
        <v>43714</v>
      </c>
      <c r="F1630" s="336">
        <v>43646</v>
      </c>
      <c r="G1630" s="336">
        <v>43714</v>
      </c>
      <c r="H1630" s="334" t="s">
        <v>4572</v>
      </c>
      <c r="I1630" s="356">
        <v>18321998362</v>
      </c>
      <c r="J1630" s="361" t="s">
        <v>4573</v>
      </c>
      <c r="K1630" s="356">
        <v>1000</v>
      </c>
      <c r="L1630" s="334">
        <v>8221</v>
      </c>
      <c r="M1630" s="362"/>
      <c r="N1630" s="362">
        <f t="shared" si="49"/>
        <v>8221</v>
      </c>
      <c r="O1630" s="356" t="s">
        <v>2007</v>
      </c>
      <c r="P1630" s="356"/>
      <c r="Q1630" s="356"/>
      <c r="R1630" s="356"/>
      <c r="S1630" s="356"/>
      <c r="T1630" s="356"/>
      <c r="U1630" s="372"/>
      <c r="V1630" s="372"/>
      <c r="W1630" s="372"/>
      <c r="X1630" s="373"/>
      <c r="Y1630" s="348" t="s">
        <v>4574</v>
      </c>
      <c r="Z1630" s="348"/>
      <c r="AA1630" s="348"/>
    </row>
    <row r="1631" s="332" customFormat="1" ht="17" customHeight="1" spans="1:27">
      <c r="A1631" s="550" t="s">
        <v>4575</v>
      </c>
      <c r="B1631" s="348" t="s">
        <v>42</v>
      </c>
      <c r="C1631" s="348" t="s">
        <v>43</v>
      </c>
      <c r="D1631" s="334" t="s">
        <v>207</v>
      </c>
      <c r="E1631" s="336">
        <v>43778</v>
      </c>
      <c r="F1631" s="336">
        <v>43646</v>
      </c>
      <c r="G1631" s="336">
        <v>43776</v>
      </c>
      <c r="H1631" s="334" t="s">
        <v>4576</v>
      </c>
      <c r="I1631" s="356">
        <v>18101690855</v>
      </c>
      <c r="J1631" s="361" t="s">
        <v>4577</v>
      </c>
      <c r="K1631" s="356">
        <f>500+1000</f>
        <v>1500</v>
      </c>
      <c r="L1631" s="334">
        <v>12000</v>
      </c>
      <c r="M1631" s="362"/>
      <c r="N1631" s="362">
        <f t="shared" si="49"/>
        <v>12000</v>
      </c>
      <c r="O1631" s="356" t="s">
        <v>2007</v>
      </c>
      <c r="P1631" s="356"/>
      <c r="Q1631" s="356"/>
      <c r="R1631" s="356"/>
      <c r="S1631" s="356"/>
      <c r="T1631" s="356"/>
      <c r="U1631" s="372"/>
      <c r="V1631" s="372"/>
      <c r="W1631" s="372"/>
      <c r="X1631" s="373"/>
      <c r="Y1631" s="348" t="s">
        <v>4574</v>
      </c>
      <c r="Z1631" s="348"/>
      <c r="AA1631" s="348"/>
    </row>
    <row r="1632" s="332" customFormat="1" ht="17" customHeight="1" spans="1:27">
      <c r="A1632" s="550" t="s">
        <v>4578</v>
      </c>
      <c r="B1632" s="348" t="s">
        <v>42</v>
      </c>
      <c r="C1632" s="348" t="s">
        <v>43</v>
      </c>
      <c r="D1632" s="349" t="s">
        <v>44</v>
      </c>
      <c r="E1632" s="336">
        <v>43650</v>
      </c>
      <c r="F1632" s="336">
        <v>43646</v>
      </c>
      <c r="G1632" s="350"/>
      <c r="H1632" s="334" t="s">
        <v>4579</v>
      </c>
      <c r="I1632" s="356">
        <v>13816925022</v>
      </c>
      <c r="J1632" s="361" t="s">
        <v>4580</v>
      </c>
      <c r="K1632" s="356">
        <v>1000</v>
      </c>
      <c r="L1632" s="362"/>
      <c r="M1632" s="362"/>
      <c r="N1632" s="362">
        <f t="shared" si="49"/>
        <v>0</v>
      </c>
      <c r="O1632" s="356" t="s">
        <v>4581</v>
      </c>
      <c r="P1632" s="356"/>
      <c r="Q1632" s="356"/>
      <c r="R1632" s="356"/>
      <c r="S1632" s="356"/>
      <c r="T1632" s="356"/>
      <c r="U1632" s="372"/>
      <c r="V1632" s="374">
        <v>43835</v>
      </c>
      <c r="W1632" s="372"/>
      <c r="X1632" s="373"/>
      <c r="Y1632" s="348" t="s">
        <v>4574</v>
      </c>
      <c r="Z1632" s="348"/>
      <c r="AA1632" s="348"/>
    </row>
    <row r="1633" s="332" customFormat="1" ht="17" customHeight="1" spans="1:27">
      <c r="A1633" s="550" t="s">
        <v>4582</v>
      </c>
      <c r="B1633" s="348" t="s">
        <v>42</v>
      </c>
      <c r="C1633" s="348" t="s">
        <v>43</v>
      </c>
      <c r="D1633" s="349" t="s">
        <v>44</v>
      </c>
      <c r="E1633" s="336">
        <v>43650</v>
      </c>
      <c r="F1633" s="336">
        <v>43646</v>
      </c>
      <c r="G1633" s="350"/>
      <c r="H1633" s="334" t="s">
        <v>4583</v>
      </c>
      <c r="I1633" s="356">
        <v>1591990945</v>
      </c>
      <c r="J1633" s="361" t="s">
        <v>4584</v>
      </c>
      <c r="K1633" s="356">
        <v>1000</v>
      </c>
      <c r="L1633" s="362"/>
      <c r="M1633" s="362"/>
      <c r="N1633" s="362">
        <f t="shared" si="49"/>
        <v>0</v>
      </c>
      <c r="O1633" s="356" t="s">
        <v>4581</v>
      </c>
      <c r="P1633" s="356"/>
      <c r="Q1633" s="356"/>
      <c r="R1633" s="356"/>
      <c r="S1633" s="356"/>
      <c r="T1633" s="356"/>
      <c r="U1633" s="372"/>
      <c r="V1633" s="374">
        <v>43835</v>
      </c>
      <c r="W1633" s="372"/>
      <c r="X1633" s="373"/>
      <c r="Y1633" s="348" t="s">
        <v>4574</v>
      </c>
      <c r="Z1633" s="348"/>
      <c r="AA1633" s="348"/>
    </row>
    <row r="1634" s="332" customFormat="1" ht="17" customHeight="1" spans="1:27">
      <c r="A1634" s="550" t="s">
        <v>4585</v>
      </c>
      <c r="B1634" s="348" t="s">
        <v>42</v>
      </c>
      <c r="C1634" s="348" t="s">
        <v>43</v>
      </c>
      <c r="D1634" s="349" t="s">
        <v>44</v>
      </c>
      <c r="E1634" s="336">
        <v>43650</v>
      </c>
      <c r="F1634" s="336">
        <v>43646</v>
      </c>
      <c r="G1634" s="350">
        <v>43716</v>
      </c>
      <c r="H1634" s="334" t="s">
        <v>4586</v>
      </c>
      <c r="I1634" s="356">
        <v>13524631789</v>
      </c>
      <c r="J1634" s="361" t="s">
        <v>4587</v>
      </c>
      <c r="K1634" s="356">
        <v>1000</v>
      </c>
      <c r="L1634" s="362"/>
      <c r="M1634" s="362"/>
      <c r="N1634" s="362">
        <f t="shared" si="49"/>
        <v>0</v>
      </c>
      <c r="O1634" s="356" t="s">
        <v>2007</v>
      </c>
      <c r="P1634" s="356"/>
      <c r="Q1634" s="356"/>
      <c r="R1634" s="356"/>
      <c r="S1634" s="356"/>
      <c r="T1634" s="356"/>
      <c r="U1634" s="372"/>
      <c r="V1634" s="372"/>
      <c r="W1634" s="372"/>
      <c r="X1634" s="373"/>
      <c r="Y1634" s="348" t="s">
        <v>4574</v>
      </c>
      <c r="Z1634" s="348"/>
      <c r="AA1634" s="348"/>
    </row>
    <row r="1635" s="332" customFormat="1" ht="17" customHeight="1" spans="1:27">
      <c r="A1635" s="550" t="s">
        <v>4588</v>
      </c>
      <c r="B1635" s="348" t="s">
        <v>42</v>
      </c>
      <c r="C1635" s="348" t="s">
        <v>43</v>
      </c>
      <c r="D1635" s="334" t="s">
        <v>149</v>
      </c>
      <c r="E1635" s="336">
        <v>43726</v>
      </c>
      <c r="F1635" s="336">
        <v>43646</v>
      </c>
      <c r="G1635" s="336">
        <v>43725</v>
      </c>
      <c r="H1635" s="334" t="s">
        <v>4589</v>
      </c>
      <c r="I1635" s="356">
        <v>13761487274</v>
      </c>
      <c r="J1635" s="361" t="s">
        <v>4590</v>
      </c>
      <c r="K1635" s="356">
        <v>1000</v>
      </c>
      <c r="L1635" s="334">
        <v>9545</v>
      </c>
      <c r="M1635" s="334">
        <v>3125</v>
      </c>
      <c r="N1635" s="362">
        <f t="shared" si="49"/>
        <v>12670</v>
      </c>
      <c r="O1635" s="356" t="s">
        <v>2007</v>
      </c>
      <c r="P1635" s="356"/>
      <c r="Q1635" s="356"/>
      <c r="R1635" s="356"/>
      <c r="S1635" s="356"/>
      <c r="T1635" s="356"/>
      <c r="U1635" s="372"/>
      <c r="V1635" s="372"/>
      <c r="W1635" s="372"/>
      <c r="X1635" s="373"/>
      <c r="Y1635" s="348" t="s">
        <v>4574</v>
      </c>
      <c r="Z1635" s="348"/>
      <c r="AA1635" s="348"/>
    </row>
    <row r="1636" s="331" customFormat="1" ht="17" customHeight="1" spans="1:27">
      <c r="A1636" s="550" t="s">
        <v>4591</v>
      </c>
      <c r="B1636" s="348" t="s">
        <v>66</v>
      </c>
      <c r="C1636" s="348" t="s">
        <v>3954</v>
      </c>
      <c r="D1636" s="349" t="s">
        <v>68</v>
      </c>
      <c r="E1636" s="336">
        <v>43650</v>
      </c>
      <c r="F1636" s="336">
        <v>43650</v>
      </c>
      <c r="G1636" s="350"/>
      <c r="H1636" s="334" t="s">
        <v>362</v>
      </c>
      <c r="I1636" s="356">
        <v>18901984917</v>
      </c>
      <c r="J1636" s="361" t="s">
        <v>4592</v>
      </c>
      <c r="K1636" s="356">
        <v>1000</v>
      </c>
      <c r="L1636" s="362"/>
      <c r="M1636" s="362"/>
      <c r="N1636" s="362">
        <f t="shared" si="49"/>
        <v>0</v>
      </c>
      <c r="O1636" s="356"/>
      <c r="P1636" s="356"/>
      <c r="Q1636" s="356"/>
      <c r="R1636" s="356"/>
      <c r="S1636" s="356"/>
      <c r="T1636" s="356"/>
      <c r="U1636" s="372" t="s">
        <v>12</v>
      </c>
      <c r="V1636" s="372"/>
      <c r="W1636" s="372"/>
      <c r="X1636" s="373"/>
      <c r="Y1636" s="348"/>
      <c r="Z1636" s="348"/>
      <c r="AA1636" s="348"/>
    </row>
    <row r="1637" s="331" customFormat="1" ht="17" customHeight="1" spans="1:27">
      <c r="A1637" s="348"/>
      <c r="B1637" s="348" t="s">
        <v>281</v>
      </c>
      <c r="C1637" s="334" t="s">
        <v>517</v>
      </c>
      <c r="D1637" s="349" t="s">
        <v>518</v>
      </c>
      <c r="E1637" s="336">
        <v>43651</v>
      </c>
      <c r="F1637" s="336"/>
      <c r="G1637" s="336">
        <v>43637</v>
      </c>
      <c r="H1637" s="334" t="s">
        <v>4593</v>
      </c>
      <c r="I1637" s="356">
        <v>15000263371</v>
      </c>
      <c r="J1637" s="361" t="s">
        <v>4594</v>
      </c>
      <c r="K1637" s="356"/>
      <c r="L1637" s="334">
        <v>7625</v>
      </c>
      <c r="M1637" s="334"/>
      <c r="N1637" s="362">
        <f t="shared" si="49"/>
        <v>7625</v>
      </c>
      <c r="O1637" s="356"/>
      <c r="P1637" s="356"/>
      <c r="Q1637" s="356"/>
      <c r="R1637" s="356"/>
      <c r="S1637" s="356"/>
      <c r="T1637" s="356"/>
      <c r="U1637" s="372"/>
      <c r="V1637" s="372"/>
      <c r="W1637" s="372"/>
      <c r="X1637" s="373"/>
      <c r="Y1637" s="348"/>
      <c r="Z1637" s="348"/>
      <c r="AA1637" s="348"/>
    </row>
    <row r="1638" s="331" customFormat="1" ht="17" customHeight="1" spans="1:27">
      <c r="A1638" s="348" t="s">
        <v>4595</v>
      </c>
      <c r="B1638" s="348" t="s">
        <v>726</v>
      </c>
      <c r="C1638" s="348" t="s">
        <v>727</v>
      </c>
      <c r="D1638" s="352" t="s">
        <v>149</v>
      </c>
      <c r="E1638" s="336">
        <v>43651</v>
      </c>
      <c r="F1638" s="336">
        <v>43646</v>
      </c>
      <c r="G1638" s="350"/>
      <c r="H1638" s="334" t="s">
        <v>4596</v>
      </c>
      <c r="I1638" s="356">
        <v>15900611912</v>
      </c>
      <c r="J1638" s="361" t="s">
        <v>4597</v>
      </c>
      <c r="K1638" s="356">
        <v>1000</v>
      </c>
      <c r="L1638" s="419"/>
      <c r="M1638" s="419"/>
      <c r="N1638" s="362">
        <f t="shared" si="49"/>
        <v>0</v>
      </c>
      <c r="O1638" s="356" t="s">
        <v>19</v>
      </c>
      <c r="P1638" s="356"/>
      <c r="Q1638" s="356"/>
      <c r="R1638" s="356"/>
      <c r="S1638" s="356"/>
      <c r="T1638" s="356"/>
      <c r="U1638" s="374">
        <v>44182</v>
      </c>
      <c r="V1638" s="372"/>
      <c r="W1638" s="372"/>
      <c r="X1638" s="373"/>
      <c r="Y1638" s="348"/>
      <c r="Z1638" s="348"/>
      <c r="AA1638" s="348"/>
    </row>
    <row r="1639" s="331" customFormat="1" ht="17" customHeight="1" spans="1:27">
      <c r="A1639" s="348" t="s">
        <v>4376</v>
      </c>
      <c r="B1639" s="348" t="s">
        <v>726</v>
      </c>
      <c r="C1639" s="348" t="s">
        <v>727</v>
      </c>
      <c r="D1639" s="352" t="s">
        <v>149</v>
      </c>
      <c r="E1639" s="336">
        <v>43651</v>
      </c>
      <c r="F1639" s="336">
        <v>43646</v>
      </c>
      <c r="G1639" s="350"/>
      <c r="H1639" s="334" t="s">
        <v>4598</v>
      </c>
      <c r="I1639" s="356">
        <v>18521068778</v>
      </c>
      <c r="J1639" s="361" t="s">
        <v>4599</v>
      </c>
      <c r="K1639" s="356">
        <v>1000</v>
      </c>
      <c r="L1639" s="419"/>
      <c r="M1639" s="419"/>
      <c r="N1639" s="362">
        <f t="shared" si="49"/>
        <v>0</v>
      </c>
      <c r="O1639" s="356" t="s">
        <v>19</v>
      </c>
      <c r="P1639" s="356"/>
      <c r="Q1639" s="356"/>
      <c r="R1639" s="356"/>
      <c r="S1639" s="356"/>
      <c r="T1639" s="356"/>
      <c r="U1639" s="374">
        <v>43743</v>
      </c>
      <c r="V1639" s="372"/>
      <c r="W1639" s="372"/>
      <c r="X1639" s="373"/>
      <c r="Y1639" s="348"/>
      <c r="Z1639" s="348"/>
      <c r="AA1639" s="348"/>
    </row>
    <row r="1640" s="331" customFormat="1" ht="17" customHeight="1" spans="1:27">
      <c r="A1640" s="348" t="s">
        <v>4600</v>
      </c>
      <c r="B1640" s="348" t="s">
        <v>66</v>
      </c>
      <c r="C1640" s="348" t="s">
        <v>3954</v>
      </c>
      <c r="D1640" s="349" t="s">
        <v>68</v>
      </c>
      <c r="E1640" s="336">
        <v>43680</v>
      </c>
      <c r="F1640" s="336">
        <v>43651</v>
      </c>
      <c r="G1640" s="336">
        <v>43680</v>
      </c>
      <c r="H1640" s="334" t="s">
        <v>4601</v>
      </c>
      <c r="I1640" s="356">
        <v>13601754413</v>
      </c>
      <c r="J1640" s="361" t="s">
        <v>4602</v>
      </c>
      <c r="K1640" s="356">
        <v>1000</v>
      </c>
      <c r="L1640" s="334">
        <v>4924</v>
      </c>
      <c r="M1640" s="419"/>
      <c r="N1640" s="362">
        <f t="shared" si="49"/>
        <v>4924</v>
      </c>
      <c r="O1640" s="356"/>
      <c r="P1640" s="356"/>
      <c r="Q1640" s="356" t="s">
        <v>21</v>
      </c>
      <c r="R1640" s="356"/>
      <c r="S1640" s="356"/>
      <c r="T1640" s="356"/>
      <c r="U1640" s="372"/>
      <c r="V1640" s="372"/>
      <c r="W1640" s="372"/>
      <c r="X1640" s="373"/>
      <c r="Y1640" s="348"/>
      <c r="Z1640" s="348"/>
      <c r="AA1640" s="348"/>
    </row>
    <row r="1641" s="331" customFormat="1" ht="17" customHeight="1" spans="1:27">
      <c r="A1641" s="348">
        <v>2022777</v>
      </c>
      <c r="B1641" s="348" t="s">
        <v>243</v>
      </c>
      <c r="C1641" s="348" t="s">
        <v>244</v>
      </c>
      <c r="D1641" s="352" t="s">
        <v>49</v>
      </c>
      <c r="E1641" s="336">
        <v>43730</v>
      </c>
      <c r="F1641" s="336">
        <v>43651</v>
      </c>
      <c r="G1641" s="336">
        <v>43730</v>
      </c>
      <c r="H1641" s="334" t="s">
        <v>4603</v>
      </c>
      <c r="I1641" s="356">
        <v>13917941307</v>
      </c>
      <c r="J1641" s="361" t="s">
        <v>4604</v>
      </c>
      <c r="K1641" s="356">
        <v>5000</v>
      </c>
      <c r="L1641" s="334">
        <f>42391-1840</f>
        <v>40551</v>
      </c>
      <c r="M1641" s="334">
        <v>1840</v>
      </c>
      <c r="N1641" s="362">
        <f t="shared" si="49"/>
        <v>42391</v>
      </c>
      <c r="O1641" s="356"/>
      <c r="P1641" s="356"/>
      <c r="Q1641" s="356" t="s">
        <v>52</v>
      </c>
      <c r="R1641" s="356"/>
      <c r="S1641" s="356"/>
      <c r="T1641" s="356"/>
      <c r="U1641" s="372"/>
      <c r="V1641" s="372"/>
      <c r="W1641" s="372"/>
      <c r="X1641" s="373"/>
      <c r="Y1641" s="348"/>
      <c r="Z1641" s="348"/>
      <c r="AA1641" s="348"/>
    </row>
    <row r="1642" s="331" customFormat="1" ht="17" customHeight="1" spans="1:27">
      <c r="A1642" s="348" t="s">
        <v>4605</v>
      </c>
      <c r="B1642" s="348" t="s">
        <v>315</v>
      </c>
      <c r="C1642" s="348" t="s">
        <v>161</v>
      </c>
      <c r="D1642" s="349" t="s">
        <v>162</v>
      </c>
      <c r="E1642" s="336">
        <v>43652</v>
      </c>
      <c r="F1642" s="336">
        <v>43651</v>
      </c>
      <c r="G1642" s="336">
        <v>43656</v>
      </c>
      <c r="H1642" s="334" t="s">
        <v>4606</v>
      </c>
      <c r="I1642" s="356">
        <v>13918262670</v>
      </c>
      <c r="J1642" s="361" t="s">
        <v>4607</v>
      </c>
      <c r="K1642" s="356">
        <v>1000</v>
      </c>
      <c r="L1642" s="334">
        <v>11606</v>
      </c>
      <c r="M1642" s="334"/>
      <c r="N1642" s="362">
        <f t="shared" si="49"/>
        <v>11606</v>
      </c>
      <c r="O1642" s="356"/>
      <c r="P1642" s="356"/>
      <c r="Q1642" s="356"/>
      <c r="R1642" s="356"/>
      <c r="S1642" s="356"/>
      <c r="T1642" s="356"/>
      <c r="U1642" s="372"/>
      <c r="V1642" s="372"/>
      <c r="W1642" s="372"/>
      <c r="X1642" s="373"/>
      <c r="Y1642" s="348"/>
      <c r="Z1642" s="348"/>
      <c r="AA1642" s="348"/>
    </row>
    <row r="1643" s="331" customFormat="1" ht="17" customHeight="1" spans="1:27">
      <c r="A1643" s="348" t="s">
        <v>4608</v>
      </c>
      <c r="B1643" s="348" t="s">
        <v>47</v>
      </c>
      <c r="C1643" s="348" t="s">
        <v>2399</v>
      </c>
      <c r="D1643" s="352" t="s">
        <v>49</v>
      </c>
      <c r="E1643" s="336">
        <v>43699</v>
      </c>
      <c r="F1643" s="336">
        <v>43652</v>
      </c>
      <c r="G1643" s="336">
        <v>43699</v>
      </c>
      <c r="H1643" s="334" t="s">
        <v>4609</v>
      </c>
      <c r="I1643" s="356">
        <v>18717762816</v>
      </c>
      <c r="J1643" s="361" t="s">
        <v>4610</v>
      </c>
      <c r="K1643" s="356">
        <v>4000</v>
      </c>
      <c r="L1643" s="334">
        <v>7000</v>
      </c>
      <c r="M1643" s="419"/>
      <c r="N1643" s="362">
        <f t="shared" si="49"/>
        <v>7000</v>
      </c>
      <c r="O1643" s="356"/>
      <c r="P1643" s="356"/>
      <c r="Q1643" s="356"/>
      <c r="R1643" s="356" t="s">
        <v>52</v>
      </c>
      <c r="S1643" s="356"/>
      <c r="T1643" s="356"/>
      <c r="U1643" s="372"/>
      <c r="V1643" s="372"/>
      <c r="W1643" s="372"/>
      <c r="X1643" s="373"/>
      <c r="Y1643" s="348"/>
      <c r="Z1643" s="348"/>
      <c r="AA1643" s="348"/>
    </row>
    <row r="1644" s="331" customFormat="1" ht="17" customHeight="1" spans="1:27">
      <c r="A1644" s="348" t="s">
        <v>4611</v>
      </c>
      <c r="B1644" s="348" t="s">
        <v>94</v>
      </c>
      <c r="C1644" s="348" t="s">
        <v>3196</v>
      </c>
      <c r="D1644" s="352" t="s">
        <v>49</v>
      </c>
      <c r="E1644" s="336">
        <v>43652</v>
      </c>
      <c r="F1644" s="336">
        <v>43652</v>
      </c>
      <c r="G1644" s="336">
        <v>43660</v>
      </c>
      <c r="H1644" s="334" t="s">
        <v>4612</v>
      </c>
      <c r="I1644" s="356">
        <v>15921830857</v>
      </c>
      <c r="J1644" s="361" t="s">
        <v>4613</v>
      </c>
      <c r="K1644" s="356">
        <v>1000</v>
      </c>
      <c r="L1644" s="334">
        <v>2579</v>
      </c>
      <c r="M1644" s="334"/>
      <c r="N1644" s="362">
        <f t="shared" si="49"/>
        <v>2579</v>
      </c>
      <c r="O1644" s="356"/>
      <c r="P1644" s="356"/>
      <c r="Q1644" s="356"/>
      <c r="R1644" s="356"/>
      <c r="S1644" s="356"/>
      <c r="T1644" s="356"/>
      <c r="U1644" s="372"/>
      <c r="V1644" s="372"/>
      <c r="W1644" s="372"/>
      <c r="X1644" s="373"/>
      <c r="Y1644" s="348"/>
      <c r="Z1644" s="348"/>
      <c r="AA1644" s="348"/>
    </row>
    <row r="1645" s="331" customFormat="1" ht="17" customHeight="1" spans="1:27">
      <c r="A1645" s="348" t="s">
        <v>4614</v>
      </c>
      <c r="B1645" s="348" t="s">
        <v>42</v>
      </c>
      <c r="C1645" s="348" t="s">
        <v>43</v>
      </c>
      <c r="D1645" s="349" t="s">
        <v>356</v>
      </c>
      <c r="E1645" s="336">
        <v>43652</v>
      </c>
      <c r="F1645" s="336">
        <v>43652</v>
      </c>
      <c r="G1645" s="336">
        <v>43657</v>
      </c>
      <c r="H1645" s="334" t="s">
        <v>4615</v>
      </c>
      <c r="I1645" s="356">
        <v>13761632302</v>
      </c>
      <c r="J1645" s="361" t="s">
        <v>4616</v>
      </c>
      <c r="K1645" s="356">
        <v>20249</v>
      </c>
      <c r="L1645" s="334">
        <v>19713</v>
      </c>
      <c r="M1645" s="334">
        <v>536</v>
      </c>
      <c r="N1645" s="362">
        <f t="shared" si="49"/>
        <v>20249</v>
      </c>
      <c r="O1645" s="356"/>
      <c r="P1645" s="356"/>
      <c r="Q1645" s="356"/>
      <c r="R1645" s="356"/>
      <c r="S1645" s="356"/>
      <c r="T1645" s="356"/>
      <c r="U1645" s="372"/>
      <c r="V1645" s="372"/>
      <c r="W1645" s="372"/>
      <c r="X1645" s="373"/>
      <c r="Y1645" s="348"/>
      <c r="Z1645" s="348"/>
      <c r="AA1645" s="348"/>
    </row>
    <row r="1646" s="331" customFormat="1" ht="17" customHeight="1" spans="1:27">
      <c r="A1646" s="348"/>
      <c r="B1646" s="348" t="s">
        <v>315</v>
      </c>
      <c r="C1646" s="348" t="s">
        <v>722</v>
      </c>
      <c r="D1646" s="349" t="s">
        <v>149</v>
      </c>
      <c r="E1646" s="336">
        <v>43652</v>
      </c>
      <c r="F1646" s="336">
        <v>43652</v>
      </c>
      <c r="G1646" s="336">
        <v>43654</v>
      </c>
      <c r="H1646" s="334" t="s">
        <v>4617</v>
      </c>
      <c r="I1646" s="356">
        <v>18801772225</v>
      </c>
      <c r="J1646" s="361" t="s">
        <v>4618</v>
      </c>
      <c r="K1646" s="356">
        <v>4200</v>
      </c>
      <c r="L1646" s="334">
        <v>4200</v>
      </c>
      <c r="M1646" s="334"/>
      <c r="N1646" s="362">
        <f t="shared" si="49"/>
        <v>4200</v>
      </c>
      <c r="O1646" s="356"/>
      <c r="P1646" s="356"/>
      <c r="Q1646" s="356"/>
      <c r="R1646" s="356"/>
      <c r="S1646" s="356"/>
      <c r="T1646" s="356"/>
      <c r="U1646" s="372"/>
      <c r="V1646" s="372"/>
      <c r="W1646" s="372"/>
      <c r="X1646" s="373"/>
      <c r="Y1646" s="348"/>
      <c r="Z1646" s="348"/>
      <c r="AA1646" s="348"/>
    </row>
    <row r="1647" s="331" customFormat="1" ht="17" customHeight="1" spans="1:27">
      <c r="A1647" s="348"/>
      <c r="B1647" s="348" t="s">
        <v>66</v>
      </c>
      <c r="C1647" s="348" t="s">
        <v>505</v>
      </c>
      <c r="D1647" s="349" t="s">
        <v>68</v>
      </c>
      <c r="E1647" s="336">
        <v>43652</v>
      </c>
      <c r="F1647" s="336">
        <v>43652</v>
      </c>
      <c r="G1647" s="336">
        <v>43657</v>
      </c>
      <c r="H1647" s="334" t="s">
        <v>4619</v>
      </c>
      <c r="I1647" s="356" t="s">
        <v>4620</v>
      </c>
      <c r="J1647" s="361" t="s">
        <v>4621</v>
      </c>
      <c r="K1647" s="356">
        <v>1000</v>
      </c>
      <c r="L1647" s="334">
        <v>4688</v>
      </c>
      <c r="M1647" s="334"/>
      <c r="N1647" s="362">
        <f t="shared" si="49"/>
        <v>4688</v>
      </c>
      <c r="O1647" s="356"/>
      <c r="P1647" s="356"/>
      <c r="Q1647" s="356"/>
      <c r="R1647" s="356"/>
      <c r="S1647" s="356"/>
      <c r="T1647" s="356"/>
      <c r="U1647" s="372"/>
      <c r="V1647" s="372"/>
      <c r="W1647" s="372"/>
      <c r="X1647" s="373"/>
      <c r="Y1647" s="348"/>
      <c r="Z1647" s="348"/>
      <c r="AA1647" s="348"/>
    </row>
    <row r="1648" s="331" customFormat="1" ht="17" customHeight="1" spans="1:27">
      <c r="A1648" s="348" t="s">
        <v>4622</v>
      </c>
      <c r="B1648" s="348" t="s">
        <v>123</v>
      </c>
      <c r="C1648" s="348" t="s">
        <v>902</v>
      </c>
      <c r="D1648" s="349" t="s">
        <v>125</v>
      </c>
      <c r="E1648" s="336">
        <v>43695</v>
      </c>
      <c r="F1648" s="336">
        <v>43652</v>
      </c>
      <c r="G1648" s="336">
        <v>43695</v>
      </c>
      <c r="H1648" s="334" t="s">
        <v>4623</v>
      </c>
      <c r="I1648" s="356">
        <v>13621715926</v>
      </c>
      <c r="J1648" s="361" t="s">
        <v>4624</v>
      </c>
      <c r="K1648" s="356">
        <v>5000</v>
      </c>
      <c r="L1648" s="334">
        <v>14124</v>
      </c>
      <c r="M1648" s="419"/>
      <c r="N1648" s="362">
        <f t="shared" si="49"/>
        <v>14124</v>
      </c>
      <c r="O1648" s="356"/>
      <c r="P1648" s="356"/>
      <c r="Q1648" s="356"/>
      <c r="R1648" s="356"/>
      <c r="S1648" s="356" t="s">
        <v>52</v>
      </c>
      <c r="T1648" s="356"/>
      <c r="U1648" s="372"/>
      <c r="V1648" s="374">
        <v>43682</v>
      </c>
      <c r="W1648" s="372"/>
      <c r="X1648" s="373"/>
      <c r="Y1648" s="348"/>
      <c r="Z1648" s="348"/>
      <c r="AA1648" s="348"/>
    </row>
    <row r="1649" s="331" customFormat="1" ht="17" customHeight="1" spans="1:27">
      <c r="A1649" s="348" t="s">
        <v>4625</v>
      </c>
      <c r="B1649" s="348" t="s">
        <v>47</v>
      </c>
      <c r="C1649" s="348" t="s">
        <v>53</v>
      </c>
      <c r="D1649" s="349" t="s">
        <v>3965</v>
      </c>
      <c r="E1649" s="336">
        <v>43652</v>
      </c>
      <c r="F1649" s="336">
        <v>43652</v>
      </c>
      <c r="G1649" s="336">
        <v>43654</v>
      </c>
      <c r="H1649" s="334" t="s">
        <v>4626</v>
      </c>
      <c r="I1649" s="356">
        <v>13601604088</v>
      </c>
      <c r="J1649" s="361" t="s">
        <v>4627</v>
      </c>
      <c r="K1649" s="356">
        <v>10678</v>
      </c>
      <c r="L1649" s="334">
        <v>6840</v>
      </c>
      <c r="M1649" s="334">
        <f>3102+736</f>
        <v>3838</v>
      </c>
      <c r="N1649" s="362">
        <f t="shared" si="49"/>
        <v>10678</v>
      </c>
      <c r="O1649" s="356"/>
      <c r="P1649" s="356"/>
      <c r="Q1649" s="356"/>
      <c r="R1649" s="356"/>
      <c r="S1649" s="356"/>
      <c r="T1649" s="356"/>
      <c r="U1649" s="372"/>
      <c r="V1649" s="372"/>
      <c r="W1649" s="372"/>
      <c r="X1649" s="373"/>
      <c r="Y1649" s="348"/>
      <c r="Z1649" s="348"/>
      <c r="AA1649" s="348"/>
    </row>
    <row r="1650" s="331" customFormat="1" ht="17" customHeight="1" spans="1:27">
      <c r="A1650" s="348" t="s">
        <v>4628</v>
      </c>
      <c r="B1650" s="348" t="s">
        <v>726</v>
      </c>
      <c r="C1650" s="348" t="s">
        <v>727</v>
      </c>
      <c r="D1650" s="334" t="s">
        <v>271</v>
      </c>
      <c r="E1650" s="336">
        <v>43724</v>
      </c>
      <c r="F1650" s="336">
        <v>43652</v>
      </c>
      <c r="G1650" s="336">
        <v>43723</v>
      </c>
      <c r="H1650" s="334" t="s">
        <v>4629</v>
      </c>
      <c r="I1650" s="356">
        <v>13636373882</v>
      </c>
      <c r="J1650" s="361" t="s">
        <v>4630</v>
      </c>
      <c r="K1650" s="356">
        <v>1000</v>
      </c>
      <c r="L1650" s="334">
        <f>4820-736</f>
        <v>4084</v>
      </c>
      <c r="M1650" s="334">
        <v>736</v>
      </c>
      <c r="N1650" s="362">
        <f t="shared" si="49"/>
        <v>4820</v>
      </c>
      <c r="O1650" s="356"/>
      <c r="P1650" s="356"/>
      <c r="Q1650" s="356"/>
      <c r="R1650" s="356" t="s">
        <v>4631</v>
      </c>
      <c r="S1650" s="356"/>
      <c r="T1650" s="356"/>
      <c r="U1650" s="372"/>
      <c r="V1650" s="372"/>
      <c r="W1650" s="372"/>
      <c r="X1650" s="373"/>
      <c r="Y1650" s="348"/>
      <c r="Z1650" s="348"/>
      <c r="AA1650" s="348"/>
    </row>
    <row r="1651" s="331" customFormat="1" ht="17" customHeight="1" spans="1:27">
      <c r="A1651" s="348"/>
      <c r="B1651" s="348" t="s">
        <v>315</v>
      </c>
      <c r="C1651" s="348" t="s">
        <v>722</v>
      </c>
      <c r="D1651" s="349" t="s">
        <v>132</v>
      </c>
      <c r="E1651" s="336">
        <v>43652</v>
      </c>
      <c r="F1651" s="336">
        <v>43652</v>
      </c>
      <c r="G1651" s="350" t="s">
        <v>231</v>
      </c>
      <c r="H1651" s="334" t="s">
        <v>4632</v>
      </c>
      <c r="I1651" s="356">
        <v>17717892704</v>
      </c>
      <c r="J1651" s="361" t="s">
        <v>4633</v>
      </c>
      <c r="K1651" s="356">
        <v>1000</v>
      </c>
      <c r="L1651" s="419"/>
      <c r="M1651" s="419"/>
      <c r="N1651" s="362">
        <f t="shared" si="49"/>
        <v>0</v>
      </c>
      <c r="O1651" s="356"/>
      <c r="P1651" s="356"/>
      <c r="Q1651" s="356"/>
      <c r="R1651" s="356">
        <v>1</v>
      </c>
      <c r="S1651" s="356"/>
      <c r="T1651" s="356"/>
      <c r="U1651" s="372"/>
      <c r="V1651" s="372"/>
      <c r="W1651" s="372"/>
      <c r="X1651" s="373"/>
      <c r="Y1651" s="348"/>
      <c r="Z1651" s="348"/>
      <c r="AA1651" s="348"/>
    </row>
    <row r="1652" s="331" customFormat="1" ht="17" customHeight="1" spans="1:27">
      <c r="A1652" s="348" t="s">
        <v>4634</v>
      </c>
      <c r="B1652" s="348" t="s">
        <v>153</v>
      </c>
      <c r="C1652" s="334" t="s">
        <v>302</v>
      </c>
      <c r="D1652" s="349" t="s">
        <v>155</v>
      </c>
      <c r="E1652" s="336">
        <v>43652</v>
      </c>
      <c r="F1652" s="336">
        <v>43649</v>
      </c>
      <c r="G1652" s="336">
        <v>43652</v>
      </c>
      <c r="H1652" s="334" t="s">
        <v>4635</v>
      </c>
      <c r="I1652" s="356">
        <v>13918091845</v>
      </c>
      <c r="J1652" s="361" t="s">
        <v>4636</v>
      </c>
      <c r="K1652" s="356">
        <v>1000</v>
      </c>
      <c r="L1652" s="334">
        <v>19392</v>
      </c>
      <c r="M1652" s="334">
        <v>2208</v>
      </c>
      <c r="N1652" s="362">
        <f t="shared" si="49"/>
        <v>21600</v>
      </c>
      <c r="O1652" s="356"/>
      <c r="P1652" s="356"/>
      <c r="Q1652" s="356"/>
      <c r="R1652" s="356"/>
      <c r="S1652" s="356"/>
      <c r="T1652" s="356"/>
      <c r="U1652" s="372"/>
      <c r="V1652" s="372"/>
      <c r="W1652" s="372"/>
      <c r="X1652" s="373"/>
      <c r="Y1652" s="348"/>
      <c r="Z1652" s="348"/>
      <c r="AA1652" s="348"/>
    </row>
    <row r="1653" s="331" customFormat="1" ht="17" customHeight="1" spans="1:27">
      <c r="A1653" s="348" t="s">
        <v>4637</v>
      </c>
      <c r="B1653" s="348" t="s">
        <v>153</v>
      </c>
      <c r="C1653" s="348" t="s">
        <v>302</v>
      </c>
      <c r="D1653" s="349" t="s">
        <v>155</v>
      </c>
      <c r="E1653" s="336">
        <v>43652</v>
      </c>
      <c r="F1653" s="336">
        <v>43648</v>
      </c>
      <c r="G1653" s="336">
        <v>43659</v>
      </c>
      <c r="H1653" s="334" t="s">
        <v>4638</v>
      </c>
      <c r="I1653" s="356">
        <v>13607623088</v>
      </c>
      <c r="J1653" s="361" t="s">
        <v>4639</v>
      </c>
      <c r="K1653" s="356">
        <v>1000</v>
      </c>
      <c r="L1653" s="334">
        <v>15206</v>
      </c>
      <c r="M1653" s="334"/>
      <c r="N1653" s="362">
        <f t="shared" si="49"/>
        <v>15206</v>
      </c>
      <c r="O1653" s="356"/>
      <c r="P1653" s="356"/>
      <c r="Q1653" s="356"/>
      <c r="R1653" s="356"/>
      <c r="S1653" s="356"/>
      <c r="T1653" s="356"/>
      <c r="U1653" s="372"/>
      <c r="V1653" s="372"/>
      <c r="W1653" s="372"/>
      <c r="X1653" s="373"/>
      <c r="Y1653" s="348"/>
      <c r="Z1653" s="348"/>
      <c r="AA1653" s="348"/>
    </row>
    <row r="1654" s="331" customFormat="1" ht="17" customHeight="1" spans="1:27">
      <c r="A1654" s="348" t="s">
        <v>4640</v>
      </c>
      <c r="B1654" s="348" t="s">
        <v>31</v>
      </c>
      <c r="C1654" s="348" t="s">
        <v>3186</v>
      </c>
      <c r="D1654" s="349" t="s">
        <v>89</v>
      </c>
      <c r="E1654" s="336">
        <v>43652</v>
      </c>
      <c r="F1654" s="336">
        <v>43652</v>
      </c>
      <c r="G1654" s="336">
        <v>43670</v>
      </c>
      <c r="H1654" s="334" t="s">
        <v>4641</v>
      </c>
      <c r="I1654" s="356">
        <v>15618674369</v>
      </c>
      <c r="J1654" s="361" t="s">
        <v>4642</v>
      </c>
      <c r="K1654" s="356">
        <v>1000</v>
      </c>
      <c r="L1654" s="334">
        <v>16528</v>
      </c>
      <c r="M1654" s="334">
        <v>1472</v>
      </c>
      <c r="N1654" s="362">
        <f t="shared" si="49"/>
        <v>18000</v>
      </c>
      <c r="O1654" s="356"/>
      <c r="P1654" s="356"/>
      <c r="Q1654" s="356"/>
      <c r="R1654" s="356"/>
      <c r="S1654" s="356"/>
      <c r="T1654" s="356"/>
      <c r="U1654" s="372"/>
      <c r="V1654" s="372"/>
      <c r="W1654" s="372"/>
      <c r="X1654" s="373"/>
      <c r="Y1654" s="348"/>
      <c r="Z1654" s="348"/>
      <c r="AA1654" s="348"/>
    </row>
    <row r="1655" s="331" customFormat="1" ht="17" customHeight="1" spans="1:27">
      <c r="A1655" s="348" t="s">
        <v>4643</v>
      </c>
      <c r="B1655" s="348" t="s">
        <v>281</v>
      </c>
      <c r="C1655" s="334" t="s">
        <v>4644</v>
      </c>
      <c r="D1655" s="334" t="s">
        <v>518</v>
      </c>
      <c r="E1655" s="336">
        <v>43738</v>
      </c>
      <c r="F1655" s="336">
        <v>43652</v>
      </c>
      <c r="G1655" s="336">
        <v>43738</v>
      </c>
      <c r="H1655" s="334" t="s">
        <v>4645</v>
      </c>
      <c r="I1655" s="356">
        <v>18917785177</v>
      </c>
      <c r="J1655" s="361" t="s">
        <v>4646</v>
      </c>
      <c r="K1655" s="356">
        <v>20000</v>
      </c>
      <c r="L1655" s="334">
        <v>20000</v>
      </c>
      <c r="M1655" s="419"/>
      <c r="N1655" s="362">
        <f t="shared" si="49"/>
        <v>20000</v>
      </c>
      <c r="O1655" s="356"/>
      <c r="P1655" s="356"/>
      <c r="Q1655" s="356" t="s">
        <v>52</v>
      </c>
      <c r="R1655" s="356"/>
      <c r="S1655" s="356"/>
      <c r="T1655" s="356"/>
      <c r="U1655" s="372"/>
      <c r="V1655" s="372"/>
      <c r="W1655" s="372"/>
      <c r="X1655" s="373"/>
      <c r="Y1655" s="348"/>
      <c r="Z1655" s="348"/>
      <c r="AA1655" s="348"/>
    </row>
    <row r="1656" s="331" customFormat="1" ht="17" customHeight="1" spans="1:27">
      <c r="A1656" s="348" t="s">
        <v>4647</v>
      </c>
      <c r="B1656" s="348" t="s">
        <v>281</v>
      </c>
      <c r="C1656" s="348" t="s">
        <v>517</v>
      </c>
      <c r="D1656" s="349" t="s">
        <v>518</v>
      </c>
      <c r="E1656" s="336">
        <v>43652</v>
      </c>
      <c r="F1656" s="336">
        <v>43652</v>
      </c>
      <c r="G1656" s="336">
        <v>43666</v>
      </c>
      <c r="H1656" s="334" t="s">
        <v>4648</v>
      </c>
      <c r="I1656" s="356">
        <v>15921810059</v>
      </c>
      <c r="J1656" s="361" t="s">
        <v>4649</v>
      </c>
      <c r="K1656" s="356">
        <v>5000</v>
      </c>
      <c r="L1656" s="334">
        <v>18640</v>
      </c>
      <c r="M1656" s="419"/>
      <c r="N1656" s="362">
        <f t="shared" si="49"/>
        <v>18640</v>
      </c>
      <c r="O1656" s="356"/>
      <c r="P1656" s="356"/>
      <c r="Q1656" s="356"/>
      <c r="R1656" s="356"/>
      <c r="S1656" s="356"/>
      <c r="T1656" s="356"/>
      <c r="U1656" s="372"/>
      <c r="V1656" s="372"/>
      <c r="W1656" s="372"/>
      <c r="X1656" s="373"/>
      <c r="Y1656" s="348"/>
      <c r="Z1656" s="348"/>
      <c r="AA1656" s="348"/>
    </row>
    <row r="1657" s="331" customFormat="1" ht="17" customHeight="1" spans="1:27">
      <c r="A1657" s="348">
        <v>2067476</v>
      </c>
      <c r="B1657" s="348" t="s">
        <v>137</v>
      </c>
      <c r="C1657" s="348" t="s">
        <v>411</v>
      </c>
      <c r="D1657" s="349" t="s">
        <v>139</v>
      </c>
      <c r="E1657" s="336">
        <v>43652</v>
      </c>
      <c r="F1657" s="336">
        <v>43652</v>
      </c>
      <c r="G1657" s="336">
        <v>43666</v>
      </c>
      <c r="H1657" s="334" t="s">
        <v>4650</v>
      </c>
      <c r="I1657" s="356">
        <v>17721050736</v>
      </c>
      <c r="J1657" s="361" t="s">
        <v>4651</v>
      </c>
      <c r="K1657" s="356">
        <v>1000</v>
      </c>
      <c r="L1657" s="334">
        <v>11372</v>
      </c>
      <c r="M1657" s="334">
        <v>1460</v>
      </c>
      <c r="N1657" s="362">
        <f t="shared" si="49"/>
        <v>12832</v>
      </c>
      <c r="O1657" s="356"/>
      <c r="P1657" s="356"/>
      <c r="Q1657" s="356"/>
      <c r="R1657" s="356"/>
      <c r="S1657" s="356"/>
      <c r="T1657" s="356"/>
      <c r="U1657" s="372"/>
      <c r="V1657" s="372"/>
      <c r="W1657" s="372"/>
      <c r="X1657" s="373"/>
      <c r="Y1657" s="348"/>
      <c r="Z1657" s="348"/>
      <c r="AA1657" s="348"/>
    </row>
    <row r="1658" s="331" customFormat="1" ht="17" customHeight="1" spans="1:27">
      <c r="A1658" s="550" t="s">
        <v>4652</v>
      </c>
      <c r="B1658" s="348" t="s">
        <v>185</v>
      </c>
      <c r="C1658" s="348" t="s">
        <v>1204</v>
      </c>
      <c r="D1658" s="349" t="s">
        <v>44</v>
      </c>
      <c r="E1658" s="336">
        <v>43681</v>
      </c>
      <c r="F1658" s="336">
        <v>43652</v>
      </c>
      <c r="G1658" s="336">
        <v>43681</v>
      </c>
      <c r="H1658" s="334" t="s">
        <v>4653</v>
      </c>
      <c r="I1658" s="356">
        <v>13524666766</v>
      </c>
      <c r="J1658" s="361" t="s">
        <v>4654</v>
      </c>
      <c r="K1658" s="356">
        <v>1000</v>
      </c>
      <c r="L1658" s="334">
        <v>2774</v>
      </c>
      <c r="M1658" s="419"/>
      <c r="N1658" s="362">
        <f t="shared" ref="N1658:N1676" si="50">L1658+M1658</f>
        <v>2774</v>
      </c>
      <c r="O1658" s="356"/>
      <c r="P1658" s="356"/>
      <c r="Q1658" s="356" t="s">
        <v>52</v>
      </c>
      <c r="R1658" s="356"/>
      <c r="S1658" s="356"/>
      <c r="T1658" s="356"/>
      <c r="U1658" s="372"/>
      <c r="V1658" s="372"/>
      <c r="W1658" s="372"/>
      <c r="X1658" s="373"/>
      <c r="Y1658" s="348"/>
      <c r="Z1658" s="348"/>
      <c r="AA1658" s="348"/>
    </row>
    <row r="1659" s="331" customFormat="1" ht="17" customHeight="1" spans="1:27">
      <c r="A1659" s="348"/>
      <c r="B1659" s="348" t="s">
        <v>315</v>
      </c>
      <c r="C1659" s="348" t="s">
        <v>181</v>
      </c>
      <c r="D1659" s="349" t="s">
        <v>132</v>
      </c>
      <c r="E1659" s="336">
        <v>43653</v>
      </c>
      <c r="F1659" s="336">
        <v>43652</v>
      </c>
      <c r="G1659" s="336">
        <v>43663</v>
      </c>
      <c r="H1659" s="334" t="s">
        <v>4655</v>
      </c>
      <c r="I1659" s="356">
        <v>18917804661</v>
      </c>
      <c r="J1659" s="361" t="s">
        <v>4656</v>
      </c>
      <c r="K1659" s="356">
        <v>1000</v>
      </c>
      <c r="L1659" s="334">
        <v>11377</v>
      </c>
      <c r="M1659" s="334"/>
      <c r="N1659" s="362">
        <f t="shared" si="50"/>
        <v>11377</v>
      </c>
      <c r="O1659" s="356"/>
      <c r="P1659" s="356"/>
      <c r="Q1659" s="356"/>
      <c r="R1659" s="356"/>
      <c r="S1659" s="356"/>
      <c r="T1659" s="356"/>
      <c r="U1659" s="372"/>
      <c r="V1659" s="372"/>
      <c r="W1659" s="372"/>
      <c r="X1659" s="373"/>
      <c r="Y1659" s="348"/>
      <c r="Z1659" s="348"/>
      <c r="AA1659" s="348"/>
    </row>
    <row r="1660" s="331" customFormat="1" ht="17" customHeight="1" spans="1:27">
      <c r="A1660" s="348"/>
      <c r="B1660" s="348" t="s">
        <v>153</v>
      </c>
      <c r="C1660" s="348" t="s">
        <v>154</v>
      </c>
      <c r="D1660" s="349" t="s">
        <v>155</v>
      </c>
      <c r="E1660" s="336">
        <v>43653</v>
      </c>
      <c r="F1660" s="336">
        <v>43652</v>
      </c>
      <c r="G1660" s="336">
        <v>43660</v>
      </c>
      <c r="H1660" s="334" t="s">
        <v>4657</v>
      </c>
      <c r="I1660" s="356">
        <v>13701698631</v>
      </c>
      <c r="J1660" s="361" t="s">
        <v>4658</v>
      </c>
      <c r="K1660" s="356">
        <v>1000</v>
      </c>
      <c r="L1660" s="334">
        <v>7939</v>
      </c>
      <c r="M1660" s="334">
        <v>368</v>
      </c>
      <c r="N1660" s="362">
        <f t="shared" si="50"/>
        <v>8307</v>
      </c>
      <c r="O1660" s="356"/>
      <c r="P1660" s="356"/>
      <c r="Q1660" s="356"/>
      <c r="R1660" s="356"/>
      <c r="S1660" s="356"/>
      <c r="T1660" s="356"/>
      <c r="U1660" s="372"/>
      <c r="V1660" s="372"/>
      <c r="W1660" s="372"/>
      <c r="X1660" s="373"/>
      <c r="Y1660" s="348"/>
      <c r="Z1660" s="348"/>
      <c r="AA1660" s="348"/>
    </row>
    <row r="1661" s="331" customFormat="1" ht="17" customHeight="1" spans="1:27">
      <c r="A1661" s="348"/>
      <c r="B1661" s="348" t="s">
        <v>153</v>
      </c>
      <c r="C1661" s="348" t="s">
        <v>302</v>
      </c>
      <c r="D1661" s="349" t="s">
        <v>155</v>
      </c>
      <c r="E1661" s="336">
        <v>43653</v>
      </c>
      <c r="F1661" s="336">
        <v>43653</v>
      </c>
      <c r="G1661" s="350"/>
      <c r="H1661" s="334" t="s">
        <v>4659</v>
      </c>
      <c r="I1661" s="356">
        <v>13651842009</v>
      </c>
      <c r="J1661" s="361" t="s">
        <v>4660</v>
      </c>
      <c r="K1661" s="356">
        <v>2299</v>
      </c>
      <c r="L1661" s="419"/>
      <c r="M1661" s="419"/>
      <c r="N1661" s="362">
        <f t="shared" si="50"/>
        <v>0</v>
      </c>
      <c r="O1661" s="356"/>
      <c r="P1661" s="356"/>
      <c r="Q1661" s="356"/>
      <c r="R1661" s="356"/>
      <c r="S1661" s="356"/>
      <c r="T1661" s="356"/>
      <c r="U1661" s="379" t="s">
        <v>1842</v>
      </c>
      <c r="V1661" s="372"/>
      <c r="W1661" s="372"/>
      <c r="X1661" s="373"/>
      <c r="Y1661" s="348"/>
      <c r="Z1661" s="348"/>
      <c r="AA1661" s="348"/>
    </row>
    <row r="1662" s="331" customFormat="1" ht="17" customHeight="1" spans="1:27">
      <c r="A1662" s="348">
        <v>2022565</v>
      </c>
      <c r="B1662" s="348" t="s">
        <v>73</v>
      </c>
      <c r="C1662" s="348" t="s">
        <v>74</v>
      </c>
      <c r="D1662" s="334" t="s">
        <v>75</v>
      </c>
      <c r="E1662" s="336">
        <v>43765</v>
      </c>
      <c r="F1662" s="336">
        <v>43653</v>
      </c>
      <c r="G1662" s="336">
        <v>43764</v>
      </c>
      <c r="H1662" s="334" t="s">
        <v>4661</v>
      </c>
      <c r="I1662" s="356">
        <v>15069980251</v>
      </c>
      <c r="J1662" s="361" t="s">
        <v>4662</v>
      </c>
      <c r="K1662" s="356">
        <v>1000</v>
      </c>
      <c r="L1662" s="334">
        <v>4055</v>
      </c>
      <c r="M1662" s="419"/>
      <c r="N1662" s="362">
        <f t="shared" si="50"/>
        <v>4055</v>
      </c>
      <c r="O1662" s="366" t="s">
        <v>52</v>
      </c>
      <c r="P1662" s="356"/>
      <c r="Q1662" s="356"/>
      <c r="R1662" s="356"/>
      <c r="S1662" s="356"/>
      <c r="T1662" s="356"/>
      <c r="U1662" s="372"/>
      <c r="V1662" s="372"/>
      <c r="W1662" s="372"/>
      <c r="X1662" s="373"/>
      <c r="Y1662" s="348"/>
      <c r="Z1662" s="348"/>
      <c r="AA1662" s="348"/>
    </row>
    <row r="1663" s="331" customFormat="1" ht="17" customHeight="1" spans="1:27">
      <c r="A1663" s="348">
        <v>2022563</v>
      </c>
      <c r="B1663" s="348" t="s">
        <v>73</v>
      </c>
      <c r="C1663" s="348" t="s">
        <v>74</v>
      </c>
      <c r="D1663" s="352" t="s">
        <v>143</v>
      </c>
      <c r="E1663" s="336">
        <v>43689</v>
      </c>
      <c r="F1663" s="336">
        <v>43653</v>
      </c>
      <c r="G1663" s="336">
        <v>43689</v>
      </c>
      <c r="H1663" s="334" t="s">
        <v>4663</v>
      </c>
      <c r="I1663" s="356">
        <v>13917678648</v>
      </c>
      <c r="J1663" s="361" t="s">
        <v>4664</v>
      </c>
      <c r="K1663" s="356">
        <v>1000</v>
      </c>
      <c r="L1663" s="334">
        <v>26330</v>
      </c>
      <c r="M1663" s="419"/>
      <c r="N1663" s="362">
        <f t="shared" si="50"/>
        <v>26330</v>
      </c>
      <c r="O1663" s="366"/>
      <c r="P1663" s="366" t="s">
        <v>52</v>
      </c>
      <c r="Q1663" s="356"/>
      <c r="R1663" s="356"/>
      <c r="S1663" s="356"/>
      <c r="T1663" s="356"/>
      <c r="U1663" s="372"/>
      <c r="V1663" s="372"/>
      <c r="W1663" s="372"/>
      <c r="X1663" s="373"/>
      <c r="Y1663" s="348"/>
      <c r="Z1663" s="348"/>
      <c r="AA1663" s="348"/>
    </row>
    <row r="1664" s="331" customFormat="1" ht="17" customHeight="1" spans="1:27">
      <c r="A1664" s="348">
        <v>2022564</v>
      </c>
      <c r="B1664" s="348" t="s">
        <v>73</v>
      </c>
      <c r="C1664" s="348" t="s">
        <v>74</v>
      </c>
      <c r="D1664" s="334" t="s">
        <v>75</v>
      </c>
      <c r="E1664" s="336">
        <v>43737</v>
      </c>
      <c r="F1664" s="336">
        <v>43653</v>
      </c>
      <c r="G1664" s="336">
        <v>43737</v>
      </c>
      <c r="H1664" s="334" t="s">
        <v>4665</v>
      </c>
      <c r="I1664" s="356">
        <v>13816430874</v>
      </c>
      <c r="J1664" s="361" t="s">
        <v>4666</v>
      </c>
      <c r="K1664" s="356">
        <v>1000</v>
      </c>
      <c r="L1664" s="334">
        <f>8821-368</f>
        <v>8453</v>
      </c>
      <c r="M1664" s="334">
        <v>368</v>
      </c>
      <c r="N1664" s="362">
        <f t="shared" si="50"/>
        <v>8821</v>
      </c>
      <c r="O1664" s="366"/>
      <c r="P1664" s="366" t="s">
        <v>52</v>
      </c>
      <c r="Q1664" s="356"/>
      <c r="R1664" s="356"/>
      <c r="S1664" s="356"/>
      <c r="T1664" s="356"/>
      <c r="U1664" s="372"/>
      <c r="V1664" s="372"/>
      <c r="W1664" s="372"/>
      <c r="X1664" s="373"/>
      <c r="Y1664" s="348"/>
      <c r="Z1664" s="348"/>
      <c r="AA1664" s="348"/>
    </row>
    <row r="1665" s="331" customFormat="1" ht="17" customHeight="1" spans="1:27">
      <c r="A1665" s="550" t="s">
        <v>4667</v>
      </c>
      <c r="B1665" s="348" t="s">
        <v>31</v>
      </c>
      <c r="C1665" s="348" t="s">
        <v>251</v>
      </c>
      <c r="D1665" s="349" t="s">
        <v>33</v>
      </c>
      <c r="E1665" s="336">
        <v>43653</v>
      </c>
      <c r="F1665" s="336">
        <v>43652</v>
      </c>
      <c r="G1665" s="336">
        <v>43654</v>
      </c>
      <c r="H1665" s="334" t="s">
        <v>4668</v>
      </c>
      <c r="I1665" s="356">
        <v>13901720691</v>
      </c>
      <c r="J1665" s="361" t="s">
        <v>4669</v>
      </c>
      <c r="K1665" s="356">
        <v>5115</v>
      </c>
      <c r="L1665" s="334">
        <v>5845</v>
      </c>
      <c r="M1665" s="334">
        <f>368+368</f>
        <v>736</v>
      </c>
      <c r="N1665" s="362">
        <f t="shared" si="50"/>
        <v>6581</v>
      </c>
      <c r="O1665" s="356"/>
      <c r="P1665" s="356"/>
      <c r="Q1665" s="356"/>
      <c r="R1665" s="356"/>
      <c r="S1665" s="356"/>
      <c r="T1665" s="356"/>
      <c r="U1665" s="372"/>
      <c r="V1665" s="372"/>
      <c r="W1665" s="372"/>
      <c r="X1665" s="373"/>
      <c r="Y1665" s="348"/>
      <c r="Z1665" s="348"/>
      <c r="AA1665" s="348"/>
    </row>
    <row r="1666" s="331" customFormat="1" ht="17" customHeight="1" spans="1:27">
      <c r="A1666" s="550" t="s">
        <v>4670</v>
      </c>
      <c r="B1666" s="348" t="s">
        <v>31</v>
      </c>
      <c r="C1666" s="348" t="s">
        <v>251</v>
      </c>
      <c r="D1666" s="349" t="s">
        <v>954</v>
      </c>
      <c r="E1666" s="336">
        <v>43699</v>
      </c>
      <c r="F1666" s="336">
        <v>43651</v>
      </c>
      <c r="G1666" s="336">
        <v>43698</v>
      </c>
      <c r="H1666" s="334" t="s">
        <v>4671</v>
      </c>
      <c r="I1666" s="356">
        <v>13501622617</v>
      </c>
      <c r="J1666" s="361" t="s">
        <v>4672</v>
      </c>
      <c r="K1666" s="356">
        <v>1000</v>
      </c>
      <c r="L1666" s="334">
        <v>13300</v>
      </c>
      <c r="M1666" s="419"/>
      <c r="N1666" s="362">
        <f t="shared" si="50"/>
        <v>13300</v>
      </c>
      <c r="O1666" s="356"/>
      <c r="P1666" s="366" t="s">
        <v>52</v>
      </c>
      <c r="Q1666" s="356"/>
      <c r="R1666" s="356"/>
      <c r="S1666" s="356"/>
      <c r="T1666" s="356"/>
      <c r="U1666" s="372"/>
      <c r="V1666" s="372"/>
      <c r="W1666" s="372"/>
      <c r="X1666" s="373"/>
      <c r="Y1666" s="348"/>
      <c r="Z1666" s="348"/>
      <c r="AA1666" s="348"/>
    </row>
    <row r="1667" s="331" customFormat="1" ht="17" customHeight="1" spans="1:27">
      <c r="A1667" s="348"/>
      <c r="B1667" s="348" t="s">
        <v>137</v>
      </c>
      <c r="C1667" s="348" t="s">
        <v>411</v>
      </c>
      <c r="D1667" s="349" t="s">
        <v>427</v>
      </c>
      <c r="E1667" s="336">
        <v>43653</v>
      </c>
      <c r="F1667" s="336">
        <v>43653</v>
      </c>
      <c r="G1667" s="350"/>
      <c r="H1667" s="334" t="s">
        <v>4673</v>
      </c>
      <c r="I1667" s="356">
        <v>17898861030</v>
      </c>
      <c r="J1667" s="361" t="s">
        <v>4674</v>
      </c>
      <c r="K1667" s="356">
        <v>1000</v>
      </c>
      <c r="L1667" s="419"/>
      <c r="M1667" s="419"/>
      <c r="N1667" s="362">
        <f t="shared" si="50"/>
        <v>0</v>
      </c>
      <c r="O1667" s="356"/>
      <c r="P1667" s="356">
        <v>1</v>
      </c>
      <c r="Q1667" s="356"/>
      <c r="R1667" s="356"/>
      <c r="S1667" s="356"/>
      <c r="T1667" s="356"/>
      <c r="U1667" s="400" t="s">
        <v>4675</v>
      </c>
      <c r="V1667" s="372"/>
      <c r="W1667" s="372"/>
      <c r="X1667" s="373"/>
      <c r="Y1667" s="348"/>
      <c r="Z1667" s="348"/>
      <c r="AA1667" s="348"/>
    </row>
    <row r="1668" s="331" customFormat="1" ht="17" customHeight="1" spans="1:27">
      <c r="A1668" s="348"/>
      <c r="B1668" s="348" t="s">
        <v>31</v>
      </c>
      <c r="C1668" s="348" t="s">
        <v>220</v>
      </c>
      <c r="D1668" s="349" t="s">
        <v>221</v>
      </c>
      <c r="E1668" s="336">
        <v>43653</v>
      </c>
      <c r="F1668" s="336">
        <v>43653</v>
      </c>
      <c r="G1668" s="336">
        <v>43656</v>
      </c>
      <c r="H1668" s="334" t="s">
        <v>4676</v>
      </c>
      <c r="I1668" s="356">
        <v>13651750910</v>
      </c>
      <c r="J1668" s="361" t="s">
        <v>4677</v>
      </c>
      <c r="K1668" s="356">
        <v>1000</v>
      </c>
      <c r="L1668" s="334">
        <v>18001</v>
      </c>
      <c r="M1668" s="334">
        <v>2999</v>
      </c>
      <c r="N1668" s="362">
        <f t="shared" si="50"/>
        <v>21000</v>
      </c>
      <c r="O1668" s="356"/>
      <c r="P1668" s="356"/>
      <c r="Q1668" s="356"/>
      <c r="R1668" s="356"/>
      <c r="S1668" s="356"/>
      <c r="T1668" s="356"/>
      <c r="U1668" s="372"/>
      <c r="V1668" s="372"/>
      <c r="W1668" s="372"/>
      <c r="X1668" s="373"/>
      <c r="Y1668" s="348"/>
      <c r="Z1668" s="348"/>
      <c r="AA1668" s="348"/>
    </row>
    <row r="1669" s="331" customFormat="1" ht="17" customHeight="1" spans="1:27">
      <c r="A1669" s="550" t="s">
        <v>4678</v>
      </c>
      <c r="B1669" s="348" t="s">
        <v>31</v>
      </c>
      <c r="C1669" s="348" t="s">
        <v>3186</v>
      </c>
      <c r="D1669" s="349" t="s">
        <v>89</v>
      </c>
      <c r="E1669" s="336">
        <v>43653</v>
      </c>
      <c r="F1669" s="336">
        <v>43653</v>
      </c>
      <c r="G1669" s="336">
        <v>43656</v>
      </c>
      <c r="H1669" s="334" t="s">
        <v>1980</v>
      </c>
      <c r="I1669" s="356">
        <v>13817190738</v>
      </c>
      <c r="J1669" s="361" t="s">
        <v>4679</v>
      </c>
      <c r="K1669" s="356">
        <v>1000</v>
      </c>
      <c r="L1669" s="334">
        <v>6028</v>
      </c>
      <c r="M1669" s="334">
        <v>736</v>
      </c>
      <c r="N1669" s="362">
        <f t="shared" si="50"/>
        <v>6764</v>
      </c>
      <c r="O1669" s="356"/>
      <c r="P1669" s="356"/>
      <c r="Q1669" s="356"/>
      <c r="R1669" s="356"/>
      <c r="S1669" s="356"/>
      <c r="T1669" s="356"/>
      <c r="U1669" s="372"/>
      <c r="V1669" s="372"/>
      <c r="W1669" s="372"/>
      <c r="X1669" s="373"/>
      <c r="Y1669" s="348"/>
      <c r="Z1669" s="348"/>
      <c r="AA1669" s="348"/>
    </row>
    <row r="1670" s="331" customFormat="1" ht="17" customHeight="1" spans="1:27">
      <c r="A1670" s="550" t="s">
        <v>4680</v>
      </c>
      <c r="B1670" s="348" t="s">
        <v>185</v>
      </c>
      <c r="C1670" s="348" t="s">
        <v>886</v>
      </c>
      <c r="D1670" s="349" t="s">
        <v>187</v>
      </c>
      <c r="E1670" s="336">
        <v>43653</v>
      </c>
      <c r="F1670" s="336">
        <v>43653</v>
      </c>
      <c r="G1670" s="336">
        <v>43654</v>
      </c>
      <c r="H1670" s="334" t="s">
        <v>3828</v>
      </c>
      <c r="I1670" s="356" t="s">
        <v>3829</v>
      </c>
      <c r="J1670" s="361" t="s">
        <v>3830</v>
      </c>
      <c r="K1670" s="356">
        <v>14810</v>
      </c>
      <c r="L1670" s="334">
        <v>14810</v>
      </c>
      <c r="M1670" s="334"/>
      <c r="N1670" s="362">
        <f t="shared" si="50"/>
        <v>14810</v>
      </c>
      <c r="O1670" s="356"/>
      <c r="P1670" s="356"/>
      <c r="Q1670" s="356"/>
      <c r="R1670" s="356"/>
      <c r="S1670" s="356"/>
      <c r="T1670" s="356"/>
      <c r="U1670" s="372"/>
      <c r="V1670" s="372"/>
      <c r="W1670" s="372"/>
      <c r="X1670" s="373"/>
      <c r="Y1670" s="348"/>
      <c r="Z1670" s="348"/>
      <c r="AA1670" s="348"/>
    </row>
    <row r="1671" s="331" customFormat="1" ht="17" customHeight="1" spans="1:27">
      <c r="A1671" s="550" t="s">
        <v>4681</v>
      </c>
      <c r="B1671" s="348" t="s">
        <v>137</v>
      </c>
      <c r="C1671" s="348" t="s">
        <v>406</v>
      </c>
      <c r="D1671" s="334" t="s">
        <v>2381</v>
      </c>
      <c r="E1671" s="336">
        <v>43789</v>
      </c>
      <c r="F1671" s="336">
        <v>43653</v>
      </c>
      <c r="G1671" s="336">
        <v>43786</v>
      </c>
      <c r="H1671" s="334" t="s">
        <v>4682</v>
      </c>
      <c r="I1671" s="356">
        <v>13482052007</v>
      </c>
      <c r="J1671" s="361" t="s">
        <v>4683</v>
      </c>
      <c r="K1671" s="356">
        <v>1000</v>
      </c>
      <c r="L1671" s="334">
        <v>18993</v>
      </c>
      <c r="M1671" s="419"/>
      <c r="N1671" s="362">
        <f t="shared" si="50"/>
        <v>18993</v>
      </c>
      <c r="O1671" s="356"/>
      <c r="P1671" s="356"/>
      <c r="Q1671" s="356">
        <v>1</v>
      </c>
      <c r="R1671" s="356"/>
      <c r="S1671" s="356"/>
      <c r="T1671" s="356"/>
      <c r="U1671" s="372"/>
      <c r="V1671" s="372"/>
      <c r="W1671" s="372"/>
      <c r="X1671" s="373"/>
      <c r="Y1671" s="348"/>
      <c r="Z1671" s="348"/>
      <c r="AA1671" s="348"/>
    </row>
    <row r="1672" s="331" customFormat="1" ht="17" customHeight="1" spans="1:27">
      <c r="A1672" s="348">
        <v>2066614</v>
      </c>
      <c r="B1672" s="348" t="s">
        <v>335</v>
      </c>
      <c r="C1672" s="348" t="s">
        <v>615</v>
      </c>
      <c r="D1672" s="349" t="s">
        <v>337</v>
      </c>
      <c r="E1672" s="336">
        <v>43653</v>
      </c>
      <c r="F1672" s="336">
        <v>43653</v>
      </c>
      <c r="G1672" s="350">
        <v>43653</v>
      </c>
      <c r="H1672" s="334" t="s">
        <v>3201</v>
      </c>
      <c r="I1672" s="356">
        <v>13585859737</v>
      </c>
      <c r="J1672" s="361" t="s">
        <v>4684</v>
      </c>
      <c r="K1672" s="356">
        <v>10000</v>
      </c>
      <c r="L1672" s="334">
        <v>10000</v>
      </c>
      <c r="M1672" s="334"/>
      <c r="N1672" s="362">
        <f t="shared" si="50"/>
        <v>10000</v>
      </c>
      <c r="O1672" s="356"/>
      <c r="P1672" s="356"/>
      <c r="Q1672" s="356"/>
      <c r="R1672" s="356"/>
      <c r="S1672" s="356"/>
      <c r="T1672" s="356"/>
      <c r="U1672" s="372"/>
      <c r="V1672" s="372"/>
      <c r="W1672" s="372"/>
      <c r="X1672" s="373"/>
      <c r="Y1672" s="348"/>
      <c r="Z1672" s="348"/>
      <c r="AA1672" s="348"/>
    </row>
    <row r="1673" s="331" customFormat="1" ht="17" customHeight="1" spans="1:27">
      <c r="A1673" s="550" t="s">
        <v>4685</v>
      </c>
      <c r="B1673" s="348" t="s">
        <v>31</v>
      </c>
      <c r="C1673" s="348" t="s">
        <v>220</v>
      </c>
      <c r="D1673" s="349" t="s">
        <v>221</v>
      </c>
      <c r="E1673" s="336">
        <v>43696</v>
      </c>
      <c r="F1673" s="336">
        <v>43653</v>
      </c>
      <c r="G1673" s="336">
        <v>43695</v>
      </c>
      <c r="H1673" s="334" t="s">
        <v>4686</v>
      </c>
      <c r="I1673" s="356" t="s">
        <v>4687</v>
      </c>
      <c r="J1673" s="361" t="s">
        <v>4688</v>
      </c>
      <c r="K1673" s="356">
        <v>1000</v>
      </c>
      <c r="L1673" s="334">
        <v>5946</v>
      </c>
      <c r="M1673" s="419"/>
      <c r="N1673" s="362">
        <f t="shared" si="50"/>
        <v>5946</v>
      </c>
      <c r="O1673" s="356"/>
      <c r="P1673" s="356"/>
      <c r="Q1673" s="356"/>
      <c r="R1673" s="356"/>
      <c r="S1673" s="356"/>
      <c r="T1673" s="356"/>
      <c r="U1673" s="372"/>
      <c r="V1673" s="372"/>
      <c r="W1673" s="372"/>
      <c r="X1673" s="373"/>
      <c r="Y1673" s="348"/>
      <c r="Z1673" s="348"/>
      <c r="AA1673" s="348"/>
    </row>
    <row r="1674" s="331" customFormat="1" ht="17" customHeight="1" spans="1:27">
      <c r="A1674" s="550" t="s">
        <v>4689</v>
      </c>
      <c r="B1674" s="348" t="s">
        <v>185</v>
      </c>
      <c r="C1674" s="348" t="s">
        <v>1204</v>
      </c>
      <c r="D1674" s="349" t="s">
        <v>187</v>
      </c>
      <c r="E1674" s="336">
        <v>43690</v>
      </c>
      <c r="F1674" s="336">
        <v>43653</v>
      </c>
      <c r="G1674" s="336">
        <v>43686</v>
      </c>
      <c r="H1674" s="334" t="s">
        <v>2549</v>
      </c>
      <c r="I1674" s="356">
        <v>18097806001</v>
      </c>
      <c r="J1674" s="361" t="s">
        <v>4690</v>
      </c>
      <c r="K1674" s="356">
        <v>1000</v>
      </c>
      <c r="L1674" s="334">
        <v>15100</v>
      </c>
      <c r="M1674" s="419"/>
      <c r="N1674" s="362">
        <f t="shared" si="50"/>
        <v>15100</v>
      </c>
      <c r="O1674" s="356"/>
      <c r="P1674" s="356"/>
      <c r="Q1674" s="356" t="s">
        <v>52</v>
      </c>
      <c r="R1674" s="356"/>
      <c r="S1674" s="356"/>
      <c r="T1674" s="356"/>
      <c r="U1674" s="372"/>
      <c r="V1674" s="372"/>
      <c r="W1674" s="372"/>
      <c r="X1674" s="373"/>
      <c r="Y1674" s="348"/>
      <c r="Z1674" s="348"/>
      <c r="AA1674" s="348"/>
    </row>
    <row r="1675" s="331" customFormat="1" ht="17" customHeight="1" spans="1:27">
      <c r="A1675" s="348">
        <v>2067481</v>
      </c>
      <c r="B1675" s="348" t="s">
        <v>137</v>
      </c>
      <c r="C1675" s="348" t="s">
        <v>406</v>
      </c>
      <c r="D1675" s="349" t="s">
        <v>427</v>
      </c>
      <c r="E1675" s="336">
        <v>43653</v>
      </c>
      <c r="F1675" s="336">
        <v>43652</v>
      </c>
      <c r="G1675" s="336">
        <v>43676</v>
      </c>
      <c r="H1675" s="334" t="s">
        <v>4691</v>
      </c>
      <c r="I1675" s="356">
        <v>18664356413</v>
      </c>
      <c r="J1675" s="361" t="s">
        <v>4692</v>
      </c>
      <c r="K1675" s="356">
        <v>1000</v>
      </c>
      <c r="L1675" s="334">
        <v>18940</v>
      </c>
      <c r="M1675" s="419"/>
      <c r="N1675" s="362">
        <f t="shared" si="50"/>
        <v>18940</v>
      </c>
      <c r="O1675" s="356"/>
      <c r="P1675" s="356">
        <v>1</v>
      </c>
      <c r="Q1675" s="356"/>
      <c r="R1675" s="356"/>
      <c r="S1675" s="356"/>
      <c r="T1675" s="356"/>
      <c r="U1675" s="372"/>
      <c r="V1675" s="372"/>
      <c r="W1675" s="372"/>
      <c r="X1675" s="373"/>
      <c r="Y1675" s="348"/>
      <c r="Z1675" s="348"/>
      <c r="AA1675" s="348"/>
    </row>
    <row r="1676" s="331" customFormat="1" ht="17" customHeight="1" spans="1:27">
      <c r="A1676" s="550" t="s">
        <v>4543</v>
      </c>
      <c r="B1676" s="348" t="s">
        <v>58</v>
      </c>
      <c r="C1676" s="348" t="s">
        <v>347</v>
      </c>
      <c r="D1676" s="349" t="s">
        <v>271</v>
      </c>
      <c r="E1676" s="336">
        <v>43702</v>
      </c>
      <c r="F1676" s="336">
        <v>43652</v>
      </c>
      <c r="G1676" s="336">
        <v>43701</v>
      </c>
      <c r="H1676" s="334" t="s">
        <v>4693</v>
      </c>
      <c r="I1676" s="356">
        <v>18800320260</v>
      </c>
      <c r="J1676" s="361" t="s">
        <v>4694</v>
      </c>
      <c r="K1676" s="356">
        <v>5000</v>
      </c>
      <c r="L1676" s="334">
        <f>4696-736</f>
        <v>3960</v>
      </c>
      <c r="M1676" s="334">
        <v>736</v>
      </c>
      <c r="N1676" s="362">
        <f t="shared" si="50"/>
        <v>4696</v>
      </c>
      <c r="O1676" s="366" t="s">
        <v>52</v>
      </c>
      <c r="P1676" s="366"/>
      <c r="Q1676" s="356"/>
      <c r="R1676" s="356"/>
      <c r="S1676" s="356"/>
      <c r="T1676" s="356"/>
      <c r="U1676" s="372"/>
      <c r="V1676" s="372"/>
      <c r="W1676" s="372"/>
      <c r="X1676" s="373"/>
      <c r="Y1676" s="348"/>
      <c r="Z1676" s="348"/>
      <c r="AA1676" s="348"/>
    </row>
    <row r="1677" s="331" customFormat="1" ht="17" customHeight="1" spans="1:27">
      <c r="A1677" s="550" t="s">
        <v>4695</v>
      </c>
      <c r="B1677" s="348" t="s">
        <v>31</v>
      </c>
      <c r="C1677" s="348" t="s">
        <v>3186</v>
      </c>
      <c r="D1677" s="334" t="s">
        <v>33</v>
      </c>
      <c r="E1677" s="336">
        <v>43736</v>
      </c>
      <c r="F1677" s="336">
        <v>43652</v>
      </c>
      <c r="G1677" s="336">
        <v>43736</v>
      </c>
      <c r="H1677" s="334" t="s">
        <v>4696</v>
      </c>
      <c r="I1677" s="356">
        <v>13851069332</v>
      </c>
      <c r="J1677" s="361" t="s">
        <v>4697</v>
      </c>
      <c r="K1677" s="356">
        <v>10000</v>
      </c>
      <c r="L1677" s="334">
        <v>10000</v>
      </c>
      <c r="M1677" s="419"/>
      <c r="N1677" s="362">
        <f t="shared" ref="N1677:N1718" si="51">L1677+M1677</f>
        <v>10000</v>
      </c>
      <c r="O1677" s="356"/>
      <c r="P1677" s="356"/>
      <c r="Q1677" s="366" t="s">
        <v>52</v>
      </c>
      <c r="R1677" s="356"/>
      <c r="S1677" s="356"/>
      <c r="T1677" s="356"/>
      <c r="U1677" s="372"/>
      <c r="V1677" s="372"/>
      <c r="W1677" s="372"/>
      <c r="X1677" s="373"/>
      <c r="Y1677" s="348"/>
      <c r="Z1677" s="348"/>
      <c r="AA1677" s="348"/>
    </row>
    <row r="1678" s="331" customFormat="1" ht="17" customHeight="1" spans="1:27">
      <c r="A1678" s="348"/>
      <c r="B1678" s="348" t="s">
        <v>137</v>
      </c>
      <c r="C1678" s="348" t="s">
        <v>2705</v>
      </c>
      <c r="D1678" s="334" t="s">
        <v>191</v>
      </c>
      <c r="E1678" s="336">
        <v>43708</v>
      </c>
      <c r="F1678" s="336">
        <v>43653</v>
      </c>
      <c r="G1678" s="336">
        <v>43707</v>
      </c>
      <c r="H1678" s="334" t="s">
        <v>4698</v>
      </c>
      <c r="I1678" s="356">
        <v>13601900556</v>
      </c>
      <c r="J1678" s="361" t="s">
        <v>4699</v>
      </c>
      <c r="K1678" s="356">
        <v>1000</v>
      </c>
      <c r="L1678" s="334">
        <v>5928</v>
      </c>
      <c r="M1678" s="419"/>
      <c r="N1678" s="362">
        <f t="shared" si="51"/>
        <v>5928</v>
      </c>
      <c r="O1678" s="356"/>
      <c r="P1678" s="356">
        <v>1</v>
      </c>
      <c r="Q1678" s="356"/>
      <c r="R1678" s="356"/>
      <c r="S1678" s="356"/>
      <c r="T1678" s="356"/>
      <c r="U1678" s="372"/>
      <c r="V1678" s="372"/>
      <c r="W1678" s="372"/>
      <c r="X1678" s="373"/>
      <c r="Y1678" s="348"/>
      <c r="Z1678" s="348"/>
      <c r="AA1678" s="348"/>
    </row>
    <row r="1679" s="57" customFormat="1" ht="17" customHeight="1" spans="1:27">
      <c r="A1679" s="348"/>
      <c r="B1679" s="348" t="s">
        <v>137</v>
      </c>
      <c r="C1679" s="348" t="s">
        <v>2705</v>
      </c>
      <c r="D1679" s="349" t="s">
        <v>443</v>
      </c>
      <c r="E1679" s="336">
        <v>43653</v>
      </c>
      <c r="F1679" s="336">
        <v>43652</v>
      </c>
      <c r="G1679" s="350"/>
      <c r="H1679" s="334" t="s">
        <v>4700</v>
      </c>
      <c r="I1679" s="356">
        <v>18621573561</v>
      </c>
      <c r="J1679" s="348" t="s">
        <v>4701</v>
      </c>
      <c r="K1679" s="356">
        <v>1000</v>
      </c>
      <c r="L1679" s="419"/>
      <c r="M1679" s="419"/>
      <c r="N1679" s="362">
        <f t="shared" si="51"/>
        <v>0</v>
      </c>
      <c r="O1679" s="356"/>
      <c r="P1679" s="356"/>
      <c r="Q1679" s="356">
        <v>1</v>
      </c>
      <c r="R1679" s="356"/>
      <c r="S1679" s="356"/>
      <c r="T1679" s="356"/>
      <c r="U1679" s="372"/>
      <c r="V1679" s="372"/>
      <c r="W1679" s="372"/>
      <c r="X1679" s="373"/>
      <c r="Y1679" s="348"/>
      <c r="Z1679" s="348"/>
      <c r="AA1679" s="348"/>
    </row>
    <row r="1680" s="331" customFormat="1" ht="17" customHeight="1" spans="1:27">
      <c r="A1680" s="550" t="s">
        <v>4702</v>
      </c>
      <c r="B1680" s="348" t="s">
        <v>185</v>
      </c>
      <c r="C1680" s="348" t="s">
        <v>1204</v>
      </c>
      <c r="D1680" s="349" t="s">
        <v>44</v>
      </c>
      <c r="E1680" s="336">
        <v>43653</v>
      </c>
      <c r="F1680" s="336">
        <v>43653</v>
      </c>
      <c r="G1680" s="350"/>
      <c r="H1680" s="334" t="s">
        <v>4703</v>
      </c>
      <c r="I1680" s="356">
        <v>18621295885</v>
      </c>
      <c r="J1680" s="361" t="s">
        <v>4704</v>
      </c>
      <c r="K1680" s="356">
        <v>5308</v>
      </c>
      <c r="L1680" s="419"/>
      <c r="M1680" s="419"/>
      <c r="N1680" s="362">
        <f t="shared" si="51"/>
        <v>0</v>
      </c>
      <c r="O1680" s="356"/>
      <c r="P1680" s="356"/>
      <c r="Q1680" s="356"/>
      <c r="R1680" s="356"/>
      <c r="S1680" s="356"/>
      <c r="T1680" s="356"/>
      <c r="U1680" s="374">
        <v>43666</v>
      </c>
      <c r="V1680" s="372"/>
      <c r="W1680" s="372"/>
      <c r="X1680" s="373"/>
      <c r="Y1680" s="348"/>
      <c r="Z1680" s="348"/>
      <c r="AA1680" s="348"/>
    </row>
    <row r="1681" s="331" customFormat="1" ht="17" customHeight="1" spans="1:27">
      <c r="A1681" s="550" t="s">
        <v>4705</v>
      </c>
      <c r="B1681" s="348" t="s">
        <v>169</v>
      </c>
      <c r="C1681" s="348" t="s">
        <v>634</v>
      </c>
      <c r="D1681" s="349" t="s">
        <v>171</v>
      </c>
      <c r="E1681" s="336">
        <v>43653</v>
      </c>
      <c r="F1681" s="336">
        <v>43653</v>
      </c>
      <c r="G1681" s="336">
        <v>43671</v>
      </c>
      <c r="H1681" s="334" t="s">
        <v>4706</v>
      </c>
      <c r="I1681" s="356">
        <v>15021067663</v>
      </c>
      <c r="J1681" s="361" t="s">
        <v>4707</v>
      </c>
      <c r="K1681" s="356">
        <v>1000</v>
      </c>
      <c r="L1681" s="334">
        <v>13663</v>
      </c>
      <c r="M1681" s="419">
        <f>268+536</f>
        <v>804</v>
      </c>
      <c r="N1681" s="362">
        <f t="shared" si="51"/>
        <v>14467</v>
      </c>
      <c r="O1681" s="356"/>
      <c r="P1681" s="356"/>
      <c r="Q1681" s="356" t="s">
        <v>21</v>
      </c>
      <c r="R1681" s="356"/>
      <c r="S1681" s="356"/>
      <c r="T1681" s="356"/>
      <c r="U1681" s="372"/>
      <c r="V1681" s="372"/>
      <c r="W1681" s="372"/>
      <c r="X1681" s="373"/>
      <c r="Y1681" s="348"/>
      <c r="Z1681" s="348"/>
      <c r="AA1681" s="348"/>
    </row>
    <row r="1682" s="331" customFormat="1" ht="17" customHeight="1" spans="1:27">
      <c r="A1682" s="550" t="s">
        <v>4708</v>
      </c>
      <c r="B1682" s="348" t="s">
        <v>359</v>
      </c>
      <c r="C1682" s="348" t="s">
        <v>3018</v>
      </c>
      <c r="D1682" s="349" t="s">
        <v>361</v>
      </c>
      <c r="E1682" s="336">
        <v>43715</v>
      </c>
      <c r="F1682" s="336">
        <v>43653</v>
      </c>
      <c r="G1682" s="336">
        <v>43701</v>
      </c>
      <c r="H1682" s="334" t="s">
        <v>4709</v>
      </c>
      <c r="I1682" s="356">
        <v>13816063578</v>
      </c>
      <c r="J1682" s="361" t="s">
        <v>4710</v>
      </c>
      <c r="K1682" s="356">
        <v>5000</v>
      </c>
      <c r="L1682" s="334">
        <v>22062</v>
      </c>
      <c r="M1682" s="334">
        <v>1950</v>
      </c>
      <c r="N1682" s="362">
        <f t="shared" si="51"/>
        <v>24012</v>
      </c>
      <c r="O1682" s="356"/>
      <c r="P1682" s="356"/>
      <c r="Q1682" s="356" t="s">
        <v>21</v>
      </c>
      <c r="R1682" s="356"/>
      <c r="S1682" s="356"/>
      <c r="T1682" s="356"/>
      <c r="U1682" s="372"/>
      <c r="V1682" s="372"/>
      <c r="W1682" s="372" t="s">
        <v>4711</v>
      </c>
      <c r="X1682" s="373"/>
      <c r="Y1682" s="348"/>
      <c r="Z1682" s="348"/>
      <c r="AA1682" s="348"/>
    </row>
    <row r="1683" s="331" customFormat="1" ht="17" customHeight="1" spans="1:27">
      <c r="A1683" s="348"/>
      <c r="B1683" s="348" t="s">
        <v>31</v>
      </c>
      <c r="C1683" s="348" t="s">
        <v>377</v>
      </c>
      <c r="D1683" s="349" t="s">
        <v>221</v>
      </c>
      <c r="E1683" s="336">
        <v>43653</v>
      </c>
      <c r="F1683" s="336">
        <v>43653</v>
      </c>
      <c r="G1683" s="350"/>
      <c r="H1683" s="334" t="s">
        <v>4712</v>
      </c>
      <c r="I1683" s="356">
        <v>13818402034</v>
      </c>
      <c r="J1683" s="361" t="s">
        <v>4713</v>
      </c>
      <c r="K1683" s="356">
        <v>1000</v>
      </c>
      <c r="L1683" s="419"/>
      <c r="M1683" s="419"/>
      <c r="N1683" s="362">
        <f t="shared" si="51"/>
        <v>0</v>
      </c>
      <c r="O1683" s="356"/>
      <c r="P1683" s="356"/>
      <c r="Q1683" s="366"/>
      <c r="R1683" s="356"/>
      <c r="S1683" s="366" t="s">
        <v>52</v>
      </c>
      <c r="T1683" s="356"/>
      <c r="U1683" s="400" t="s">
        <v>4714</v>
      </c>
      <c r="V1683" s="372"/>
      <c r="W1683" s="372"/>
      <c r="X1683" s="373"/>
      <c r="Y1683" s="348"/>
      <c r="Z1683" s="348"/>
      <c r="AA1683" s="348"/>
    </row>
    <row r="1684" s="331" customFormat="1" ht="17" customHeight="1" spans="1:27">
      <c r="A1684" s="348"/>
      <c r="B1684" s="348" t="s">
        <v>31</v>
      </c>
      <c r="C1684" s="348" t="s">
        <v>419</v>
      </c>
      <c r="D1684" s="349" t="s">
        <v>162</v>
      </c>
      <c r="E1684" s="336">
        <v>43653</v>
      </c>
      <c r="F1684" s="336">
        <v>43653</v>
      </c>
      <c r="G1684" s="336">
        <v>43664</v>
      </c>
      <c r="H1684" s="334" t="s">
        <v>4715</v>
      </c>
      <c r="I1684" s="356">
        <v>13901758278</v>
      </c>
      <c r="J1684" s="361" t="s">
        <v>4716</v>
      </c>
      <c r="K1684" s="356">
        <v>1000</v>
      </c>
      <c r="L1684" s="334">
        <v>19056</v>
      </c>
      <c r="M1684" s="334"/>
      <c r="N1684" s="362">
        <f t="shared" si="51"/>
        <v>19056</v>
      </c>
      <c r="O1684" s="356"/>
      <c r="P1684" s="356"/>
      <c r="Q1684" s="356"/>
      <c r="R1684" s="356"/>
      <c r="S1684" s="356"/>
      <c r="T1684" s="356"/>
      <c r="U1684" s="372"/>
      <c r="V1684" s="372"/>
      <c r="W1684" s="372"/>
      <c r="X1684" s="373"/>
      <c r="Y1684" s="348"/>
      <c r="Z1684" s="348"/>
      <c r="AA1684" s="348"/>
    </row>
    <row r="1685" s="331" customFormat="1" ht="17" customHeight="1" spans="1:27">
      <c r="A1685" s="348">
        <v>2066615</v>
      </c>
      <c r="B1685" s="348" t="s">
        <v>335</v>
      </c>
      <c r="C1685" s="348" t="s">
        <v>615</v>
      </c>
      <c r="D1685" s="349" t="s">
        <v>337</v>
      </c>
      <c r="E1685" s="336">
        <v>43689</v>
      </c>
      <c r="F1685" s="336">
        <v>43653</v>
      </c>
      <c r="G1685" s="336">
        <v>43688</v>
      </c>
      <c r="H1685" s="334" t="s">
        <v>4717</v>
      </c>
      <c r="I1685" s="356">
        <v>13062726693</v>
      </c>
      <c r="J1685" s="361" t="s">
        <v>4718</v>
      </c>
      <c r="K1685" s="356">
        <v>5000</v>
      </c>
      <c r="L1685" s="334">
        <v>5138</v>
      </c>
      <c r="M1685" s="419"/>
      <c r="N1685" s="362">
        <f t="shared" si="51"/>
        <v>5138</v>
      </c>
      <c r="O1685" s="356"/>
      <c r="P1685" s="356"/>
      <c r="Q1685" s="356"/>
      <c r="R1685" s="356"/>
      <c r="S1685" s="356"/>
      <c r="T1685" s="356"/>
      <c r="U1685" s="372"/>
      <c r="V1685" s="372" t="s">
        <v>98</v>
      </c>
      <c r="W1685" s="372"/>
      <c r="X1685" s="373"/>
      <c r="Y1685" s="348"/>
      <c r="Z1685" s="348"/>
      <c r="AA1685" s="348"/>
    </row>
    <row r="1686" s="331" customFormat="1" ht="17" customHeight="1" spans="1:27">
      <c r="A1686" s="550" t="s">
        <v>4719</v>
      </c>
      <c r="B1686" s="348" t="s">
        <v>73</v>
      </c>
      <c r="C1686" s="348" t="s">
        <v>178</v>
      </c>
      <c r="D1686" s="349" t="s">
        <v>143</v>
      </c>
      <c r="E1686" s="336">
        <v>43689</v>
      </c>
      <c r="F1686" s="336">
        <v>43653</v>
      </c>
      <c r="G1686" s="336">
        <v>43689</v>
      </c>
      <c r="H1686" s="334" t="s">
        <v>454</v>
      </c>
      <c r="I1686" s="356">
        <v>13045680538</v>
      </c>
      <c r="J1686" s="361" t="s">
        <v>4720</v>
      </c>
      <c r="K1686" s="356">
        <v>1000</v>
      </c>
      <c r="L1686" s="334">
        <v>12101</v>
      </c>
      <c r="M1686" s="419"/>
      <c r="N1686" s="362">
        <f t="shared" si="51"/>
        <v>12101</v>
      </c>
      <c r="O1686" s="366" t="s">
        <v>52</v>
      </c>
      <c r="P1686" s="356"/>
      <c r="Q1686" s="356"/>
      <c r="R1686" s="356"/>
      <c r="S1686" s="356"/>
      <c r="T1686" s="356"/>
      <c r="U1686" s="372"/>
      <c r="V1686" s="372"/>
      <c r="W1686" s="372"/>
      <c r="X1686" s="373"/>
      <c r="Y1686" s="348"/>
      <c r="Z1686" s="348"/>
      <c r="AA1686" s="348"/>
    </row>
    <row r="1687" s="331" customFormat="1" ht="17" customHeight="1" spans="1:27">
      <c r="A1687" s="348"/>
      <c r="B1687" s="348" t="s">
        <v>73</v>
      </c>
      <c r="C1687" s="348" t="s">
        <v>74</v>
      </c>
      <c r="D1687" s="349" t="s">
        <v>132</v>
      </c>
      <c r="E1687" s="336">
        <v>43701</v>
      </c>
      <c r="F1687" s="336">
        <v>43653</v>
      </c>
      <c r="G1687" s="336">
        <v>43700</v>
      </c>
      <c r="H1687" s="334" t="s">
        <v>4721</v>
      </c>
      <c r="I1687" s="356">
        <v>18121202201</v>
      </c>
      <c r="J1687" s="361" t="s">
        <v>4722</v>
      </c>
      <c r="K1687" s="356">
        <v>1000</v>
      </c>
      <c r="L1687" s="334">
        <f>16547-1472</f>
        <v>15075</v>
      </c>
      <c r="M1687" s="334">
        <v>1472</v>
      </c>
      <c r="N1687" s="362">
        <f t="shared" si="51"/>
        <v>16547</v>
      </c>
      <c r="O1687" s="366" t="s">
        <v>52</v>
      </c>
      <c r="P1687" s="356"/>
      <c r="Q1687" s="356"/>
      <c r="R1687" s="356"/>
      <c r="S1687" s="356"/>
      <c r="T1687" s="356"/>
      <c r="U1687" s="372"/>
      <c r="V1687" s="372"/>
      <c r="W1687" s="372"/>
      <c r="X1687" s="373"/>
      <c r="Y1687" s="348"/>
      <c r="Z1687" s="348"/>
      <c r="AA1687" s="348"/>
    </row>
    <row r="1688" s="331" customFormat="1" ht="17" customHeight="1" spans="1:27">
      <c r="A1688" s="348">
        <v>2022568</v>
      </c>
      <c r="B1688" s="348" t="s">
        <v>73</v>
      </c>
      <c r="C1688" s="348" t="s">
        <v>178</v>
      </c>
      <c r="D1688" s="349" t="s">
        <v>717</v>
      </c>
      <c r="E1688" s="336">
        <v>43697</v>
      </c>
      <c r="F1688" s="336">
        <v>43653</v>
      </c>
      <c r="G1688" s="336">
        <v>43697</v>
      </c>
      <c r="H1688" s="334" t="s">
        <v>4723</v>
      </c>
      <c r="I1688" s="356">
        <v>13817933965</v>
      </c>
      <c r="J1688" s="361" t="s">
        <v>4724</v>
      </c>
      <c r="K1688" s="356">
        <v>1000</v>
      </c>
      <c r="L1688" s="334">
        <f>21075-1072</f>
        <v>20003</v>
      </c>
      <c r="M1688" s="334">
        <v>1072</v>
      </c>
      <c r="N1688" s="362">
        <f t="shared" si="51"/>
        <v>21075</v>
      </c>
      <c r="O1688" s="366" t="s">
        <v>52</v>
      </c>
      <c r="P1688" s="356"/>
      <c r="Q1688" s="356"/>
      <c r="R1688" s="356"/>
      <c r="S1688" s="356"/>
      <c r="T1688" s="356"/>
      <c r="U1688" s="372"/>
      <c r="V1688" s="372"/>
      <c r="W1688" s="372"/>
      <c r="X1688" s="373"/>
      <c r="Y1688" s="348"/>
      <c r="Z1688" s="348"/>
      <c r="AA1688" s="348"/>
    </row>
    <row r="1689" s="331" customFormat="1" ht="17" customHeight="1" spans="1:27">
      <c r="A1689" s="348"/>
      <c r="B1689" s="348" t="s">
        <v>137</v>
      </c>
      <c r="C1689" s="348" t="s">
        <v>138</v>
      </c>
      <c r="D1689" s="349" t="s">
        <v>635</v>
      </c>
      <c r="E1689" s="336">
        <v>43653</v>
      </c>
      <c r="F1689" s="336">
        <v>43653</v>
      </c>
      <c r="G1689" s="336">
        <v>43657</v>
      </c>
      <c r="H1689" s="334" t="s">
        <v>4725</v>
      </c>
      <c r="I1689" s="356">
        <v>18516113152</v>
      </c>
      <c r="J1689" s="361" t="s">
        <v>4726</v>
      </c>
      <c r="K1689" s="356">
        <v>1000</v>
      </c>
      <c r="L1689" s="334">
        <v>4507</v>
      </c>
      <c r="M1689" s="334"/>
      <c r="N1689" s="362">
        <f t="shared" si="51"/>
        <v>4507</v>
      </c>
      <c r="O1689" s="356"/>
      <c r="P1689" s="356"/>
      <c r="Q1689" s="356"/>
      <c r="R1689" s="356"/>
      <c r="S1689" s="356"/>
      <c r="T1689" s="356"/>
      <c r="U1689" s="372"/>
      <c r="V1689" s="372"/>
      <c r="W1689" s="372"/>
      <c r="X1689" s="373"/>
      <c r="Y1689" s="348"/>
      <c r="Z1689" s="348"/>
      <c r="AA1689" s="348"/>
    </row>
    <row r="1690" s="331" customFormat="1" ht="17" customHeight="1" spans="1:27">
      <c r="A1690" s="348"/>
      <c r="B1690" s="348" t="s">
        <v>35</v>
      </c>
      <c r="C1690" s="348" t="s">
        <v>36</v>
      </c>
      <c r="D1690" s="349" t="s">
        <v>37</v>
      </c>
      <c r="E1690" s="336">
        <v>43765</v>
      </c>
      <c r="F1690" s="336">
        <v>43653</v>
      </c>
      <c r="G1690" s="336">
        <v>43764</v>
      </c>
      <c r="H1690" s="334" t="s">
        <v>4727</v>
      </c>
      <c r="I1690" s="356">
        <v>15026934719</v>
      </c>
      <c r="J1690" s="361" t="s">
        <v>4728</v>
      </c>
      <c r="K1690" s="356">
        <v>1000</v>
      </c>
      <c r="L1690" s="334">
        <f>13000-836</f>
        <v>12164</v>
      </c>
      <c r="M1690" s="334">
        <v>836</v>
      </c>
      <c r="N1690" s="362">
        <f t="shared" si="51"/>
        <v>13000</v>
      </c>
      <c r="O1690" s="356"/>
      <c r="P1690" s="356"/>
      <c r="Q1690" s="356" t="s">
        <v>52</v>
      </c>
      <c r="R1690" s="356"/>
      <c r="S1690" s="356"/>
      <c r="T1690" s="356"/>
      <c r="U1690" s="372"/>
      <c r="V1690" s="372"/>
      <c r="W1690" s="372"/>
      <c r="X1690" s="373"/>
      <c r="Y1690" s="348"/>
      <c r="Z1690" s="348"/>
      <c r="AA1690" s="348"/>
    </row>
    <row r="1691" s="331" customFormat="1" ht="17" customHeight="1" spans="1:27">
      <c r="A1691" s="348"/>
      <c r="B1691" s="348" t="s">
        <v>315</v>
      </c>
      <c r="C1691" s="348" t="s">
        <v>161</v>
      </c>
      <c r="D1691" s="349" t="s">
        <v>162</v>
      </c>
      <c r="E1691" s="336">
        <v>43653</v>
      </c>
      <c r="F1691" s="336">
        <v>43653</v>
      </c>
      <c r="G1691" s="336">
        <v>43662</v>
      </c>
      <c r="H1691" s="334" t="s">
        <v>4729</v>
      </c>
      <c r="I1691" s="356">
        <v>13817388549</v>
      </c>
      <c r="J1691" s="361" t="s">
        <v>4730</v>
      </c>
      <c r="K1691" s="356">
        <v>1000</v>
      </c>
      <c r="L1691" s="334">
        <v>19724</v>
      </c>
      <c r="M1691" s="334"/>
      <c r="N1691" s="362">
        <f t="shared" si="51"/>
        <v>19724</v>
      </c>
      <c r="O1691" s="356"/>
      <c r="P1691" s="356"/>
      <c r="Q1691" s="356"/>
      <c r="R1691" s="356"/>
      <c r="S1691" s="356"/>
      <c r="T1691" s="356"/>
      <c r="U1691" s="372"/>
      <c r="V1691" s="372"/>
      <c r="W1691" s="372"/>
      <c r="X1691" s="373"/>
      <c r="Y1691" s="348"/>
      <c r="Z1691" s="348"/>
      <c r="AA1691" s="348"/>
    </row>
    <row r="1692" s="331" customFormat="1" ht="17" customHeight="1" spans="1:27">
      <c r="A1692" s="348"/>
      <c r="B1692" s="348" t="s">
        <v>405</v>
      </c>
      <c r="C1692" s="348" t="s">
        <v>823</v>
      </c>
      <c r="D1692" s="349" t="s">
        <v>407</v>
      </c>
      <c r="E1692" s="336">
        <v>43653</v>
      </c>
      <c r="F1692" s="336">
        <v>43653</v>
      </c>
      <c r="G1692" s="336">
        <v>43661</v>
      </c>
      <c r="H1692" s="334" t="s">
        <v>4731</v>
      </c>
      <c r="I1692" s="356">
        <v>15001863579</v>
      </c>
      <c r="J1692" s="361" t="s">
        <v>4732</v>
      </c>
      <c r="K1692" s="356">
        <v>5000</v>
      </c>
      <c r="L1692" s="334">
        <v>28419</v>
      </c>
      <c r="M1692" s="419"/>
      <c r="N1692" s="362">
        <f t="shared" si="51"/>
        <v>28419</v>
      </c>
      <c r="O1692" s="356"/>
      <c r="P1692" s="356"/>
      <c r="Q1692" s="356"/>
      <c r="R1692" s="356"/>
      <c r="S1692" s="356"/>
      <c r="T1692" s="356"/>
      <c r="U1692" s="372"/>
      <c r="V1692" s="372"/>
      <c r="W1692" s="372"/>
      <c r="X1692" s="373"/>
      <c r="Y1692" s="348"/>
      <c r="Z1692" s="348"/>
      <c r="AA1692" s="348"/>
    </row>
    <row r="1693" s="331" customFormat="1" ht="17" customHeight="1" spans="1:27">
      <c r="A1693" s="550" t="s">
        <v>4733</v>
      </c>
      <c r="B1693" s="348" t="s">
        <v>66</v>
      </c>
      <c r="C1693" s="348" t="s">
        <v>3954</v>
      </c>
      <c r="D1693" s="349" t="s">
        <v>68</v>
      </c>
      <c r="E1693" s="336">
        <v>43653</v>
      </c>
      <c r="F1693" s="336">
        <v>43653</v>
      </c>
      <c r="G1693" s="336">
        <v>43660</v>
      </c>
      <c r="H1693" s="334" t="s">
        <v>4734</v>
      </c>
      <c r="I1693" s="356">
        <v>15821619186</v>
      </c>
      <c r="J1693" s="361" t="s">
        <v>4735</v>
      </c>
      <c r="K1693" s="356">
        <v>5000</v>
      </c>
      <c r="L1693" s="334">
        <v>13455</v>
      </c>
      <c r="M1693" s="334"/>
      <c r="N1693" s="362">
        <f t="shared" si="51"/>
        <v>13455</v>
      </c>
      <c r="O1693" s="356"/>
      <c r="P1693" s="356"/>
      <c r="Q1693" s="356"/>
      <c r="R1693" s="356"/>
      <c r="S1693" s="356"/>
      <c r="T1693" s="356"/>
      <c r="U1693" s="372"/>
      <c r="V1693" s="372"/>
      <c r="W1693" s="372"/>
      <c r="X1693" s="373"/>
      <c r="Y1693" s="348"/>
      <c r="Z1693" s="348"/>
      <c r="AA1693" s="348"/>
    </row>
    <row r="1694" s="331" customFormat="1" ht="17" customHeight="1" spans="1:27">
      <c r="A1694" s="348">
        <v>2068064</v>
      </c>
      <c r="B1694" s="348" t="s">
        <v>87</v>
      </c>
      <c r="C1694" s="348" t="s">
        <v>199</v>
      </c>
      <c r="D1694" s="349" t="s">
        <v>1170</v>
      </c>
      <c r="E1694" s="336">
        <v>43653</v>
      </c>
      <c r="F1694" s="336">
        <v>43653</v>
      </c>
      <c r="G1694" s="336">
        <v>43660</v>
      </c>
      <c r="H1694" s="334" t="s">
        <v>4736</v>
      </c>
      <c r="I1694" s="356">
        <v>15921813446</v>
      </c>
      <c r="J1694" s="361" t="s">
        <v>4737</v>
      </c>
      <c r="K1694" s="356">
        <v>5100</v>
      </c>
      <c r="L1694" s="334">
        <v>8581</v>
      </c>
      <c r="M1694" s="334"/>
      <c r="N1694" s="362">
        <f t="shared" si="51"/>
        <v>8581</v>
      </c>
      <c r="O1694" s="356"/>
      <c r="P1694" s="356"/>
      <c r="Q1694" s="356"/>
      <c r="R1694" s="356"/>
      <c r="S1694" s="356"/>
      <c r="T1694" s="356"/>
      <c r="U1694" s="372"/>
      <c r="V1694" s="372"/>
      <c r="W1694" s="372"/>
      <c r="X1694" s="373"/>
      <c r="Y1694" s="348"/>
      <c r="Z1694" s="348"/>
      <c r="AA1694" s="348"/>
    </row>
    <row r="1695" s="331" customFormat="1" ht="17" customHeight="1" spans="1:27">
      <c r="A1695" s="348"/>
      <c r="B1695" s="348" t="s">
        <v>137</v>
      </c>
      <c r="C1695" s="334" t="s">
        <v>861</v>
      </c>
      <c r="D1695" s="349" t="s">
        <v>139</v>
      </c>
      <c r="E1695" s="336">
        <v>43653</v>
      </c>
      <c r="F1695" s="336">
        <v>43653</v>
      </c>
      <c r="G1695" s="336">
        <v>43653</v>
      </c>
      <c r="H1695" s="334" t="s">
        <v>4738</v>
      </c>
      <c r="I1695" s="356">
        <v>1381879688</v>
      </c>
      <c r="J1695" s="361" t="s">
        <v>4739</v>
      </c>
      <c r="K1695" s="356">
        <v>1000</v>
      </c>
      <c r="L1695" s="334">
        <v>6266</v>
      </c>
      <c r="M1695" s="334"/>
      <c r="N1695" s="362">
        <f t="shared" si="51"/>
        <v>6266</v>
      </c>
      <c r="O1695" s="356"/>
      <c r="P1695" s="356"/>
      <c r="Q1695" s="356"/>
      <c r="R1695" s="356"/>
      <c r="S1695" s="356"/>
      <c r="T1695" s="356"/>
      <c r="U1695" s="372"/>
      <c r="V1695" s="372"/>
      <c r="W1695" s="372"/>
      <c r="X1695" s="373"/>
      <c r="Y1695" s="348"/>
      <c r="Z1695" s="348"/>
      <c r="AA1695" s="348"/>
    </row>
    <row r="1696" s="331" customFormat="1" ht="17" customHeight="1" spans="1:27">
      <c r="A1696" s="348"/>
      <c r="B1696" s="348" t="s">
        <v>123</v>
      </c>
      <c r="C1696" s="348" t="s">
        <v>124</v>
      </c>
      <c r="D1696" s="349" t="s">
        <v>125</v>
      </c>
      <c r="E1696" s="336">
        <v>43653</v>
      </c>
      <c r="F1696" s="336"/>
      <c r="G1696" s="336">
        <v>43652</v>
      </c>
      <c r="H1696" s="334" t="s">
        <v>4740</v>
      </c>
      <c r="I1696" s="356">
        <v>13564801933</v>
      </c>
      <c r="J1696" s="361" t="s">
        <v>4741</v>
      </c>
      <c r="K1696" s="356"/>
      <c r="L1696" s="334">
        <v>9925</v>
      </c>
      <c r="M1696" s="334">
        <f>1104+368</f>
        <v>1472</v>
      </c>
      <c r="N1696" s="362">
        <f t="shared" si="51"/>
        <v>11397</v>
      </c>
      <c r="O1696" s="356"/>
      <c r="P1696" s="356"/>
      <c r="Q1696" s="356"/>
      <c r="R1696" s="356"/>
      <c r="S1696" s="356"/>
      <c r="T1696" s="356"/>
      <c r="U1696" s="372"/>
      <c r="V1696" s="372"/>
      <c r="W1696" s="372"/>
      <c r="X1696" s="373"/>
      <c r="Y1696" s="348"/>
      <c r="Z1696" s="348"/>
      <c r="AA1696" s="348"/>
    </row>
    <row r="1697" s="331" customFormat="1" ht="17" customHeight="1" spans="1:27">
      <c r="A1697" s="550" t="s">
        <v>4742</v>
      </c>
      <c r="B1697" s="348" t="s">
        <v>137</v>
      </c>
      <c r="C1697" s="348" t="s">
        <v>480</v>
      </c>
      <c r="D1697" s="349" t="s">
        <v>139</v>
      </c>
      <c r="E1697" s="336">
        <v>43654</v>
      </c>
      <c r="F1697" s="336">
        <v>43653</v>
      </c>
      <c r="G1697" s="336">
        <v>43675</v>
      </c>
      <c r="H1697" s="334" t="s">
        <v>4743</v>
      </c>
      <c r="I1697" s="356" t="s">
        <v>4744</v>
      </c>
      <c r="J1697" s="361" t="s">
        <v>4745</v>
      </c>
      <c r="K1697" s="356">
        <v>10000</v>
      </c>
      <c r="L1697" s="334">
        <v>9918</v>
      </c>
      <c r="M1697" s="419"/>
      <c r="N1697" s="362">
        <f t="shared" si="51"/>
        <v>9918</v>
      </c>
      <c r="O1697" s="356"/>
      <c r="P1697" s="356"/>
      <c r="Q1697" s="356">
        <v>1</v>
      </c>
      <c r="R1697" s="356"/>
      <c r="S1697" s="356"/>
      <c r="T1697" s="356"/>
      <c r="U1697" s="372"/>
      <c r="V1697" s="372"/>
      <c r="W1697" s="372"/>
      <c r="X1697" s="373"/>
      <c r="Y1697" s="348"/>
      <c r="Z1697" s="348"/>
      <c r="AA1697" s="348"/>
    </row>
    <row r="1698" s="331" customFormat="1" ht="17" customHeight="1" spans="1:27">
      <c r="A1698" s="348"/>
      <c r="B1698" s="348" t="s">
        <v>236</v>
      </c>
      <c r="C1698" s="348" t="s">
        <v>703</v>
      </c>
      <c r="D1698" s="352" t="s">
        <v>125</v>
      </c>
      <c r="E1698" s="336">
        <v>43723</v>
      </c>
      <c r="F1698" s="336">
        <v>43652</v>
      </c>
      <c r="G1698" s="336">
        <v>43717</v>
      </c>
      <c r="H1698" s="334" t="s">
        <v>4746</v>
      </c>
      <c r="I1698" s="356">
        <v>13774311140</v>
      </c>
      <c r="J1698" s="361" t="s">
        <v>4747</v>
      </c>
      <c r="K1698" s="356">
        <v>4598</v>
      </c>
      <c r="L1698" s="334">
        <f>33598-736</f>
        <v>32862</v>
      </c>
      <c r="M1698" s="334">
        <v>736</v>
      </c>
      <c r="N1698" s="362">
        <f t="shared" si="51"/>
        <v>33598</v>
      </c>
      <c r="O1698" s="356"/>
      <c r="P1698" s="356"/>
      <c r="Q1698" s="356"/>
      <c r="R1698" s="356" t="s">
        <v>22</v>
      </c>
      <c r="S1698" s="356"/>
      <c r="T1698" s="356"/>
      <c r="U1698" s="372"/>
      <c r="V1698" s="372"/>
      <c r="W1698" s="372"/>
      <c r="X1698" s="373"/>
      <c r="Y1698" s="348"/>
      <c r="Z1698" s="348"/>
      <c r="AA1698" s="348"/>
    </row>
    <row r="1699" s="331" customFormat="1" ht="17" customHeight="1" spans="1:27">
      <c r="A1699" s="348"/>
      <c r="B1699" s="348" t="s">
        <v>236</v>
      </c>
      <c r="C1699" s="348" t="s">
        <v>703</v>
      </c>
      <c r="D1699" s="349" t="s">
        <v>37</v>
      </c>
      <c r="E1699" s="336">
        <v>43654</v>
      </c>
      <c r="F1699" s="336">
        <v>43652</v>
      </c>
      <c r="G1699" s="336">
        <v>43675</v>
      </c>
      <c r="H1699" s="334" t="s">
        <v>4748</v>
      </c>
      <c r="I1699" s="356">
        <v>13801657951</v>
      </c>
      <c r="J1699" s="361" t="s">
        <v>4749</v>
      </c>
      <c r="K1699" s="356">
        <v>14900</v>
      </c>
      <c r="L1699" s="334">
        <v>14900</v>
      </c>
      <c r="M1699" s="419"/>
      <c r="N1699" s="362">
        <f t="shared" si="51"/>
        <v>14900</v>
      </c>
      <c r="O1699" s="356"/>
      <c r="P1699" s="356"/>
      <c r="Q1699" s="356"/>
      <c r="R1699" s="356"/>
      <c r="S1699" s="356"/>
      <c r="T1699" s="356"/>
      <c r="U1699" s="372"/>
      <c r="V1699" s="372"/>
      <c r="W1699" s="372"/>
      <c r="X1699" s="373"/>
      <c r="Y1699" s="348"/>
      <c r="Z1699" s="348"/>
      <c r="AA1699" s="348"/>
    </row>
    <row r="1700" s="331" customFormat="1" ht="17" customHeight="1" spans="1:27">
      <c r="A1700" s="348"/>
      <c r="B1700" s="348" t="s">
        <v>236</v>
      </c>
      <c r="C1700" s="348" t="s">
        <v>703</v>
      </c>
      <c r="D1700" s="349" t="s">
        <v>187</v>
      </c>
      <c r="E1700" s="336">
        <v>43654</v>
      </c>
      <c r="F1700" s="336">
        <v>43652</v>
      </c>
      <c r="G1700" s="336">
        <v>43661</v>
      </c>
      <c r="H1700" s="334" t="s">
        <v>4750</v>
      </c>
      <c r="I1700" s="356">
        <v>13524651418</v>
      </c>
      <c r="J1700" s="361" t="s">
        <v>4751</v>
      </c>
      <c r="K1700" s="356">
        <v>1000</v>
      </c>
      <c r="L1700" s="334">
        <v>10600</v>
      </c>
      <c r="M1700" s="334"/>
      <c r="N1700" s="362">
        <f t="shared" si="51"/>
        <v>10600</v>
      </c>
      <c r="O1700" s="356"/>
      <c r="P1700" s="356"/>
      <c r="Q1700" s="356"/>
      <c r="R1700" s="356"/>
      <c r="S1700" s="356"/>
      <c r="T1700" s="356"/>
      <c r="U1700" s="372"/>
      <c r="V1700" s="372"/>
      <c r="W1700" s="372"/>
      <c r="X1700" s="373"/>
      <c r="Y1700" s="348"/>
      <c r="Z1700" s="348"/>
      <c r="AA1700" s="348"/>
    </row>
    <row r="1701" s="331" customFormat="1" ht="17" customHeight="1" spans="1:27">
      <c r="A1701" s="348"/>
      <c r="B1701" s="348" t="s">
        <v>236</v>
      </c>
      <c r="C1701" s="348" t="s">
        <v>703</v>
      </c>
      <c r="D1701" s="349" t="s">
        <v>37</v>
      </c>
      <c r="E1701" s="336">
        <v>43654</v>
      </c>
      <c r="F1701" s="336">
        <v>43653</v>
      </c>
      <c r="G1701" s="336">
        <v>43675</v>
      </c>
      <c r="H1701" s="334" t="s">
        <v>4752</v>
      </c>
      <c r="I1701" s="356">
        <v>13611828723</v>
      </c>
      <c r="J1701" s="361" t="s">
        <v>4753</v>
      </c>
      <c r="K1701" s="356">
        <v>18108</v>
      </c>
      <c r="L1701" s="334">
        <v>18108</v>
      </c>
      <c r="M1701" s="419"/>
      <c r="N1701" s="362">
        <f t="shared" si="51"/>
        <v>18108</v>
      </c>
      <c r="O1701" s="356" t="s">
        <v>4383</v>
      </c>
      <c r="P1701" s="356"/>
      <c r="Q1701" s="356"/>
      <c r="R1701" s="356"/>
      <c r="S1701" s="356"/>
      <c r="T1701" s="356"/>
      <c r="U1701" s="372"/>
      <c r="V1701" s="372"/>
      <c r="W1701" s="372"/>
      <c r="X1701" s="373"/>
      <c r="Y1701" s="348"/>
      <c r="Z1701" s="348"/>
      <c r="AA1701" s="348"/>
    </row>
    <row r="1702" s="331" customFormat="1" ht="17" customHeight="1" spans="1:27">
      <c r="A1702" s="550" t="s">
        <v>4754</v>
      </c>
      <c r="B1702" s="348" t="s">
        <v>315</v>
      </c>
      <c r="C1702" s="348" t="s">
        <v>275</v>
      </c>
      <c r="D1702" s="349" t="s">
        <v>162</v>
      </c>
      <c r="E1702" s="336">
        <v>43696</v>
      </c>
      <c r="F1702" s="336">
        <v>43653</v>
      </c>
      <c r="G1702" s="336">
        <v>43694</v>
      </c>
      <c r="H1702" s="334" t="s">
        <v>4755</v>
      </c>
      <c r="I1702" s="356">
        <v>15216843776</v>
      </c>
      <c r="J1702" s="361" t="s">
        <v>4756</v>
      </c>
      <c r="K1702" s="356">
        <v>1000</v>
      </c>
      <c r="L1702" s="334">
        <v>7077</v>
      </c>
      <c r="M1702" s="419"/>
      <c r="N1702" s="362">
        <f t="shared" si="51"/>
        <v>7077</v>
      </c>
      <c r="O1702" s="356"/>
      <c r="P1702" s="356"/>
      <c r="Q1702" s="356"/>
      <c r="R1702" s="356">
        <v>1</v>
      </c>
      <c r="S1702" s="356"/>
      <c r="T1702" s="356"/>
      <c r="U1702" s="372"/>
      <c r="V1702" s="372"/>
      <c r="W1702" s="372"/>
      <c r="X1702" s="373"/>
      <c r="Y1702" s="348"/>
      <c r="Z1702" s="348"/>
      <c r="AA1702" s="348"/>
    </row>
    <row r="1703" s="331" customFormat="1" ht="17" customHeight="1" spans="1:27">
      <c r="A1703" s="550" t="s">
        <v>4757</v>
      </c>
      <c r="B1703" s="348" t="s">
        <v>137</v>
      </c>
      <c r="C1703" s="348" t="s">
        <v>138</v>
      </c>
      <c r="D1703" s="349" t="s">
        <v>139</v>
      </c>
      <c r="E1703" s="336">
        <v>43654</v>
      </c>
      <c r="F1703" s="336">
        <v>43653</v>
      </c>
      <c r="G1703" s="336">
        <v>43676</v>
      </c>
      <c r="H1703" s="334" t="s">
        <v>4758</v>
      </c>
      <c r="I1703" s="356">
        <v>13611649406</v>
      </c>
      <c r="J1703" s="361" t="s">
        <v>4759</v>
      </c>
      <c r="K1703" s="356">
        <v>1000</v>
      </c>
      <c r="L1703" s="334">
        <v>10217</v>
      </c>
      <c r="M1703" s="419"/>
      <c r="N1703" s="362">
        <f t="shared" si="51"/>
        <v>10217</v>
      </c>
      <c r="O1703" s="356"/>
      <c r="P1703" s="356"/>
      <c r="Q1703" s="356">
        <v>1</v>
      </c>
      <c r="R1703" s="356"/>
      <c r="S1703" s="356"/>
      <c r="T1703" s="356"/>
      <c r="U1703" s="372"/>
      <c r="V1703" s="372"/>
      <c r="W1703" s="372"/>
      <c r="X1703" s="373"/>
      <c r="Y1703" s="348"/>
      <c r="Z1703" s="348"/>
      <c r="AA1703" s="348"/>
    </row>
    <row r="1704" s="331" customFormat="1" ht="17" customHeight="1" spans="1:27">
      <c r="A1704" s="550" t="s">
        <v>4760</v>
      </c>
      <c r="B1704" s="348" t="s">
        <v>66</v>
      </c>
      <c r="C1704" s="348" t="s">
        <v>951</v>
      </c>
      <c r="D1704" s="349" t="s">
        <v>68</v>
      </c>
      <c r="E1704" s="336">
        <v>43654</v>
      </c>
      <c r="F1704" s="336">
        <v>43653</v>
      </c>
      <c r="G1704" s="350"/>
      <c r="H1704" s="334" t="s">
        <v>4761</v>
      </c>
      <c r="I1704" s="356">
        <v>18217213996</v>
      </c>
      <c r="J1704" s="361" t="s">
        <v>4762</v>
      </c>
      <c r="K1704" s="356">
        <v>1000</v>
      </c>
      <c r="L1704" s="419"/>
      <c r="M1704" s="419"/>
      <c r="N1704" s="362">
        <f t="shared" si="51"/>
        <v>0</v>
      </c>
      <c r="O1704" s="356"/>
      <c r="P1704" s="356" t="s">
        <v>2997</v>
      </c>
      <c r="Q1704" s="356"/>
      <c r="R1704" s="356"/>
      <c r="S1704" s="356"/>
      <c r="T1704" s="356"/>
      <c r="U1704" s="372"/>
      <c r="V1704" s="372"/>
      <c r="W1704" s="372"/>
      <c r="X1704" s="373"/>
      <c r="Y1704" s="348"/>
      <c r="Z1704" s="348"/>
      <c r="AA1704" s="348"/>
    </row>
    <row r="1705" s="331" customFormat="1" ht="17" customHeight="1" spans="1:27">
      <c r="A1705" s="550" t="s">
        <v>1943</v>
      </c>
      <c r="B1705" s="348" t="s">
        <v>66</v>
      </c>
      <c r="C1705" s="348" t="s">
        <v>951</v>
      </c>
      <c r="D1705" s="349" t="s">
        <v>68</v>
      </c>
      <c r="E1705" s="336">
        <v>43654</v>
      </c>
      <c r="F1705" s="336">
        <v>43652</v>
      </c>
      <c r="G1705" s="350"/>
      <c r="H1705" s="334" t="s">
        <v>4763</v>
      </c>
      <c r="I1705" s="356">
        <v>13816030138</v>
      </c>
      <c r="J1705" s="361" t="s">
        <v>4764</v>
      </c>
      <c r="K1705" s="356">
        <v>1000</v>
      </c>
      <c r="L1705" s="419"/>
      <c r="M1705" s="419"/>
      <c r="N1705" s="362">
        <f t="shared" si="51"/>
        <v>0</v>
      </c>
      <c r="O1705" s="356" t="s">
        <v>19</v>
      </c>
      <c r="P1705" s="356"/>
      <c r="Q1705" s="356"/>
      <c r="R1705" s="356"/>
      <c r="S1705" s="356"/>
      <c r="T1705" s="356"/>
      <c r="U1705" s="372"/>
      <c r="V1705" s="372"/>
      <c r="W1705" s="372"/>
      <c r="X1705" s="373"/>
      <c r="Y1705" s="348"/>
      <c r="Z1705" s="348"/>
      <c r="AA1705" s="348"/>
    </row>
    <row r="1706" s="331" customFormat="1" ht="17" customHeight="1" spans="1:27">
      <c r="A1706" s="550" t="s">
        <v>4765</v>
      </c>
      <c r="B1706" s="348" t="s">
        <v>66</v>
      </c>
      <c r="C1706" s="348" t="s">
        <v>67</v>
      </c>
      <c r="D1706" s="349" t="s">
        <v>143</v>
      </c>
      <c r="E1706" s="336">
        <v>43654</v>
      </c>
      <c r="F1706" s="336">
        <v>43653</v>
      </c>
      <c r="G1706" s="336">
        <v>43660</v>
      </c>
      <c r="H1706" s="334" t="s">
        <v>4766</v>
      </c>
      <c r="I1706" s="356">
        <v>13816771285</v>
      </c>
      <c r="J1706" s="361" t="s">
        <v>4767</v>
      </c>
      <c r="K1706" s="356">
        <v>1000</v>
      </c>
      <c r="L1706" s="334">
        <v>5080</v>
      </c>
      <c r="M1706" s="334">
        <v>3052</v>
      </c>
      <c r="N1706" s="362">
        <f t="shared" si="51"/>
        <v>8132</v>
      </c>
      <c r="O1706" s="356"/>
      <c r="P1706" s="356"/>
      <c r="Q1706" s="356"/>
      <c r="R1706" s="356"/>
      <c r="S1706" s="356"/>
      <c r="T1706" s="356"/>
      <c r="U1706" s="372"/>
      <c r="V1706" s="372"/>
      <c r="W1706" s="372"/>
      <c r="X1706" s="373"/>
      <c r="Y1706" s="348"/>
      <c r="Z1706" s="348"/>
      <c r="AA1706" s="348"/>
    </row>
    <row r="1707" s="331" customFormat="1" ht="17" customHeight="1" spans="1:27">
      <c r="A1707" s="348">
        <v>2066862</v>
      </c>
      <c r="B1707" s="348" t="s">
        <v>726</v>
      </c>
      <c r="C1707" s="348" t="s">
        <v>727</v>
      </c>
      <c r="D1707" s="349" t="s">
        <v>271</v>
      </c>
      <c r="E1707" s="336">
        <v>43654</v>
      </c>
      <c r="F1707" s="336">
        <v>43653</v>
      </c>
      <c r="G1707" s="336">
        <v>43677</v>
      </c>
      <c r="H1707" s="334" t="s">
        <v>4768</v>
      </c>
      <c r="I1707" s="356">
        <v>18989452828</v>
      </c>
      <c r="J1707" s="361" t="s">
        <v>4769</v>
      </c>
      <c r="K1707" s="356">
        <v>8730</v>
      </c>
      <c r="L1707" s="334">
        <v>8730</v>
      </c>
      <c r="M1707" s="419"/>
      <c r="N1707" s="362">
        <f t="shared" si="51"/>
        <v>8730</v>
      </c>
      <c r="O1707" s="356"/>
      <c r="P1707" s="356"/>
      <c r="Q1707" s="356"/>
      <c r="R1707" s="356"/>
      <c r="S1707" s="356"/>
      <c r="T1707" s="356"/>
      <c r="U1707" s="372"/>
      <c r="V1707" s="372"/>
      <c r="W1707" s="372" t="s">
        <v>4770</v>
      </c>
      <c r="X1707" s="373"/>
      <c r="Y1707" s="348"/>
      <c r="Z1707" s="348"/>
      <c r="AA1707" s="348"/>
    </row>
    <row r="1708" s="331" customFormat="1" ht="17" customHeight="1" spans="1:27">
      <c r="A1708" s="550" t="s">
        <v>4771</v>
      </c>
      <c r="B1708" s="348" t="s">
        <v>153</v>
      </c>
      <c r="C1708" s="348" t="s">
        <v>302</v>
      </c>
      <c r="D1708" s="349" t="s">
        <v>155</v>
      </c>
      <c r="E1708" s="336">
        <v>43654</v>
      </c>
      <c r="F1708" s="336">
        <v>43653</v>
      </c>
      <c r="G1708" s="336">
        <v>43659</v>
      </c>
      <c r="H1708" s="334" t="s">
        <v>4772</v>
      </c>
      <c r="I1708" s="356">
        <v>13917824365</v>
      </c>
      <c r="J1708" s="361" t="s">
        <v>4773</v>
      </c>
      <c r="K1708" s="356">
        <v>1000</v>
      </c>
      <c r="L1708" s="334">
        <v>39000</v>
      </c>
      <c r="M1708" s="334"/>
      <c r="N1708" s="362">
        <f t="shared" si="51"/>
        <v>39000</v>
      </c>
      <c r="O1708" s="356"/>
      <c r="P1708" s="356"/>
      <c r="Q1708" s="356"/>
      <c r="R1708" s="356"/>
      <c r="S1708" s="356"/>
      <c r="T1708" s="356"/>
      <c r="U1708" s="372"/>
      <c r="V1708" s="372"/>
      <c r="W1708" s="372"/>
      <c r="X1708" s="373"/>
      <c r="Y1708" s="348"/>
      <c r="Z1708" s="348"/>
      <c r="AA1708" s="348"/>
    </row>
    <row r="1709" s="331" customFormat="1" ht="17" customHeight="1" spans="1:27">
      <c r="A1709" s="550" t="s">
        <v>4774</v>
      </c>
      <c r="B1709" s="348" t="s">
        <v>354</v>
      </c>
      <c r="C1709" s="348" t="s">
        <v>1728</v>
      </c>
      <c r="D1709" s="349" t="s">
        <v>149</v>
      </c>
      <c r="E1709" s="336">
        <v>43710</v>
      </c>
      <c r="F1709" s="336">
        <v>43653</v>
      </c>
      <c r="G1709" s="336">
        <v>43709</v>
      </c>
      <c r="H1709" s="334" t="s">
        <v>4775</v>
      </c>
      <c r="I1709" s="356">
        <v>13801928922</v>
      </c>
      <c r="J1709" s="361" t="s">
        <v>4776</v>
      </c>
      <c r="K1709" s="356">
        <v>12000</v>
      </c>
      <c r="L1709" s="334">
        <v>11330</v>
      </c>
      <c r="M1709" s="419"/>
      <c r="N1709" s="362">
        <f t="shared" si="51"/>
        <v>11330</v>
      </c>
      <c r="O1709" s="356"/>
      <c r="P1709" s="356"/>
      <c r="Q1709" s="356" t="s">
        <v>21</v>
      </c>
      <c r="R1709" s="356"/>
      <c r="S1709" s="356"/>
      <c r="T1709" s="356"/>
      <c r="U1709" s="372"/>
      <c r="V1709" s="356" t="s">
        <v>1946</v>
      </c>
      <c r="W1709" s="372"/>
      <c r="X1709" s="373"/>
      <c r="Y1709" s="348"/>
      <c r="Z1709" s="348"/>
      <c r="AA1709" s="348"/>
    </row>
    <row r="1710" s="331" customFormat="1" ht="17" customHeight="1" spans="1:27">
      <c r="A1710" s="348">
        <v>2068059</v>
      </c>
      <c r="B1710" s="348" t="s">
        <v>87</v>
      </c>
      <c r="C1710" s="348" t="s">
        <v>466</v>
      </c>
      <c r="D1710" s="349" t="s">
        <v>89</v>
      </c>
      <c r="E1710" s="336">
        <v>43738</v>
      </c>
      <c r="F1710" s="336">
        <v>43653</v>
      </c>
      <c r="G1710" s="336">
        <v>43738</v>
      </c>
      <c r="H1710" s="334" t="s">
        <v>4777</v>
      </c>
      <c r="I1710" s="356">
        <v>13918892209</v>
      </c>
      <c r="J1710" s="361" t="s">
        <v>4778</v>
      </c>
      <c r="K1710" s="356">
        <v>1000</v>
      </c>
      <c r="L1710" s="334">
        <v>25000</v>
      </c>
      <c r="M1710" s="419"/>
      <c r="N1710" s="362">
        <f t="shared" si="51"/>
        <v>25000</v>
      </c>
      <c r="O1710" s="356"/>
      <c r="P1710" s="356" t="s">
        <v>52</v>
      </c>
      <c r="Q1710" s="356"/>
      <c r="R1710" s="356"/>
      <c r="S1710" s="356"/>
      <c r="T1710" s="356"/>
      <c r="U1710" s="372"/>
      <c r="V1710" s="372"/>
      <c r="W1710" s="372"/>
      <c r="X1710" s="373">
        <v>1</v>
      </c>
      <c r="Y1710" s="348"/>
      <c r="Z1710" s="348"/>
      <c r="AA1710" s="348"/>
    </row>
    <row r="1711" s="331" customFormat="1" ht="17" customHeight="1" spans="1:27">
      <c r="A1711" s="550" t="s">
        <v>4779</v>
      </c>
      <c r="B1711" s="348" t="s">
        <v>147</v>
      </c>
      <c r="C1711" s="348" t="s">
        <v>148</v>
      </c>
      <c r="D1711" s="349" t="s">
        <v>89</v>
      </c>
      <c r="E1711" s="336">
        <v>43654</v>
      </c>
      <c r="F1711" s="336">
        <v>43639</v>
      </c>
      <c r="G1711" s="336">
        <v>43653</v>
      </c>
      <c r="H1711" s="334" t="s">
        <v>4780</v>
      </c>
      <c r="I1711" s="356" t="s">
        <v>4781</v>
      </c>
      <c r="J1711" s="361" t="s">
        <v>4782</v>
      </c>
      <c r="K1711" s="356">
        <v>1000</v>
      </c>
      <c r="L1711" s="334">
        <v>7664</v>
      </c>
      <c r="M1711" s="334">
        <v>536</v>
      </c>
      <c r="N1711" s="362">
        <f t="shared" si="51"/>
        <v>8200</v>
      </c>
      <c r="O1711" s="356"/>
      <c r="P1711" s="356"/>
      <c r="Q1711" s="356"/>
      <c r="R1711" s="356"/>
      <c r="S1711" s="356"/>
      <c r="T1711" s="356"/>
      <c r="U1711" s="372"/>
      <c r="V1711" s="372"/>
      <c r="W1711" s="372"/>
      <c r="X1711" s="373"/>
      <c r="Y1711" s="348"/>
      <c r="Z1711" s="348"/>
      <c r="AA1711" s="348"/>
    </row>
    <row r="1712" s="331" customFormat="1" ht="17" customHeight="1" spans="1:27">
      <c r="A1712" s="550" t="s">
        <v>4783</v>
      </c>
      <c r="B1712" s="348" t="s">
        <v>147</v>
      </c>
      <c r="C1712" s="348" t="s">
        <v>148</v>
      </c>
      <c r="D1712" s="349" t="s">
        <v>33</v>
      </c>
      <c r="E1712" s="336">
        <v>43654</v>
      </c>
      <c r="F1712" s="336">
        <v>43653</v>
      </c>
      <c r="G1712" s="336">
        <v>43667</v>
      </c>
      <c r="H1712" s="334" t="s">
        <v>4784</v>
      </c>
      <c r="I1712" s="356">
        <v>13601729476</v>
      </c>
      <c r="J1712" s="361" t="s">
        <v>4785</v>
      </c>
      <c r="K1712" s="356">
        <v>1000</v>
      </c>
      <c r="L1712" s="334">
        <v>9621</v>
      </c>
      <c r="M1712" s="334">
        <v>1076</v>
      </c>
      <c r="N1712" s="362">
        <f t="shared" si="51"/>
        <v>10697</v>
      </c>
      <c r="O1712" s="356"/>
      <c r="P1712" s="356"/>
      <c r="Q1712" s="356"/>
      <c r="R1712" s="356"/>
      <c r="S1712" s="356"/>
      <c r="T1712" s="356"/>
      <c r="U1712" s="372"/>
      <c r="V1712" s="372"/>
      <c r="W1712" s="372"/>
      <c r="X1712" s="373"/>
      <c r="Y1712" s="348"/>
      <c r="Z1712" s="348"/>
      <c r="AA1712" s="348"/>
    </row>
    <row r="1713" s="331" customFormat="1" ht="17" customHeight="1" spans="1:27">
      <c r="A1713" s="550" t="s">
        <v>4786</v>
      </c>
      <c r="B1713" s="348" t="s">
        <v>147</v>
      </c>
      <c r="C1713" s="348" t="s">
        <v>148</v>
      </c>
      <c r="D1713" s="334" t="s">
        <v>1170</v>
      </c>
      <c r="E1713" s="336">
        <v>43743</v>
      </c>
      <c r="F1713" s="336">
        <v>43653</v>
      </c>
      <c r="G1713" s="336">
        <v>43742</v>
      </c>
      <c r="H1713" s="334" t="s">
        <v>4787</v>
      </c>
      <c r="I1713" s="356">
        <v>13956018195</v>
      </c>
      <c r="J1713" s="334" t="s">
        <v>4788</v>
      </c>
      <c r="K1713" s="356">
        <v>1000</v>
      </c>
      <c r="L1713" s="334">
        <v>4706</v>
      </c>
      <c r="M1713" s="419"/>
      <c r="N1713" s="362">
        <f t="shared" si="51"/>
        <v>4706</v>
      </c>
      <c r="O1713" s="356" t="s">
        <v>19</v>
      </c>
      <c r="P1713" s="391"/>
      <c r="Q1713" s="356"/>
      <c r="R1713" s="356"/>
      <c r="S1713" s="356"/>
      <c r="T1713" s="356"/>
      <c r="U1713" s="372"/>
      <c r="V1713" s="372"/>
      <c r="W1713" s="372"/>
      <c r="X1713" s="373"/>
      <c r="Y1713" s="348"/>
      <c r="Z1713" s="348"/>
      <c r="AA1713" s="348"/>
    </row>
    <row r="1714" s="331" customFormat="1" ht="17" customHeight="1" spans="1:27">
      <c r="A1714" s="550" t="s">
        <v>4789</v>
      </c>
      <c r="B1714" s="348" t="s">
        <v>147</v>
      </c>
      <c r="C1714" s="348" t="s">
        <v>148</v>
      </c>
      <c r="D1714" s="349" t="s">
        <v>89</v>
      </c>
      <c r="E1714" s="336">
        <v>43654</v>
      </c>
      <c r="F1714" s="336">
        <v>43653</v>
      </c>
      <c r="G1714" s="336">
        <v>43658</v>
      </c>
      <c r="H1714" s="334" t="s">
        <v>4790</v>
      </c>
      <c r="I1714" s="356">
        <v>13918899212</v>
      </c>
      <c r="J1714" s="361" t="s">
        <v>4791</v>
      </c>
      <c r="K1714" s="356">
        <v>3960</v>
      </c>
      <c r="L1714" s="334">
        <v>4098</v>
      </c>
      <c r="M1714" s="334"/>
      <c r="N1714" s="362">
        <f t="shared" si="51"/>
        <v>4098</v>
      </c>
      <c r="O1714" s="356"/>
      <c r="P1714" s="356"/>
      <c r="Q1714" s="356"/>
      <c r="R1714" s="356"/>
      <c r="S1714" s="356"/>
      <c r="T1714" s="356"/>
      <c r="U1714" s="372"/>
      <c r="V1714" s="372"/>
      <c r="W1714" s="372"/>
      <c r="X1714" s="373"/>
      <c r="Y1714" s="348"/>
      <c r="Z1714" s="348"/>
      <c r="AA1714" s="348"/>
    </row>
    <row r="1715" s="331" customFormat="1" ht="17" customHeight="1" spans="1:27">
      <c r="A1715" s="348">
        <v>2025282</v>
      </c>
      <c r="B1715" s="348" t="s">
        <v>35</v>
      </c>
      <c r="C1715" s="348" t="s">
        <v>36</v>
      </c>
      <c r="D1715" s="349" t="s">
        <v>37</v>
      </c>
      <c r="E1715" s="336">
        <v>43654</v>
      </c>
      <c r="F1715" s="336">
        <v>43653</v>
      </c>
      <c r="G1715" s="336">
        <v>43671</v>
      </c>
      <c r="H1715" s="334" t="s">
        <v>4792</v>
      </c>
      <c r="I1715" s="356">
        <v>18361834405</v>
      </c>
      <c r="J1715" s="361" t="s">
        <v>4793</v>
      </c>
      <c r="K1715" s="356">
        <v>5000</v>
      </c>
      <c r="L1715" s="334">
        <v>32000</v>
      </c>
      <c r="M1715" s="419"/>
      <c r="N1715" s="362">
        <f t="shared" si="51"/>
        <v>32000</v>
      </c>
      <c r="O1715" s="356"/>
      <c r="P1715" s="356"/>
      <c r="Q1715" s="356"/>
      <c r="R1715" s="356"/>
      <c r="S1715" s="356"/>
      <c r="T1715" s="356"/>
      <c r="U1715" s="372"/>
      <c r="V1715" s="372"/>
      <c r="W1715" s="372"/>
      <c r="X1715" s="373"/>
      <c r="Y1715" s="348"/>
      <c r="Z1715" s="348"/>
      <c r="AA1715" s="348"/>
    </row>
    <row r="1716" s="331" customFormat="1" ht="17" customHeight="1" spans="1:27">
      <c r="A1716" s="550" t="s">
        <v>4794</v>
      </c>
      <c r="B1716" s="348" t="s">
        <v>35</v>
      </c>
      <c r="C1716" s="348" t="s">
        <v>392</v>
      </c>
      <c r="D1716" s="349" t="s">
        <v>37</v>
      </c>
      <c r="E1716" s="336">
        <v>43654</v>
      </c>
      <c r="F1716" s="336">
        <v>43653</v>
      </c>
      <c r="G1716" s="350"/>
      <c r="H1716" s="334" t="s">
        <v>4795</v>
      </c>
      <c r="I1716" s="356">
        <v>13917845190</v>
      </c>
      <c r="J1716" s="361" t="s">
        <v>4796</v>
      </c>
      <c r="K1716" s="356">
        <v>1000</v>
      </c>
      <c r="L1716" s="419"/>
      <c r="M1716" s="419"/>
      <c r="N1716" s="362">
        <f t="shared" si="51"/>
        <v>0</v>
      </c>
      <c r="O1716" s="356" t="s">
        <v>52</v>
      </c>
      <c r="P1716" s="356"/>
      <c r="Q1716" s="356"/>
      <c r="R1716" s="356"/>
      <c r="S1716" s="356"/>
      <c r="T1716" s="356"/>
      <c r="U1716" s="372" t="s">
        <v>40</v>
      </c>
      <c r="V1716" s="372"/>
      <c r="W1716" s="372"/>
      <c r="X1716" s="373"/>
      <c r="Y1716" s="348"/>
      <c r="Z1716" s="348"/>
      <c r="AA1716" s="348"/>
    </row>
    <row r="1717" s="331" customFormat="1" ht="17" customHeight="1" spans="1:27">
      <c r="A1717" s="348"/>
      <c r="B1717" s="348" t="s">
        <v>35</v>
      </c>
      <c r="C1717" s="334" t="s">
        <v>392</v>
      </c>
      <c r="D1717" s="349" t="s">
        <v>37</v>
      </c>
      <c r="E1717" s="336">
        <v>43654</v>
      </c>
      <c r="F1717" s="336">
        <v>43653</v>
      </c>
      <c r="G1717" s="336">
        <v>43662</v>
      </c>
      <c r="H1717" s="334" t="s">
        <v>4797</v>
      </c>
      <c r="I1717" s="356">
        <v>17717911885</v>
      </c>
      <c r="J1717" s="361" t="s">
        <v>4798</v>
      </c>
      <c r="K1717" s="356">
        <v>1000</v>
      </c>
      <c r="L1717" s="334">
        <v>7539</v>
      </c>
      <c r="M1717" s="334">
        <v>1472</v>
      </c>
      <c r="N1717" s="362">
        <f t="shared" si="51"/>
        <v>9011</v>
      </c>
      <c r="O1717" s="356"/>
      <c r="P1717" s="356"/>
      <c r="Q1717" s="356"/>
      <c r="R1717" s="356"/>
      <c r="S1717" s="356"/>
      <c r="T1717" s="356"/>
      <c r="U1717" s="372"/>
      <c r="V1717" s="372"/>
      <c r="W1717" s="372"/>
      <c r="X1717" s="373"/>
      <c r="Y1717" s="348"/>
      <c r="Z1717" s="348"/>
      <c r="AA1717" s="348"/>
    </row>
    <row r="1718" s="331" customFormat="1" ht="17" customHeight="1" spans="1:27">
      <c r="A1718" s="348"/>
      <c r="B1718" s="348" t="s">
        <v>35</v>
      </c>
      <c r="C1718" s="348" t="s">
        <v>392</v>
      </c>
      <c r="D1718" s="349" t="s">
        <v>37</v>
      </c>
      <c r="E1718" s="336">
        <v>43717</v>
      </c>
      <c r="F1718" s="336">
        <v>43653</v>
      </c>
      <c r="G1718" s="336">
        <v>43717</v>
      </c>
      <c r="H1718" s="334" t="s">
        <v>4799</v>
      </c>
      <c r="I1718" s="356">
        <v>13916725516</v>
      </c>
      <c r="J1718" s="361" t="s">
        <v>4800</v>
      </c>
      <c r="K1718" s="356">
        <v>1000</v>
      </c>
      <c r="L1718" s="334">
        <f>4196-836</f>
        <v>3360</v>
      </c>
      <c r="M1718" s="334">
        <v>836</v>
      </c>
      <c r="N1718" s="362">
        <f t="shared" si="51"/>
        <v>4196</v>
      </c>
      <c r="O1718" s="356" t="s">
        <v>52</v>
      </c>
      <c r="P1718" s="356"/>
      <c r="Q1718" s="356"/>
      <c r="R1718" s="356"/>
      <c r="S1718" s="356"/>
      <c r="T1718" s="356"/>
      <c r="U1718" s="372"/>
      <c r="V1718" s="372"/>
      <c r="W1718" s="372"/>
      <c r="X1718" s="373"/>
      <c r="Y1718" s="348"/>
      <c r="Z1718" s="348"/>
      <c r="AA1718" s="348"/>
    </row>
    <row r="1719" s="331" customFormat="1" ht="17" customHeight="1" spans="1:27">
      <c r="A1719" s="348"/>
      <c r="B1719" s="348" t="s">
        <v>137</v>
      </c>
      <c r="C1719" s="348" t="s">
        <v>138</v>
      </c>
      <c r="D1719" s="349" t="s">
        <v>139</v>
      </c>
      <c r="E1719" s="336">
        <v>43696</v>
      </c>
      <c r="F1719" s="336">
        <v>43653</v>
      </c>
      <c r="G1719" s="336">
        <v>43695</v>
      </c>
      <c r="H1719" s="334" t="s">
        <v>4801</v>
      </c>
      <c r="I1719" s="356">
        <v>15800656726</v>
      </c>
      <c r="J1719" s="361" t="s">
        <v>4802</v>
      </c>
      <c r="K1719" s="356">
        <v>1000</v>
      </c>
      <c r="L1719" s="334">
        <f>24577-1520</f>
        <v>23057</v>
      </c>
      <c r="M1719" s="419"/>
      <c r="N1719" s="362">
        <f t="shared" ref="N1719:N1750" si="52">L1719+M1719</f>
        <v>23057</v>
      </c>
      <c r="O1719" s="356"/>
      <c r="P1719" s="356"/>
      <c r="Q1719" s="356"/>
      <c r="R1719" s="356">
        <v>1</v>
      </c>
      <c r="S1719" s="356"/>
      <c r="T1719" s="356"/>
      <c r="U1719" s="372"/>
      <c r="V1719" s="372"/>
      <c r="W1719" s="372"/>
      <c r="X1719" s="373"/>
      <c r="Y1719" s="348"/>
      <c r="Z1719" s="348"/>
      <c r="AA1719" s="348"/>
    </row>
    <row r="1720" s="331" customFormat="1" ht="17" customHeight="1" spans="1:27">
      <c r="A1720" s="550" t="s">
        <v>4803</v>
      </c>
      <c r="B1720" s="348" t="s">
        <v>94</v>
      </c>
      <c r="C1720" s="348" t="s">
        <v>3196</v>
      </c>
      <c r="D1720" s="352" t="s">
        <v>49</v>
      </c>
      <c r="E1720" s="336">
        <v>43707</v>
      </c>
      <c r="F1720" s="336">
        <v>43653</v>
      </c>
      <c r="G1720" s="336">
        <v>43705</v>
      </c>
      <c r="H1720" s="334" t="s">
        <v>4804</v>
      </c>
      <c r="I1720" s="356">
        <v>13818889824</v>
      </c>
      <c r="J1720" s="361" t="s">
        <v>4805</v>
      </c>
      <c r="K1720" s="356">
        <v>1000</v>
      </c>
      <c r="L1720" s="334">
        <f>6444-804</f>
        <v>5640</v>
      </c>
      <c r="M1720" s="334">
        <v>804</v>
      </c>
      <c r="N1720" s="362">
        <f t="shared" si="52"/>
        <v>6444</v>
      </c>
      <c r="O1720" s="356"/>
      <c r="P1720" s="366"/>
      <c r="Q1720" s="356"/>
      <c r="R1720" s="356"/>
      <c r="S1720" s="356"/>
      <c r="T1720" s="356"/>
      <c r="U1720" s="372"/>
      <c r="V1720" s="372"/>
      <c r="W1720" s="423" t="s">
        <v>98</v>
      </c>
      <c r="X1720" s="373"/>
      <c r="Y1720" s="348"/>
      <c r="Z1720" s="348"/>
      <c r="AA1720" s="348"/>
    </row>
    <row r="1721" s="331" customFormat="1" ht="17" customHeight="1" spans="1:27">
      <c r="A1721" s="550" t="s">
        <v>4806</v>
      </c>
      <c r="B1721" s="348" t="s">
        <v>94</v>
      </c>
      <c r="C1721" s="348" t="s">
        <v>95</v>
      </c>
      <c r="D1721" s="352" t="s">
        <v>49</v>
      </c>
      <c r="E1721" s="336">
        <v>43654</v>
      </c>
      <c r="F1721" s="336">
        <v>43653</v>
      </c>
      <c r="G1721" s="336">
        <v>43659</v>
      </c>
      <c r="H1721" s="334" t="s">
        <v>4807</v>
      </c>
      <c r="I1721" s="356">
        <v>15221358081</v>
      </c>
      <c r="J1721" s="361" t="s">
        <v>4808</v>
      </c>
      <c r="K1721" s="356">
        <v>5000</v>
      </c>
      <c r="L1721" s="334">
        <v>7705</v>
      </c>
      <c r="M1721" s="334">
        <v>736</v>
      </c>
      <c r="N1721" s="362">
        <f t="shared" si="52"/>
        <v>8441</v>
      </c>
      <c r="O1721" s="356"/>
      <c r="P1721" s="356"/>
      <c r="Q1721" s="356"/>
      <c r="R1721" s="356"/>
      <c r="S1721" s="356"/>
      <c r="T1721" s="356"/>
      <c r="U1721" s="372"/>
      <c r="V1721" s="372"/>
      <c r="W1721" s="372"/>
      <c r="X1721" s="373"/>
      <c r="Y1721" s="348"/>
      <c r="Z1721" s="348"/>
      <c r="AA1721" s="348"/>
    </row>
    <row r="1722" s="331" customFormat="1" ht="17" customHeight="1" spans="1:27">
      <c r="A1722" s="550" t="s">
        <v>4809</v>
      </c>
      <c r="B1722" s="348" t="s">
        <v>94</v>
      </c>
      <c r="C1722" s="348" t="s">
        <v>101</v>
      </c>
      <c r="D1722" s="352" t="s">
        <v>49</v>
      </c>
      <c r="E1722" s="336">
        <v>43654</v>
      </c>
      <c r="F1722" s="336">
        <v>43654</v>
      </c>
      <c r="G1722" s="336">
        <v>43656</v>
      </c>
      <c r="H1722" s="334" t="s">
        <v>4810</v>
      </c>
      <c r="I1722" s="356">
        <v>15221882190</v>
      </c>
      <c r="J1722" s="361" t="s">
        <v>4811</v>
      </c>
      <c r="K1722" s="356">
        <v>1000</v>
      </c>
      <c r="L1722" s="334">
        <v>5179</v>
      </c>
      <c r="M1722" s="334"/>
      <c r="N1722" s="362">
        <f t="shared" si="52"/>
        <v>5179</v>
      </c>
      <c r="O1722" s="356"/>
      <c r="P1722" s="356"/>
      <c r="Q1722" s="356"/>
      <c r="R1722" s="356"/>
      <c r="S1722" s="356"/>
      <c r="T1722" s="356"/>
      <c r="U1722" s="372"/>
      <c r="V1722" s="372"/>
      <c r="W1722" s="372"/>
      <c r="X1722" s="373"/>
      <c r="Y1722" s="348"/>
      <c r="Z1722" s="348"/>
      <c r="AA1722" s="348"/>
    </row>
    <row r="1723" s="331" customFormat="1" ht="17" customHeight="1" spans="1:27">
      <c r="A1723" s="550" t="s">
        <v>4812</v>
      </c>
      <c r="B1723" s="348" t="s">
        <v>94</v>
      </c>
      <c r="C1723" s="348" t="s">
        <v>95</v>
      </c>
      <c r="D1723" s="352" t="s">
        <v>49</v>
      </c>
      <c r="E1723" s="336">
        <v>43731</v>
      </c>
      <c r="F1723" s="336">
        <v>43653</v>
      </c>
      <c r="G1723" s="336">
        <v>43731</v>
      </c>
      <c r="H1723" s="334" t="s">
        <v>4813</v>
      </c>
      <c r="I1723" s="356">
        <v>13918048311</v>
      </c>
      <c r="J1723" s="361" t="s">
        <v>4814</v>
      </c>
      <c r="K1723" s="356">
        <v>5000</v>
      </c>
      <c r="L1723" s="334">
        <v>9624</v>
      </c>
      <c r="M1723" s="419"/>
      <c r="N1723" s="362">
        <f t="shared" si="52"/>
        <v>9624</v>
      </c>
      <c r="O1723" s="356"/>
      <c r="P1723" s="356"/>
      <c r="Q1723" s="356"/>
      <c r="R1723" s="356"/>
      <c r="S1723" s="356"/>
      <c r="T1723" s="356"/>
      <c r="U1723" s="372"/>
      <c r="V1723" s="372"/>
      <c r="W1723" s="372"/>
      <c r="X1723" s="373"/>
      <c r="Y1723" s="348"/>
      <c r="Z1723" s="348"/>
      <c r="AA1723" s="348"/>
    </row>
    <row r="1724" s="331" customFormat="1" ht="17" customHeight="1" spans="1:27">
      <c r="A1724" s="550" t="s">
        <v>4815</v>
      </c>
      <c r="B1724" s="348" t="s">
        <v>281</v>
      </c>
      <c r="C1724" s="348" t="s">
        <v>491</v>
      </c>
      <c r="D1724" s="352" t="s">
        <v>49</v>
      </c>
      <c r="E1724" s="336">
        <v>43654</v>
      </c>
      <c r="F1724" s="336">
        <v>43653</v>
      </c>
      <c r="G1724" s="362" t="s">
        <v>499</v>
      </c>
      <c r="H1724" s="334" t="s">
        <v>4816</v>
      </c>
      <c r="I1724" s="356">
        <v>13816696798</v>
      </c>
      <c r="J1724" s="361" t="s">
        <v>4817</v>
      </c>
      <c r="K1724" s="356">
        <v>5000</v>
      </c>
      <c r="L1724" s="419"/>
      <c r="M1724" s="419"/>
      <c r="N1724" s="362">
        <f t="shared" si="52"/>
        <v>0</v>
      </c>
      <c r="O1724" s="356"/>
      <c r="P1724" s="356"/>
      <c r="Q1724" s="356"/>
      <c r="R1724" s="356"/>
      <c r="S1724" s="356"/>
      <c r="T1724" s="356"/>
      <c r="U1724" s="372"/>
      <c r="V1724" s="372"/>
      <c r="W1724" s="372"/>
      <c r="X1724" s="373"/>
      <c r="Y1724" s="348"/>
      <c r="Z1724" s="348"/>
      <c r="AA1724" s="348"/>
    </row>
    <row r="1725" s="331" customFormat="1" ht="17" customHeight="1" spans="1:27">
      <c r="A1725" s="348"/>
      <c r="B1725" s="348" t="s">
        <v>137</v>
      </c>
      <c r="C1725" s="348" t="s">
        <v>861</v>
      </c>
      <c r="D1725" s="334" t="s">
        <v>171</v>
      </c>
      <c r="E1725" s="336">
        <v>43704</v>
      </c>
      <c r="F1725" s="336"/>
      <c r="G1725" s="336">
        <v>43703</v>
      </c>
      <c r="H1725" s="334" t="s">
        <v>4818</v>
      </c>
      <c r="I1725" s="356">
        <v>18516605629</v>
      </c>
      <c r="J1725" s="361" t="s">
        <v>4819</v>
      </c>
      <c r="K1725" s="356">
        <v>5000</v>
      </c>
      <c r="L1725" s="334">
        <v>2705</v>
      </c>
      <c r="M1725" s="419"/>
      <c r="N1725" s="362">
        <f t="shared" si="52"/>
        <v>2705</v>
      </c>
      <c r="O1725" s="356"/>
      <c r="P1725" s="356"/>
      <c r="Q1725" s="356"/>
      <c r="R1725" s="356">
        <v>1</v>
      </c>
      <c r="S1725" s="356"/>
      <c r="T1725" s="356"/>
      <c r="U1725" s="372"/>
      <c r="V1725" s="372"/>
      <c r="W1725" s="372"/>
      <c r="X1725" s="373"/>
      <c r="Y1725" s="348"/>
      <c r="Z1725" s="348"/>
      <c r="AA1725" s="348"/>
    </row>
    <row r="1726" s="331" customFormat="1" ht="17" customHeight="1" spans="1:27">
      <c r="A1726" s="550" t="s">
        <v>4820</v>
      </c>
      <c r="B1726" s="348" t="s">
        <v>315</v>
      </c>
      <c r="C1726" s="348" t="s">
        <v>722</v>
      </c>
      <c r="D1726" s="349" t="s">
        <v>162</v>
      </c>
      <c r="E1726" s="336">
        <v>43689</v>
      </c>
      <c r="F1726" s="336">
        <v>43654</v>
      </c>
      <c r="G1726" s="336">
        <v>43688</v>
      </c>
      <c r="H1726" s="334" t="s">
        <v>4821</v>
      </c>
      <c r="I1726" s="356">
        <v>18616552550</v>
      </c>
      <c r="J1726" s="361" t="s">
        <v>4822</v>
      </c>
      <c r="K1726" s="356">
        <v>5000</v>
      </c>
      <c r="L1726" s="334">
        <v>7408</v>
      </c>
      <c r="M1726" s="334">
        <f>1104+6509</f>
        <v>7613</v>
      </c>
      <c r="N1726" s="362">
        <f t="shared" si="52"/>
        <v>15021</v>
      </c>
      <c r="O1726" s="356"/>
      <c r="P1726" s="356"/>
      <c r="Q1726" s="356"/>
      <c r="R1726" s="356">
        <v>1</v>
      </c>
      <c r="S1726" s="356"/>
      <c r="T1726" s="356"/>
      <c r="U1726" s="372"/>
      <c r="V1726" s="372"/>
      <c r="W1726" s="372"/>
      <c r="X1726" s="373"/>
      <c r="Y1726" s="348"/>
      <c r="Z1726" s="348"/>
      <c r="AA1726" s="348"/>
    </row>
    <row r="1727" s="331" customFormat="1" ht="17" customHeight="1" spans="1:27">
      <c r="A1727" s="550" t="s">
        <v>4823</v>
      </c>
      <c r="B1727" s="348" t="s">
        <v>66</v>
      </c>
      <c r="C1727" s="348" t="s">
        <v>505</v>
      </c>
      <c r="D1727" s="349" t="s">
        <v>68</v>
      </c>
      <c r="E1727" s="336">
        <v>43654</v>
      </c>
      <c r="F1727" s="336">
        <v>43653</v>
      </c>
      <c r="G1727" s="336">
        <v>43677</v>
      </c>
      <c r="H1727" s="334" t="s">
        <v>4824</v>
      </c>
      <c r="I1727" s="356">
        <v>13636322828</v>
      </c>
      <c r="J1727" s="361" t="s">
        <v>4825</v>
      </c>
      <c r="K1727" s="356">
        <v>5000</v>
      </c>
      <c r="L1727" s="334">
        <v>5000</v>
      </c>
      <c r="M1727" s="419"/>
      <c r="N1727" s="362">
        <f t="shared" si="52"/>
        <v>5000</v>
      </c>
      <c r="O1727" s="356"/>
      <c r="P1727" s="356"/>
      <c r="Q1727" s="356"/>
      <c r="R1727" s="356"/>
      <c r="S1727" s="356"/>
      <c r="T1727" s="356"/>
      <c r="U1727" s="372"/>
      <c r="V1727" s="372"/>
      <c r="W1727" s="372" t="s">
        <v>4826</v>
      </c>
      <c r="X1727" s="373"/>
      <c r="Y1727" s="348"/>
      <c r="Z1727" s="348"/>
      <c r="AA1727" s="348"/>
    </row>
    <row r="1728" s="331" customFormat="1" ht="17" customHeight="1" spans="1:27">
      <c r="A1728" s="348"/>
      <c r="B1728" s="348" t="s">
        <v>137</v>
      </c>
      <c r="C1728" s="348" t="s">
        <v>411</v>
      </c>
      <c r="D1728" s="349" t="s">
        <v>139</v>
      </c>
      <c r="E1728" s="336">
        <v>43654</v>
      </c>
      <c r="F1728" s="336">
        <v>43653</v>
      </c>
      <c r="G1728" s="336">
        <v>43675</v>
      </c>
      <c r="H1728" s="334" t="s">
        <v>4827</v>
      </c>
      <c r="I1728" s="356">
        <v>19945684883</v>
      </c>
      <c r="J1728" s="361" t="s">
        <v>4828</v>
      </c>
      <c r="K1728" s="356">
        <v>1000</v>
      </c>
      <c r="L1728" s="334">
        <v>8011</v>
      </c>
      <c r="M1728" s="419"/>
      <c r="N1728" s="362">
        <f t="shared" si="52"/>
        <v>8011</v>
      </c>
      <c r="O1728" s="356"/>
      <c r="P1728" s="356"/>
      <c r="Q1728" s="356"/>
      <c r="R1728" s="356">
        <v>1</v>
      </c>
      <c r="S1728" s="356"/>
      <c r="T1728" s="356"/>
      <c r="U1728" s="372"/>
      <c r="V1728" s="372"/>
      <c r="W1728" s="372"/>
      <c r="X1728" s="373"/>
      <c r="Y1728" s="348"/>
      <c r="Z1728" s="348"/>
      <c r="AA1728" s="348"/>
    </row>
    <row r="1729" s="331" customFormat="1" ht="17" customHeight="1" spans="1:27">
      <c r="A1729" s="348">
        <v>2067482</v>
      </c>
      <c r="B1729" s="348" t="s">
        <v>137</v>
      </c>
      <c r="C1729" s="348" t="s">
        <v>411</v>
      </c>
      <c r="D1729" s="349" t="s">
        <v>68</v>
      </c>
      <c r="E1729" s="336">
        <v>43654</v>
      </c>
      <c r="F1729" s="336">
        <v>43653</v>
      </c>
      <c r="G1729" s="336">
        <v>43674</v>
      </c>
      <c r="H1729" s="334" t="s">
        <v>4829</v>
      </c>
      <c r="I1729" s="356">
        <v>15216715676</v>
      </c>
      <c r="J1729" s="361" t="s">
        <v>4830</v>
      </c>
      <c r="K1729" s="356">
        <v>1000</v>
      </c>
      <c r="L1729" s="334">
        <v>3820</v>
      </c>
      <c r="M1729" s="419"/>
      <c r="N1729" s="362">
        <f t="shared" si="52"/>
        <v>3820</v>
      </c>
      <c r="O1729" s="356"/>
      <c r="P1729" s="356"/>
      <c r="Q1729" s="356">
        <v>1</v>
      </c>
      <c r="R1729" s="356"/>
      <c r="S1729" s="356"/>
      <c r="T1729" s="356"/>
      <c r="U1729" s="372"/>
      <c r="V1729" s="372"/>
      <c r="W1729" s="372"/>
      <c r="X1729" s="373"/>
      <c r="Y1729" s="348"/>
      <c r="Z1729" s="348"/>
      <c r="AA1729" s="348"/>
    </row>
    <row r="1730" s="331" customFormat="1" ht="17" customHeight="1" spans="1:27">
      <c r="A1730" s="550" t="s">
        <v>4831</v>
      </c>
      <c r="B1730" s="348" t="s">
        <v>73</v>
      </c>
      <c r="C1730" s="348" t="s">
        <v>178</v>
      </c>
      <c r="D1730" s="352" t="s">
        <v>143</v>
      </c>
      <c r="E1730" s="336">
        <v>43708</v>
      </c>
      <c r="F1730" s="336">
        <v>43653</v>
      </c>
      <c r="G1730" s="336">
        <v>43705</v>
      </c>
      <c r="H1730" s="334" t="s">
        <v>4832</v>
      </c>
      <c r="I1730" s="356">
        <v>13816105743</v>
      </c>
      <c r="J1730" s="361" t="s">
        <v>4833</v>
      </c>
      <c r="K1730" s="356">
        <v>1000</v>
      </c>
      <c r="L1730" s="334">
        <v>25305</v>
      </c>
      <c r="M1730" s="419"/>
      <c r="N1730" s="362">
        <f t="shared" si="52"/>
        <v>25305</v>
      </c>
      <c r="O1730" s="366" t="s">
        <v>52</v>
      </c>
      <c r="P1730" s="356"/>
      <c r="Q1730" s="356"/>
      <c r="R1730" s="356"/>
      <c r="S1730" s="356"/>
      <c r="T1730" s="356"/>
      <c r="U1730" s="372"/>
      <c r="V1730" s="372"/>
      <c r="W1730" s="372"/>
      <c r="X1730" s="373"/>
      <c r="Y1730" s="348"/>
      <c r="Z1730" s="348"/>
      <c r="AA1730" s="348"/>
    </row>
    <row r="1731" s="331" customFormat="1" ht="17" customHeight="1" spans="1:27">
      <c r="A1731" s="348">
        <v>2066613</v>
      </c>
      <c r="B1731" s="348" t="s">
        <v>335</v>
      </c>
      <c r="C1731" s="348" t="s">
        <v>399</v>
      </c>
      <c r="D1731" s="349" t="s">
        <v>337</v>
      </c>
      <c r="E1731" s="336">
        <v>43654</v>
      </c>
      <c r="F1731" s="336">
        <v>43653</v>
      </c>
      <c r="G1731" s="350"/>
      <c r="H1731" s="334" t="s">
        <v>4834</v>
      </c>
      <c r="I1731" s="356">
        <v>13917011101</v>
      </c>
      <c r="J1731" s="361" t="s">
        <v>4835</v>
      </c>
      <c r="K1731" s="356">
        <v>1000</v>
      </c>
      <c r="L1731" s="419"/>
      <c r="M1731" s="419"/>
      <c r="N1731" s="362">
        <f t="shared" si="52"/>
        <v>0</v>
      </c>
      <c r="O1731" s="356"/>
      <c r="P1731" s="356"/>
      <c r="Q1731" s="356"/>
      <c r="R1731" s="356"/>
      <c r="S1731" s="356"/>
      <c r="T1731" s="356"/>
      <c r="U1731" s="372" t="s">
        <v>12</v>
      </c>
      <c r="V1731" s="372"/>
      <c r="W1731" s="372"/>
      <c r="X1731" s="373"/>
      <c r="Y1731" s="348"/>
      <c r="Z1731" s="348"/>
      <c r="AA1731" s="348"/>
    </row>
    <row r="1732" s="331" customFormat="1" ht="17" customHeight="1" spans="1:27">
      <c r="A1732" s="550" t="s">
        <v>4836</v>
      </c>
      <c r="B1732" s="348" t="s">
        <v>405</v>
      </c>
      <c r="C1732" s="348" t="s">
        <v>1234</v>
      </c>
      <c r="D1732" s="349" t="s">
        <v>407</v>
      </c>
      <c r="E1732" s="336">
        <v>43654</v>
      </c>
      <c r="F1732" s="336">
        <v>43653</v>
      </c>
      <c r="G1732" s="336">
        <v>43659</v>
      </c>
      <c r="H1732" s="334" t="s">
        <v>4837</v>
      </c>
      <c r="I1732" s="356">
        <v>18512181792</v>
      </c>
      <c r="J1732" s="361" t="s">
        <v>4838</v>
      </c>
      <c r="K1732" s="356">
        <v>8800</v>
      </c>
      <c r="L1732" s="334">
        <v>8800</v>
      </c>
      <c r="M1732" s="334"/>
      <c r="N1732" s="362">
        <f t="shared" si="52"/>
        <v>8800</v>
      </c>
      <c r="O1732" s="356"/>
      <c r="P1732" s="356"/>
      <c r="Q1732" s="356"/>
      <c r="R1732" s="356"/>
      <c r="S1732" s="356"/>
      <c r="T1732" s="356"/>
      <c r="U1732" s="372"/>
      <c r="V1732" s="372"/>
      <c r="W1732" s="372"/>
      <c r="X1732" s="373"/>
      <c r="Y1732" s="348"/>
      <c r="Z1732" s="348"/>
      <c r="AA1732" s="348"/>
    </row>
    <row r="1733" s="331" customFormat="1" ht="17" customHeight="1" spans="1:27">
      <c r="A1733" s="348"/>
      <c r="B1733" s="348" t="s">
        <v>405</v>
      </c>
      <c r="C1733" s="348" t="s">
        <v>1234</v>
      </c>
      <c r="D1733" s="349" t="s">
        <v>407</v>
      </c>
      <c r="E1733" s="336">
        <v>43654</v>
      </c>
      <c r="F1733" s="336">
        <v>43652</v>
      </c>
      <c r="G1733" s="336">
        <v>43668</v>
      </c>
      <c r="H1733" s="334" t="s">
        <v>4839</v>
      </c>
      <c r="I1733" s="356">
        <v>13917673523</v>
      </c>
      <c r="J1733" s="361" t="s">
        <v>4840</v>
      </c>
      <c r="K1733" s="356">
        <v>2000</v>
      </c>
      <c r="L1733" s="334">
        <v>4025</v>
      </c>
      <c r="M1733" s="419"/>
      <c r="N1733" s="362">
        <f t="shared" si="52"/>
        <v>4025</v>
      </c>
      <c r="O1733" s="356"/>
      <c r="P1733" s="356"/>
      <c r="Q1733" s="356"/>
      <c r="R1733" s="356"/>
      <c r="S1733" s="356"/>
      <c r="T1733" s="356"/>
      <c r="U1733" s="372"/>
      <c r="V1733" s="372"/>
      <c r="W1733" s="372"/>
      <c r="X1733" s="373">
        <v>1</v>
      </c>
      <c r="Y1733" s="348"/>
      <c r="Z1733" s="348"/>
      <c r="AA1733" s="348"/>
    </row>
    <row r="1734" s="331" customFormat="1" ht="17" customHeight="1" spans="1:27">
      <c r="A1734" s="550" t="s">
        <v>930</v>
      </c>
      <c r="B1734" s="348" t="s">
        <v>405</v>
      </c>
      <c r="C1734" s="348" t="s">
        <v>1234</v>
      </c>
      <c r="D1734" s="349" t="s">
        <v>407</v>
      </c>
      <c r="E1734" s="336">
        <v>43654</v>
      </c>
      <c r="F1734" s="336">
        <v>43654</v>
      </c>
      <c r="G1734" s="336">
        <v>43677</v>
      </c>
      <c r="H1734" s="334" t="s">
        <v>4841</v>
      </c>
      <c r="I1734" s="356">
        <v>13817133841</v>
      </c>
      <c r="J1734" s="361" t="s">
        <v>4842</v>
      </c>
      <c r="K1734" s="356">
        <v>5000</v>
      </c>
      <c r="L1734" s="334">
        <v>42997</v>
      </c>
      <c r="M1734" s="419"/>
      <c r="N1734" s="362">
        <f t="shared" si="52"/>
        <v>42997</v>
      </c>
      <c r="O1734" s="356"/>
      <c r="P1734" s="356"/>
      <c r="Q1734" s="356"/>
      <c r="R1734" s="356" t="s">
        <v>52</v>
      </c>
      <c r="S1734" s="356"/>
      <c r="T1734" s="356"/>
      <c r="U1734" s="372"/>
      <c r="V1734" s="372"/>
      <c r="W1734" s="372"/>
      <c r="X1734" s="373"/>
      <c r="Y1734" s="348"/>
      <c r="Z1734" s="348"/>
      <c r="AA1734" s="348"/>
    </row>
    <row r="1735" s="331" customFormat="1" ht="17" customHeight="1" spans="1:27">
      <c r="A1735" s="550" t="s">
        <v>4843</v>
      </c>
      <c r="B1735" s="348" t="s">
        <v>405</v>
      </c>
      <c r="C1735" s="348" t="s">
        <v>1234</v>
      </c>
      <c r="D1735" s="349" t="s">
        <v>407</v>
      </c>
      <c r="E1735" s="336">
        <v>43654</v>
      </c>
      <c r="F1735" s="336">
        <v>43650</v>
      </c>
      <c r="G1735" s="336">
        <v>43666</v>
      </c>
      <c r="H1735" s="334" t="s">
        <v>4844</v>
      </c>
      <c r="I1735" s="356">
        <v>18601766786</v>
      </c>
      <c r="J1735" s="361" t="s">
        <v>4845</v>
      </c>
      <c r="K1735" s="356">
        <v>2000</v>
      </c>
      <c r="L1735" s="334">
        <v>12098</v>
      </c>
      <c r="M1735" s="419"/>
      <c r="N1735" s="362">
        <f t="shared" si="52"/>
        <v>12098</v>
      </c>
      <c r="O1735" s="356"/>
      <c r="P1735" s="356"/>
      <c r="Q1735" s="356"/>
      <c r="R1735" s="356"/>
      <c r="S1735" s="356"/>
      <c r="T1735" s="356"/>
      <c r="U1735" s="372"/>
      <c r="V1735" s="372"/>
      <c r="W1735" s="372"/>
      <c r="X1735" s="373"/>
      <c r="Y1735" s="348"/>
      <c r="Z1735" s="348"/>
      <c r="AA1735" s="348"/>
    </row>
    <row r="1736" s="331" customFormat="1" ht="17" customHeight="1" spans="1:27">
      <c r="A1736" s="550" t="s">
        <v>4846</v>
      </c>
      <c r="B1736" s="348" t="s">
        <v>123</v>
      </c>
      <c r="C1736" s="348" t="s">
        <v>2301</v>
      </c>
      <c r="D1736" s="349" t="s">
        <v>125</v>
      </c>
      <c r="E1736" s="336">
        <v>43654</v>
      </c>
      <c r="F1736" s="336">
        <v>43653</v>
      </c>
      <c r="G1736" s="336">
        <v>43673</v>
      </c>
      <c r="H1736" s="334" t="s">
        <v>4847</v>
      </c>
      <c r="I1736" s="356">
        <v>15890527875</v>
      </c>
      <c r="J1736" s="361" t="s">
        <v>4848</v>
      </c>
      <c r="K1736" s="356">
        <v>10000</v>
      </c>
      <c r="L1736" s="334">
        <v>16971</v>
      </c>
      <c r="M1736" s="419"/>
      <c r="N1736" s="362">
        <f t="shared" si="52"/>
        <v>16971</v>
      </c>
      <c r="O1736" s="356"/>
      <c r="P1736" s="356"/>
      <c r="Q1736" s="356"/>
      <c r="R1736" s="356"/>
      <c r="S1736" s="356"/>
      <c r="T1736" s="356"/>
      <c r="U1736" s="372"/>
      <c r="V1736" s="372"/>
      <c r="W1736" s="372"/>
      <c r="X1736" s="373"/>
      <c r="Y1736" s="348"/>
      <c r="Z1736" s="348"/>
      <c r="AA1736" s="348"/>
    </row>
    <row r="1737" s="331" customFormat="1" ht="17" customHeight="1" spans="1:27">
      <c r="A1737" s="550" t="s">
        <v>4849</v>
      </c>
      <c r="B1737" s="348" t="s">
        <v>405</v>
      </c>
      <c r="C1737" s="348" t="s">
        <v>1234</v>
      </c>
      <c r="D1737" s="349" t="s">
        <v>407</v>
      </c>
      <c r="E1737" s="336">
        <v>43654</v>
      </c>
      <c r="F1737" s="336">
        <v>43653</v>
      </c>
      <c r="G1737" s="350"/>
      <c r="H1737" s="334" t="s">
        <v>4850</v>
      </c>
      <c r="I1737" s="356">
        <v>13564623191</v>
      </c>
      <c r="J1737" s="361" t="s">
        <v>4851</v>
      </c>
      <c r="K1737" s="356">
        <v>1000</v>
      </c>
      <c r="L1737" s="419"/>
      <c r="M1737" s="419"/>
      <c r="N1737" s="362">
        <f t="shared" si="52"/>
        <v>0</v>
      </c>
      <c r="O1737" s="356"/>
      <c r="P1737" s="356"/>
      <c r="Q1737" s="356"/>
      <c r="R1737" s="356" t="s">
        <v>52</v>
      </c>
      <c r="S1737" s="356"/>
      <c r="T1737" s="356"/>
      <c r="U1737" s="372" t="s">
        <v>12</v>
      </c>
      <c r="V1737" s="372"/>
      <c r="W1737" s="372"/>
      <c r="X1737" s="373"/>
      <c r="Y1737" s="348"/>
      <c r="Z1737" s="348"/>
      <c r="AA1737" s="348"/>
    </row>
    <row r="1738" s="331" customFormat="1" ht="17" customHeight="1" spans="1:27">
      <c r="A1738" s="348">
        <v>2068678</v>
      </c>
      <c r="B1738" s="348" t="s">
        <v>137</v>
      </c>
      <c r="C1738" s="348" t="s">
        <v>411</v>
      </c>
      <c r="D1738" s="349" t="s">
        <v>427</v>
      </c>
      <c r="E1738" s="336">
        <v>43654</v>
      </c>
      <c r="F1738" s="336">
        <v>43653</v>
      </c>
      <c r="G1738" s="336">
        <v>43675</v>
      </c>
      <c r="H1738" s="334" t="s">
        <v>4852</v>
      </c>
      <c r="I1738" s="356">
        <v>18621910943</v>
      </c>
      <c r="J1738" s="361" t="s">
        <v>4853</v>
      </c>
      <c r="K1738" s="356">
        <v>1000</v>
      </c>
      <c r="L1738" s="334">
        <v>7460</v>
      </c>
      <c r="M1738" s="334"/>
      <c r="N1738" s="362">
        <f t="shared" si="52"/>
        <v>7460</v>
      </c>
      <c r="O1738" s="356"/>
      <c r="P1738" s="356"/>
      <c r="Q1738" s="356">
        <v>1</v>
      </c>
      <c r="R1738" s="356"/>
      <c r="S1738" s="356"/>
      <c r="T1738" s="356"/>
      <c r="U1738" s="372"/>
      <c r="V1738" s="372"/>
      <c r="W1738" s="372"/>
      <c r="X1738" s="373"/>
      <c r="Y1738" s="348"/>
      <c r="Z1738" s="348"/>
      <c r="AA1738" s="348"/>
    </row>
    <row r="1739" s="331" customFormat="1" ht="17" customHeight="1" spans="1:27">
      <c r="A1739" s="550" t="s">
        <v>4854</v>
      </c>
      <c r="B1739" s="348" t="s">
        <v>205</v>
      </c>
      <c r="C1739" s="348" t="s">
        <v>1467</v>
      </c>
      <c r="D1739" s="349" t="s">
        <v>1170</v>
      </c>
      <c r="E1739" s="336">
        <v>43654</v>
      </c>
      <c r="F1739" s="336">
        <v>43654</v>
      </c>
      <c r="G1739" s="336">
        <v>43660</v>
      </c>
      <c r="H1739" s="334" t="s">
        <v>4855</v>
      </c>
      <c r="I1739" s="356">
        <v>18918863886</v>
      </c>
      <c r="J1739" s="361" t="s">
        <v>4856</v>
      </c>
      <c r="K1739" s="356">
        <v>1000</v>
      </c>
      <c r="L1739" s="334">
        <v>10000</v>
      </c>
      <c r="M1739" s="334"/>
      <c r="N1739" s="362">
        <f t="shared" si="52"/>
        <v>10000</v>
      </c>
      <c r="O1739" s="356"/>
      <c r="P1739" s="356"/>
      <c r="Q1739" s="356"/>
      <c r="R1739" s="356"/>
      <c r="S1739" s="356"/>
      <c r="T1739" s="356"/>
      <c r="U1739" s="372"/>
      <c r="V1739" s="372"/>
      <c r="W1739" s="372"/>
      <c r="X1739" s="373"/>
      <c r="Y1739" s="348"/>
      <c r="Z1739" s="348"/>
      <c r="AA1739" s="348"/>
    </row>
    <row r="1740" s="331" customFormat="1" ht="17" customHeight="1" spans="1:27">
      <c r="A1740" s="550" t="s">
        <v>4857</v>
      </c>
      <c r="B1740" s="348" t="s">
        <v>315</v>
      </c>
      <c r="C1740" s="348" t="s">
        <v>181</v>
      </c>
      <c r="D1740" s="349" t="s">
        <v>89</v>
      </c>
      <c r="E1740" s="336">
        <v>43654</v>
      </c>
      <c r="F1740" s="336">
        <v>43654</v>
      </c>
      <c r="G1740" s="336">
        <v>43664</v>
      </c>
      <c r="H1740" s="334" t="s">
        <v>4858</v>
      </c>
      <c r="I1740" s="356">
        <v>13916345803</v>
      </c>
      <c r="J1740" s="361" t="s">
        <v>4859</v>
      </c>
      <c r="K1740" s="356">
        <v>1000</v>
      </c>
      <c r="L1740" s="334">
        <v>5110</v>
      </c>
      <c r="M1740" s="334">
        <v>1104</v>
      </c>
      <c r="N1740" s="362">
        <f t="shared" si="52"/>
        <v>6214</v>
      </c>
      <c r="O1740" s="356"/>
      <c r="P1740" s="356"/>
      <c r="Q1740" s="356"/>
      <c r="R1740" s="356"/>
      <c r="S1740" s="356"/>
      <c r="T1740" s="356"/>
      <c r="U1740" s="372"/>
      <c r="V1740" s="372"/>
      <c r="W1740" s="372"/>
      <c r="X1740" s="373"/>
      <c r="Y1740" s="348"/>
      <c r="Z1740" s="348"/>
      <c r="AA1740" s="348"/>
    </row>
    <row r="1741" s="331" customFormat="1" ht="17" customHeight="1" spans="1:27">
      <c r="A1741" s="348"/>
      <c r="B1741" s="348" t="s">
        <v>87</v>
      </c>
      <c r="C1741" s="348" t="s">
        <v>466</v>
      </c>
      <c r="D1741" s="349" t="s">
        <v>1170</v>
      </c>
      <c r="E1741" s="336">
        <v>43654</v>
      </c>
      <c r="F1741" s="336"/>
      <c r="G1741" s="336">
        <v>43653</v>
      </c>
      <c r="H1741" s="334" t="s">
        <v>4860</v>
      </c>
      <c r="I1741" s="356" t="s">
        <v>4861</v>
      </c>
      <c r="J1741" s="361" t="s">
        <v>4862</v>
      </c>
      <c r="K1741" s="356"/>
      <c r="L1741" s="334">
        <v>10462</v>
      </c>
      <c r="M1741" s="334"/>
      <c r="N1741" s="362">
        <f t="shared" si="52"/>
        <v>10462</v>
      </c>
      <c r="O1741" s="356"/>
      <c r="P1741" s="356"/>
      <c r="Q1741" s="356"/>
      <c r="R1741" s="356"/>
      <c r="S1741" s="356"/>
      <c r="T1741" s="356"/>
      <c r="U1741" s="372"/>
      <c r="V1741" s="372"/>
      <c r="W1741" s="372"/>
      <c r="X1741" s="373"/>
      <c r="Y1741" s="348"/>
      <c r="Z1741" s="348"/>
      <c r="AA1741" s="348"/>
    </row>
    <row r="1742" s="331" customFormat="1" ht="17" customHeight="1" spans="1:27">
      <c r="A1742" s="348"/>
      <c r="B1742" s="348" t="s">
        <v>31</v>
      </c>
      <c r="C1742" s="334" t="s">
        <v>251</v>
      </c>
      <c r="D1742" s="349" t="s">
        <v>89</v>
      </c>
      <c r="E1742" s="336">
        <v>43654</v>
      </c>
      <c r="F1742" s="336"/>
      <c r="G1742" s="336">
        <v>43653</v>
      </c>
      <c r="H1742" s="334" t="s">
        <v>4863</v>
      </c>
      <c r="I1742" s="356">
        <v>15721574537</v>
      </c>
      <c r="J1742" s="361" t="s">
        <v>4864</v>
      </c>
      <c r="K1742" s="356"/>
      <c r="L1742" s="334">
        <v>6127</v>
      </c>
      <c r="M1742" s="334">
        <f>368+368</f>
        <v>736</v>
      </c>
      <c r="N1742" s="362">
        <f t="shared" si="52"/>
        <v>6863</v>
      </c>
      <c r="O1742" s="356"/>
      <c r="P1742" s="356"/>
      <c r="Q1742" s="356"/>
      <c r="R1742" s="356"/>
      <c r="S1742" s="356"/>
      <c r="T1742" s="356"/>
      <c r="U1742" s="372"/>
      <c r="V1742" s="372"/>
      <c r="W1742" s="372"/>
      <c r="X1742" s="373"/>
      <c r="Y1742" s="348"/>
      <c r="Z1742" s="348"/>
      <c r="AA1742" s="348"/>
    </row>
    <row r="1743" s="331" customFormat="1" ht="17" customHeight="1" spans="1:27">
      <c r="A1743" s="550" t="s">
        <v>4865</v>
      </c>
      <c r="B1743" s="348" t="s">
        <v>354</v>
      </c>
      <c r="C1743" s="348" t="s">
        <v>1728</v>
      </c>
      <c r="D1743" s="349" t="s">
        <v>162</v>
      </c>
      <c r="E1743" s="336">
        <v>43655</v>
      </c>
      <c r="F1743" s="336">
        <v>43653</v>
      </c>
      <c r="G1743" s="336">
        <v>43673</v>
      </c>
      <c r="H1743" s="334" t="s">
        <v>4866</v>
      </c>
      <c r="I1743" s="356">
        <v>13901608305</v>
      </c>
      <c r="J1743" s="361" t="s">
        <v>4867</v>
      </c>
      <c r="K1743" s="356">
        <v>5000</v>
      </c>
      <c r="L1743" s="334">
        <v>21862</v>
      </c>
      <c r="M1743" s="419"/>
      <c r="N1743" s="362">
        <f t="shared" si="52"/>
        <v>21862</v>
      </c>
      <c r="O1743" s="356"/>
      <c r="P1743" s="356"/>
      <c r="Q1743" s="356"/>
      <c r="R1743" s="356"/>
      <c r="S1743" s="356"/>
      <c r="T1743" s="356"/>
      <c r="U1743" s="372"/>
      <c r="V1743" s="372"/>
      <c r="W1743" s="376" t="s">
        <v>4868</v>
      </c>
      <c r="X1743" s="384"/>
      <c r="Y1743" s="348"/>
      <c r="Z1743" s="348"/>
      <c r="AA1743" s="348"/>
    </row>
    <row r="1744" s="331" customFormat="1" ht="17" customHeight="1" spans="1:27">
      <c r="A1744" s="550" t="s">
        <v>4869</v>
      </c>
      <c r="B1744" s="348" t="s">
        <v>726</v>
      </c>
      <c r="C1744" s="348" t="s">
        <v>727</v>
      </c>
      <c r="D1744" s="349" t="s">
        <v>1170</v>
      </c>
      <c r="E1744" s="336">
        <v>43655</v>
      </c>
      <c r="F1744" s="336">
        <v>43653</v>
      </c>
      <c r="G1744" s="336">
        <v>43677</v>
      </c>
      <c r="H1744" s="334" t="s">
        <v>4870</v>
      </c>
      <c r="I1744" s="356">
        <v>18621380306</v>
      </c>
      <c r="J1744" s="361" t="s">
        <v>4871</v>
      </c>
      <c r="K1744" s="356">
        <v>1000</v>
      </c>
      <c r="L1744" s="334">
        <v>17941</v>
      </c>
      <c r="M1744" s="419"/>
      <c r="N1744" s="362">
        <f t="shared" si="52"/>
        <v>17941</v>
      </c>
      <c r="O1744" s="356"/>
      <c r="P1744" s="356"/>
      <c r="Q1744" s="356"/>
      <c r="R1744" s="356"/>
      <c r="S1744" s="356"/>
      <c r="T1744" s="356"/>
      <c r="U1744" s="372"/>
      <c r="V1744" s="372"/>
      <c r="W1744" s="372" t="s">
        <v>1472</v>
      </c>
      <c r="X1744" s="373"/>
      <c r="Y1744" s="348"/>
      <c r="Z1744" s="348"/>
      <c r="AA1744" s="348"/>
    </row>
    <row r="1745" s="331" customFormat="1" ht="17" customHeight="1" spans="1:27">
      <c r="A1745" s="550" t="s">
        <v>4872</v>
      </c>
      <c r="B1745" s="348" t="s">
        <v>315</v>
      </c>
      <c r="C1745" s="348" t="s">
        <v>181</v>
      </c>
      <c r="D1745" s="334" t="s">
        <v>162</v>
      </c>
      <c r="E1745" s="336">
        <v>43708</v>
      </c>
      <c r="F1745" s="336">
        <v>43654</v>
      </c>
      <c r="G1745" s="336">
        <v>43708</v>
      </c>
      <c r="H1745" s="334" t="s">
        <v>4873</v>
      </c>
      <c r="I1745" s="356">
        <v>15921007887</v>
      </c>
      <c r="J1745" s="361" t="s">
        <v>4874</v>
      </c>
      <c r="K1745" s="356">
        <v>1000</v>
      </c>
      <c r="L1745" s="334">
        <v>12266</v>
      </c>
      <c r="M1745" s="419"/>
      <c r="N1745" s="362">
        <f t="shared" si="52"/>
        <v>12266</v>
      </c>
      <c r="O1745" s="356"/>
      <c r="P1745" s="356">
        <v>1</v>
      </c>
      <c r="Q1745" s="356"/>
      <c r="R1745" s="356"/>
      <c r="S1745" s="356"/>
      <c r="T1745" s="356"/>
      <c r="U1745" s="372"/>
      <c r="V1745" s="372"/>
      <c r="W1745" s="372"/>
      <c r="X1745" s="373"/>
      <c r="Y1745" s="348"/>
      <c r="Z1745" s="348"/>
      <c r="AA1745" s="348"/>
    </row>
    <row r="1746" s="331" customFormat="1" ht="17" customHeight="1" spans="1:27">
      <c r="A1746" s="550" t="s">
        <v>4875</v>
      </c>
      <c r="B1746" s="348" t="s">
        <v>726</v>
      </c>
      <c r="C1746" s="348" t="s">
        <v>727</v>
      </c>
      <c r="D1746" s="349" t="s">
        <v>271</v>
      </c>
      <c r="E1746" s="336">
        <v>43655</v>
      </c>
      <c r="F1746" s="336">
        <v>43653</v>
      </c>
      <c r="G1746" s="336">
        <v>43674</v>
      </c>
      <c r="H1746" s="334" t="s">
        <v>4876</v>
      </c>
      <c r="I1746" s="356">
        <v>18017587289</v>
      </c>
      <c r="J1746" s="361" t="s">
        <v>4877</v>
      </c>
      <c r="K1746" s="356">
        <v>30650</v>
      </c>
      <c r="L1746" s="334">
        <v>30650</v>
      </c>
      <c r="M1746" s="419"/>
      <c r="N1746" s="362">
        <f t="shared" si="52"/>
        <v>30650</v>
      </c>
      <c r="O1746" s="356"/>
      <c r="P1746" s="356"/>
      <c r="Q1746" s="356"/>
      <c r="R1746" s="356" t="s">
        <v>22</v>
      </c>
      <c r="S1746" s="356"/>
      <c r="T1746" s="356"/>
      <c r="U1746" s="372"/>
      <c r="V1746" s="372"/>
      <c r="W1746" s="372"/>
      <c r="X1746" s="373"/>
      <c r="Y1746" s="348"/>
      <c r="Z1746" s="348"/>
      <c r="AA1746" s="348"/>
    </row>
    <row r="1747" s="331" customFormat="1" ht="17" customHeight="1" spans="1:27">
      <c r="A1747" s="550" t="s">
        <v>4878</v>
      </c>
      <c r="B1747" s="348" t="s">
        <v>137</v>
      </c>
      <c r="C1747" s="348" t="s">
        <v>406</v>
      </c>
      <c r="D1747" s="349" t="s">
        <v>635</v>
      </c>
      <c r="E1747" s="336">
        <v>43690</v>
      </c>
      <c r="F1747" s="336">
        <v>43655</v>
      </c>
      <c r="G1747" s="336">
        <v>43688</v>
      </c>
      <c r="H1747" s="334" t="s">
        <v>3579</v>
      </c>
      <c r="I1747" s="356">
        <v>13918173590</v>
      </c>
      <c r="J1747" s="361" t="s">
        <v>4879</v>
      </c>
      <c r="K1747" s="356">
        <v>2167</v>
      </c>
      <c r="L1747" s="334">
        <v>9086</v>
      </c>
      <c r="M1747" s="419"/>
      <c r="N1747" s="362">
        <f t="shared" si="52"/>
        <v>9086</v>
      </c>
      <c r="O1747" s="356"/>
      <c r="P1747" s="356"/>
      <c r="Q1747" s="356"/>
      <c r="R1747" s="356">
        <v>1</v>
      </c>
      <c r="S1747" s="356"/>
      <c r="T1747" s="356"/>
      <c r="U1747" s="372"/>
      <c r="V1747" s="372"/>
      <c r="W1747" s="372"/>
      <c r="X1747" s="373"/>
      <c r="Y1747" s="348"/>
      <c r="Z1747" s="348"/>
      <c r="AA1747" s="348"/>
    </row>
    <row r="1748" s="331" customFormat="1" ht="17" customHeight="1" spans="1:27">
      <c r="A1748" s="550" t="s">
        <v>4880</v>
      </c>
      <c r="B1748" s="348" t="s">
        <v>58</v>
      </c>
      <c r="C1748" s="348" t="s">
        <v>794</v>
      </c>
      <c r="D1748" s="349" t="s">
        <v>110</v>
      </c>
      <c r="E1748" s="336">
        <v>43655</v>
      </c>
      <c r="F1748" s="336">
        <v>43653</v>
      </c>
      <c r="G1748" s="336">
        <v>43659</v>
      </c>
      <c r="H1748" s="334" t="s">
        <v>4881</v>
      </c>
      <c r="I1748" s="356" t="s">
        <v>4882</v>
      </c>
      <c r="J1748" s="361" t="s">
        <v>4883</v>
      </c>
      <c r="K1748" s="356">
        <v>6000</v>
      </c>
      <c r="L1748" s="334">
        <f>1980</f>
        <v>1980</v>
      </c>
      <c r="M1748" s="334">
        <f>368</f>
        <v>368</v>
      </c>
      <c r="N1748" s="362">
        <f t="shared" si="52"/>
        <v>2348</v>
      </c>
      <c r="O1748" s="356"/>
      <c r="P1748" s="356"/>
      <c r="Q1748" s="356"/>
      <c r="R1748" s="356"/>
      <c r="S1748" s="356"/>
      <c r="T1748" s="356"/>
      <c r="U1748" s="372"/>
      <c r="V1748" s="372"/>
      <c r="W1748" s="372"/>
      <c r="X1748" s="373"/>
      <c r="Y1748" s="348"/>
      <c r="Z1748" s="348"/>
      <c r="AA1748" s="348"/>
    </row>
    <row r="1749" s="331" customFormat="1" ht="17" customHeight="1" spans="1:27">
      <c r="A1749" s="348"/>
      <c r="B1749" s="348" t="s">
        <v>315</v>
      </c>
      <c r="C1749" s="348" t="s">
        <v>181</v>
      </c>
      <c r="D1749" s="349" t="s">
        <v>182</v>
      </c>
      <c r="E1749" s="336">
        <v>43655</v>
      </c>
      <c r="F1749" s="336">
        <v>43655</v>
      </c>
      <c r="G1749" s="336">
        <v>43673</v>
      </c>
      <c r="H1749" s="334" t="s">
        <v>4884</v>
      </c>
      <c r="I1749" s="356">
        <v>13764882180</v>
      </c>
      <c r="J1749" s="361" t="s">
        <v>4885</v>
      </c>
      <c r="K1749" s="356">
        <v>1000</v>
      </c>
      <c r="L1749" s="334">
        <v>7249</v>
      </c>
      <c r="M1749" s="419"/>
      <c r="N1749" s="362">
        <f t="shared" si="52"/>
        <v>7249</v>
      </c>
      <c r="O1749" s="356"/>
      <c r="P1749" s="356"/>
      <c r="Q1749" s="356"/>
      <c r="R1749" s="356"/>
      <c r="S1749" s="356">
        <v>1</v>
      </c>
      <c r="T1749" s="356"/>
      <c r="U1749" s="372"/>
      <c r="V1749" s="372"/>
      <c r="W1749" s="372"/>
      <c r="X1749" s="373"/>
      <c r="Y1749" s="348"/>
      <c r="Z1749" s="348"/>
      <c r="AA1749" s="348"/>
    </row>
    <row r="1750" s="331" customFormat="1" ht="17" customHeight="1" spans="1:27">
      <c r="A1750" s="550" t="s">
        <v>4886</v>
      </c>
      <c r="B1750" s="348" t="s">
        <v>281</v>
      </c>
      <c r="C1750" s="348" t="s">
        <v>587</v>
      </c>
      <c r="D1750" s="349" t="s">
        <v>518</v>
      </c>
      <c r="E1750" s="336">
        <v>43655</v>
      </c>
      <c r="F1750" s="336">
        <v>43655</v>
      </c>
      <c r="G1750" s="350">
        <v>43655</v>
      </c>
      <c r="H1750" s="334" t="s">
        <v>4887</v>
      </c>
      <c r="I1750" s="356">
        <v>13482789088</v>
      </c>
      <c r="J1750" s="361" t="s">
        <v>4888</v>
      </c>
      <c r="K1750" s="356">
        <v>5000</v>
      </c>
      <c r="L1750" s="334">
        <v>12596</v>
      </c>
      <c r="M1750" s="334">
        <v>1104</v>
      </c>
      <c r="N1750" s="362">
        <f t="shared" si="52"/>
        <v>13700</v>
      </c>
      <c r="O1750" s="356"/>
      <c r="P1750" s="356"/>
      <c r="Q1750" s="356"/>
      <c r="R1750" s="356"/>
      <c r="S1750" s="356"/>
      <c r="T1750" s="356"/>
      <c r="U1750" s="372"/>
      <c r="V1750" s="372"/>
      <c r="W1750" s="372"/>
      <c r="X1750" s="373"/>
      <c r="Y1750" s="348"/>
      <c r="Z1750" s="348"/>
      <c r="AA1750" s="348"/>
    </row>
    <row r="1751" s="331" customFormat="1" ht="17" customHeight="1" spans="1:27">
      <c r="A1751" s="348">
        <v>2067485</v>
      </c>
      <c r="B1751" s="348" t="s">
        <v>137</v>
      </c>
      <c r="C1751" s="348" t="s">
        <v>480</v>
      </c>
      <c r="D1751" s="349" t="s">
        <v>139</v>
      </c>
      <c r="E1751" s="336">
        <v>43655</v>
      </c>
      <c r="F1751" s="336">
        <v>43655</v>
      </c>
      <c r="G1751" s="336">
        <v>43657</v>
      </c>
      <c r="H1751" s="334" t="s">
        <v>4889</v>
      </c>
      <c r="I1751" s="356">
        <v>13701632601</v>
      </c>
      <c r="J1751" s="361" t="s">
        <v>4890</v>
      </c>
      <c r="K1751" s="356">
        <v>4800</v>
      </c>
      <c r="L1751" s="334">
        <v>4064</v>
      </c>
      <c r="M1751" s="334">
        <f>368+368</f>
        <v>736</v>
      </c>
      <c r="N1751" s="362">
        <f t="shared" ref="N1751:N1782" si="53">L1751+M1751</f>
        <v>4800</v>
      </c>
      <c r="O1751" s="356"/>
      <c r="P1751" s="356"/>
      <c r="Q1751" s="356"/>
      <c r="R1751" s="356"/>
      <c r="S1751" s="356"/>
      <c r="T1751" s="356"/>
      <c r="U1751" s="372"/>
      <c r="V1751" s="372"/>
      <c r="W1751" s="372"/>
      <c r="X1751" s="373"/>
      <c r="Y1751" s="348"/>
      <c r="Z1751" s="348"/>
      <c r="AA1751" s="348"/>
    </row>
    <row r="1752" s="331" customFormat="1" ht="17" customHeight="1" spans="1:27">
      <c r="A1752" s="550" t="s">
        <v>4891</v>
      </c>
      <c r="B1752" s="348" t="s">
        <v>73</v>
      </c>
      <c r="C1752" s="348" t="s">
        <v>74</v>
      </c>
      <c r="D1752" s="349" t="s">
        <v>187</v>
      </c>
      <c r="E1752" s="336">
        <v>43655</v>
      </c>
      <c r="F1752" s="336">
        <v>43655</v>
      </c>
      <c r="G1752" s="336">
        <v>43676</v>
      </c>
      <c r="H1752" s="334" t="s">
        <v>4892</v>
      </c>
      <c r="I1752" s="356">
        <v>18069116837</v>
      </c>
      <c r="J1752" s="361" t="s">
        <v>4893</v>
      </c>
      <c r="K1752" s="356">
        <v>1000</v>
      </c>
      <c r="L1752" s="334">
        <v>13699</v>
      </c>
      <c r="M1752" s="419"/>
      <c r="N1752" s="362">
        <f t="shared" si="53"/>
        <v>13699</v>
      </c>
      <c r="O1752" s="366" t="s">
        <v>52</v>
      </c>
      <c r="P1752" s="356"/>
      <c r="Q1752" s="356"/>
      <c r="R1752" s="356"/>
      <c r="S1752" s="356"/>
      <c r="T1752" s="356"/>
      <c r="U1752" s="372"/>
      <c r="V1752" s="372"/>
      <c r="W1752" s="372"/>
      <c r="X1752" s="373"/>
      <c r="Y1752" s="348"/>
      <c r="Z1752" s="348"/>
      <c r="AA1752" s="348"/>
    </row>
    <row r="1753" s="331" customFormat="1" ht="17" customHeight="1" spans="1:27">
      <c r="A1753" s="348"/>
      <c r="B1753" s="348" t="s">
        <v>147</v>
      </c>
      <c r="C1753" s="348" t="s">
        <v>148</v>
      </c>
      <c r="D1753" s="352" t="s">
        <v>149</v>
      </c>
      <c r="E1753" s="336">
        <v>43655</v>
      </c>
      <c r="F1753" s="336"/>
      <c r="G1753" s="336">
        <v>43653</v>
      </c>
      <c r="H1753" s="269" t="s">
        <v>4894</v>
      </c>
      <c r="I1753" s="356">
        <v>15021000248</v>
      </c>
      <c r="J1753" s="361" t="s">
        <v>4895</v>
      </c>
      <c r="K1753" s="356"/>
      <c r="L1753" s="334">
        <v>42497</v>
      </c>
      <c r="M1753" s="334"/>
      <c r="N1753" s="362">
        <f t="shared" si="53"/>
        <v>42497</v>
      </c>
      <c r="O1753" s="356"/>
      <c r="P1753" s="356"/>
      <c r="Q1753" s="356"/>
      <c r="R1753" s="356"/>
      <c r="S1753" s="356"/>
      <c r="T1753" s="356"/>
      <c r="U1753" s="372"/>
      <c r="V1753" s="372"/>
      <c r="W1753" s="372"/>
      <c r="X1753" s="373"/>
      <c r="Y1753" s="348"/>
      <c r="Z1753" s="348"/>
      <c r="AA1753" s="348"/>
    </row>
    <row r="1754" s="331" customFormat="1" ht="17" customHeight="1" spans="1:27">
      <c r="A1754" s="348"/>
      <c r="B1754" s="348" t="s">
        <v>185</v>
      </c>
      <c r="C1754" s="348" t="s">
        <v>886</v>
      </c>
      <c r="D1754" s="349" t="s">
        <v>44</v>
      </c>
      <c r="E1754" s="336">
        <v>43655</v>
      </c>
      <c r="F1754" s="336"/>
      <c r="G1754" s="336">
        <v>43653</v>
      </c>
      <c r="H1754" s="334" t="s">
        <v>4896</v>
      </c>
      <c r="I1754" s="356">
        <v>13012870088</v>
      </c>
      <c r="J1754" s="361" t="s">
        <v>4897</v>
      </c>
      <c r="K1754" s="356"/>
      <c r="L1754" s="334">
        <v>5500</v>
      </c>
      <c r="M1754" s="334"/>
      <c r="N1754" s="362">
        <f t="shared" si="53"/>
        <v>5500</v>
      </c>
      <c r="O1754" s="356"/>
      <c r="P1754" s="356"/>
      <c r="Q1754" s="356"/>
      <c r="R1754" s="356"/>
      <c r="S1754" s="356"/>
      <c r="T1754" s="356"/>
      <c r="U1754" s="372"/>
      <c r="V1754" s="372"/>
      <c r="W1754" s="372"/>
      <c r="X1754" s="373"/>
      <c r="Y1754" s="348"/>
      <c r="Z1754" s="348"/>
      <c r="AA1754" s="348"/>
    </row>
    <row r="1755" s="331" customFormat="1" ht="17" customHeight="1" spans="1:27">
      <c r="A1755" s="550" t="s">
        <v>4898</v>
      </c>
      <c r="B1755" s="348" t="s">
        <v>185</v>
      </c>
      <c r="C1755" s="348" t="s">
        <v>886</v>
      </c>
      <c r="D1755" s="349" t="s">
        <v>187</v>
      </c>
      <c r="E1755" s="336">
        <v>43656</v>
      </c>
      <c r="F1755" s="336">
        <v>43648</v>
      </c>
      <c r="G1755" s="350">
        <v>43656</v>
      </c>
      <c r="H1755" s="334" t="s">
        <v>4899</v>
      </c>
      <c r="I1755" s="356">
        <v>13611704400</v>
      </c>
      <c r="J1755" s="361" t="s">
        <v>4900</v>
      </c>
      <c r="K1755" s="356">
        <v>500</v>
      </c>
      <c r="L1755" s="334">
        <v>20677</v>
      </c>
      <c r="M1755" s="334"/>
      <c r="N1755" s="362">
        <f t="shared" si="53"/>
        <v>20677</v>
      </c>
      <c r="O1755" s="356"/>
      <c r="P1755" s="356"/>
      <c r="Q1755" s="356"/>
      <c r="R1755" s="356"/>
      <c r="S1755" s="356"/>
      <c r="T1755" s="356"/>
      <c r="U1755" s="372"/>
      <c r="V1755" s="372"/>
      <c r="W1755" s="372"/>
      <c r="X1755" s="373"/>
      <c r="Y1755" s="348"/>
      <c r="Z1755" s="348"/>
      <c r="AA1755" s="348"/>
    </row>
    <row r="1756" s="331" customFormat="1" ht="17" customHeight="1" spans="1:27">
      <c r="A1756" s="348">
        <v>2068668</v>
      </c>
      <c r="B1756" s="348" t="s">
        <v>405</v>
      </c>
      <c r="C1756" s="348" t="s">
        <v>823</v>
      </c>
      <c r="D1756" s="349" t="s">
        <v>407</v>
      </c>
      <c r="E1756" s="336">
        <v>43656</v>
      </c>
      <c r="F1756" s="336">
        <v>43649</v>
      </c>
      <c r="G1756" s="350">
        <v>43656</v>
      </c>
      <c r="H1756" s="334" t="s">
        <v>4901</v>
      </c>
      <c r="I1756" s="356">
        <v>13564187652</v>
      </c>
      <c r="J1756" s="361" t="s">
        <v>4902</v>
      </c>
      <c r="K1756" s="356">
        <v>500</v>
      </c>
      <c r="L1756" s="334">
        <v>25614</v>
      </c>
      <c r="M1756" s="334">
        <v>1140</v>
      </c>
      <c r="N1756" s="362">
        <f t="shared" si="53"/>
        <v>26754</v>
      </c>
      <c r="O1756" s="356"/>
      <c r="P1756" s="356"/>
      <c r="Q1756" s="356"/>
      <c r="R1756" s="356"/>
      <c r="S1756" s="356"/>
      <c r="T1756" s="356"/>
      <c r="U1756" s="372"/>
      <c r="V1756" s="372"/>
      <c r="W1756" s="372"/>
      <c r="X1756" s="373"/>
      <c r="Y1756" s="348"/>
      <c r="Z1756" s="348"/>
      <c r="AA1756" s="348"/>
    </row>
    <row r="1757" s="331" customFormat="1" ht="17" customHeight="1" spans="1:27">
      <c r="A1757" s="550" t="s">
        <v>4903</v>
      </c>
      <c r="B1757" s="348" t="s">
        <v>47</v>
      </c>
      <c r="C1757" s="348" t="s">
        <v>53</v>
      </c>
      <c r="D1757" s="352" t="s">
        <v>49</v>
      </c>
      <c r="E1757" s="336">
        <v>43694</v>
      </c>
      <c r="F1757" s="336">
        <v>43654</v>
      </c>
      <c r="G1757" s="336">
        <v>43694</v>
      </c>
      <c r="H1757" s="334" t="s">
        <v>4904</v>
      </c>
      <c r="I1757" s="356">
        <v>13585666696</v>
      </c>
      <c r="J1757" s="361" t="s">
        <v>4905</v>
      </c>
      <c r="K1757" s="356">
        <v>1000</v>
      </c>
      <c r="L1757" s="334">
        <f>12632-3758</f>
        <v>8874</v>
      </c>
      <c r="M1757" s="334">
        <v>3758</v>
      </c>
      <c r="N1757" s="362">
        <f t="shared" si="53"/>
        <v>12632</v>
      </c>
      <c r="O1757" s="356"/>
      <c r="P1757" s="356"/>
      <c r="Q1757" s="356" t="s">
        <v>52</v>
      </c>
      <c r="R1757" s="356"/>
      <c r="S1757" s="356"/>
      <c r="T1757" s="356"/>
      <c r="U1757" s="372"/>
      <c r="V1757" s="372"/>
      <c r="W1757" s="372"/>
      <c r="X1757" s="373"/>
      <c r="Y1757" s="348"/>
      <c r="Z1757" s="348"/>
      <c r="AA1757" s="348"/>
    </row>
    <row r="1758" s="331" customFormat="1" ht="17" customHeight="1" spans="1:27">
      <c r="A1758" s="348">
        <v>2068061</v>
      </c>
      <c r="B1758" s="348" t="s">
        <v>87</v>
      </c>
      <c r="C1758" s="348" t="s">
        <v>466</v>
      </c>
      <c r="D1758" s="349" t="s">
        <v>89</v>
      </c>
      <c r="E1758" s="336">
        <v>43656</v>
      </c>
      <c r="F1758" s="336">
        <v>43655</v>
      </c>
      <c r="G1758" s="336">
        <v>43667</v>
      </c>
      <c r="H1758" s="334" t="s">
        <v>4906</v>
      </c>
      <c r="I1758" s="356">
        <v>18930855872</v>
      </c>
      <c r="J1758" s="361" t="s">
        <v>4907</v>
      </c>
      <c r="K1758" s="356">
        <v>3000</v>
      </c>
      <c r="L1758" s="334">
        <v>12999</v>
      </c>
      <c r="M1758" s="419"/>
      <c r="N1758" s="362">
        <f t="shared" si="53"/>
        <v>12999</v>
      </c>
      <c r="O1758" s="356"/>
      <c r="P1758" s="356"/>
      <c r="Q1758" s="356"/>
      <c r="R1758" s="356"/>
      <c r="S1758" s="356"/>
      <c r="T1758" s="356"/>
      <c r="U1758" s="372"/>
      <c r="V1758" s="372"/>
      <c r="W1758" s="372"/>
      <c r="X1758" s="373"/>
      <c r="Y1758" s="348"/>
      <c r="Z1758" s="348"/>
      <c r="AA1758" s="348"/>
    </row>
    <row r="1759" s="331" customFormat="1" ht="17" customHeight="1" spans="1:27">
      <c r="A1759" s="550" t="s">
        <v>4908</v>
      </c>
      <c r="B1759" s="348" t="s">
        <v>281</v>
      </c>
      <c r="C1759" s="348" t="s">
        <v>4909</v>
      </c>
      <c r="D1759" s="349" t="s">
        <v>518</v>
      </c>
      <c r="E1759" s="336">
        <v>43656</v>
      </c>
      <c r="F1759" s="336">
        <v>43655</v>
      </c>
      <c r="G1759" s="336">
        <v>43665</v>
      </c>
      <c r="H1759" s="334" t="s">
        <v>4910</v>
      </c>
      <c r="I1759" s="356">
        <v>13757915363</v>
      </c>
      <c r="J1759" s="361" t="s">
        <v>4911</v>
      </c>
      <c r="K1759" s="356">
        <v>3000</v>
      </c>
      <c r="L1759" s="334">
        <v>34000</v>
      </c>
      <c r="M1759" s="419"/>
      <c r="N1759" s="362">
        <f t="shared" si="53"/>
        <v>34000</v>
      </c>
      <c r="O1759" s="356"/>
      <c r="P1759" s="356"/>
      <c r="Q1759" s="356"/>
      <c r="R1759" s="356"/>
      <c r="S1759" s="356"/>
      <c r="T1759" s="356"/>
      <c r="U1759" s="372"/>
      <c r="V1759" s="372"/>
      <c r="W1759" s="372"/>
      <c r="X1759" s="373"/>
      <c r="Y1759" s="348"/>
      <c r="Z1759" s="348"/>
      <c r="AA1759" s="348"/>
    </row>
    <row r="1760" s="331" customFormat="1" ht="17" customHeight="1" spans="1:27">
      <c r="A1760" s="550" t="s">
        <v>4912</v>
      </c>
      <c r="B1760" s="348" t="s">
        <v>169</v>
      </c>
      <c r="C1760" s="348" t="s">
        <v>634</v>
      </c>
      <c r="D1760" s="349" t="s">
        <v>635</v>
      </c>
      <c r="E1760" s="336">
        <v>43656</v>
      </c>
      <c r="F1760" s="336">
        <v>43656</v>
      </c>
      <c r="G1760" s="336">
        <v>43676</v>
      </c>
      <c r="H1760" s="334" t="s">
        <v>4913</v>
      </c>
      <c r="I1760" s="356">
        <v>18801798867</v>
      </c>
      <c r="J1760" s="361" t="s">
        <v>4914</v>
      </c>
      <c r="K1760" s="356">
        <v>1000</v>
      </c>
      <c r="L1760" s="334">
        <v>21322</v>
      </c>
      <c r="M1760" s="419"/>
      <c r="N1760" s="362">
        <f t="shared" si="53"/>
        <v>21322</v>
      </c>
      <c r="O1760" s="356"/>
      <c r="P1760" s="356"/>
      <c r="Q1760" s="356"/>
      <c r="R1760" s="356"/>
      <c r="S1760" s="356"/>
      <c r="T1760" s="356"/>
      <c r="U1760" s="372"/>
      <c r="V1760" s="372"/>
      <c r="W1760" s="372"/>
      <c r="X1760" s="373"/>
      <c r="Y1760" s="348"/>
      <c r="Z1760" s="348"/>
      <c r="AA1760" s="348"/>
    </row>
    <row r="1761" s="331" customFormat="1" ht="17" customHeight="1" spans="1:27">
      <c r="A1761" s="348">
        <v>2067486</v>
      </c>
      <c r="B1761" s="348" t="s">
        <v>137</v>
      </c>
      <c r="C1761" s="348" t="s">
        <v>480</v>
      </c>
      <c r="D1761" s="349" t="s">
        <v>139</v>
      </c>
      <c r="E1761" s="336">
        <v>43656</v>
      </c>
      <c r="F1761" s="336">
        <v>43655</v>
      </c>
      <c r="G1761" s="336">
        <v>43658</v>
      </c>
      <c r="H1761" s="334" t="s">
        <v>4915</v>
      </c>
      <c r="I1761" s="356">
        <v>13162781463</v>
      </c>
      <c r="J1761" s="361" t="s">
        <v>4916</v>
      </c>
      <c r="K1761" s="356">
        <v>2534</v>
      </c>
      <c r="L1761" s="334">
        <v>2999</v>
      </c>
      <c r="M1761" s="334"/>
      <c r="N1761" s="362">
        <f t="shared" si="53"/>
        <v>2999</v>
      </c>
      <c r="O1761" s="356"/>
      <c r="P1761" s="356"/>
      <c r="Q1761" s="356"/>
      <c r="R1761" s="356"/>
      <c r="S1761" s="356"/>
      <c r="T1761" s="356"/>
      <c r="U1761" s="372"/>
      <c r="V1761" s="372"/>
      <c r="W1761" s="372"/>
      <c r="X1761" s="373"/>
      <c r="Y1761" s="348"/>
      <c r="Z1761" s="348"/>
      <c r="AA1761" s="348"/>
    </row>
    <row r="1762" s="331" customFormat="1" ht="17" customHeight="1" spans="1:27">
      <c r="A1762" s="550" t="s">
        <v>4917</v>
      </c>
      <c r="B1762" s="348" t="s">
        <v>315</v>
      </c>
      <c r="C1762" s="348" t="s">
        <v>275</v>
      </c>
      <c r="D1762" s="349" t="s">
        <v>162</v>
      </c>
      <c r="E1762" s="336">
        <v>43724</v>
      </c>
      <c r="F1762" s="336">
        <v>43655</v>
      </c>
      <c r="G1762" s="336">
        <v>43723</v>
      </c>
      <c r="H1762" s="334" t="s">
        <v>4918</v>
      </c>
      <c r="I1762" s="356">
        <v>18818262963</v>
      </c>
      <c r="J1762" s="361" t="s">
        <v>4919</v>
      </c>
      <c r="K1762" s="356">
        <v>1000</v>
      </c>
      <c r="L1762" s="334">
        <f>4520-736</f>
        <v>3784</v>
      </c>
      <c r="M1762" s="334">
        <v>736</v>
      </c>
      <c r="N1762" s="362">
        <f t="shared" si="53"/>
        <v>4520</v>
      </c>
      <c r="O1762" s="356"/>
      <c r="P1762" s="356"/>
      <c r="Q1762" s="356"/>
      <c r="R1762" s="356">
        <v>1</v>
      </c>
      <c r="S1762" s="356"/>
      <c r="T1762" s="356"/>
      <c r="U1762" s="372"/>
      <c r="V1762" s="372"/>
      <c r="W1762" s="372"/>
      <c r="X1762" s="373"/>
      <c r="Y1762" s="348"/>
      <c r="Z1762" s="348"/>
      <c r="AA1762" s="348"/>
    </row>
    <row r="1763" s="331" customFormat="1" ht="17" customHeight="1" spans="1:27">
      <c r="A1763" s="348">
        <v>2068062</v>
      </c>
      <c r="B1763" s="348" t="s">
        <v>87</v>
      </c>
      <c r="C1763" s="348" t="s">
        <v>466</v>
      </c>
      <c r="D1763" s="349" t="s">
        <v>89</v>
      </c>
      <c r="E1763" s="336">
        <v>43656</v>
      </c>
      <c r="F1763" s="336">
        <v>43656</v>
      </c>
      <c r="G1763" s="336">
        <v>43661</v>
      </c>
      <c r="H1763" s="334" t="s">
        <v>4920</v>
      </c>
      <c r="I1763" s="356">
        <v>13764563161</v>
      </c>
      <c r="J1763" s="361" t="s">
        <v>4921</v>
      </c>
      <c r="K1763" s="356">
        <v>1799</v>
      </c>
      <c r="L1763" s="334">
        <v>2199</v>
      </c>
      <c r="M1763" s="334"/>
      <c r="N1763" s="362">
        <f t="shared" si="53"/>
        <v>2199</v>
      </c>
      <c r="O1763" s="356"/>
      <c r="P1763" s="356"/>
      <c r="Q1763" s="356"/>
      <c r="R1763" s="356"/>
      <c r="S1763" s="356"/>
      <c r="T1763" s="356"/>
      <c r="U1763" s="372"/>
      <c r="V1763" s="372"/>
      <c r="W1763" s="372"/>
      <c r="X1763" s="373"/>
      <c r="Y1763" s="348"/>
      <c r="Z1763" s="348"/>
      <c r="AA1763" s="348"/>
    </row>
    <row r="1764" s="331" customFormat="1" ht="17" customHeight="1" spans="1:27">
      <c r="A1764" s="550" t="s">
        <v>4922</v>
      </c>
      <c r="B1764" s="348" t="s">
        <v>315</v>
      </c>
      <c r="C1764" s="348" t="s">
        <v>230</v>
      </c>
      <c r="D1764" s="349" t="s">
        <v>182</v>
      </c>
      <c r="E1764" s="336">
        <v>43656</v>
      </c>
      <c r="F1764" s="336">
        <v>43648</v>
      </c>
      <c r="G1764" s="336">
        <v>43660</v>
      </c>
      <c r="H1764" s="334" t="s">
        <v>4923</v>
      </c>
      <c r="I1764" s="356">
        <v>13701666190</v>
      </c>
      <c r="J1764" s="361" t="s">
        <v>4924</v>
      </c>
      <c r="K1764" s="356">
        <v>1000</v>
      </c>
      <c r="L1764" s="334">
        <v>10167</v>
      </c>
      <c r="M1764" s="334"/>
      <c r="N1764" s="362">
        <f t="shared" si="53"/>
        <v>10167</v>
      </c>
      <c r="O1764" s="356"/>
      <c r="P1764" s="356"/>
      <c r="Q1764" s="356"/>
      <c r="R1764" s="356"/>
      <c r="S1764" s="356"/>
      <c r="T1764" s="356"/>
      <c r="U1764" s="372"/>
      <c r="V1764" s="372"/>
      <c r="W1764" s="372"/>
      <c r="X1764" s="373"/>
      <c r="Y1764" s="348"/>
      <c r="Z1764" s="348"/>
      <c r="AA1764" s="348"/>
    </row>
    <row r="1765" s="331" customFormat="1" ht="17" customHeight="1" spans="1:27">
      <c r="A1765" s="550" t="s">
        <v>4925</v>
      </c>
      <c r="B1765" s="348" t="s">
        <v>185</v>
      </c>
      <c r="C1765" s="348" t="s">
        <v>4146</v>
      </c>
      <c r="D1765" s="349" t="s">
        <v>187</v>
      </c>
      <c r="E1765" s="336">
        <v>43656</v>
      </c>
      <c r="F1765" s="336">
        <v>43656</v>
      </c>
      <c r="G1765" s="336">
        <v>43660</v>
      </c>
      <c r="H1765" s="334" t="s">
        <v>4926</v>
      </c>
      <c r="I1765" s="356">
        <v>13122449015</v>
      </c>
      <c r="J1765" s="361" t="s">
        <v>4927</v>
      </c>
      <c r="K1765" s="356">
        <v>1000</v>
      </c>
      <c r="L1765" s="334">
        <v>10000</v>
      </c>
      <c r="M1765" s="334"/>
      <c r="N1765" s="362">
        <f t="shared" si="53"/>
        <v>10000</v>
      </c>
      <c r="O1765" s="356"/>
      <c r="P1765" s="356"/>
      <c r="Q1765" s="356"/>
      <c r="R1765" s="356"/>
      <c r="S1765" s="356"/>
      <c r="T1765" s="356"/>
      <c r="U1765" s="372"/>
      <c r="V1765" s="372"/>
      <c r="W1765" s="372"/>
      <c r="X1765" s="373"/>
      <c r="Y1765" s="348"/>
      <c r="Z1765" s="348"/>
      <c r="AA1765" s="348"/>
    </row>
    <row r="1766" s="331" customFormat="1" ht="17" customHeight="1" spans="1:27">
      <c r="A1766" s="550" t="s">
        <v>1290</v>
      </c>
      <c r="B1766" s="348" t="s">
        <v>153</v>
      </c>
      <c r="C1766" s="348" t="s">
        <v>302</v>
      </c>
      <c r="D1766" s="349" t="s">
        <v>155</v>
      </c>
      <c r="E1766" s="336">
        <v>43656</v>
      </c>
      <c r="F1766" s="336">
        <v>43656</v>
      </c>
      <c r="G1766" s="336">
        <v>43658</v>
      </c>
      <c r="H1766" s="334" t="s">
        <v>4928</v>
      </c>
      <c r="I1766" s="356">
        <v>13310163378</v>
      </c>
      <c r="J1766" s="361" t="s">
        <v>4929</v>
      </c>
      <c r="K1766" s="356">
        <v>1000</v>
      </c>
      <c r="L1766" s="334">
        <v>24456</v>
      </c>
      <c r="M1766" s="334">
        <v>-703</v>
      </c>
      <c r="N1766" s="362">
        <f t="shared" si="53"/>
        <v>23753</v>
      </c>
      <c r="O1766" s="356"/>
      <c r="P1766" s="356"/>
      <c r="Q1766" s="356"/>
      <c r="R1766" s="356"/>
      <c r="S1766" s="356"/>
      <c r="T1766" s="356"/>
      <c r="U1766" s="372"/>
      <c r="V1766" s="372"/>
      <c r="W1766" s="372"/>
      <c r="X1766" s="373"/>
      <c r="Y1766" s="348"/>
      <c r="Z1766" s="348"/>
      <c r="AA1766" s="348"/>
    </row>
    <row r="1767" s="331" customFormat="1" ht="17" customHeight="1" spans="1:27">
      <c r="A1767" s="550" t="s">
        <v>4930</v>
      </c>
      <c r="B1767" s="348" t="s">
        <v>185</v>
      </c>
      <c r="C1767" s="348" t="s">
        <v>1620</v>
      </c>
      <c r="D1767" s="349" t="s">
        <v>187</v>
      </c>
      <c r="E1767" s="336">
        <v>43656</v>
      </c>
      <c r="F1767" s="336">
        <v>43656</v>
      </c>
      <c r="G1767" s="336">
        <v>43658</v>
      </c>
      <c r="H1767" s="334" t="s">
        <v>4931</v>
      </c>
      <c r="I1767" s="356">
        <v>15121099338</v>
      </c>
      <c r="J1767" s="361" t="s">
        <v>4932</v>
      </c>
      <c r="K1767" s="356">
        <v>1000</v>
      </c>
      <c r="L1767" s="334">
        <v>7718</v>
      </c>
      <c r="M1767" s="334"/>
      <c r="N1767" s="362">
        <f t="shared" si="53"/>
        <v>7718</v>
      </c>
      <c r="O1767" s="356"/>
      <c r="P1767" s="356"/>
      <c r="Q1767" s="356"/>
      <c r="R1767" s="356"/>
      <c r="S1767" s="356"/>
      <c r="T1767" s="356"/>
      <c r="U1767" s="372"/>
      <c r="V1767" s="372"/>
      <c r="W1767" s="372"/>
      <c r="X1767" s="373"/>
      <c r="Y1767" s="348"/>
      <c r="Z1767" s="348"/>
      <c r="AA1767" s="348"/>
    </row>
    <row r="1768" s="331" customFormat="1" ht="17" customHeight="1" spans="1:27">
      <c r="A1768" s="550" t="s">
        <v>4933</v>
      </c>
      <c r="B1768" s="348" t="s">
        <v>73</v>
      </c>
      <c r="C1768" s="348" t="s">
        <v>74</v>
      </c>
      <c r="D1768" s="349" t="s">
        <v>139</v>
      </c>
      <c r="E1768" s="336">
        <v>43656</v>
      </c>
      <c r="F1768" s="336">
        <v>43656</v>
      </c>
      <c r="G1768" s="350">
        <v>43656</v>
      </c>
      <c r="H1768" s="334" t="s">
        <v>773</v>
      </c>
      <c r="I1768" s="356">
        <v>18621586177</v>
      </c>
      <c r="J1768" s="361" t="s">
        <v>4934</v>
      </c>
      <c r="K1768" s="356">
        <v>10000</v>
      </c>
      <c r="L1768" s="334">
        <v>14925</v>
      </c>
      <c r="M1768" s="334"/>
      <c r="N1768" s="362">
        <f t="shared" si="53"/>
        <v>14925</v>
      </c>
      <c r="O1768" s="356"/>
      <c r="P1768" s="356"/>
      <c r="Q1768" s="356"/>
      <c r="R1768" s="356"/>
      <c r="S1768" s="356"/>
      <c r="T1768" s="356"/>
      <c r="U1768" s="372"/>
      <c r="V1768" s="372"/>
      <c r="W1768" s="372"/>
      <c r="X1768" s="373"/>
      <c r="Y1768" s="348"/>
      <c r="Z1768" s="348"/>
      <c r="AA1768" s="348"/>
    </row>
    <row r="1769" s="331" customFormat="1" ht="17" customHeight="1" spans="1:27">
      <c r="A1769" s="348"/>
      <c r="B1769" s="348" t="s">
        <v>805</v>
      </c>
      <c r="C1769" s="348" t="s">
        <v>4935</v>
      </c>
      <c r="D1769" s="349" t="s">
        <v>171</v>
      </c>
      <c r="E1769" s="336">
        <v>43656</v>
      </c>
      <c r="F1769" s="336">
        <v>43656</v>
      </c>
      <c r="G1769" s="336">
        <v>43667</v>
      </c>
      <c r="H1769" s="334" t="s">
        <v>4936</v>
      </c>
      <c r="I1769" s="356">
        <v>13301909331</v>
      </c>
      <c r="J1769" s="361" t="s">
        <v>4937</v>
      </c>
      <c r="K1769" s="356">
        <v>1000</v>
      </c>
      <c r="L1769" s="334">
        <v>15480</v>
      </c>
      <c r="M1769" s="334">
        <v>736</v>
      </c>
      <c r="N1769" s="362">
        <f t="shared" si="53"/>
        <v>16216</v>
      </c>
      <c r="O1769" s="356"/>
      <c r="P1769" s="356"/>
      <c r="Q1769" s="356"/>
      <c r="R1769" s="356"/>
      <c r="S1769" s="356"/>
      <c r="T1769" s="356"/>
      <c r="U1769" s="372"/>
      <c r="V1769" s="372"/>
      <c r="W1769" s="372"/>
      <c r="X1769" s="373"/>
      <c r="Y1769" s="348"/>
      <c r="Z1769" s="348"/>
      <c r="AA1769" s="348"/>
    </row>
    <row r="1770" s="331" customFormat="1" ht="17" customHeight="1" spans="1:27">
      <c r="A1770" s="550" t="s">
        <v>4938</v>
      </c>
      <c r="B1770" s="348" t="s">
        <v>66</v>
      </c>
      <c r="C1770" s="348" t="s">
        <v>67</v>
      </c>
      <c r="D1770" s="349" t="s">
        <v>68</v>
      </c>
      <c r="E1770" s="336">
        <v>43656</v>
      </c>
      <c r="F1770" s="336">
        <v>43656</v>
      </c>
      <c r="G1770" s="336">
        <v>43671</v>
      </c>
      <c r="H1770" s="334" t="s">
        <v>968</v>
      </c>
      <c r="I1770" s="356">
        <v>18033033585</v>
      </c>
      <c r="J1770" s="361" t="s">
        <v>4939</v>
      </c>
      <c r="K1770" s="356">
        <v>1000</v>
      </c>
      <c r="L1770" s="334">
        <v>4583</v>
      </c>
      <c r="M1770" s="334">
        <v>3452</v>
      </c>
      <c r="N1770" s="362">
        <f t="shared" si="53"/>
        <v>8035</v>
      </c>
      <c r="O1770" s="356"/>
      <c r="P1770" s="356"/>
      <c r="Q1770" s="356"/>
      <c r="R1770" s="356"/>
      <c r="S1770" s="356"/>
      <c r="T1770" s="356"/>
      <c r="U1770" s="372"/>
      <c r="V1770" s="372" t="s">
        <v>2327</v>
      </c>
      <c r="W1770" s="372"/>
      <c r="X1770" s="373"/>
      <c r="Y1770" s="348"/>
      <c r="Z1770" s="348"/>
      <c r="AA1770" s="348"/>
    </row>
    <row r="1771" s="331" customFormat="1" ht="17" customHeight="1" spans="1:27">
      <c r="A1771" s="348"/>
      <c r="B1771" s="348" t="s">
        <v>236</v>
      </c>
      <c r="C1771" s="334" t="s">
        <v>703</v>
      </c>
      <c r="D1771" s="349" t="s">
        <v>125</v>
      </c>
      <c r="E1771" s="336">
        <v>43656</v>
      </c>
      <c r="F1771" s="336"/>
      <c r="G1771" s="336">
        <v>43653</v>
      </c>
      <c r="H1771" s="334" t="s">
        <v>4940</v>
      </c>
      <c r="I1771" s="356">
        <v>13621638910</v>
      </c>
      <c r="J1771" s="361" t="s">
        <v>4941</v>
      </c>
      <c r="K1771" s="356"/>
      <c r="L1771" s="334">
        <v>28315</v>
      </c>
      <c r="M1771" s="334"/>
      <c r="N1771" s="362">
        <f t="shared" si="53"/>
        <v>28315</v>
      </c>
      <c r="O1771" s="356"/>
      <c r="P1771" s="356"/>
      <c r="Q1771" s="356"/>
      <c r="R1771" s="356"/>
      <c r="S1771" s="356"/>
      <c r="T1771" s="356"/>
      <c r="U1771" s="372"/>
      <c r="V1771" s="372"/>
      <c r="W1771" s="372"/>
      <c r="X1771" s="373"/>
      <c r="Y1771" s="348"/>
      <c r="Z1771" s="348"/>
      <c r="AA1771" s="348"/>
    </row>
    <row r="1772" s="331" customFormat="1" ht="17" customHeight="1" spans="1:27">
      <c r="A1772" s="550" t="s">
        <v>4942</v>
      </c>
      <c r="B1772" s="348" t="s">
        <v>31</v>
      </c>
      <c r="C1772" s="348" t="s">
        <v>220</v>
      </c>
      <c r="D1772" s="349" t="s">
        <v>33</v>
      </c>
      <c r="E1772" s="336">
        <v>43657</v>
      </c>
      <c r="F1772" s="336">
        <v>43647</v>
      </c>
      <c r="G1772" s="350">
        <v>43657</v>
      </c>
      <c r="H1772" s="334" t="s">
        <v>4943</v>
      </c>
      <c r="I1772" s="356">
        <v>13916922413</v>
      </c>
      <c r="J1772" s="361" t="s">
        <v>4944</v>
      </c>
      <c r="K1772" s="356">
        <v>1998</v>
      </c>
      <c r="L1772" s="334">
        <v>4067</v>
      </c>
      <c r="M1772" s="334"/>
      <c r="N1772" s="362">
        <f t="shared" si="53"/>
        <v>4067</v>
      </c>
      <c r="O1772" s="356"/>
      <c r="P1772" s="356"/>
      <c r="Q1772" s="356"/>
      <c r="R1772" s="356"/>
      <c r="S1772" s="356"/>
      <c r="T1772" s="356"/>
      <c r="U1772" s="372"/>
      <c r="V1772" s="372"/>
      <c r="W1772" s="372"/>
      <c r="X1772" s="373"/>
      <c r="Y1772" s="348"/>
      <c r="Z1772" s="348"/>
      <c r="AA1772" s="348"/>
    </row>
    <row r="1773" s="331" customFormat="1" ht="17" customHeight="1" spans="1:27">
      <c r="A1773" s="550" t="s">
        <v>4945</v>
      </c>
      <c r="B1773" s="348" t="s">
        <v>66</v>
      </c>
      <c r="C1773" s="348" t="s">
        <v>2389</v>
      </c>
      <c r="D1773" s="349" t="s">
        <v>68</v>
      </c>
      <c r="E1773" s="336">
        <v>43657</v>
      </c>
      <c r="F1773" s="336">
        <v>43648</v>
      </c>
      <c r="G1773" s="350">
        <v>43656</v>
      </c>
      <c r="H1773" s="334" t="s">
        <v>4946</v>
      </c>
      <c r="I1773" s="356">
        <v>18166573472</v>
      </c>
      <c r="J1773" s="361" t="s">
        <v>4947</v>
      </c>
      <c r="K1773" s="356">
        <v>500</v>
      </c>
      <c r="L1773" s="334">
        <v>26247</v>
      </c>
      <c r="M1773" s="334"/>
      <c r="N1773" s="362">
        <f t="shared" si="53"/>
        <v>26247</v>
      </c>
      <c r="O1773" s="356"/>
      <c r="P1773" s="356"/>
      <c r="Q1773" s="356"/>
      <c r="R1773" s="356"/>
      <c r="S1773" s="356"/>
      <c r="T1773" s="356"/>
      <c r="U1773" s="372"/>
      <c r="V1773" s="372"/>
      <c r="W1773" s="372"/>
      <c r="X1773" s="373"/>
      <c r="Y1773" s="348"/>
      <c r="Z1773" s="348"/>
      <c r="AA1773" s="348"/>
    </row>
    <row r="1774" s="331" customFormat="1" ht="17" customHeight="1" spans="1:27">
      <c r="A1774" s="348">
        <v>2066617</v>
      </c>
      <c r="B1774" s="348" t="s">
        <v>335</v>
      </c>
      <c r="C1774" s="348" t="s">
        <v>615</v>
      </c>
      <c r="D1774" s="349" t="s">
        <v>337</v>
      </c>
      <c r="E1774" s="336">
        <v>43657</v>
      </c>
      <c r="F1774" s="336">
        <v>43657</v>
      </c>
      <c r="G1774" s="336">
        <v>43677</v>
      </c>
      <c r="H1774" s="334" t="s">
        <v>4948</v>
      </c>
      <c r="I1774" s="356">
        <v>13671598255</v>
      </c>
      <c r="J1774" s="361" t="s">
        <v>4949</v>
      </c>
      <c r="K1774" s="356">
        <v>1000</v>
      </c>
      <c r="L1774" s="334">
        <v>6464</v>
      </c>
      <c r="M1774" s="334">
        <v>536</v>
      </c>
      <c r="N1774" s="362">
        <f t="shared" si="53"/>
        <v>7000</v>
      </c>
      <c r="O1774" s="356"/>
      <c r="P1774" s="356"/>
      <c r="Q1774" s="356"/>
      <c r="R1774" s="356"/>
      <c r="S1774" s="356"/>
      <c r="T1774" s="356"/>
      <c r="U1774" s="372"/>
      <c r="V1774" s="372" t="s">
        <v>3650</v>
      </c>
      <c r="W1774" s="372"/>
      <c r="X1774" s="373"/>
      <c r="Y1774" s="348"/>
      <c r="Z1774" s="348"/>
      <c r="AA1774" s="348"/>
    </row>
    <row r="1775" s="331" customFormat="1" ht="17" customHeight="1" spans="1:27">
      <c r="A1775" s="550" t="s">
        <v>4950</v>
      </c>
      <c r="B1775" s="348" t="s">
        <v>315</v>
      </c>
      <c r="C1775" s="348" t="s">
        <v>161</v>
      </c>
      <c r="D1775" s="349" t="s">
        <v>162</v>
      </c>
      <c r="E1775" s="336">
        <v>43657</v>
      </c>
      <c r="F1775" s="336">
        <v>43657</v>
      </c>
      <c r="G1775" s="336">
        <v>43664</v>
      </c>
      <c r="H1775" s="334" t="s">
        <v>4951</v>
      </c>
      <c r="I1775" s="356">
        <v>18673636340</v>
      </c>
      <c r="J1775" s="361" t="s">
        <v>4952</v>
      </c>
      <c r="K1775" s="356">
        <v>1000</v>
      </c>
      <c r="L1775" s="334">
        <v>6108</v>
      </c>
      <c r="M1775" s="334">
        <v>1104</v>
      </c>
      <c r="N1775" s="362">
        <f t="shared" si="53"/>
        <v>7212</v>
      </c>
      <c r="O1775" s="356"/>
      <c r="P1775" s="356"/>
      <c r="Q1775" s="356"/>
      <c r="R1775" s="356"/>
      <c r="S1775" s="356"/>
      <c r="T1775" s="356"/>
      <c r="U1775" s="372"/>
      <c r="V1775" s="372"/>
      <c r="W1775" s="372"/>
      <c r="X1775" s="373"/>
      <c r="Y1775" s="348"/>
      <c r="Z1775" s="348"/>
      <c r="AA1775" s="348"/>
    </row>
    <row r="1776" s="331" customFormat="1" ht="17" customHeight="1" spans="1:27">
      <c r="A1776" s="550" t="s">
        <v>4953</v>
      </c>
      <c r="B1776" s="348" t="s">
        <v>315</v>
      </c>
      <c r="C1776" s="348" t="s">
        <v>161</v>
      </c>
      <c r="D1776" s="349" t="s">
        <v>162</v>
      </c>
      <c r="E1776" s="336">
        <v>43657</v>
      </c>
      <c r="F1776" s="336">
        <v>43657</v>
      </c>
      <c r="G1776" s="350"/>
      <c r="H1776" s="334" t="s">
        <v>4954</v>
      </c>
      <c r="I1776" s="356">
        <v>18001600749</v>
      </c>
      <c r="J1776" s="361" t="s">
        <v>4955</v>
      </c>
      <c r="K1776" s="356">
        <v>2534</v>
      </c>
      <c r="L1776" s="419"/>
      <c r="M1776" s="419"/>
      <c r="N1776" s="362">
        <f t="shared" si="53"/>
        <v>0</v>
      </c>
      <c r="O1776" s="356">
        <v>1</v>
      </c>
      <c r="P1776" s="356"/>
      <c r="Q1776" s="356"/>
      <c r="R1776" s="356"/>
      <c r="S1776" s="356"/>
      <c r="T1776" s="356"/>
      <c r="U1776" s="372" t="s">
        <v>269</v>
      </c>
      <c r="V1776" s="372"/>
      <c r="W1776" s="372"/>
      <c r="X1776" s="373"/>
      <c r="Y1776" s="348"/>
      <c r="Z1776" s="348"/>
      <c r="AA1776" s="348"/>
    </row>
    <row r="1777" s="331" customFormat="1" ht="17" customHeight="1" spans="1:27">
      <c r="A1777" s="348"/>
      <c r="B1777" s="348" t="s">
        <v>35</v>
      </c>
      <c r="C1777" s="348" t="s">
        <v>36</v>
      </c>
      <c r="D1777" s="349" t="s">
        <v>37</v>
      </c>
      <c r="E1777" s="336">
        <v>43688</v>
      </c>
      <c r="F1777" s="336">
        <v>43656</v>
      </c>
      <c r="G1777" s="336">
        <v>43685</v>
      </c>
      <c r="H1777" s="334" t="s">
        <v>4956</v>
      </c>
      <c r="I1777" s="356">
        <v>13801659195</v>
      </c>
      <c r="J1777" s="361" t="s">
        <v>4957</v>
      </c>
      <c r="K1777" s="356">
        <v>1000</v>
      </c>
      <c r="L1777" s="334">
        <v>47800</v>
      </c>
      <c r="M1777" s="419"/>
      <c r="N1777" s="362">
        <f t="shared" si="53"/>
        <v>47800</v>
      </c>
      <c r="O1777" s="356"/>
      <c r="P1777" s="356"/>
      <c r="Q1777" s="356" t="s">
        <v>52</v>
      </c>
      <c r="R1777" s="356"/>
      <c r="S1777" s="356"/>
      <c r="T1777" s="356"/>
      <c r="U1777" s="372"/>
      <c r="V1777" s="372"/>
      <c r="W1777" s="372"/>
      <c r="X1777" s="373"/>
      <c r="Y1777" s="348"/>
      <c r="Z1777" s="348"/>
      <c r="AA1777" s="348"/>
    </row>
    <row r="1778" s="331" customFormat="1" ht="17" customHeight="1" spans="1:27">
      <c r="A1778" s="348">
        <v>2066940</v>
      </c>
      <c r="B1778" s="348" t="s">
        <v>335</v>
      </c>
      <c r="C1778" s="348" t="s">
        <v>615</v>
      </c>
      <c r="D1778" s="349" t="s">
        <v>337</v>
      </c>
      <c r="E1778" s="336">
        <v>43657</v>
      </c>
      <c r="F1778" s="336">
        <v>43656</v>
      </c>
      <c r="G1778" s="350"/>
      <c r="H1778" s="334" t="s">
        <v>4958</v>
      </c>
      <c r="I1778" s="356">
        <v>13918234622</v>
      </c>
      <c r="J1778" s="361" t="s">
        <v>4959</v>
      </c>
      <c r="K1778" s="356">
        <v>1000</v>
      </c>
      <c r="L1778" s="419"/>
      <c r="M1778" s="419"/>
      <c r="N1778" s="362">
        <f t="shared" si="53"/>
        <v>0</v>
      </c>
      <c r="O1778" s="356" t="s">
        <v>4960</v>
      </c>
      <c r="P1778" s="356"/>
      <c r="Q1778" s="356"/>
      <c r="R1778" s="356"/>
      <c r="S1778" s="356"/>
      <c r="T1778" s="356"/>
      <c r="U1778" s="372"/>
      <c r="V1778" s="372"/>
      <c r="W1778" s="372"/>
      <c r="X1778" s="373"/>
      <c r="Y1778" s="348"/>
      <c r="Z1778" s="348"/>
      <c r="AA1778" s="348"/>
    </row>
    <row r="1779" s="331" customFormat="1" ht="17" customHeight="1" spans="1:27">
      <c r="A1779" s="348">
        <v>2066941</v>
      </c>
      <c r="B1779" s="348" t="s">
        <v>335</v>
      </c>
      <c r="C1779" s="348" t="s">
        <v>399</v>
      </c>
      <c r="D1779" s="349" t="s">
        <v>337</v>
      </c>
      <c r="E1779" s="336">
        <v>43708</v>
      </c>
      <c r="F1779" s="336">
        <v>43657</v>
      </c>
      <c r="G1779" s="336">
        <v>43708</v>
      </c>
      <c r="H1779" s="334" t="s">
        <v>4961</v>
      </c>
      <c r="I1779" s="356">
        <v>18621658896</v>
      </c>
      <c r="J1779" s="361" t="s">
        <v>4962</v>
      </c>
      <c r="K1779" s="356">
        <v>1000</v>
      </c>
      <c r="L1779" s="334">
        <f>16275-1472</f>
        <v>14803</v>
      </c>
      <c r="M1779" s="334">
        <v>1472</v>
      </c>
      <c r="N1779" s="362">
        <f t="shared" si="53"/>
        <v>16275</v>
      </c>
      <c r="O1779" s="356"/>
      <c r="P1779" s="356"/>
      <c r="Q1779" s="356"/>
      <c r="R1779" s="356"/>
      <c r="S1779" s="356"/>
      <c r="T1779" s="356"/>
      <c r="U1779" s="372"/>
      <c r="V1779" s="372">
        <v>8.28</v>
      </c>
      <c r="W1779" s="372"/>
      <c r="X1779" s="373"/>
      <c r="Y1779" s="348"/>
      <c r="Z1779" s="348"/>
      <c r="AA1779" s="348"/>
    </row>
    <row r="1780" s="331" customFormat="1" ht="17" customHeight="1" spans="1:27">
      <c r="A1780" s="550" t="s">
        <v>4963</v>
      </c>
      <c r="B1780" s="348" t="s">
        <v>31</v>
      </c>
      <c r="C1780" s="348" t="s">
        <v>220</v>
      </c>
      <c r="D1780" s="349" t="s">
        <v>221</v>
      </c>
      <c r="E1780" s="336">
        <v>43713</v>
      </c>
      <c r="F1780" s="336">
        <v>43656</v>
      </c>
      <c r="G1780" s="336">
        <v>43711</v>
      </c>
      <c r="H1780" s="334" t="s">
        <v>4964</v>
      </c>
      <c r="I1780" s="356">
        <v>18616105108</v>
      </c>
      <c r="J1780" s="361" t="s">
        <v>4965</v>
      </c>
      <c r="K1780" s="356">
        <v>1000</v>
      </c>
      <c r="L1780" s="334">
        <v>18908</v>
      </c>
      <c r="M1780" s="419"/>
      <c r="N1780" s="362">
        <f t="shared" si="53"/>
        <v>18908</v>
      </c>
      <c r="O1780" s="366" t="s">
        <v>52</v>
      </c>
      <c r="P1780" s="356"/>
      <c r="Q1780" s="356"/>
      <c r="R1780" s="356"/>
      <c r="S1780" s="356"/>
      <c r="T1780" s="356"/>
      <c r="U1780" s="372"/>
      <c r="V1780" s="385" t="s">
        <v>52</v>
      </c>
      <c r="W1780" s="372"/>
      <c r="X1780" s="373"/>
      <c r="Y1780" s="348"/>
      <c r="Z1780" s="348"/>
      <c r="AA1780" s="348"/>
    </row>
    <row r="1781" s="331" customFormat="1" ht="17" customHeight="1" spans="1:27">
      <c r="A1781" s="348"/>
      <c r="B1781" s="348" t="s">
        <v>31</v>
      </c>
      <c r="C1781" s="348" t="s">
        <v>220</v>
      </c>
      <c r="D1781" s="349" t="s">
        <v>221</v>
      </c>
      <c r="E1781" s="336">
        <v>43707</v>
      </c>
      <c r="F1781" s="336">
        <v>43656</v>
      </c>
      <c r="G1781" s="336">
        <v>43707</v>
      </c>
      <c r="H1781" s="334" t="s">
        <v>4966</v>
      </c>
      <c r="I1781" s="356">
        <v>13761295677</v>
      </c>
      <c r="J1781" s="361" t="s">
        <v>4967</v>
      </c>
      <c r="K1781" s="356">
        <v>1000</v>
      </c>
      <c r="L1781" s="334">
        <v>29498</v>
      </c>
      <c r="M1781" s="419"/>
      <c r="N1781" s="362">
        <f t="shared" si="53"/>
        <v>29498</v>
      </c>
      <c r="O1781" s="366"/>
      <c r="P1781" s="366" t="s">
        <v>52</v>
      </c>
      <c r="Q1781" s="356"/>
      <c r="R1781" s="356"/>
      <c r="S1781" s="356"/>
      <c r="T1781" s="356"/>
      <c r="U1781" s="372"/>
      <c r="V1781" s="372"/>
      <c r="W1781" s="372"/>
      <c r="X1781" s="373"/>
      <c r="Y1781" s="348"/>
      <c r="Z1781" s="348"/>
      <c r="AA1781" s="348"/>
    </row>
    <row r="1782" s="331" customFormat="1" ht="17" customHeight="1" spans="1:27">
      <c r="A1782" s="550" t="s">
        <v>4968</v>
      </c>
      <c r="B1782" s="348" t="s">
        <v>169</v>
      </c>
      <c r="C1782" s="348" t="s">
        <v>542</v>
      </c>
      <c r="D1782" s="349" t="s">
        <v>171</v>
      </c>
      <c r="E1782" s="336">
        <v>43721</v>
      </c>
      <c r="F1782" s="336">
        <v>43656</v>
      </c>
      <c r="G1782" s="336">
        <v>43720</v>
      </c>
      <c r="H1782" s="334" t="s">
        <v>4969</v>
      </c>
      <c r="I1782" s="356">
        <v>18321123031</v>
      </c>
      <c r="J1782" s="361" t="s">
        <v>4970</v>
      </c>
      <c r="K1782" s="356">
        <v>1000</v>
      </c>
      <c r="L1782" s="334">
        <v>18643</v>
      </c>
      <c r="M1782" s="419"/>
      <c r="N1782" s="362">
        <f t="shared" si="53"/>
        <v>18643</v>
      </c>
      <c r="O1782" s="356"/>
      <c r="P1782" s="356"/>
      <c r="Q1782" s="356"/>
      <c r="R1782" s="356" t="s">
        <v>22</v>
      </c>
      <c r="S1782" s="356"/>
      <c r="T1782" s="356"/>
      <c r="U1782" s="372"/>
      <c r="V1782" s="372"/>
      <c r="W1782" s="372"/>
      <c r="X1782" s="373"/>
      <c r="Y1782" s="348"/>
      <c r="Z1782" s="348"/>
      <c r="AA1782" s="348"/>
    </row>
    <row r="1783" s="331" customFormat="1" ht="17" customHeight="1" spans="1:27">
      <c r="A1783" s="550" t="s">
        <v>4971</v>
      </c>
      <c r="B1783" s="348" t="s">
        <v>58</v>
      </c>
      <c r="C1783" s="348" t="s">
        <v>59</v>
      </c>
      <c r="D1783" s="349" t="s">
        <v>271</v>
      </c>
      <c r="E1783" s="336">
        <v>43657</v>
      </c>
      <c r="F1783" s="336">
        <v>43656</v>
      </c>
      <c r="G1783" s="336">
        <v>43676</v>
      </c>
      <c r="H1783" s="334" t="s">
        <v>4972</v>
      </c>
      <c r="I1783" s="356">
        <v>13601956052</v>
      </c>
      <c r="J1783" s="361" t="s">
        <v>4973</v>
      </c>
      <c r="K1783" s="356">
        <v>5000</v>
      </c>
      <c r="L1783" s="334">
        <v>4934</v>
      </c>
      <c r="M1783" s="419"/>
      <c r="N1783" s="362">
        <f t="shared" ref="N1783:N1799" si="54">L1783+M1783</f>
        <v>4934</v>
      </c>
      <c r="O1783" s="356"/>
      <c r="P1783" s="356"/>
      <c r="Q1783" s="366" t="s">
        <v>52</v>
      </c>
      <c r="R1783" s="356"/>
      <c r="S1783" s="356"/>
      <c r="T1783" s="356"/>
      <c r="U1783" s="372"/>
      <c r="V1783" s="372"/>
      <c r="W1783" s="372"/>
      <c r="X1783" s="373"/>
      <c r="Y1783" s="348"/>
      <c r="Z1783" s="348"/>
      <c r="AA1783" s="348"/>
    </row>
    <row r="1784" s="331" customFormat="1" ht="17" customHeight="1" spans="1:27">
      <c r="A1784" s="550" t="s">
        <v>4974</v>
      </c>
      <c r="B1784" s="348" t="s">
        <v>169</v>
      </c>
      <c r="C1784" s="348" t="s">
        <v>634</v>
      </c>
      <c r="D1784" s="349" t="s">
        <v>635</v>
      </c>
      <c r="E1784" s="336">
        <v>43657</v>
      </c>
      <c r="F1784" s="336">
        <v>43656</v>
      </c>
      <c r="G1784" s="350"/>
      <c r="H1784" s="334" t="s">
        <v>4975</v>
      </c>
      <c r="I1784" s="356">
        <v>13681851131</v>
      </c>
      <c r="J1784" s="361" t="s">
        <v>4976</v>
      </c>
      <c r="K1784" s="356">
        <v>1000</v>
      </c>
      <c r="L1784" s="419"/>
      <c r="M1784" s="419"/>
      <c r="N1784" s="362">
        <f t="shared" si="54"/>
        <v>0</v>
      </c>
      <c r="O1784" s="356"/>
      <c r="P1784" s="356"/>
      <c r="Q1784" s="356"/>
      <c r="R1784" s="356"/>
      <c r="S1784" s="356"/>
      <c r="T1784" s="356"/>
      <c r="U1784" s="356" t="s">
        <v>12</v>
      </c>
      <c r="V1784" s="372"/>
      <c r="W1784" s="372"/>
      <c r="X1784" s="373"/>
      <c r="Y1784" s="348"/>
      <c r="Z1784" s="348"/>
      <c r="AA1784" s="348"/>
    </row>
    <row r="1785" s="331" customFormat="1" ht="17" customHeight="1" spans="1:27">
      <c r="A1785" s="348">
        <v>2066863</v>
      </c>
      <c r="B1785" s="348" t="s">
        <v>726</v>
      </c>
      <c r="C1785" s="348" t="s">
        <v>727</v>
      </c>
      <c r="D1785" s="334" t="s">
        <v>271</v>
      </c>
      <c r="E1785" s="336">
        <v>43715</v>
      </c>
      <c r="F1785" s="336">
        <v>43656</v>
      </c>
      <c r="G1785" s="336">
        <v>43715</v>
      </c>
      <c r="H1785" s="334" t="s">
        <v>4977</v>
      </c>
      <c r="I1785" s="356">
        <v>13818900520</v>
      </c>
      <c r="J1785" s="361" t="s">
        <v>4978</v>
      </c>
      <c r="K1785" s="356">
        <v>1000</v>
      </c>
      <c r="L1785" s="334">
        <v>14900</v>
      </c>
      <c r="M1785" s="419"/>
      <c r="N1785" s="362">
        <f t="shared" si="54"/>
        <v>14900</v>
      </c>
      <c r="O1785" s="356"/>
      <c r="P1785" s="356"/>
      <c r="Q1785" s="356"/>
      <c r="R1785" s="356" t="s">
        <v>4631</v>
      </c>
      <c r="S1785" s="356"/>
      <c r="T1785" s="356"/>
      <c r="U1785" s="372"/>
      <c r="V1785" s="372"/>
      <c r="W1785" s="372"/>
      <c r="X1785" s="373"/>
      <c r="Y1785" s="348"/>
      <c r="Z1785" s="348"/>
      <c r="AA1785" s="348"/>
    </row>
    <row r="1786" s="331" customFormat="1" ht="17" customHeight="1" spans="1:27">
      <c r="A1786" s="550" t="s">
        <v>4979</v>
      </c>
      <c r="B1786" s="348" t="s">
        <v>726</v>
      </c>
      <c r="C1786" s="348" t="s">
        <v>727</v>
      </c>
      <c r="D1786" s="349" t="s">
        <v>356</v>
      </c>
      <c r="E1786" s="336">
        <v>43657</v>
      </c>
      <c r="F1786" s="336">
        <v>43656</v>
      </c>
      <c r="G1786" s="336">
        <v>43658</v>
      </c>
      <c r="H1786" s="334" t="s">
        <v>4980</v>
      </c>
      <c r="I1786" s="356">
        <v>13651945167</v>
      </c>
      <c r="J1786" s="361" t="s">
        <v>4981</v>
      </c>
      <c r="K1786" s="356">
        <v>3000</v>
      </c>
      <c r="L1786" s="334">
        <v>16785</v>
      </c>
      <c r="M1786" s="334"/>
      <c r="N1786" s="362">
        <f t="shared" si="54"/>
        <v>16785</v>
      </c>
      <c r="O1786" s="356"/>
      <c r="P1786" s="356"/>
      <c r="Q1786" s="356"/>
      <c r="R1786" s="356"/>
      <c r="S1786" s="356"/>
      <c r="T1786" s="356"/>
      <c r="U1786" s="372"/>
      <c r="V1786" s="372"/>
      <c r="W1786" s="372"/>
      <c r="X1786" s="373"/>
      <c r="Y1786" s="348"/>
      <c r="Z1786" s="348"/>
      <c r="AA1786" s="348"/>
    </row>
    <row r="1787" s="331" customFormat="1" ht="17" customHeight="1" spans="1:27">
      <c r="A1787" s="348">
        <v>2068856</v>
      </c>
      <c r="B1787" s="348" t="s">
        <v>66</v>
      </c>
      <c r="C1787" s="348" t="s">
        <v>505</v>
      </c>
      <c r="D1787" s="349" t="s">
        <v>68</v>
      </c>
      <c r="E1787" s="336">
        <v>43657</v>
      </c>
      <c r="F1787" s="336">
        <v>43656</v>
      </c>
      <c r="G1787" s="350">
        <v>43656</v>
      </c>
      <c r="H1787" s="334" t="s">
        <v>4982</v>
      </c>
      <c r="I1787" s="356">
        <v>17602179499</v>
      </c>
      <c r="J1787" s="361" t="s">
        <v>4983</v>
      </c>
      <c r="K1787" s="356">
        <v>2520</v>
      </c>
      <c r="L1787" s="334">
        <v>2520</v>
      </c>
      <c r="M1787" s="334"/>
      <c r="N1787" s="362">
        <f t="shared" si="54"/>
        <v>2520</v>
      </c>
      <c r="O1787" s="356"/>
      <c r="P1787" s="356"/>
      <c r="Q1787" s="356"/>
      <c r="R1787" s="356"/>
      <c r="S1787" s="356"/>
      <c r="T1787" s="356"/>
      <c r="U1787" s="372"/>
      <c r="V1787" s="372"/>
      <c r="W1787" s="372"/>
      <c r="X1787" s="373"/>
      <c r="Y1787" s="348"/>
      <c r="Z1787" s="348"/>
      <c r="AA1787" s="348"/>
    </row>
    <row r="1788" s="331" customFormat="1" ht="17" customHeight="1" spans="1:27">
      <c r="A1788" s="550" t="s">
        <v>4984</v>
      </c>
      <c r="B1788" s="348" t="s">
        <v>185</v>
      </c>
      <c r="C1788" s="348" t="s">
        <v>1133</v>
      </c>
      <c r="D1788" s="349" t="s">
        <v>44</v>
      </c>
      <c r="E1788" s="336">
        <v>43704</v>
      </c>
      <c r="F1788" s="336">
        <v>43656</v>
      </c>
      <c r="G1788" s="336">
        <v>43703</v>
      </c>
      <c r="H1788" s="334" t="s">
        <v>4985</v>
      </c>
      <c r="I1788" s="356">
        <v>13818759895</v>
      </c>
      <c r="J1788" s="361" t="s">
        <v>4986</v>
      </c>
      <c r="K1788" s="356">
        <v>2000</v>
      </c>
      <c r="L1788" s="334">
        <v>20000</v>
      </c>
      <c r="M1788" s="419"/>
      <c r="N1788" s="362">
        <f t="shared" si="54"/>
        <v>20000</v>
      </c>
      <c r="O1788" s="356"/>
      <c r="P1788" s="356"/>
      <c r="Q1788" s="356" t="s">
        <v>52</v>
      </c>
      <c r="R1788" s="356"/>
      <c r="S1788" s="356"/>
      <c r="T1788" s="356"/>
      <c r="U1788" s="372"/>
      <c r="V1788" s="372"/>
      <c r="W1788" s="372"/>
      <c r="X1788" s="373"/>
      <c r="Y1788" s="348"/>
      <c r="Z1788" s="348"/>
      <c r="AA1788" s="348"/>
    </row>
    <row r="1789" s="331" customFormat="1" ht="17" customHeight="1" spans="1:27">
      <c r="A1789" s="348">
        <v>2068063</v>
      </c>
      <c r="B1789" s="348" t="s">
        <v>87</v>
      </c>
      <c r="C1789" s="348" t="s">
        <v>199</v>
      </c>
      <c r="D1789" s="334" t="s">
        <v>75</v>
      </c>
      <c r="E1789" s="336">
        <v>43733</v>
      </c>
      <c r="F1789" s="336">
        <v>43657</v>
      </c>
      <c r="G1789" s="336">
        <v>43733</v>
      </c>
      <c r="H1789" s="334" t="s">
        <v>4987</v>
      </c>
      <c r="I1789" s="356">
        <v>18049822789</v>
      </c>
      <c r="J1789" s="361" t="s">
        <v>4988</v>
      </c>
      <c r="K1789" s="356">
        <v>1000</v>
      </c>
      <c r="L1789" s="334">
        <v>42168</v>
      </c>
      <c r="M1789" s="419"/>
      <c r="N1789" s="362">
        <f t="shared" si="54"/>
        <v>42168</v>
      </c>
      <c r="O1789" s="356"/>
      <c r="P1789" s="356"/>
      <c r="Q1789" s="356"/>
      <c r="R1789" s="356"/>
      <c r="S1789" s="356"/>
      <c r="T1789" s="356"/>
      <c r="U1789" s="372"/>
      <c r="V1789" s="372"/>
      <c r="W1789" s="411" t="s">
        <v>1472</v>
      </c>
      <c r="X1789" s="373"/>
      <c r="Y1789" s="348"/>
      <c r="Z1789" s="348"/>
      <c r="AA1789" s="348"/>
    </row>
    <row r="1790" s="331" customFormat="1" ht="17" customHeight="1" spans="1:27">
      <c r="A1790" s="348">
        <v>2022574</v>
      </c>
      <c r="B1790" s="348" t="s">
        <v>73</v>
      </c>
      <c r="C1790" s="348" t="s">
        <v>74</v>
      </c>
      <c r="D1790" s="352" t="s">
        <v>717</v>
      </c>
      <c r="E1790" s="336">
        <v>43738</v>
      </c>
      <c r="F1790" s="336">
        <v>43657</v>
      </c>
      <c r="G1790" s="336">
        <v>43737</v>
      </c>
      <c r="H1790" s="334" t="s">
        <v>4989</v>
      </c>
      <c r="I1790" s="356">
        <v>15000152567</v>
      </c>
      <c r="J1790" s="361" t="s">
        <v>4990</v>
      </c>
      <c r="K1790" s="356">
        <v>1000</v>
      </c>
      <c r="L1790" s="334">
        <v>13992</v>
      </c>
      <c r="M1790" s="419"/>
      <c r="N1790" s="362">
        <f t="shared" si="54"/>
        <v>13992</v>
      </c>
      <c r="O1790" s="366" t="s">
        <v>52</v>
      </c>
      <c r="P1790" s="356"/>
      <c r="Q1790" s="356"/>
      <c r="R1790" s="356"/>
      <c r="S1790" s="356"/>
      <c r="T1790" s="356"/>
      <c r="U1790" s="372"/>
      <c r="V1790" s="372"/>
      <c r="W1790" s="372"/>
      <c r="X1790" s="373"/>
      <c r="Y1790" s="348"/>
      <c r="Z1790" s="348"/>
      <c r="AA1790" s="348"/>
    </row>
    <row r="1791" s="331" customFormat="1" ht="17" customHeight="1" spans="1:27">
      <c r="A1791" s="348"/>
      <c r="B1791" s="348" t="s">
        <v>73</v>
      </c>
      <c r="C1791" s="334" t="s">
        <v>74</v>
      </c>
      <c r="D1791" s="349" t="s">
        <v>132</v>
      </c>
      <c r="E1791" s="336">
        <v>43657</v>
      </c>
      <c r="F1791" s="336"/>
      <c r="G1791" s="336">
        <v>43656</v>
      </c>
      <c r="H1791" s="334" t="s">
        <v>4991</v>
      </c>
      <c r="I1791" s="356">
        <v>13917035522</v>
      </c>
      <c r="J1791" s="361" t="s">
        <v>4992</v>
      </c>
      <c r="K1791" s="356"/>
      <c r="L1791" s="334">
        <v>21342</v>
      </c>
      <c r="M1791" s="334"/>
      <c r="N1791" s="362">
        <f t="shared" si="54"/>
        <v>21342</v>
      </c>
      <c r="O1791" s="356"/>
      <c r="P1791" s="356"/>
      <c r="Q1791" s="356"/>
      <c r="R1791" s="356"/>
      <c r="S1791" s="356"/>
      <c r="T1791" s="356"/>
      <c r="U1791" s="372"/>
      <c r="V1791" s="372"/>
      <c r="W1791" s="372"/>
      <c r="X1791" s="373"/>
      <c r="Y1791" s="348"/>
      <c r="Z1791" s="348"/>
      <c r="AA1791" s="348"/>
    </row>
    <row r="1792" s="331" customFormat="1" ht="17" customHeight="1" spans="1:27">
      <c r="A1792" s="348"/>
      <c r="B1792" s="348" t="s">
        <v>137</v>
      </c>
      <c r="C1792" s="348" t="s">
        <v>406</v>
      </c>
      <c r="D1792" s="349" t="s">
        <v>443</v>
      </c>
      <c r="E1792" s="424">
        <v>43737</v>
      </c>
      <c r="F1792" s="336">
        <v>43650</v>
      </c>
      <c r="G1792" s="424">
        <v>43737</v>
      </c>
      <c r="H1792" s="334" t="s">
        <v>4993</v>
      </c>
      <c r="I1792" s="356">
        <v>17721416108</v>
      </c>
      <c r="J1792" s="361" t="s">
        <v>4994</v>
      </c>
      <c r="K1792" s="356">
        <v>1998</v>
      </c>
      <c r="L1792" s="425">
        <v>13800</v>
      </c>
      <c r="M1792" s="419"/>
      <c r="N1792" s="362">
        <f t="shared" si="54"/>
        <v>13800</v>
      </c>
      <c r="O1792" s="356"/>
      <c r="P1792" s="356"/>
      <c r="Q1792" s="356"/>
      <c r="R1792" s="356"/>
      <c r="S1792" s="356">
        <v>1</v>
      </c>
      <c r="T1792" s="356"/>
      <c r="U1792" s="372"/>
      <c r="V1792" s="372"/>
      <c r="W1792" s="372"/>
      <c r="X1792" s="373"/>
      <c r="Y1792" s="348"/>
      <c r="Z1792" s="348"/>
      <c r="AA1792" s="348"/>
    </row>
    <row r="1793" s="331" customFormat="1" ht="17" customHeight="1" spans="1:27">
      <c r="A1793" s="550" t="s">
        <v>4995</v>
      </c>
      <c r="B1793" s="348" t="s">
        <v>205</v>
      </c>
      <c r="C1793" s="348" t="s">
        <v>1467</v>
      </c>
      <c r="D1793" s="349" t="s">
        <v>207</v>
      </c>
      <c r="E1793" s="336">
        <v>43658</v>
      </c>
      <c r="F1793" s="336">
        <v>43650</v>
      </c>
      <c r="G1793" s="350"/>
      <c r="H1793" s="334" t="s">
        <v>4996</v>
      </c>
      <c r="I1793" s="356">
        <v>18502156697</v>
      </c>
      <c r="J1793" s="361" t="s">
        <v>4997</v>
      </c>
      <c r="K1793" s="356">
        <v>1000</v>
      </c>
      <c r="L1793" s="419"/>
      <c r="M1793" s="419"/>
      <c r="N1793" s="362">
        <f t="shared" si="54"/>
        <v>0</v>
      </c>
      <c r="O1793" s="356" t="s">
        <v>4998</v>
      </c>
      <c r="P1793" s="356"/>
      <c r="Q1793" s="356"/>
      <c r="R1793" s="356"/>
      <c r="S1793" s="356"/>
      <c r="T1793" s="356"/>
      <c r="U1793" s="372"/>
      <c r="V1793" s="372"/>
      <c r="W1793" s="372"/>
      <c r="X1793" s="373"/>
      <c r="Y1793" s="348"/>
      <c r="Z1793" s="348"/>
      <c r="AA1793" s="348"/>
    </row>
    <row r="1794" s="331" customFormat="1" ht="17" customHeight="1" spans="1:27">
      <c r="A1794" s="550" t="s">
        <v>4999</v>
      </c>
      <c r="B1794" s="348" t="s">
        <v>169</v>
      </c>
      <c r="C1794" s="348" t="s">
        <v>542</v>
      </c>
      <c r="D1794" s="349" t="s">
        <v>171</v>
      </c>
      <c r="E1794" s="336">
        <v>43698</v>
      </c>
      <c r="F1794" s="336">
        <v>43650</v>
      </c>
      <c r="G1794" s="336">
        <v>43697</v>
      </c>
      <c r="H1794" s="334" t="s">
        <v>5000</v>
      </c>
      <c r="I1794" s="356">
        <v>13601712571</v>
      </c>
      <c r="J1794" s="361" t="s">
        <v>5001</v>
      </c>
      <c r="K1794" s="356">
        <v>1000</v>
      </c>
      <c r="L1794" s="334">
        <v>5100</v>
      </c>
      <c r="M1794" s="419"/>
      <c r="N1794" s="362">
        <f t="shared" si="54"/>
        <v>5100</v>
      </c>
      <c r="O1794" s="356"/>
      <c r="P1794" s="356" t="s">
        <v>1526</v>
      </c>
      <c r="Q1794" s="356"/>
      <c r="R1794" s="356"/>
      <c r="S1794" s="356"/>
      <c r="T1794" s="356"/>
      <c r="U1794" s="372"/>
      <c r="V1794" s="372"/>
      <c r="W1794" s="372"/>
      <c r="X1794" s="373"/>
      <c r="Y1794" s="348"/>
      <c r="Z1794" s="348"/>
      <c r="AA1794" s="348"/>
    </row>
    <row r="1795" s="331" customFormat="1" ht="17" customHeight="1" spans="1:27">
      <c r="A1795" s="550" t="s">
        <v>5002</v>
      </c>
      <c r="B1795" s="348" t="s">
        <v>169</v>
      </c>
      <c r="C1795" s="348" t="s">
        <v>542</v>
      </c>
      <c r="D1795" s="349" t="s">
        <v>171</v>
      </c>
      <c r="E1795" s="336">
        <v>43658</v>
      </c>
      <c r="F1795" s="336">
        <v>43651</v>
      </c>
      <c r="G1795" s="372"/>
      <c r="H1795" s="334" t="s">
        <v>5003</v>
      </c>
      <c r="I1795" s="356">
        <v>13801910879</v>
      </c>
      <c r="J1795" s="361" t="s">
        <v>5004</v>
      </c>
      <c r="K1795" s="356">
        <v>1000</v>
      </c>
      <c r="L1795" s="419"/>
      <c r="M1795" s="419"/>
      <c r="N1795" s="362">
        <f t="shared" si="54"/>
        <v>0</v>
      </c>
      <c r="O1795" s="356"/>
      <c r="P1795" s="356"/>
      <c r="Q1795" s="356"/>
      <c r="R1795" s="356"/>
      <c r="S1795" s="356"/>
      <c r="T1795" s="356"/>
      <c r="U1795" s="400" t="s">
        <v>5005</v>
      </c>
      <c r="V1795" s="372"/>
      <c r="W1795" s="372"/>
      <c r="X1795" s="373"/>
      <c r="Y1795" s="348"/>
      <c r="Z1795" s="348"/>
      <c r="AA1795" s="348"/>
    </row>
    <row r="1796" s="331" customFormat="1" ht="17" customHeight="1" spans="1:27">
      <c r="A1796" s="550" t="s">
        <v>1243</v>
      </c>
      <c r="B1796" s="348" t="s">
        <v>137</v>
      </c>
      <c r="C1796" s="348" t="s">
        <v>406</v>
      </c>
      <c r="D1796" s="349" t="s">
        <v>60</v>
      </c>
      <c r="E1796" s="336">
        <v>43658</v>
      </c>
      <c r="F1796" s="336">
        <v>43653</v>
      </c>
      <c r="G1796" s="336">
        <v>43666</v>
      </c>
      <c r="H1796" s="334" t="s">
        <v>5006</v>
      </c>
      <c r="I1796" s="356" t="s">
        <v>5007</v>
      </c>
      <c r="J1796" s="361" t="s">
        <v>5008</v>
      </c>
      <c r="K1796" s="356">
        <v>9700</v>
      </c>
      <c r="L1796" s="334">
        <v>9127</v>
      </c>
      <c r="M1796" s="419"/>
      <c r="N1796" s="362">
        <f t="shared" si="54"/>
        <v>9127</v>
      </c>
      <c r="O1796" s="356"/>
      <c r="P1796" s="356"/>
      <c r="Q1796" s="356"/>
      <c r="R1796" s="356"/>
      <c r="S1796" s="356"/>
      <c r="T1796" s="356"/>
      <c r="U1796" s="372"/>
      <c r="V1796" s="372"/>
      <c r="W1796" s="372"/>
      <c r="X1796" s="373"/>
      <c r="Y1796" s="348"/>
      <c r="Z1796" s="348"/>
      <c r="AA1796" s="348"/>
    </row>
    <row r="1797" s="331" customFormat="1" ht="17" customHeight="1" spans="1:27">
      <c r="A1797" s="550" t="s">
        <v>4789</v>
      </c>
      <c r="B1797" s="348" t="s">
        <v>58</v>
      </c>
      <c r="C1797" s="348" t="s">
        <v>794</v>
      </c>
      <c r="D1797" s="349" t="s">
        <v>110</v>
      </c>
      <c r="E1797" s="336">
        <v>43658</v>
      </c>
      <c r="F1797" s="336">
        <v>43655</v>
      </c>
      <c r="G1797" s="350">
        <v>43658</v>
      </c>
      <c r="H1797" s="334" t="s">
        <v>5009</v>
      </c>
      <c r="I1797" s="356">
        <v>18321845175</v>
      </c>
      <c r="J1797" s="361" t="s">
        <v>5010</v>
      </c>
      <c r="K1797" s="356">
        <v>999</v>
      </c>
      <c r="L1797" s="334">
        <v>2903</v>
      </c>
      <c r="M1797" s="334">
        <v>845</v>
      </c>
      <c r="N1797" s="362">
        <f t="shared" si="54"/>
        <v>3748</v>
      </c>
      <c r="O1797" s="356"/>
      <c r="P1797" s="356"/>
      <c r="Q1797" s="356"/>
      <c r="R1797" s="356"/>
      <c r="S1797" s="356"/>
      <c r="T1797" s="356"/>
      <c r="U1797" s="372"/>
      <c r="V1797" s="372"/>
      <c r="W1797" s="372"/>
      <c r="X1797" s="373"/>
      <c r="Y1797" s="348"/>
      <c r="Z1797" s="348"/>
      <c r="AA1797" s="348"/>
    </row>
    <row r="1798" s="331" customFormat="1" ht="17" customHeight="1" spans="1:27">
      <c r="A1798" s="550" t="s">
        <v>5011</v>
      </c>
      <c r="B1798" s="348" t="s">
        <v>58</v>
      </c>
      <c r="C1798" s="348" t="s">
        <v>59</v>
      </c>
      <c r="D1798" s="349" t="s">
        <v>271</v>
      </c>
      <c r="E1798" s="336">
        <v>43658</v>
      </c>
      <c r="F1798" s="336">
        <v>43655</v>
      </c>
      <c r="G1798" s="336">
        <v>43671</v>
      </c>
      <c r="H1798" s="334" t="s">
        <v>5012</v>
      </c>
      <c r="I1798" s="356">
        <v>13916838345</v>
      </c>
      <c r="J1798" s="361" t="s">
        <v>5013</v>
      </c>
      <c r="K1798" s="356">
        <v>1000</v>
      </c>
      <c r="L1798" s="334">
        <v>5827</v>
      </c>
      <c r="M1798" s="334">
        <v>4387</v>
      </c>
      <c r="N1798" s="362">
        <f t="shared" ref="N1798:N1840" si="55">L1798+M1798</f>
        <v>10214</v>
      </c>
      <c r="O1798" s="356"/>
      <c r="P1798" s="366" t="s">
        <v>52</v>
      </c>
      <c r="Q1798" s="356"/>
      <c r="R1798" s="356"/>
      <c r="S1798" s="356"/>
      <c r="T1798" s="356"/>
      <c r="U1798" s="372"/>
      <c r="V1798" s="372"/>
      <c r="W1798" s="372"/>
      <c r="X1798" s="373"/>
      <c r="Y1798" s="348"/>
      <c r="Z1798" s="348"/>
      <c r="AA1798" s="348"/>
    </row>
    <row r="1799" s="331" customFormat="1" ht="17" customHeight="1" spans="1:27">
      <c r="A1799" s="550" t="s">
        <v>1262</v>
      </c>
      <c r="B1799" s="348" t="s">
        <v>137</v>
      </c>
      <c r="C1799" s="334" t="s">
        <v>2705</v>
      </c>
      <c r="D1799" s="352" t="s">
        <v>60</v>
      </c>
      <c r="E1799" s="336">
        <v>43658</v>
      </c>
      <c r="F1799" s="336">
        <v>43648</v>
      </c>
      <c r="G1799" s="350">
        <v>43648</v>
      </c>
      <c r="H1799" s="334" t="s">
        <v>5014</v>
      </c>
      <c r="I1799" s="356">
        <v>13621870901</v>
      </c>
      <c r="J1799" s="361" t="s">
        <v>5015</v>
      </c>
      <c r="K1799" s="356">
        <v>0</v>
      </c>
      <c r="L1799" s="334">
        <v>19366</v>
      </c>
      <c r="M1799" s="419"/>
      <c r="N1799" s="362">
        <f t="shared" si="55"/>
        <v>19366</v>
      </c>
      <c r="O1799" s="356"/>
      <c r="P1799" s="356"/>
      <c r="Q1799" s="356"/>
      <c r="R1799" s="356"/>
      <c r="S1799" s="356"/>
      <c r="T1799" s="356"/>
      <c r="U1799" s="372"/>
      <c r="V1799" s="372"/>
      <c r="W1799" s="372"/>
      <c r="X1799" s="373"/>
      <c r="Y1799" s="348"/>
      <c r="Z1799" s="348"/>
      <c r="AA1799" s="348"/>
    </row>
    <row r="1800" s="331" customFormat="1" ht="17" customHeight="1" spans="1:27">
      <c r="A1800" s="550" t="s">
        <v>5016</v>
      </c>
      <c r="B1800" s="348" t="s">
        <v>315</v>
      </c>
      <c r="C1800" s="348" t="s">
        <v>722</v>
      </c>
      <c r="D1800" s="349" t="s">
        <v>132</v>
      </c>
      <c r="E1800" s="336">
        <v>43723</v>
      </c>
      <c r="F1800" s="336">
        <v>43658</v>
      </c>
      <c r="G1800" s="336">
        <v>43722</v>
      </c>
      <c r="H1800" s="334" t="s">
        <v>5017</v>
      </c>
      <c r="I1800" s="356">
        <v>15921394046</v>
      </c>
      <c r="J1800" s="361" t="s">
        <v>5018</v>
      </c>
      <c r="K1800" s="356">
        <v>1000</v>
      </c>
      <c r="L1800" s="334">
        <v>8600</v>
      </c>
      <c r="M1800" s="419"/>
      <c r="N1800" s="362">
        <f t="shared" si="55"/>
        <v>8600</v>
      </c>
      <c r="O1800" s="356"/>
      <c r="P1800" s="356"/>
      <c r="Q1800" s="356">
        <v>1</v>
      </c>
      <c r="R1800" s="356"/>
      <c r="S1800" s="356"/>
      <c r="T1800" s="356"/>
      <c r="U1800" s="372"/>
      <c r="V1800" s="372"/>
      <c r="W1800" s="372"/>
      <c r="X1800" s="373"/>
      <c r="Y1800" s="348"/>
      <c r="Z1800" s="348"/>
      <c r="AA1800" s="348"/>
    </row>
    <row r="1801" s="331" customFormat="1" ht="17" customHeight="1" spans="1:27">
      <c r="A1801" s="550" t="s">
        <v>5019</v>
      </c>
      <c r="B1801" s="348" t="s">
        <v>169</v>
      </c>
      <c r="C1801" s="348" t="s">
        <v>634</v>
      </c>
      <c r="D1801" s="349" t="s">
        <v>635</v>
      </c>
      <c r="E1801" s="336">
        <v>43658</v>
      </c>
      <c r="F1801" s="336">
        <v>43658</v>
      </c>
      <c r="G1801" s="336">
        <v>43659</v>
      </c>
      <c r="H1801" s="334" t="s">
        <v>5020</v>
      </c>
      <c r="I1801" s="356">
        <v>18516565856</v>
      </c>
      <c r="J1801" s="361" t="s">
        <v>5021</v>
      </c>
      <c r="K1801" s="356">
        <v>1000</v>
      </c>
      <c r="L1801" s="334">
        <v>3960</v>
      </c>
      <c r="M1801" s="334">
        <v>536</v>
      </c>
      <c r="N1801" s="362">
        <f t="shared" si="55"/>
        <v>4496</v>
      </c>
      <c r="O1801" s="356"/>
      <c r="P1801" s="356"/>
      <c r="Q1801" s="356"/>
      <c r="R1801" s="356"/>
      <c r="S1801" s="356"/>
      <c r="T1801" s="356"/>
      <c r="U1801" s="372"/>
      <c r="V1801" s="372"/>
      <c r="W1801" s="372"/>
      <c r="X1801" s="373"/>
      <c r="Y1801" s="348"/>
      <c r="Z1801" s="348"/>
      <c r="AA1801" s="348"/>
    </row>
    <row r="1802" s="331" customFormat="1" ht="17" customHeight="1" spans="1:27">
      <c r="A1802" s="348"/>
      <c r="B1802" s="348" t="s">
        <v>281</v>
      </c>
      <c r="C1802" s="334" t="s">
        <v>517</v>
      </c>
      <c r="D1802" s="349" t="s">
        <v>518</v>
      </c>
      <c r="E1802" s="336">
        <v>43658</v>
      </c>
      <c r="F1802" s="336"/>
      <c r="G1802" s="336">
        <v>43649</v>
      </c>
      <c r="H1802" s="269" t="s">
        <v>5022</v>
      </c>
      <c r="I1802" s="356">
        <v>13761151110</v>
      </c>
      <c r="J1802" s="361" t="s">
        <v>5023</v>
      </c>
      <c r="K1802" s="356"/>
      <c r="L1802" s="334">
        <v>3050</v>
      </c>
      <c r="M1802" s="334"/>
      <c r="N1802" s="362">
        <f t="shared" si="55"/>
        <v>3050</v>
      </c>
      <c r="O1802" s="356"/>
      <c r="P1802" s="356"/>
      <c r="Q1802" s="356"/>
      <c r="R1802" s="356"/>
      <c r="S1802" s="356"/>
      <c r="T1802" s="356"/>
      <c r="U1802" s="372"/>
      <c r="V1802" s="372"/>
      <c r="W1802" s="372"/>
      <c r="X1802" s="373"/>
      <c r="Y1802" s="348"/>
      <c r="Z1802" s="348"/>
      <c r="AA1802" s="348"/>
    </row>
    <row r="1803" s="331" customFormat="1" ht="17" customHeight="1" spans="1:27">
      <c r="A1803" s="348"/>
      <c r="B1803" s="348" t="s">
        <v>169</v>
      </c>
      <c r="C1803" s="334" t="s">
        <v>634</v>
      </c>
      <c r="D1803" s="349" t="s">
        <v>635</v>
      </c>
      <c r="E1803" s="336">
        <v>43658</v>
      </c>
      <c r="F1803" s="336"/>
      <c r="G1803" s="336">
        <v>43652</v>
      </c>
      <c r="H1803" s="334" t="s">
        <v>5024</v>
      </c>
      <c r="I1803" s="356">
        <v>18616732999</v>
      </c>
      <c r="J1803" s="361" t="s">
        <v>5025</v>
      </c>
      <c r="K1803" s="356"/>
      <c r="L1803" s="334">
        <v>7537</v>
      </c>
      <c r="M1803" s="334"/>
      <c r="N1803" s="362">
        <f t="shared" si="55"/>
        <v>7537</v>
      </c>
      <c r="O1803" s="356"/>
      <c r="P1803" s="356"/>
      <c r="Q1803" s="356"/>
      <c r="R1803" s="356"/>
      <c r="S1803" s="356"/>
      <c r="T1803" s="356"/>
      <c r="U1803" s="372"/>
      <c r="V1803" s="372"/>
      <c r="W1803" s="372"/>
      <c r="X1803" s="373"/>
      <c r="Y1803" s="348"/>
      <c r="Z1803" s="348"/>
      <c r="AA1803" s="348"/>
    </row>
    <row r="1804" s="331" customFormat="1" ht="17" customHeight="1" spans="1:27">
      <c r="A1804" s="348"/>
      <c r="B1804" s="348" t="s">
        <v>47</v>
      </c>
      <c r="C1804" s="334" t="s">
        <v>80</v>
      </c>
      <c r="D1804" s="352" t="s">
        <v>49</v>
      </c>
      <c r="E1804" s="336">
        <v>43658</v>
      </c>
      <c r="F1804" s="336"/>
      <c r="G1804" s="336">
        <v>43658</v>
      </c>
      <c r="H1804" s="334" t="s">
        <v>5026</v>
      </c>
      <c r="I1804" s="356">
        <v>13916017007</v>
      </c>
      <c r="J1804" s="361" t="s">
        <v>5027</v>
      </c>
      <c r="K1804" s="356"/>
      <c r="L1804" s="334">
        <v>2049</v>
      </c>
      <c r="M1804" s="334">
        <v>368</v>
      </c>
      <c r="N1804" s="362">
        <f t="shared" si="55"/>
        <v>2417</v>
      </c>
      <c r="O1804" s="356"/>
      <c r="P1804" s="356"/>
      <c r="Q1804" s="356"/>
      <c r="R1804" s="356"/>
      <c r="S1804" s="356"/>
      <c r="T1804" s="356"/>
      <c r="U1804" s="372"/>
      <c r="V1804" s="372"/>
      <c r="W1804" s="372"/>
      <c r="X1804" s="373"/>
      <c r="Y1804" s="348"/>
      <c r="Z1804" s="348"/>
      <c r="AA1804" s="348"/>
    </row>
    <row r="1805" s="331" customFormat="1" ht="17" customHeight="1" spans="1:27">
      <c r="A1805" s="348">
        <v>2027574</v>
      </c>
      <c r="B1805" s="348" t="s">
        <v>73</v>
      </c>
      <c r="C1805" s="348" t="s">
        <v>74</v>
      </c>
      <c r="D1805" s="349" t="s">
        <v>44</v>
      </c>
      <c r="E1805" s="336">
        <v>43659</v>
      </c>
      <c r="F1805" s="336">
        <v>43617</v>
      </c>
      <c r="G1805" s="350">
        <v>43659</v>
      </c>
      <c r="H1805" s="334" t="s">
        <v>5028</v>
      </c>
      <c r="I1805" s="356">
        <v>1351908648</v>
      </c>
      <c r="J1805" s="361" t="s">
        <v>5029</v>
      </c>
      <c r="K1805" s="356">
        <v>0</v>
      </c>
      <c r="L1805" s="334">
        <v>3718</v>
      </c>
      <c r="M1805" s="334"/>
      <c r="N1805" s="362">
        <f t="shared" si="55"/>
        <v>3718</v>
      </c>
      <c r="O1805" s="356"/>
      <c r="P1805" s="356"/>
      <c r="Q1805" s="356"/>
      <c r="R1805" s="356"/>
      <c r="S1805" s="356"/>
      <c r="T1805" s="356"/>
      <c r="U1805" s="372"/>
      <c r="V1805" s="372"/>
      <c r="W1805" s="372"/>
      <c r="X1805" s="373"/>
      <c r="Y1805" s="348"/>
      <c r="Z1805" s="348"/>
      <c r="AA1805" s="348"/>
    </row>
    <row r="1806" s="331" customFormat="1" ht="17" customHeight="1" spans="1:27">
      <c r="A1806" s="550" t="s">
        <v>1717</v>
      </c>
      <c r="B1806" s="348" t="s">
        <v>94</v>
      </c>
      <c r="C1806" s="348" t="s">
        <v>3196</v>
      </c>
      <c r="D1806" s="352" t="s">
        <v>49</v>
      </c>
      <c r="E1806" s="336">
        <v>43707</v>
      </c>
      <c r="F1806" s="336">
        <v>43657</v>
      </c>
      <c r="G1806" s="336">
        <v>43706</v>
      </c>
      <c r="H1806" s="334" t="s">
        <v>5030</v>
      </c>
      <c r="I1806" s="356">
        <v>13917950304</v>
      </c>
      <c r="J1806" s="361" t="s">
        <v>5031</v>
      </c>
      <c r="K1806" s="356">
        <v>1000</v>
      </c>
      <c r="L1806" s="334">
        <v>39330</v>
      </c>
      <c r="M1806" s="419"/>
      <c r="N1806" s="362">
        <f t="shared" si="55"/>
        <v>39330</v>
      </c>
      <c r="O1806" s="356"/>
      <c r="P1806" s="366"/>
      <c r="Q1806" s="356"/>
      <c r="R1806" s="356"/>
      <c r="S1806" s="356"/>
      <c r="T1806" s="356"/>
      <c r="U1806" s="372"/>
      <c r="V1806" s="372"/>
      <c r="W1806" s="423" t="s">
        <v>98</v>
      </c>
      <c r="X1806" s="373"/>
      <c r="Y1806" s="348"/>
      <c r="Z1806" s="348"/>
      <c r="AA1806" s="348"/>
    </row>
    <row r="1807" s="331" customFormat="1" ht="17" customHeight="1" spans="1:27">
      <c r="A1807" s="348"/>
      <c r="B1807" s="348" t="s">
        <v>236</v>
      </c>
      <c r="C1807" s="348" t="s">
        <v>195</v>
      </c>
      <c r="D1807" s="349" t="s">
        <v>187</v>
      </c>
      <c r="E1807" s="336">
        <v>43659</v>
      </c>
      <c r="F1807" s="336">
        <v>43653</v>
      </c>
      <c r="G1807" s="336">
        <v>43677</v>
      </c>
      <c r="H1807" s="334" t="s">
        <v>5032</v>
      </c>
      <c r="I1807" s="356">
        <v>18621871798</v>
      </c>
      <c r="J1807" s="361" t="s">
        <v>5033</v>
      </c>
      <c r="K1807" s="356">
        <v>10490</v>
      </c>
      <c r="L1807" s="334">
        <v>10490</v>
      </c>
      <c r="M1807" s="419"/>
      <c r="N1807" s="362">
        <f t="shared" si="55"/>
        <v>10490</v>
      </c>
      <c r="O1807" s="356"/>
      <c r="P1807" s="356"/>
      <c r="Q1807" s="356" t="s">
        <v>2891</v>
      </c>
      <c r="R1807" s="356"/>
      <c r="S1807" s="356"/>
      <c r="T1807" s="356"/>
      <c r="U1807" s="372"/>
      <c r="V1807" s="372"/>
      <c r="W1807" s="372"/>
      <c r="X1807" s="373"/>
      <c r="Y1807" s="348"/>
      <c r="Z1807" s="348"/>
      <c r="AA1807" s="348"/>
    </row>
    <row r="1808" s="331" customFormat="1" ht="17" customHeight="1" spans="1:27">
      <c r="A1808" s="348"/>
      <c r="B1808" s="348" t="s">
        <v>236</v>
      </c>
      <c r="C1808" s="334" t="s">
        <v>703</v>
      </c>
      <c r="D1808" s="349" t="s">
        <v>68</v>
      </c>
      <c r="E1808" s="336">
        <v>43659</v>
      </c>
      <c r="F1808" s="336">
        <v>43657</v>
      </c>
      <c r="G1808" s="336">
        <v>43674</v>
      </c>
      <c r="H1808" s="334" t="s">
        <v>5034</v>
      </c>
      <c r="I1808" s="356">
        <v>18016226898</v>
      </c>
      <c r="J1808" s="361" t="s">
        <v>5035</v>
      </c>
      <c r="K1808" s="356">
        <v>1000</v>
      </c>
      <c r="L1808" s="334">
        <v>16907</v>
      </c>
      <c r="M1808" s="419"/>
      <c r="N1808" s="362">
        <f t="shared" si="55"/>
        <v>16907</v>
      </c>
      <c r="O1808" s="356"/>
      <c r="P1808" s="356"/>
      <c r="Q1808" s="356"/>
      <c r="R1808" s="356"/>
      <c r="S1808" s="356"/>
      <c r="T1808" s="356"/>
      <c r="U1808" s="372"/>
      <c r="V1808" s="356" t="s">
        <v>5036</v>
      </c>
      <c r="W1808" s="372"/>
      <c r="X1808" s="373"/>
      <c r="Y1808" s="348"/>
      <c r="Z1808" s="348"/>
      <c r="AA1808" s="348"/>
    </row>
    <row r="1809" s="331" customFormat="1" ht="17" customHeight="1" spans="1:27">
      <c r="A1809" s="348"/>
      <c r="B1809" s="348" t="s">
        <v>236</v>
      </c>
      <c r="C1809" s="348" t="s">
        <v>195</v>
      </c>
      <c r="D1809" s="349" t="s">
        <v>37</v>
      </c>
      <c r="E1809" s="336">
        <v>43700</v>
      </c>
      <c r="F1809" s="336">
        <v>43656</v>
      </c>
      <c r="G1809" s="336">
        <v>43699</v>
      </c>
      <c r="H1809" s="334" t="s">
        <v>5037</v>
      </c>
      <c r="I1809" s="356">
        <v>15821951496</v>
      </c>
      <c r="J1809" s="361" t="s">
        <v>5038</v>
      </c>
      <c r="K1809" s="356">
        <v>1000</v>
      </c>
      <c r="L1809" s="334">
        <f>4041-536</f>
        <v>3505</v>
      </c>
      <c r="M1809" s="334">
        <v>536</v>
      </c>
      <c r="N1809" s="362">
        <f t="shared" si="55"/>
        <v>4041</v>
      </c>
      <c r="O1809" s="356"/>
      <c r="P1809" s="356"/>
      <c r="Q1809" s="356" t="s">
        <v>21</v>
      </c>
      <c r="R1809" s="356"/>
      <c r="S1809" s="356"/>
      <c r="T1809" s="356"/>
      <c r="U1809" s="372"/>
      <c r="V1809" s="372"/>
      <c r="W1809" s="372"/>
      <c r="X1809" s="373"/>
      <c r="Y1809" s="348"/>
      <c r="Z1809" s="348"/>
      <c r="AA1809" s="348"/>
    </row>
    <row r="1810" s="331" customFormat="1" ht="17" customHeight="1" spans="1:27">
      <c r="A1810" s="348">
        <v>2066864</v>
      </c>
      <c r="B1810" s="348" t="s">
        <v>726</v>
      </c>
      <c r="C1810" s="348" t="s">
        <v>727</v>
      </c>
      <c r="D1810" s="349" t="s">
        <v>356</v>
      </c>
      <c r="E1810" s="336">
        <v>43659</v>
      </c>
      <c r="F1810" s="336">
        <v>43658</v>
      </c>
      <c r="G1810" s="336">
        <v>43660</v>
      </c>
      <c r="H1810" s="334" t="s">
        <v>5039</v>
      </c>
      <c r="I1810" s="356">
        <v>13601773521</v>
      </c>
      <c r="J1810" s="361" t="s">
        <v>5040</v>
      </c>
      <c r="K1810" s="356">
        <v>1000</v>
      </c>
      <c r="L1810" s="334">
        <v>5920</v>
      </c>
      <c r="M1810" s="334">
        <v>1104</v>
      </c>
      <c r="N1810" s="362">
        <f t="shared" si="55"/>
        <v>7024</v>
      </c>
      <c r="O1810" s="356"/>
      <c r="P1810" s="356"/>
      <c r="Q1810" s="356"/>
      <c r="R1810" s="356"/>
      <c r="S1810" s="356"/>
      <c r="T1810" s="356"/>
      <c r="U1810" s="372"/>
      <c r="V1810" s="372"/>
      <c r="W1810" s="372"/>
      <c r="X1810" s="373"/>
      <c r="Y1810" s="348"/>
      <c r="Z1810" s="348"/>
      <c r="AA1810" s="348"/>
    </row>
    <row r="1811" s="331" customFormat="1" ht="17" customHeight="1" spans="1:27">
      <c r="A1811" s="550" t="s">
        <v>5041</v>
      </c>
      <c r="B1811" s="348" t="s">
        <v>169</v>
      </c>
      <c r="C1811" s="348" t="s">
        <v>634</v>
      </c>
      <c r="D1811" s="349" t="s">
        <v>635</v>
      </c>
      <c r="E1811" s="336">
        <v>43708</v>
      </c>
      <c r="F1811" s="336">
        <v>43658</v>
      </c>
      <c r="G1811" s="336">
        <v>43708</v>
      </c>
      <c r="H1811" s="334" t="s">
        <v>5042</v>
      </c>
      <c r="I1811" s="356">
        <v>13816337082</v>
      </c>
      <c r="J1811" s="361" t="s">
        <v>5043</v>
      </c>
      <c r="K1811" s="356">
        <v>1000</v>
      </c>
      <c r="L1811" s="334">
        <f>16653-2208</f>
        <v>14445</v>
      </c>
      <c r="M1811" s="334">
        <v>2208</v>
      </c>
      <c r="N1811" s="362">
        <f t="shared" si="55"/>
        <v>16653</v>
      </c>
      <c r="O1811" s="356"/>
      <c r="P1811" s="356" t="s">
        <v>1526</v>
      </c>
      <c r="Q1811" s="356"/>
      <c r="R1811" s="356"/>
      <c r="S1811" s="356"/>
      <c r="T1811" s="356"/>
      <c r="U1811" s="372"/>
      <c r="V1811" s="372" t="s">
        <v>98</v>
      </c>
      <c r="W1811" s="372"/>
      <c r="X1811" s="373"/>
      <c r="Y1811" s="348"/>
      <c r="Z1811" s="348"/>
      <c r="AA1811" s="348"/>
    </row>
    <row r="1812" s="331" customFormat="1" ht="17" customHeight="1" spans="1:27">
      <c r="A1812" s="550" t="s">
        <v>5044</v>
      </c>
      <c r="B1812" s="348" t="s">
        <v>726</v>
      </c>
      <c r="C1812" s="348" t="s">
        <v>727</v>
      </c>
      <c r="D1812" s="349" t="s">
        <v>343</v>
      </c>
      <c r="E1812" s="336">
        <v>43659</v>
      </c>
      <c r="F1812" s="336">
        <v>43658</v>
      </c>
      <c r="G1812" s="336">
        <v>43670</v>
      </c>
      <c r="H1812" s="334" t="s">
        <v>5045</v>
      </c>
      <c r="I1812" s="356">
        <v>18912485083</v>
      </c>
      <c r="J1812" s="361" t="s">
        <v>5046</v>
      </c>
      <c r="K1812" s="356">
        <v>16500</v>
      </c>
      <c r="L1812" s="334">
        <v>18446</v>
      </c>
      <c r="M1812" s="419"/>
      <c r="N1812" s="362">
        <f t="shared" si="55"/>
        <v>18446</v>
      </c>
      <c r="O1812" s="356"/>
      <c r="P1812" s="356"/>
      <c r="Q1812" s="356"/>
      <c r="R1812" s="356"/>
      <c r="S1812" s="356"/>
      <c r="T1812" s="356"/>
      <c r="U1812" s="372"/>
      <c r="V1812" s="372" t="s">
        <v>5047</v>
      </c>
      <c r="W1812" s="372"/>
      <c r="X1812" s="373"/>
      <c r="Y1812" s="348"/>
      <c r="Z1812" s="348"/>
      <c r="AA1812" s="348"/>
    </row>
    <row r="1813" s="331" customFormat="1" ht="17" customHeight="1" spans="1:27">
      <c r="A1813" s="550" t="s">
        <v>5048</v>
      </c>
      <c r="B1813" s="348" t="s">
        <v>185</v>
      </c>
      <c r="C1813" s="348" t="s">
        <v>886</v>
      </c>
      <c r="D1813" s="349" t="s">
        <v>187</v>
      </c>
      <c r="E1813" s="336">
        <v>43696</v>
      </c>
      <c r="F1813" s="336">
        <v>43658</v>
      </c>
      <c r="G1813" s="336">
        <v>43695</v>
      </c>
      <c r="H1813" s="334" t="s">
        <v>5049</v>
      </c>
      <c r="I1813" s="356">
        <v>18101889526</v>
      </c>
      <c r="J1813" s="361" t="s">
        <v>5050</v>
      </c>
      <c r="K1813" s="356">
        <v>500</v>
      </c>
      <c r="L1813" s="334">
        <v>5717</v>
      </c>
      <c r="M1813" s="419"/>
      <c r="N1813" s="362">
        <f t="shared" si="55"/>
        <v>5717</v>
      </c>
      <c r="O1813" s="356" t="s">
        <v>52</v>
      </c>
      <c r="P1813" s="356"/>
      <c r="Q1813" s="356"/>
      <c r="R1813" s="356"/>
      <c r="S1813" s="356"/>
      <c r="T1813" s="356"/>
      <c r="U1813" s="372"/>
      <c r="V1813" s="372"/>
      <c r="W1813" s="372"/>
      <c r="X1813" s="373"/>
      <c r="Y1813" s="348"/>
      <c r="Z1813" s="348"/>
      <c r="AA1813" s="348"/>
    </row>
    <row r="1814" s="331" customFormat="1" ht="17" customHeight="1" spans="1:27">
      <c r="A1814" s="550" t="s">
        <v>5051</v>
      </c>
      <c r="B1814" s="348" t="s">
        <v>58</v>
      </c>
      <c r="C1814" s="348" t="s">
        <v>347</v>
      </c>
      <c r="D1814" s="349" t="s">
        <v>60</v>
      </c>
      <c r="E1814" s="336">
        <v>43659</v>
      </c>
      <c r="F1814" s="336">
        <v>43658</v>
      </c>
      <c r="G1814" s="350"/>
      <c r="H1814" s="334" t="s">
        <v>5052</v>
      </c>
      <c r="I1814" s="356">
        <v>15618270926</v>
      </c>
      <c r="J1814" s="361" t="s">
        <v>5053</v>
      </c>
      <c r="K1814" s="356">
        <v>1000</v>
      </c>
      <c r="L1814" s="419"/>
      <c r="M1814" s="419"/>
      <c r="N1814" s="362">
        <f t="shared" si="55"/>
        <v>0</v>
      </c>
      <c r="O1814" s="356"/>
      <c r="P1814" s="356"/>
      <c r="Q1814" s="356"/>
      <c r="R1814" s="356"/>
      <c r="S1814" s="356"/>
      <c r="T1814" s="356"/>
      <c r="U1814" s="372">
        <v>7.22</v>
      </c>
      <c r="V1814" s="372"/>
      <c r="W1814" s="372"/>
      <c r="X1814" s="373"/>
      <c r="Y1814" s="348"/>
      <c r="Z1814" s="348"/>
      <c r="AA1814" s="348"/>
    </row>
    <row r="1815" s="331" customFormat="1" ht="15" customHeight="1" spans="1:27">
      <c r="A1815" s="550" t="s">
        <v>5054</v>
      </c>
      <c r="B1815" s="348" t="s">
        <v>58</v>
      </c>
      <c r="C1815" s="348" t="s">
        <v>347</v>
      </c>
      <c r="D1815" s="352" t="s">
        <v>343</v>
      </c>
      <c r="E1815" s="336">
        <v>43659</v>
      </c>
      <c r="F1815" s="336">
        <v>43658</v>
      </c>
      <c r="G1815" s="350"/>
      <c r="H1815" s="334" t="s">
        <v>5055</v>
      </c>
      <c r="I1815" s="356">
        <v>13901760457</v>
      </c>
      <c r="J1815" s="361" t="s">
        <v>5056</v>
      </c>
      <c r="K1815" s="356">
        <v>1000</v>
      </c>
      <c r="L1815" s="419"/>
      <c r="M1815" s="419"/>
      <c r="N1815" s="362">
        <f t="shared" si="55"/>
        <v>0</v>
      </c>
      <c r="O1815" s="366" t="s">
        <v>52</v>
      </c>
      <c r="P1815" s="356"/>
      <c r="Q1815" s="356"/>
      <c r="R1815" s="356"/>
      <c r="S1815" s="356"/>
      <c r="T1815" s="356"/>
      <c r="U1815" s="372"/>
      <c r="V1815" s="372"/>
      <c r="W1815" s="372"/>
      <c r="X1815" s="373"/>
      <c r="Y1815" s="348"/>
      <c r="Z1815" s="348"/>
      <c r="AA1815" s="348"/>
    </row>
    <row r="1816" s="331" customFormat="1" ht="17" customHeight="1" spans="1:27">
      <c r="A1816" s="550" t="s">
        <v>5057</v>
      </c>
      <c r="B1816" s="348" t="s">
        <v>185</v>
      </c>
      <c r="C1816" s="348" t="s">
        <v>886</v>
      </c>
      <c r="D1816" s="349" t="s">
        <v>44</v>
      </c>
      <c r="E1816" s="336">
        <v>43682</v>
      </c>
      <c r="F1816" s="336">
        <v>43658</v>
      </c>
      <c r="G1816" s="336">
        <v>43681</v>
      </c>
      <c r="H1816" s="334" t="s">
        <v>5058</v>
      </c>
      <c r="I1816" s="356">
        <v>15821023339</v>
      </c>
      <c r="J1816" s="361" t="s">
        <v>5059</v>
      </c>
      <c r="K1816" s="356">
        <v>500</v>
      </c>
      <c r="L1816" s="334">
        <v>15160</v>
      </c>
      <c r="M1816" s="334">
        <f>1104+736</f>
        <v>1840</v>
      </c>
      <c r="N1816" s="362">
        <f t="shared" si="55"/>
        <v>17000</v>
      </c>
      <c r="O1816" s="356"/>
      <c r="P1816" s="356"/>
      <c r="Q1816" s="356" t="s">
        <v>52</v>
      </c>
      <c r="R1816" s="356"/>
      <c r="S1816" s="356"/>
      <c r="T1816" s="356"/>
      <c r="U1816" s="372"/>
      <c r="V1816" s="372"/>
      <c r="W1816" s="372"/>
      <c r="X1816" s="373"/>
      <c r="Y1816" s="348"/>
      <c r="Z1816" s="348"/>
      <c r="AA1816" s="348"/>
    </row>
    <row r="1817" s="331" customFormat="1" ht="17" customHeight="1" spans="1:27">
      <c r="A1817" s="348"/>
      <c r="B1817" s="348" t="s">
        <v>137</v>
      </c>
      <c r="C1817" s="348" t="s">
        <v>861</v>
      </c>
      <c r="D1817" s="349" t="s">
        <v>427</v>
      </c>
      <c r="E1817" s="336">
        <v>43659</v>
      </c>
      <c r="F1817" s="336">
        <v>43659</v>
      </c>
      <c r="G1817" s="336">
        <v>43666</v>
      </c>
      <c r="H1817" s="334" t="s">
        <v>5060</v>
      </c>
      <c r="I1817" s="356">
        <v>15300795247</v>
      </c>
      <c r="J1817" s="361" t="s">
        <v>5061</v>
      </c>
      <c r="K1817" s="356">
        <v>1000</v>
      </c>
      <c r="L1817" s="334">
        <v>62300</v>
      </c>
      <c r="M1817" s="419"/>
      <c r="N1817" s="362">
        <f t="shared" si="55"/>
        <v>62300</v>
      </c>
      <c r="O1817" s="356"/>
      <c r="P1817" s="356"/>
      <c r="Q1817" s="356"/>
      <c r="R1817" s="356"/>
      <c r="S1817" s="356"/>
      <c r="T1817" s="356"/>
      <c r="U1817" s="372"/>
      <c r="V1817" s="372">
        <v>1</v>
      </c>
      <c r="W1817" s="372"/>
      <c r="X1817" s="373"/>
      <c r="Y1817" s="348"/>
      <c r="Z1817" s="348"/>
      <c r="AA1817" s="348"/>
    </row>
    <row r="1818" s="331" customFormat="1" ht="17" customHeight="1" spans="1:27">
      <c r="A1818" s="550" t="s">
        <v>5062</v>
      </c>
      <c r="B1818" s="348" t="s">
        <v>315</v>
      </c>
      <c r="C1818" s="348" t="s">
        <v>161</v>
      </c>
      <c r="D1818" s="349" t="s">
        <v>162</v>
      </c>
      <c r="E1818" s="336">
        <v>43659</v>
      </c>
      <c r="F1818" s="336">
        <v>43659</v>
      </c>
      <c r="G1818" s="336">
        <v>43665</v>
      </c>
      <c r="H1818" s="334" t="s">
        <v>5063</v>
      </c>
      <c r="I1818" s="356">
        <v>13818556369</v>
      </c>
      <c r="J1818" s="361" t="s">
        <v>5064</v>
      </c>
      <c r="K1818" s="356">
        <v>1000</v>
      </c>
      <c r="L1818" s="334">
        <v>16856</v>
      </c>
      <c r="M1818" s="334"/>
      <c r="N1818" s="362">
        <f t="shared" si="55"/>
        <v>16856</v>
      </c>
      <c r="O1818" s="356"/>
      <c r="P1818" s="356"/>
      <c r="Q1818" s="356"/>
      <c r="R1818" s="356"/>
      <c r="S1818" s="356"/>
      <c r="T1818" s="356"/>
      <c r="U1818" s="372"/>
      <c r="V1818" s="372"/>
      <c r="W1818" s="372"/>
      <c r="X1818" s="373"/>
      <c r="Y1818" s="348"/>
      <c r="Z1818" s="348"/>
      <c r="AA1818" s="348"/>
    </row>
    <row r="1819" s="331" customFormat="1" ht="17" customHeight="1" spans="1:27">
      <c r="A1819" s="550" t="s">
        <v>5065</v>
      </c>
      <c r="B1819" s="348" t="s">
        <v>66</v>
      </c>
      <c r="C1819" s="348" t="s">
        <v>3954</v>
      </c>
      <c r="D1819" s="349" t="s">
        <v>68</v>
      </c>
      <c r="E1819" s="336">
        <v>43717</v>
      </c>
      <c r="F1819" s="336">
        <v>43659</v>
      </c>
      <c r="G1819" s="336">
        <v>43716</v>
      </c>
      <c r="H1819" s="334" t="s">
        <v>5066</v>
      </c>
      <c r="I1819" s="356">
        <v>13120829931</v>
      </c>
      <c r="J1819" s="361" t="s">
        <v>5067</v>
      </c>
      <c r="K1819" s="356">
        <v>1000</v>
      </c>
      <c r="L1819" s="334">
        <v>10764</v>
      </c>
      <c r="M1819" s="419"/>
      <c r="N1819" s="362">
        <f t="shared" si="55"/>
        <v>10764</v>
      </c>
      <c r="O1819" s="356"/>
      <c r="P1819" s="356"/>
      <c r="Q1819" s="356"/>
      <c r="R1819" s="356" t="s">
        <v>2075</v>
      </c>
      <c r="S1819" s="356"/>
      <c r="T1819" s="356"/>
      <c r="U1819" s="372"/>
      <c r="V1819" s="372"/>
      <c r="W1819" s="372" t="s">
        <v>5068</v>
      </c>
      <c r="X1819" s="373"/>
      <c r="Y1819" s="348"/>
      <c r="Z1819" s="348"/>
      <c r="AA1819" s="348"/>
    </row>
    <row r="1820" s="331" customFormat="1" ht="17" customHeight="1" spans="1:27">
      <c r="A1820" s="348">
        <v>2066616</v>
      </c>
      <c r="B1820" s="348" t="s">
        <v>335</v>
      </c>
      <c r="C1820" s="334" t="s">
        <v>399</v>
      </c>
      <c r="D1820" s="349" t="s">
        <v>337</v>
      </c>
      <c r="E1820" s="336">
        <v>43659</v>
      </c>
      <c r="F1820" s="336">
        <v>43659</v>
      </c>
      <c r="G1820" s="336">
        <v>43664</v>
      </c>
      <c r="H1820" s="334" t="s">
        <v>5069</v>
      </c>
      <c r="I1820" s="356">
        <v>18016001908</v>
      </c>
      <c r="J1820" s="361" t="s">
        <v>5070</v>
      </c>
      <c r="K1820" s="356">
        <v>1000</v>
      </c>
      <c r="L1820" s="334">
        <v>11479</v>
      </c>
      <c r="M1820" s="334">
        <v>1900</v>
      </c>
      <c r="N1820" s="362">
        <f t="shared" si="55"/>
        <v>13379</v>
      </c>
      <c r="O1820" s="356"/>
      <c r="P1820" s="356"/>
      <c r="Q1820" s="356"/>
      <c r="R1820" s="356"/>
      <c r="S1820" s="356"/>
      <c r="T1820" s="356"/>
      <c r="U1820" s="372"/>
      <c r="V1820" s="372"/>
      <c r="W1820" s="372"/>
      <c r="X1820" s="373"/>
      <c r="Y1820" s="348"/>
      <c r="Z1820" s="348"/>
      <c r="AA1820" s="348"/>
    </row>
    <row r="1821" s="331" customFormat="1" ht="17" customHeight="1" spans="1:27">
      <c r="A1821" s="550" t="s">
        <v>5071</v>
      </c>
      <c r="B1821" s="348" t="s">
        <v>58</v>
      </c>
      <c r="C1821" s="348" t="s">
        <v>342</v>
      </c>
      <c r="D1821" s="349" t="s">
        <v>343</v>
      </c>
      <c r="E1821" s="336">
        <v>43698</v>
      </c>
      <c r="F1821" s="336">
        <v>43659</v>
      </c>
      <c r="G1821" s="336">
        <v>43697</v>
      </c>
      <c r="H1821" s="334" t="s">
        <v>5072</v>
      </c>
      <c r="I1821" s="356">
        <v>13764355567</v>
      </c>
      <c r="J1821" s="361" t="s">
        <v>5073</v>
      </c>
      <c r="K1821" s="356">
        <v>10000</v>
      </c>
      <c r="L1821" s="334">
        <f>18000-1472</f>
        <v>16528</v>
      </c>
      <c r="M1821" s="334">
        <v>1472</v>
      </c>
      <c r="N1821" s="362">
        <f t="shared" si="55"/>
        <v>18000</v>
      </c>
      <c r="O1821" s="356"/>
      <c r="P1821" s="366" t="s">
        <v>52</v>
      </c>
      <c r="Q1821" s="356"/>
      <c r="R1821" s="356"/>
      <c r="S1821" s="356"/>
      <c r="T1821" s="356"/>
      <c r="U1821" s="372"/>
      <c r="V1821" s="372"/>
      <c r="W1821" s="372"/>
      <c r="X1821" s="373"/>
      <c r="Y1821" s="348"/>
      <c r="Z1821" s="348"/>
      <c r="AA1821" s="348"/>
    </row>
    <row r="1822" s="331" customFormat="1" ht="17" customHeight="1" spans="1:27">
      <c r="A1822" s="550" t="s">
        <v>5074</v>
      </c>
      <c r="B1822" s="348" t="s">
        <v>205</v>
      </c>
      <c r="C1822" s="348" t="s">
        <v>1467</v>
      </c>
      <c r="D1822" s="334" t="s">
        <v>407</v>
      </c>
      <c r="E1822" s="336">
        <v>43707</v>
      </c>
      <c r="F1822" s="336">
        <v>43659</v>
      </c>
      <c r="G1822" s="336">
        <v>43706</v>
      </c>
      <c r="H1822" s="334" t="s">
        <v>5075</v>
      </c>
      <c r="I1822" s="356">
        <v>15931516009</v>
      </c>
      <c r="J1822" s="361" t="s">
        <v>5076</v>
      </c>
      <c r="K1822" s="356">
        <v>1000</v>
      </c>
      <c r="L1822" s="334">
        <f>20732-2412</f>
        <v>18320</v>
      </c>
      <c r="M1822" s="334">
        <v>2412</v>
      </c>
      <c r="N1822" s="362">
        <f t="shared" si="55"/>
        <v>20732</v>
      </c>
      <c r="O1822" s="356"/>
      <c r="P1822" s="356"/>
      <c r="Q1822" s="356"/>
      <c r="R1822" s="356"/>
      <c r="S1822" s="356"/>
      <c r="T1822" s="356"/>
      <c r="U1822" s="372"/>
      <c r="V1822" s="372"/>
      <c r="W1822" s="372" t="s">
        <v>1472</v>
      </c>
      <c r="X1822" s="373"/>
      <c r="Y1822" s="348"/>
      <c r="Z1822" s="348"/>
      <c r="AA1822" s="348"/>
    </row>
    <row r="1823" s="331" customFormat="1" ht="17" customHeight="1" spans="1:27">
      <c r="A1823" s="550" t="s">
        <v>5077</v>
      </c>
      <c r="B1823" s="348" t="s">
        <v>66</v>
      </c>
      <c r="C1823" s="348" t="s">
        <v>1749</v>
      </c>
      <c r="D1823" s="349" t="s">
        <v>68</v>
      </c>
      <c r="E1823" s="336">
        <v>43659</v>
      </c>
      <c r="F1823" s="336">
        <v>43658</v>
      </c>
      <c r="G1823" s="350"/>
      <c r="H1823" s="334" t="s">
        <v>5078</v>
      </c>
      <c r="I1823" s="356">
        <v>13701950795</v>
      </c>
      <c r="J1823" s="361" t="s">
        <v>5079</v>
      </c>
      <c r="K1823" s="356">
        <v>1000</v>
      </c>
      <c r="L1823" s="419"/>
      <c r="M1823" s="419"/>
      <c r="N1823" s="362">
        <f t="shared" si="55"/>
        <v>0</v>
      </c>
      <c r="O1823" s="356"/>
      <c r="P1823" s="356"/>
      <c r="Q1823" s="356" t="s">
        <v>21</v>
      </c>
      <c r="R1823" s="356"/>
      <c r="S1823" s="356"/>
      <c r="T1823" s="356"/>
      <c r="U1823" s="372" t="s">
        <v>12</v>
      </c>
      <c r="V1823" s="372"/>
      <c r="W1823" s="372"/>
      <c r="X1823" s="373"/>
      <c r="Y1823" s="348"/>
      <c r="Z1823" s="348"/>
      <c r="AA1823" s="348"/>
    </row>
    <row r="1824" s="331" customFormat="1" ht="17" customHeight="1" spans="1:27">
      <c r="A1824" s="348">
        <v>2022575</v>
      </c>
      <c r="B1824" s="348" t="s">
        <v>73</v>
      </c>
      <c r="C1824" s="348" t="s">
        <v>178</v>
      </c>
      <c r="D1824" s="349" t="s">
        <v>717</v>
      </c>
      <c r="E1824" s="336">
        <v>43659</v>
      </c>
      <c r="F1824" s="336">
        <v>43659</v>
      </c>
      <c r="G1824" s="336">
        <v>43660</v>
      </c>
      <c r="H1824" s="334" t="s">
        <v>5080</v>
      </c>
      <c r="I1824" s="356">
        <v>13641706564</v>
      </c>
      <c r="J1824" s="361" t="s">
        <v>5081</v>
      </c>
      <c r="K1824" s="356">
        <v>1000</v>
      </c>
      <c r="L1824" s="334">
        <v>12500</v>
      </c>
      <c r="M1824" s="334"/>
      <c r="N1824" s="362">
        <f t="shared" si="55"/>
        <v>12500</v>
      </c>
      <c r="O1824" s="356"/>
      <c r="P1824" s="356"/>
      <c r="Q1824" s="356"/>
      <c r="R1824" s="356"/>
      <c r="S1824" s="356"/>
      <c r="T1824" s="356"/>
      <c r="U1824" s="372"/>
      <c r="V1824" s="372"/>
      <c r="W1824" s="372"/>
      <c r="X1824" s="373"/>
      <c r="Y1824" s="348"/>
      <c r="Z1824" s="348"/>
      <c r="AA1824" s="348"/>
    </row>
    <row r="1825" s="331" customFormat="1" ht="17" customHeight="1" spans="1:27">
      <c r="A1825" s="550" t="s">
        <v>5082</v>
      </c>
      <c r="B1825" s="348" t="s">
        <v>73</v>
      </c>
      <c r="C1825" s="348" t="s">
        <v>74</v>
      </c>
      <c r="D1825" s="334" t="s">
        <v>132</v>
      </c>
      <c r="E1825" s="336">
        <v>43752</v>
      </c>
      <c r="F1825" s="336">
        <v>43659</v>
      </c>
      <c r="G1825" s="336">
        <v>43752</v>
      </c>
      <c r="H1825" s="334" t="s">
        <v>5083</v>
      </c>
      <c r="I1825" s="356">
        <v>13701774027</v>
      </c>
      <c r="J1825" s="361" t="s">
        <v>5084</v>
      </c>
      <c r="K1825" s="356">
        <v>1000</v>
      </c>
      <c r="L1825" s="334">
        <v>11896</v>
      </c>
      <c r="M1825" s="419"/>
      <c r="N1825" s="362">
        <f t="shared" si="55"/>
        <v>11896</v>
      </c>
      <c r="O1825" s="366" t="s">
        <v>52</v>
      </c>
      <c r="P1825" s="356"/>
      <c r="Q1825" s="356"/>
      <c r="R1825" s="356"/>
      <c r="S1825" s="356"/>
      <c r="T1825" s="356"/>
      <c r="U1825" s="372"/>
      <c r="V1825" s="372"/>
      <c r="W1825" s="372"/>
      <c r="X1825" s="373"/>
      <c r="Y1825" s="348"/>
      <c r="Z1825" s="348"/>
      <c r="AA1825" s="348"/>
    </row>
    <row r="1826" s="331" customFormat="1" ht="17" customHeight="1" spans="1:27">
      <c r="A1826" s="550" t="s">
        <v>5085</v>
      </c>
      <c r="B1826" s="348" t="s">
        <v>47</v>
      </c>
      <c r="C1826" s="348" t="s">
        <v>80</v>
      </c>
      <c r="D1826" s="352" t="s">
        <v>49</v>
      </c>
      <c r="E1826" s="336">
        <v>43659</v>
      </c>
      <c r="F1826" s="336">
        <v>43659</v>
      </c>
      <c r="G1826" s="350"/>
      <c r="H1826" s="334" t="s">
        <v>5086</v>
      </c>
      <c r="I1826" s="356">
        <v>13818135167</v>
      </c>
      <c r="J1826" s="361" t="s">
        <v>5087</v>
      </c>
      <c r="K1826" s="356">
        <v>1000</v>
      </c>
      <c r="L1826" s="419"/>
      <c r="M1826" s="419"/>
      <c r="N1826" s="362">
        <f t="shared" si="55"/>
        <v>0</v>
      </c>
      <c r="O1826" s="356"/>
      <c r="P1826" s="356"/>
      <c r="Q1826" s="356"/>
      <c r="R1826" s="356"/>
      <c r="S1826" s="356"/>
      <c r="T1826" s="356"/>
      <c r="U1826" s="397">
        <v>43687</v>
      </c>
      <c r="V1826" s="372"/>
      <c r="W1826" s="372"/>
      <c r="X1826" s="373"/>
      <c r="Y1826" s="348"/>
      <c r="Z1826" s="348"/>
      <c r="AA1826" s="348"/>
    </row>
    <row r="1827" s="331" customFormat="1" ht="17" customHeight="1" spans="1:27">
      <c r="A1827" s="550" t="s">
        <v>5088</v>
      </c>
      <c r="B1827" s="348" t="s">
        <v>35</v>
      </c>
      <c r="C1827" s="348" t="s">
        <v>36</v>
      </c>
      <c r="D1827" s="349" t="s">
        <v>37</v>
      </c>
      <c r="E1827" s="336">
        <v>43769</v>
      </c>
      <c r="F1827" s="336">
        <v>43659</v>
      </c>
      <c r="G1827" s="336">
        <v>43768</v>
      </c>
      <c r="H1827" s="334" t="s">
        <v>3944</v>
      </c>
      <c r="I1827" s="356">
        <v>13916910410</v>
      </c>
      <c r="J1827" s="361" t="s">
        <v>5089</v>
      </c>
      <c r="K1827" s="356">
        <v>3000</v>
      </c>
      <c r="L1827" s="334">
        <v>4000</v>
      </c>
      <c r="M1827" s="419"/>
      <c r="N1827" s="362">
        <f t="shared" si="55"/>
        <v>4000</v>
      </c>
      <c r="O1827" s="356" t="s">
        <v>52</v>
      </c>
      <c r="P1827" s="356"/>
      <c r="Q1827" s="356"/>
      <c r="R1827" s="356"/>
      <c r="S1827" s="356"/>
      <c r="T1827" s="356"/>
      <c r="U1827" s="372"/>
      <c r="V1827" s="372"/>
      <c r="W1827" s="372"/>
      <c r="X1827" s="373"/>
      <c r="Y1827" s="348"/>
      <c r="Z1827" s="348"/>
      <c r="AA1827" s="348"/>
    </row>
    <row r="1828" s="331" customFormat="1" ht="17" customHeight="1" spans="1:27">
      <c r="A1828" s="550" t="s">
        <v>5090</v>
      </c>
      <c r="B1828" s="348" t="s">
        <v>169</v>
      </c>
      <c r="C1828" s="348" t="s">
        <v>634</v>
      </c>
      <c r="D1828" s="349" t="s">
        <v>635</v>
      </c>
      <c r="E1828" s="336">
        <v>43708</v>
      </c>
      <c r="F1828" s="336">
        <v>43659</v>
      </c>
      <c r="G1828" s="336">
        <v>43708</v>
      </c>
      <c r="H1828" s="334" t="s">
        <v>5091</v>
      </c>
      <c r="I1828" s="356">
        <v>13501897053</v>
      </c>
      <c r="J1828" s="361" t="s">
        <v>5092</v>
      </c>
      <c r="K1828" s="356">
        <v>1000</v>
      </c>
      <c r="L1828" s="334">
        <v>11800</v>
      </c>
      <c r="M1828" s="419"/>
      <c r="N1828" s="362">
        <f t="shared" si="55"/>
        <v>11800</v>
      </c>
      <c r="O1828" s="356" t="s">
        <v>19</v>
      </c>
      <c r="P1828" s="356"/>
      <c r="Q1828" s="356"/>
      <c r="R1828" s="356"/>
      <c r="S1828" s="356"/>
      <c r="T1828" s="356"/>
      <c r="U1828" s="372"/>
      <c r="V1828" s="372"/>
      <c r="W1828" s="372"/>
      <c r="X1828" s="373"/>
      <c r="Y1828" s="348"/>
      <c r="Z1828" s="348"/>
      <c r="AA1828" s="348"/>
    </row>
    <row r="1829" s="331" customFormat="1" ht="17" customHeight="1" spans="1:27">
      <c r="A1829" s="348"/>
      <c r="B1829" s="348" t="s">
        <v>405</v>
      </c>
      <c r="C1829" s="348" t="s">
        <v>1234</v>
      </c>
      <c r="D1829" s="349" t="s">
        <v>407</v>
      </c>
      <c r="E1829" s="336">
        <v>43659</v>
      </c>
      <c r="F1829" s="336"/>
      <c r="G1829" s="336">
        <v>43658</v>
      </c>
      <c r="H1829" s="334" t="s">
        <v>5093</v>
      </c>
      <c r="I1829" s="356">
        <v>15201991175</v>
      </c>
      <c r="J1829" s="361" t="s">
        <v>5094</v>
      </c>
      <c r="K1829" s="356"/>
      <c r="L1829" s="334">
        <v>7847</v>
      </c>
      <c r="M1829" s="334"/>
      <c r="N1829" s="362">
        <f t="shared" si="55"/>
        <v>7847</v>
      </c>
      <c r="O1829" s="356"/>
      <c r="P1829" s="356"/>
      <c r="Q1829" s="356"/>
      <c r="R1829" s="356"/>
      <c r="S1829" s="356"/>
      <c r="T1829" s="356"/>
      <c r="U1829" s="372"/>
      <c r="V1829" s="372"/>
      <c r="W1829" s="372"/>
      <c r="X1829" s="373"/>
      <c r="Y1829" s="348"/>
      <c r="Z1829" s="348"/>
      <c r="AA1829" s="348"/>
    </row>
    <row r="1830" s="331" customFormat="1" ht="17" customHeight="1" spans="1:27">
      <c r="A1830" s="348">
        <v>2023304</v>
      </c>
      <c r="B1830" s="348" t="s">
        <v>243</v>
      </c>
      <c r="C1830" s="348" t="s">
        <v>304</v>
      </c>
      <c r="D1830" s="352" t="s">
        <v>49</v>
      </c>
      <c r="E1830" s="336">
        <v>43660</v>
      </c>
      <c r="F1830" s="336">
        <v>43658</v>
      </c>
      <c r="G1830" s="350">
        <v>43660</v>
      </c>
      <c r="H1830" s="334" t="s">
        <v>5095</v>
      </c>
      <c r="I1830" s="356">
        <v>13917653694</v>
      </c>
      <c r="J1830" s="361" t="s">
        <v>5096</v>
      </c>
      <c r="K1830" s="356">
        <v>5000</v>
      </c>
      <c r="L1830" s="334">
        <v>8991</v>
      </c>
      <c r="M1830" s="334">
        <v>760</v>
      </c>
      <c r="N1830" s="362">
        <f t="shared" si="55"/>
        <v>9751</v>
      </c>
      <c r="O1830" s="356"/>
      <c r="P1830" s="356"/>
      <c r="Q1830" s="356"/>
      <c r="R1830" s="356"/>
      <c r="S1830" s="356"/>
      <c r="T1830" s="356"/>
      <c r="U1830" s="372"/>
      <c r="V1830" s="372"/>
      <c r="W1830" s="372"/>
      <c r="X1830" s="373"/>
      <c r="Y1830" s="348"/>
      <c r="Z1830" s="348"/>
      <c r="AA1830" s="348"/>
    </row>
    <row r="1831" s="331" customFormat="1" ht="17" customHeight="1" spans="1:27">
      <c r="A1831" s="550" t="s">
        <v>5097</v>
      </c>
      <c r="B1831" s="348" t="s">
        <v>31</v>
      </c>
      <c r="C1831" s="348" t="s">
        <v>377</v>
      </c>
      <c r="D1831" s="349" t="s">
        <v>221</v>
      </c>
      <c r="E1831" s="336">
        <v>43660</v>
      </c>
      <c r="F1831" s="336">
        <v>43659</v>
      </c>
      <c r="G1831" s="336">
        <v>43667</v>
      </c>
      <c r="H1831" s="334" t="s">
        <v>5098</v>
      </c>
      <c r="I1831" s="356">
        <v>13816966578</v>
      </c>
      <c r="J1831" s="361" t="s">
        <v>5099</v>
      </c>
      <c r="K1831" s="356">
        <v>20000</v>
      </c>
      <c r="L1831" s="334">
        <v>7019</v>
      </c>
      <c r="M1831" s="334">
        <v>1472</v>
      </c>
      <c r="N1831" s="362">
        <f t="shared" si="55"/>
        <v>8491</v>
      </c>
      <c r="O1831" s="356"/>
      <c r="P1831" s="356"/>
      <c r="Q1831" s="356"/>
      <c r="R1831" s="356"/>
      <c r="S1831" s="356"/>
      <c r="T1831" s="356"/>
      <c r="U1831" s="372"/>
      <c r="V1831" s="372"/>
      <c r="W1831" s="372"/>
      <c r="X1831" s="373"/>
      <c r="Y1831" s="348"/>
      <c r="Z1831" s="348"/>
      <c r="AA1831" s="348"/>
    </row>
    <row r="1832" s="331" customFormat="1" ht="17" customHeight="1" spans="1:27">
      <c r="A1832" s="348"/>
      <c r="B1832" s="348" t="s">
        <v>315</v>
      </c>
      <c r="C1832" s="348" t="s">
        <v>181</v>
      </c>
      <c r="D1832" s="352" t="s">
        <v>182</v>
      </c>
      <c r="E1832" s="336">
        <v>43660</v>
      </c>
      <c r="F1832" s="336">
        <v>43659</v>
      </c>
      <c r="G1832" s="350"/>
      <c r="H1832" s="334" t="s">
        <v>5100</v>
      </c>
      <c r="I1832" s="356">
        <v>18101891002</v>
      </c>
      <c r="J1832" s="361" t="s">
        <v>5101</v>
      </c>
      <c r="K1832" s="356">
        <v>1000</v>
      </c>
      <c r="L1832" s="419"/>
      <c r="M1832" s="419"/>
      <c r="N1832" s="362">
        <f t="shared" si="55"/>
        <v>0</v>
      </c>
      <c r="O1832" s="356"/>
      <c r="P1832" s="356">
        <v>1</v>
      </c>
      <c r="Q1832" s="356"/>
      <c r="R1832" s="356"/>
      <c r="S1832" s="356"/>
      <c r="T1832" s="356"/>
      <c r="U1832" s="372" t="s">
        <v>5102</v>
      </c>
      <c r="V1832" s="372"/>
      <c r="W1832" s="372"/>
      <c r="X1832" s="373"/>
      <c r="Y1832" s="348"/>
      <c r="Z1832" s="348"/>
      <c r="AA1832" s="348"/>
    </row>
    <row r="1833" s="331" customFormat="1" ht="17" customHeight="1" spans="1:27">
      <c r="A1833" s="550" t="s">
        <v>5103</v>
      </c>
      <c r="B1833" s="348" t="s">
        <v>31</v>
      </c>
      <c r="C1833" s="348" t="s">
        <v>2716</v>
      </c>
      <c r="D1833" s="349" t="s">
        <v>33</v>
      </c>
      <c r="E1833" s="336">
        <v>43660</v>
      </c>
      <c r="F1833" s="336">
        <v>43659</v>
      </c>
      <c r="G1833" s="373" t="s">
        <v>1140</v>
      </c>
      <c r="H1833" s="334" t="s">
        <v>5104</v>
      </c>
      <c r="I1833" s="356">
        <v>18621731818</v>
      </c>
      <c r="J1833" s="361" t="s">
        <v>5105</v>
      </c>
      <c r="K1833" s="356">
        <v>1000</v>
      </c>
      <c r="L1833" s="419"/>
      <c r="M1833" s="419"/>
      <c r="N1833" s="362">
        <f t="shared" si="55"/>
        <v>0</v>
      </c>
      <c r="O1833" s="356"/>
      <c r="P1833" s="356"/>
      <c r="Q1833" s="366" t="s">
        <v>52</v>
      </c>
      <c r="R1833" s="356"/>
      <c r="S1833" s="356"/>
      <c r="T1833" s="356"/>
      <c r="U1833" s="372"/>
      <c r="V1833" s="372"/>
      <c r="W1833" s="372"/>
      <c r="X1833" s="373"/>
      <c r="Y1833" s="348"/>
      <c r="Z1833" s="348"/>
      <c r="AA1833" s="348"/>
    </row>
    <row r="1834" s="331" customFormat="1" ht="17" customHeight="1" spans="1:27">
      <c r="A1834" s="550" t="s">
        <v>5106</v>
      </c>
      <c r="B1834" s="348" t="s">
        <v>58</v>
      </c>
      <c r="C1834" s="348" t="s">
        <v>109</v>
      </c>
      <c r="D1834" s="349" t="s">
        <v>271</v>
      </c>
      <c r="E1834" s="336">
        <v>43660</v>
      </c>
      <c r="F1834" s="336">
        <v>43659</v>
      </c>
      <c r="G1834" s="336">
        <v>43662</v>
      </c>
      <c r="H1834" s="334" t="s">
        <v>5107</v>
      </c>
      <c r="I1834" s="356">
        <v>18621791161</v>
      </c>
      <c r="J1834" s="361" t="s">
        <v>5108</v>
      </c>
      <c r="K1834" s="356">
        <v>20000</v>
      </c>
      <c r="L1834" s="334">
        <v>25714</v>
      </c>
      <c r="M1834" s="334">
        <v>5081</v>
      </c>
      <c r="N1834" s="362">
        <f t="shared" si="55"/>
        <v>30795</v>
      </c>
      <c r="O1834" s="356"/>
      <c r="P1834" s="356"/>
      <c r="Q1834" s="356"/>
      <c r="R1834" s="356"/>
      <c r="S1834" s="356"/>
      <c r="T1834" s="356"/>
      <c r="U1834" s="372"/>
      <c r="V1834" s="372"/>
      <c r="W1834" s="372"/>
      <c r="X1834" s="373"/>
      <c r="Y1834" s="348"/>
      <c r="Z1834" s="348"/>
      <c r="AA1834" s="348"/>
    </row>
    <row r="1835" s="331" customFormat="1" ht="17" customHeight="1" spans="1:27">
      <c r="A1835" s="550" t="s">
        <v>5109</v>
      </c>
      <c r="B1835" s="348" t="s">
        <v>281</v>
      </c>
      <c r="C1835" s="348" t="s">
        <v>491</v>
      </c>
      <c r="D1835" s="352" t="s">
        <v>49</v>
      </c>
      <c r="E1835" s="336">
        <v>43660</v>
      </c>
      <c r="F1835" s="336">
        <v>43660</v>
      </c>
      <c r="G1835" s="407" t="s">
        <v>231</v>
      </c>
      <c r="H1835" s="334" t="s">
        <v>5110</v>
      </c>
      <c r="I1835" s="356">
        <v>13918819818</v>
      </c>
      <c r="J1835" s="361" t="s">
        <v>5111</v>
      </c>
      <c r="K1835" s="356">
        <v>1000</v>
      </c>
      <c r="L1835" s="419"/>
      <c r="M1835" s="419"/>
      <c r="N1835" s="362">
        <f t="shared" si="55"/>
        <v>0</v>
      </c>
      <c r="O1835" s="356"/>
      <c r="P1835" s="356"/>
      <c r="Q1835" s="356"/>
      <c r="R1835" s="356"/>
      <c r="S1835" s="356"/>
      <c r="T1835" s="356" t="s">
        <v>52</v>
      </c>
      <c r="U1835" s="372"/>
      <c r="V1835" s="372"/>
      <c r="W1835" s="372"/>
      <c r="X1835" s="373"/>
      <c r="Y1835" s="348"/>
      <c r="Z1835" s="348"/>
      <c r="AA1835" s="348"/>
    </row>
    <row r="1836" s="331" customFormat="1" ht="17" customHeight="1" spans="1:27">
      <c r="A1836" s="550" t="s">
        <v>5112</v>
      </c>
      <c r="B1836" s="348" t="s">
        <v>281</v>
      </c>
      <c r="C1836" s="348" t="s">
        <v>491</v>
      </c>
      <c r="D1836" s="352" t="s">
        <v>49</v>
      </c>
      <c r="E1836" s="336">
        <v>43660</v>
      </c>
      <c r="F1836" s="336">
        <v>43660</v>
      </c>
      <c r="G1836" s="350"/>
      <c r="H1836" s="334" t="s">
        <v>5110</v>
      </c>
      <c r="I1836" s="356">
        <v>13918819818</v>
      </c>
      <c r="J1836" s="361" t="s">
        <v>5113</v>
      </c>
      <c r="K1836" s="356">
        <v>1000</v>
      </c>
      <c r="L1836" s="419"/>
      <c r="M1836" s="419"/>
      <c r="N1836" s="362">
        <f t="shared" si="55"/>
        <v>0</v>
      </c>
      <c r="O1836" s="356"/>
      <c r="P1836" s="356" t="s">
        <v>52</v>
      </c>
      <c r="Q1836" s="356"/>
      <c r="R1836" s="356"/>
      <c r="S1836" s="356"/>
      <c r="T1836" s="356"/>
      <c r="U1836" s="372"/>
      <c r="V1836" s="372" t="s">
        <v>5114</v>
      </c>
      <c r="W1836" s="372"/>
      <c r="X1836" s="373"/>
      <c r="Y1836" s="348"/>
      <c r="Z1836" s="348"/>
      <c r="AA1836" s="348"/>
    </row>
    <row r="1837" s="331" customFormat="1" ht="17" customHeight="1" spans="1:27">
      <c r="A1837" s="348"/>
      <c r="B1837" s="348" t="s">
        <v>137</v>
      </c>
      <c r="C1837" s="348" t="s">
        <v>861</v>
      </c>
      <c r="D1837" s="334" t="s">
        <v>139</v>
      </c>
      <c r="E1837" s="336">
        <v>43716</v>
      </c>
      <c r="F1837" s="336">
        <v>43660</v>
      </c>
      <c r="G1837" s="336">
        <v>43713</v>
      </c>
      <c r="H1837" s="334" t="s">
        <v>5115</v>
      </c>
      <c r="I1837" s="356">
        <v>13913008228</v>
      </c>
      <c r="J1837" s="361" t="s">
        <v>5116</v>
      </c>
      <c r="K1837" s="356">
        <v>1000</v>
      </c>
      <c r="L1837" s="334">
        <v>28452</v>
      </c>
      <c r="M1837" s="419"/>
      <c r="N1837" s="362">
        <f t="shared" si="55"/>
        <v>28452</v>
      </c>
      <c r="O1837" s="356"/>
      <c r="P1837" s="356"/>
      <c r="Q1837" s="356"/>
      <c r="R1837" s="356"/>
      <c r="S1837" s="356"/>
      <c r="T1837" s="356"/>
      <c r="U1837" s="372"/>
      <c r="V1837" s="372"/>
      <c r="W1837" s="372"/>
      <c r="X1837" s="373"/>
      <c r="Y1837" s="348"/>
      <c r="Z1837" s="348"/>
      <c r="AA1837" s="348"/>
    </row>
    <row r="1838" s="331" customFormat="1" ht="17" customHeight="1" spans="1:27">
      <c r="A1838" s="550" t="s">
        <v>5117</v>
      </c>
      <c r="B1838" s="348" t="s">
        <v>137</v>
      </c>
      <c r="C1838" s="348" t="s">
        <v>480</v>
      </c>
      <c r="D1838" s="349" t="s">
        <v>75</v>
      </c>
      <c r="E1838" s="336">
        <v>43660</v>
      </c>
      <c r="F1838" s="336">
        <v>43660</v>
      </c>
      <c r="G1838" s="336">
        <v>43675</v>
      </c>
      <c r="H1838" s="334" t="s">
        <v>5118</v>
      </c>
      <c r="I1838" s="356">
        <v>13761581152</v>
      </c>
      <c r="J1838" s="361" t="s">
        <v>5119</v>
      </c>
      <c r="K1838" s="356">
        <v>1000</v>
      </c>
      <c r="L1838" s="334">
        <v>19000</v>
      </c>
      <c r="M1838" s="419"/>
      <c r="N1838" s="362">
        <f t="shared" si="55"/>
        <v>19000</v>
      </c>
      <c r="O1838" s="356"/>
      <c r="P1838" s="356"/>
      <c r="Q1838" s="356"/>
      <c r="R1838" s="356"/>
      <c r="S1838" s="356"/>
      <c r="T1838" s="356">
        <v>1</v>
      </c>
      <c r="U1838" s="372"/>
      <c r="V1838" s="372"/>
      <c r="W1838" s="372"/>
      <c r="X1838" s="373"/>
      <c r="Y1838" s="348"/>
      <c r="Z1838" s="348"/>
      <c r="AA1838" s="348"/>
    </row>
    <row r="1839" s="331" customFormat="1" ht="17" customHeight="1" spans="1:27">
      <c r="A1839" s="550" t="s">
        <v>5120</v>
      </c>
      <c r="B1839" s="348" t="s">
        <v>31</v>
      </c>
      <c r="C1839" s="348" t="s">
        <v>2716</v>
      </c>
      <c r="D1839" s="349" t="s">
        <v>33</v>
      </c>
      <c r="E1839" s="336">
        <v>43696</v>
      </c>
      <c r="F1839" s="336">
        <v>43660</v>
      </c>
      <c r="G1839" s="336">
        <v>43694</v>
      </c>
      <c r="H1839" s="334" t="s">
        <v>5121</v>
      </c>
      <c r="I1839" s="356" t="s">
        <v>5122</v>
      </c>
      <c r="J1839" s="361" t="s">
        <v>5123</v>
      </c>
      <c r="K1839" s="356">
        <v>5000</v>
      </c>
      <c r="L1839" s="334">
        <v>13227</v>
      </c>
      <c r="M1839" s="419"/>
      <c r="N1839" s="362">
        <f t="shared" si="55"/>
        <v>13227</v>
      </c>
      <c r="O1839" s="356"/>
      <c r="P1839" s="356"/>
      <c r="Q1839" s="356"/>
      <c r="R1839" s="366" t="s">
        <v>52</v>
      </c>
      <c r="S1839" s="356"/>
      <c r="T1839" s="356"/>
      <c r="U1839" s="372"/>
      <c r="V1839" s="372"/>
      <c r="W1839" s="372"/>
      <c r="X1839" s="373"/>
      <c r="Y1839" s="348"/>
      <c r="Z1839" s="348"/>
      <c r="AA1839" s="348"/>
    </row>
    <row r="1840" s="331" customFormat="1" ht="17" customHeight="1" spans="1:27">
      <c r="A1840" s="550" t="s">
        <v>5124</v>
      </c>
      <c r="B1840" s="348" t="s">
        <v>66</v>
      </c>
      <c r="C1840" s="348" t="s">
        <v>3954</v>
      </c>
      <c r="D1840" s="349" t="s">
        <v>68</v>
      </c>
      <c r="E1840" s="336">
        <v>43660</v>
      </c>
      <c r="F1840" s="336">
        <v>43659</v>
      </c>
      <c r="G1840" s="336">
        <v>43673</v>
      </c>
      <c r="H1840" s="334" t="s">
        <v>5125</v>
      </c>
      <c r="I1840" s="356">
        <v>13524654843</v>
      </c>
      <c r="J1840" s="361" t="s">
        <v>5126</v>
      </c>
      <c r="K1840" s="356">
        <v>1000</v>
      </c>
      <c r="L1840" s="334">
        <v>9823</v>
      </c>
      <c r="M1840" s="334">
        <v>1104</v>
      </c>
      <c r="N1840" s="362">
        <f t="shared" si="55"/>
        <v>10927</v>
      </c>
      <c r="O1840" s="356"/>
      <c r="P1840" s="356"/>
      <c r="Q1840" s="356"/>
      <c r="R1840" s="356"/>
      <c r="S1840" s="356"/>
      <c r="T1840" s="356"/>
      <c r="U1840" s="372"/>
      <c r="V1840" s="372" t="s">
        <v>2327</v>
      </c>
      <c r="W1840" s="372"/>
      <c r="X1840" s="373"/>
      <c r="Y1840" s="348"/>
      <c r="Z1840" s="348"/>
      <c r="AA1840" s="348"/>
    </row>
    <row r="1841" s="331" customFormat="1" ht="17" customHeight="1" spans="1:27">
      <c r="A1841" s="348"/>
      <c r="B1841" s="348" t="s">
        <v>66</v>
      </c>
      <c r="C1841" s="348" t="s">
        <v>951</v>
      </c>
      <c r="D1841" s="349" t="s">
        <v>68</v>
      </c>
      <c r="E1841" s="336">
        <v>43660</v>
      </c>
      <c r="F1841" s="336">
        <v>43660</v>
      </c>
      <c r="G1841" s="336">
        <v>43666</v>
      </c>
      <c r="H1841" s="334" t="s">
        <v>5127</v>
      </c>
      <c r="I1841" s="356">
        <v>15618398171</v>
      </c>
      <c r="J1841" s="361" t="s">
        <v>5128</v>
      </c>
      <c r="K1841" s="356">
        <v>1000</v>
      </c>
      <c r="L1841" s="334">
        <v>13789</v>
      </c>
      <c r="M1841" s="419"/>
      <c r="N1841" s="362">
        <f t="shared" ref="N1841:N1860" si="56">L1841+M1841</f>
        <v>13789</v>
      </c>
      <c r="O1841" s="356"/>
      <c r="P1841" s="356"/>
      <c r="Q1841" s="356"/>
      <c r="R1841" s="356"/>
      <c r="S1841" s="356"/>
      <c r="T1841" s="356"/>
      <c r="U1841" s="372"/>
      <c r="V1841" s="372"/>
      <c r="W1841" s="372"/>
      <c r="X1841" s="373"/>
      <c r="Y1841" s="348"/>
      <c r="Z1841" s="348"/>
      <c r="AA1841" s="348"/>
    </row>
    <row r="1842" s="331" customFormat="1" ht="17" customHeight="1" spans="1:27">
      <c r="A1842" s="550" t="s">
        <v>5129</v>
      </c>
      <c r="B1842" s="348" t="s">
        <v>185</v>
      </c>
      <c r="C1842" s="348" t="s">
        <v>1620</v>
      </c>
      <c r="D1842" s="349" t="s">
        <v>187</v>
      </c>
      <c r="E1842" s="336">
        <v>43660</v>
      </c>
      <c r="F1842" s="336">
        <v>43660</v>
      </c>
      <c r="G1842" s="336">
        <v>43666</v>
      </c>
      <c r="H1842" s="334" t="s">
        <v>5130</v>
      </c>
      <c r="I1842" s="356">
        <v>13585996366</v>
      </c>
      <c r="J1842" s="361" t="s">
        <v>5131</v>
      </c>
      <c r="K1842" s="356">
        <v>23680</v>
      </c>
      <c r="L1842" s="334">
        <v>22443</v>
      </c>
      <c r="M1842" s="419">
        <f>3000+1472+1104</f>
        <v>5576</v>
      </c>
      <c r="N1842" s="362">
        <f t="shared" si="56"/>
        <v>28019</v>
      </c>
      <c r="O1842" s="356"/>
      <c r="P1842" s="356"/>
      <c r="Q1842" s="356"/>
      <c r="R1842" s="356"/>
      <c r="S1842" s="356"/>
      <c r="T1842" s="356"/>
      <c r="U1842" s="372"/>
      <c r="V1842" s="372"/>
      <c r="W1842" s="372"/>
      <c r="X1842" s="373"/>
      <c r="Y1842" s="348"/>
      <c r="Z1842" s="348"/>
      <c r="AA1842" s="348"/>
    </row>
    <row r="1843" s="331" customFormat="1" ht="17" customHeight="1" spans="1:27">
      <c r="A1843" s="348"/>
      <c r="B1843" s="348" t="s">
        <v>35</v>
      </c>
      <c r="C1843" s="348" t="s">
        <v>392</v>
      </c>
      <c r="D1843" s="349" t="s">
        <v>37</v>
      </c>
      <c r="E1843" s="336">
        <v>43717</v>
      </c>
      <c r="F1843" s="336">
        <v>43660</v>
      </c>
      <c r="G1843" s="336">
        <v>43717</v>
      </c>
      <c r="H1843" s="334" t="s">
        <v>5132</v>
      </c>
      <c r="I1843" s="356">
        <v>18016314749</v>
      </c>
      <c r="J1843" s="361" t="s">
        <v>5133</v>
      </c>
      <c r="K1843" s="356">
        <v>1000</v>
      </c>
      <c r="L1843" s="334">
        <f>16000-1472</f>
        <v>14528</v>
      </c>
      <c r="M1843" s="334">
        <v>1472</v>
      </c>
      <c r="N1843" s="362">
        <f t="shared" si="56"/>
        <v>16000</v>
      </c>
      <c r="O1843" s="356"/>
      <c r="P1843" s="356" t="s">
        <v>52</v>
      </c>
      <c r="Q1843" s="356"/>
      <c r="R1843" s="356"/>
      <c r="S1843" s="356"/>
      <c r="T1843" s="356"/>
      <c r="U1843" s="372"/>
      <c r="V1843" s="372"/>
      <c r="W1843" s="372"/>
      <c r="X1843" s="373"/>
      <c r="Y1843" s="348"/>
      <c r="Z1843" s="348"/>
      <c r="AA1843" s="348"/>
    </row>
    <row r="1844" s="331" customFormat="1" ht="17" customHeight="1" spans="1:27">
      <c r="A1844" s="348"/>
      <c r="B1844" s="348" t="s">
        <v>35</v>
      </c>
      <c r="C1844" s="348" t="s">
        <v>392</v>
      </c>
      <c r="D1844" s="349" t="s">
        <v>37</v>
      </c>
      <c r="E1844" s="336">
        <v>43696</v>
      </c>
      <c r="F1844" s="336">
        <v>43660</v>
      </c>
      <c r="G1844" s="336">
        <v>43696</v>
      </c>
      <c r="H1844" s="334" t="s">
        <v>5134</v>
      </c>
      <c r="I1844" s="356">
        <v>13916630290</v>
      </c>
      <c r="J1844" s="361" t="s">
        <v>5135</v>
      </c>
      <c r="K1844" s="356">
        <v>3000</v>
      </c>
      <c r="L1844" s="334">
        <f>27667-3089</f>
        <v>24578</v>
      </c>
      <c r="M1844" s="334">
        <v>3089</v>
      </c>
      <c r="N1844" s="362">
        <f t="shared" si="56"/>
        <v>27667</v>
      </c>
      <c r="O1844" s="356" t="s">
        <v>52</v>
      </c>
      <c r="P1844" s="356"/>
      <c r="Q1844" s="356"/>
      <c r="R1844" s="356"/>
      <c r="S1844" s="356"/>
      <c r="T1844" s="356"/>
      <c r="U1844" s="372"/>
      <c r="V1844" s="372"/>
      <c r="W1844" s="372"/>
      <c r="X1844" s="373"/>
      <c r="Y1844" s="348"/>
      <c r="Z1844" s="348"/>
      <c r="AA1844" s="348"/>
    </row>
    <row r="1845" s="331" customFormat="1" ht="17" customHeight="1" spans="1:27">
      <c r="A1845" s="550" t="s">
        <v>5136</v>
      </c>
      <c r="B1845" s="348" t="s">
        <v>354</v>
      </c>
      <c r="C1845" s="348" t="s">
        <v>355</v>
      </c>
      <c r="D1845" s="349" t="s">
        <v>149</v>
      </c>
      <c r="E1845" s="336">
        <v>43708</v>
      </c>
      <c r="F1845" s="336">
        <v>43659</v>
      </c>
      <c r="G1845" s="336">
        <v>43708</v>
      </c>
      <c r="H1845" s="334" t="s">
        <v>5137</v>
      </c>
      <c r="I1845" s="356">
        <v>13817900902</v>
      </c>
      <c r="J1845" s="361" t="s">
        <v>5138</v>
      </c>
      <c r="K1845" s="356">
        <v>10000</v>
      </c>
      <c r="L1845" s="334">
        <v>14900</v>
      </c>
      <c r="M1845" s="419"/>
      <c r="N1845" s="362">
        <f t="shared" si="56"/>
        <v>14900</v>
      </c>
      <c r="O1845" s="356" t="s">
        <v>52</v>
      </c>
      <c r="P1845" s="356"/>
      <c r="Q1845" s="356"/>
      <c r="R1845" s="356"/>
      <c r="S1845" s="356"/>
      <c r="T1845" s="356"/>
      <c r="U1845" s="372"/>
      <c r="V1845" s="372"/>
      <c r="W1845" s="372"/>
      <c r="X1845" s="373"/>
      <c r="Y1845" s="348"/>
      <c r="Z1845" s="348"/>
      <c r="AA1845" s="348"/>
    </row>
    <row r="1846" s="331" customFormat="1" ht="17" customHeight="1" spans="1:27">
      <c r="A1846" s="550" t="s">
        <v>5139</v>
      </c>
      <c r="B1846" s="348" t="s">
        <v>354</v>
      </c>
      <c r="C1846" s="348" t="s">
        <v>355</v>
      </c>
      <c r="D1846" s="334" t="s">
        <v>182</v>
      </c>
      <c r="E1846" s="336">
        <v>43721</v>
      </c>
      <c r="F1846" s="336">
        <v>43659</v>
      </c>
      <c r="G1846" s="336">
        <v>43719</v>
      </c>
      <c r="H1846" s="334" t="s">
        <v>5140</v>
      </c>
      <c r="I1846" s="356">
        <v>13818316493</v>
      </c>
      <c r="J1846" s="361" t="s">
        <v>5141</v>
      </c>
      <c r="K1846" s="356">
        <v>5536</v>
      </c>
      <c r="L1846" s="334">
        <v>5606</v>
      </c>
      <c r="M1846" s="419"/>
      <c r="N1846" s="362">
        <f t="shared" si="56"/>
        <v>5606</v>
      </c>
      <c r="O1846" s="356" t="s">
        <v>52</v>
      </c>
      <c r="P1846" s="356"/>
      <c r="Q1846" s="356"/>
      <c r="R1846" s="356"/>
      <c r="S1846" s="356"/>
      <c r="T1846" s="356"/>
      <c r="U1846" s="372"/>
      <c r="V1846" s="372"/>
      <c r="W1846" s="372"/>
      <c r="X1846" s="373"/>
      <c r="Y1846" s="348"/>
      <c r="Z1846" s="348"/>
      <c r="AA1846" s="348"/>
    </row>
    <row r="1847" s="331" customFormat="1" ht="17" customHeight="1" spans="1:27">
      <c r="A1847" s="550" t="s">
        <v>5142</v>
      </c>
      <c r="B1847" s="348" t="s">
        <v>354</v>
      </c>
      <c r="C1847" s="348" t="s">
        <v>355</v>
      </c>
      <c r="D1847" s="349" t="s">
        <v>343</v>
      </c>
      <c r="E1847" s="336">
        <v>43660</v>
      </c>
      <c r="F1847" s="336">
        <v>43659</v>
      </c>
      <c r="G1847" s="336">
        <v>43673</v>
      </c>
      <c r="H1847" s="334" t="s">
        <v>5143</v>
      </c>
      <c r="I1847" s="356">
        <v>13621762875</v>
      </c>
      <c r="J1847" s="361" t="s">
        <v>5144</v>
      </c>
      <c r="K1847" s="356">
        <v>10000</v>
      </c>
      <c r="L1847" s="334">
        <v>9652</v>
      </c>
      <c r="M1847" s="419"/>
      <c r="N1847" s="362">
        <f t="shared" si="56"/>
        <v>9652</v>
      </c>
      <c r="O1847" s="356"/>
      <c r="P1847" s="356"/>
      <c r="Q1847" s="356"/>
      <c r="R1847" s="356"/>
      <c r="S1847" s="356"/>
      <c r="T1847" s="356"/>
      <c r="U1847" s="372"/>
      <c r="V1847" s="372"/>
      <c r="W1847" s="372"/>
      <c r="X1847" s="373"/>
      <c r="Y1847" s="348"/>
      <c r="Z1847" s="348"/>
      <c r="AA1847" s="348"/>
    </row>
    <row r="1848" s="331" customFormat="1" ht="17" customHeight="1" spans="1:27">
      <c r="A1848" s="348"/>
      <c r="B1848" s="348" t="s">
        <v>137</v>
      </c>
      <c r="C1848" s="348" t="s">
        <v>411</v>
      </c>
      <c r="D1848" s="349" t="s">
        <v>427</v>
      </c>
      <c r="E1848" s="336">
        <v>43718</v>
      </c>
      <c r="F1848" s="336">
        <v>43659</v>
      </c>
      <c r="G1848" s="336">
        <v>43717</v>
      </c>
      <c r="H1848" s="334" t="s">
        <v>5145</v>
      </c>
      <c r="I1848" s="356">
        <v>13817218658</v>
      </c>
      <c r="J1848" s="361" t="s">
        <v>5146</v>
      </c>
      <c r="K1848" s="356">
        <v>1000</v>
      </c>
      <c r="L1848" s="334">
        <v>14037</v>
      </c>
      <c r="M1848" s="419"/>
      <c r="N1848" s="362">
        <f t="shared" si="56"/>
        <v>14037</v>
      </c>
      <c r="O1848" s="356"/>
      <c r="P1848" s="356"/>
      <c r="Q1848" s="356"/>
      <c r="R1848" s="356"/>
      <c r="S1848" s="356"/>
      <c r="T1848" s="356">
        <v>1</v>
      </c>
      <c r="U1848" s="372"/>
      <c r="V1848" s="372"/>
      <c r="W1848" s="372"/>
      <c r="X1848" s="373"/>
      <c r="Y1848" s="348"/>
      <c r="Z1848" s="348"/>
      <c r="AA1848" s="348"/>
    </row>
    <row r="1849" s="331" customFormat="1" ht="15" customHeight="1" spans="1:27">
      <c r="A1849" s="550" t="s">
        <v>5147</v>
      </c>
      <c r="B1849" s="348" t="s">
        <v>58</v>
      </c>
      <c r="C1849" s="348" t="s">
        <v>59</v>
      </c>
      <c r="D1849" s="349" t="s">
        <v>271</v>
      </c>
      <c r="E1849" s="336">
        <v>43778</v>
      </c>
      <c r="F1849" s="336">
        <v>43659</v>
      </c>
      <c r="G1849" s="336">
        <v>43777</v>
      </c>
      <c r="H1849" s="334" t="s">
        <v>5148</v>
      </c>
      <c r="I1849" s="426">
        <v>18616180161</v>
      </c>
      <c r="J1849" s="361" t="s">
        <v>5149</v>
      </c>
      <c r="K1849" s="356">
        <v>1000</v>
      </c>
      <c r="L1849" s="334">
        <v>10205</v>
      </c>
      <c r="M1849" s="419"/>
      <c r="N1849" s="362">
        <f t="shared" si="56"/>
        <v>10205</v>
      </c>
      <c r="O1849" s="356"/>
      <c r="P1849" s="366" t="s">
        <v>52</v>
      </c>
      <c r="Q1849" s="356"/>
      <c r="R1849" s="356"/>
      <c r="S1849" s="356"/>
      <c r="T1849" s="356"/>
      <c r="U1849" s="372"/>
      <c r="V1849" s="372"/>
      <c r="W1849" s="372"/>
      <c r="X1849" s="373"/>
      <c r="Y1849" s="348"/>
      <c r="Z1849" s="348"/>
      <c r="AA1849" s="348"/>
    </row>
    <row r="1850" s="331" customFormat="1" ht="15" customHeight="1" spans="1:27">
      <c r="A1850" s="550" t="s">
        <v>5150</v>
      </c>
      <c r="B1850" s="348" t="s">
        <v>58</v>
      </c>
      <c r="C1850" s="348" t="s">
        <v>59</v>
      </c>
      <c r="D1850" s="349" t="s">
        <v>271</v>
      </c>
      <c r="E1850" s="336">
        <v>43737</v>
      </c>
      <c r="F1850" s="336">
        <v>43659</v>
      </c>
      <c r="G1850" s="336">
        <v>43734</v>
      </c>
      <c r="H1850" s="334" t="s">
        <v>5151</v>
      </c>
      <c r="I1850" s="356">
        <v>13391081087</v>
      </c>
      <c r="J1850" s="361" t="s">
        <v>5152</v>
      </c>
      <c r="K1850" s="356">
        <v>1000</v>
      </c>
      <c r="L1850" s="334">
        <v>34900</v>
      </c>
      <c r="M1850" s="419"/>
      <c r="N1850" s="362">
        <f t="shared" si="56"/>
        <v>34900</v>
      </c>
      <c r="O1850" s="366" t="s">
        <v>52</v>
      </c>
      <c r="P1850" s="356"/>
      <c r="Q1850" s="356"/>
      <c r="R1850" s="356"/>
      <c r="S1850" s="356"/>
      <c r="T1850" s="356"/>
      <c r="U1850" s="372"/>
      <c r="V1850" s="372"/>
      <c r="W1850" s="372"/>
      <c r="X1850" s="373"/>
      <c r="Y1850" s="348"/>
      <c r="Z1850" s="348"/>
      <c r="AA1850" s="348"/>
    </row>
    <row r="1851" s="331" customFormat="1" ht="17" customHeight="1" spans="1:27">
      <c r="A1851" s="348"/>
      <c r="B1851" s="348" t="s">
        <v>137</v>
      </c>
      <c r="C1851" s="348" t="s">
        <v>861</v>
      </c>
      <c r="D1851" s="349" t="s">
        <v>139</v>
      </c>
      <c r="E1851" s="336">
        <v>43660</v>
      </c>
      <c r="F1851" s="336">
        <v>43659</v>
      </c>
      <c r="G1851" s="336">
        <v>43666</v>
      </c>
      <c r="H1851" s="334" t="s">
        <v>5153</v>
      </c>
      <c r="I1851" s="356">
        <v>13052472977</v>
      </c>
      <c r="J1851" s="361" t="s">
        <v>5154</v>
      </c>
      <c r="K1851" s="356">
        <v>1000</v>
      </c>
      <c r="L1851" s="334">
        <v>11100</v>
      </c>
      <c r="M1851" s="419"/>
      <c r="N1851" s="362">
        <f t="shared" si="56"/>
        <v>11100</v>
      </c>
      <c r="O1851" s="356"/>
      <c r="P1851" s="356"/>
      <c r="Q1851" s="356"/>
      <c r="R1851" s="356"/>
      <c r="S1851" s="356"/>
      <c r="T1851" s="356"/>
      <c r="U1851" s="372"/>
      <c r="V1851" s="372"/>
      <c r="W1851" s="372"/>
      <c r="X1851" s="373"/>
      <c r="Y1851" s="348"/>
      <c r="Z1851" s="348"/>
      <c r="AA1851" s="348"/>
    </row>
    <row r="1852" s="331" customFormat="1" ht="17" customHeight="1" spans="1:27">
      <c r="A1852" s="348">
        <v>2066619</v>
      </c>
      <c r="B1852" s="348" t="s">
        <v>335</v>
      </c>
      <c r="C1852" s="348" t="s">
        <v>615</v>
      </c>
      <c r="D1852" s="349" t="s">
        <v>337</v>
      </c>
      <c r="E1852" s="336">
        <v>43703</v>
      </c>
      <c r="F1852" s="336">
        <v>43660</v>
      </c>
      <c r="G1852" s="336">
        <v>43702</v>
      </c>
      <c r="H1852" s="334" t="s">
        <v>5155</v>
      </c>
      <c r="I1852" s="356">
        <v>13816279113</v>
      </c>
      <c r="J1852" s="361" t="s">
        <v>5156</v>
      </c>
      <c r="K1852" s="356">
        <v>1000</v>
      </c>
      <c r="L1852" s="334">
        <v>9600</v>
      </c>
      <c r="M1852" s="419"/>
      <c r="N1852" s="362">
        <f t="shared" si="56"/>
        <v>9600</v>
      </c>
      <c r="O1852" s="356"/>
      <c r="P1852" s="356"/>
      <c r="Q1852" s="356"/>
      <c r="R1852" s="356"/>
      <c r="S1852" s="356"/>
      <c r="T1852" s="356"/>
      <c r="U1852" s="372"/>
      <c r="V1852" s="372"/>
      <c r="W1852" s="376" t="s">
        <v>403</v>
      </c>
      <c r="X1852" s="373"/>
      <c r="Y1852" s="348"/>
      <c r="Z1852" s="348"/>
      <c r="AA1852" s="348"/>
    </row>
    <row r="1853" s="331" customFormat="1" ht="17" customHeight="1" spans="1:27">
      <c r="A1853" s="550" t="s">
        <v>5157</v>
      </c>
      <c r="B1853" s="348" t="s">
        <v>315</v>
      </c>
      <c r="C1853" s="348" t="s">
        <v>722</v>
      </c>
      <c r="D1853" s="334" t="s">
        <v>132</v>
      </c>
      <c r="E1853" s="336">
        <v>43707</v>
      </c>
      <c r="F1853" s="336">
        <v>43659</v>
      </c>
      <c r="G1853" s="336">
        <v>43706</v>
      </c>
      <c r="H1853" s="334" t="s">
        <v>5158</v>
      </c>
      <c r="I1853" s="356">
        <v>13641754562</v>
      </c>
      <c r="J1853" s="361" t="s">
        <v>5159</v>
      </c>
      <c r="K1853" s="356">
        <v>5000</v>
      </c>
      <c r="L1853" s="334">
        <v>5000</v>
      </c>
      <c r="M1853" s="419"/>
      <c r="N1853" s="362">
        <f t="shared" si="56"/>
        <v>5000</v>
      </c>
      <c r="O1853" s="356"/>
      <c r="P1853" s="356"/>
      <c r="Q1853" s="356">
        <v>1</v>
      </c>
      <c r="R1853" s="356"/>
      <c r="S1853" s="356"/>
      <c r="T1853" s="356"/>
      <c r="U1853" s="372"/>
      <c r="V1853" s="372"/>
      <c r="W1853" s="372"/>
      <c r="X1853" s="373"/>
      <c r="Y1853" s="348"/>
      <c r="Z1853" s="348"/>
      <c r="AA1853" s="348"/>
    </row>
    <row r="1854" s="331" customFormat="1" ht="17" customHeight="1" spans="1:27">
      <c r="A1854" s="348">
        <v>2067489</v>
      </c>
      <c r="B1854" s="348" t="s">
        <v>137</v>
      </c>
      <c r="C1854" s="348" t="s">
        <v>480</v>
      </c>
      <c r="D1854" s="349" t="s">
        <v>139</v>
      </c>
      <c r="E1854" s="336">
        <v>43660</v>
      </c>
      <c r="F1854" s="336">
        <v>43659</v>
      </c>
      <c r="G1854" s="336">
        <v>43675</v>
      </c>
      <c r="H1854" s="334" t="s">
        <v>5160</v>
      </c>
      <c r="I1854" s="356">
        <v>13761632978</v>
      </c>
      <c r="J1854" s="361" t="s">
        <v>5161</v>
      </c>
      <c r="K1854" s="356">
        <v>1000</v>
      </c>
      <c r="L1854" s="334">
        <v>17536</v>
      </c>
      <c r="M1854" s="419"/>
      <c r="N1854" s="362">
        <f t="shared" si="56"/>
        <v>17536</v>
      </c>
      <c r="O1854" s="356"/>
      <c r="P1854" s="356"/>
      <c r="Q1854" s="356"/>
      <c r="R1854" s="356"/>
      <c r="S1854" s="356">
        <v>1</v>
      </c>
      <c r="T1854" s="356"/>
      <c r="U1854" s="372"/>
      <c r="V1854" s="372"/>
      <c r="W1854" s="372"/>
      <c r="X1854" s="373"/>
      <c r="Y1854" s="348"/>
      <c r="Z1854" s="348"/>
      <c r="AA1854" s="348"/>
    </row>
    <row r="1855" s="331" customFormat="1" ht="17" customHeight="1" spans="1:27">
      <c r="A1855" s="550" t="s">
        <v>5162</v>
      </c>
      <c r="B1855" s="348" t="s">
        <v>58</v>
      </c>
      <c r="C1855" s="348" t="s">
        <v>342</v>
      </c>
      <c r="D1855" s="352" t="s">
        <v>271</v>
      </c>
      <c r="E1855" s="336">
        <v>43660</v>
      </c>
      <c r="F1855" s="336">
        <v>43659</v>
      </c>
      <c r="G1855" s="350"/>
      <c r="H1855" s="334" t="s">
        <v>5163</v>
      </c>
      <c r="I1855" s="356">
        <v>15901819693</v>
      </c>
      <c r="J1855" s="361" t="s">
        <v>5164</v>
      </c>
      <c r="K1855" s="356">
        <v>1000</v>
      </c>
      <c r="L1855" s="419"/>
      <c r="M1855" s="419"/>
      <c r="N1855" s="362">
        <f t="shared" si="56"/>
        <v>0</v>
      </c>
      <c r="O1855" s="366" t="s">
        <v>52</v>
      </c>
      <c r="P1855" s="356"/>
      <c r="Q1855" s="356"/>
      <c r="R1855" s="356"/>
      <c r="S1855" s="356"/>
      <c r="T1855" s="356"/>
      <c r="U1855" s="374">
        <v>43685</v>
      </c>
      <c r="V1855" s="372"/>
      <c r="W1855" s="372"/>
      <c r="X1855" s="373"/>
      <c r="Y1855" s="348"/>
      <c r="Z1855" s="348"/>
      <c r="AA1855" s="348"/>
    </row>
    <row r="1856" s="331" customFormat="1" ht="17" customHeight="1" spans="1:27">
      <c r="A1856" s="550" t="s">
        <v>5165</v>
      </c>
      <c r="B1856" s="348" t="s">
        <v>169</v>
      </c>
      <c r="C1856" s="348" t="s">
        <v>542</v>
      </c>
      <c r="D1856" s="349" t="s">
        <v>171</v>
      </c>
      <c r="E1856" s="336">
        <v>43660</v>
      </c>
      <c r="F1856" s="336">
        <v>43659</v>
      </c>
      <c r="G1856" s="350"/>
      <c r="H1856" s="334" t="s">
        <v>5166</v>
      </c>
      <c r="I1856" s="356">
        <v>13761435452</v>
      </c>
      <c r="J1856" s="361" t="s">
        <v>5167</v>
      </c>
      <c r="K1856" s="356">
        <v>1000</v>
      </c>
      <c r="L1856" s="419"/>
      <c r="M1856" s="419"/>
      <c r="N1856" s="362">
        <f t="shared" si="56"/>
        <v>0</v>
      </c>
      <c r="O1856" s="356"/>
      <c r="P1856" s="356" t="s">
        <v>1526</v>
      </c>
      <c r="Q1856" s="356"/>
      <c r="R1856" s="356"/>
      <c r="S1856" s="356"/>
      <c r="T1856" s="356"/>
      <c r="U1856" s="372" t="s">
        <v>40</v>
      </c>
      <c r="V1856" s="372"/>
      <c r="W1856" s="372"/>
      <c r="X1856" s="373"/>
      <c r="Y1856" s="348"/>
      <c r="Z1856" s="348"/>
      <c r="AA1856" s="348"/>
    </row>
    <row r="1857" s="331" customFormat="1" ht="17" customHeight="1" spans="1:27">
      <c r="A1857" s="550" t="s">
        <v>5168</v>
      </c>
      <c r="B1857" s="348" t="s">
        <v>169</v>
      </c>
      <c r="C1857" s="348" t="s">
        <v>542</v>
      </c>
      <c r="D1857" s="349" t="s">
        <v>171</v>
      </c>
      <c r="E1857" s="336">
        <v>43660</v>
      </c>
      <c r="F1857" s="336">
        <v>43659</v>
      </c>
      <c r="G1857" s="336">
        <v>43667</v>
      </c>
      <c r="H1857" s="334" t="s">
        <v>5169</v>
      </c>
      <c r="I1857" s="356">
        <v>17721150527</v>
      </c>
      <c r="J1857" s="361" t="s">
        <v>5170</v>
      </c>
      <c r="K1857" s="356">
        <v>1000</v>
      </c>
      <c r="L1857" s="334">
        <v>8635</v>
      </c>
      <c r="M1857" s="419"/>
      <c r="N1857" s="362">
        <f t="shared" si="56"/>
        <v>8635</v>
      </c>
      <c r="O1857" s="356"/>
      <c r="P1857" s="356"/>
      <c r="Q1857" s="356"/>
      <c r="R1857" s="356"/>
      <c r="S1857" s="356"/>
      <c r="T1857" s="356"/>
      <c r="U1857" s="372"/>
      <c r="V1857" s="372"/>
      <c r="W1857" s="372"/>
      <c r="X1857" s="373"/>
      <c r="Y1857" s="348"/>
      <c r="Z1857" s="348"/>
      <c r="AA1857" s="348"/>
    </row>
    <row r="1858" s="331" customFormat="1" ht="17" customHeight="1" spans="1:27">
      <c r="A1858" s="348">
        <v>2068591</v>
      </c>
      <c r="B1858" s="348" t="s">
        <v>87</v>
      </c>
      <c r="C1858" s="348" t="s">
        <v>199</v>
      </c>
      <c r="D1858" s="349" t="s">
        <v>89</v>
      </c>
      <c r="E1858" s="336">
        <v>43684</v>
      </c>
      <c r="F1858" s="336">
        <v>43659</v>
      </c>
      <c r="G1858" s="336">
        <v>43684</v>
      </c>
      <c r="H1858" s="334" t="s">
        <v>5171</v>
      </c>
      <c r="I1858" s="356">
        <v>18916168253</v>
      </c>
      <c r="J1858" s="361" t="s">
        <v>5172</v>
      </c>
      <c r="K1858" s="356">
        <v>2000</v>
      </c>
      <c r="L1858" s="334">
        <v>11860</v>
      </c>
      <c r="M1858" s="419"/>
      <c r="N1858" s="362">
        <f t="shared" si="56"/>
        <v>11860</v>
      </c>
      <c r="O1858" s="356"/>
      <c r="P1858" s="356"/>
      <c r="Q1858" s="356"/>
      <c r="R1858" s="356"/>
      <c r="S1858" s="356"/>
      <c r="T1858" s="356"/>
      <c r="U1858" s="372"/>
      <c r="V1858" s="411" t="s">
        <v>98</v>
      </c>
      <c r="W1858" s="372"/>
      <c r="X1858" s="373"/>
      <c r="Y1858" s="348"/>
      <c r="Z1858" s="348"/>
      <c r="AA1858" s="348"/>
    </row>
    <row r="1859" s="331" customFormat="1" ht="17" customHeight="1" spans="1:27">
      <c r="A1859" s="348">
        <v>2068592</v>
      </c>
      <c r="B1859" s="348" t="s">
        <v>87</v>
      </c>
      <c r="C1859" s="348" t="s">
        <v>466</v>
      </c>
      <c r="D1859" s="349" t="s">
        <v>89</v>
      </c>
      <c r="E1859" s="336">
        <v>43660</v>
      </c>
      <c r="F1859" s="336">
        <v>43659</v>
      </c>
      <c r="G1859" s="336">
        <v>43661</v>
      </c>
      <c r="H1859" s="334" t="s">
        <v>5173</v>
      </c>
      <c r="I1859" s="356">
        <v>18616389601</v>
      </c>
      <c r="J1859" s="361" t="s">
        <v>5174</v>
      </c>
      <c r="K1859" s="356">
        <v>5000</v>
      </c>
      <c r="L1859" s="334">
        <v>13227</v>
      </c>
      <c r="M1859" s="334">
        <v>1900</v>
      </c>
      <c r="N1859" s="362">
        <f t="shared" si="56"/>
        <v>15127</v>
      </c>
      <c r="O1859" s="356"/>
      <c r="P1859" s="356"/>
      <c r="Q1859" s="356"/>
      <c r="R1859" s="356"/>
      <c r="S1859" s="356"/>
      <c r="T1859" s="356"/>
      <c r="U1859" s="372"/>
      <c r="V1859" s="372"/>
      <c r="W1859" s="372"/>
      <c r="X1859" s="373"/>
      <c r="Y1859" s="348"/>
      <c r="Z1859" s="348"/>
      <c r="AA1859" s="348"/>
    </row>
    <row r="1860" s="331" customFormat="1" ht="17" customHeight="1" spans="1:27">
      <c r="A1860" s="550" t="s">
        <v>5175</v>
      </c>
      <c r="B1860" s="348" t="s">
        <v>31</v>
      </c>
      <c r="C1860" s="348" t="s">
        <v>3186</v>
      </c>
      <c r="D1860" s="349" t="s">
        <v>221</v>
      </c>
      <c r="E1860" s="336">
        <v>43682</v>
      </c>
      <c r="F1860" s="336">
        <v>43659</v>
      </c>
      <c r="G1860" s="336">
        <v>43679</v>
      </c>
      <c r="H1860" s="334" t="s">
        <v>5176</v>
      </c>
      <c r="I1860" s="356">
        <v>13501936896</v>
      </c>
      <c r="J1860" s="361" t="s">
        <v>5177</v>
      </c>
      <c r="K1860" s="356">
        <v>1000</v>
      </c>
      <c r="L1860" s="334">
        <v>4714</v>
      </c>
      <c r="M1860" s="419"/>
      <c r="N1860" s="362">
        <f t="shared" si="56"/>
        <v>4714</v>
      </c>
      <c r="O1860" s="356"/>
      <c r="P1860" s="356"/>
      <c r="Q1860" s="356"/>
      <c r="R1860" s="366" t="s">
        <v>52</v>
      </c>
      <c r="S1860" s="356"/>
      <c r="T1860" s="356"/>
      <c r="U1860" s="372"/>
      <c r="V1860" s="372"/>
      <c r="W1860" s="372"/>
      <c r="X1860" s="373"/>
      <c r="Y1860" s="348"/>
      <c r="Z1860" s="348"/>
      <c r="AA1860" s="348"/>
    </row>
    <row r="1861" s="331" customFormat="1" ht="17" customHeight="1" spans="1:27">
      <c r="A1861" s="550" t="s">
        <v>5178</v>
      </c>
      <c r="B1861" s="348" t="s">
        <v>315</v>
      </c>
      <c r="C1861" s="348" t="s">
        <v>258</v>
      </c>
      <c r="D1861" s="334" t="s">
        <v>182</v>
      </c>
      <c r="E1861" s="336">
        <v>43799</v>
      </c>
      <c r="F1861" s="336">
        <v>43659</v>
      </c>
      <c r="G1861" s="336">
        <v>43799</v>
      </c>
      <c r="H1861" s="334" t="s">
        <v>5179</v>
      </c>
      <c r="I1861" s="356">
        <v>18516233963</v>
      </c>
      <c r="J1861" s="361" t="s">
        <v>5180</v>
      </c>
      <c r="K1861" s="356">
        <v>1000</v>
      </c>
      <c r="L1861" s="334">
        <v>4962</v>
      </c>
      <c r="M1861" s="419"/>
      <c r="N1861" s="362">
        <f t="shared" ref="N1861:N1885" si="57">L1861+M1861</f>
        <v>4962</v>
      </c>
      <c r="O1861" s="356">
        <v>1</v>
      </c>
      <c r="P1861" s="356"/>
      <c r="Q1861" s="356"/>
      <c r="R1861" s="356"/>
      <c r="S1861" s="356"/>
      <c r="T1861" s="356"/>
      <c r="U1861" s="372"/>
      <c r="V1861" s="372"/>
      <c r="W1861" s="372"/>
      <c r="X1861" s="373"/>
      <c r="Y1861" s="348"/>
      <c r="Z1861" s="348"/>
      <c r="AA1861" s="348"/>
    </row>
    <row r="1862" s="331" customFormat="1" ht="17" customHeight="1" spans="1:27">
      <c r="A1862" s="550" t="s">
        <v>5181</v>
      </c>
      <c r="B1862" s="348" t="s">
        <v>35</v>
      </c>
      <c r="C1862" s="348" t="s">
        <v>36</v>
      </c>
      <c r="D1862" s="349" t="s">
        <v>37</v>
      </c>
      <c r="E1862" s="336">
        <v>43660</v>
      </c>
      <c r="F1862" s="336">
        <v>43659</v>
      </c>
      <c r="G1862" s="336">
        <v>43665</v>
      </c>
      <c r="H1862" s="334" t="s">
        <v>1265</v>
      </c>
      <c r="I1862" s="356">
        <v>1381670045</v>
      </c>
      <c r="J1862" s="361" t="s">
        <v>5182</v>
      </c>
      <c r="K1862" s="356">
        <v>1000</v>
      </c>
      <c r="L1862" s="334">
        <v>37598</v>
      </c>
      <c r="M1862" s="334"/>
      <c r="N1862" s="362">
        <f t="shared" si="57"/>
        <v>37598</v>
      </c>
      <c r="O1862" s="356"/>
      <c r="P1862" s="356"/>
      <c r="Q1862" s="356"/>
      <c r="R1862" s="356"/>
      <c r="S1862" s="356"/>
      <c r="T1862" s="356"/>
      <c r="U1862" s="372"/>
      <c r="V1862" s="372"/>
      <c r="W1862" s="372"/>
      <c r="X1862" s="373"/>
      <c r="Y1862" s="348"/>
      <c r="Z1862" s="348"/>
      <c r="AA1862" s="348"/>
    </row>
    <row r="1863" s="331" customFormat="1" ht="17" customHeight="1" spans="1:27">
      <c r="A1863" s="550" t="s">
        <v>5183</v>
      </c>
      <c r="B1863" s="348" t="s">
        <v>359</v>
      </c>
      <c r="C1863" s="348" t="s">
        <v>5184</v>
      </c>
      <c r="D1863" s="349" t="s">
        <v>361</v>
      </c>
      <c r="E1863" s="336">
        <v>43660</v>
      </c>
      <c r="F1863" s="336">
        <v>43660</v>
      </c>
      <c r="G1863" s="350" t="s">
        <v>69</v>
      </c>
      <c r="H1863" s="334" t="s">
        <v>3645</v>
      </c>
      <c r="I1863" s="356">
        <v>18088833259</v>
      </c>
      <c r="J1863" s="361" t="s">
        <v>5185</v>
      </c>
      <c r="K1863" s="356">
        <v>2000</v>
      </c>
      <c r="L1863" s="419"/>
      <c r="M1863" s="419"/>
      <c r="N1863" s="362">
        <f t="shared" si="57"/>
        <v>0</v>
      </c>
      <c r="O1863" s="356"/>
      <c r="P1863" s="356"/>
      <c r="Q1863" s="356"/>
      <c r="R1863" s="356"/>
      <c r="S1863" s="356" t="s">
        <v>23</v>
      </c>
      <c r="T1863" s="356"/>
      <c r="U1863" s="372"/>
      <c r="V1863" s="372"/>
      <c r="W1863" s="372" t="s">
        <v>5186</v>
      </c>
      <c r="X1863" s="373"/>
      <c r="Y1863" s="348"/>
      <c r="Z1863" s="348"/>
      <c r="AA1863" s="348"/>
    </row>
    <row r="1864" s="331" customFormat="1" ht="17" customHeight="1" spans="1:27">
      <c r="A1864" s="550" t="s">
        <v>5187</v>
      </c>
      <c r="B1864" s="348" t="s">
        <v>315</v>
      </c>
      <c r="C1864" s="348" t="s">
        <v>275</v>
      </c>
      <c r="D1864" s="349" t="s">
        <v>162</v>
      </c>
      <c r="E1864" s="336">
        <v>43660</v>
      </c>
      <c r="F1864" s="336">
        <v>43660</v>
      </c>
      <c r="G1864" s="336">
        <v>43670</v>
      </c>
      <c r="H1864" s="334" t="s">
        <v>5188</v>
      </c>
      <c r="I1864" s="356">
        <v>13817813571</v>
      </c>
      <c r="J1864" s="361" t="s">
        <v>5189</v>
      </c>
      <c r="K1864" s="356">
        <v>1000</v>
      </c>
      <c r="L1864" s="334">
        <v>18678</v>
      </c>
      <c r="M1864" s="334">
        <v>7322</v>
      </c>
      <c r="N1864" s="362">
        <f t="shared" si="57"/>
        <v>26000</v>
      </c>
      <c r="O1864" s="356"/>
      <c r="P1864" s="356"/>
      <c r="Q1864" s="356"/>
      <c r="R1864" s="356"/>
      <c r="S1864" s="356"/>
      <c r="T1864" s="356"/>
      <c r="U1864" s="372"/>
      <c r="V1864" s="372"/>
      <c r="W1864" s="372"/>
      <c r="X1864" s="373"/>
      <c r="Y1864" s="348"/>
      <c r="Z1864" s="348"/>
      <c r="AA1864" s="348"/>
    </row>
    <row r="1865" s="331" customFormat="1" ht="17" customHeight="1" spans="1:27">
      <c r="A1865" s="348">
        <v>2066942</v>
      </c>
      <c r="B1865" s="348" t="s">
        <v>335</v>
      </c>
      <c r="C1865" s="348" t="s">
        <v>615</v>
      </c>
      <c r="D1865" s="349" t="s">
        <v>337</v>
      </c>
      <c r="E1865" s="336">
        <v>43685</v>
      </c>
      <c r="F1865" s="336">
        <v>43660</v>
      </c>
      <c r="G1865" s="336">
        <v>43685</v>
      </c>
      <c r="H1865" s="348" t="s">
        <v>5190</v>
      </c>
      <c r="I1865" s="356">
        <v>13671989989</v>
      </c>
      <c r="J1865" s="361" t="s">
        <v>5191</v>
      </c>
      <c r="K1865" s="356">
        <v>20000</v>
      </c>
      <c r="L1865" s="334">
        <v>24715</v>
      </c>
      <c r="M1865" s="419"/>
      <c r="N1865" s="362">
        <f t="shared" si="57"/>
        <v>24715</v>
      </c>
      <c r="O1865" s="356"/>
      <c r="P1865" s="356"/>
      <c r="Q1865" s="356"/>
      <c r="R1865" s="356"/>
      <c r="S1865" s="356"/>
      <c r="T1865" s="356"/>
      <c r="U1865" s="372"/>
      <c r="V1865" s="372" t="s">
        <v>1946</v>
      </c>
      <c r="W1865" s="372"/>
      <c r="X1865" s="373"/>
      <c r="Y1865" s="348"/>
      <c r="Z1865" s="348"/>
      <c r="AA1865" s="348"/>
    </row>
    <row r="1866" s="331" customFormat="1" ht="17" customHeight="1" spans="1:27">
      <c r="A1866" s="550" t="s">
        <v>5192</v>
      </c>
      <c r="B1866" s="348" t="s">
        <v>359</v>
      </c>
      <c r="C1866" s="348" t="s">
        <v>5184</v>
      </c>
      <c r="D1866" s="349" t="s">
        <v>361</v>
      </c>
      <c r="E1866" s="336">
        <v>43719</v>
      </c>
      <c r="F1866" s="336">
        <v>43660</v>
      </c>
      <c r="G1866" s="336">
        <v>43716</v>
      </c>
      <c r="H1866" s="334" t="s">
        <v>5193</v>
      </c>
      <c r="I1866" s="356">
        <v>18901696988</v>
      </c>
      <c r="J1866" s="361" t="s">
        <v>5194</v>
      </c>
      <c r="K1866" s="356">
        <v>2000</v>
      </c>
      <c r="L1866" s="334">
        <f>15408-1900</f>
        <v>13508</v>
      </c>
      <c r="M1866" s="334">
        <f>2758+1900</f>
        <v>4658</v>
      </c>
      <c r="N1866" s="362">
        <f t="shared" si="57"/>
        <v>18166</v>
      </c>
      <c r="O1866" s="356"/>
      <c r="P1866" s="356"/>
      <c r="Q1866" s="356" t="s">
        <v>21</v>
      </c>
      <c r="R1866" s="356"/>
      <c r="S1866" s="356"/>
      <c r="T1866" s="356"/>
      <c r="U1866" s="372"/>
      <c r="V1866" s="372"/>
      <c r="W1866" s="372"/>
      <c r="X1866" s="373"/>
      <c r="Y1866" s="348"/>
      <c r="Z1866" s="348"/>
      <c r="AA1866" s="348"/>
    </row>
    <row r="1867" s="331" customFormat="1" ht="17" customHeight="1" spans="1:27">
      <c r="A1867" s="550" t="s">
        <v>5195</v>
      </c>
      <c r="B1867" s="348" t="s">
        <v>169</v>
      </c>
      <c r="C1867" s="348" t="s">
        <v>634</v>
      </c>
      <c r="D1867" s="349" t="s">
        <v>635</v>
      </c>
      <c r="E1867" s="336">
        <v>43660</v>
      </c>
      <c r="F1867" s="336">
        <v>43660</v>
      </c>
      <c r="G1867" s="336">
        <v>43677</v>
      </c>
      <c r="H1867" s="334" t="s">
        <v>5196</v>
      </c>
      <c r="I1867" s="356">
        <v>15000218469</v>
      </c>
      <c r="J1867" s="361" t="s">
        <v>5197</v>
      </c>
      <c r="K1867" s="356">
        <v>1000</v>
      </c>
      <c r="L1867" s="334">
        <v>13600</v>
      </c>
      <c r="M1867" s="419"/>
      <c r="N1867" s="362">
        <f t="shared" si="57"/>
        <v>13600</v>
      </c>
      <c r="O1867" s="356"/>
      <c r="P1867" s="356" t="s">
        <v>1526</v>
      </c>
      <c r="Q1867" s="356"/>
      <c r="R1867" s="356"/>
      <c r="S1867" s="356"/>
      <c r="T1867" s="356"/>
      <c r="U1867" s="372"/>
      <c r="V1867" s="372"/>
      <c r="W1867" s="372"/>
      <c r="X1867" s="373"/>
      <c r="Y1867" s="348"/>
      <c r="Z1867" s="348"/>
      <c r="AA1867" s="348"/>
    </row>
    <row r="1868" s="331" customFormat="1" ht="17" customHeight="1" spans="1:27">
      <c r="A1868" s="550" t="s">
        <v>5198</v>
      </c>
      <c r="B1868" s="348" t="s">
        <v>123</v>
      </c>
      <c r="C1868" s="348" t="s">
        <v>2301</v>
      </c>
      <c r="D1868" s="349" t="s">
        <v>125</v>
      </c>
      <c r="E1868" s="336">
        <v>43706</v>
      </c>
      <c r="F1868" s="336">
        <v>43660</v>
      </c>
      <c r="G1868" s="336">
        <v>43705</v>
      </c>
      <c r="H1868" s="334" t="s">
        <v>5199</v>
      </c>
      <c r="I1868" s="356">
        <v>18616531245</v>
      </c>
      <c r="J1868" s="361" t="s">
        <v>5200</v>
      </c>
      <c r="K1868" s="356">
        <v>1000</v>
      </c>
      <c r="L1868" s="334">
        <v>5562</v>
      </c>
      <c r="M1868" s="419"/>
      <c r="N1868" s="362">
        <f t="shared" si="57"/>
        <v>5562</v>
      </c>
      <c r="O1868" s="356"/>
      <c r="P1868" s="356"/>
      <c r="Q1868" s="356"/>
      <c r="R1868" s="356"/>
      <c r="S1868" s="356"/>
      <c r="T1868" s="356"/>
      <c r="U1868" s="372"/>
      <c r="V1868" s="372"/>
      <c r="W1868" s="372"/>
      <c r="X1868" s="373"/>
      <c r="Y1868" s="348"/>
      <c r="Z1868" s="348"/>
      <c r="AA1868" s="348"/>
    </row>
    <row r="1869" s="331" customFormat="1" ht="17" customHeight="1" spans="1:27">
      <c r="A1869" s="550" t="s">
        <v>5201</v>
      </c>
      <c r="B1869" s="348" t="s">
        <v>31</v>
      </c>
      <c r="C1869" s="348" t="s">
        <v>3186</v>
      </c>
      <c r="D1869" s="349" t="s">
        <v>221</v>
      </c>
      <c r="E1869" s="336">
        <v>43660</v>
      </c>
      <c r="F1869" s="336">
        <v>43660</v>
      </c>
      <c r="G1869" s="336">
        <v>43673</v>
      </c>
      <c r="H1869" s="334" t="s">
        <v>5202</v>
      </c>
      <c r="I1869" s="356">
        <v>13761273260</v>
      </c>
      <c r="J1869" s="361" t="s">
        <v>5203</v>
      </c>
      <c r="K1869" s="356">
        <v>1000</v>
      </c>
      <c r="L1869" s="334">
        <v>8296</v>
      </c>
      <c r="M1869" s="419"/>
      <c r="N1869" s="362">
        <f t="shared" si="57"/>
        <v>8296</v>
      </c>
      <c r="O1869" s="356"/>
      <c r="P1869" s="356"/>
      <c r="Q1869" s="366" t="s">
        <v>52</v>
      </c>
      <c r="R1869" s="356"/>
      <c r="S1869" s="356"/>
      <c r="T1869" s="356"/>
      <c r="U1869" s="372"/>
      <c r="V1869" s="372"/>
      <c r="W1869" s="372"/>
      <c r="X1869" s="373"/>
      <c r="Y1869" s="348"/>
      <c r="Z1869" s="348"/>
      <c r="AA1869" s="348"/>
    </row>
    <row r="1870" s="331" customFormat="1" ht="17" customHeight="1" spans="1:27">
      <c r="A1870" s="348">
        <v>2022578</v>
      </c>
      <c r="B1870" s="348" t="s">
        <v>73</v>
      </c>
      <c r="C1870" s="348" t="s">
        <v>74</v>
      </c>
      <c r="D1870" s="334" t="s">
        <v>75</v>
      </c>
      <c r="E1870" s="336">
        <v>43708</v>
      </c>
      <c r="F1870" s="336">
        <v>43660</v>
      </c>
      <c r="G1870" s="336">
        <v>43708</v>
      </c>
      <c r="H1870" s="334" t="s">
        <v>5204</v>
      </c>
      <c r="I1870" s="356">
        <v>15921080858</v>
      </c>
      <c r="J1870" s="361" t="s">
        <v>5205</v>
      </c>
      <c r="K1870" s="356">
        <v>1000</v>
      </c>
      <c r="L1870" s="334">
        <v>23372</v>
      </c>
      <c r="M1870" s="419"/>
      <c r="N1870" s="362">
        <f t="shared" si="57"/>
        <v>23372</v>
      </c>
      <c r="O1870" s="366" t="s">
        <v>52</v>
      </c>
      <c r="P1870" s="356"/>
      <c r="Q1870" s="356"/>
      <c r="R1870" s="356"/>
      <c r="S1870" s="356"/>
      <c r="T1870" s="356"/>
      <c r="U1870" s="372"/>
      <c r="V1870" s="372"/>
      <c r="W1870" s="372"/>
      <c r="X1870" s="373"/>
      <c r="Y1870" s="348"/>
      <c r="Z1870" s="348"/>
      <c r="AA1870" s="348"/>
    </row>
    <row r="1871" s="331" customFormat="1" ht="17" customHeight="1" spans="1:27">
      <c r="A1871" s="550" t="s">
        <v>5206</v>
      </c>
      <c r="B1871" s="348" t="s">
        <v>73</v>
      </c>
      <c r="C1871" s="348" t="s">
        <v>74</v>
      </c>
      <c r="D1871" s="352" t="s">
        <v>717</v>
      </c>
      <c r="E1871" s="336">
        <v>43708</v>
      </c>
      <c r="F1871" s="336">
        <v>43660</v>
      </c>
      <c r="G1871" s="336">
        <v>43708</v>
      </c>
      <c r="H1871" s="334" t="s">
        <v>5207</v>
      </c>
      <c r="I1871" s="356">
        <v>13585899430</v>
      </c>
      <c r="J1871" s="361" t="s">
        <v>5208</v>
      </c>
      <c r="K1871" s="356">
        <v>1000</v>
      </c>
      <c r="L1871" s="334">
        <v>16055</v>
      </c>
      <c r="M1871" s="419"/>
      <c r="N1871" s="362">
        <f t="shared" si="57"/>
        <v>16055</v>
      </c>
      <c r="O1871" s="366" t="s">
        <v>52</v>
      </c>
      <c r="P1871" s="356"/>
      <c r="Q1871" s="356"/>
      <c r="R1871" s="356"/>
      <c r="S1871" s="356"/>
      <c r="T1871" s="356"/>
      <c r="U1871" s="372"/>
      <c r="V1871" s="372"/>
      <c r="W1871" s="372"/>
      <c r="X1871" s="373"/>
      <c r="Y1871" s="348"/>
      <c r="Z1871" s="348"/>
      <c r="AA1871" s="348"/>
    </row>
    <row r="1872" s="331" customFormat="1" ht="17" customHeight="1" spans="1:27">
      <c r="A1872" s="348">
        <v>2022579</v>
      </c>
      <c r="B1872" s="348" t="s">
        <v>73</v>
      </c>
      <c r="C1872" s="348" t="s">
        <v>178</v>
      </c>
      <c r="D1872" s="352" t="s">
        <v>75</v>
      </c>
      <c r="E1872" s="336">
        <v>43660</v>
      </c>
      <c r="F1872" s="336">
        <v>43660</v>
      </c>
      <c r="G1872" s="350" t="s">
        <v>69</v>
      </c>
      <c r="H1872" s="334" t="s">
        <v>5209</v>
      </c>
      <c r="I1872" s="356">
        <v>18939930103</v>
      </c>
      <c r="J1872" s="361" t="s">
        <v>5210</v>
      </c>
      <c r="K1872" s="356">
        <v>1000</v>
      </c>
      <c r="L1872" s="419"/>
      <c r="M1872" s="419"/>
      <c r="N1872" s="362">
        <f t="shared" si="57"/>
        <v>0</v>
      </c>
      <c r="O1872" s="366" t="s">
        <v>52</v>
      </c>
      <c r="P1872" s="356"/>
      <c r="Q1872" s="356"/>
      <c r="R1872" s="356"/>
      <c r="S1872" s="356"/>
      <c r="T1872" s="356"/>
      <c r="U1872" s="372"/>
      <c r="V1872" s="372"/>
      <c r="W1872" s="372"/>
      <c r="X1872" s="373"/>
      <c r="Y1872" s="348"/>
      <c r="Z1872" s="348"/>
      <c r="AA1872" s="348"/>
    </row>
    <row r="1873" s="331" customFormat="1" ht="17" customHeight="1" spans="1:27">
      <c r="A1873" s="348">
        <v>2022577</v>
      </c>
      <c r="B1873" s="348" t="s">
        <v>73</v>
      </c>
      <c r="C1873" s="348" t="s">
        <v>178</v>
      </c>
      <c r="D1873" s="352" t="s">
        <v>44</v>
      </c>
      <c r="E1873" s="336">
        <v>43660</v>
      </c>
      <c r="F1873" s="336">
        <v>43660</v>
      </c>
      <c r="G1873" s="336">
        <v>43671</v>
      </c>
      <c r="H1873" s="334" t="s">
        <v>5211</v>
      </c>
      <c r="I1873" s="356">
        <v>17317677584</v>
      </c>
      <c r="J1873" s="361" t="s">
        <v>5212</v>
      </c>
      <c r="K1873" s="356">
        <v>1000</v>
      </c>
      <c r="L1873" s="334">
        <v>15909</v>
      </c>
      <c r="M1873" s="419"/>
      <c r="N1873" s="362">
        <f t="shared" si="57"/>
        <v>15909</v>
      </c>
      <c r="O1873" s="356"/>
      <c r="P1873" s="356"/>
      <c r="Q1873" s="356"/>
      <c r="R1873" s="356"/>
      <c r="S1873" s="356"/>
      <c r="T1873" s="356"/>
      <c r="U1873" s="372"/>
      <c r="V1873" s="372"/>
      <c r="W1873" s="372"/>
      <c r="X1873" s="373"/>
      <c r="Y1873" s="348"/>
      <c r="Z1873" s="348"/>
      <c r="AA1873" s="348"/>
    </row>
    <row r="1874" s="331" customFormat="1" ht="17" customHeight="1" spans="1:27">
      <c r="A1874" s="348"/>
      <c r="B1874" s="348" t="s">
        <v>31</v>
      </c>
      <c r="C1874" s="348" t="s">
        <v>419</v>
      </c>
      <c r="D1874" s="349" t="s">
        <v>33</v>
      </c>
      <c r="E1874" s="336">
        <v>43660</v>
      </c>
      <c r="F1874" s="336"/>
      <c r="G1874" s="336">
        <v>43659</v>
      </c>
      <c r="H1874" s="334" t="s">
        <v>5213</v>
      </c>
      <c r="I1874" s="356">
        <v>13661590357</v>
      </c>
      <c r="J1874" s="361" t="s">
        <v>5214</v>
      </c>
      <c r="K1874" s="356"/>
      <c r="L1874" s="334">
        <v>755</v>
      </c>
      <c r="M1874" s="334">
        <f>736+368</f>
        <v>1104</v>
      </c>
      <c r="N1874" s="362">
        <f t="shared" si="57"/>
        <v>1859</v>
      </c>
      <c r="O1874" s="356"/>
      <c r="P1874" s="356"/>
      <c r="Q1874" s="356"/>
      <c r="R1874" s="356"/>
      <c r="S1874" s="356"/>
      <c r="T1874" s="356"/>
      <c r="U1874" s="372"/>
      <c r="V1874" s="372"/>
      <c r="W1874" s="372"/>
      <c r="X1874" s="373"/>
      <c r="Y1874" s="348"/>
      <c r="Z1874" s="348"/>
      <c r="AA1874" s="348"/>
    </row>
    <row r="1875" s="331" customFormat="1" ht="17" customHeight="1" spans="1:27">
      <c r="A1875" s="348"/>
      <c r="B1875" s="348" t="s">
        <v>58</v>
      </c>
      <c r="C1875" s="334" t="s">
        <v>109</v>
      </c>
      <c r="D1875" s="349" t="s">
        <v>110</v>
      </c>
      <c r="E1875" s="336">
        <v>43660</v>
      </c>
      <c r="F1875" s="336"/>
      <c r="G1875" s="336">
        <v>43659</v>
      </c>
      <c r="H1875" s="334" t="s">
        <v>5215</v>
      </c>
      <c r="I1875" s="356">
        <v>18516599679</v>
      </c>
      <c r="J1875" s="361" t="s">
        <v>5216</v>
      </c>
      <c r="K1875" s="356"/>
      <c r="L1875" s="334">
        <v>5228</v>
      </c>
      <c r="M1875" s="334"/>
      <c r="N1875" s="362">
        <f t="shared" si="57"/>
        <v>5228</v>
      </c>
      <c r="O1875" s="356"/>
      <c r="P1875" s="356"/>
      <c r="Q1875" s="356"/>
      <c r="R1875" s="356"/>
      <c r="S1875" s="356"/>
      <c r="T1875" s="356"/>
      <c r="U1875" s="372"/>
      <c r="V1875" s="372"/>
      <c r="W1875" s="372"/>
      <c r="X1875" s="373"/>
      <c r="Y1875" s="348"/>
      <c r="Z1875" s="348"/>
      <c r="AA1875" s="348"/>
    </row>
    <row r="1876" s="331" customFormat="1" ht="17" customHeight="1" spans="1:27">
      <c r="A1876" s="550" t="s">
        <v>5217</v>
      </c>
      <c r="B1876" s="348" t="s">
        <v>147</v>
      </c>
      <c r="C1876" s="348" t="s">
        <v>148</v>
      </c>
      <c r="D1876" s="349" t="s">
        <v>187</v>
      </c>
      <c r="E1876" s="336">
        <v>43661</v>
      </c>
      <c r="F1876" s="336">
        <v>43639</v>
      </c>
      <c r="G1876" s="350">
        <v>43661</v>
      </c>
      <c r="H1876" s="334" t="s">
        <v>5218</v>
      </c>
      <c r="I1876" s="356">
        <v>13764887033</v>
      </c>
      <c r="J1876" s="361" t="s">
        <v>5219</v>
      </c>
      <c r="K1876" s="356">
        <v>21732</v>
      </c>
      <c r="L1876" s="334">
        <v>20732</v>
      </c>
      <c r="M1876" s="334"/>
      <c r="N1876" s="362">
        <f t="shared" si="57"/>
        <v>20732</v>
      </c>
      <c r="O1876" s="356"/>
      <c r="P1876" s="356"/>
      <c r="Q1876" s="356"/>
      <c r="R1876" s="356"/>
      <c r="S1876" s="356"/>
      <c r="T1876" s="356"/>
      <c r="U1876" s="372"/>
      <c r="V1876" s="372"/>
      <c r="W1876" s="372"/>
      <c r="X1876" s="373"/>
      <c r="Y1876" s="348"/>
      <c r="Z1876" s="348"/>
      <c r="AA1876" s="348"/>
    </row>
    <row r="1877" s="331" customFormat="1" ht="15" customHeight="1" spans="1:27">
      <c r="A1877" s="550" t="s">
        <v>5220</v>
      </c>
      <c r="B1877" s="348" t="s">
        <v>58</v>
      </c>
      <c r="C1877" s="348" t="s">
        <v>794</v>
      </c>
      <c r="D1877" s="352" t="s">
        <v>110</v>
      </c>
      <c r="E1877" s="336">
        <v>43661</v>
      </c>
      <c r="F1877" s="336">
        <v>43660</v>
      </c>
      <c r="G1877" s="350"/>
      <c r="H1877" s="334" t="s">
        <v>5221</v>
      </c>
      <c r="I1877" s="356">
        <v>13818085559</v>
      </c>
      <c r="J1877" s="361" t="s">
        <v>5222</v>
      </c>
      <c r="K1877" s="356">
        <v>3000</v>
      </c>
      <c r="L1877" s="419"/>
      <c r="M1877" s="419"/>
      <c r="N1877" s="362">
        <f t="shared" si="57"/>
        <v>0</v>
      </c>
      <c r="O1877" s="366"/>
      <c r="P1877" s="356"/>
      <c r="Q1877" s="366" t="s">
        <v>52</v>
      </c>
      <c r="R1877" s="356"/>
      <c r="S1877" s="356"/>
      <c r="T1877" s="356"/>
      <c r="U1877" s="372"/>
      <c r="V1877" s="372"/>
      <c r="W1877" s="372"/>
      <c r="X1877" s="373"/>
      <c r="Y1877" s="348"/>
      <c r="Z1877" s="348"/>
      <c r="AA1877" s="348"/>
    </row>
    <row r="1878" s="331" customFormat="1" ht="17" customHeight="1" spans="1:27">
      <c r="A1878" s="550" t="s">
        <v>5223</v>
      </c>
      <c r="B1878" s="348" t="s">
        <v>58</v>
      </c>
      <c r="C1878" s="348" t="s">
        <v>794</v>
      </c>
      <c r="D1878" s="352" t="s">
        <v>110</v>
      </c>
      <c r="E1878" s="336">
        <v>43704</v>
      </c>
      <c r="F1878" s="336">
        <v>43660</v>
      </c>
      <c r="G1878" s="350">
        <v>43702</v>
      </c>
      <c r="H1878" s="334" t="s">
        <v>5224</v>
      </c>
      <c r="I1878" s="356">
        <v>15151852682</v>
      </c>
      <c r="J1878" s="361" t="s">
        <v>5225</v>
      </c>
      <c r="K1878" s="356">
        <v>3000</v>
      </c>
      <c r="L1878" s="334">
        <f>11949-804</f>
        <v>11145</v>
      </c>
      <c r="M1878" s="334">
        <v>804</v>
      </c>
      <c r="N1878" s="362">
        <f t="shared" si="57"/>
        <v>11949</v>
      </c>
      <c r="O1878" s="356"/>
      <c r="P1878" s="356"/>
      <c r="Q1878" s="366" t="s">
        <v>52</v>
      </c>
      <c r="R1878" s="356"/>
      <c r="S1878" s="356"/>
      <c r="T1878" s="356"/>
      <c r="U1878" s="372"/>
      <c r="V1878" s="372"/>
      <c r="W1878" s="372"/>
      <c r="X1878" s="373"/>
      <c r="Y1878" s="348"/>
      <c r="Z1878" s="348"/>
      <c r="AA1878" s="348"/>
    </row>
    <row r="1879" s="331" customFormat="1" ht="17" customHeight="1" spans="1:27">
      <c r="A1879" s="550" t="s">
        <v>5226</v>
      </c>
      <c r="B1879" s="348" t="s">
        <v>58</v>
      </c>
      <c r="C1879" s="334" t="s">
        <v>347</v>
      </c>
      <c r="D1879" s="349" t="s">
        <v>271</v>
      </c>
      <c r="E1879" s="336">
        <v>43661</v>
      </c>
      <c r="F1879" s="336">
        <v>43660</v>
      </c>
      <c r="G1879" s="336">
        <v>43660</v>
      </c>
      <c r="H1879" s="334" t="s">
        <v>5227</v>
      </c>
      <c r="I1879" s="356">
        <v>18621578112</v>
      </c>
      <c r="J1879" s="361" t="s">
        <v>5228</v>
      </c>
      <c r="K1879" s="356">
        <v>0</v>
      </c>
      <c r="L1879" s="334">
        <v>7630</v>
      </c>
      <c r="M1879" s="334"/>
      <c r="N1879" s="362">
        <f t="shared" si="57"/>
        <v>7630</v>
      </c>
      <c r="O1879" s="356"/>
      <c r="P1879" s="356"/>
      <c r="Q1879" s="356"/>
      <c r="R1879" s="356"/>
      <c r="S1879" s="356"/>
      <c r="T1879" s="356"/>
      <c r="U1879" s="372"/>
      <c r="V1879" s="372"/>
      <c r="W1879" s="372"/>
      <c r="X1879" s="373"/>
      <c r="Y1879" s="348"/>
      <c r="Z1879" s="348"/>
      <c r="AA1879" s="348"/>
    </row>
    <row r="1880" s="331" customFormat="1" ht="17" customHeight="1" spans="1:27">
      <c r="A1880" s="550" t="s">
        <v>5229</v>
      </c>
      <c r="B1880" s="348" t="s">
        <v>805</v>
      </c>
      <c r="C1880" s="348" t="s">
        <v>806</v>
      </c>
      <c r="D1880" s="349" t="s">
        <v>171</v>
      </c>
      <c r="E1880" s="336">
        <v>43661</v>
      </c>
      <c r="F1880" s="336">
        <v>43660</v>
      </c>
      <c r="G1880" s="336">
        <v>43670</v>
      </c>
      <c r="H1880" s="334" t="s">
        <v>5230</v>
      </c>
      <c r="I1880" s="356">
        <v>18626278817</v>
      </c>
      <c r="J1880" s="361" t="s">
        <v>5231</v>
      </c>
      <c r="K1880" s="356">
        <v>3000</v>
      </c>
      <c r="L1880" s="334">
        <v>10327</v>
      </c>
      <c r="M1880" s="419"/>
      <c r="N1880" s="362">
        <f t="shared" si="57"/>
        <v>10327</v>
      </c>
      <c r="O1880" s="356"/>
      <c r="P1880" s="356"/>
      <c r="Q1880" s="356"/>
      <c r="R1880" s="356"/>
      <c r="S1880" s="356"/>
      <c r="T1880" s="356"/>
      <c r="U1880" s="372"/>
      <c r="V1880" s="372"/>
      <c r="W1880" s="375" t="s">
        <v>809</v>
      </c>
      <c r="X1880" s="373"/>
      <c r="Y1880" s="348"/>
      <c r="Z1880" s="348"/>
      <c r="AA1880" s="348"/>
    </row>
    <row r="1881" s="331" customFormat="1" ht="17" customHeight="1" spans="1:27">
      <c r="A1881" s="550" t="s">
        <v>5232</v>
      </c>
      <c r="B1881" s="348" t="s">
        <v>94</v>
      </c>
      <c r="C1881" s="348" t="s">
        <v>101</v>
      </c>
      <c r="D1881" s="349" t="s">
        <v>44</v>
      </c>
      <c r="E1881" s="336">
        <v>43661</v>
      </c>
      <c r="F1881" s="336">
        <v>43660</v>
      </c>
      <c r="G1881" s="336">
        <v>43676</v>
      </c>
      <c r="H1881" s="334" t="s">
        <v>5233</v>
      </c>
      <c r="I1881" s="356">
        <v>19930098353</v>
      </c>
      <c r="J1881" s="361" t="s">
        <v>5234</v>
      </c>
      <c r="K1881" s="356">
        <v>1000</v>
      </c>
      <c r="L1881" s="334">
        <v>68789</v>
      </c>
      <c r="M1881" s="419"/>
      <c r="N1881" s="362">
        <f t="shared" si="57"/>
        <v>68789</v>
      </c>
      <c r="O1881" s="356"/>
      <c r="P1881" s="356"/>
      <c r="Q1881" s="356"/>
      <c r="R1881" s="356"/>
      <c r="S1881" s="356"/>
      <c r="T1881" s="356"/>
      <c r="U1881" s="372"/>
      <c r="V1881" s="372"/>
      <c r="W1881" s="372"/>
      <c r="X1881" s="373"/>
      <c r="Y1881" s="348"/>
      <c r="Z1881" s="348"/>
      <c r="AA1881" s="348"/>
    </row>
    <row r="1882" s="331" customFormat="1" ht="17" customHeight="1" spans="1:27">
      <c r="A1882" s="550" t="s">
        <v>5235</v>
      </c>
      <c r="B1882" s="348" t="s">
        <v>315</v>
      </c>
      <c r="C1882" s="348" t="s">
        <v>722</v>
      </c>
      <c r="D1882" s="349" t="s">
        <v>89</v>
      </c>
      <c r="E1882" s="336">
        <v>43688</v>
      </c>
      <c r="F1882" s="336">
        <v>43660</v>
      </c>
      <c r="G1882" s="336">
        <v>43688</v>
      </c>
      <c r="H1882" s="334" t="s">
        <v>5236</v>
      </c>
      <c r="I1882" s="356">
        <v>15021206706</v>
      </c>
      <c r="J1882" s="361" t="s">
        <v>5237</v>
      </c>
      <c r="K1882" s="356">
        <v>5400</v>
      </c>
      <c r="L1882" s="334">
        <v>4664</v>
      </c>
      <c r="M1882" s="334">
        <v>736</v>
      </c>
      <c r="N1882" s="362">
        <f t="shared" si="57"/>
        <v>5400</v>
      </c>
      <c r="O1882" s="356"/>
      <c r="P1882" s="356"/>
      <c r="Q1882" s="356"/>
      <c r="R1882" s="356">
        <v>1</v>
      </c>
      <c r="S1882" s="356"/>
      <c r="T1882" s="356"/>
      <c r="U1882" s="372"/>
      <c r="V1882" s="372"/>
      <c r="W1882" s="372"/>
      <c r="X1882" s="373"/>
      <c r="Y1882" s="348"/>
      <c r="Z1882" s="348"/>
      <c r="AA1882" s="348"/>
    </row>
    <row r="1883" s="331" customFormat="1" ht="17" customHeight="1" spans="1:27">
      <c r="A1883" s="550" t="s">
        <v>5238</v>
      </c>
      <c r="B1883" s="348" t="s">
        <v>42</v>
      </c>
      <c r="C1883" s="348" t="s">
        <v>43</v>
      </c>
      <c r="D1883" s="349" t="s">
        <v>125</v>
      </c>
      <c r="E1883" s="336">
        <v>43661</v>
      </c>
      <c r="F1883" s="336">
        <v>43660</v>
      </c>
      <c r="G1883" s="336">
        <v>43675</v>
      </c>
      <c r="H1883" s="334" t="s">
        <v>5239</v>
      </c>
      <c r="I1883" s="356">
        <v>15821499476</v>
      </c>
      <c r="J1883" s="361" t="s">
        <v>5240</v>
      </c>
      <c r="K1883" s="356">
        <v>10000</v>
      </c>
      <c r="L1883" s="334">
        <v>10000</v>
      </c>
      <c r="M1883" s="419"/>
      <c r="N1883" s="362">
        <f t="shared" si="57"/>
        <v>10000</v>
      </c>
      <c r="O1883" s="356"/>
      <c r="P1883" s="356"/>
      <c r="Q1883" s="356"/>
      <c r="R1883" s="356"/>
      <c r="S1883" s="356"/>
      <c r="T1883" s="356" t="s">
        <v>3897</v>
      </c>
      <c r="U1883" s="372"/>
      <c r="V1883" s="372"/>
      <c r="W1883" s="372"/>
      <c r="X1883" s="373"/>
      <c r="Y1883" s="348"/>
      <c r="Z1883" s="348"/>
      <c r="AA1883" s="348"/>
    </row>
    <row r="1884" s="331" customFormat="1" ht="17" customHeight="1" spans="1:27">
      <c r="A1884" s="348"/>
      <c r="B1884" s="348" t="s">
        <v>31</v>
      </c>
      <c r="C1884" s="348" t="s">
        <v>419</v>
      </c>
      <c r="D1884" s="349" t="s">
        <v>221</v>
      </c>
      <c r="E1884" s="336">
        <v>43661</v>
      </c>
      <c r="F1884" s="336">
        <v>43660</v>
      </c>
      <c r="G1884" s="350"/>
      <c r="H1884" s="334" t="s">
        <v>5241</v>
      </c>
      <c r="I1884" s="356">
        <v>13331913728</v>
      </c>
      <c r="J1884" s="361" t="s">
        <v>5242</v>
      </c>
      <c r="K1884" s="356">
        <v>1000</v>
      </c>
      <c r="L1884" s="419"/>
      <c r="M1884" s="419"/>
      <c r="N1884" s="362">
        <f t="shared" ref="N1884:N1915" si="58">L1884+M1884</f>
        <v>0</v>
      </c>
      <c r="O1884" s="356"/>
      <c r="P1884" s="366" t="s">
        <v>52</v>
      </c>
      <c r="Q1884" s="356"/>
      <c r="R1884" s="356"/>
      <c r="S1884" s="356"/>
      <c r="T1884" s="356"/>
      <c r="U1884" s="372" t="s">
        <v>40</v>
      </c>
      <c r="V1884" s="372"/>
      <c r="W1884" s="372"/>
      <c r="X1884" s="373"/>
      <c r="Y1884" s="348"/>
      <c r="Z1884" s="348"/>
      <c r="AA1884" s="348"/>
    </row>
    <row r="1885" s="331" customFormat="1" ht="17" customHeight="1" spans="1:27">
      <c r="A1885" s="550" t="s">
        <v>5243</v>
      </c>
      <c r="B1885" s="348" t="s">
        <v>58</v>
      </c>
      <c r="C1885" s="348" t="s">
        <v>347</v>
      </c>
      <c r="D1885" s="334" t="s">
        <v>343</v>
      </c>
      <c r="E1885" s="336">
        <v>43705</v>
      </c>
      <c r="F1885" s="336">
        <v>43660</v>
      </c>
      <c r="G1885" s="336">
        <v>43702</v>
      </c>
      <c r="H1885" s="334" t="s">
        <v>5244</v>
      </c>
      <c r="I1885" s="356" t="s">
        <v>5245</v>
      </c>
      <c r="J1885" s="361" t="s">
        <v>5246</v>
      </c>
      <c r="K1885" s="356">
        <v>1000</v>
      </c>
      <c r="L1885" s="334">
        <v>7028</v>
      </c>
      <c r="M1885" s="334">
        <v>1072</v>
      </c>
      <c r="N1885" s="362">
        <f t="shared" si="58"/>
        <v>8100</v>
      </c>
      <c r="O1885" s="356"/>
      <c r="P1885" s="356"/>
      <c r="Q1885" s="366"/>
      <c r="R1885" s="356"/>
      <c r="S1885" s="356"/>
      <c r="T1885" s="356"/>
      <c r="U1885" s="372"/>
      <c r="V1885" s="372"/>
      <c r="W1885" s="372"/>
      <c r="X1885" s="373"/>
      <c r="Y1885" s="348"/>
      <c r="Z1885" s="348"/>
      <c r="AA1885" s="348"/>
    </row>
    <row r="1886" s="331" customFormat="1" ht="17" customHeight="1" spans="1:27">
      <c r="A1886" s="550" t="s">
        <v>5247</v>
      </c>
      <c r="B1886" s="348" t="s">
        <v>58</v>
      </c>
      <c r="C1886" s="348" t="s">
        <v>109</v>
      </c>
      <c r="D1886" s="352" t="s">
        <v>110</v>
      </c>
      <c r="E1886" s="336">
        <v>43699</v>
      </c>
      <c r="F1886" s="336">
        <v>43660</v>
      </c>
      <c r="G1886" s="336">
        <v>43698</v>
      </c>
      <c r="H1886" s="334" t="s">
        <v>5248</v>
      </c>
      <c r="I1886" s="356">
        <v>13661979249</v>
      </c>
      <c r="J1886" s="361" t="s">
        <v>5249</v>
      </c>
      <c r="K1886" s="356">
        <v>10000</v>
      </c>
      <c r="L1886" s="334">
        <v>10660</v>
      </c>
      <c r="M1886" s="419"/>
      <c r="N1886" s="362">
        <f t="shared" si="58"/>
        <v>10660</v>
      </c>
      <c r="O1886" s="356"/>
      <c r="P1886" s="366" t="s">
        <v>52</v>
      </c>
      <c r="Q1886" s="356"/>
      <c r="R1886" s="356"/>
      <c r="S1886" s="356"/>
      <c r="T1886" s="356"/>
      <c r="U1886" s="372"/>
      <c r="V1886" s="372"/>
      <c r="W1886" s="372"/>
      <c r="X1886" s="373"/>
      <c r="Y1886" s="348"/>
      <c r="Z1886" s="348"/>
      <c r="AA1886" s="348"/>
    </row>
    <row r="1887" s="331" customFormat="1" ht="17" customHeight="1" spans="1:27">
      <c r="A1887" s="550" t="s">
        <v>5250</v>
      </c>
      <c r="B1887" s="348" t="s">
        <v>58</v>
      </c>
      <c r="C1887" s="348" t="s">
        <v>59</v>
      </c>
      <c r="D1887" s="334" t="s">
        <v>271</v>
      </c>
      <c r="E1887" s="336">
        <v>43708</v>
      </c>
      <c r="F1887" s="336">
        <v>43660</v>
      </c>
      <c r="G1887" s="336">
        <v>43708</v>
      </c>
      <c r="H1887" s="334" t="s">
        <v>5251</v>
      </c>
      <c r="I1887" s="356">
        <v>13916857453</v>
      </c>
      <c r="J1887" s="361" t="s">
        <v>5252</v>
      </c>
      <c r="K1887" s="356">
        <v>10000</v>
      </c>
      <c r="L1887" s="334">
        <v>9984</v>
      </c>
      <c r="M1887" s="419"/>
      <c r="N1887" s="362">
        <f t="shared" si="58"/>
        <v>9984</v>
      </c>
      <c r="O1887" s="356"/>
      <c r="P1887" s="366" t="s">
        <v>52</v>
      </c>
      <c r="Q1887" s="356"/>
      <c r="R1887" s="356"/>
      <c r="S1887" s="356"/>
      <c r="T1887" s="356"/>
      <c r="U1887" s="372"/>
      <c r="V1887" s="372"/>
      <c r="W1887" s="372"/>
      <c r="X1887" s="373"/>
      <c r="Y1887" s="348"/>
      <c r="Z1887" s="348"/>
      <c r="AA1887" s="348"/>
    </row>
    <row r="1888" s="331" customFormat="1" ht="17" customHeight="1" spans="1:27">
      <c r="A1888" s="348"/>
      <c r="B1888" s="348" t="s">
        <v>35</v>
      </c>
      <c r="C1888" s="348" t="s">
        <v>36</v>
      </c>
      <c r="D1888" s="349" t="s">
        <v>37</v>
      </c>
      <c r="E1888" s="336">
        <v>43696</v>
      </c>
      <c r="F1888" s="336">
        <v>43660</v>
      </c>
      <c r="G1888" s="336">
        <v>43695</v>
      </c>
      <c r="H1888" s="334" t="s">
        <v>5253</v>
      </c>
      <c r="I1888" s="356">
        <v>18221575209</v>
      </c>
      <c r="J1888" s="361" t="s">
        <v>5254</v>
      </c>
      <c r="K1888" s="356">
        <v>6000</v>
      </c>
      <c r="L1888" s="334">
        <f>14505-500</f>
        <v>14005</v>
      </c>
      <c r="M1888" s="334">
        <v>1548</v>
      </c>
      <c r="N1888" s="362">
        <f t="shared" si="58"/>
        <v>15553</v>
      </c>
      <c r="O1888" s="356" t="s">
        <v>52</v>
      </c>
      <c r="P1888" s="356"/>
      <c r="Q1888" s="356"/>
      <c r="R1888" s="356"/>
      <c r="S1888" s="356"/>
      <c r="T1888" s="356"/>
      <c r="U1888" s="372"/>
      <c r="V1888" s="372"/>
      <c r="W1888" s="372"/>
      <c r="X1888" s="373"/>
      <c r="Y1888" s="348"/>
      <c r="Z1888" s="348"/>
      <c r="AA1888" s="348"/>
    </row>
    <row r="1889" s="331" customFormat="1" ht="17" customHeight="1" spans="1:27">
      <c r="A1889" s="550" t="s">
        <v>5255</v>
      </c>
      <c r="B1889" s="348" t="s">
        <v>315</v>
      </c>
      <c r="C1889" s="348" t="s">
        <v>161</v>
      </c>
      <c r="D1889" s="349" t="s">
        <v>162</v>
      </c>
      <c r="E1889" s="336">
        <v>43689</v>
      </c>
      <c r="F1889" s="336">
        <v>43661</v>
      </c>
      <c r="G1889" s="336">
        <v>43689</v>
      </c>
      <c r="H1889" s="334" t="s">
        <v>5256</v>
      </c>
      <c r="I1889" s="356">
        <v>13901727905</v>
      </c>
      <c r="J1889" s="361" t="s">
        <v>5257</v>
      </c>
      <c r="K1889" s="356">
        <v>1000</v>
      </c>
      <c r="L1889" s="334">
        <v>5360</v>
      </c>
      <c r="M1889" s="419"/>
      <c r="N1889" s="362">
        <f t="shared" si="58"/>
        <v>5360</v>
      </c>
      <c r="O1889" s="356"/>
      <c r="P1889" s="356"/>
      <c r="Q1889" s="356"/>
      <c r="R1889" s="356">
        <v>1</v>
      </c>
      <c r="S1889" s="356"/>
      <c r="T1889" s="356"/>
      <c r="U1889" s="372"/>
      <c r="V1889" s="372"/>
      <c r="W1889" s="372"/>
      <c r="X1889" s="373"/>
      <c r="Y1889" s="348"/>
      <c r="Z1889" s="348"/>
      <c r="AA1889" s="348"/>
    </row>
    <row r="1890" s="331" customFormat="1" ht="17" customHeight="1" spans="1:27">
      <c r="A1890" s="550" t="s">
        <v>5258</v>
      </c>
      <c r="B1890" s="348" t="s">
        <v>315</v>
      </c>
      <c r="C1890" s="348" t="s">
        <v>161</v>
      </c>
      <c r="D1890" s="349" t="s">
        <v>162</v>
      </c>
      <c r="E1890" s="336">
        <v>43661</v>
      </c>
      <c r="F1890" s="336">
        <v>43660</v>
      </c>
      <c r="G1890" s="336">
        <v>43674</v>
      </c>
      <c r="H1890" s="334" t="s">
        <v>5259</v>
      </c>
      <c r="I1890" s="356">
        <v>13917501329</v>
      </c>
      <c r="J1890" s="361" t="s">
        <v>5260</v>
      </c>
      <c r="K1890" s="356">
        <v>1000</v>
      </c>
      <c r="L1890" s="334">
        <v>16275</v>
      </c>
      <c r="M1890" s="419"/>
      <c r="N1890" s="362">
        <f t="shared" si="58"/>
        <v>16275</v>
      </c>
      <c r="O1890" s="356"/>
      <c r="P1890" s="356"/>
      <c r="Q1890" s="356"/>
      <c r="R1890" s="356">
        <v>1</v>
      </c>
      <c r="S1890" s="356"/>
      <c r="T1890" s="356"/>
      <c r="U1890" s="372"/>
      <c r="V1890" s="372"/>
      <c r="W1890" s="372"/>
      <c r="X1890" s="373"/>
      <c r="Y1890" s="348"/>
      <c r="Z1890" s="348"/>
      <c r="AA1890" s="348"/>
    </row>
    <row r="1891" s="331" customFormat="1" ht="17" customHeight="1" spans="1:27">
      <c r="A1891" s="348">
        <v>2067495</v>
      </c>
      <c r="B1891" s="348" t="s">
        <v>137</v>
      </c>
      <c r="C1891" s="348" t="s">
        <v>480</v>
      </c>
      <c r="D1891" s="349" t="s">
        <v>139</v>
      </c>
      <c r="E1891" s="336">
        <v>43661</v>
      </c>
      <c r="F1891" s="336">
        <v>43661</v>
      </c>
      <c r="G1891" s="336">
        <v>43672</v>
      </c>
      <c r="H1891" s="334" t="s">
        <v>5261</v>
      </c>
      <c r="I1891" s="356">
        <v>13918711719</v>
      </c>
      <c r="J1891" s="361" t="s">
        <v>5262</v>
      </c>
      <c r="K1891" s="356">
        <v>1000</v>
      </c>
      <c r="L1891" s="334">
        <v>12365</v>
      </c>
      <c r="M1891" s="419"/>
      <c r="N1891" s="362">
        <f t="shared" si="58"/>
        <v>12365</v>
      </c>
      <c r="O1891" s="356"/>
      <c r="P1891" s="356"/>
      <c r="Q1891" s="356"/>
      <c r="R1891" s="356">
        <v>1</v>
      </c>
      <c r="S1891" s="356"/>
      <c r="T1891" s="356"/>
      <c r="U1891" s="372"/>
      <c r="V1891" s="372"/>
      <c r="W1891" s="372"/>
      <c r="X1891" s="373"/>
      <c r="Y1891" s="348"/>
      <c r="Z1891" s="348"/>
      <c r="AA1891" s="348"/>
    </row>
    <row r="1892" s="331" customFormat="1" ht="17" customHeight="1" spans="1:27">
      <c r="A1892" s="348"/>
      <c r="B1892" s="348" t="s">
        <v>31</v>
      </c>
      <c r="C1892" s="334" t="s">
        <v>251</v>
      </c>
      <c r="D1892" s="349" t="s">
        <v>221</v>
      </c>
      <c r="E1892" s="336">
        <v>43661</v>
      </c>
      <c r="F1892" s="336">
        <v>43661</v>
      </c>
      <c r="G1892" s="350">
        <v>43661</v>
      </c>
      <c r="H1892" s="334" t="s">
        <v>2269</v>
      </c>
      <c r="I1892" s="356">
        <v>15601508979</v>
      </c>
      <c r="J1892" s="361" t="s">
        <v>5263</v>
      </c>
      <c r="K1892" s="356">
        <v>1000</v>
      </c>
      <c r="L1892" s="334">
        <v>11531</v>
      </c>
      <c r="M1892" s="334">
        <v>1840</v>
      </c>
      <c r="N1892" s="362">
        <f t="shared" si="58"/>
        <v>13371</v>
      </c>
      <c r="O1892" s="356"/>
      <c r="P1892" s="356"/>
      <c r="Q1892" s="356"/>
      <c r="R1892" s="356"/>
      <c r="S1892" s="356"/>
      <c r="T1892" s="356"/>
      <c r="U1892" s="372"/>
      <c r="V1892" s="372"/>
      <c r="W1892" s="372"/>
      <c r="X1892" s="373"/>
      <c r="Y1892" s="348"/>
      <c r="Z1892" s="348"/>
      <c r="AA1892" s="348"/>
    </row>
    <row r="1893" s="331" customFormat="1" ht="17" customHeight="1" spans="1:27">
      <c r="A1893" s="550" t="s">
        <v>5264</v>
      </c>
      <c r="B1893" s="348" t="s">
        <v>315</v>
      </c>
      <c r="C1893" s="348" t="s">
        <v>275</v>
      </c>
      <c r="D1893" s="349" t="s">
        <v>162</v>
      </c>
      <c r="E1893" s="336">
        <v>43686</v>
      </c>
      <c r="F1893" s="336">
        <v>43660</v>
      </c>
      <c r="G1893" s="336">
        <v>43685</v>
      </c>
      <c r="H1893" s="334" t="s">
        <v>5265</v>
      </c>
      <c r="I1893" s="356">
        <v>13816111093</v>
      </c>
      <c r="J1893" s="361" t="s">
        <v>5266</v>
      </c>
      <c r="K1893" s="356">
        <v>5000</v>
      </c>
      <c r="L1893" s="334">
        <v>9000</v>
      </c>
      <c r="M1893" s="419"/>
      <c r="N1893" s="362">
        <f t="shared" si="58"/>
        <v>9000</v>
      </c>
      <c r="O1893" s="356"/>
      <c r="P1893" s="356"/>
      <c r="Q1893" s="356"/>
      <c r="R1893" s="356"/>
      <c r="S1893" s="356">
        <v>1</v>
      </c>
      <c r="T1893" s="356"/>
      <c r="U1893" s="372"/>
      <c r="V1893" s="372"/>
      <c r="W1893" s="372"/>
      <c r="X1893" s="373"/>
      <c r="Y1893" s="348"/>
      <c r="Z1893" s="348"/>
      <c r="AA1893" s="348"/>
    </row>
    <row r="1894" s="331" customFormat="1" ht="17" customHeight="1" spans="1:27">
      <c r="A1894" s="348">
        <v>2022581</v>
      </c>
      <c r="B1894" s="348" t="s">
        <v>73</v>
      </c>
      <c r="C1894" s="348" t="s">
        <v>178</v>
      </c>
      <c r="D1894" s="352" t="s">
        <v>75</v>
      </c>
      <c r="E1894" s="336">
        <v>43708</v>
      </c>
      <c r="F1894" s="336">
        <v>43660</v>
      </c>
      <c r="G1894" s="336">
        <v>43705</v>
      </c>
      <c r="H1894" s="334" t="s">
        <v>5267</v>
      </c>
      <c r="I1894" s="356">
        <v>13611998195</v>
      </c>
      <c r="J1894" s="361" t="s">
        <v>5268</v>
      </c>
      <c r="K1894" s="356">
        <v>1000</v>
      </c>
      <c r="L1894" s="334">
        <v>8198</v>
      </c>
      <c r="M1894" s="419"/>
      <c r="N1894" s="362">
        <f t="shared" si="58"/>
        <v>8198</v>
      </c>
      <c r="O1894" s="356"/>
      <c r="P1894" s="366" t="s">
        <v>52</v>
      </c>
      <c r="Q1894" s="356"/>
      <c r="R1894" s="356"/>
      <c r="S1894" s="356"/>
      <c r="T1894" s="356"/>
      <c r="U1894" s="372"/>
      <c r="V1894" s="372"/>
      <c r="W1894" s="372"/>
      <c r="X1894" s="373"/>
      <c r="Y1894" s="348"/>
      <c r="Z1894" s="348"/>
      <c r="AA1894" s="348"/>
    </row>
    <row r="1895" s="331" customFormat="1" ht="17" customHeight="1" spans="1:27">
      <c r="A1895" s="550" t="s">
        <v>5269</v>
      </c>
      <c r="B1895" s="348" t="s">
        <v>726</v>
      </c>
      <c r="C1895" s="348" t="s">
        <v>727</v>
      </c>
      <c r="D1895" s="349" t="s">
        <v>271</v>
      </c>
      <c r="E1895" s="336">
        <v>43661</v>
      </c>
      <c r="F1895" s="336">
        <v>43660</v>
      </c>
      <c r="G1895" s="336">
        <v>43669</v>
      </c>
      <c r="H1895" s="334" t="s">
        <v>5270</v>
      </c>
      <c r="I1895" s="356">
        <v>18317033079</v>
      </c>
      <c r="J1895" s="361" t="s">
        <v>5271</v>
      </c>
      <c r="K1895" s="356">
        <v>6899</v>
      </c>
      <c r="L1895" s="334">
        <v>7199</v>
      </c>
      <c r="M1895" s="419"/>
      <c r="N1895" s="362">
        <f t="shared" si="58"/>
        <v>7199</v>
      </c>
      <c r="O1895" s="356"/>
      <c r="P1895" s="356"/>
      <c r="Q1895" s="356"/>
      <c r="R1895" s="356"/>
      <c r="S1895" s="356"/>
      <c r="T1895" s="356"/>
      <c r="U1895" s="372"/>
      <c r="V1895" s="372" t="s">
        <v>5047</v>
      </c>
      <c r="W1895" s="372"/>
      <c r="X1895" s="373"/>
      <c r="Y1895" s="348"/>
      <c r="Z1895" s="348"/>
      <c r="AA1895" s="348"/>
    </row>
    <row r="1896" s="331" customFormat="1" ht="17" customHeight="1" spans="1:27">
      <c r="A1896" s="550" t="s">
        <v>5272</v>
      </c>
      <c r="B1896" s="348" t="s">
        <v>153</v>
      </c>
      <c r="C1896" s="348" t="s">
        <v>154</v>
      </c>
      <c r="D1896" s="349" t="s">
        <v>155</v>
      </c>
      <c r="E1896" s="336">
        <v>43661</v>
      </c>
      <c r="F1896" s="336">
        <v>43660</v>
      </c>
      <c r="G1896" s="336">
        <v>43663</v>
      </c>
      <c r="H1896" s="334" t="s">
        <v>5273</v>
      </c>
      <c r="I1896" s="356">
        <v>13917322268</v>
      </c>
      <c r="J1896" s="361" t="s">
        <v>5274</v>
      </c>
      <c r="K1896" s="356">
        <v>1000</v>
      </c>
      <c r="L1896" s="334">
        <v>13145</v>
      </c>
      <c r="M1896" s="334">
        <v>4908</v>
      </c>
      <c r="N1896" s="362">
        <f t="shared" si="58"/>
        <v>18053</v>
      </c>
      <c r="O1896" s="356"/>
      <c r="P1896" s="356"/>
      <c r="Q1896" s="356"/>
      <c r="R1896" s="356"/>
      <c r="S1896" s="356"/>
      <c r="T1896" s="356"/>
      <c r="U1896" s="372"/>
      <c r="V1896" s="372"/>
      <c r="W1896" s="372"/>
      <c r="X1896" s="373"/>
      <c r="Y1896" s="348"/>
      <c r="Z1896" s="348"/>
      <c r="AA1896" s="348"/>
    </row>
    <row r="1897" s="331" customFormat="1" ht="17" customHeight="1" spans="1:27">
      <c r="A1897" s="348"/>
      <c r="B1897" s="348" t="s">
        <v>35</v>
      </c>
      <c r="C1897" s="348" t="s">
        <v>36</v>
      </c>
      <c r="D1897" s="349" t="s">
        <v>37</v>
      </c>
      <c r="E1897" s="336">
        <v>43661</v>
      </c>
      <c r="F1897" s="336">
        <v>43660</v>
      </c>
      <c r="G1897" s="350"/>
      <c r="H1897" s="334" t="s">
        <v>5275</v>
      </c>
      <c r="I1897" s="356">
        <v>18621628152</v>
      </c>
      <c r="J1897" s="361" t="s">
        <v>5276</v>
      </c>
      <c r="K1897" s="356">
        <v>1000</v>
      </c>
      <c r="L1897" s="419"/>
      <c r="M1897" s="419"/>
      <c r="N1897" s="362">
        <f t="shared" si="58"/>
        <v>0</v>
      </c>
      <c r="O1897" s="356" t="s">
        <v>52</v>
      </c>
      <c r="P1897" s="356"/>
      <c r="Q1897" s="356"/>
      <c r="R1897" s="356"/>
      <c r="S1897" s="356"/>
      <c r="T1897" s="356"/>
      <c r="U1897" s="372" t="s">
        <v>12</v>
      </c>
      <c r="V1897" s="372"/>
      <c r="W1897" s="372"/>
      <c r="X1897" s="373"/>
      <c r="Y1897" s="348"/>
      <c r="Z1897" s="348"/>
      <c r="AA1897" s="348"/>
    </row>
    <row r="1898" s="331" customFormat="1" ht="17" customHeight="1" spans="1:27">
      <c r="A1898" s="348"/>
      <c r="B1898" s="348" t="s">
        <v>35</v>
      </c>
      <c r="C1898" s="348" t="s">
        <v>36</v>
      </c>
      <c r="D1898" s="349" t="s">
        <v>37</v>
      </c>
      <c r="E1898" s="336">
        <v>43688</v>
      </c>
      <c r="F1898" s="336">
        <v>43660</v>
      </c>
      <c r="G1898" s="336">
        <v>43688</v>
      </c>
      <c r="H1898" s="334" t="s">
        <v>5277</v>
      </c>
      <c r="I1898" s="356">
        <v>13918511644</v>
      </c>
      <c r="J1898" s="361" t="s">
        <v>5278</v>
      </c>
      <c r="K1898" s="356">
        <v>10000</v>
      </c>
      <c r="L1898" s="334">
        <v>8896</v>
      </c>
      <c r="M1898" s="334">
        <v>1104</v>
      </c>
      <c r="N1898" s="362">
        <f t="shared" si="58"/>
        <v>10000</v>
      </c>
      <c r="O1898" s="356"/>
      <c r="P1898" s="356"/>
      <c r="Q1898" s="356" t="s">
        <v>52</v>
      </c>
      <c r="R1898" s="356"/>
      <c r="S1898" s="356"/>
      <c r="T1898" s="356"/>
      <c r="U1898" s="372"/>
      <c r="V1898" s="372"/>
      <c r="W1898" s="372"/>
      <c r="X1898" s="373"/>
      <c r="Y1898" s="348"/>
      <c r="Z1898" s="348"/>
      <c r="AA1898" s="348"/>
    </row>
    <row r="1899" s="331" customFormat="1" ht="17" customHeight="1" spans="1:27">
      <c r="A1899" s="348"/>
      <c r="B1899" s="348" t="s">
        <v>31</v>
      </c>
      <c r="C1899" s="348" t="s">
        <v>419</v>
      </c>
      <c r="D1899" s="334" t="s">
        <v>954</v>
      </c>
      <c r="E1899" s="336">
        <v>43738</v>
      </c>
      <c r="F1899" s="336">
        <v>43659</v>
      </c>
      <c r="G1899" s="336">
        <v>43738</v>
      </c>
      <c r="H1899" s="334" t="s">
        <v>5279</v>
      </c>
      <c r="I1899" s="356">
        <v>18601729219</v>
      </c>
      <c r="J1899" s="334" t="s">
        <v>5280</v>
      </c>
      <c r="K1899" s="356">
        <v>1000</v>
      </c>
      <c r="L1899" s="334">
        <v>11806</v>
      </c>
      <c r="M1899" s="419"/>
      <c r="N1899" s="362">
        <f t="shared" si="58"/>
        <v>11806</v>
      </c>
      <c r="O1899" s="356"/>
      <c r="P1899" s="366" t="s">
        <v>52</v>
      </c>
      <c r="Q1899" s="356"/>
      <c r="R1899" s="356"/>
      <c r="S1899" s="356"/>
      <c r="T1899" s="356"/>
      <c r="U1899" s="372"/>
      <c r="V1899" s="372"/>
      <c r="W1899" s="372"/>
      <c r="X1899" s="373"/>
      <c r="Y1899" s="348"/>
      <c r="Z1899" s="348"/>
      <c r="AA1899" s="348"/>
    </row>
    <row r="1900" s="331" customFormat="1" ht="17" customHeight="1" spans="1:27">
      <c r="A1900" s="550" t="s">
        <v>5281</v>
      </c>
      <c r="B1900" s="348" t="s">
        <v>66</v>
      </c>
      <c r="C1900" s="348" t="s">
        <v>951</v>
      </c>
      <c r="D1900" s="349" t="s">
        <v>356</v>
      </c>
      <c r="E1900" s="336">
        <v>43661</v>
      </c>
      <c r="F1900" s="336">
        <v>43661</v>
      </c>
      <c r="G1900" s="336">
        <v>43663</v>
      </c>
      <c r="H1900" s="334" t="s">
        <v>5282</v>
      </c>
      <c r="I1900" s="356">
        <v>15821698949</v>
      </c>
      <c r="J1900" s="361" t="s">
        <v>5283</v>
      </c>
      <c r="K1900" s="356">
        <v>1000</v>
      </c>
      <c r="L1900" s="334">
        <v>7723</v>
      </c>
      <c r="M1900" s="334"/>
      <c r="N1900" s="362">
        <f t="shared" si="58"/>
        <v>7723</v>
      </c>
      <c r="O1900" s="356"/>
      <c r="P1900" s="356"/>
      <c r="Q1900" s="356"/>
      <c r="R1900" s="356"/>
      <c r="S1900" s="356"/>
      <c r="T1900" s="356"/>
      <c r="U1900" s="372"/>
      <c r="V1900" s="372"/>
      <c r="W1900" s="372"/>
      <c r="X1900" s="373"/>
      <c r="Y1900" s="348"/>
      <c r="Z1900" s="348"/>
      <c r="AA1900" s="348"/>
    </row>
    <row r="1901" s="331" customFormat="1" ht="17" customHeight="1" spans="1:27">
      <c r="A1901" s="348"/>
      <c r="B1901" s="348" t="s">
        <v>147</v>
      </c>
      <c r="C1901" s="348" t="s">
        <v>148</v>
      </c>
      <c r="D1901" s="349" t="s">
        <v>635</v>
      </c>
      <c r="E1901" s="336">
        <v>43661</v>
      </c>
      <c r="F1901" s="336">
        <v>43658</v>
      </c>
      <c r="G1901" s="336">
        <v>43669</v>
      </c>
      <c r="H1901" s="334" t="s">
        <v>5284</v>
      </c>
      <c r="I1901" s="356">
        <v>13917150433</v>
      </c>
      <c r="J1901" s="361" t="s">
        <v>5285</v>
      </c>
      <c r="K1901" s="356">
        <v>1000</v>
      </c>
      <c r="L1901" s="334">
        <v>12082</v>
      </c>
      <c r="M1901" s="419"/>
      <c r="N1901" s="362">
        <f t="shared" si="58"/>
        <v>12082</v>
      </c>
      <c r="O1901" s="356"/>
      <c r="P1901" s="356"/>
      <c r="Q1901" s="356"/>
      <c r="R1901" s="356"/>
      <c r="S1901" s="356"/>
      <c r="T1901" s="356"/>
      <c r="U1901" s="372"/>
      <c r="V1901" s="372"/>
      <c r="W1901" s="376" t="s">
        <v>5286</v>
      </c>
      <c r="X1901" s="384"/>
      <c r="Y1901" s="348"/>
      <c r="Z1901" s="348"/>
      <c r="AA1901" s="348"/>
    </row>
    <row r="1902" s="331" customFormat="1" ht="17" customHeight="1" spans="1:27">
      <c r="A1902" s="348"/>
      <c r="B1902" s="348" t="s">
        <v>147</v>
      </c>
      <c r="C1902" s="348" t="s">
        <v>148</v>
      </c>
      <c r="D1902" s="349" t="s">
        <v>37</v>
      </c>
      <c r="E1902" s="336">
        <v>43661</v>
      </c>
      <c r="F1902" s="336">
        <v>43659</v>
      </c>
      <c r="G1902" s="336">
        <v>43675</v>
      </c>
      <c r="H1902" s="334" t="s">
        <v>5287</v>
      </c>
      <c r="I1902" s="356">
        <v>13681792784</v>
      </c>
      <c r="J1902" s="361" t="s">
        <v>5288</v>
      </c>
      <c r="K1902" s="356">
        <v>11582</v>
      </c>
      <c r="L1902" s="334">
        <v>11582</v>
      </c>
      <c r="M1902" s="419"/>
      <c r="N1902" s="362">
        <f t="shared" si="58"/>
        <v>11582</v>
      </c>
      <c r="O1902" s="356"/>
      <c r="P1902" s="391" t="s">
        <v>5289</v>
      </c>
      <c r="Q1902" s="356"/>
      <c r="R1902" s="356"/>
      <c r="S1902" s="356"/>
      <c r="T1902" s="356"/>
      <c r="U1902" s="372"/>
      <c r="V1902" s="372"/>
      <c r="W1902" s="372"/>
      <c r="X1902" s="373"/>
      <c r="Y1902" s="348"/>
      <c r="Z1902" s="348"/>
      <c r="AA1902" s="348"/>
    </row>
    <row r="1903" s="331" customFormat="1" ht="17" customHeight="1" spans="1:27">
      <c r="A1903" s="550" t="s">
        <v>5290</v>
      </c>
      <c r="B1903" s="348" t="s">
        <v>58</v>
      </c>
      <c r="C1903" s="348" t="s">
        <v>347</v>
      </c>
      <c r="D1903" s="349" t="s">
        <v>110</v>
      </c>
      <c r="E1903" s="336">
        <v>43662</v>
      </c>
      <c r="F1903" s="336">
        <v>43662</v>
      </c>
      <c r="G1903" s="336">
        <v>43662</v>
      </c>
      <c r="H1903" s="334" t="s">
        <v>5291</v>
      </c>
      <c r="I1903" s="356">
        <v>13601992199</v>
      </c>
      <c r="J1903" s="361" t="s">
        <v>5292</v>
      </c>
      <c r="K1903" s="356">
        <v>23200</v>
      </c>
      <c r="L1903" s="334">
        <v>23200</v>
      </c>
      <c r="M1903" s="334"/>
      <c r="N1903" s="362">
        <f t="shared" si="58"/>
        <v>23200</v>
      </c>
      <c r="O1903" s="356"/>
      <c r="P1903" s="356"/>
      <c r="Q1903" s="356"/>
      <c r="R1903" s="356"/>
      <c r="S1903" s="356"/>
      <c r="T1903" s="356"/>
      <c r="U1903" s="372"/>
      <c r="V1903" s="372"/>
      <c r="W1903" s="372"/>
      <c r="X1903" s="373"/>
      <c r="Y1903" s="348"/>
      <c r="Z1903" s="348"/>
      <c r="AA1903" s="348"/>
    </row>
    <row r="1904" s="331" customFormat="1" ht="17" customHeight="1" spans="1:27">
      <c r="A1904" s="550" t="s">
        <v>5293</v>
      </c>
      <c r="B1904" s="348" t="s">
        <v>205</v>
      </c>
      <c r="C1904" s="348" t="s">
        <v>1467</v>
      </c>
      <c r="D1904" s="334" t="s">
        <v>407</v>
      </c>
      <c r="E1904" s="336">
        <v>43708</v>
      </c>
      <c r="F1904" s="336">
        <v>43660</v>
      </c>
      <c r="G1904" s="336">
        <v>43705</v>
      </c>
      <c r="H1904" s="334" t="s">
        <v>5294</v>
      </c>
      <c r="I1904" s="356">
        <v>13564383129</v>
      </c>
      <c r="J1904" s="361" t="s">
        <v>5295</v>
      </c>
      <c r="K1904" s="356">
        <v>2462</v>
      </c>
      <c r="L1904" s="334">
        <f>12582-1072</f>
        <v>11510</v>
      </c>
      <c r="M1904" s="334">
        <v>1072</v>
      </c>
      <c r="N1904" s="362">
        <f t="shared" si="58"/>
        <v>12582</v>
      </c>
      <c r="O1904" s="356"/>
      <c r="P1904" s="356"/>
      <c r="Q1904" s="356"/>
      <c r="R1904" s="356"/>
      <c r="S1904" s="356"/>
      <c r="T1904" s="356"/>
      <c r="U1904" s="372"/>
      <c r="V1904" s="372">
        <v>8.26</v>
      </c>
      <c r="W1904" s="372"/>
      <c r="X1904" s="373"/>
      <c r="Y1904" s="348"/>
      <c r="Z1904" s="348"/>
      <c r="AA1904" s="348"/>
    </row>
    <row r="1905" s="331" customFormat="1" ht="17" customHeight="1" spans="1:27">
      <c r="A1905" s="348"/>
      <c r="B1905" s="348" t="s">
        <v>66</v>
      </c>
      <c r="C1905" s="348" t="s">
        <v>951</v>
      </c>
      <c r="D1905" s="349" t="s">
        <v>68</v>
      </c>
      <c r="E1905" s="336">
        <v>43662</v>
      </c>
      <c r="F1905" s="336">
        <v>43661</v>
      </c>
      <c r="G1905" s="336">
        <v>43667</v>
      </c>
      <c r="H1905" s="334" t="s">
        <v>5296</v>
      </c>
      <c r="I1905" s="356">
        <v>13816673753</v>
      </c>
      <c r="J1905" s="361" t="s">
        <v>5297</v>
      </c>
      <c r="K1905" s="356">
        <v>3000</v>
      </c>
      <c r="L1905" s="334">
        <v>7948</v>
      </c>
      <c r="M1905" s="419"/>
      <c r="N1905" s="362">
        <f t="shared" si="58"/>
        <v>7948</v>
      </c>
      <c r="O1905" s="356"/>
      <c r="P1905" s="356"/>
      <c r="Q1905" s="356"/>
      <c r="R1905" s="356"/>
      <c r="S1905" s="356"/>
      <c r="T1905" s="356"/>
      <c r="U1905" s="372"/>
      <c r="V1905" s="372"/>
      <c r="W1905" s="372"/>
      <c r="X1905" s="373"/>
      <c r="Y1905" s="348"/>
      <c r="Z1905" s="348"/>
      <c r="AA1905" s="348"/>
    </row>
    <row r="1906" s="331" customFormat="1" ht="17" customHeight="1" spans="1:27">
      <c r="A1906" s="348"/>
      <c r="B1906" s="348" t="s">
        <v>236</v>
      </c>
      <c r="C1906" s="348" t="s">
        <v>703</v>
      </c>
      <c r="D1906" s="352" t="s">
        <v>125</v>
      </c>
      <c r="E1906" s="336">
        <v>43735</v>
      </c>
      <c r="F1906" s="336">
        <v>43660</v>
      </c>
      <c r="G1906" s="336">
        <v>43733</v>
      </c>
      <c r="H1906" s="334" t="s">
        <v>5298</v>
      </c>
      <c r="I1906" s="356">
        <v>13801736309</v>
      </c>
      <c r="J1906" s="361" t="s">
        <v>5299</v>
      </c>
      <c r="K1906" s="356">
        <v>1000</v>
      </c>
      <c r="L1906" s="334">
        <v>17946</v>
      </c>
      <c r="M1906" s="419"/>
      <c r="N1906" s="362">
        <f t="shared" si="58"/>
        <v>17946</v>
      </c>
      <c r="O1906" s="356" t="s">
        <v>4383</v>
      </c>
      <c r="P1906" s="356"/>
      <c r="Q1906" s="356"/>
      <c r="R1906" s="356"/>
      <c r="S1906" s="356"/>
      <c r="T1906" s="356"/>
      <c r="U1906" s="372"/>
      <c r="V1906" s="372"/>
      <c r="W1906" s="372"/>
      <c r="X1906" s="373"/>
      <c r="Y1906" s="348"/>
      <c r="Z1906" s="348"/>
      <c r="AA1906" s="348"/>
    </row>
    <row r="1907" s="331" customFormat="1" ht="17" customHeight="1" spans="1:27">
      <c r="A1907" s="348"/>
      <c r="B1907" s="348" t="s">
        <v>185</v>
      </c>
      <c r="C1907" s="348" t="s">
        <v>1133</v>
      </c>
      <c r="D1907" s="349" t="s">
        <v>89</v>
      </c>
      <c r="E1907" s="336">
        <v>43662</v>
      </c>
      <c r="F1907" s="336">
        <v>43661</v>
      </c>
      <c r="G1907" s="336">
        <v>43665</v>
      </c>
      <c r="H1907" s="334" t="s">
        <v>5300</v>
      </c>
      <c r="I1907" s="356">
        <v>13917893482</v>
      </c>
      <c r="J1907" s="361" t="s">
        <v>5301</v>
      </c>
      <c r="K1907" s="356">
        <v>3000</v>
      </c>
      <c r="L1907" s="334">
        <v>24282</v>
      </c>
      <c r="M1907" s="334"/>
      <c r="N1907" s="362">
        <f t="shared" si="58"/>
        <v>24282</v>
      </c>
      <c r="O1907" s="356"/>
      <c r="P1907" s="356"/>
      <c r="Q1907" s="356"/>
      <c r="R1907" s="356"/>
      <c r="S1907" s="356"/>
      <c r="T1907" s="356"/>
      <c r="U1907" s="372"/>
      <c r="V1907" s="372"/>
      <c r="W1907" s="372"/>
      <c r="X1907" s="373"/>
      <c r="Y1907" s="348"/>
      <c r="Z1907" s="348"/>
      <c r="AA1907" s="348"/>
    </row>
    <row r="1908" s="331" customFormat="1" ht="17" customHeight="1" spans="1:27">
      <c r="A1908" s="348">
        <v>2067487</v>
      </c>
      <c r="B1908" s="348" t="s">
        <v>137</v>
      </c>
      <c r="C1908" s="348" t="s">
        <v>2705</v>
      </c>
      <c r="D1908" s="352" t="s">
        <v>60</v>
      </c>
      <c r="E1908" s="336">
        <v>43662</v>
      </c>
      <c r="F1908" s="336">
        <v>43656</v>
      </c>
      <c r="G1908" s="336">
        <v>43667</v>
      </c>
      <c r="H1908" s="334" t="s">
        <v>5302</v>
      </c>
      <c r="I1908" s="356">
        <v>13801633250</v>
      </c>
      <c r="J1908" s="361" t="s">
        <v>5303</v>
      </c>
      <c r="K1908" s="356">
        <v>1000</v>
      </c>
      <c r="L1908" s="334">
        <v>12662</v>
      </c>
      <c r="M1908" s="419"/>
      <c r="N1908" s="362">
        <f t="shared" si="58"/>
        <v>12662</v>
      </c>
      <c r="O1908" s="356"/>
      <c r="P1908" s="356"/>
      <c r="Q1908" s="356"/>
      <c r="R1908" s="356"/>
      <c r="S1908" s="356"/>
      <c r="T1908" s="356"/>
      <c r="U1908" s="372"/>
      <c r="V1908" s="372"/>
      <c r="W1908" s="372"/>
      <c r="X1908" s="373"/>
      <c r="Y1908" s="348"/>
      <c r="Z1908" s="348"/>
      <c r="AA1908" s="348"/>
    </row>
    <row r="1909" s="331" customFormat="1" ht="17" customHeight="1" spans="1:27">
      <c r="A1909" s="550" t="s">
        <v>5304</v>
      </c>
      <c r="B1909" s="348" t="s">
        <v>137</v>
      </c>
      <c r="C1909" s="348" t="s">
        <v>2705</v>
      </c>
      <c r="D1909" s="349" t="s">
        <v>427</v>
      </c>
      <c r="E1909" s="336">
        <v>43662</v>
      </c>
      <c r="F1909" s="336">
        <v>43657</v>
      </c>
      <c r="G1909" s="336">
        <v>43677</v>
      </c>
      <c r="H1909" s="334" t="s">
        <v>5305</v>
      </c>
      <c r="I1909" s="356">
        <v>1860979210</v>
      </c>
      <c r="J1909" s="361" t="s">
        <v>5306</v>
      </c>
      <c r="K1909" s="356">
        <v>1000</v>
      </c>
      <c r="L1909" s="334">
        <v>10008</v>
      </c>
      <c r="M1909" s="419"/>
      <c r="N1909" s="362">
        <f t="shared" si="58"/>
        <v>10008</v>
      </c>
      <c r="O1909" s="356"/>
      <c r="P1909" s="356"/>
      <c r="Q1909" s="356">
        <v>1</v>
      </c>
      <c r="R1909" s="356"/>
      <c r="S1909" s="356"/>
      <c r="T1909" s="356"/>
      <c r="U1909" s="372"/>
      <c r="V1909" s="372"/>
      <c r="W1909" s="372"/>
      <c r="X1909" s="373"/>
      <c r="Y1909" s="348"/>
      <c r="Z1909" s="348"/>
      <c r="AA1909" s="348"/>
    </row>
    <row r="1910" s="331" customFormat="1" ht="17" customHeight="1" spans="1:27">
      <c r="A1910" s="348">
        <v>2067493</v>
      </c>
      <c r="B1910" s="348" t="s">
        <v>137</v>
      </c>
      <c r="C1910" s="348" t="s">
        <v>2705</v>
      </c>
      <c r="D1910" s="349" t="s">
        <v>139</v>
      </c>
      <c r="E1910" s="336">
        <v>43662</v>
      </c>
      <c r="F1910" s="336">
        <v>43660</v>
      </c>
      <c r="G1910" s="336">
        <v>43677</v>
      </c>
      <c r="H1910" s="334" t="s">
        <v>5307</v>
      </c>
      <c r="I1910" s="356">
        <v>17616592620</v>
      </c>
      <c r="J1910" s="361" t="s">
        <v>5308</v>
      </c>
      <c r="K1910" s="356">
        <v>1000</v>
      </c>
      <c r="L1910" s="334">
        <v>10000</v>
      </c>
      <c r="M1910" s="419"/>
      <c r="N1910" s="362">
        <f t="shared" si="58"/>
        <v>10000</v>
      </c>
      <c r="O1910" s="356"/>
      <c r="P1910" s="356"/>
      <c r="Q1910" s="356">
        <v>1</v>
      </c>
      <c r="R1910" s="356"/>
      <c r="S1910" s="356"/>
      <c r="T1910" s="356"/>
      <c r="U1910" s="372"/>
      <c r="V1910" s="372"/>
      <c r="W1910" s="372"/>
      <c r="X1910" s="373"/>
      <c r="Y1910" s="348"/>
      <c r="Z1910" s="348"/>
      <c r="AA1910" s="348"/>
    </row>
    <row r="1911" s="331" customFormat="1" ht="17" customHeight="1" spans="1:27">
      <c r="A1911" s="550" t="s">
        <v>5309</v>
      </c>
      <c r="B1911" s="348" t="s">
        <v>169</v>
      </c>
      <c r="C1911" s="348" t="s">
        <v>634</v>
      </c>
      <c r="D1911" s="349" t="s">
        <v>635</v>
      </c>
      <c r="E1911" s="336">
        <v>43662</v>
      </c>
      <c r="F1911" s="336">
        <v>43660</v>
      </c>
      <c r="G1911" s="336">
        <v>43677</v>
      </c>
      <c r="H1911" s="334" t="s">
        <v>5310</v>
      </c>
      <c r="I1911" s="356">
        <v>13524580905</v>
      </c>
      <c r="J1911" s="361" t="s">
        <v>5311</v>
      </c>
      <c r="K1911" s="356">
        <v>1000</v>
      </c>
      <c r="L1911" s="334">
        <v>8200</v>
      </c>
      <c r="M1911" s="419"/>
      <c r="N1911" s="362">
        <f t="shared" si="58"/>
        <v>8200</v>
      </c>
      <c r="O1911" s="356"/>
      <c r="P1911" s="356" t="s">
        <v>1526</v>
      </c>
      <c r="Q1911" s="356"/>
      <c r="R1911" s="356"/>
      <c r="S1911" s="356"/>
      <c r="T1911" s="356"/>
      <c r="U1911" s="372"/>
      <c r="V1911" s="372"/>
      <c r="W1911" s="372"/>
      <c r="X1911" s="373"/>
      <c r="Y1911" s="348"/>
      <c r="Z1911" s="348"/>
      <c r="AA1911" s="348"/>
    </row>
    <row r="1912" s="331" customFormat="1" ht="17" customHeight="1" spans="1:27">
      <c r="A1912" s="550" t="s">
        <v>5312</v>
      </c>
      <c r="B1912" s="348" t="s">
        <v>31</v>
      </c>
      <c r="C1912" s="348" t="s">
        <v>220</v>
      </c>
      <c r="D1912" s="349" t="s">
        <v>221</v>
      </c>
      <c r="E1912" s="336">
        <v>43662</v>
      </c>
      <c r="F1912" s="336">
        <v>43662</v>
      </c>
      <c r="G1912" s="350"/>
      <c r="H1912" s="334" t="s">
        <v>3893</v>
      </c>
      <c r="I1912" s="356">
        <v>13621661962</v>
      </c>
      <c r="J1912" s="361" t="s">
        <v>5313</v>
      </c>
      <c r="K1912" s="356">
        <v>1000</v>
      </c>
      <c r="L1912" s="419"/>
      <c r="M1912" s="419"/>
      <c r="N1912" s="362">
        <f t="shared" si="58"/>
        <v>0</v>
      </c>
      <c r="O1912" s="356"/>
      <c r="P1912" s="356"/>
      <c r="Q1912" s="366"/>
      <c r="R1912" s="366" t="s">
        <v>52</v>
      </c>
      <c r="S1912" s="356"/>
      <c r="T1912" s="356"/>
      <c r="U1912" s="336" t="s">
        <v>40</v>
      </c>
      <c r="V1912" s="372"/>
      <c r="W1912" s="372"/>
      <c r="X1912" s="373"/>
      <c r="Y1912" s="348"/>
      <c r="Z1912" s="348"/>
      <c r="AA1912" s="348"/>
    </row>
    <row r="1913" s="331" customFormat="1" ht="17" customHeight="1" spans="1:27">
      <c r="A1913" s="348"/>
      <c r="B1913" s="348" t="s">
        <v>35</v>
      </c>
      <c r="C1913" s="348" t="s">
        <v>36</v>
      </c>
      <c r="D1913" s="349" t="s">
        <v>187</v>
      </c>
      <c r="E1913" s="336">
        <v>43662</v>
      </c>
      <c r="F1913" s="336">
        <v>43662</v>
      </c>
      <c r="G1913" s="336">
        <v>43670</v>
      </c>
      <c r="H1913" s="334" t="s">
        <v>5314</v>
      </c>
      <c r="I1913" s="356">
        <v>13381958823</v>
      </c>
      <c r="J1913" s="361" t="s">
        <v>5315</v>
      </c>
      <c r="K1913" s="356">
        <v>1000</v>
      </c>
      <c r="L1913" s="334">
        <v>39944</v>
      </c>
      <c r="M1913" s="419"/>
      <c r="N1913" s="362">
        <f t="shared" si="58"/>
        <v>39944</v>
      </c>
      <c r="O1913" s="356"/>
      <c r="P1913" s="356"/>
      <c r="Q1913" s="356"/>
      <c r="R1913" s="356"/>
      <c r="S1913" s="356"/>
      <c r="T1913" s="356"/>
      <c r="U1913" s="372"/>
      <c r="V1913" s="372"/>
      <c r="W1913" s="372"/>
      <c r="X1913" s="373"/>
      <c r="Y1913" s="348"/>
      <c r="Z1913" s="348"/>
      <c r="AA1913" s="348"/>
    </row>
    <row r="1914" s="331" customFormat="1" ht="17" customHeight="1" spans="1:27">
      <c r="A1914" s="550" t="s">
        <v>5316</v>
      </c>
      <c r="B1914" s="348" t="s">
        <v>185</v>
      </c>
      <c r="C1914" s="348" t="s">
        <v>1133</v>
      </c>
      <c r="D1914" s="349" t="s">
        <v>44</v>
      </c>
      <c r="E1914" s="336">
        <v>43662</v>
      </c>
      <c r="F1914" s="336">
        <v>43662</v>
      </c>
      <c r="G1914" s="336">
        <v>43668</v>
      </c>
      <c r="H1914" s="334" t="s">
        <v>5317</v>
      </c>
      <c r="I1914" s="356">
        <v>13904240000</v>
      </c>
      <c r="J1914" s="361" t="s">
        <v>5318</v>
      </c>
      <c r="K1914" s="356">
        <v>1000</v>
      </c>
      <c r="L1914" s="334">
        <v>29396</v>
      </c>
      <c r="M1914" s="419"/>
      <c r="N1914" s="362">
        <f t="shared" si="58"/>
        <v>29396</v>
      </c>
      <c r="O1914" s="356" t="s">
        <v>52</v>
      </c>
      <c r="P1914" s="356"/>
      <c r="Q1914" s="356"/>
      <c r="R1914" s="356"/>
      <c r="S1914" s="356"/>
      <c r="T1914" s="356"/>
      <c r="U1914" s="372"/>
      <c r="V1914" s="372"/>
      <c r="W1914" s="374">
        <v>43664</v>
      </c>
      <c r="X1914" s="395"/>
      <c r="Y1914" s="348"/>
      <c r="Z1914" s="348"/>
      <c r="AA1914" s="348"/>
    </row>
    <row r="1915" s="331" customFormat="1" ht="17" customHeight="1" spans="1:27">
      <c r="A1915" s="348"/>
      <c r="B1915" s="348" t="s">
        <v>35</v>
      </c>
      <c r="C1915" s="348" t="s">
        <v>392</v>
      </c>
      <c r="D1915" s="349" t="s">
        <v>187</v>
      </c>
      <c r="E1915" s="336">
        <v>43693</v>
      </c>
      <c r="F1915" s="336">
        <v>43662</v>
      </c>
      <c r="G1915" s="336">
        <v>43693</v>
      </c>
      <c r="H1915" s="334" t="s">
        <v>5319</v>
      </c>
      <c r="I1915" s="356">
        <v>13816567901</v>
      </c>
      <c r="J1915" s="361" t="s">
        <v>5320</v>
      </c>
      <c r="K1915" s="356">
        <v>3000</v>
      </c>
      <c r="L1915" s="334">
        <v>796</v>
      </c>
      <c r="M1915" s="419"/>
      <c r="N1915" s="362">
        <f t="shared" si="58"/>
        <v>796</v>
      </c>
      <c r="O1915" s="356"/>
      <c r="P1915" s="356" t="s">
        <v>52</v>
      </c>
      <c r="Q1915" s="356"/>
      <c r="R1915" s="356"/>
      <c r="S1915" s="356"/>
      <c r="T1915" s="356"/>
      <c r="U1915" s="336" t="s">
        <v>40</v>
      </c>
      <c r="V1915" s="372"/>
      <c r="W1915" s="372"/>
      <c r="X1915" s="373"/>
      <c r="Y1915" s="348"/>
      <c r="Z1915" s="348"/>
      <c r="AA1915" s="348"/>
    </row>
    <row r="1916" s="331" customFormat="1" ht="17" customHeight="1" spans="1:27">
      <c r="A1916" s="550" t="s">
        <v>5321</v>
      </c>
      <c r="B1916" s="348" t="s">
        <v>137</v>
      </c>
      <c r="C1916" s="348" t="s">
        <v>480</v>
      </c>
      <c r="D1916" s="334" t="s">
        <v>443</v>
      </c>
      <c r="E1916" s="336">
        <v>43768</v>
      </c>
      <c r="F1916" s="336">
        <v>43658</v>
      </c>
      <c r="G1916" s="336">
        <v>43768</v>
      </c>
      <c r="H1916" s="334" t="s">
        <v>5322</v>
      </c>
      <c r="I1916" s="356">
        <v>13311783780</v>
      </c>
      <c r="J1916" s="361" t="s">
        <v>5323</v>
      </c>
      <c r="K1916" s="356">
        <v>1000</v>
      </c>
      <c r="L1916" s="334">
        <v>28573</v>
      </c>
      <c r="M1916" s="419"/>
      <c r="N1916" s="362">
        <f t="shared" ref="N1916:N1946" si="59">L1916+M1916</f>
        <v>28573</v>
      </c>
      <c r="O1916" s="356"/>
      <c r="P1916" s="356">
        <v>1</v>
      </c>
      <c r="Q1916" s="356"/>
      <c r="R1916" s="356"/>
      <c r="S1916" s="356"/>
      <c r="T1916" s="356"/>
      <c r="U1916" s="372"/>
      <c r="V1916" s="372"/>
      <c r="W1916" s="372"/>
      <c r="X1916" s="373"/>
      <c r="Y1916" s="348"/>
      <c r="Z1916" s="348"/>
      <c r="AA1916" s="348"/>
    </row>
    <row r="1917" s="331" customFormat="1" ht="17" customHeight="1" spans="1:27">
      <c r="A1917" s="348"/>
      <c r="B1917" s="348" t="s">
        <v>35</v>
      </c>
      <c r="C1917" s="348" t="s">
        <v>392</v>
      </c>
      <c r="D1917" s="349" t="s">
        <v>37</v>
      </c>
      <c r="E1917" s="336">
        <v>43700</v>
      </c>
      <c r="F1917" s="336">
        <v>43662</v>
      </c>
      <c r="G1917" s="336">
        <v>43699</v>
      </c>
      <c r="H1917" s="334" t="s">
        <v>5324</v>
      </c>
      <c r="I1917" s="356">
        <v>15821643232</v>
      </c>
      <c r="J1917" s="361" t="s">
        <v>5325</v>
      </c>
      <c r="K1917" s="356">
        <v>1000</v>
      </c>
      <c r="L1917" s="334">
        <f>11999-1840</f>
        <v>10159</v>
      </c>
      <c r="M1917" s="334">
        <v>1840</v>
      </c>
      <c r="N1917" s="362">
        <f t="shared" si="59"/>
        <v>11999</v>
      </c>
      <c r="O1917" s="356" t="s">
        <v>52</v>
      </c>
      <c r="P1917" s="356"/>
      <c r="Q1917" s="356"/>
      <c r="R1917" s="356"/>
      <c r="S1917" s="356"/>
      <c r="T1917" s="356"/>
      <c r="U1917" s="372"/>
      <c r="V1917" s="372"/>
      <c r="W1917" s="372"/>
      <c r="X1917" s="373"/>
      <c r="Y1917" s="348"/>
      <c r="Z1917" s="348"/>
      <c r="AA1917" s="348"/>
    </row>
    <row r="1918" s="57" customFormat="1" ht="17" customHeight="1" spans="1:27">
      <c r="A1918" s="348"/>
      <c r="B1918" s="348" t="s">
        <v>137</v>
      </c>
      <c r="C1918" s="348" t="s">
        <v>406</v>
      </c>
      <c r="D1918" s="349" t="s">
        <v>443</v>
      </c>
      <c r="E1918" s="336">
        <v>43663</v>
      </c>
      <c r="F1918" s="336">
        <v>43663</v>
      </c>
      <c r="G1918" s="350"/>
      <c r="H1918" s="334" t="s">
        <v>5326</v>
      </c>
      <c r="I1918" s="356">
        <v>15900968967</v>
      </c>
      <c r="J1918" s="348" t="s">
        <v>5327</v>
      </c>
      <c r="K1918" s="356">
        <v>1000</v>
      </c>
      <c r="L1918" s="419"/>
      <c r="M1918" s="419"/>
      <c r="N1918" s="362">
        <f t="shared" si="59"/>
        <v>0</v>
      </c>
      <c r="O1918" s="356"/>
      <c r="P1918" s="356"/>
      <c r="Q1918" s="356"/>
      <c r="R1918" s="356">
        <v>1</v>
      </c>
      <c r="S1918" s="356"/>
      <c r="T1918" s="356"/>
      <c r="U1918" s="385" t="s">
        <v>52</v>
      </c>
      <c r="V1918" s="372"/>
      <c r="W1918" s="372"/>
      <c r="X1918" s="373"/>
      <c r="Y1918" s="348"/>
      <c r="Z1918" s="348"/>
      <c r="AA1918" s="348"/>
    </row>
    <row r="1919" s="331" customFormat="1" ht="17" customHeight="1" spans="1:27">
      <c r="A1919" s="550" t="s">
        <v>5328</v>
      </c>
      <c r="B1919" s="348" t="s">
        <v>31</v>
      </c>
      <c r="C1919" s="348" t="s">
        <v>220</v>
      </c>
      <c r="D1919" s="349" t="s">
        <v>221</v>
      </c>
      <c r="E1919" s="336">
        <v>43663</v>
      </c>
      <c r="F1919" s="336">
        <v>43663</v>
      </c>
      <c r="G1919" s="336">
        <v>43671</v>
      </c>
      <c r="H1919" s="334" t="s">
        <v>5329</v>
      </c>
      <c r="I1919" s="356">
        <v>18930167209</v>
      </c>
      <c r="J1919" s="361" t="s">
        <v>5330</v>
      </c>
      <c r="K1919" s="356">
        <v>1000</v>
      </c>
      <c r="L1919" s="334">
        <v>6602</v>
      </c>
      <c r="M1919" s="334">
        <v>736</v>
      </c>
      <c r="N1919" s="362">
        <f t="shared" si="59"/>
        <v>7338</v>
      </c>
      <c r="O1919" s="356"/>
      <c r="P1919" s="356"/>
      <c r="Q1919" s="356"/>
      <c r="R1919" s="356"/>
      <c r="S1919" s="356"/>
      <c r="T1919" s="356"/>
      <c r="U1919" s="372"/>
      <c r="V1919" s="372"/>
      <c r="W1919" s="372" t="s">
        <v>98</v>
      </c>
      <c r="X1919" s="373"/>
      <c r="Y1919" s="348"/>
      <c r="Z1919" s="348"/>
      <c r="AA1919" s="348"/>
    </row>
    <row r="1920" s="331" customFormat="1" ht="17" customHeight="1" spans="1:27">
      <c r="A1920" s="550" t="s">
        <v>5331</v>
      </c>
      <c r="B1920" s="348" t="s">
        <v>315</v>
      </c>
      <c r="C1920" s="348" t="s">
        <v>722</v>
      </c>
      <c r="D1920" s="334" t="s">
        <v>132</v>
      </c>
      <c r="E1920" s="336">
        <v>43707</v>
      </c>
      <c r="F1920" s="336">
        <v>43663</v>
      </c>
      <c r="G1920" s="336">
        <v>43705</v>
      </c>
      <c r="H1920" s="334" t="s">
        <v>5332</v>
      </c>
      <c r="I1920" s="356">
        <v>18117193716</v>
      </c>
      <c r="J1920" s="361" t="s">
        <v>5333</v>
      </c>
      <c r="K1920" s="356">
        <v>1000</v>
      </c>
      <c r="L1920" s="334">
        <v>38453</v>
      </c>
      <c r="M1920" s="419"/>
      <c r="N1920" s="362">
        <f t="shared" si="59"/>
        <v>38453</v>
      </c>
      <c r="O1920" s="356"/>
      <c r="P1920" s="356"/>
      <c r="Q1920" s="356"/>
      <c r="R1920" s="356">
        <v>1</v>
      </c>
      <c r="S1920" s="356"/>
      <c r="T1920" s="356"/>
      <c r="U1920" s="372"/>
      <c r="V1920" s="372"/>
      <c r="W1920" s="372"/>
      <c r="X1920" s="373"/>
      <c r="Y1920" s="348"/>
      <c r="Z1920" s="348"/>
      <c r="AA1920" s="348"/>
    </row>
    <row r="1921" s="331" customFormat="1" ht="17" customHeight="1" spans="1:27">
      <c r="A1921" s="348"/>
      <c r="B1921" s="348" t="s">
        <v>243</v>
      </c>
      <c r="C1921" s="334" t="s">
        <v>309</v>
      </c>
      <c r="D1921" s="352" t="s">
        <v>49</v>
      </c>
      <c r="E1921" s="336">
        <v>43663</v>
      </c>
      <c r="F1921" s="336"/>
      <c r="G1921" s="336">
        <v>43660</v>
      </c>
      <c r="H1921" s="269" t="s">
        <v>5334</v>
      </c>
      <c r="I1921" s="356">
        <v>18989022282</v>
      </c>
      <c r="J1921" s="361" t="s">
        <v>5335</v>
      </c>
      <c r="K1921" s="356"/>
      <c r="L1921" s="334">
        <v>4948</v>
      </c>
      <c r="M1921" s="334">
        <v>536</v>
      </c>
      <c r="N1921" s="362">
        <f t="shared" si="59"/>
        <v>5484</v>
      </c>
      <c r="O1921" s="356"/>
      <c r="P1921" s="356"/>
      <c r="Q1921" s="356"/>
      <c r="R1921" s="356"/>
      <c r="S1921" s="356"/>
      <c r="T1921" s="356"/>
      <c r="U1921" s="372"/>
      <c r="V1921" s="372"/>
      <c r="W1921" s="372"/>
      <c r="X1921" s="373"/>
      <c r="Y1921" s="348"/>
      <c r="Z1921" s="348"/>
      <c r="AA1921" s="348"/>
    </row>
    <row r="1922" s="331" customFormat="1" ht="17" customHeight="1" spans="1:27">
      <c r="A1922" s="348"/>
      <c r="B1922" s="348" t="s">
        <v>5336</v>
      </c>
      <c r="C1922" s="334" t="s">
        <v>498</v>
      </c>
      <c r="D1922" s="349" t="s">
        <v>5337</v>
      </c>
      <c r="E1922" s="336">
        <v>43663</v>
      </c>
      <c r="F1922" s="336"/>
      <c r="G1922" s="336">
        <v>43663</v>
      </c>
      <c r="H1922" s="334" t="s">
        <v>5338</v>
      </c>
      <c r="I1922" s="356">
        <v>13918500045</v>
      </c>
      <c r="J1922" s="361" t="s">
        <v>5339</v>
      </c>
      <c r="K1922" s="356"/>
      <c r="L1922" s="334">
        <v>22962</v>
      </c>
      <c r="M1922" s="334"/>
      <c r="N1922" s="362">
        <f t="shared" si="59"/>
        <v>22962</v>
      </c>
      <c r="O1922" s="356"/>
      <c r="P1922" s="356"/>
      <c r="Q1922" s="356"/>
      <c r="R1922" s="356"/>
      <c r="S1922" s="356"/>
      <c r="T1922" s="356"/>
      <c r="U1922" s="372"/>
      <c r="V1922" s="372"/>
      <c r="W1922" s="372"/>
      <c r="X1922" s="373"/>
      <c r="Y1922" s="348"/>
      <c r="Z1922" s="348"/>
      <c r="AA1922" s="348"/>
    </row>
    <row r="1923" s="331" customFormat="1" ht="17" customHeight="1" spans="1:27">
      <c r="A1923" s="348"/>
      <c r="B1923" s="348" t="s">
        <v>5336</v>
      </c>
      <c r="C1923" s="334" t="s">
        <v>498</v>
      </c>
      <c r="D1923" s="349" t="s">
        <v>5336</v>
      </c>
      <c r="E1923" s="336">
        <v>43663</v>
      </c>
      <c r="F1923" s="336"/>
      <c r="G1923" s="336">
        <v>43663</v>
      </c>
      <c r="H1923" s="334" t="s">
        <v>5340</v>
      </c>
      <c r="I1923" s="356">
        <v>15774295776</v>
      </c>
      <c r="J1923" s="361" t="s">
        <v>5341</v>
      </c>
      <c r="K1923" s="356"/>
      <c r="L1923" s="334">
        <v>27526.8</v>
      </c>
      <c r="M1923" s="334"/>
      <c r="N1923" s="362">
        <f t="shared" si="59"/>
        <v>27526.8</v>
      </c>
      <c r="O1923" s="356"/>
      <c r="P1923" s="356"/>
      <c r="Q1923" s="356"/>
      <c r="R1923" s="356"/>
      <c r="S1923" s="356"/>
      <c r="T1923" s="356"/>
      <c r="U1923" s="372"/>
      <c r="V1923" s="372"/>
      <c r="W1923" s="372"/>
      <c r="X1923" s="373"/>
      <c r="Y1923" s="348"/>
      <c r="Z1923" s="348"/>
      <c r="AA1923" s="348"/>
    </row>
    <row r="1924" s="331" customFormat="1" ht="17" customHeight="1" spans="1:27">
      <c r="A1924" s="348"/>
      <c r="B1924" s="348" t="s">
        <v>73</v>
      </c>
      <c r="C1924" s="334" t="s">
        <v>74</v>
      </c>
      <c r="D1924" s="349" t="s">
        <v>139</v>
      </c>
      <c r="E1924" s="336">
        <v>43663</v>
      </c>
      <c r="F1924" s="336"/>
      <c r="G1924" s="336">
        <v>43662</v>
      </c>
      <c r="H1924" s="334" t="s">
        <v>5342</v>
      </c>
      <c r="I1924" s="356">
        <v>13817213275</v>
      </c>
      <c r="J1924" s="361" t="s">
        <v>5343</v>
      </c>
      <c r="K1924" s="356"/>
      <c r="L1924" s="334">
        <v>15021</v>
      </c>
      <c r="M1924" s="334"/>
      <c r="N1924" s="362">
        <f t="shared" si="59"/>
        <v>15021</v>
      </c>
      <c r="O1924" s="356"/>
      <c r="P1924" s="356"/>
      <c r="Q1924" s="356"/>
      <c r="R1924" s="356"/>
      <c r="S1924" s="356"/>
      <c r="T1924" s="356"/>
      <c r="U1924" s="372"/>
      <c r="V1924" s="372"/>
      <c r="W1924" s="372"/>
      <c r="X1924" s="373"/>
      <c r="Y1924" s="348"/>
      <c r="Z1924" s="348"/>
      <c r="AA1924" s="348"/>
    </row>
    <row r="1925" s="331" customFormat="1" ht="17" customHeight="1" spans="1:27">
      <c r="A1925" s="550" t="s">
        <v>5344</v>
      </c>
      <c r="B1925" s="348" t="s">
        <v>354</v>
      </c>
      <c r="C1925" s="348" t="s">
        <v>355</v>
      </c>
      <c r="D1925" s="349" t="s">
        <v>356</v>
      </c>
      <c r="E1925" s="336">
        <v>43664</v>
      </c>
      <c r="F1925" s="336">
        <v>43660</v>
      </c>
      <c r="G1925" s="350">
        <v>43664</v>
      </c>
      <c r="H1925" s="334" t="s">
        <v>5345</v>
      </c>
      <c r="I1925" s="356">
        <v>13801886012</v>
      </c>
      <c r="J1925" s="361" t="s">
        <v>5346</v>
      </c>
      <c r="K1925" s="356">
        <v>500</v>
      </c>
      <c r="L1925" s="334">
        <v>5274</v>
      </c>
      <c r="M1925" s="334"/>
      <c r="N1925" s="362">
        <f t="shared" si="59"/>
        <v>5274</v>
      </c>
      <c r="O1925" s="356"/>
      <c r="P1925" s="356"/>
      <c r="Q1925" s="356"/>
      <c r="R1925" s="356"/>
      <c r="S1925" s="356"/>
      <c r="T1925" s="356"/>
      <c r="U1925" s="372"/>
      <c r="V1925" s="372"/>
      <c r="W1925" s="372"/>
      <c r="X1925" s="373"/>
      <c r="Y1925" s="348"/>
      <c r="Z1925" s="348"/>
      <c r="AA1925" s="348"/>
    </row>
    <row r="1926" s="331" customFormat="1" ht="17" customHeight="1" spans="1:27">
      <c r="A1926" s="348">
        <v>2066944</v>
      </c>
      <c r="B1926" s="348" t="s">
        <v>335</v>
      </c>
      <c r="C1926" s="348" t="s">
        <v>615</v>
      </c>
      <c r="D1926" s="349" t="s">
        <v>337</v>
      </c>
      <c r="E1926" s="336">
        <v>43664</v>
      </c>
      <c r="F1926" s="336">
        <v>43664</v>
      </c>
      <c r="G1926" s="336">
        <v>43677</v>
      </c>
      <c r="H1926" s="334" t="s">
        <v>5347</v>
      </c>
      <c r="I1926" s="356">
        <v>13641699630</v>
      </c>
      <c r="J1926" s="361" t="s">
        <v>5348</v>
      </c>
      <c r="K1926" s="356">
        <v>1000</v>
      </c>
      <c r="L1926" s="334">
        <v>10000</v>
      </c>
      <c r="M1926" s="419"/>
      <c r="N1926" s="362">
        <f t="shared" si="59"/>
        <v>10000</v>
      </c>
      <c r="O1926" s="356"/>
      <c r="P1926" s="356"/>
      <c r="Q1926" s="356"/>
      <c r="R1926" s="356"/>
      <c r="S1926" s="356"/>
      <c r="T1926" s="356"/>
      <c r="U1926" s="372"/>
      <c r="V1926" s="372"/>
      <c r="W1926" s="372"/>
      <c r="X1926" s="373"/>
      <c r="Y1926" s="348"/>
      <c r="Z1926" s="348"/>
      <c r="AA1926" s="348"/>
    </row>
    <row r="1927" s="331" customFormat="1" ht="17" customHeight="1" spans="1:27">
      <c r="A1927" s="348">
        <v>2066620</v>
      </c>
      <c r="B1927" s="348" t="s">
        <v>335</v>
      </c>
      <c r="C1927" s="348" t="s">
        <v>615</v>
      </c>
      <c r="D1927" s="349" t="s">
        <v>337</v>
      </c>
      <c r="E1927" s="336">
        <v>43735</v>
      </c>
      <c r="F1927" s="336">
        <v>43664</v>
      </c>
      <c r="G1927" s="336">
        <v>43733</v>
      </c>
      <c r="H1927" s="334" t="s">
        <v>5349</v>
      </c>
      <c r="I1927" s="356">
        <v>18116056260</v>
      </c>
      <c r="J1927" s="361" t="s">
        <v>5350</v>
      </c>
      <c r="K1927" s="356">
        <v>7068</v>
      </c>
      <c r="L1927" s="334">
        <v>8499</v>
      </c>
      <c r="M1927" s="419"/>
      <c r="N1927" s="362">
        <f t="shared" si="59"/>
        <v>8499</v>
      </c>
      <c r="O1927" s="356" t="s">
        <v>1772</v>
      </c>
      <c r="P1927" s="356"/>
      <c r="Q1927" s="356"/>
      <c r="R1927" s="356"/>
      <c r="S1927" s="356"/>
      <c r="T1927" s="356"/>
      <c r="U1927" s="372"/>
      <c r="V1927" s="372"/>
      <c r="W1927" s="372"/>
      <c r="X1927" s="373"/>
      <c r="Y1927" s="348"/>
      <c r="Z1927" s="348"/>
      <c r="AA1927" s="348"/>
    </row>
    <row r="1928" s="331" customFormat="1" ht="17" customHeight="1" spans="1:27">
      <c r="A1928" s="348">
        <v>2023501</v>
      </c>
      <c r="B1928" s="348" t="s">
        <v>185</v>
      </c>
      <c r="C1928" s="348" t="s">
        <v>886</v>
      </c>
      <c r="D1928" s="349" t="s">
        <v>717</v>
      </c>
      <c r="E1928" s="336">
        <v>43664</v>
      </c>
      <c r="F1928" s="336">
        <v>43664</v>
      </c>
      <c r="G1928" s="336">
        <v>43671</v>
      </c>
      <c r="H1928" s="334" t="s">
        <v>5351</v>
      </c>
      <c r="I1928" s="356">
        <v>13818167201</v>
      </c>
      <c r="J1928" s="361" t="s">
        <v>5352</v>
      </c>
      <c r="K1928" s="356">
        <v>1000</v>
      </c>
      <c r="L1928" s="334">
        <v>90583</v>
      </c>
      <c r="M1928" s="334">
        <v>1917</v>
      </c>
      <c r="N1928" s="362">
        <f t="shared" si="59"/>
        <v>92500</v>
      </c>
      <c r="O1928" s="356" t="s">
        <v>52</v>
      </c>
      <c r="P1928" s="356"/>
      <c r="Q1928" s="356"/>
      <c r="R1928" s="356"/>
      <c r="S1928" s="356"/>
      <c r="T1928" s="356"/>
      <c r="U1928" s="372"/>
      <c r="V1928" s="372"/>
      <c r="W1928" s="372"/>
      <c r="X1928" s="373"/>
      <c r="Y1928" s="348"/>
      <c r="Z1928" s="348"/>
      <c r="AA1928" s="348"/>
    </row>
    <row r="1929" s="331" customFormat="1" ht="17" customHeight="1" spans="1:27">
      <c r="A1929" s="348"/>
      <c r="B1929" s="348" t="s">
        <v>315</v>
      </c>
      <c r="C1929" s="348" t="s">
        <v>275</v>
      </c>
      <c r="D1929" s="349" t="s">
        <v>162</v>
      </c>
      <c r="E1929" s="336">
        <v>43690</v>
      </c>
      <c r="F1929" s="336">
        <v>43664</v>
      </c>
      <c r="G1929" s="336">
        <v>43690</v>
      </c>
      <c r="H1929" s="334" t="s">
        <v>5353</v>
      </c>
      <c r="I1929" s="356">
        <v>15821225153</v>
      </c>
      <c r="J1929" s="361" t="s">
        <v>5354</v>
      </c>
      <c r="K1929" s="356">
        <v>1000</v>
      </c>
      <c r="L1929" s="334">
        <f>21445-2576</f>
        <v>18869</v>
      </c>
      <c r="M1929" s="334">
        <v>2576</v>
      </c>
      <c r="N1929" s="362">
        <f t="shared" si="59"/>
        <v>21445</v>
      </c>
      <c r="O1929" s="356"/>
      <c r="P1929" s="356"/>
      <c r="Q1929" s="356"/>
      <c r="R1929" s="356">
        <v>1</v>
      </c>
      <c r="S1929" s="356"/>
      <c r="T1929" s="356"/>
      <c r="U1929" s="372"/>
      <c r="V1929" s="372"/>
      <c r="W1929" s="372"/>
      <c r="X1929" s="373"/>
      <c r="Y1929" s="348"/>
      <c r="Z1929" s="348"/>
      <c r="AA1929" s="348"/>
    </row>
    <row r="1930" s="331" customFormat="1" ht="17" customHeight="1" spans="1:27">
      <c r="A1930" s="550" t="s">
        <v>5355</v>
      </c>
      <c r="B1930" s="348" t="s">
        <v>185</v>
      </c>
      <c r="C1930" s="348" t="s">
        <v>1133</v>
      </c>
      <c r="D1930" s="349" t="s">
        <v>89</v>
      </c>
      <c r="E1930" s="336">
        <v>43664</v>
      </c>
      <c r="F1930" s="336">
        <v>43664</v>
      </c>
      <c r="G1930" s="336">
        <v>43668</v>
      </c>
      <c r="H1930" s="334" t="s">
        <v>5356</v>
      </c>
      <c r="I1930" s="356">
        <v>18021098663</v>
      </c>
      <c r="J1930" s="361" t="s">
        <v>5357</v>
      </c>
      <c r="K1930" s="356">
        <v>1000</v>
      </c>
      <c r="L1930" s="334">
        <v>24176</v>
      </c>
      <c r="M1930" s="419"/>
      <c r="N1930" s="362">
        <f t="shared" si="59"/>
        <v>24176</v>
      </c>
      <c r="O1930" s="356"/>
      <c r="P1930" s="356"/>
      <c r="Q1930" s="356"/>
      <c r="R1930" s="356"/>
      <c r="S1930" s="356"/>
      <c r="T1930" s="356"/>
      <c r="U1930" s="372"/>
      <c r="V1930" s="372"/>
      <c r="W1930" s="372"/>
      <c r="X1930" s="373"/>
      <c r="Y1930" s="348"/>
      <c r="Z1930" s="348"/>
      <c r="AA1930" s="348"/>
    </row>
    <row r="1931" s="331" customFormat="1" ht="17" customHeight="1" spans="1:27">
      <c r="A1931" s="348"/>
      <c r="B1931" s="348" t="s">
        <v>31</v>
      </c>
      <c r="C1931" s="334" t="s">
        <v>251</v>
      </c>
      <c r="D1931" s="349" t="s">
        <v>407</v>
      </c>
      <c r="E1931" s="336">
        <v>43664</v>
      </c>
      <c r="F1931" s="336">
        <v>43663</v>
      </c>
      <c r="G1931" s="350">
        <v>43663</v>
      </c>
      <c r="H1931" s="334" t="s">
        <v>5358</v>
      </c>
      <c r="I1931" s="356">
        <v>13917770719</v>
      </c>
      <c r="J1931" s="361" t="s">
        <v>5359</v>
      </c>
      <c r="K1931" s="356">
        <v>0</v>
      </c>
      <c r="L1931" s="334">
        <v>8295</v>
      </c>
      <c r="M1931" s="334"/>
      <c r="N1931" s="362">
        <f t="shared" si="59"/>
        <v>8295</v>
      </c>
      <c r="O1931" s="356"/>
      <c r="P1931" s="356"/>
      <c r="Q1931" s="356"/>
      <c r="R1931" s="356"/>
      <c r="S1931" s="356"/>
      <c r="T1931" s="356"/>
      <c r="U1931" s="372"/>
      <c r="V1931" s="372"/>
      <c r="W1931" s="372"/>
      <c r="X1931" s="373"/>
      <c r="Y1931" s="348"/>
      <c r="Z1931" s="348"/>
      <c r="AA1931" s="348"/>
    </row>
    <row r="1932" s="331" customFormat="1" ht="17" customHeight="1" spans="1:27">
      <c r="A1932" s="348"/>
      <c r="B1932" s="348" t="s">
        <v>359</v>
      </c>
      <c r="C1932" s="348" t="s">
        <v>5184</v>
      </c>
      <c r="D1932" s="349" t="s">
        <v>361</v>
      </c>
      <c r="E1932" s="336">
        <v>43664</v>
      </c>
      <c r="F1932" s="336"/>
      <c r="G1932" s="336">
        <v>43663</v>
      </c>
      <c r="H1932" s="334" t="s">
        <v>5360</v>
      </c>
      <c r="I1932" s="356">
        <v>13761747467</v>
      </c>
      <c r="J1932" s="361" t="s">
        <v>5361</v>
      </c>
      <c r="K1932" s="356"/>
      <c r="L1932" s="334">
        <v>22197</v>
      </c>
      <c r="M1932" s="334"/>
      <c r="N1932" s="362">
        <f t="shared" si="59"/>
        <v>22197</v>
      </c>
      <c r="O1932" s="356"/>
      <c r="P1932" s="356"/>
      <c r="Q1932" s="356"/>
      <c r="R1932" s="356"/>
      <c r="S1932" s="356"/>
      <c r="T1932" s="356"/>
      <c r="U1932" s="372"/>
      <c r="V1932" s="372"/>
      <c r="W1932" s="372"/>
      <c r="X1932" s="373"/>
      <c r="Y1932" s="348"/>
      <c r="Z1932" s="348"/>
      <c r="AA1932" s="348"/>
    </row>
    <row r="1933" s="331" customFormat="1" ht="17" customHeight="1" spans="1:27">
      <c r="A1933" s="348"/>
      <c r="B1933" s="348" t="s">
        <v>58</v>
      </c>
      <c r="C1933" s="334" t="s">
        <v>59</v>
      </c>
      <c r="D1933" s="349" t="s">
        <v>271</v>
      </c>
      <c r="E1933" s="336">
        <v>43664</v>
      </c>
      <c r="F1933" s="336"/>
      <c r="G1933" s="336">
        <v>43662</v>
      </c>
      <c r="H1933" s="334" t="s">
        <v>5362</v>
      </c>
      <c r="I1933" s="356">
        <v>13816867128</v>
      </c>
      <c r="J1933" s="361" t="s">
        <v>5363</v>
      </c>
      <c r="K1933" s="356"/>
      <c r="L1933" s="334">
        <v>5165</v>
      </c>
      <c r="M1933" s="334">
        <v>804</v>
      </c>
      <c r="N1933" s="362">
        <f t="shared" si="59"/>
        <v>5969</v>
      </c>
      <c r="O1933" s="356"/>
      <c r="P1933" s="356"/>
      <c r="Q1933" s="356"/>
      <c r="R1933" s="356"/>
      <c r="S1933" s="356"/>
      <c r="T1933" s="356"/>
      <c r="U1933" s="372"/>
      <c r="V1933" s="372"/>
      <c r="W1933" s="372"/>
      <c r="X1933" s="373"/>
      <c r="Y1933" s="348"/>
      <c r="Z1933" s="348"/>
      <c r="AA1933" s="348"/>
    </row>
    <row r="1934" s="331" customFormat="1" ht="17" customHeight="1" spans="1:27">
      <c r="A1934" s="550" t="s">
        <v>5364</v>
      </c>
      <c r="B1934" s="348" t="s">
        <v>315</v>
      </c>
      <c r="C1934" s="348" t="s">
        <v>161</v>
      </c>
      <c r="D1934" s="349" t="s">
        <v>162</v>
      </c>
      <c r="E1934" s="336">
        <v>43720</v>
      </c>
      <c r="F1934" s="336">
        <v>43665</v>
      </c>
      <c r="G1934" s="336">
        <v>43720</v>
      </c>
      <c r="H1934" s="334" t="s">
        <v>5365</v>
      </c>
      <c r="I1934" s="356">
        <v>18521350916</v>
      </c>
      <c r="J1934" s="361" t="s">
        <v>5366</v>
      </c>
      <c r="K1934" s="356">
        <v>1998</v>
      </c>
      <c r="L1934" s="334">
        <v>4262</v>
      </c>
      <c r="M1934" s="419"/>
      <c r="N1934" s="362">
        <f t="shared" si="59"/>
        <v>4262</v>
      </c>
      <c r="O1934" s="356"/>
      <c r="P1934" s="356"/>
      <c r="Q1934" s="356">
        <v>1</v>
      </c>
      <c r="R1934" s="356"/>
      <c r="S1934" s="356"/>
      <c r="T1934" s="356"/>
      <c r="U1934" s="372"/>
      <c r="V1934" s="372"/>
      <c r="W1934" s="372"/>
      <c r="X1934" s="373"/>
      <c r="Y1934" s="348"/>
      <c r="Z1934" s="348"/>
      <c r="AA1934" s="348"/>
    </row>
    <row r="1935" s="331" customFormat="1" ht="17" customHeight="1" spans="1:27">
      <c r="A1935" s="550" t="s">
        <v>5367</v>
      </c>
      <c r="B1935" s="348" t="s">
        <v>315</v>
      </c>
      <c r="C1935" s="348" t="s">
        <v>161</v>
      </c>
      <c r="D1935" s="349" t="s">
        <v>162</v>
      </c>
      <c r="E1935" s="336">
        <v>43705</v>
      </c>
      <c r="F1935" s="336">
        <v>43665</v>
      </c>
      <c r="G1935" s="336">
        <v>43705</v>
      </c>
      <c r="H1935" s="334" t="s">
        <v>5368</v>
      </c>
      <c r="I1935" s="356">
        <v>13718569077</v>
      </c>
      <c r="J1935" s="361" t="s">
        <v>5369</v>
      </c>
      <c r="K1935" s="356">
        <v>1000</v>
      </c>
      <c r="L1935" s="334">
        <v>14904</v>
      </c>
      <c r="M1935" s="419"/>
      <c r="N1935" s="362">
        <f t="shared" si="59"/>
        <v>14904</v>
      </c>
      <c r="O1935" s="356"/>
      <c r="P1935" s="356"/>
      <c r="Q1935" s="356">
        <v>1</v>
      </c>
      <c r="R1935" s="356"/>
      <c r="S1935" s="356"/>
      <c r="T1935" s="356"/>
      <c r="U1935" s="393" t="s">
        <v>40</v>
      </c>
      <c r="V1935" s="372"/>
      <c r="W1935" s="372"/>
      <c r="X1935" s="373"/>
      <c r="Y1935" s="348"/>
      <c r="Z1935" s="348"/>
      <c r="AA1935" s="348"/>
    </row>
    <row r="1936" s="331" customFormat="1" ht="17" customHeight="1" spans="1:27">
      <c r="A1936" s="348">
        <v>2023502</v>
      </c>
      <c r="B1936" s="348" t="s">
        <v>185</v>
      </c>
      <c r="C1936" s="348" t="s">
        <v>1204</v>
      </c>
      <c r="D1936" s="349" t="s">
        <v>44</v>
      </c>
      <c r="E1936" s="336">
        <v>43665</v>
      </c>
      <c r="F1936" s="336">
        <v>43664</v>
      </c>
      <c r="G1936" s="350"/>
      <c r="H1936" s="334" t="s">
        <v>5370</v>
      </c>
      <c r="I1936" s="356">
        <v>13818093886</v>
      </c>
      <c r="J1936" s="361" t="s">
        <v>5371</v>
      </c>
      <c r="K1936" s="356">
        <v>4097</v>
      </c>
      <c r="L1936" s="419"/>
      <c r="M1936" s="419"/>
      <c r="N1936" s="362">
        <f t="shared" si="59"/>
        <v>0</v>
      </c>
      <c r="O1936" s="356"/>
      <c r="P1936" s="356"/>
      <c r="Q1936" s="356"/>
      <c r="R1936" s="356"/>
      <c r="S1936" s="356"/>
      <c r="T1936" s="356"/>
      <c r="U1936" s="374">
        <v>43661</v>
      </c>
      <c r="V1936" s="372"/>
      <c r="W1936" s="372"/>
      <c r="X1936" s="373"/>
      <c r="Y1936" s="348"/>
      <c r="Z1936" s="348"/>
      <c r="AA1936" s="348"/>
    </row>
    <row r="1937" s="331" customFormat="1" ht="17" customHeight="1" spans="1:27">
      <c r="A1937" s="550" t="s">
        <v>5372</v>
      </c>
      <c r="B1937" s="348" t="s">
        <v>35</v>
      </c>
      <c r="C1937" s="348" t="s">
        <v>392</v>
      </c>
      <c r="D1937" s="349" t="s">
        <v>37</v>
      </c>
      <c r="E1937" s="336">
        <v>43665</v>
      </c>
      <c r="F1937" s="336">
        <v>43664</v>
      </c>
      <c r="G1937" s="336">
        <v>43677</v>
      </c>
      <c r="H1937" s="334" t="s">
        <v>5373</v>
      </c>
      <c r="I1937" s="356">
        <v>13127669657</v>
      </c>
      <c r="J1937" s="361" t="s">
        <v>5374</v>
      </c>
      <c r="K1937" s="356">
        <v>1000</v>
      </c>
      <c r="L1937" s="334">
        <v>5600</v>
      </c>
      <c r="M1937" s="419"/>
      <c r="N1937" s="362">
        <f t="shared" si="59"/>
        <v>5600</v>
      </c>
      <c r="O1937" s="356"/>
      <c r="P1937" s="356" t="s">
        <v>52</v>
      </c>
      <c r="Q1937" s="356"/>
      <c r="R1937" s="356"/>
      <c r="S1937" s="356"/>
      <c r="T1937" s="356"/>
      <c r="U1937" s="372"/>
      <c r="V1937" s="372"/>
      <c r="W1937" s="372"/>
      <c r="X1937" s="373"/>
      <c r="Y1937" s="348"/>
      <c r="Z1937" s="348"/>
      <c r="AA1937" s="348"/>
    </row>
    <row r="1938" s="331" customFormat="1" ht="17" customHeight="1" spans="1:27">
      <c r="A1938" s="550" t="s">
        <v>5375</v>
      </c>
      <c r="B1938" s="348" t="s">
        <v>169</v>
      </c>
      <c r="C1938" s="348" t="s">
        <v>634</v>
      </c>
      <c r="D1938" s="349" t="s">
        <v>635</v>
      </c>
      <c r="E1938" s="336">
        <v>43665</v>
      </c>
      <c r="F1938" s="336">
        <v>43662</v>
      </c>
      <c r="G1938" s="336">
        <v>43671</v>
      </c>
      <c r="H1938" s="334" t="s">
        <v>5376</v>
      </c>
      <c r="I1938" s="356">
        <v>13636557258</v>
      </c>
      <c r="J1938" s="361" t="s">
        <v>5377</v>
      </c>
      <c r="K1938" s="356">
        <v>1000</v>
      </c>
      <c r="L1938" s="334">
        <v>10264</v>
      </c>
      <c r="M1938" s="419"/>
      <c r="N1938" s="362">
        <f t="shared" si="59"/>
        <v>10264</v>
      </c>
      <c r="O1938" s="356"/>
      <c r="P1938" s="356" t="s">
        <v>1526</v>
      </c>
      <c r="Q1938" s="356"/>
      <c r="R1938" s="356"/>
      <c r="S1938" s="356"/>
      <c r="T1938" s="356"/>
      <c r="U1938" s="372"/>
      <c r="V1938" s="372"/>
      <c r="W1938" s="372"/>
      <c r="X1938" s="373"/>
      <c r="Y1938" s="348"/>
      <c r="Z1938" s="348"/>
      <c r="AA1938" s="348"/>
    </row>
    <row r="1939" s="331" customFormat="1" ht="17" customHeight="1" spans="1:27">
      <c r="A1939" s="348"/>
      <c r="B1939" s="348" t="s">
        <v>31</v>
      </c>
      <c r="C1939" s="334" t="s">
        <v>419</v>
      </c>
      <c r="D1939" s="334" t="s">
        <v>33</v>
      </c>
      <c r="E1939" s="336">
        <v>43738</v>
      </c>
      <c r="F1939" s="336">
        <v>43665</v>
      </c>
      <c r="G1939" s="336">
        <v>43738</v>
      </c>
      <c r="H1939" s="334" t="s">
        <v>5378</v>
      </c>
      <c r="I1939" s="356">
        <v>13761605117</v>
      </c>
      <c r="J1939" s="361" t="s">
        <v>5379</v>
      </c>
      <c r="K1939" s="356">
        <v>3996</v>
      </c>
      <c r="L1939" s="334">
        <v>11000</v>
      </c>
      <c r="M1939" s="419"/>
      <c r="N1939" s="362">
        <f t="shared" si="59"/>
        <v>11000</v>
      </c>
      <c r="O1939" s="366" t="s">
        <v>52</v>
      </c>
      <c r="P1939" s="356"/>
      <c r="Q1939" s="356"/>
      <c r="R1939" s="356"/>
      <c r="S1939" s="356"/>
      <c r="T1939" s="356"/>
      <c r="U1939" s="372"/>
      <c r="V1939" s="372"/>
      <c r="W1939" s="372"/>
      <c r="X1939" s="373"/>
      <c r="Y1939" s="348"/>
      <c r="Z1939" s="348"/>
      <c r="AA1939" s="348"/>
    </row>
    <row r="1940" s="331" customFormat="1" ht="17" customHeight="1" spans="1:27">
      <c r="A1940" s="550" t="s">
        <v>5380</v>
      </c>
      <c r="B1940" s="348" t="s">
        <v>58</v>
      </c>
      <c r="C1940" s="348" t="s">
        <v>109</v>
      </c>
      <c r="D1940" s="349" t="s">
        <v>110</v>
      </c>
      <c r="E1940" s="336">
        <v>43665</v>
      </c>
      <c r="F1940" s="336">
        <v>43665</v>
      </c>
      <c r="G1940" s="350">
        <v>43665</v>
      </c>
      <c r="H1940" s="334" t="s">
        <v>5381</v>
      </c>
      <c r="I1940" s="356">
        <v>15800547606</v>
      </c>
      <c r="J1940" s="361" t="s">
        <v>5382</v>
      </c>
      <c r="K1940" s="356">
        <v>1000</v>
      </c>
      <c r="L1940" s="334">
        <v>9740</v>
      </c>
      <c r="M1940" s="334">
        <v>3938</v>
      </c>
      <c r="N1940" s="362">
        <f t="shared" si="59"/>
        <v>13678</v>
      </c>
      <c r="O1940" s="361"/>
      <c r="P1940" s="356"/>
      <c r="Q1940" s="356"/>
      <c r="R1940" s="356"/>
      <c r="S1940" s="356"/>
      <c r="T1940" s="356"/>
      <c r="U1940" s="372"/>
      <c r="V1940" s="372"/>
      <c r="W1940" s="372"/>
      <c r="X1940" s="373"/>
      <c r="Y1940" s="348"/>
      <c r="Z1940" s="348"/>
      <c r="AA1940" s="348"/>
    </row>
    <row r="1941" s="331" customFormat="1" ht="17" customHeight="1" spans="1:27">
      <c r="A1941" s="550" t="s">
        <v>5383</v>
      </c>
      <c r="B1941" s="348" t="s">
        <v>58</v>
      </c>
      <c r="C1941" s="348" t="s">
        <v>347</v>
      </c>
      <c r="D1941" s="349" t="s">
        <v>343</v>
      </c>
      <c r="E1941" s="336">
        <v>43665</v>
      </c>
      <c r="F1941" s="336">
        <v>43665</v>
      </c>
      <c r="G1941" s="336">
        <v>43665</v>
      </c>
      <c r="H1941" s="334" t="s">
        <v>5384</v>
      </c>
      <c r="I1941" s="356">
        <v>13818144730</v>
      </c>
      <c r="J1941" s="361" t="s">
        <v>5385</v>
      </c>
      <c r="K1941" s="356">
        <v>12325</v>
      </c>
      <c r="L1941" s="334">
        <v>14500</v>
      </c>
      <c r="M1941" s="334">
        <v>2011</v>
      </c>
      <c r="N1941" s="362">
        <f t="shared" si="59"/>
        <v>16511</v>
      </c>
      <c r="O1941" s="356"/>
      <c r="P1941" s="356"/>
      <c r="Q1941" s="356"/>
      <c r="R1941" s="356"/>
      <c r="S1941" s="356"/>
      <c r="T1941" s="356"/>
      <c r="U1941" s="372"/>
      <c r="V1941" s="372"/>
      <c r="W1941" s="372"/>
      <c r="X1941" s="373"/>
      <c r="Y1941" s="348"/>
      <c r="Z1941" s="348"/>
      <c r="AA1941" s="348"/>
    </row>
    <row r="1942" s="331" customFormat="1" ht="17" customHeight="1" spans="1:27">
      <c r="A1942" s="348">
        <v>2023503</v>
      </c>
      <c r="B1942" s="348" t="s">
        <v>185</v>
      </c>
      <c r="C1942" s="348" t="s">
        <v>886</v>
      </c>
      <c r="D1942" s="349" t="s">
        <v>187</v>
      </c>
      <c r="E1942" s="336">
        <v>43665</v>
      </c>
      <c r="F1942" s="336">
        <v>43665</v>
      </c>
      <c r="G1942" s="336">
        <v>43674</v>
      </c>
      <c r="H1942" s="334" t="s">
        <v>5386</v>
      </c>
      <c r="I1942" s="356">
        <v>15692182976</v>
      </c>
      <c r="J1942" s="361" t="s">
        <v>5387</v>
      </c>
      <c r="K1942" s="356">
        <v>1000</v>
      </c>
      <c r="L1942" s="334">
        <v>20600</v>
      </c>
      <c r="M1942" s="419"/>
      <c r="N1942" s="362">
        <f t="shared" si="59"/>
        <v>20600</v>
      </c>
      <c r="O1942" s="356" t="s">
        <v>52</v>
      </c>
      <c r="P1942" s="356"/>
      <c r="Q1942" s="356"/>
      <c r="R1942" s="356"/>
      <c r="S1942" s="356"/>
      <c r="T1942" s="356"/>
      <c r="U1942" s="372"/>
      <c r="V1942" s="372"/>
      <c r="W1942" s="372"/>
      <c r="X1942" s="373"/>
      <c r="Y1942" s="348"/>
      <c r="Z1942" s="348"/>
      <c r="AA1942" s="348"/>
    </row>
    <row r="1943" s="331" customFormat="1" ht="17" customHeight="1" spans="1:27">
      <c r="A1943" s="348"/>
      <c r="B1943" s="348" t="s">
        <v>243</v>
      </c>
      <c r="C1943" s="334" t="s">
        <v>244</v>
      </c>
      <c r="D1943" s="352" t="s">
        <v>49</v>
      </c>
      <c r="E1943" s="336">
        <v>43665</v>
      </c>
      <c r="F1943" s="336"/>
      <c r="G1943" s="336">
        <v>43665</v>
      </c>
      <c r="H1943" s="334" t="s">
        <v>5388</v>
      </c>
      <c r="I1943" s="552" t="s">
        <v>5389</v>
      </c>
      <c r="J1943" s="361" t="s">
        <v>5390</v>
      </c>
      <c r="K1943" s="356"/>
      <c r="L1943" s="334">
        <v>24800</v>
      </c>
      <c r="M1943" s="334"/>
      <c r="N1943" s="362">
        <f t="shared" si="59"/>
        <v>24800</v>
      </c>
      <c r="O1943" s="356"/>
      <c r="P1943" s="356"/>
      <c r="Q1943" s="356"/>
      <c r="R1943" s="356"/>
      <c r="S1943" s="356"/>
      <c r="T1943" s="356"/>
      <c r="U1943" s="372"/>
      <c r="V1943" s="372"/>
      <c r="W1943" s="372"/>
      <c r="X1943" s="373"/>
      <c r="Y1943" s="348"/>
      <c r="Z1943" s="348"/>
      <c r="AA1943" s="348"/>
    </row>
    <row r="1944" s="331" customFormat="1" ht="17" customHeight="1" spans="1:27">
      <c r="A1944" s="348"/>
      <c r="B1944" s="348" t="s">
        <v>58</v>
      </c>
      <c r="C1944" s="334" t="s">
        <v>794</v>
      </c>
      <c r="D1944" s="349" t="s">
        <v>110</v>
      </c>
      <c r="E1944" s="336">
        <v>43665</v>
      </c>
      <c r="F1944" s="336"/>
      <c r="G1944" s="336">
        <v>43664</v>
      </c>
      <c r="H1944" s="334" t="s">
        <v>5391</v>
      </c>
      <c r="I1944" s="356">
        <v>13636458139</v>
      </c>
      <c r="J1944" s="361" t="s">
        <v>5392</v>
      </c>
      <c r="K1944" s="356"/>
      <c r="L1944" s="334">
        <v>11263</v>
      </c>
      <c r="M1944" s="334"/>
      <c r="N1944" s="362">
        <f t="shared" si="59"/>
        <v>11263</v>
      </c>
      <c r="O1944" s="356"/>
      <c r="P1944" s="356"/>
      <c r="Q1944" s="356"/>
      <c r="R1944" s="356"/>
      <c r="S1944" s="356"/>
      <c r="T1944" s="356"/>
      <c r="U1944" s="372"/>
      <c r="V1944" s="372"/>
      <c r="W1944" s="372"/>
      <c r="X1944" s="373"/>
      <c r="Y1944" s="348"/>
      <c r="Z1944" s="348"/>
      <c r="AA1944" s="348"/>
    </row>
    <row r="1945" s="331" customFormat="1" ht="17" customHeight="1" spans="1:27">
      <c r="A1945" s="348"/>
      <c r="B1945" s="348" t="s">
        <v>137</v>
      </c>
      <c r="C1945" s="334" t="s">
        <v>406</v>
      </c>
      <c r="D1945" s="349" t="s">
        <v>139</v>
      </c>
      <c r="E1945" s="336">
        <v>43665</v>
      </c>
      <c r="F1945" s="336"/>
      <c r="G1945" s="336">
        <v>43651</v>
      </c>
      <c r="H1945" s="334" t="s">
        <v>5393</v>
      </c>
      <c r="I1945" s="356">
        <v>15901849905</v>
      </c>
      <c r="J1945" s="361" t="s">
        <v>5394</v>
      </c>
      <c r="K1945" s="356"/>
      <c r="L1945" s="334">
        <v>11966</v>
      </c>
      <c r="M1945" s="334"/>
      <c r="N1945" s="362">
        <f t="shared" si="59"/>
        <v>11966</v>
      </c>
      <c r="O1945" s="356"/>
      <c r="P1945" s="356"/>
      <c r="Q1945" s="356"/>
      <c r="R1945" s="356"/>
      <c r="S1945" s="356"/>
      <c r="T1945" s="356"/>
      <c r="U1945" s="372"/>
      <c r="V1945" s="372"/>
      <c r="W1945" s="372"/>
      <c r="X1945" s="373"/>
      <c r="Y1945" s="348"/>
      <c r="Z1945" s="348"/>
      <c r="AA1945" s="348"/>
    </row>
    <row r="1946" s="331" customFormat="1" ht="17" customHeight="1" spans="1:27">
      <c r="A1946" s="348"/>
      <c r="B1946" s="348" t="s">
        <v>35</v>
      </c>
      <c r="C1946" s="334" t="s">
        <v>392</v>
      </c>
      <c r="D1946" s="349" t="s">
        <v>356</v>
      </c>
      <c r="E1946" s="336">
        <v>43651</v>
      </c>
      <c r="F1946" s="336" t="s">
        <v>800</v>
      </c>
      <c r="G1946" s="336">
        <v>43649</v>
      </c>
      <c r="H1946" s="334" t="s">
        <v>5395</v>
      </c>
      <c r="I1946" s="356">
        <v>13816725594</v>
      </c>
      <c r="J1946" s="361" t="s">
        <v>5396</v>
      </c>
      <c r="K1946" s="356"/>
      <c r="L1946" s="334"/>
      <c r="M1946" s="334">
        <v>1449</v>
      </c>
      <c r="N1946" s="362">
        <f t="shared" si="59"/>
        <v>1449</v>
      </c>
      <c r="O1946" s="356"/>
      <c r="P1946" s="356"/>
      <c r="Q1946" s="356"/>
      <c r="R1946" s="356"/>
      <c r="S1946" s="356"/>
      <c r="T1946" s="356"/>
      <c r="U1946" s="372"/>
      <c r="V1946" s="372"/>
      <c r="W1946" s="372"/>
      <c r="X1946" s="373"/>
      <c r="Y1946" s="348"/>
      <c r="Z1946" s="348"/>
      <c r="AA1946" s="348"/>
    </row>
    <row r="1947" s="331" customFormat="1" ht="17" customHeight="1" spans="1:27">
      <c r="A1947" s="348"/>
      <c r="B1947" s="348" t="s">
        <v>31</v>
      </c>
      <c r="C1947" s="334" t="s">
        <v>115</v>
      </c>
      <c r="D1947" s="349" t="s">
        <v>143</v>
      </c>
      <c r="E1947" s="336">
        <v>43652</v>
      </c>
      <c r="F1947" s="336" t="s">
        <v>800</v>
      </c>
      <c r="G1947" s="336">
        <v>43648</v>
      </c>
      <c r="H1947" s="334" t="s">
        <v>5397</v>
      </c>
      <c r="I1947" s="356">
        <v>18918601989</v>
      </c>
      <c r="J1947" s="361" t="s">
        <v>5398</v>
      </c>
      <c r="K1947" s="356"/>
      <c r="L1947" s="334"/>
      <c r="M1947" s="334">
        <v>74000</v>
      </c>
      <c r="N1947" s="362">
        <f t="shared" ref="N1947:N1956" si="60">L1947+M1947</f>
        <v>74000</v>
      </c>
      <c r="O1947" s="356"/>
      <c r="P1947" s="356"/>
      <c r="Q1947" s="356"/>
      <c r="R1947" s="356"/>
      <c r="S1947" s="356"/>
      <c r="T1947" s="356"/>
      <c r="U1947" s="372"/>
      <c r="V1947" s="372"/>
      <c r="W1947" s="372"/>
      <c r="X1947" s="373"/>
      <c r="Y1947" s="348"/>
      <c r="Z1947" s="348"/>
      <c r="AA1947" s="348"/>
    </row>
    <row r="1948" s="331" customFormat="1" ht="17" customHeight="1" spans="1:27">
      <c r="A1948" s="348"/>
      <c r="B1948" s="348" t="s">
        <v>169</v>
      </c>
      <c r="C1948" s="348" t="s">
        <v>170</v>
      </c>
      <c r="D1948" s="349" t="s">
        <v>75</v>
      </c>
      <c r="E1948" s="336">
        <v>43652</v>
      </c>
      <c r="F1948" s="336" t="s">
        <v>800</v>
      </c>
      <c r="G1948" s="336">
        <v>43652</v>
      </c>
      <c r="H1948" s="269" t="s">
        <v>5399</v>
      </c>
      <c r="I1948" s="356">
        <v>13817538426</v>
      </c>
      <c r="J1948" s="361" t="s">
        <v>5400</v>
      </c>
      <c r="K1948" s="356"/>
      <c r="L1948" s="419"/>
      <c r="M1948" s="334">
        <v>2181</v>
      </c>
      <c r="N1948" s="362">
        <f t="shared" si="60"/>
        <v>2181</v>
      </c>
      <c r="O1948" s="356"/>
      <c r="P1948" s="356"/>
      <c r="Q1948" s="356"/>
      <c r="R1948" s="356"/>
      <c r="S1948" s="356"/>
      <c r="T1948" s="356"/>
      <c r="U1948" s="372"/>
      <c r="V1948" s="372"/>
      <c r="W1948" s="372"/>
      <c r="X1948" s="373"/>
      <c r="Y1948" s="348"/>
      <c r="Z1948" s="348"/>
      <c r="AA1948" s="348"/>
    </row>
    <row r="1949" s="331" customFormat="1" ht="17" customHeight="1" spans="1:27">
      <c r="A1949" s="348"/>
      <c r="B1949" s="348" t="s">
        <v>66</v>
      </c>
      <c r="C1949" s="348" t="s">
        <v>67</v>
      </c>
      <c r="D1949" s="349" t="s">
        <v>143</v>
      </c>
      <c r="E1949" s="336">
        <v>43652</v>
      </c>
      <c r="F1949" s="336" t="s">
        <v>800</v>
      </c>
      <c r="G1949" s="336">
        <v>43652</v>
      </c>
      <c r="H1949" s="334" t="s">
        <v>5401</v>
      </c>
      <c r="I1949" s="356">
        <v>13671640939</v>
      </c>
      <c r="J1949" s="361" t="s">
        <v>5402</v>
      </c>
      <c r="K1949" s="356"/>
      <c r="L1949" s="419"/>
      <c r="M1949" s="334">
        <v>2679</v>
      </c>
      <c r="N1949" s="362">
        <f t="shared" si="60"/>
        <v>2679</v>
      </c>
      <c r="O1949" s="356"/>
      <c r="P1949" s="356"/>
      <c r="Q1949" s="356"/>
      <c r="R1949" s="356"/>
      <c r="S1949" s="356"/>
      <c r="T1949" s="356"/>
      <c r="U1949" s="372"/>
      <c r="V1949" s="372"/>
      <c r="W1949" s="372"/>
      <c r="X1949" s="373"/>
      <c r="Y1949" s="348"/>
      <c r="Z1949" s="348"/>
      <c r="AA1949" s="348"/>
    </row>
    <row r="1950" s="331" customFormat="1" ht="17" customHeight="1" spans="1:27">
      <c r="A1950" s="348"/>
      <c r="B1950" s="348" t="s">
        <v>35</v>
      </c>
      <c r="C1950" s="348" t="s">
        <v>392</v>
      </c>
      <c r="D1950" s="349" t="s">
        <v>37</v>
      </c>
      <c r="E1950" s="336">
        <v>43652</v>
      </c>
      <c r="F1950" s="336" t="s">
        <v>800</v>
      </c>
      <c r="G1950" s="336">
        <v>43652</v>
      </c>
      <c r="H1950" s="334" t="s">
        <v>5403</v>
      </c>
      <c r="I1950" s="356">
        <v>13761126379</v>
      </c>
      <c r="J1950" s="361" t="s">
        <v>5404</v>
      </c>
      <c r="K1950" s="356"/>
      <c r="L1950" s="419"/>
      <c r="M1950" s="334">
        <v>464</v>
      </c>
      <c r="N1950" s="362">
        <f t="shared" si="60"/>
        <v>464</v>
      </c>
      <c r="O1950" s="356"/>
      <c r="P1950" s="356"/>
      <c r="Q1950" s="356"/>
      <c r="R1950" s="356"/>
      <c r="S1950" s="356"/>
      <c r="T1950" s="356"/>
      <c r="U1950" s="372"/>
      <c r="V1950" s="372"/>
      <c r="W1950" s="372"/>
      <c r="X1950" s="373"/>
      <c r="Y1950" s="348"/>
      <c r="Z1950" s="348"/>
      <c r="AA1950" s="348"/>
    </row>
    <row r="1951" s="331" customFormat="1" ht="17" customHeight="1" spans="1:27">
      <c r="A1951" s="348"/>
      <c r="B1951" s="348" t="s">
        <v>73</v>
      </c>
      <c r="C1951" s="334" t="s">
        <v>178</v>
      </c>
      <c r="D1951" s="349" t="s">
        <v>132</v>
      </c>
      <c r="E1951" s="336">
        <v>43652</v>
      </c>
      <c r="F1951" s="336" t="s">
        <v>800</v>
      </c>
      <c r="G1951" s="336">
        <v>43652</v>
      </c>
      <c r="H1951" s="269" t="s">
        <v>5405</v>
      </c>
      <c r="I1951" s="356">
        <v>13321981727</v>
      </c>
      <c r="J1951" s="361" t="s">
        <v>5406</v>
      </c>
      <c r="K1951" s="356"/>
      <c r="L1951" s="419"/>
      <c r="M1951" s="334">
        <v>991</v>
      </c>
      <c r="N1951" s="362">
        <f t="shared" si="60"/>
        <v>991</v>
      </c>
      <c r="O1951" s="356"/>
      <c r="P1951" s="356"/>
      <c r="Q1951" s="356"/>
      <c r="R1951" s="356"/>
      <c r="S1951" s="356"/>
      <c r="T1951" s="356"/>
      <c r="U1951" s="372"/>
      <c r="V1951" s="372"/>
      <c r="W1951" s="372"/>
      <c r="X1951" s="373"/>
      <c r="Y1951" s="348"/>
      <c r="Z1951" s="348"/>
      <c r="AA1951" s="348"/>
    </row>
    <row r="1952" s="331" customFormat="1" ht="17" customHeight="1" spans="1:27">
      <c r="A1952" s="348"/>
      <c r="B1952" s="348" t="s">
        <v>66</v>
      </c>
      <c r="C1952" s="334" t="s">
        <v>67</v>
      </c>
      <c r="D1952" s="349" t="s">
        <v>68</v>
      </c>
      <c r="E1952" s="336">
        <v>43652</v>
      </c>
      <c r="F1952" s="336" t="s">
        <v>800</v>
      </c>
      <c r="G1952" s="336">
        <v>43637</v>
      </c>
      <c r="H1952" s="269" t="s">
        <v>5407</v>
      </c>
      <c r="I1952" s="356">
        <v>13761461751</v>
      </c>
      <c r="J1952" s="361" t="s">
        <v>5408</v>
      </c>
      <c r="K1952" s="356"/>
      <c r="L1952" s="419"/>
      <c r="M1952" s="334">
        <v>-200</v>
      </c>
      <c r="N1952" s="362">
        <f t="shared" si="60"/>
        <v>-200</v>
      </c>
      <c r="O1952" s="356"/>
      <c r="P1952" s="356"/>
      <c r="Q1952" s="356"/>
      <c r="R1952" s="356"/>
      <c r="S1952" s="356"/>
      <c r="T1952" s="356"/>
      <c r="U1952" s="372"/>
      <c r="V1952" s="372"/>
      <c r="W1952" s="372"/>
      <c r="X1952" s="373"/>
      <c r="Y1952" s="348"/>
      <c r="Z1952" s="348"/>
      <c r="AA1952" s="348"/>
    </row>
    <row r="1953" s="331" customFormat="1" ht="17" customHeight="1" spans="1:27">
      <c r="A1953" s="348"/>
      <c r="B1953" s="348" t="s">
        <v>335</v>
      </c>
      <c r="C1953" s="348" t="s">
        <v>336</v>
      </c>
      <c r="D1953" s="349" t="s">
        <v>337</v>
      </c>
      <c r="E1953" s="336">
        <v>43652</v>
      </c>
      <c r="F1953" s="336" t="s">
        <v>800</v>
      </c>
      <c r="G1953" s="336">
        <v>43652</v>
      </c>
      <c r="H1953" s="334" t="s">
        <v>5409</v>
      </c>
      <c r="I1953" s="356">
        <v>18930877372</v>
      </c>
      <c r="J1953" s="361" t="s">
        <v>5410</v>
      </c>
      <c r="K1953" s="356"/>
      <c r="L1953" s="419"/>
      <c r="M1953" s="334">
        <f>-198+1134</f>
        <v>936</v>
      </c>
      <c r="N1953" s="362">
        <f t="shared" si="60"/>
        <v>936</v>
      </c>
      <c r="O1953" s="356"/>
      <c r="P1953" s="356"/>
      <c r="Q1953" s="356"/>
      <c r="R1953" s="356"/>
      <c r="S1953" s="356"/>
      <c r="T1953" s="356"/>
      <c r="U1953" s="372"/>
      <c r="V1953" s="372"/>
      <c r="W1953" s="372"/>
      <c r="X1953" s="373"/>
      <c r="Y1953" s="348"/>
      <c r="Z1953" s="348"/>
      <c r="AA1953" s="348"/>
    </row>
    <row r="1954" s="331" customFormat="1" ht="17" customHeight="1" spans="1:27">
      <c r="A1954" s="348"/>
      <c r="B1954" s="348" t="s">
        <v>185</v>
      </c>
      <c r="C1954" s="348" t="s">
        <v>1204</v>
      </c>
      <c r="D1954" s="349" t="s">
        <v>187</v>
      </c>
      <c r="E1954" s="336">
        <v>43652</v>
      </c>
      <c r="F1954" s="336" t="s">
        <v>800</v>
      </c>
      <c r="G1954" s="336">
        <v>43650</v>
      </c>
      <c r="H1954" s="269" t="s">
        <v>5411</v>
      </c>
      <c r="I1954" s="356">
        <v>13761263265</v>
      </c>
      <c r="J1954" s="361" t="s">
        <v>5412</v>
      </c>
      <c r="K1954" s="356"/>
      <c r="L1954" s="419"/>
      <c r="M1954" s="334">
        <v>12632</v>
      </c>
      <c r="N1954" s="362">
        <f t="shared" si="60"/>
        <v>12632</v>
      </c>
      <c r="O1954" s="356"/>
      <c r="P1954" s="356"/>
      <c r="Q1954" s="356"/>
      <c r="R1954" s="356"/>
      <c r="S1954" s="356"/>
      <c r="T1954" s="356"/>
      <c r="U1954" s="372"/>
      <c r="V1954" s="372"/>
      <c r="W1954" s="372"/>
      <c r="X1954" s="373"/>
      <c r="Y1954" s="348"/>
      <c r="Z1954" s="348"/>
      <c r="AA1954" s="348"/>
    </row>
    <row r="1955" s="331" customFormat="1" ht="17" customHeight="1" spans="1:27">
      <c r="A1955" s="348"/>
      <c r="B1955" s="348" t="s">
        <v>73</v>
      </c>
      <c r="C1955" s="334" t="s">
        <v>74</v>
      </c>
      <c r="D1955" s="349" t="s">
        <v>143</v>
      </c>
      <c r="E1955" s="336">
        <v>43652</v>
      </c>
      <c r="F1955" s="336" t="s">
        <v>800</v>
      </c>
      <c r="G1955" s="336">
        <v>43652</v>
      </c>
      <c r="H1955" s="334" t="s">
        <v>5413</v>
      </c>
      <c r="I1955" s="356">
        <v>13761614132</v>
      </c>
      <c r="J1955" s="361" t="s">
        <v>5414</v>
      </c>
      <c r="K1955" s="356"/>
      <c r="L1955" s="419"/>
      <c r="M1955" s="334">
        <v>-2905</v>
      </c>
      <c r="N1955" s="362">
        <f t="shared" si="60"/>
        <v>-2905</v>
      </c>
      <c r="O1955" s="356"/>
      <c r="P1955" s="356"/>
      <c r="Q1955" s="356"/>
      <c r="R1955" s="356"/>
      <c r="S1955" s="356"/>
      <c r="T1955" s="356"/>
      <c r="U1955" s="372"/>
      <c r="V1955" s="372"/>
      <c r="W1955" s="372"/>
      <c r="X1955" s="373"/>
      <c r="Y1955" s="348"/>
      <c r="Z1955" s="348"/>
      <c r="AA1955" s="348"/>
    </row>
    <row r="1956" s="331" customFormat="1" ht="17" customHeight="1" spans="1:27">
      <c r="A1956" s="348"/>
      <c r="B1956" s="334" t="s">
        <v>185</v>
      </c>
      <c r="C1956" s="334" t="s">
        <v>186</v>
      </c>
      <c r="D1956" s="349" t="s">
        <v>44</v>
      </c>
      <c r="E1956" s="336">
        <v>43652</v>
      </c>
      <c r="F1956" s="336" t="s">
        <v>800</v>
      </c>
      <c r="G1956" s="336">
        <v>43652</v>
      </c>
      <c r="H1956" s="269" t="s">
        <v>5415</v>
      </c>
      <c r="I1956" s="363">
        <v>15601661730</v>
      </c>
      <c r="J1956" s="364" t="s">
        <v>5416</v>
      </c>
      <c r="K1956" s="356"/>
      <c r="L1956" s="419"/>
      <c r="M1956" s="334">
        <v>150</v>
      </c>
      <c r="N1956" s="362">
        <f t="shared" si="60"/>
        <v>150</v>
      </c>
      <c r="O1956" s="356"/>
      <c r="P1956" s="356"/>
      <c r="Q1956" s="356"/>
      <c r="R1956" s="356"/>
      <c r="S1956" s="356"/>
      <c r="T1956" s="356"/>
      <c r="U1956" s="372"/>
      <c r="V1956" s="372"/>
      <c r="W1956" s="372"/>
      <c r="X1956" s="373"/>
      <c r="Y1956" s="348"/>
      <c r="Z1956" s="348"/>
      <c r="AA1956" s="348"/>
    </row>
    <row r="1957" s="331" customFormat="1" ht="17" customHeight="1" spans="1:27">
      <c r="A1957" s="348"/>
      <c r="B1957" s="348" t="s">
        <v>405</v>
      </c>
      <c r="C1957" s="334" t="s">
        <v>1234</v>
      </c>
      <c r="D1957" s="349" t="s">
        <v>407</v>
      </c>
      <c r="E1957" s="336">
        <v>43652</v>
      </c>
      <c r="F1957" s="336" t="s">
        <v>800</v>
      </c>
      <c r="G1957" s="336">
        <v>43652</v>
      </c>
      <c r="H1957" s="334" t="s">
        <v>5417</v>
      </c>
      <c r="I1957" s="356">
        <v>13564456958</v>
      </c>
      <c r="J1957" s="361" t="s">
        <v>5418</v>
      </c>
      <c r="K1957" s="356"/>
      <c r="L1957" s="419"/>
      <c r="M1957" s="334">
        <v>-104</v>
      </c>
      <c r="N1957" s="362">
        <f t="shared" ref="N1957:N1972" si="61">L1957+M1957</f>
        <v>-104</v>
      </c>
      <c r="O1957" s="356"/>
      <c r="P1957" s="356"/>
      <c r="Q1957" s="356"/>
      <c r="R1957" s="356"/>
      <c r="S1957" s="356"/>
      <c r="T1957" s="356"/>
      <c r="U1957" s="372"/>
      <c r="V1957" s="372"/>
      <c r="W1957" s="372"/>
      <c r="X1957" s="373"/>
      <c r="Y1957" s="348"/>
      <c r="Z1957" s="348"/>
      <c r="AA1957" s="348"/>
    </row>
    <row r="1958" s="331" customFormat="1" ht="17" customHeight="1" spans="1:27">
      <c r="A1958" s="348"/>
      <c r="B1958" s="348" t="s">
        <v>137</v>
      </c>
      <c r="C1958" s="348" t="s">
        <v>480</v>
      </c>
      <c r="D1958" s="349" t="s">
        <v>427</v>
      </c>
      <c r="E1958" s="336">
        <v>43653</v>
      </c>
      <c r="F1958" s="336" t="s">
        <v>800</v>
      </c>
      <c r="G1958" s="336">
        <v>43652</v>
      </c>
      <c r="H1958" s="269" t="s">
        <v>5419</v>
      </c>
      <c r="I1958" s="356">
        <v>18016203820</v>
      </c>
      <c r="J1958" s="361" t="s">
        <v>5420</v>
      </c>
      <c r="K1958" s="356"/>
      <c r="L1958" s="419"/>
      <c r="M1958" s="334">
        <v>600</v>
      </c>
      <c r="N1958" s="362">
        <f t="shared" si="61"/>
        <v>600</v>
      </c>
      <c r="O1958" s="356"/>
      <c r="P1958" s="356"/>
      <c r="Q1958" s="356"/>
      <c r="R1958" s="356"/>
      <c r="S1958" s="356"/>
      <c r="T1958" s="356"/>
      <c r="U1958" s="372"/>
      <c r="V1958" s="372"/>
      <c r="W1958" s="372"/>
      <c r="X1958" s="373"/>
      <c r="Y1958" s="348"/>
      <c r="Z1958" s="348"/>
      <c r="AA1958" s="348"/>
    </row>
    <row r="1959" s="331" customFormat="1" ht="17" customHeight="1" spans="1:27">
      <c r="A1959" s="348"/>
      <c r="B1959" s="348" t="s">
        <v>31</v>
      </c>
      <c r="C1959" s="348" t="s">
        <v>32</v>
      </c>
      <c r="D1959" s="349" t="s">
        <v>221</v>
      </c>
      <c r="E1959" s="336">
        <v>43653</v>
      </c>
      <c r="F1959" s="336" t="s">
        <v>800</v>
      </c>
      <c r="G1959" s="336">
        <v>43652</v>
      </c>
      <c r="H1959" s="269" t="s">
        <v>5421</v>
      </c>
      <c r="I1959" s="356">
        <v>13917210333</v>
      </c>
      <c r="J1959" s="361" t="s">
        <v>5422</v>
      </c>
      <c r="K1959" s="356"/>
      <c r="L1959" s="419"/>
      <c r="M1959" s="334">
        <v>4858</v>
      </c>
      <c r="N1959" s="362">
        <f t="shared" si="61"/>
        <v>4858</v>
      </c>
      <c r="O1959" s="356"/>
      <c r="P1959" s="356"/>
      <c r="Q1959" s="356"/>
      <c r="R1959" s="356"/>
      <c r="S1959" s="356"/>
      <c r="T1959" s="356"/>
      <c r="U1959" s="372"/>
      <c r="V1959" s="372"/>
      <c r="W1959" s="372"/>
      <c r="X1959" s="373"/>
      <c r="Y1959" s="348"/>
      <c r="Z1959" s="348"/>
      <c r="AA1959" s="348"/>
    </row>
    <row r="1960" s="331" customFormat="1" ht="17" customHeight="1" spans="1:27">
      <c r="A1960" s="348"/>
      <c r="B1960" s="348" t="s">
        <v>315</v>
      </c>
      <c r="C1960" s="334" t="s">
        <v>258</v>
      </c>
      <c r="D1960" s="349" t="s">
        <v>132</v>
      </c>
      <c r="E1960" s="336">
        <v>43653</v>
      </c>
      <c r="F1960" s="336" t="s">
        <v>800</v>
      </c>
      <c r="G1960" s="336">
        <v>43652</v>
      </c>
      <c r="H1960" s="363" t="s">
        <v>5423</v>
      </c>
      <c r="I1960" s="363">
        <v>15821562767</v>
      </c>
      <c r="J1960" s="364" t="s">
        <v>5424</v>
      </c>
      <c r="K1960" s="356"/>
      <c r="L1960" s="419"/>
      <c r="M1960" s="334">
        <f>268-8637</f>
        <v>-8369</v>
      </c>
      <c r="N1960" s="362">
        <f t="shared" si="61"/>
        <v>-8369</v>
      </c>
      <c r="O1960" s="356"/>
      <c r="P1960" s="356"/>
      <c r="Q1960" s="356"/>
      <c r="R1960" s="356"/>
      <c r="S1960" s="356"/>
      <c r="T1960" s="356"/>
      <c r="U1960" s="372"/>
      <c r="V1960" s="372"/>
      <c r="W1960" s="372"/>
      <c r="X1960" s="373"/>
      <c r="Y1960" s="348"/>
      <c r="Z1960" s="348"/>
      <c r="AA1960" s="348"/>
    </row>
    <row r="1961" s="331" customFormat="1" ht="17" customHeight="1" spans="1:27">
      <c r="A1961" s="348"/>
      <c r="B1961" s="348" t="s">
        <v>58</v>
      </c>
      <c r="C1961" s="348" t="s">
        <v>342</v>
      </c>
      <c r="D1961" s="349" t="s">
        <v>635</v>
      </c>
      <c r="E1961" s="336">
        <v>43653</v>
      </c>
      <c r="F1961" s="336" t="s">
        <v>800</v>
      </c>
      <c r="G1961" s="336">
        <v>43652</v>
      </c>
      <c r="H1961" s="269" t="s">
        <v>5425</v>
      </c>
      <c r="I1961" s="356">
        <v>13162560080</v>
      </c>
      <c r="J1961" s="361" t="s">
        <v>5426</v>
      </c>
      <c r="K1961" s="356"/>
      <c r="L1961" s="419"/>
      <c r="M1961" s="334">
        <v>2181</v>
      </c>
      <c r="N1961" s="362">
        <f t="shared" si="61"/>
        <v>2181</v>
      </c>
      <c r="O1961" s="356"/>
      <c r="P1961" s="356"/>
      <c r="Q1961" s="356"/>
      <c r="R1961" s="356"/>
      <c r="S1961" s="356"/>
      <c r="T1961" s="356"/>
      <c r="U1961" s="372"/>
      <c r="V1961" s="372"/>
      <c r="W1961" s="372"/>
      <c r="X1961" s="373"/>
      <c r="Y1961" s="348"/>
      <c r="Z1961" s="348"/>
      <c r="AA1961" s="348"/>
    </row>
    <row r="1962" s="331" customFormat="1" ht="17" customHeight="1" spans="1:27">
      <c r="A1962" s="348"/>
      <c r="B1962" s="334" t="s">
        <v>35</v>
      </c>
      <c r="C1962" s="348" t="s">
        <v>392</v>
      </c>
      <c r="D1962" s="349" t="s">
        <v>187</v>
      </c>
      <c r="E1962" s="336">
        <v>43653</v>
      </c>
      <c r="F1962" s="336" t="s">
        <v>800</v>
      </c>
      <c r="G1962" s="336">
        <v>43653</v>
      </c>
      <c r="H1962" s="334" t="s">
        <v>5427</v>
      </c>
      <c r="I1962" s="363">
        <v>13636631500</v>
      </c>
      <c r="J1962" s="364" t="s">
        <v>5428</v>
      </c>
      <c r="K1962" s="356"/>
      <c r="L1962" s="419"/>
      <c r="M1962" s="334">
        <v>3597</v>
      </c>
      <c r="N1962" s="362">
        <f t="shared" si="61"/>
        <v>3597</v>
      </c>
      <c r="O1962" s="356"/>
      <c r="P1962" s="356"/>
      <c r="Q1962" s="356"/>
      <c r="R1962" s="356"/>
      <c r="S1962" s="356"/>
      <c r="T1962" s="356"/>
      <c r="U1962" s="372"/>
      <c r="V1962" s="372"/>
      <c r="W1962" s="372"/>
      <c r="X1962" s="373"/>
      <c r="Y1962" s="348"/>
      <c r="Z1962" s="348"/>
      <c r="AA1962" s="348"/>
    </row>
    <row r="1963" s="331" customFormat="1" ht="17" customHeight="1" spans="1:27">
      <c r="A1963" s="348"/>
      <c r="B1963" s="348" t="s">
        <v>153</v>
      </c>
      <c r="C1963" s="334" t="s">
        <v>302</v>
      </c>
      <c r="D1963" s="349" t="s">
        <v>155</v>
      </c>
      <c r="E1963" s="336">
        <v>43653</v>
      </c>
      <c r="F1963" s="336" t="s">
        <v>800</v>
      </c>
      <c r="G1963" s="336">
        <v>43652</v>
      </c>
      <c r="H1963" s="334" t="s">
        <v>5429</v>
      </c>
      <c r="I1963" s="356">
        <v>15000597156</v>
      </c>
      <c r="J1963" s="361" t="s">
        <v>5430</v>
      </c>
      <c r="K1963" s="356"/>
      <c r="L1963" s="419"/>
      <c r="M1963" s="334">
        <v>600</v>
      </c>
      <c r="N1963" s="362">
        <f t="shared" si="61"/>
        <v>600</v>
      </c>
      <c r="O1963" s="356"/>
      <c r="P1963" s="356"/>
      <c r="Q1963" s="356"/>
      <c r="R1963" s="356"/>
      <c r="S1963" s="356"/>
      <c r="T1963" s="356"/>
      <c r="U1963" s="372"/>
      <c r="V1963" s="372"/>
      <c r="W1963" s="372"/>
      <c r="X1963" s="373"/>
      <c r="Y1963" s="348"/>
      <c r="Z1963" s="348"/>
      <c r="AA1963" s="348"/>
    </row>
    <row r="1964" s="331" customFormat="1" ht="17" customHeight="1" spans="1:27">
      <c r="A1964" s="348"/>
      <c r="B1964" s="348" t="s">
        <v>153</v>
      </c>
      <c r="C1964" s="334" t="s">
        <v>154</v>
      </c>
      <c r="D1964" s="349" t="s">
        <v>155</v>
      </c>
      <c r="E1964" s="336">
        <v>43653</v>
      </c>
      <c r="F1964" s="336" t="s">
        <v>800</v>
      </c>
      <c r="G1964" s="336">
        <v>43652</v>
      </c>
      <c r="H1964" s="334" t="s">
        <v>5431</v>
      </c>
      <c r="I1964" s="356">
        <v>13816963914</v>
      </c>
      <c r="J1964" s="361" t="s">
        <v>5432</v>
      </c>
      <c r="K1964" s="356"/>
      <c r="L1964" s="419"/>
      <c r="M1964" s="334">
        <v>5552</v>
      </c>
      <c r="N1964" s="362">
        <f t="shared" si="61"/>
        <v>5552</v>
      </c>
      <c r="O1964" s="356"/>
      <c r="P1964" s="356"/>
      <c r="Q1964" s="356"/>
      <c r="R1964" s="356"/>
      <c r="S1964" s="356"/>
      <c r="T1964" s="356"/>
      <c r="U1964" s="372"/>
      <c r="V1964" s="372"/>
      <c r="W1964" s="372"/>
      <c r="X1964" s="373"/>
      <c r="Y1964" s="348"/>
      <c r="Z1964" s="348"/>
      <c r="AA1964" s="348"/>
    </row>
    <row r="1965" s="331" customFormat="1" ht="17" customHeight="1" spans="1:27">
      <c r="A1965" s="348"/>
      <c r="B1965" s="348" t="s">
        <v>315</v>
      </c>
      <c r="C1965" s="334" t="s">
        <v>230</v>
      </c>
      <c r="D1965" s="349" t="s">
        <v>182</v>
      </c>
      <c r="E1965" s="336">
        <v>43653</v>
      </c>
      <c r="F1965" s="336" t="s">
        <v>800</v>
      </c>
      <c r="G1965" s="336">
        <v>43652</v>
      </c>
      <c r="H1965" s="334" t="s">
        <v>5433</v>
      </c>
      <c r="I1965" s="356">
        <v>13818483735</v>
      </c>
      <c r="J1965" s="361" t="s">
        <v>5434</v>
      </c>
      <c r="K1965" s="356"/>
      <c r="L1965" s="419"/>
      <c r="M1965" s="334">
        <v>-480</v>
      </c>
      <c r="N1965" s="362">
        <f t="shared" si="61"/>
        <v>-480</v>
      </c>
      <c r="O1965" s="356"/>
      <c r="P1965" s="356"/>
      <c r="Q1965" s="356"/>
      <c r="R1965" s="356"/>
      <c r="S1965" s="356"/>
      <c r="T1965" s="356"/>
      <c r="U1965" s="372"/>
      <c r="V1965" s="372"/>
      <c r="W1965" s="372"/>
      <c r="X1965" s="373"/>
      <c r="Y1965" s="348"/>
      <c r="Z1965" s="348"/>
      <c r="AA1965" s="348"/>
    </row>
    <row r="1966" s="331" customFormat="1" ht="17" customHeight="1" spans="1:27">
      <c r="A1966" s="348"/>
      <c r="B1966" s="348" t="s">
        <v>5435</v>
      </c>
      <c r="C1966" s="334" t="s">
        <v>115</v>
      </c>
      <c r="D1966" s="349" t="s">
        <v>115</v>
      </c>
      <c r="E1966" s="336">
        <v>43653</v>
      </c>
      <c r="F1966" s="336" t="s">
        <v>800</v>
      </c>
      <c r="G1966" s="336">
        <v>43652</v>
      </c>
      <c r="H1966" s="334" t="s">
        <v>5436</v>
      </c>
      <c r="I1966" s="356">
        <v>18616677535</v>
      </c>
      <c r="J1966" s="361" t="s">
        <v>5437</v>
      </c>
      <c r="K1966" s="356"/>
      <c r="L1966" s="419"/>
      <c r="M1966" s="419">
        <f>-5004-736</f>
        <v>-5740</v>
      </c>
      <c r="N1966" s="362">
        <f t="shared" si="61"/>
        <v>-5740</v>
      </c>
      <c r="O1966" s="356"/>
      <c r="P1966" s="356"/>
      <c r="Q1966" s="356"/>
      <c r="R1966" s="356"/>
      <c r="S1966" s="356"/>
      <c r="T1966" s="356"/>
      <c r="U1966" s="372"/>
      <c r="V1966" s="372"/>
      <c r="W1966" s="372"/>
      <c r="X1966" s="373"/>
      <c r="Y1966" s="348"/>
      <c r="Z1966" s="348"/>
      <c r="AA1966" s="348"/>
    </row>
    <row r="1967" s="331" customFormat="1" ht="17" customHeight="1" spans="1:27">
      <c r="A1967" s="348"/>
      <c r="B1967" s="348" t="s">
        <v>87</v>
      </c>
      <c r="C1967" s="334" t="s">
        <v>199</v>
      </c>
      <c r="D1967" s="349" t="s">
        <v>75</v>
      </c>
      <c r="E1967" s="336">
        <v>43653</v>
      </c>
      <c r="F1967" s="336" t="s">
        <v>800</v>
      </c>
      <c r="G1967" s="336">
        <v>43653</v>
      </c>
      <c r="H1967" s="334" t="s">
        <v>5438</v>
      </c>
      <c r="I1967" s="356">
        <v>13917069332</v>
      </c>
      <c r="J1967" s="361" t="s">
        <v>5439</v>
      </c>
      <c r="K1967" s="356"/>
      <c r="L1967" s="419"/>
      <c r="M1967" s="334">
        <v>7164</v>
      </c>
      <c r="N1967" s="362">
        <f t="shared" si="61"/>
        <v>7164</v>
      </c>
      <c r="O1967" s="356"/>
      <c r="P1967" s="356"/>
      <c r="Q1967" s="356"/>
      <c r="R1967" s="356"/>
      <c r="S1967" s="356"/>
      <c r="T1967" s="356"/>
      <c r="U1967" s="372"/>
      <c r="V1967" s="372"/>
      <c r="W1967" s="372"/>
      <c r="X1967" s="373"/>
      <c r="Y1967" s="348"/>
      <c r="Z1967" s="348"/>
      <c r="AA1967" s="348"/>
    </row>
    <row r="1968" s="331" customFormat="1" ht="17" customHeight="1" spans="1:27">
      <c r="A1968" s="348"/>
      <c r="B1968" s="348" t="s">
        <v>73</v>
      </c>
      <c r="C1968" s="334" t="s">
        <v>74</v>
      </c>
      <c r="D1968" s="349" t="s">
        <v>132</v>
      </c>
      <c r="E1968" s="336">
        <v>43653</v>
      </c>
      <c r="F1968" s="336" t="s">
        <v>800</v>
      </c>
      <c r="G1968" s="336">
        <v>43649</v>
      </c>
      <c r="H1968" s="334" t="s">
        <v>5440</v>
      </c>
      <c r="I1968" s="356">
        <v>18964962065</v>
      </c>
      <c r="J1968" s="361" t="s">
        <v>5441</v>
      </c>
      <c r="K1968" s="356"/>
      <c r="L1968" s="419"/>
      <c r="M1968" s="334">
        <v>-2022</v>
      </c>
      <c r="N1968" s="362">
        <f t="shared" si="61"/>
        <v>-2022</v>
      </c>
      <c r="O1968" s="356"/>
      <c r="P1968" s="356"/>
      <c r="Q1968" s="356"/>
      <c r="R1968" s="356"/>
      <c r="S1968" s="356"/>
      <c r="T1968" s="356"/>
      <c r="U1968" s="372"/>
      <c r="V1968" s="372"/>
      <c r="W1968" s="372"/>
      <c r="X1968" s="373"/>
      <c r="Y1968" s="348"/>
      <c r="Z1968" s="348"/>
      <c r="AA1968" s="348"/>
    </row>
    <row r="1969" s="331" customFormat="1" ht="17" customHeight="1" spans="1:27">
      <c r="A1969" s="348"/>
      <c r="B1969" s="348" t="s">
        <v>31</v>
      </c>
      <c r="C1969" s="334" t="s">
        <v>220</v>
      </c>
      <c r="D1969" s="349" t="s">
        <v>221</v>
      </c>
      <c r="E1969" s="336">
        <v>43653</v>
      </c>
      <c r="F1969" s="336" t="s">
        <v>800</v>
      </c>
      <c r="G1969" s="336">
        <v>43653</v>
      </c>
      <c r="H1969" s="334" t="s">
        <v>529</v>
      </c>
      <c r="I1969" s="356">
        <v>1348218972</v>
      </c>
      <c r="J1969" s="361" t="s">
        <v>5442</v>
      </c>
      <c r="K1969" s="356"/>
      <c r="L1969" s="419"/>
      <c r="M1969" s="334">
        <v>1413</v>
      </c>
      <c r="N1969" s="362">
        <f t="shared" si="61"/>
        <v>1413</v>
      </c>
      <c r="O1969" s="356"/>
      <c r="P1969" s="356"/>
      <c r="Q1969" s="356"/>
      <c r="R1969" s="356"/>
      <c r="S1969" s="356"/>
      <c r="T1969" s="356"/>
      <c r="U1969" s="372"/>
      <c r="V1969" s="372"/>
      <c r="W1969" s="372"/>
      <c r="X1969" s="373"/>
      <c r="Y1969" s="348"/>
      <c r="Z1969" s="348"/>
      <c r="AA1969" s="348"/>
    </row>
    <row r="1970" s="331" customFormat="1" ht="17" customHeight="1" spans="1:27">
      <c r="A1970" s="348"/>
      <c r="B1970" s="348" t="s">
        <v>185</v>
      </c>
      <c r="C1970" s="334" t="s">
        <v>186</v>
      </c>
      <c r="D1970" s="349" t="s">
        <v>187</v>
      </c>
      <c r="E1970" s="336">
        <v>43653</v>
      </c>
      <c r="F1970" s="336" t="s">
        <v>800</v>
      </c>
      <c r="G1970" s="336">
        <v>43652</v>
      </c>
      <c r="H1970" s="334" t="s">
        <v>5443</v>
      </c>
      <c r="I1970" s="356">
        <v>13801736815</v>
      </c>
      <c r="J1970" s="361" t="s">
        <v>5444</v>
      </c>
      <c r="K1970" s="356"/>
      <c r="L1970" s="419"/>
      <c r="M1970" s="334">
        <v>49169</v>
      </c>
      <c r="N1970" s="362">
        <f t="shared" si="61"/>
        <v>49169</v>
      </c>
      <c r="O1970" s="356"/>
      <c r="P1970" s="356"/>
      <c r="Q1970" s="356"/>
      <c r="R1970" s="356"/>
      <c r="S1970" s="356"/>
      <c r="T1970" s="356"/>
      <c r="U1970" s="372"/>
      <c r="V1970" s="372"/>
      <c r="W1970" s="372"/>
      <c r="X1970" s="373"/>
      <c r="Y1970" s="348"/>
      <c r="Z1970" s="348"/>
      <c r="AA1970" s="348"/>
    </row>
    <row r="1971" s="331" customFormat="1" ht="17" customHeight="1" spans="1:27">
      <c r="A1971" s="348"/>
      <c r="B1971" s="348" t="s">
        <v>87</v>
      </c>
      <c r="C1971" s="334" t="s">
        <v>466</v>
      </c>
      <c r="D1971" s="349" t="s">
        <v>75</v>
      </c>
      <c r="E1971" s="336">
        <v>43653</v>
      </c>
      <c r="F1971" s="336" t="s">
        <v>800</v>
      </c>
      <c r="G1971" s="336">
        <v>43653</v>
      </c>
      <c r="H1971" s="334" t="s">
        <v>5445</v>
      </c>
      <c r="I1971" s="356">
        <v>15216889556</v>
      </c>
      <c r="J1971" s="361" t="s">
        <v>5446</v>
      </c>
      <c r="K1971" s="356"/>
      <c r="L1971" s="419"/>
      <c r="M1971" s="334">
        <f>1134-1309</f>
        <v>-175</v>
      </c>
      <c r="N1971" s="362">
        <f t="shared" si="61"/>
        <v>-175</v>
      </c>
      <c r="O1971" s="356"/>
      <c r="P1971" s="356"/>
      <c r="Q1971" s="356"/>
      <c r="R1971" s="356"/>
      <c r="S1971" s="356"/>
      <c r="T1971" s="356"/>
      <c r="U1971" s="372"/>
      <c r="V1971" s="372"/>
      <c r="W1971" s="372"/>
      <c r="X1971" s="373"/>
      <c r="Y1971" s="348"/>
      <c r="Z1971" s="348"/>
      <c r="AA1971" s="348"/>
    </row>
    <row r="1972" s="331" customFormat="1" ht="17" customHeight="1" spans="1:27">
      <c r="A1972" s="348"/>
      <c r="B1972" s="348" t="s">
        <v>137</v>
      </c>
      <c r="C1972" s="334" t="s">
        <v>191</v>
      </c>
      <c r="D1972" s="349" t="s">
        <v>427</v>
      </c>
      <c r="E1972" s="336">
        <v>43653</v>
      </c>
      <c r="F1972" s="336" t="s">
        <v>800</v>
      </c>
      <c r="G1972" s="336">
        <v>43653</v>
      </c>
      <c r="H1972" s="334" t="s">
        <v>5447</v>
      </c>
      <c r="I1972" s="356">
        <v>15601709595</v>
      </c>
      <c r="J1972" s="361" t="s">
        <v>5448</v>
      </c>
      <c r="K1972" s="356"/>
      <c r="L1972" s="419"/>
      <c r="M1972" s="334">
        <v>1313</v>
      </c>
      <c r="N1972" s="362">
        <f t="shared" si="61"/>
        <v>1313</v>
      </c>
      <c r="O1972" s="356"/>
      <c r="P1972" s="356"/>
      <c r="Q1972" s="356"/>
      <c r="R1972" s="356"/>
      <c r="S1972" s="356"/>
      <c r="T1972" s="356"/>
      <c r="U1972" s="372"/>
      <c r="V1972" s="372"/>
      <c r="W1972" s="372"/>
      <c r="X1972" s="373"/>
      <c r="Y1972" s="348"/>
      <c r="Z1972" s="348"/>
      <c r="AA1972" s="348"/>
    </row>
    <row r="1973" s="331" customFormat="1" ht="17" customHeight="1" spans="1:27">
      <c r="A1973" s="348"/>
      <c r="B1973" s="348" t="s">
        <v>153</v>
      </c>
      <c r="C1973" s="334" t="s">
        <v>302</v>
      </c>
      <c r="D1973" s="349" t="s">
        <v>155</v>
      </c>
      <c r="E1973" s="336">
        <v>43653</v>
      </c>
      <c r="F1973" s="336" t="s">
        <v>800</v>
      </c>
      <c r="G1973" s="336">
        <v>43653</v>
      </c>
      <c r="H1973" s="334" t="s">
        <v>5449</v>
      </c>
      <c r="I1973" s="356">
        <v>13601630685</v>
      </c>
      <c r="J1973" s="361" t="s">
        <v>5450</v>
      </c>
      <c r="K1973" s="356"/>
      <c r="L1973" s="419"/>
      <c r="M1973" s="334">
        <v>1295</v>
      </c>
      <c r="N1973" s="362">
        <f t="shared" ref="N1973:N1984" si="62">L1973+M1973</f>
        <v>1295</v>
      </c>
      <c r="O1973" s="356"/>
      <c r="P1973" s="356"/>
      <c r="Q1973" s="356"/>
      <c r="R1973" s="356"/>
      <c r="S1973" s="356"/>
      <c r="T1973" s="356"/>
      <c r="U1973" s="372"/>
      <c r="V1973" s="372"/>
      <c r="W1973" s="372"/>
      <c r="X1973" s="373"/>
      <c r="Y1973" s="348"/>
      <c r="Z1973" s="348"/>
      <c r="AA1973" s="348"/>
    </row>
    <row r="1974" s="331" customFormat="1" ht="17" customHeight="1" spans="1:27">
      <c r="A1974" s="348"/>
      <c r="B1974" s="348" t="s">
        <v>58</v>
      </c>
      <c r="C1974" s="348" t="s">
        <v>109</v>
      </c>
      <c r="D1974" s="349" t="s">
        <v>75</v>
      </c>
      <c r="E1974" s="336">
        <v>43653</v>
      </c>
      <c r="F1974" s="336" t="s">
        <v>800</v>
      </c>
      <c r="G1974" s="336">
        <v>43653</v>
      </c>
      <c r="H1974" s="334" t="s">
        <v>5451</v>
      </c>
      <c r="I1974" s="356">
        <v>18602107246</v>
      </c>
      <c r="J1974" s="361" t="s">
        <v>5452</v>
      </c>
      <c r="K1974" s="356"/>
      <c r="L1974" s="419"/>
      <c r="M1974" s="334">
        <v>10480</v>
      </c>
      <c r="N1974" s="362">
        <f t="shared" si="62"/>
        <v>10480</v>
      </c>
      <c r="O1974" s="356"/>
      <c r="P1974" s="356"/>
      <c r="Q1974" s="356"/>
      <c r="R1974" s="356"/>
      <c r="S1974" s="356"/>
      <c r="T1974" s="356"/>
      <c r="U1974" s="372"/>
      <c r="V1974" s="372"/>
      <c r="W1974" s="372"/>
      <c r="X1974" s="373"/>
      <c r="Y1974" s="348"/>
      <c r="Z1974" s="348"/>
      <c r="AA1974" s="348"/>
    </row>
    <row r="1975" s="331" customFormat="1" ht="17" customHeight="1" spans="1:27">
      <c r="A1975" s="348"/>
      <c r="B1975" s="348" t="s">
        <v>31</v>
      </c>
      <c r="C1975" s="334" t="s">
        <v>3186</v>
      </c>
      <c r="D1975" s="349" t="s">
        <v>221</v>
      </c>
      <c r="E1975" s="336">
        <v>43654</v>
      </c>
      <c r="F1975" s="336" t="s">
        <v>800</v>
      </c>
      <c r="G1975" s="336">
        <v>43654</v>
      </c>
      <c r="H1975" s="269" t="s">
        <v>5453</v>
      </c>
      <c r="I1975" s="356">
        <v>13585892210</v>
      </c>
      <c r="J1975" s="361" t="s">
        <v>5454</v>
      </c>
      <c r="K1975" s="356"/>
      <c r="L1975" s="419"/>
      <c r="M1975" s="334">
        <v>1979</v>
      </c>
      <c r="N1975" s="362">
        <f t="shared" si="62"/>
        <v>1979</v>
      </c>
      <c r="O1975" s="356"/>
      <c r="P1975" s="356"/>
      <c r="Q1975" s="356"/>
      <c r="R1975" s="356"/>
      <c r="S1975" s="356"/>
      <c r="T1975" s="356"/>
      <c r="U1975" s="372"/>
      <c r="V1975" s="372"/>
      <c r="W1975" s="372"/>
      <c r="X1975" s="373"/>
      <c r="Y1975" s="348"/>
      <c r="Z1975" s="348"/>
      <c r="AA1975" s="348"/>
    </row>
    <row r="1976" s="331" customFormat="1" ht="17" customHeight="1" spans="1:27">
      <c r="A1976" s="348"/>
      <c r="B1976" s="348" t="s">
        <v>123</v>
      </c>
      <c r="C1976" s="334" t="s">
        <v>124</v>
      </c>
      <c r="D1976" s="349" t="s">
        <v>125</v>
      </c>
      <c r="E1976" s="336">
        <v>43654</v>
      </c>
      <c r="F1976" s="336" t="s">
        <v>800</v>
      </c>
      <c r="G1976" s="336">
        <v>43653</v>
      </c>
      <c r="H1976" s="334" t="s">
        <v>5455</v>
      </c>
      <c r="I1976" s="356">
        <v>13482523871</v>
      </c>
      <c r="J1976" s="361" t="s">
        <v>5456</v>
      </c>
      <c r="K1976" s="356"/>
      <c r="L1976" s="419"/>
      <c r="M1976" s="334">
        <v>371</v>
      </c>
      <c r="N1976" s="362">
        <f t="shared" si="62"/>
        <v>371</v>
      </c>
      <c r="O1976" s="356"/>
      <c r="P1976" s="356"/>
      <c r="Q1976" s="356"/>
      <c r="R1976" s="356"/>
      <c r="S1976" s="356"/>
      <c r="T1976" s="356"/>
      <c r="U1976" s="372"/>
      <c r="V1976" s="372"/>
      <c r="W1976" s="372"/>
      <c r="X1976" s="373"/>
      <c r="Y1976" s="348"/>
      <c r="Z1976" s="348"/>
      <c r="AA1976" s="348"/>
    </row>
    <row r="1977" s="331" customFormat="1" ht="17" customHeight="1" spans="1:27">
      <c r="A1977" s="348"/>
      <c r="B1977" s="348" t="s">
        <v>66</v>
      </c>
      <c r="C1977" s="334" t="s">
        <v>505</v>
      </c>
      <c r="D1977" s="349" t="s">
        <v>143</v>
      </c>
      <c r="E1977" s="336">
        <v>43654</v>
      </c>
      <c r="F1977" s="336" t="s">
        <v>800</v>
      </c>
      <c r="G1977" s="336">
        <v>43653</v>
      </c>
      <c r="H1977" s="334" t="s">
        <v>5457</v>
      </c>
      <c r="I1977" s="356">
        <v>13917321146</v>
      </c>
      <c r="J1977" s="361" t="s">
        <v>5458</v>
      </c>
      <c r="K1977" s="356"/>
      <c r="L1977" s="419"/>
      <c r="M1977" s="334">
        <v>9403</v>
      </c>
      <c r="N1977" s="362">
        <f t="shared" si="62"/>
        <v>9403</v>
      </c>
      <c r="O1977" s="356"/>
      <c r="P1977" s="356"/>
      <c r="Q1977" s="356"/>
      <c r="R1977" s="356"/>
      <c r="S1977" s="356"/>
      <c r="T1977" s="356"/>
      <c r="U1977" s="372"/>
      <c r="V1977" s="372"/>
      <c r="W1977" s="372"/>
      <c r="X1977" s="373"/>
      <c r="Y1977" s="348"/>
      <c r="Z1977" s="348"/>
      <c r="AA1977" s="348"/>
    </row>
    <row r="1978" s="331" customFormat="1" ht="17" customHeight="1" spans="1:27">
      <c r="A1978" s="348"/>
      <c r="B1978" s="348" t="s">
        <v>94</v>
      </c>
      <c r="C1978" s="334" t="s">
        <v>95</v>
      </c>
      <c r="D1978" s="349" t="s">
        <v>49</v>
      </c>
      <c r="E1978" s="336">
        <v>43654</v>
      </c>
      <c r="F1978" s="336" t="s">
        <v>800</v>
      </c>
      <c r="G1978" s="336">
        <v>43654</v>
      </c>
      <c r="H1978" s="334" t="s">
        <v>5459</v>
      </c>
      <c r="I1978" s="356">
        <v>15601626849</v>
      </c>
      <c r="J1978" s="361" t="s">
        <v>5460</v>
      </c>
      <c r="K1978" s="356"/>
      <c r="L1978" s="419"/>
      <c r="M1978" s="334">
        <v>951</v>
      </c>
      <c r="N1978" s="362">
        <f t="shared" si="62"/>
        <v>951</v>
      </c>
      <c r="O1978" s="356"/>
      <c r="P1978" s="356"/>
      <c r="Q1978" s="356"/>
      <c r="R1978" s="356"/>
      <c r="S1978" s="356"/>
      <c r="T1978" s="356"/>
      <c r="U1978" s="372"/>
      <c r="V1978" s="372"/>
      <c r="W1978" s="372"/>
      <c r="X1978" s="373"/>
      <c r="Y1978" s="348"/>
      <c r="Z1978" s="348"/>
      <c r="AA1978" s="348"/>
    </row>
    <row r="1979" s="331" customFormat="1" ht="17" customHeight="1" spans="1:27">
      <c r="A1979" s="348"/>
      <c r="B1979" s="348" t="s">
        <v>87</v>
      </c>
      <c r="C1979" s="334" t="s">
        <v>466</v>
      </c>
      <c r="D1979" s="349" t="s">
        <v>75</v>
      </c>
      <c r="E1979" s="336">
        <v>43654</v>
      </c>
      <c r="F1979" s="336" t="s">
        <v>800</v>
      </c>
      <c r="G1979" s="336">
        <v>43654</v>
      </c>
      <c r="H1979" s="334" t="s">
        <v>5461</v>
      </c>
      <c r="I1979" s="356">
        <v>18118036666</v>
      </c>
      <c r="J1979" s="361" t="s">
        <v>5462</v>
      </c>
      <c r="K1979" s="356"/>
      <c r="L1979" s="419"/>
      <c r="M1979" s="334">
        <v>1899</v>
      </c>
      <c r="N1979" s="362">
        <f t="shared" si="62"/>
        <v>1899</v>
      </c>
      <c r="O1979" s="356"/>
      <c r="P1979" s="356"/>
      <c r="Q1979" s="356"/>
      <c r="R1979" s="356"/>
      <c r="S1979" s="356"/>
      <c r="T1979" s="356"/>
      <c r="U1979" s="372"/>
      <c r="V1979" s="372"/>
      <c r="W1979" s="372"/>
      <c r="X1979" s="373"/>
      <c r="Y1979" s="348"/>
      <c r="Z1979" s="348"/>
      <c r="AA1979" s="348"/>
    </row>
    <row r="1980" s="331" customFormat="1" ht="17" customHeight="1" spans="1:27">
      <c r="A1980" s="348"/>
      <c r="B1980" s="348" t="s">
        <v>153</v>
      </c>
      <c r="C1980" s="334" t="s">
        <v>154</v>
      </c>
      <c r="D1980" s="349" t="s">
        <v>155</v>
      </c>
      <c r="E1980" s="336">
        <v>43654</v>
      </c>
      <c r="F1980" s="336" t="s">
        <v>800</v>
      </c>
      <c r="G1980" s="336">
        <v>43654</v>
      </c>
      <c r="H1980" s="334" t="s">
        <v>5463</v>
      </c>
      <c r="I1980" s="356">
        <v>15021360692</v>
      </c>
      <c r="J1980" s="361" t="s">
        <v>5464</v>
      </c>
      <c r="K1980" s="356"/>
      <c r="L1980" s="419"/>
      <c r="M1980" s="419">
        <v>0</v>
      </c>
      <c r="N1980" s="362">
        <f t="shared" si="62"/>
        <v>0</v>
      </c>
      <c r="O1980" s="356"/>
      <c r="P1980" s="356"/>
      <c r="Q1980" s="356"/>
      <c r="R1980" s="356"/>
      <c r="S1980" s="356"/>
      <c r="T1980" s="356"/>
      <c r="U1980" s="372"/>
      <c r="V1980" s="372"/>
      <c r="W1980" s="372"/>
      <c r="X1980" s="373"/>
      <c r="Y1980" s="348"/>
      <c r="Z1980" s="348"/>
      <c r="AA1980" s="348"/>
    </row>
    <row r="1981" s="331" customFormat="1" ht="17" customHeight="1" spans="1:27">
      <c r="A1981" s="348"/>
      <c r="B1981" s="348" t="s">
        <v>87</v>
      </c>
      <c r="C1981" s="334" t="s">
        <v>466</v>
      </c>
      <c r="D1981" s="349" t="s">
        <v>1170</v>
      </c>
      <c r="E1981" s="336">
        <v>43654</v>
      </c>
      <c r="F1981" s="336" t="s">
        <v>800</v>
      </c>
      <c r="G1981" s="336">
        <v>43654</v>
      </c>
      <c r="H1981" s="334" t="s">
        <v>5465</v>
      </c>
      <c r="I1981" s="356">
        <v>17821717719</v>
      </c>
      <c r="J1981" s="361" t="s">
        <v>5466</v>
      </c>
      <c r="K1981" s="356"/>
      <c r="L1981" s="419"/>
      <c r="M1981" s="334">
        <v>1451</v>
      </c>
      <c r="N1981" s="362">
        <f t="shared" si="62"/>
        <v>1451</v>
      </c>
      <c r="O1981" s="356"/>
      <c r="P1981" s="356"/>
      <c r="Q1981" s="356"/>
      <c r="R1981" s="356"/>
      <c r="S1981" s="356"/>
      <c r="T1981" s="356"/>
      <c r="U1981" s="372"/>
      <c r="V1981" s="372"/>
      <c r="W1981" s="372"/>
      <c r="X1981" s="373"/>
      <c r="Y1981" s="348"/>
      <c r="Z1981" s="348"/>
      <c r="AA1981" s="348"/>
    </row>
    <row r="1982" s="331" customFormat="1" ht="17" customHeight="1" spans="1:27">
      <c r="A1982" s="348"/>
      <c r="B1982" s="348" t="s">
        <v>169</v>
      </c>
      <c r="C1982" s="348" t="s">
        <v>542</v>
      </c>
      <c r="D1982" s="349" t="s">
        <v>171</v>
      </c>
      <c r="E1982" s="336">
        <v>43655</v>
      </c>
      <c r="F1982" s="336" t="s">
        <v>800</v>
      </c>
      <c r="G1982" s="336">
        <v>43654</v>
      </c>
      <c r="H1982" s="334" t="s">
        <v>5467</v>
      </c>
      <c r="I1982" s="356">
        <v>13564608543</v>
      </c>
      <c r="J1982" s="361" t="s">
        <v>5468</v>
      </c>
      <c r="K1982" s="356"/>
      <c r="L1982" s="419"/>
      <c r="M1982" s="334">
        <v>13551</v>
      </c>
      <c r="N1982" s="362">
        <f t="shared" si="62"/>
        <v>13551</v>
      </c>
      <c r="O1982" s="356"/>
      <c r="P1982" s="356"/>
      <c r="Q1982" s="356"/>
      <c r="R1982" s="356"/>
      <c r="S1982" s="356"/>
      <c r="T1982" s="356"/>
      <c r="U1982" s="372"/>
      <c r="V1982" s="372"/>
      <c r="W1982" s="372"/>
      <c r="X1982" s="373"/>
      <c r="Y1982" s="348"/>
      <c r="Z1982" s="348"/>
      <c r="AA1982" s="348"/>
    </row>
    <row r="1983" s="331" customFormat="1" ht="17" customHeight="1" spans="1:27">
      <c r="A1983" s="348"/>
      <c r="B1983" s="348" t="s">
        <v>66</v>
      </c>
      <c r="C1983" s="334" t="s">
        <v>1749</v>
      </c>
      <c r="D1983" s="349" t="s">
        <v>68</v>
      </c>
      <c r="E1983" s="336">
        <v>43655</v>
      </c>
      <c r="F1983" s="336" t="s">
        <v>800</v>
      </c>
      <c r="G1983" s="336">
        <v>43655</v>
      </c>
      <c r="H1983" s="334" t="s">
        <v>5469</v>
      </c>
      <c r="I1983" s="356">
        <v>15316201532</v>
      </c>
      <c r="J1983" s="361" t="s">
        <v>5470</v>
      </c>
      <c r="K1983" s="356"/>
      <c r="L1983" s="419"/>
      <c r="M1983" s="334">
        <v>502</v>
      </c>
      <c r="N1983" s="362">
        <f t="shared" si="62"/>
        <v>502</v>
      </c>
      <c r="O1983" s="356"/>
      <c r="P1983" s="356"/>
      <c r="Q1983" s="356"/>
      <c r="R1983" s="356"/>
      <c r="S1983" s="356"/>
      <c r="T1983" s="356"/>
      <c r="U1983" s="372"/>
      <c r="V1983" s="372"/>
      <c r="W1983" s="372"/>
      <c r="X1983" s="373"/>
      <c r="Y1983" s="348"/>
      <c r="Z1983" s="348"/>
      <c r="AA1983" s="348"/>
    </row>
    <row r="1984" s="331" customFormat="1" ht="17" customHeight="1" spans="1:27">
      <c r="A1984" s="348"/>
      <c r="B1984" s="348" t="s">
        <v>73</v>
      </c>
      <c r="C1984" s="334" t="s">
        <v>74</v>
      </c>
      <c r="D1984" s="349" t="s">
        <v>717</v>
      </c>
      <c r="E1984" s="336">
        <v>43655</v>
      </c>
      <c r="F1984" s="336" t="s">
        <v>800</v>
      </c>
      <c r="G1984" s="336">
        <v>43653</v>
      </c>
      <c r="H1984" s="334" t="s">
        <v>5471</v>
      </c>
      <c r="I1984" s="356">
        <v>13564136350</v>
      </c>
      <c r="J1984" s="361" t="s">
        <v>5472</v>
      </c>
      <c r="K1984" s="356"/>
      <c r="L1984" s="419"/>
      <c r="M1984" s="334">
        <v>-3852</v>
      </c>
      <c r="N1984" s="362">
        <f t="shared" si="62"/>
        <v>-3852</v>
      </c>
      <c r="O1984" s="356"/>
      <c r="P1984" s="356"/>
      <c r="Q1984" s="356"/>
      <c r="R1984" s="356"/>
      <c r="S1984" s="356"/>
      <c r="T1984" s="356"/>
      <c r="U1984" s="372"/>
      <c r="V1984" s="372"/>
      <c r="W1984" s="372"/>
      <c r="X1984" s="373"/>
      <c r="Y1984" s="348"/>
      <c r="Z1984" s="348"/>
      <c r="AA1984" s="348"/>
    </row>
    <row r="1985" s="331" customFormat="1" ht="17" customHeight="1" spans="1:27">
      <c r="A1985" s="348"/>
      <c r="B1985" s="348" t="s">
        <v>354</v>
      </c>
      <c r="C1985" s="348" t="s">
        <v>355</v>
      </c>
      <c r="D1985" s="349" t="s">
        <v>356</v>
      </c>
      <c r="E1985" s="336">
        <v>43655</v>
      </c>
      <c r="F1985" s="336" t="s">
        <v>800</v>
      </c>
      <c r="G1985" s="336">
        <v>43654</v>
      </c>
      <c r="H1985" s="269" t="s">
        <v>5473</v>
      </c>
      <c r="I1985" s="356">
        <v>15618676095</v>
      </c>
      <c r="J1985" s="361" t="s">
        <v>5474</v>
      </c>
      <c r="K1985" s="356"/>
      <c r="L1985" s="419"/>
      <c r="M1985" s="334">
        <v>1076</v>
      </c>
      <c r="N1985" s="362">
        <f t="shared" ref="N1985:N1994" si="63">L1985+M1985</f>
        <v>1076</v>
      </c>
      <c r="O1985" s="356"/>
      <c r="P1985" s="356"/>
      <c r="Q1985" s="356"/>
      <c r="R1985" s="356"/>
      <c r="S1985" s="356"/>
      <c r="T1985" s="356"/>
      <c r="U1985" s="372"/>
      <c r="V1985" s="372"/>
      <c r="W1985" s="372"/>
      <c r="X1985" s="373"/>
      <c r="Y1985" s="348"/>
      <c r="Z1985" s="348"/>
      <c r="AA1985" s="348"/>
    </row>
    <row r="1986" s="331" customFormat="1" ht="17" customHeight="1" spans="1:27">
      <c r="A1986" s="348"/>
      <c r="B1986" s="348" t="s">
        <v>315</v>
      </c>
      <c r="C1986" s="334" t="s">
        <v>161</v>
      </c>
      <c r="D1986" s="349" t="s">
        <v>162</v>
      </c>
      <c r="E1986" s="336">
        <v>43655</v>
      </c>
      <c r="F1986" s="336" t="s">
        <v>800</v>
      </c>
      <c r="G1986" s="336">
        <v>43654</v>
      </c>
      <c r="H1986" s="334" t="s">
        <v>5475</v>
      </c>
      <c r="I1986" s="356">
        <v>13120600428</v>
      </c>
      <c r="J1986" s="361" t="s">
        <v>5476</v>
      </c>
      <c r="K1986" s="356"/>
      <c r="L1986" s="419"/>
      <c r="M1986" s="334">
        <v>-1551</v>
      </c>
      <c r="N1986" s="362">
        <f t="shared" si="63"/>
        <v>-1551</v>
      </c>
      <c r="O1986" s="356"/>
      <c r="P1986" s="356"/>
      <c r="Q1986" s="356"/>
      <c r="R1986" s="356"/>
      <c r="S1986" s="356"/>
      <c r="T1986" s="356"/>
      <c r="U1986" s="372"/>
      <c r="V1986" s="372"/>
      <c r="W1986" s="372"/>
      <c r="X1986" s="373"/>
      <c r="Y1986" s="348"/>
      <c r="Z1986" s="348"/>
      <c r="AA1986" s="348"/>
    </row>
    <row r="1987" s="331" customFormat="1" ht="17" customHeight="1" spans="1:27">
      <c r="A1987" s="348"/>
      <c r="B1987" s="348" t="s">
        <v>185</v>
      </c>
      <c r="C1987" s="348" t="s">
        <v>886</v>
      </c>
      <c r="D1987" s="349" t="s">
        <v>187</v>
      </c>
      <c r="E1987" s="336">
        <v>43655</v>
      </c>
      <c r="F1987" s="336" t="s">
        <v>800</v>
      </c>
      <c r="G1987" s="336">
        <v>43655</v>
      </c>
      <c r="H1987" s="334" t="s">
        <v>5477</v>
      </c>
      <c r="I1987" s="356">
        <v>18018849270</v>
      </c>
      <c r="J1987" s="361" t="s">
        <v>5478</v>
      </c>
      <c r="K1987" s="356"/>
      <c r="L1987" s="419"/>
      <c r="M1987" s="334">
        <v>2656</v>
      </c>
      <c r="N1987" s="362">
        <f t="shared" si="63"/>
        <v>2656</v>
      </c>
      <c r="O1987" s="356"/>
      <c r="P1987" s="356"/>
      <c r="Q1987" s="356"/>
      <c r="R1987" s="356"/>
      <c r="S1987" s="356"/>
      <c r="T1987" s="356"/>
      <c r="U1987" s="372"/>
      <c r="V1987" s="372"/>
      <c r="W1987" s="372"/>
      <c r="X1987" s="373"/>
      <c r="Y1987" s="348"/>
      <c r="Z1987" s="348"/>
      <c r="AA1987" s="348"/>
    </row>
    <row r="1988" s="331" customFormat="1" ht="17" customHeight="1" spans="1:27">
      <c r="A1988" s="348"/>
      <c r="B1988" s="348" t="s">
        <v>31</v>
      </c>
      <c r="C1988" s="348" t="s">
        <v>419</v>
      </c>
      <c r="D1988" s="349" t="s">
        <v>221</v>
      </c>
      <c r="E1988" s="336">
        <v>43655</v>
      </c>
      <c r="F1988" s="336" t="s">
        <v>800</v>
      </c>
      <c r="G1988" s="336">
        <v>43655</v>
      </c>
      <c r="H1988" s="334" t="s">
        <v>5479</v>
      </c>
      <c r="I1988" s="356">
        <v>13816932938</v>
      </c>
      <c r="J1988" s="361" t="s">
        <v>5480</v>
      </c>
      <c r="K1988" s="356"/>
      <c r="L1988" s="419"/>
      <c r="M1988" s="334">
        <v>366</v>
      </c>
      <c r="N1988" s="362">
        <f t="shared" si="63"/>
        <v>366</v>
      </c>
      <c r="O1988" s="356"/>
      <c r="P1988" s="356"/>
      <c r="Q1988" s="356"/>
      <c r="R1988" s="356"/>
      <c r="S1988" s="356"/>
      <c r="T1988" s="356"/>
      <c r="U1988" s="372"/>
      <c r="V1988" s="372"/>
      <c r="W1988" s="372"/>
      <c r="X1988" s="373"/>
      <c r="Y1988" s="348"/>
      <c r="Z1988" s="348"/>
      <c r="AA1988" s="348"/>
    </row>
    <row r="1989" s="331" customFormat="1" ht="17" customHeight="1" spans="1:27">
      <c r="A1989" s="348"/>
      <c r="B1989" s="348" t="s">
        <v>58</v>
      </c>
      <c r="C1989" s="348" t="s">
        <v>342</v>
      </c>
      <c r="D1989" s="349" t="s">
        <v>110</v>
      </c>
      <c r="E1989" s="336">
        <v>43655</v>
      </c>
      <c r="F1989" s="336" t="s">
        <v>800</v>
      </c>
      <c r="G1989" s="336">
        <v>43655</v>
      </c>
      <c r="H1989" s="334" t="s">
        <v>5481</v>
      </c>
      <c r="I1989" s="356">
        <v>13671761977</v>
      </c>
      <c r="J1989" s="361" t="s">
        <v>5482</v>
      </c>
      <c r="K1989" s="356"/>
      <c r="L1989" s="419"/>
      <c r="M1989" s="334">
        <v>3247</v>
      </c>
      <c r="N1989" s="362">
        <f t="shared" si="63"/>
        <v>3247</v>
      </c>
      <c r="O1989" s="356"/>
      <c r="P1989" s="356"/>
      <c r="Q1989" s="356"/>
      <c r="R1989" s="356"/>
      <c r="S1989" s="356"/>
      <c r="T1989" s="356"/>
      <c r="U1989" s="372"/>
      <c r="V1989" s="372"/>
      <c r="W1989" s="372"/>
      <c r="X1989" s="373"/>
      <c r="Y1989" s="348"/>
      <c r="Z1989" s="348"/>
      <c r="AA1989" s="348"/>
    </row>
    <row r="1990" s="331" customFormat="1" ht="17" customHeight="1" spans="1:27">
      <c r="A1990" s="348"/>
      <c r="B1990" s="348" t="s">
        <v>35</v>
      </c>
      <c r="C1990" s="348" t="s">
        <v>392</v>
      </c>
      <c r="D1990" s="349" t="s">
        <v>68</v>
      </c>
      <c r="E1990" s="336">
        <v>43655</v>
      </c>
      <c r="F1990" s="336" t="s">
        <v>800</v>
      </c>
      <c r="G1990" s="336">
        <v>43653</v>
      </c>
      <c r="H1990" s="269" t="s">
        <v>5483</v>
      </c>
      <c r="I1990" s="348">
        <v>13166277749</v>
      </c>
      <c r="J1990" s="361" t="s">
        <v>5484</v>
      </c>
      <c r="K1990" s="356"/>
      <c r="L1990" s="419"/>
      <c r="M1990" s="334">
        <v>1919</v>
      </c>
      <c r="N1990" s="362">
        <f t="shared" si="63"/>
        <v>1919</v>
      </c>
      <c r="O1990" s="356"/>
      <c r="P1990" s="356"/>
      <c r="Q1990" s="356"/>
      <c r="R1990" s="356"/>
      <c r="S1990" s="356"/>
      <c r="T1990" s="356"/>
      <c r="U1990" s="372"/>
      <c r="V1990" s="372"/>
      <c r="W1990" s="372"/>
      <c r="X1990" s="373"/>
      <c r="Y1990" s="348"/>
      <c r="Z1990" s="348"/>
      <c r="AA1990" s="348"/>
    </row>
    <row r="1991" s="331" customFormat="1" ht="17" customHeight="1" spans="1:27">
      <c r="A1991" s="348"/>
      <c r="B1991" s="348" t="s">
        <v>66</v>
      </c>
      <c r="C1991" s="334" t="s">
        <v>1749</v>
      </c>
      <c r="D1991" s="349" t="s">
        <v>68</v>
      </c>
      <c r="E1991" s="336">
        <v>43655</v>
      </c>
      <c r="F1991" s="336" t="s">
        <v>800</v>
      </c>
      <c r="G1991" s="336">
        <v>43653</v>
      </c>
      <c r="H1991" s="334" t="s">
        <v>2596</v>
      </c>
      <c r="I1991" s="356">
        <v>18117222027</v>
      </c>
      <c r="J1991" s="361" t="s">
        <v>5485</v>
      </c>
      <c r="K1991" s="356"/>
      <c r="L1991" s="419"/>
      <c r="M1991" s="334">
        <v>869</v>
      </c>
      <c r="N1991" s="362">
        <f t="shared" si="63"/>
        <v>869</v>
      </c>
      <c r="O1991" s="356"/>
      <c r="P1991" s="356"/>
      <c r="Q1991" s="356"/>
      <c r="R1991" s="356"/>
      <c r="S1991" s="356"/>
      <c r="T1991" s="356"/>
      <c r="U1991" s="372"/>
      <c r="V1991" s="372"/>
      <c r="W1991" s="372"/>
      <c r="X1991" s="373"/>
      <c r="Y1991" s="348"/>
      <c r="Z1991" s="348"/>
      <c r="AA1991" s="348"/>
    </row>
    <row r="1992" s="331" customFormat="1" ht="17" customHeight="1" spans="1:27">
      <c r="A1992" s="348"/>
      <c r="B1992" s="348" t="s">
        <v>185</v>
      </c>
      <c r="C1992" s="334" t="s">
        <v>1133</v>
      </c>
      <c r="D1992" s="349" t="s">
        <v>44</v>
      </c>
      <c r="E1992" s="336">
        <v>43655</v>
      </c>
      <c r="F1992" s="336" t="s">
        <v>800</v>
      </c>
      <c r="G1992" s="336">
        <v>43654</v>
      </c>
      <c r="H1992" s="334" t="s">
        <v>5486</v>
      </c>
      <c r="I1992" s="356">
        <v>1362189443</v>
      </c>
      <c r="J1992" s="361" t="s">
        <v>5487</v>
      </c>
      <c r="K1992" s="356"/>
      <c r="L1992" s="419"/>
      <c r="M1992" s="334">
        <v>682</v>
      </c>
      <c r="N1992" s="362">
        <f t="shared" si="63"/>
        <v>682</v>
      </c>
      <c r="O1992" s="356"/>
      <c r="P1992" s="356"/>
      <c r="Q1992" s="356"/>
      <c r="R1992" s="356"/>
      <c r="S1992" s="356"/>
      <c r="T1992" s="356"/>
      <c r="U1992" s="372"/>
      <c r="V1992" s="372"/>
      <c r="W1992" s="372"/>
      <c r="X1992" s="373"/>
      <c r="Y1992" s="348"/>
      <c r="Z1992" s="348"/>
      <c r="AA1992" s="348"/>
    </row>
    <row r="1993" s="331" customFormat="1" ht="17" customHeight="1" spans="1:27">
      <c r="A1993" s="348"/>
      <c r="B1993" s="348" t="s">
        <v>47</v>
      </c>
      <c r="C1993" s="334" t="s">
        <v>80</v>
      </c>
      <c r="D1993" s="349" t="s">
        <v>3965</v>
      </c>
      <c r="E1993" s="336">
        <v>43656</v>
      </c>
      <c r="F1993" s="336" t="s">
        <v>800</v>
      </c>
      <c r="G1993" s="336">
        <v>43653</v>
      </c>
      <c r="H1993" s="334" t="s">
        <v>5488</v>
      </c>
      <c r="I1993" s="356">
        <v>13862610917</v>
      </c>
      <c r="J1993" s="361" t="s">
        <v>5489</v>
      </c>
      <c r="K1993" s="356"/>
      <c r="L1993" s="419"/>
      <c r="M1993" s="334">
        <v>14864</v>
      </c>
      <c r="N1993" s="362">
        <f t="shared" si="63"/>
        <v>14864</v>
      </c>
      <c r="O1993" s="356"/>
      <c r="P1993" s="356"/>
      <c r="Q1993" s="356"/>
      <c r="R1993" s="356"/>
      <c r="S1993" s="356"/>
      <c r="T1993" s="356"/>
      <c r="U1993" s="372"/>
      <c r="V1993" s="372"/>
      <c r="W1993" s="372"/>
      <c r="X1993" s="373"/>
      <c r="Y1993" s="348"/>
      <c r="Z1993" s="348"/>
      <c r="AA1993" s="348"/>
    </row>
    <row r="1994" s="331" customFormat="1" ht="17" customHeight="1" spans="1:27">
      <c r="A1994" s="348"/>
      <c r="B1994" s="348" t="s">
        <v>58</v>
      </c>
      <c r="C1994" s="334" t="s">
        <v>59</v>
      </c>
      <c r="D1994" s="349" t="s">
        <v>343</v>
      </c>
      <c r="E1994" s="336">
        <v>43656</v>
      </c>
      <c r="F1994" s="336" t="s">
        <v>800</v>
      </c>
      <c r="G1994" s="336">
        <v>43654</v>
      </c>
      <c r="H1994" s="269" t="s">
        <v>5490</v>
      </c>
      <c r="I1994" s="356">
        <v>18918566857</v>
      </c>
      <c r="J1994" s="361" t="s">
        <v>5491</v>
      </c>
      <c r="K1994" s="356"/>
      <c r="L1994" s="419"/>
      <c r="M1994" s="334">
        <v>0</v>
      </c>
      <c r="N1994" s="362">
        <f t="shared" si="63"/>
        <v>0</v>
      </c>
      <c r="O1994" s="356"/>
      <c r="P1994" s="356"/>
      <c r="Q1994" s="356"/>
      <c r="R1994" s="356"/>
      <c r="S1994" s="356"/>
      <c r="T1994" s="356"/>
      <c r="U1994" s="372"/>
      <c r="V1994" s="372"/>
      <c r="W1994" s="372"/>
      <c r="X1994" s="373"/>
      <c r="Y1994" s="348"/>
      <c r="Z1994" s="348"/>
      <c r="AA1994" s="348"/>
    </row>
    <row r="1995" s="331" customFormat="1" ht="17" customHeight="1" spans="1:27">
      <c r="A1995" s="348"/>
      <c r="B1995" s="348" t="s">
        <v>137</v>
      </c>
      <c r="C1995" s="334" t="s">
        <v>480</v>
      </c>
      <c r="D1995" s="349" t="s">
        <v>427</v>
      </c>
      <c r="E1995" s="336">
        <v>43656</v>
      </c>
      <c r="F1995" s="336" t="s">
        <v>800</v>
      </c>
      <c r="G1995" s="336">
        <v>43655</v>
      </c>
      <c r="H1995" s="334" t="s">
        <v>5492</v>
      </c>
      <c r="I1995" s="356">
        <v>13761995560</v>
      </c>
      <c r="J1995" s="361" t="s">
        <v>5493</v>
      </c>
      <c r="K1995" s="356"/>
      <c r="L1995" s="419"/>
      <c r="M1995" s="334">
        <v>2722</v>
      </c>
      <c r="N1995" s="362">
        <f t="shared" ref="N1995:N2011" si="64">L1995+M1995</f>
        <v>2722</v>
      </c>
      <c r="O1995" s="356"/>
      <c r="P1995" s="356"/>
      <c r="Q1995" s="356"/>
      <c r="R1995" s="356"/>
      <c r="S1995" s="356"/>
      <c r="T1995" s="356"/>
      <c r="U1995" s="372"/>
      <c r="V1995" s="372"/>
      <c r="W1995" s="372"/>
      <c r="X1995" s="373"/>
      <c r="Y1995" s="348"/>
      <c r="Z1995" s="348"/>
      <c r="AA1995" s="348"/>
    </row>
    <row r="1996" s="331" customFormat="1" ht="17" customHeight="1" spans="1:27">
      <c r="A1996" s="348"/>
      <c r="B1996" s="348" t="s">
        <v>58</v>
      </c>
      <c r="C1996" s="334" t="s">
        <v>347</v>
      </c>
      <c r="D1996" s="349" t="s">
        <v>75</v>
      </c>
      <c r="E1996" s="336">
        <v>43656</v>
      </c>
      <c r="F1996" s="336" t="s">
        <v>800</v>
      </c>
      <c r="G1996" s="336">
        <v>43652</v>
      </c>
      <c r="H1996" s="334" t="s">
        <v>5494</v>
      </c>
      <c r="I1996" s="356" t="s">
        <v>5495</v>
      </c>
      <c r="J1996" s="361" t="s">
        <v>5496</v>
      </c>
      <c r="K1996" s="356"/>
      <c r="L1996" s="419"/>
      <c r="M1996" s="334">
        <v>2740</v>
      </c>
      <c r="N1996" s="362">
        <f t="shared" si="64"/>
        <v>2740</v>
      </c>
      <c r="O1996" s="356"/>
      <c r="P1996" s="356"/>
      <c r="Q1996" s="356"/>
      <c r="R1996" s="356"/>
      <c r="S1996" s="356"/>
      <c r="T1996" s="356"/>
      <c r="U1996" s="372"/>
      <c r="V1996" s="372"/>
      <c r="W1996" s="372"/>
      <c r="X1996" s="373"/>
      <c r="Y1996" s="348"/>
      <c r="Z1996" s="348"/>
      <c r="AA1996" s="348"/>
    </row>
    <row r="1997" s="331" customFormat="1" ht="17" customHeight="1" spans="1:27">
      <c r="A1997" s="348"/>
      <c r="B1997" s="348" t="s">
        <v>137</v>
      </c>
      <c r="C1997" s="334" t="s">
        <v>426</v>
      </c>
      <c r="D1997" s="349" t="s">
        <v>139</v>
      </c>
      <c r="E1997" s="336">
        <v>43656</v>
      </c>
      <c r="F1997" s="336" t="s">
        <v>800</v>
      </c>
      <c r="G1997" s="336">
        <v>43654</v>
      </c>
      <c r="H1997" s="334" t="s">
        <v>5497</v>
      </c>
      <c r="I1997" s="356">
        <v>13386120358</v>
      </c>
      <c r="J1997" s="361" t="s">
        <v>5498</v>
      </c>
      <c r="K1997" s="356"/>
      <c r="L1997" s="419"/>
      <c r="M1997" s="334">
        <v>4530</v>
      </c>
      <c r="N1997" s="362">
        <f t="shared" si="64"/>
        <v>4530</v>
      </c>
      <c r="O1997" s="356"/>
      <c r="P1997" s="356"/>
      <c r="Q1997" s="356"/>
      <c r="R1997" s="356"/>
      <c r="S1997" s="356"/>
      <c r="T1997" s="356"/>
      <c r="U1997" s="372"/>
      <c r="V1997" s="372"/>
      <c r="W1997" s="372"/>
      <c r="X1997" s="373"/>
      <c r="Y1997" s="348"/>
      <c r="Z1997" s="348"/>
      <c r="AA1997" s="348"/>
    </row>
    <row r="1998" s="331" customFormat="1" ht="17" customHeight="1" spans="1:27">
      <c r="A1998" s="348"/>
      <c r="B1998" s="348" t="s">
        <v>315</v>
      </c>
      <c r="C1998" s="334" t="s">
        <v>230</v>
      </c>
      <c r="D1998" s="349" t="s">
        <v>182</v>
      </c>
      <c r="E1998" s="336">
        <v>43656</v>
      </c>
      <c r="F1998" s="336" t="s">
        <v>800</v>
      </c>
      <c r="G1998" s="336">
        <v>43656</v>
      </c>
      <c r="H1998" s="334" t="s">
        <v>5499</v>
      </c>
      <c r="I1998" s="356">
        <v>13916705341</v>
      </c>
      <c r="J1998" s="361" t="s">
        <v>5500</v>
      </c>
      <c r="K1998" s="356"/>
      <c r="L1998" s="419"/>
      <c r="M1998" s="334">
        <v>0</v>
      </c>
      <c r="N1998" s="362">
        <f t="shared" si="64"/>
        <v>0</v>
      </c>
      <c r="O1998" s="356"/>
      <c r="P1998" s="356"/>
      <c r="Q1998" s="356"/>
      <c r="R1998" s="356"/>
      <c r="S1998" s="356"/>
      <c r="T1998" s="356"/>
      <c r="U1998" s="372"/>
      <c r="V1998" s="372"/>
      <c r="W1998" s="372"/>
      <c r="X1998" s="373"/>
      <c r="Y1998" s="348"/>
      <c r="Z1998" s="348"/>
      <c r="AA1998" s="348"/>
    </row>
    <row r="1999" s="331" customFormat="1" ht="17" customHeight="1" spans="1:27">
      <c r="A1999" s="348"/>
      <c r="B1999" s="348" t="s">
        <v>147</v>
      </c>
      <c r="C1999" s="334" t="s">
        <v>148</v>
      </c>
      <c r="D1999" s="349" t="s">
        <v>89</v>
      </c>
      <c r="E1999" s="336">
        <v>43656</v>
      </c>
      <c r="F1999" s="336" t="s">
        <v>800</v>
      </c>
      <c r="G1999" s="336">
        <v>43642</v>
      </c>
      <c r="H1999" s="269" t="s">
        <v>5501</v>
      </c>
      <c r="I1999" s="356">
        <v>18964522559</v>
      </c>
      <c r="J1999" s="361" t="s">
        <v>5502</v>
      </c>
      <c r="K1999" s="356"/>
      <c r="L1999" s="419"/>
      <c r="M1999" s="334">
        <v>124</v>
      </c>
      <c r="N1999" s="362">
        <f t="shared" si="64"/>
        <v>124</v>
      </c>
      <c r="O1999" s="356"/>
      <c r="P1999" s="356"/>
      <c r="Q1999" s="356"/>
      <c r="R1999" s="356"/>
      <c r="S1999" s="356"/>
      <c r="T1999" s="356"/>
      <c r="U1999" s="372"/>
      <c r="V1999" s="372"/>
      <c r="W1999" s="372"/>
      <c r="X1999" s="373"/>
      <c r="Y1999" s="348"/>
      <c r="Z1999" s="348"/>
      <c r="AA1999" s="348"/>
    </row>
    <row r="2000" s="331" customFormat="1" ht="17" customHeight="1" spans="1:27">
      <c r="A2000" s="348"/>
      <c r="B2000" s="348" t="s">
        <v>236</v>
      </c>
      <c r="C2000" s="348" t="s">
        <v>703</v>
      </c>
      <c r="D2000" s="349" t="s">
        <v>125</v>
      </c>
      <c r="E2000" s="336">
        <v>43656</v>
      </c>
      <c r="F2000" s="336" t="s">
        <v>800</v>
      </c>
      <c r="G2000" s="336">
        <v>43653</v>
      </c>
      <c r="H2000" s="334" t="s">
        <v>5503</v>
      </c>
      <c r="I2000" s="356">
        <v>13671835194</v>
      </c>
      <c r="J2000" s="361" t="s">
        <v>5504</v>
      </c>
      <c r="K2000" s="356"/>
      <c r="L2000" s="419"/>
      <c r="M2000" s="334">
        <v>954</v>
      </c>
      <c r="N2000" s="362">
        <f t="shared" si="64"/>
        <v>954</v>
      </c>
      <c r="O2000" s="356"/>
      <c r="P2000" s="356"/>
      <c r="Q2000" s="356"/>
      <c r="R2000" s="356"/>
      <c r="S2000" s="356"/>
      <c r="T2000" s="356"/>
      <c r="U2000" s="372"/>
      <c r="V2000" s="372"/>
      <c r="W2000" s="372"/>
      <c r="X2000" s="373"/>
      <c r="Y2000" s="348"/>
      <c r="Z2000" s="348"/>
      <c r="AA2000" s="348"/>
    </row>
    <row r="2001" s="331" customFormat="1" ht="17" customHeight="1" spans="1:27">
      <c r="A2001" s="348"/>
      <c r="B2001" s="348" t="s">
        <v>147</v>
      </c>
      <c r="C2001" s="334" t="s">
        <v>148</v>
      </c>
      <c r="D2001" s="349" t="s">
        <v>33</v>
      </c>
      <c r="E2001" s="336">
        <v>43656</v>
      </c>
      <c r="F2001" s="336" t="s">
        <v>800</v>
      </c>
      <c r="G2001" s="336">
        <v>43656</v>
      </c>
      <c r="H2001" s="334" t="s">
        <v>5505</v>
      </c>
      <c r="I2001" s="356">
        <v>13601626270</v>
      </c>
      <c r="J2001" s="361" t="s">
        <v>5506</v>
      </c>
      <c r="K2001" s="356"/>
      <c r="L2001" s="419"/>
      <c r="M2001" s="419">
        <f>1419+1517</f>
        <v>2936</v>
      </c>
      <c r="N2001" s="362">
        <f t="shared" si="64"/>
        <v>2936</v>
      </c>
      <c r="O2001" s="356"/>
      <c r="P2001" s="356"/>
      <c r="Q2001" s="356"/>
      <c r="R2001" s="356"/>
      <c r="S2001" s="356"/>
      <c r="T2001" s="356"/>
      <c r="U2001" s="372"/>
      <c r="V2001" s="372"/>
      <c r="W2001" s="372"/>
      <c r="X2001" s="373"/>
      <c r="Y2001" s="348"/>
      <c r="Z2001" s="348"/>
      <c r="AA2001" s="348"/>
    </row>
    <row r="2002" s="331" customFormat="1" ht="17" customHeight="1" spans="1:27">
      <c r="A2002" s="348"/>
      <c r="B2002" s="348" t="s">
        <v>73</v>
      </c>
      <c r="C2002" s="334" t="s">
        <v>74</v>
      </c>
      <c r="D2002" s="349" t="s">
        <v>143</v>
      </c>
      <c r="E2002" s="336">
        <v>43656</v>
      </c>
      <c r="F2002" s="336" t="s">
        <v>800</v>
      </c>
      <c r="G2002" s="336">
        <v>43655</v>
      </c>
      <c r="H2002" s="334" t="s">
        <v>5507</v>
      </c>
      <c r="I2002" s="356">
        <v>13816715955</v>
      </c>
      <c r="J2002" s="361" t="s">
        <v>5508</v>
      </c>
      <c r="K2002" s="356"/>
      <c r="L2002" s="419"/>
      <c r="M2002" s="334">
        <v>590</v>
      </c>
      <c r="N2002" s="362">
        <f t="shared" si="64"/>
        <v>590</v>
      </c>
      <c r="O2002" s="356"/>
      <c r="P2002" s="356"/>
      <c r="Q2002" s="356"/>
      <c r="R2002" s="356"/>
      <c r="S2002" s="356"/>
      <c r="T2002" s="356"/>
      <c r="U2002" s="372"/>
      <c r="V2002" s="372"/>
      <c r="W2002" s="372"/>
      <c r="X2002" s="373"/>
      <c r="Y2002" s="348"/>
      <c r="Z2002" s="348"/>
      <c r="AA2002" s="348"/>
    </row>
    <row r="2003" s="331" customFormat="1" ht="17" customHeight="1" spans="1:27">
      <c r="A2003" s="348"/>
      <c r="B2003" s="348" t="s">
        <v>31</v>
      </c>
      <c r="C2003" s="334" t="s">
        <v>220</v>
      </c>
      <c r="D2003" s="349" t="s">
        <v>33</v>
      </c>
      <c r="E2003" s="336">
        <v>43657</v>
      </c>
      <c r="F2003" s="336" t="s">
        <v>800</v>
      </c>
      <c r="G2003" s="336">
        <v>43648</v>
      </c>
      <c r="H2003" s="269" t="s">
        <v>5509</v>
      </c>
      <c r="I2003" s="356">
        <v>15921252157</v>
      </c>
      <c r="J2003" s="361" t="s">
        <v>5510</v>
      </c>
      <c r="K2003" s="356"/>
      <c r="L2003" s="419"/>
      <c r="M2003" s="419">
        <f>2020-492-28</f>
        <v>1500</v>
      </c>
      <c r="N2003" s="362">
        <f t="shared" si="64"/>
        <v>1500</v>
      </c>
      <c r="O2003" s="356"/>
      <c r="P2003" s="356"/>
      <c r="Q2003" s="356"/>
      <c r="R2003" s="356"/>
      <c r="S2003" s="356"/>
      <c r="T2003" s="356"/>
      <c r="U2003" s="372"/>
      <c r="V2003" s="372"/>
      <c r="W2003" s="372"/>
      <c r="X2003" s="373"/>
      <c r="Y2003" s="348"/>
      <c r="Z2003" s="348"/>
      <c r="AA2003" s="348"/>
    </row>
    <row r="2004" s="331" customFormat="1" ht="17" customHeight="1" spans="1:27">
      <c r="A2004" s="348"/>
      <c r="B2004" s="348" t="s">
        <v>315</v>
      </c>
      <c r="C2004" s="334" t="s">
        <v>722</v>
      </c>
      <c r="D2004" s="349" t="s">
        <v>149</v>
      </c>
      <c r="E2004" s="336">
        <v>43657</v>
      </c>
      <c r="F2004" s="336" t="s">
        <v>800</v>
      </c>
      <c r="G2004" s="336">
        <v>43657</v>
      </c>
      <c r="H2004" s="334" t="s">
        <v>5511</v>
      </c>
      <c r="I2004" s="356">
        <v>18101967192</v>
      </c>
      <c r="J2004" s="361" t="s">
        <v>5512</v>
      </c>
      <c r="K2004" s="356"/>
      <c r="L2004" s="419"/>
      <c r="M2004" s="334">
        <v>1006</v>
      </c>
      <c r="N2004" s="362">
        <f t="shared" si="64"/>
        <v>1006</v>
      </c>
      <c r="O2004" s="356"/>
      <c r="P2004" s="356"/>
      <c r="Q2004" s="356"/>
      <c r="R2004" s="356"/>
      <c r="S2004" s="356"/>
      <c r="T2004" s="356"/>
      <c r="U2004" s="372"/>
      <c r="V2004" s="372"/>
      <c r="W2004" s="372"/>
      <c r="X2004" s="373"/>
      <c r="Y2004" s="348"/>
      <c r="Z2004" s="348"/>
      <c r="AA2004" s="348"/>
    </row>
    <row r="2005" s="331" customFormat="1" ht="17" customHeight="1" spans="1:27">
      <c r="A2005" s="348"/>
      <c r="B2005" s="348" t="s">
        <v>31</v>
      </c>
      <c r="C2005" s="348" t="s">
        <v>32</v>
      </c>
      <c r="D2005" s="349" t="s">
        <v>162</v>
      </c>
      <c r="E2005" s="336">
        <v>43657</v>
      </c>
      <c r="F2005" s="336" t="s">
        <v>800</v>
      </c>
      <c r="G2005" s="336">
        <v>43657</v>
      </c>
      <c r="H2005" s="269" t="s">
        <v>5513</v>
      </c>
      <c r="I2005" s="356" t="s">
        <v>5514</v>
      </c>
      <c r="J2005" s="361" t="s">
        <v>5515</v>
      </c>
      <c r="K2005" s="356"/>
      <c r="L2005" s="419"/>
      <c r="M2005" s="334">
        <v>946</v>
      </c>
      <c r="N2005" s="362">
        <f t="shared" si="64"/>
        <v>946</v>
      </c>
      <c r="O2005" s="356"/>
      <c r="P2005" s="356"/>
      <c r="Q2005" s="356"/>
      <c r="R2005" s="356"/>
      <c r="S2005" s="356"/>
      <c r="T2005" s="356"/>
      <c r="U2005" s="372"/>
      <c r="V2005" s="372"/>
      <c r="W2005" s="372"/>
      <c r="X2005" s="373"/>
      <c r="Y2005" s="348"/>
      <c r="Z2005" s="348"/>
      <c r="AA2005" s="348"/>
    </row>
    <row r="2006" s="331" customFormat="1" ht="17" customHeight="1" spans="1:27">
      <c r="A2006" s="348"/>
      <c r="B2006" s="348" t="s">
        <v>315</v>
      </c>
      <c r="C2006" s="334" t="s">
        <v>181</v>
      </c>
      <c r="D2006" s="349" t="s">
        <v>132</v>
      </c>
      <c r="E2006" s="336">
        <v>43657</v>
      </c>
      <c r="F2006" s="336" t="s">
        <v>800</v>
      </c>
      <c r="G2006" s="336">
        <v>43657</v>
      </c>
      <c r="H2006" s="334" t="s">
        <v>5516</v>
      </c>
      <c r="I2006" s="356">
        <v>18616743830</v>
      </c>
      <c r="J2006" s="361" t="s">
        <v>4992</v>
      </c>
      <c r="K2006" s="356"/>
      <c r="L2006" s="419"/>
      <c r="M2006" s="334">
        <v>-5000</v>
      </c>
      <c r="N2006" s="362">
        <f t="shared" si="64"/>
        <v>-5000</v>
      </c>
      <c r="O2006" s="356"/>
      <c r="P2006" s="356"/>
      <c r="Q2006" s="356"/>
      <c r="R2006" s="356"/>
      <c r="S2006" s="356"/>
      <c r="T2006" s="356"/>
      <c r="U2006" s="367" t="s">
        <v>5517</v>
      </c>
      <c r="V2006" s="372"/>
      <c r="W2006" s="372"/>
      <c r="X2006" s="373"/>
      <c r="Y2006" s="348"/>
      <c r="Z2006" s="348"/>
      <c r="AA2006" s="348"/>
    </row>
    <row r="2007" s="331" customFormat="1" ht="17" customHeight="1" spans="1:27">
      <c r="A2007" s="348"/>
      <c r="B2007" s="348" t="s">
        <v>315</v>
      </c>
      <c r="C2007" s="334" t="s">
        <v>230</v>
      </c>
      <c r="D2007" s="349" t="s">
        <v>182</v>
      </c>
      <c r="E2007" s="336">
        <v>43657</v>
      </c>
      <c r="F2007" s="336" t="s">
        <v>800</v>
      </c>
      <c r="G2007" s="336">
        <v>43656</v>
      </c>
      <c r="H2007" s="334" t="s">
        <v>5518</v>
      </c>
      <c r="I2007" s="356">
        <v>13122238869</v>
      </c>
      <c r="J2007" s="361" t="s">
        <v>5519</v>
      </c>
      <c r="K2007" s="356"/>
      <c r="L2007" s="419"/>
      <c r="M2007" s="334">
        <v>253</v>
      </c>
      <c r="N2007" s="362">
        <f t="shared" si="64"/>
        <v>253</v>
      </c>
      <c r="O2007" s="356"/>
      <c r="P2007" s="356"/>
      <c r="Q2007" s="356"/>
      <c r="R2007" s="356"/>
      <c r="S2007" s="356"/>
      <c r="T2007" s="356"/>
      <c r="U2007" s="372"/>
      <c r="V2007" s="372"/>
      <c r="W2007" s="372"/>
      <c r="X2007" s="373"/>
      <c r="Y2007" s="348"/>
      <c r="Z2007" s="348"/>
      <c r="AA2007" s="348"/>
    </row>
    <row r="2008" s="331" customFormat="1" ht="17" customHeight="1" spans="1:27">
      <c r="A2008" s="348"/>
      <c r="B2008" s="348" t="s">
        <v>315</v>
      </c>
      <c r="C2008" s="334" t="s">
        <v>1431</v>
      </c>
      <c r="D2008" s="349" t="s">
        <v>162</v>
      </c>
      <c r="E2008" s="336">
        <v>43657</v>
      </c>
      <c r="F2008" s="336" t="s">
        <v>800</v>
      </c>
      <c r="G2008" s="336">
        <v>43656</v>
      </c>
      <c r="H2008" s="334" t="s">
        <v>5520</v>
      </c>
      <c r="I2008" s="356">
        <v>13501636663</v>
      </c>
      <c r="J2008" s="361" t="s">
        <v>5521</v>
      </c>
      <c r="K2008" s="356"/>
      <c r="L2008" s="419"/>
      <c r="M2008" s="334">
        <v>1763</v>
      </c>
      <c r="N2008" s="362">
        <f t="shared" si="64"/>
        <v>1763</v>
      </c>
      <c r="O2008" s="356"/>
      <c r="P2008" s="356"/>
      <c r="Q2008" s="356"/>
      <c r="R2008" s="356"/>
      <c r="S2008" s="356"/>
      <c r="T2008" s="356"/>
      <c r="U2008" s="372"/>
      <c r="V2008" s="372"/>
      <c r="W2008" s="372"/>
      <c r="X2008" s="373"/>
      <c r="Y2008" s="348"/>
      <c r="Z2008" s="348"/>
      <c r="AA2008" s="348"/>
    </row>
    <row r="2009" s="331" customFormat="1" ht="17" customHeight="1" spans="1:27">
      <c r="A2009" s="348"/>
      <c r="B2009" s="348" t="s">
        <v>66</v>
      </c>
      <c r="C2009" s="334" t="s">
        <v>119</v>
      </c>
      <c r="D2009" s="349" t="s">
        <v>68</v>
      </c>
      <c r="E2009" s="336">
        <v>43657</v>
      </c>
      <c r="F2009" s="336" t="s">
        <v>800</v>
      </c>
      <c r="G2009" s="336">
        <v>43657</v>
      </c>
      <c r="H2009" s="334" t="s">
        <v>5522</v>
      </c>
      <c r="I2009" s="356">
        <v>15721279787</v>
      </c>
      <c r="J2009" s="361" t="s">
        <v>5523</v>
      </c>
      <c r="K2009" s="356"/>
      <c r="L2009" s="419"/>
      <c r="M2009" s="334">
        <v>2912</v>
      </c>
      <c r="N2009" s="362">
        <f t="shared" si="64"/>
        <v>2912</v>
      </c>
      <c r="O2009" s="356"/>
      <c r="P2009" s="356"/>
      <c r="Q2009" s="356"/>
      <c r="R2009" s="356"/>
      <c r="S2009" s="356"/>
      <c r="T2009" s="356"/>
      <c r="U2009" s="372"/>
      <c r="V2009" s="372"/>
      <c r="W2009" s="372"/>
      <c r="X2009" s="373"/>
      <c r="Y2009" s="348"/>
      <c r="Z2009" s="348"/>
      <c r="AA2009" s="348"/>
    </row>
    <row r="2010" s="331" customFormat="1" ht="17" customHeight="1" spans="1:27">
      <c r="A2010" s="348"/>
      <c r="B2010" s="348" t="s">
        <v>66</v>
      </c>
      <c r="C2010" s="334" t="s">
        <v>67</v>
      </c>
      <c r="D2010" s="349" t="s">
        <v>143</v>
      </c>
      <c r="E2010" s="336">
        <v>43657</v>
      </c>
      <c r="F2010" s="336" t="s">
        <v>800</v>
      </c>
      <c r="G2010" s="336">
        <v>43656</v>
      </c>
      <c r="H2010" s="334" t="s">
        <v>5524</v>
      </c>
      <c r="I2010" s="356">
        <v>13761507741</v>
      </c>
      <c r="J2010" s="361" t="s">
        <v>5525</v>
      </c>
      <c r="K2010" s="356"/>
      <c r="L2010" s="419"/>
      <c r="M2010" s="334">
        <f>37+4825</f>
        <v>4862</v>
      </c>
      <c r="N2010" s="362">
        <f t="shared" si="64"/>
        <v>4862</v>
      </c>
      <c r="O2010" s="356"/>
      <c r="P2010" s="356"/>
      <c r="Q2010" s="356"/>
      <c r="R2010" s="356"/>
      <c r="S2010" s="356"/>
      <c r="T2010" s="356"/>
      <c r="U2010" s="372"/>
      <c r="V2010" s="372"/>
      <c r="W2010" s="372"/>
      <c r="X2010" s="373"/>
      <c r="Y2010" s="348"/>
      <c r="Z2010" s="348"/>
      <c r="AA2010" s="348"/>
    </row>
    <row r="2011" s="331" customFormat="1" ht="17" customHeight="1" spans="1:27">
      <c r="A2011" s="348"/>
      <c r="B2011" s="348" t="s">
        <v>185</v>
      </c>
      <c r="C2011" s="334" t="s">
        <v>1204</v>
      </c>
      <c r="D2011" s="349" t="s">
        <v>44</v>
      </c>
      <c r="E2011" s="336">
        <v>43657</v>
      </c>
      <c r="F2011" s="336" t="s">
        <v>800</v>
      </c>
      <c r="G2011" s="336">
        <v>43656</v>
      </c>
      <c r="H2011" s="334" t="s">
        <v>5526</v>
      </c>
      <c r="I2011" s="356">
        <v>15901978117</v>
      </c>
      <c r="J2011" s="361" t="s">
        <v>5527</v>
      </c>
      <c r="K2011" s="356"/>
      <c r="L2011" s="419"/>
      <c r="M2011" s="334">
        <v>284</v>
      </c>
      <c r="N2011" s="362">
        <f t="shared" si="64"/>
        <v>284</v>
      </c>
      <c r="O2011" s="356"/>
      <c r="P2011" s="356"/>
      <c r="Q2011" s="356"/>
      <c r="R2011" s="356"/>
      <c r="S2011" s="356"/>
      <c r="T2011" s="356"/>
      <c r="U2011" s="372"/>
      <c r="V2011" s="372"/>
      <c r="W2011" s="372"/>
      <c r="X2011" s="373"/>
      <c r="Y2011" s="348"/>
      <c r="Z2011" s="348"/>
      <c r="AA2011" s="348"/>
    </row>
    <row r="2012" s="331" customFormat="1" ht="17" customHeight="1" spans="1:27">
      <c r="A2012" s="348"/>
      <c r="B2012" s="348" t="s">
        <v>185</v>
      </c>
      <c r="C2012" s="334" t="s">
        <v>1204</v>
      </c>
      <c r="D2012" s="349" t="s">
        <v>44</v>
      </c>
      <c r="E2012" s="336">
        <v>43657</v>
      </c>
      <c r="F2012" s="336" t="s">
        <v>800</v>
      </c>
      <c r="G2012" s="336">
        <v>43656</v>
      </c>
      <c r="H2012" s="334" t="s">
        <v>5528</v>
      </c>
      <c r="I2012" s="356">
        <v>13916626972</v>
      </c>
      <c r="J2012" s="361" t="s">
        <v>5529</v>
      </c>
      <c r="K2012" s="356"/>
      <c r="L2012" s="419"/>
      <c r="M2012" s="334">
        <v>694</v>
      </c>
      <c r="N2012" s="362">
        <f t="shared" ref="N2012:N2024" si="65">L2012+M2012</f>
        <v>694</v>
      </c>
      <c r="O2012" s="356"/>
      <c r="P2012" s="356"/>
      <c r="Q2012" s="356"/>
      <c r="R2012" s="356"/>
      <c r="S2012" s="356"/>
      <c r="T2012" s="356"/>
      <c r="U2012" s="372"/>
      <c r="V2012" s="372"/>
      <c r="W2012" s="372"/>
      <c r="X2012" s="373"/>
      <c r="Y2012" s="348"/>
      <c r="Z2012" s="348"/>
      <c r="AA2012" s="348"/>
    </row>
    <row r="2013" s="331" customFormat="1" ht="17" customHeight="1" spans="1:27">
      <c r="A2013" s="348"/>
      <c r="B2013" s="348" t="s">
        <v>315</v>
      </c>
      <c r="C2013" s="334" t="s">
        <v>161</v>
      </c>
      <c r="D2013" s="349" t="s">
        <v>149</v>
      </c>
      <c r="E2013" s="336">
        <v>43657</v>
      </c>
      <c r="F2013" s="336" t="s">
        <v>800</v>
      </c>
      <c r="G2013" s="336">
        <v>43657</v>
      </c>
      <c r="H2013" s="334" t="s">
        <v>5530</v>
      </c>
      <c r="I2013" s="356">
        <v>13386067612</v>
      </c>
      <c r="J2013" s="361" t="s">
        <v>5531</v>
      </c>
      <c r="K2013" s="356"/>
      <c r="L2013" s="419"/>
      <c r="M2013" s="334">
        <v>13060</v>
      </c>
      <c r="N2013" s="362">
        <f t="shared" si="65"/>
        <v>13060</v>
      </c>
      <c r="O2013" s="356"/>
      <c r="P2013" s="356"/>
      <c r="Q2013" s="356"/>
      <c r="R2013" s="356"/>
      <c r="S2013" s="356"/>
      <c r="T2013" s="356"/>
      <c r="U2013" s="372"/>
      <c r="V2013" s="372"/>
      <c r="W2013" s="372"/>
      <c r="X2013" s="373"/>
      <c r="Y2013" s="348"/>
      <c r="Z2013" s="348"/>
      <c r="AA2013" s="348"/>
    </row>
    <row r="2014" s="331" customFormat="1" ht="17" customHeight="1" spans="1:27">
      <c r="A2014" s="348"/>
      <c r="B2014" s="348" t="s">
        <v>315</v>
      </c>
      <c r="C2014" s="334" t="s">
        <v>161</v>
      </c>
      <c r="D2014" s="349" t="s">
        <v>182</v>
      </c>
      <c r="E2014" s="336">
        <v>43657</v>
      </c>
      <c r="F2014" s="336" t="s">
        <v>800</v>
      </c>
      <c r="G2014" s="336">
        <v>43657</v>
      </c>
      <c r="H2014" s="334" t="s">
        <v>5532</v>
      </c>
      <c r="I2014" s="356">
        <v>18621673237</v>
      </c>
      <c r="J2014" s="361" t="s">
        <v>5533</v>
      </c>
      <c r="K2014" s="356"/>
      <c r="L2014" s="419"/>
      <c r="M2014" s="419">
        <f>-736+3199</f>
        <v>2463</v>
      </c>
      <c r="N2014" s="362">
        <f t="shared" si="65"/>
        <v>2463</v>
      </c>
      <c r="O2014" s="356"/>
      <c r="P2014" s="356"/>
      <c r="Q2014" s="356"/>
      <c r="R2014" s="356"/>
      <c r="S2014" s="356"/>
      <c r="T2014" s="356"/>
      <c r="U2014" s="372"/>
      <c r="V2014" s="372"/>
      <c r="W2014" s="372"/>
      <c r="X2014" s="373"/>
      <c r="Y2014" s="348"/>
      <c r="Z2014" s="348"/>
      <c r="AA2014" s="348"/>
    </row>
    <row r="2015" s="331" customFormat="1" ht="17" customHeight="1" spans="1:27">
      <c r="A2015" s="348"/>
      <c r="B2015" s="348" t="s">
        <v>123</v>
      </c>
      <c r="C2015" s="334" t="s">
        <v>2301</v>
      </c>
      <c r="D2015" s="349" t="s">
        <v>125</v>
      </c>
      <c r="E2015" s="336">
        <v>43658</v>
      </c>
      <c r="F2015" s="336" t="s">
        <v>800</v>
      </c>
      <c r="G2015" s="336">
        <v>43655</v>
      </c>
      <c r="H2015" s="269" t="s">
        <v>5534</v>
      </c>
      <c r="I2015" s="356">
        <v>13966652009</v>
      </c>
      <c r="J2015" s="361" t="s">
        <v>5535</v>
      </c>
      <c r="K2015" s="356"/>
      <c r="L2015" s="419"/>
      <c r="M2015" s="334">
        <v>187</v>
      </c>
      <c r="N2015" s="362">
        <f t="shared" si="65"/>
        <v>187</v>
      </c>
      <c r="O2015" s="356"/>
      <c r="P2015" s="356"/>
      <c r="Q2015" s="356"/>
      <c r="R2015" s="356"/>
      <c r="S2015" s="356"/>
      <c r="T2015" s="356"/>
      <c r="U2015" s="372"/>
      <c r="V2015" s="372"/>
      <c r="W2015" s="372"/>
      <c r="X2015" s="373"/>
      <c r="Y2015" s="348"/>
      <c r="Z2015" s="348"/>
      <c r="AA2015" s="348"/>
    </row>
    <row r="2016" s="331" customFormat="1" ht="17" customHeight="1" spans="1:27">
      <c r="A2016" s="348"/>
      <c r="B2016" s="334" t="s">
        <v>31</v>
      </c>
      <c r="C2016" s="334" t="s">
        <v>419</v>
      </c>
      <c r="D2016" s="349" t="s">
        <v>1170</v>
      </c>
      <c r="E2016" s="336">
        <v>43658</v>
      </c>
      <c r="F2016" s="336" t="s">
        <v>800</v>
      </c>
      <c r="G2016" s="336">
        <v>43658</v>
      </c>
      <c r="H2016" s="269" t="s">
        <v>5536</v>
      </c>
      <c r="I2016" s="363">
        <v>13801653897</v>
      </c>
      <c r="J2016" s="364" t="s">
        <v>5537</v>
      </c>
      <c r="K2016" s="356"/>
      <c r="L2016" s="419"/>
      <c r="M2016" s="334">
        <v>-1200</v>
      </c>
      <c r="N2016" s="362">
        <f t="shared" si="65"/>
        <v>-1200</v>
      </c>
      <c r="O2016" s="356"/>
      <c r="P2016" s="356"/>
      <c r="Q2016" s="356"/>
      <c r="R2016" s="356"/>
      <c r="S2016" s="356"/>
      <c r="T2016" s="356"/>
      <c r="U2016" s="367" t="s">
        <v>12</v>
      </c>
      <c r="V2016" s="372"/>
      <c r="W2016" s="372"/>
      <c r="X2016" s="373"/>
      <c r="Y2016" s="348"/>
      <c r="Z2016" s="348"/>
      <c r="AA2016" s="348"/>
    </row>
    <row r="2017" s="331" customFormat="1" ht="17" customHeight="1" spans="1:27">
      <c r="A2017" s="348"/>
      <c r="B2017" s="348" t="s">
        <v>137</v>
      </c>
      <c r="C2017" s="334" t="s">
        <v>480</v>
      </c>
      <c r="D2017" s="349" t="s">
        <v>171</v>
      </c>
      <c r="E2017" s="336">
        <v>43658</v>
      </c>
      <c r="F2017" s="336" t="s">
        <v>800</v>
      </c>
      <c r="G2017" s="336">
        <v>43657</v>
      </c>
      <c r="H2017" s="334" t="s">
        <v>5538</v>
      </c>
      <c r="I2017" s="356">
        <v>13611616195</v>
      </c>
      <c r="J2017" s="361" t="s">
        <v>5539</v>
      </c>
      <c r="K2017" s="356"/>
      <c r="L2017" s="419"/>
      <c r="M2017" s="334">
        <v>1366</v>
      </c>
      <c r="N2017" s="362">
        <f t="shared" si="65"/>
        <v>1366</v>
      </c>
      <c r="O2017" s="356"/>
      <c r="P2017" s="356"/>
      <c r="Q2017" s="356"/>
      <c r="R2017" s="356"/>
      <c r="S2017" s="356"/>
      <c r="T2017" s="356"/>
      <c r="U2017" s="372"/>
      <c r="V2017" s="372"/>
      <c r="W2017" s="372"/>
      <c r="X2017" s="373"/>
      <c r="Y2017" s="348"/>
      <c r="Z2017" s="348"/>
      <c r="AA2017" s="348"/>
    </row>
    <row r="2018" s="331" customFormat="1" ht="17" customHeight="1" spans="1:27">
      <c r="A2018" s="348"/>
      <c r="B2018" s="348" t="s">
        <v>47</v>
      </c>
      <c r="C2018" s="334" t="s">
        <v>80</v>
      </c>
      <c r="D2018" s="352" t="s">
        <v>49</v>
      </c>
      <c r="E2018" s="336">
        <v>43658</v>
      </c>
      <c r="F2018" s="336" t="s">
        <v>800</v>
      </c>
      <c r="G2018" s="336">
        <v>43658</v>
      </c>
      <c r="H2018" s="334" t="s">
        <v>5540</v>
      </c>
      <c r="I2018" s="356">
        <v>18621185099</v>
      </c>
      <c r="J2018" s="361" t="s">
        <v>5541</v>
      </c>
      <c r="K2018" s="356"/>
      <c r="L2018" s="419"/>
      <c r="M2018" s="334">
        <v>1035</v>
      </c>
      <c r="N2018" s="362">
        <f t="shared" si="65"/>
        <v>1035</v>
      </c>
      <c r="O2018" s="356"/>
      <c r="P2018" s="356"/>
      <c r="Q2018" s="356"/>
      <c r="R2018" s="356"/>
      <c r="S2018" s="356"/>
      <c r="T2018" s="356"/>
      <c r="U2018" s="372"/>
      <c r="V2018" s="372"/>
      <c r="W2018" s="372"/>
      <c r="X2018" s="373"/>
      <c r="Y2018" s="348"/>
      <c r="Z2018" s="348"/>
      <c r="AA2018" s="348"/>
    </row>
    <row r="2019" s="331" customFormat="1" ht="17" customHeight="1" spans="1:27">
      <c r="A2019" s="348"/>
      <c r="B2019" s="348" t="s">
        <v>47</v>
      </c>
      <c r="C2019" s="334" t="s">
        <v>53</v>
      </c>
      <c r="D2019" s="352" t="s">
        <v>49</v>
      </c>
      <c r="E2019" s="336">
        <v>43658</v>
      </c>
      <c r="F2019" s="336" t="s">
        <v>800</v>
      </c>
      <c r="G2019" s="336">
        <v>43658</v>
      </c>
      <c r="H2019" s="334" t="s">
        <v>5542</v>
      </c>
      <c r="I2019" s="356">
        <v>18939897620</v>
      </c>
      <c r="J2019" s="361" t="s">
        <v>5543</v>
      </c>
      <c r="K2019" s="356"/>
      <c r="L2019" s="419"/>
      <c r="M2019" s="334">
        <v>2155</v>
      </c>
      <c r="N2019" s="362">
        <f t="shared" si="65"/>
        <v>2155</v>
      </c>
      <c r="O2019" s="356"/>
      <c r="P2019" s="356"/>
      <c r="Q2019" s="356"/>
      <c r="R2019" s="356"/>
      <c r="S2019" s="356"/>
      <c r="T2019" s="356"/>
      <c r="U2019" s="372"/>
      <c r="V2019" s="372"/>
      <c r="W2019" s="372"/>
      <c r="X2019" s="373"/>
      <c r="Y2019" s="348"/>
      <c r="Z2019" s="348"/>
      <c r="AA2019" s="348"/>
    </row>
    <row r="2020" s="331" customFormat="1" ht="17" customHeight="1" spans="1:27">
      <c r="A2020" s="348"/>
      <c r="B2020" s="348" t="s">
        <v>47</v>
      </c>
      <c r="C2020" s="334" t="s">
        <v>80</v>
      </c>
      <c r="D2020" s="352" t="s">
        <v>49</v>
      </c>
      <c r="E2020" s="336">
        <v>43658</v>
      </c>
      <c r="F2020" s="336" t="s">
        <v>800</v>
      </c>
      <c r="G2020" s="336">
        <v>43656</v>
      </c>
      <c r="H2020" s="334" t="s">
        <v>5544</v>
      </c>
      <c r="I2020" s="356">
        <v>13701829089</v>
      </c>
      <c r="J2020" s="361" t="s">
        <v>5545</v>
      </c>
      <c r="K2020" s="356"/>
      <c r="L2020" s="419"/>
      <c r="M2020" s="334">
        <v>410</v>
      </c>
      <c r="N2020" s="362">
        <f t="shared" si="65"/>
        <v>410</v>
      </c>
      <c r="O2020" s="356"/>
      <c r="P2020" s="356"/>
      <c r="Q2020" s="356"/>
      <c r="R2020" s="356"/>
      <c r="S2020" s="356"/>
      <c r="T2020" s="356"/>
      <c r="U2020" s="372"/>
      <c r="V2020" s="372"/>
      <c r="W2020" s="372"/>
      <c r="X2020" s="373"/>
      <c r="Y2020" s="348"/>
      <c r="Z2020" s="348"/>
      <c r="AA2020" s="348"/>
    </row>
    <row r="2021" s="331" customFormat="1" ht="17" customHeight="1" spans="1:27">
      <c r="A2021" s="348"/>
      <c r="B2021" s="348" t="s">
        <v>137</v>
      </c>
      <c r="C2021" s="334" t="s">
        <v>480</v>
      </c>
      <c r="D2021" s="349" t="s">
        <v>139</v>
      </c>
      <c r="E2021" s="336">
        <v>43658</v>
      </c>
      <c r="F2021" s="336" t="s">
        <v>800</v>
      </c>
      <c r="G2021" s="336">
        <v>43658</v>
      </c>
      <c r="H2021" s="334" t="s">
        <v>5546</v>
      </c>
      <c r="I2021" s="356">
        <v>15201926635</v>
      </c>
      <c r="J2021" s="361" t="s">
        <v>5547</v>
      </c>
      <c r="K2021" s="356"/>
      <c r="L2021" s="419"/>
      <c r="M2021" s="334">
        <v>150</v>
      </c>
      <c r="N2021" s="362">
        <f t="shared" si="65"/>
        <v>150</v>
      </c>
      <c r="O2021" s="356"/>
      <c r="P2021" s="356"/>
      <c r="Q2021" s="356"/>
      <c r="R2021" s="356"/>
      <c r="S2021" s="356"/>
      <c r="T2021" s="356"/>
      <c r="U2021" s="372"/>
      <c r="V2021" s="372"/>
      <c r="W2021" s="372"/>
      <c r="X2021" s="373"/>
      <c r="Y2021" s="348"/>
      <c r="Z2021" s="348"/>
      <c r="AA2021" s="348"/>
    </row>
    <row r="2022" s="331" customFormat="1" ht="17" customHeight="1" spans="1:27">
      <c r="A2022" s="348"/>
      <c r="B2022" s="348" t="s">
        <v>47</v>
      </c>
      <c r="C2022" s="334" t="s">
        <v>53</v>
      </c>
      <c r="D2022" s="352" t="s">
        <v>49</v>
      </c>
      <c r="E2022" s="336">
        <v>43658</v>
      </c>
      <c r="F2022" s="336" t="s">
        <v>800</v>
      </c>
      <c r="G2022" s="336">
        <v>43658</v>
      </c>
      <c r="H2022" s="334" t="s">
        <v>5548</v>
      </c>
      <c r="I2022" s="356">
        <v>18918593861</v>
      </c>
      <c r="J2022" s="367" t="s">
        <v>5549</v>
      </c>
      <c r="K2022" s="356"/>
      <c r="L2022" s="419"/>
      <c r="M2022" s="334">
        <v>0</v>
      </c>
      <c r="N2022" s="362">
        <f t="shared" si="65"/>
        <v>0</v>
      </c>
      <c r="O2022" s="356"/>
      <c r="P2022" s="356"/>
      <c r="Q2022" s="356"/>
      <c r="R2022" s="356"/>
      <c r="S2022" s="356"/>
      <c r="T2022" s="356"/>
      <c r="U2022" s="372"/>
      <c r="V2022" s="372"/>
      <c r="W2022" s="372"/>
      <c r="X2022" s="373"/>
      <c r="Y2022" s="348"/>
      <c r="Z2022" s="348"/>
      <c r="AA2022" s="348"/>
    </row>
    <row r="2023" s="331" customFormat="1" ht="17" customHeight="1" spans="1:27">
      <c r="A2023" s="348"/>
      <c r="B2023" s="348" t="s">
        <v>66</v>
      </c>
      <c r="C2023" s="334" t="s">
        <v>119</v>
      </c>
      <c r="D2023" s="349" t="s">
        <v>143</v>
      </c>
      <c r="E2023" s="336">
        <v>43658</v>
      </c>
      <c r="F2023" s="336" t="s">
        <v>800</v>
      </c>
      <c r="G2023" s="336">
        <v>43658</v>
      </c>
      <c r="H2023" s="334" t="s">
        <v>5550</v>
      </c>
      <c r="I2023" s="356">
        <v>15800926683</v>
      </c>
      <c r="J2023" s="361" t="s">
        <v>5551</v>
      </c>
      <c r="K2023" s="356"/>
      <c r="L2023" s="419"/>
      <c r="M2023" s="334">
        <v>7976</v>
      </c>
      <c r="N2023" s="362">
        <f t="shared" si="65"/>
        <v>7976</v>
      </c>
      <c r="O2023" s="356"/>
      <c r="P2023" s="356"/>
      <c r="Q2023" s="356"/>
      <c r="R2023" s="356"/>
      <c r="S2023" s="356"/>
      <c r="T2023" s="356"/>
      <c r="U2023" s="372"/>
      <c r="V2023" s="372"/>
      <c r="W2023" s="372"/>
      <c r="X2023" s="373"/>
      <c r="Y2023" s="348"/>
      <c r="Z2023" s="348"/>
      <c r="AA2023" s="348"/>
    </row>
    <row r="2024" s="331" customFormat="1" ht="17" customHeight="1" spans="1:27">
      <c r="A2024" s="348"/>
      <c r="B2024" s="348" t="s">
        <v>147</v>
      </c>
      <c r="C2024" s="348" t="s">
        <v>148</v>
      </c>
      <c r="D2024" s="349" t="s">
        <v>221</v>
      </c>
      <c r="E2024" s="336">
        <v>43659</v>
      </c>
      <c r="F2024" s="336" t="s">
        <v>800</v>
      </c>
      <c r="G2024" s="336">
        <v>43659</v>
      </c>
      <c r="H2024" s="351" t="s">
        <v>5552</v>
      </c>
      <c r="I2024" s="356">
        <v>13818199020</v>
      </c>
      <c r="J2024" s="361" t="s">
        <v>5553</v>
      </c>
      <c r="K2024" s="356"/>
      <c r="L2024" s="419"/>
      <c r="M2024" s="334">
        <v>124</v>
      </c>
      <c r="N2024" s="362">
        <f t="shared" si="65"/>
        <v>124</v>
      </c>
      <c r="O2024" s="356"/>
      <c r="P2024" s="356"/>
      <c r="Q2024" s="356"/>
      <c r="R2024" s="356"/>
      <c r="S2024" s="356"/>
      <c r="T2024" s="356"/>
      <c r="U2024" s="372"/>
      <c r="V2024" s="372"/>
      <c r="W2024" s="372"/>
      <c r="X2024" s="373"/>
      <c r="Y2024" s="348"/>
      <c r="Z2024" s="348"/>
      <c r="AA2024" s="348"/>
    </row>
    <row r="2025" s="331" customFormat="1" ht="17" customHeight="1" spans="1:27">
      <c r="A2025" s="348"/>
      <c r="B2025" s="348" t="s">
        <v>31</v>
      </c>
      <c r="C2025" s="348" t="s">
        <v>251</v>
      </c>
      <c r="D2025" s="349" t="s">
        <v>221</v>
      </c>
      <c r="E2025" s="336">
        <v>43659</v>
      </c>
      <c r="F2025" s="336" t="s">
        <v>800</v>
      </c>
      <c r="G2025" s="336">
        <v>43657</v>
      </c>
      <c r="H2025" s="334" t="s">
        <v>5554</v>
      </c>
      <c r="I2025" s="356">
        <v>13391202897</v>
      </c>
      <c r="J2025" s="361" t="s">
        <v>5555</v>
      </c>
      <c r="K2025" s="356"/>
      <c r="L2025" s="419"/>
      <c r="M2025" s="334">
        <f>22193+4288</f>
        <v>26481</v>
      </c>
      <c r="N2025" s="362">
        <f t="shared" ref="N2025:N2033" si="66">L2025+M2025</f>
        <v>26481</v>
      </c>
      <c r="O2025" s="356"/>
      <c r="P2025" s="356"/>
      <c r="Q2025" s="356"/>
      <c r="R2025" s="356"/>
      <c r="S2025" s="356"/>
      <c r="T2025" s="356"/>
      <c r="U2025" s="372"/>
      <c r="V2025" s="372"/>
      <c r="W2025" s="372"/>
      <c r="X2025" s="373"/>
      <c r="Y2025" s="348"/>
      <c r="Z2025" s="348"/>
      <c r="AA2025" s="348"/>
    </row>
    <row r="2026" s="331" customFormat="1" ht="17" customHeight="1" spans="1:27">
      <c r="A2026" s="348"/>
      <c r="B2026" s="348" t="s">
        <v>66</v>
      </c>
      <c r="C2026" s="348" t="s">
        <v>505</v>
      </c>
      <c r="D2026" s="349" t="s">
        <v>68</v>
      </c>
      <c r="E2026" s="336">
        <v>43659</v>
      </c>
      <c r="F2026" s="336" t="s">
        <v>800</v>
      </c>
      <c r="G2026" s="336">
        <v>43659</v>
      </c>
      <c r="H2026" s="334" t="s">
        <v>5556</v>
      </c>
      <c r="I2026" s="356">
        <v>13524693915</v>
      </c>
      <c r="J2026" s="361" t="s">
        <v>5557</v>
      </c>
      <c r="K2026" s="356"/>
      <c r="L2026" s="419"/>
      <c r="M2026" s="334">
        <v>756</v>
      </c>
      <c r="N2026" s="362">
        <f t="shared" si="66"/>
        <v>756</v>
      </c>
      <c r="O2026" s="356"/>
      <c r="P2026" s="356"/>
      <c r="Q2026" s="356"/>
      <c r="R2026" s="356"/>
      <c r="S2026" s="356"/>
      <c r="T2026" s="356"/>
      <c r="U2026" s="372"/>
      <c r="V2026" s="372"/>
      <c r="W2026" s="372"/>
      <c r="X2026" s="373"/>
      <c r="Y2026" s="348"/>
      <c r="Z2026" s="348"/>
      <c r="AA2026" s="348"/>
    </row>
    <row r="2027" s="331" customFormat="1" ht="17" customHeight="1" spans="1:27">
      <c r="A2027" s="348"/>
      <c r="B2027" s="334" t="s">
        <v>73</v>
      </c>
      <c r="C2027" s="334" t="s">
        <v>5558</v>
      </c>
      <c r="D2027" s="349" t="s">
        <v>356</v>
      </c>
      <c r="E2027" s="336">
        <v>43659</v>
      </c>
      <c r="F2027" s="336" t="s">
        <v>800</v>
      </c>
      <c r="G2027" s="336">
        <v>43659</v>
      </c>
      <c r="H2027" s="363" t="s">
        <v>5559</v>
      </c>
      <c r="I2027" s="363">
        <v>13701416045</v>
      </c>
      <c r="J2027" s="364" t="s">
        <v>5560</v>
      </c>
      <c r="K2027" s="356"/>
      <c r="L2027" s="419"/>
      <c r="M2027" s="334">
        <v>-20099</v>
      </c>
      <c r="N2027" s="362">
        <f t="shared" si="66"/>
        <v>-20099</v>
      </c>
      <c r="O2027" s="356"/>
      <c r="P2027" s="356"/>
      <c r="Q2027" s="356"/>
      <c r="R2027" s="356"/>
      <c r="S2027" s="356"/>
      <c r="T2027" s="356"/>
      <c r="U2027" s="367" t="s">
        <v>5517</v>
      </c>
      <c r="V2027" s="372"/>
      <c r="W2027" s="372"/>
      <c r="X2027" s="373"/>
      <c r="Y2027" s="348"/>
      <c r="Z2027" s="348"/>
      <c r="AA2027" s="348"/>
    </row>
    <row r="2028" s="331" customFormat="1" ht="17" customHeight="1" spans="1:27">
      <c r="A2028" s="348"/>
      <c r="B2028" s="334" t="s">
        <v>31</v>
      </c>
      <c r="C2028" s="334" t="s">
        <v>220</v>
      </c>
      <c r="D2028" s="349" t="s">
        <v>33</v>
      </c>
      <c r="E2028" s="336">
        <v>43660</v>
      </c>
      <c r="F2028" s="336" t="s">
        <v>800</v>
      </c>
      <c r="G2028" s="336">
        <v>43651</v>
      </c>
      <c r="H2028" s="427" t="s">
        <v>5561</v>
      </c>
      <c r="I2028" s="363">
        <v>15900843698</v>
      </c>
      <c r="J2028" s="364" t="s">
        <v>5562</v>
      </c>
      <c r="K2028" s="356"/>
      <c r="L2028" s="419"/>
      <c r="M2028" s="334">
        <v>708</v>
      </c>
      <c r="N2028" s="362">
        <f t="shared" si="66"/>
        <v>708</v>
      </c>
      <c r="O2028" s="356"/>
      <c r="P2028" s="356"/>
      <c r="Q2028" s="356"/>
      <c r="R2028" s="356"/>
      <c r="S2028" s="356"/>
      <c r="T2028" s="356"/>
      <c r="U2028" s="372"/>
      <c r="V2028" s="372"/>
      <c r="W2028" s="372"/>
      <c r="X2028" s="373"/>
      <c r="Y2028" s="348"/>
      <c r="Z2028" s="348"/>
      <c r="AA2028" s="348"/>
    </row>
    <row r="2029" s="331" customFormat="1" ht="17" customHeight="1" spans="1:27">
      <c r="A2029" s="348"/>
      <c r="B2029" s="348" t="s">
        <v>31</v>
      </c>
      <c r="C2029" s="334" t="s">
        <v>419</v>
      </c>
      <c r="D2029" s="349" t="s">
        <v>33</v>
      </c>
      <c r="E2029" s="336">
        <v>43660</v>
      </c>
      <c r="F2029" s="336" t="s">
        <v>800</v>
      </c>
      <c r="G2029" s="336">
        <v>43659</v>
      </c>
      <c r="H2029" s="334" t="s">
        <v>5563</v>
      </c>
      <c r="I2029" s="356">
        <v>13818779676</v>
      </c>
      <c r="J2029" s="361" t="s">
        <v>5564</v>
      </c>
      <c r="K2029" s="356"/>
      <c r="L2029" s="419"/>
      <c r="M2029" s="334">
        <v>4929</v>
      </c>
      <c r="N2029" s="362">
        <f t="shared" si="66"/>
        <v>4929</v>
      </c>
      <c r="O2029" s="356"/>
      <c r="P2029" s="356"/>
      <c r="Q2029" s="356"/>
      <c r="R2029" s="356"/>
      <c r="S2029" s="356"/>
      <c r="T2029" s="356"/>
      <c r="U2029" s="372"/>
      <c r="V2029" s="372"/>
      <c r="W2029" s="372"/>
      <c r="X2029" s="373"/>
      <c r="Y2029" s="348"/>
      <c r="Z2029" s="348"/>
      <c r="AA2029" s="348"/>
    </row>
    <row r="2030" s="331" customFormat="1" ht="17" customHeight="1" spans="1:27">
      <c r="A2030" s="348"/>
      <c r="B2030" s="348" t="s">
        <v>73</v>
      </c>
      <c r="C2030" s="348" t="s">
        <v>178</v>
      </c>
      <c r="D2030" s="349" t="s">
        <v>132</v>
      </c>
      <c r="E2030" s="336">
        <v>43660</v>
      </c>
      <c r="F2030" s="336" t="s">
        <v>800</v>
      </c>
      <c r="G2030" s="336">
        <v>43659</v>
      </c>
      <c r="H2030" s="334" t="s">
        <v>5565</v>
      </c>
      <c r="I2030" s="356">
        <v>13621725219</v>
      </c>
      <c r="J2030" s="361" t="s">
        <v>5566</v>
      </c>
      <c r="K2030" s="356"/>
      <c r="L2030" s="419"/>
      <c r="M2030" s="334">
        <v>371</v>
      </c>
      <c r="N2030" s="362">
        <f t="shared" si="66"/>
        <v>371</v>
      </c>
      <c r="O2030" s="356"/>
      <c r="P2030" s="356"/>
      <c r="Q2030" s="356"/>
      <c r="R2030" s="356"/>
      <c r="S2030" s="356"/>
      <c r="T2030" s="356"/>
      <c r="U2030" s="372"/>
      <c r="V2030" s="372"/>
      <c r="W2030" s="372"/>
      <c r="X2030" s="373"/>
      <c r="Y2030" s="348"/>
      <c r="Z2030" s="348"/>
      <c r="AA2030" s="348"/>
    </row>
    <row r="2031" s="331" customFormat="1" ht="17" customHeight="1" spans="1:27">
      <c r="A2031" s="348"/>
      <c r="B2031" s="348" t="s">
        <v>169</v>
      </c>
      <c r="C2031" s="334" t="s">
        <v>634</v>
      </c>
      <c r="D2031" s="349" t="s">
        <v>635</v>
      </c>
      <c r="E2031" s="336">
        <v>43660</v>
      </c>
      <c r="F2031" s="336" t="s">
        <v>800</v>
      </c>
      <c r="G2031" s="336">
        <v>43659</v>
      </c>
      <c r="H2031" s="334" t="s">
        <v>5567</v>
      </c>
      <c r="I2031" s="356">
        <v>18721569200</v>
      </c>
      <c r="J2031" s="361" t="s">
        <v>5568</v>
      </c>
      <c r="K2031" s="356"/>
      <c r="L2031" s="419"/>
      <c r="M2031" s="334">
        <v>4452</v>
      </c>
      <c r="N2031" s="362">
        <f t="shared" si="66"/>
        <v>4452</v>
      </c>
      <c r="O2031" s="356"/>
      <c r="P2031" s="356"/>
      <c r="Q2031" s="356"/>
      <c r="R2031" s="356"/>
      <c r="S2031" s="356"/>
      <c r="T2031" s="356"/>
      <c r="U2031" s="372"/>
      <c r="V2031" s="372"/>
      <c r="W2031" s="372"/>
      <c r="X2031" s="373"/>
      <c r="Y2031" s="348"/>
      <c r="Z2031" s="348"/>
      <c r="AA2031" s="348"/>
    </row>
    <row r="2032" s="331" customFormat="1" ht="17" customHeight="1" spans="1:27">
      <c r="A2032" s="348"/>
      <c r="B2032" s="348" t="s">
        <v>31</v>
      </c>
      <c r="C2032" s="334" t="s">
        <v>377</v>
      </c>
      <c r="D2032" s="349" t="s">
        <v>221</v>
      </c>
      <c r="E2032" s="336">
        <v>43660</v>
      </c>
      <c r="F2032" s="336" t="s">
        <v>800</v>
      </c>
      <c r="G2032" s="336">
        <v>43659</v>
      </c>
      <c r="H2032" s="334" t="s">
        <v>5569</v>
      </c>
      <c r="I2032" s="356">
        <v>18616523672</v>
      </c>
      <c r="J2032" s="361" t="s">
        <v>5570</v>
      </c>
      <c r="K2032" s="356"/>
      <c r="L2032" s="419"/>
      <c r="M2032" s="334">
        <v>7700</v>
      </c>
      <c r="N2032" s="362">
        <f t="shared" si="66"/>
        <v>7700</v>
      </c>
      <c r="O2032" s="356"/>
      <c r="P2032" s="356"/>
      <c r="Q2032" s="356"/>
      <c r="R2032" s="356"/>
      <c r="S2032" s="356"/>
      <c r="T2032" s="356"/>
      <c r="U2032" s="372"/>
      <c r="V2032" s="372"/>
      <c r="W2032" s="372"/>
      <c r="X2032" s="373"/>
      <c r="Y2032" s="348"/>
      <c r="Z2032" s="348"/>
      <c r="AA2032" s="348"/>
    </row>
    <row r="2033" s="331" customFormat="1" ht="17" customHeight="1" spans="1:27">
      <c r="A2033" s="348"/>
      <c r="B2033" s="348" t="s">
        <v>31</v>
      </c>
      <c r="C2033" s="334" t="s">
        <v>377</v>
      </c>
      <c r="D2033" s="349" t="s">
        <v>33</v>
      </c>
      <c r="E2033" s="336">
        <v>43660</v>
      </c>
      <c r="F2033" s="336" t="s">
        <v>800</v>
      </c>
      <c r="G2033" s="336">
        <v>43659</v>
      </c>
      <c r="H2033" s="334" t="s">
        <v>5571</v>
      </c>
      <c r="I2033" s="356">
        <v>17811917363</v>
      </c>
      <c r="J2033" s="361" t="s">
        <v>5572</v>
      </c>
      <c r="K2033" s="356"/>
      <c r="L2033" s="419"/>
      <c r="M2033" s="334">
        <v>-2050</v>
      </c>
      <c r="N2033" s="362">
        <f t="shared" si="66"/>
        <v>-2050</v>
      </c>
      <c r="O2033" s="356"/>
      <c r="P2033" s="356"/>
      <c r="Q2033" s="356"/>
      <c r="R2033" s="356"/>
      <c r="S2033" s="356"/>
      <c r="T2033" s="356"/>
      <c r="U2033" s="372"/>
      <c r="V2033" s="372"/>
      <c r="W2033" s="372"/>
      <c r="X2033" s="373"/>
      <c r="Y2033" s="348"/>
      <c r="Z2033" s="348"/>
      <c r="AA2033" s="348"/>
    </row>
    <row r="2034" s="331" customFormat="1" ht="17" customHeight="1" spans="1:27">
      <c r="A2034" s="348"/>
      <c r="B2034" s="348" t="s">
        <v>169</v>
      </c>
      <c r="C2034" s="334" t="s">
        <v>542</v>
      </c>
      <c r="D2034" s="349" t="s">
        <v>635</v>
      </c>
      <c r="E2034" s="336">
        <v>43660</v>
      </c>
      <c r="F2034" s="336" t="s">
        <v>800</v>
      </c>
      <c r="G2034" s="336">
        <v>43660</v>
      </c>
      <c r="H2034" s="334" t="s">
        <v>5573</v>
      </c>
      <c r="I2034" s="356">
        <v>15317319783</v>
      </c>
      <c r="J2034" s="361" t="s">
        <v>5574</v>
      </c>
      <c r="K2034" s="356"/>
      <c r="L2034" s="419"/>
      <c r="M2034" s="334">
        <v>1806</v>
      </c>
      <c r="N2034" s="362">
        <f t="shared" ref="N2034:N2050" si="67">L2034+M2034</f>
        <v>1806</v>
      </c>
      <c r="O2034" s="356"/>
      <c r="P2034" s="356"/>
      <c r="Q2034" s="356"/>
      <c r="R2034" s="356"/>
      <c r="S2034" s="356"/>
      <c r="T2034" s="356"/>
      <c r="U2034" s="372"/>
      <c r="V2034" s="372"/>
      <c r="W2034" s="372"/>
      <c r="X2034" s="373"/>
      <c r="Y2034" s="348"/>
      <c r="Z2034" s="348"/>
      <c r="AA2034" s="348"/>
    </row>
    <row r="2035" s="331" customFormat="1" ht="17" customHeight="1" spans="1:27">
      <c r="A2035" s="348"/>
      <c r="B2035" s="348" t="s">
        <v>42</v>
      </c>
      <c r="C2035" s="334" t="s">
        <v>1728</v>
      </c>
      <c r="D2035" s="349" t="s">
        <v>356</v>
      </c>
      <c r="E2035" s="336">
        <v>43660</v>
      </c>
      <c r="F2035" s="336" t="s">
        <v>800</v>
      </c>
      <c r="G2035" s="336">
        <v>43660</v>
      </c>
      <c r="H2035" s="334" t="s">
        <v>5575</v>
      </c>
      <c r="I2035" s="356">
        <v>13901955658</v>
      </c>
      <c r="J2035" s="361" t="s">
        <v>5576</v>
      </c>
      <c r="K2035" s="356"/>
      <c r="L2035" s="419"/>
      <c r="M2035" s="334">
        <v>1519</v>
      </c>
      <c r="N2035" s="362">
        <f t="shared" si="67"/>
        <v>1519</v>
      </c>
      <c r="O2035" s="356"/>
      <c r="P2035" s="356"/>
      <c r="Q2035" s="356"/>
      <c r="R2035" s="356"/>
      <c r="S2035" s="356"/>
      <c r="T2035" s="356"/>
      <c r="U2035" s="372"/>
      <c r="V2035" s="372"/>
      <c r="W2035" s="372"/>
      <c r="X2035" s="373"/>
      <c r="Y2035" s="348"/>
      <c r="Z2035" s="348"/>
      <c r="AA2035" s="348"/>
    </row>
    <row r="2036" s="331" customFormat="1" ht="17" customHeight="1" spans="1:27">
      <c r="A2036" s="348"/>
      <c r="B2036" s="348" t="s">
        <v>47</v>
      </c>
      <c r="C2036" s="334" t="s">
        <v>80</v>
      </c>
      <c r="D2036" s="352" t="s">
        <v>49</v>
      </c>
      <c r="E2036" s="336">
        <v>43660</v>
      </c>
      <c r="F2036" s="336" t="s">
        <v>800</v>
      </c>
      <c r="G2036" s="336">
        <v>43660</v>
      </c>
      <c r="H2036" s="334" t="s">
        <v>2219</v>
      </c>
      <c r="I2036" s="356">
        <v>18121037132</v>
      </c>
      <c r="J2036" s="361" t="s">
        <v>5577</v>
      </c>
      <c r="K2036" s="356"/>
      <c r="L2036" s="419"/>
      <c r="M2036" s="334">
        <v>266</v>
      </c>
      <c r="N2036" s="362">
        <f t="shared" si="67"/>
        <v>266</v>
      </c>
      <c r="O2036" s="356"/>
      <c r="P2036" s="356"/>
      <c r="Q2036" s="356"/>
      <c r="R2036" s="356"/>
      <c r="S2036" s="356"/>
      <c r="T2036" s="356"/>
      <c r="U2036" s="372"/>
      <c r="V2036" s="372"/>
      <c r="W2036" s="372"/>
      <c r="X2036" s="373"/>
      <c r="Y2036" s="348"/>
      <c r="Z2036" s="348"/>
      <c r="AA2036" s="348"/>
    </row>
    <row r="2037" s="331" customFormat="1" ht="17" customHeight="1" spans="1:27">
      <c r="A2037" s="348"/>
      <c r="B2037" s="348" t="s">
        <v>169</v>
      </c>
      <c r="C2037" s="334" t="s">
        <v>634</v>
      </c>
      <c r="D2037" s="349" t="s">
        <v>635</v>
      </c>
      <c r="E2037" s="336">
        <v>43660</v>
      </c>
      <c r="F2037" s="336" t="s">
        <v>800</v>
      </c>
      <c r="G2037" s="336">
        <v>43660</v>
      </c>
      <c r="H2037" s="334" t="s">
        <v>5578</v>
      </c>
      <c r="I2037" s="356">
        <v>18616132103</v>
      </c>
      <c r="J2037" s="361" t="s">
        <v>5579</v>
      </c>
      <c r="K2037" s="356"/>
      <c r="L2037" s="419"/>
      <c r="M2037" s="334">
        <v>408</v>
      </c>
      <c r="N2037" s="362">
        <f t="shared" si="67"/>
        <v>408</v>
      </c>
      <c r="O2037" s="356"/>
      <c r="P2037" s="356"/>
      <c r="Q2037" s="356"/>
      <c r="R2037" s="356"/>
      <c r="S2037" s="356"/>
      <c r="T2037" s="356"/>
      <c r="U2037" s="372"/>
      <c r="V2037" s="372"/>
      <c r="W2037" s="372"/>
      <c r="X2037" s="373"/>
      <c r="Y2037" s="348"/>
      <c r="Z2037" s="348"/>
      <c r="AA2037" s="348"/>
    </row>
    <row r="2038" s="331" customFormat="1" ht="17" customHeight="1" spans="1:27">
      <c r="A2038" s="348"/>
      <c r="B2038" s="348" t="s">
        <v>169</v>
      </c>
      <c r="C2038" s="334" t="s">
        <v>542</v>
      </c>
      <c r="D2038" s="349" t="s">
        <v>171</v>
      </c>
      <c r="E2038" s="336">
        <v>43660</v>
      </c>
      <c r="F2038" s="336" t="s">
        <v>800</v>
      </c>
      <c r="G2038" s="336">
        <v>43660</v>
      </c>
      <c r="H2038" s="334" t="s">
        <v>5580</v>
      </c>
      <c r="I2038" s="356">
        <v>13301838296</v>
      </c>
      <c r="J2038" s="361" t="s">
        <v>5581</v>
      </c>
      <c r="K2038" s="356"/>
      <c r="L2038" s="419"/>
      <c r="M2038" s="334">
        <v>-434</v>
      </c>
      <c r="N2038" s="362">
        <f t="shared" si="67"/>
        <v>-434</v>
      </c>
      <c r="O2038" s="356"/>
      <c r="P2038" s="356"/>
      <c r="Q2038" s="356"/>
      <c r="R2038" s="356"/>
      <c r="S2038" s="356"/>
      <c r="T2038" s="356"/>
      <c r="U2038" s="372"/>
      <c r="V2038" s="372"/>
      <c r="W2038" s="372"/>
      <c r="X2038" s="373"/>
      <c r="Y2038" s="348"/>
      <c r="Z2038" s="348"/>
      <c r="AA2038" s="348"/>
    </row>
    <row r="2039" s="331" customFormat="1" ht="17" customHeight="1" spans="1:27">
      <c r="A2039" s="348"/>
      <c r="B2039" s="348" t="s">
        <v>58</v>
      </c>
      <c r="C2039" s="334" t="s">
        <v>342</v>
      </c>
      <c r="D2039" s="349" t="s">
        <v>75</v>
      </c>
      <c r="E2039" s="336">
        <v>43660</v>
      </c>
      <c r="F2039" s="336" t="s">
        <v>800</v>
      </c>
      <c r="G2039" s="336">
        <v>43659</v>
      </c>
      <c r="H2039" s="334" t="s">
        <v>5582</v>
      </c>
      <c r="I2039" s="356">
        <v>13817678733</v>
      </c>
      <c r="J2039" s="361" t="s">
        <v>5583</v>
      </c>
      <c r="K2039" s="356"/>
      <c r="L2039" s="419"/>
      <c r="M2039" s="334">
        <v>9002</v>
      </c>
      <c r="N2039" s="362">
        <f t="shared" si="67"/>
        <v>9002</v>
      </c>
      <c r="O2039" s="356"/>
      <c r="P2039" s="356"/>
      <c r="Q2039" s="356"/>
      <c r="R2039" s="356"/>
      <c r="S2039" s="356"/>
      <c r="T2039" s="356"/>
      <c r="U2039" s="372"/>
      <c r="V2039" s="372"/>
      <c r="W2039" s="372"/>
      <c r="X2039" s="373"/>
      <c r="Y2039" s="348"/>
      <c r="Z2039" s="348"/>
      <c r="AA2039" s="348"/>
    </row>
    <row r="2040" s="331" customFormat="1" ht="17" customHeight="1" spans="1:27">
      <c r="A2040" s="348"/>
      <c r="B2040" s="348" t="s">
        <v>66</v>
      </c>
      <c r="C2040" s="348" t="s">
        <v>67</v>
      </c>
      <c r="D2040" s="349" t="s">
        <v>68</v>
      </c>
      <c r="E2040" s="336">
        <v>43660</v>
      </c>
      <c r="F2040" s="336" t="s">
        <v>800</v>
      </c>
      <c r="G2040" s="336">
        <v>43660</v>
      </c>
      <c r="H2040" s="334" t="s">
        <v>5584</v>
      </c>
      <c r="I2040" s="356">
        <v>15800911088</v>
      </c>
      <c r="J2040" s="361" t="s">
        <v>5585</v>
      </c>
      <c r="K2040" s="356"/>
      <c r="L2040" s="419"/>
      <c r="M2040" s="334">
        <v>41</v>
      </c>
      <c r="N2040" s="362">
        <f t="shared" si="67"/>
        <v>41</v>
      </c>
      <c r="O2040" s="356"/>
      <c r="P2040" s="356"/>
      <c r="Q2040" s="356"/>
      <c r="R2040" s="356"/>
      <c r="S2040" s="356"/>
      <c r="T2040" s="356"/>
      <c r="U2040" s="372"/>
      <c r="V2040" s="372"/>
      <c r="W2040" s="372"/>
      <c r="X2040" s="373"/>
      <c r="Y2040" s="348"/>
      <c r="Z2040" s="348"/>
      <c r="AA2040" s="348"/>
    </row>
    <row r="2041" s="331" customFormat="1" ht="17" customHeight="1" spans="1:27">
      <c r="A2041" s="348"/>
      <c r="B2041" s="348" t="s">
        <v>137</v>
      </c>
      <c r="C2041" s="348" t="s">
        <v>191</v>
      </c>
      <c r="D2041" s="349" t="s">
        <v>427</v>
      </c>
      <c r="E2041" s="336">
        <v>43660</v>
      </c>
      <c r="F2041" s="336" t="s">
        <v>800</v>
      </c>
      <c r="G2041" s="336">
        <v>43660</v>
      </c>
      <c r="H2041" s="334" t="s">
        <v>5586</v>
      </c>
      <c r="I2041" s="356">
        <v>13916589167</v>
      </c>
      <c r="J2041" s="361" t="s">
        <v>5587</v>
      </c>
      <c r="K2041" s="356"/>
      <c r="L2041" s="419"/>
      <c r="M2041" s="334">
        <v>-2319</v>
      </c>
      <c r="N2041" s="362">
        <f t="shared" si="67"/>
        <v>-2319</v>
      </c>
      <c r="O2041" s="356"/>
      <c r="P2041" s="356"/>
      <c r="Q2041" s="356"/>
      <c r="R2041" s="356"/>
      <c r="S2041" s="356"/>
      <c r="T2041" s="356"/>
      <c r="U2041" s="372"/>
      <c r="V2041" s="372"/>
      <c r="W2041" s="372"/>
      <c r="X2041" s="373"/>
      <c r="Y2041" s="348"/>
      <c r="Z2041" s="348"/>
      <c r="AA2041" s="348"/>
    </row>
    <row r="2042" s="331" customFormat="1" ht="17" customHeight="1" spans="1:27">
      <c r="A2042" s="348"/>
      <c r="B2042" s="348" t="s">
        <v>243</v>
      </c>
      <c r="C2042" s="334" t="s">
        <v>309</v>
      </c>
      <c r="D2042" s="352" t="s">
        <v>49</v>
      </c>
      <c r="E2042" s="336">
        <v>43661</v>
      </c>
      <c r="F2042" s="336" t="s">
        <v>800</v>
      </c>
      <c r="G2042" s="336">
        <v>43653</v>
      </c>
      <c r="H2042" s="334" t="s">
        <v>5588</v>
      </c>
      <c r="I2042" s="356">
        <v>13701913926</v>
      </c>
      <c r="J2042" s="361" t="s">
        <v>5589</v>
      </c>
      <c r="K2042" s="356"/>
      <c r="L2042" s="419"/>
      <c r="M2042" s="334">
        <v>2012</v>
      </c>
      <c r="N2042" s="362">
        <f t="shared" si="67"/>
        <v>2012</v>
      </c>
      <c r="O2042" s="356"/>
      <c r="P2042" s="356"/>
      <c r="Q2042" s="356"/>
      <c r="R2042" s="356"/>
      <c r="S2042" s="356"/>
      <c r="T2042" s="356"/>
      <c r="U2042" s="372"/>
      <c r="V2042" s="372"/>
      <c r="W2042" s="372"/>
      <c r="X2042" s="373"/>
      <c r="Y2042" s="348"/>
      <c r="Z2042" s="348"/>
      <c r="AA2042" s="348"/>
    </row>
    <row r="2043" s="331" customFormat="1" ht="17" customHeight="1" spans="1:27">
      <c r="A2043" s="348"/>
      <c r="B2043" s="348" t="s">
        <v>58</v>
      </c>
      <c r="C2043" s="348" t="s">
        <v>347</v>
      </c>
      <c r="D2043" s="349" t="s">
        <v>75</v>
      </c>
      <c r="E2043" s="336">
        <v>43661</v>
      </c>
      <c r="F2043" s="336" t="s">
        <v>800</v>
      </c>
      <c r="G2043" s="336">
        <v>43653</v>
      </c>
      <c r="H2043" s="334" t="s">
        <v>5590</v>
      </c>
      <c r="I2043" s="356">
        <v>18321822357</v>
      </c>
      <c r="J2043" s="361" t="s">
        <v>5591</v>
      </c>
      <c r="K2043" s="356"/>
      <c r="L2043" s="419"/>
      <c r="M2043" s="334">
        <v>13105</v>
      </c>
      <c r="N2043" s="362">
        <f t="shared" si="67"/>
        <v>13105</v>
      </c>
      <c r="O2043" s="356"/>
      <c r="P2043" s="356"/>
      <c r="Q2043" s="356"/>
      <c r="R2043" s="356"/>
      <c r="S2043" s="356"/>
      <c r="T2043" s="356"/>
      <c r="U2043" s="372"/>
      <c r="V2043" s="372"/>
      <c r="W2043" s="372"/>
      <c r="X2043" s="373"/>
      <c r="Y2043" s="348"/>
      <c r="Z2043" s="348"/>
      <c r="AA2043" s="348"/>
    </row>
    <row r="2044" s="331" customFormat="1" ht="17" customHeight="1" spans="1:27">
      <c r="A2044" s="348"/>
      <c r="B2044" s="348" t="s">
        <v>123</v>
      </c>
      <c r="C2044" s="348" t="s">
        <v>902</v>
      </c>
      <c r="D2044" s="349" t="s">
        <v>125</v>
      </c>
      <c r="E2044" s="336">
        <v>43661</v>
      </c>
      <c r="F2044" s="336" t="s">
        <v>800</v>
      </c>
      <c r="G2044" s="336">
        <v>43659</v>
      </c>
      <c r="H2044" s="334" t="s">
        <v>5592</v>
      </c>
      <c r="I2044" s="356">
        <v>18021045726</v>
      </c>
      <c r="J2044" s="361" t="s">
        <v>5593</v>
      </c>
      <c r="K2044" s="356"/>
      <c r="L2044" s="419"/>
      <c r="M2044" s="334">
        <v>-121</v>
      </c>
      <c r="N2044" s="362">
        <f t="shared" si="67"/>
        <v>-121</v>
      </c>
      <c r="O2044" s="356"/>
      <c r="P2044" s="356"/>
      <c r="Q2044" s="356"/>
      <c r="R2044" s="356"/>
      <c r="S2044" s="356"/>
      <c r="T2044" s="356"/>
      <c r="U2044" s="372"/>
      <c r="V2044" s="372"/>
      <c r="W2044" s="372"/>
      <c r="X2044" s="373"/>
      <c r="Y2044" s="348"/>
      <c r="Z2044" s="348"/>
      <c r="AA2044" s="348"/>
    </row>
    <row r="2045" s="331" customFormat="1" ht="17" customHeight="1" spans="1:27">
      <c r="A2045" s="348"/>
      <c r="B2045" s="348" t="s">
        <v>66</v>
      </c>
      <c r="C2045" s="348" t="s">
        <v>67</v>
      </c>
      <c r="D2045" s="349" t="s">
        <v>68</v>
      </c>
      <c r="E2045" s="336">
        <v>43661</v>
      </c>
      <c r="F2045" s="336" t="s">
        <v>800</v>
      </c>
      <c r="G2045" s="336">
        <v>43661</v>
      </c>
      <c r="H2045" s="334" t="s">
        <v>5594</v>
      </c>
      <c r="I2045" s="356">
        <v>13761656536</v>
      </c>
      <c r="J2045" s="361" t="s">
        <v>5595</v>
      </c>
      <c r="K2045" s="356"/>
      <c r="L2045" s="419"/>
      <c r="M2045" s="334">
        <v>-344</v>
      </c>
      <c r="N2045" s="362">
        <f t="shared" si="67"/>
        <v>-344</v>
      </c>
      <c r="O2045" s="356"/>
      <c r="P2045" s="356"/>
      <c r="Q2045" s="356"/>
      <c r="R2045" s="356"/>
      <c r="S2045" s="356"/>
      <c r="T2045" s="356"/>
      <c r="U2045" s="372"/>
      <c r="V2045" s="372"/>
      <c r="W2045" s="372"/>
      <c r="X2045" s="373"/>
      <c r="Y2045" s="348"/>
      <c r="Z2045" s="348"/>
      <c r="AA2045" s="348"/>
    </row>
    <row r="2046" s="331" customFormat="1" ht="17" customHeight="1" spans="1:27">
      <c r="A2046" s="348"/>
      <c r="B2046" s="348" t="s">
        <v>137</v>
      </c>
      <c r="C2046" s="334" t="s">
        <v>861</v>
      </c>
      <c r="D2046" s="349" t="s">
        <v>717</v>
      </c>
      <c r="E2046" s="336">
        <v>43661</v>
      </c>
      <c r="F2046" s="336" t="s">
        <v>800</v>
      </c>
      <c r="G2046" s="336">
        <v>43660</v>
      </c>
      <c r="H2046" s="334" t="s">
        <v>5596</v>
      </c>
      <c r="I2046" s="356">
        <v>17811900059</v>
      </c>
      <c r="J2046" s="361" t="s">
        <v>5597</v>
      </c>
      <c r="K2046" s="356"/>
      <c r="L2046" s="419"/>
      <c r="M2046" s="334">
        <v>549</v>
      </c>
      <c r="N2046" s="362">
        <f t="shared" si="67"/>
        <v>549</v>
      </c>
      <c r="O2046" s="356"/>
      <c r="P2046" s="356"/>
      <c r="Q2046" s="356"/>
      <c r="R2046" s="356"/>
      <c r="S2046" s="356"/>
      <c r="T2046" s="356"/>
      <c r="U2046" s="372"/>
      <c r="V2046" s="372"/>
      <c r="W2046" s="372"/>
      <c r="X2046" s="373"/>
      <c r="Y2046" s="348"/>
      <c r="Z2046" s="348"/>
      <c r="AA2046" s="348"/>
    </row>
    <row r="2047" s="331" customFormat="1" ht="17" customHeight="1" spans="1:27">
      <c r="A2047" s="348"/>
      <c r="B2047" s="348" t="s">
        <v>123</v>
      </c>
      <c r="C2047" s="348" t="s">
        <v>124</v>
      </c>
      <c r="D2047" s="349" t="s">
        <v>125</v>
      </c>
      <c r="E2047" s="336">
        <v>43662</v>
      </c>
      <c r="F2047" s="336" t="s">
        <v>800</v>
      </c>
      <c r="G2047" s="336">
        <v>43647</v>
      </c>
      <c r="H2047" s="334" t="s">
        <v>4203</v>
      </c>
      <c r="I2047" s="356">
        <v>13701814753</v>
      </c>
      <c r="J2047" s="361" t="s">
        <v>5598</v>
      </c>
      <c r="K2047" s="356"/>
      <c r="L2047" s="419"/>
      <c r="M2047" s="334">
        <v>2176</v>
      </c>
      <c r="N2047" s="362">
        <f t="shared" si="67"/>
        <v>2176</v>
      </c>
      <c r="O2047" s="356"/>
      <c r="P2047" s="356"/>
      <c r="Q2047" s="356"/>
      <c r="R2047" s="356"/>
      <c r="S2047" s="356"/>
      <c r="T2047" s="356"/>
      <c r="U2047" s="372"/>
      <c r="V2047" s="372"/>
      <c r="W2047" s="372"/>
      <c r="X2047" s="373"/>
      <c r="Y2047" s="348"/>
      <c r="Z2047" s="348"/>
      <c r="AA2047" s="348"/>
    </row>
    <row r="2048" s="331" customFormat="1" ht="17" customHeight="1" spans="1:27">
      <c r="A2048" s="348"/>
      <c r="B2048" s="348" t="s">
        <v>58</v>
      </c>
      <c r="C2048" s="334" t="s">
        <v>59</v>
      </c>
      <c r="D2048" s="349" t="s">
        <v>343</v>
      </c>
      <c r="E2048" s="336">
        <v>43662</v>
      </c>
      <c r="F2048" s="336" t="s">
        <v>800</v>
      </c>
      <c r="G2048" s="336">
        <v>43658</v>
      </c>
      <c r="H2048" s="334" t="s">
        <v>5599</v>
      </c>
      <c r="I2048" s="356" t="s">
        <v>5600</v>
      </c>
      <c r="J2048" s="361" t="s">
        <v>5601</v>
      </c>
      <c r="K2048" s="356"/>
      <c r="L2048" s="419"/>
      <c r="M2048" s="334">
        <v>6341</v>
      </c>
      <c r="N2048" s="362">
        <f t="shared" si="67"/>
        <v>6341</v>
      </c>
      <c r="O2048" s="356"/>
      <c r="P2048" s="356"/>
      <c r="Q2048" s="356"/>
      <c r="R2048" s="356"/>
      <c r="S2048" s="356"/>
      <c r="T2048" s="356"/>
      <c r="U2048" s="372"/>
      <c r="V2048" s="372"/>
      <c r="W2048" s="372"/>
      <c r="X2048" s="373"/>
      <c r="Y2048" s="348"/>
      <c r="Z2048" s="348"/>
      <c r="AA2048" s="348"/>
    </row>
    <row r="2049" s="331" customFormat="1" ht="17" customHeight="1" spans="1:27">
      <c r="A2049" s="348"/>
      <c r="B2049" s="348" t="s">
        <v>153</v>
      </c>
      <c r="C2049" s="334" t="s">
        <v>154</v>
      </c>
      <c r="D2049" s="349" t="s">
        <v>155</v>
      </c>
      <c r="E2049" s="336">
        <v>43662</v>
      </c>
      <c r="F2049" s="336" t="s">
        <v>800</v>
      </c>
      <c r="G2049" s="336">
        <v>43661</v>
      </c>
      <c r="H2049" s="334" t="s">
        <v>5602</v>
      </c>
      <c r="I2049" s="356">
        <v>15317931775</v>
      </c>
      <c r="J2049" s="361" t="s">
        <v>5603</v>
      </c>
      <c r="K2049" s="356"/>
      <c r="L2049" s="419"/>
      <c r="M2049" s="334">
        <v>800</v>
      </c>
      <c r="N2049" s="362">
        <f t="shared" si="67"/>
        <v>800</v>
      </c>
      <c r="O2049" s="356"/>
      <c r="P2049" s="356"/>
      <c r="Q2049" s="356"/>
      <c r="R2049" s="356"/>
      <c r="S2049" s="356"/>
      <c r="T2049" s="356"/>
      <c r="U2049" s="372"/>
      <c r="V2049" s="372"/>
      <c r="W2049" s="372"/>
      <c r="X2049" s="373"/>
      <c r="Y2049" s="348"/>
      <c r="Z2049" s="348"/>
      <c r="AA2049" s="348"/>
    </row>
    <row r="2050" s="331" customFormat="1" ht="17" customHeight="1" spans="1:27">
      <c r="A2050" s="348"/>
      <c r="B2050" s="348" t="s">
        <v>58</v>
      </c>
      <c r="C2050" s="334" t="s">
        <v>794</v>
      </c>
      <c r="D2050" s="349" t="s">
        <v>110</v>
      </c>
      <c r="E2050" s="336">
        <v>43662</v>
      </c>
      <c r="F2050" s="336" t="s">
        <v>800</v>
      </c>
      <c r="G2050" s="336">
        <v>43658</v>
      </c>
      <c r="H2050" s="334" t="s">
        <v>5604</v>
      </c>
      <c r="I2050" s="356">
        <v>13817831186</v>
      </c>
      <c r="J2050" s="361" t="s">
        <v>5605</v>
      </c>
      <c r="K2050" s="356"/>
      <c r="L2050" s="419"/>
      <c r="M2050" s="334">
        <v>1989</v>
      </c>
      <c r="N2050" s="362">
        <f t="shared" si="67"/>
        <v>1989</v>
      </c>
      <c r="O2050" s="356"/>
      <c r="P2050" s="356"/>
      <c r="Q2050" s="356"/>
      <c r="R2050" s="356"/>
      <c r="S2050" s="356"/>
      <c r="T2050" s="356"/>
      <c r="U2050" s="372"/>
      <c r="V2050" s="372"/>
      <c r="W2050" s="372"/>
      <c r="X2050" s="373"/>
      <c r="Y2050" s="348"/>
      <c r="Z2050" s="348"/>
      <c r="AA2050" s="348"/>
    </row>
    <row r="2051" s="331" customFormat="1" ht="17" customHeight="1" spans="1:27">
      <c r="A2051" s="348"/>
      <c r="B2051" s="348" t="s">
        <v>87</v>
      </c>
      <c r="C2051" s="334" t="s">
        <v>466</v>
      </c>
      <c r="D2051" s="349" t="s">
        <v>1170</v>
      </c>
      <c r="E2051" s="336">
        <v>43662</v>
      </c>
      <c r="F2051" s="336" t="s">
        <v>800</v>
      </c>
      <c r="G2051" s="336">
        <v>43662</v>
      </c>
      <c r="H2051" s="334" t="s">
        <v>5606</v>
      </c>
      <c r="I2051" s="356">
        <v>18017311099</v>
      </c>
      <c r="J2051" s="361" t="s">
        <v>5607</v>
      </c>
      <c r="K2051" s="356"/>
      <c r="L2051" s="419"/>
      <c r="M2051" s="334">
        <v>866</v>
      </c>
      <c r="N2051" s="362">
        <f t="shared" ref="N2051:N2058" si="68">L2051+M2051</f>
        <v>866</v>
      </c>
      <c r="O2051" s="356"/>
      <c r="P2051" s="356"/>
      <c r="Q2051" s="356"/>
      <c r="R2051" s="356"/>
      <c r="S2051" s="356"/>
      <c r="T2051" s="356"/>
      <c r="U2051" s="372"/>
      <c r="V2051" s="372"/>
      <c r="W2051" s="372"/>
      <c r="X2051" s="373"/>
      <c r="Y2051" s="348"/>
      <c r="Z2051" s="348"/>
      <c r="AA2051" s="348"/>
    </row>
    <row r="2052" s="331" customFormat="1" ht="17" customHeight="1" spans="1:27">
      <c r="A2052" s="348"/>
      <c r="B2052" s="348" t="s">
        <v>354</v>
      </c>
      <c r="C2052" s="348" t="s">
        <v>355</v>
      </c>
      <c r="D2052" s="349" t="s">
        <v>356</v>
      </c>
      <c r="E2052" s="336">
        <v>43662</v>
      </c>
      <c r="F2052" s="336" t="s">
        <v>800</v>
      </c>
      <c r="G2052" s="336">
        <v>43662</v>
      </c>
      <c r="H2052" s="334" t="s">
        <v>5608</v>
      </c>
      <c r="I2052" s="356">
        <v>17717577737</v>
      </c>
      <c r="J2052" s="361" t="s">
        <v>5609</v>
      </c>
      <c r="K2052" s="356"/>
      <c r="L2052" s="419"/>
      <c r="M2052" s="334">
        <v>-8000</v>
      </c>
      <c r="N2052" s="362">
        <f t="shared" si="68"/>
        <v>-8000</v>
      </c>
      <c r="O2052" s="356"/>
      <c r="P2052" s="356"/>
      <c r="Q2052" s="356"/>
      <c r="R2052" s="356"/>
      <c r="S2052" s="356"/>
      <c r="T2052" s="356"/>
      <c r="U2052" s="367" t="s">
        <v>5517</v>
      </c>
      <c r="V2052" s="372"/>
      <c r="W2052" s="372"/>
      <c r="X2052" s="373"/>
      <c r="Y2052" s="348"/>
      <c r="Z2052" s="348"/>
      <c r="AA2052" s="348"/>
    </row>
    <row r="2053" s="331" customFormat="1" ht="17" customHeight="1" spans="1:27">
      <c r="A2053" s="348"/>
      <c r="B2053" s="348" t="s">
        <v>315</v>
      </c>
      <c r="C2053" s="348" t="s">
        <v>366</v>
      </c>
      <c r="D2053" s="349" t="s">
        <v>132</v>
      </c>
      <c r="E2053" s="336">
        <v>43663</v>
      </c>
      <c r="F2053" s="336" t="s">
        <v>800</v>
      </c>
      <c r="G2053" s="336">
        <v>43659</v>
      </c>
      <c r="H2053" s="334" t="s">
        <v>5610</v>
      </c>
      <c r="I2053" s="356">
        <v>15121018164</v>
      </c>
      <c r="J2053" s="361" t="s">
        <v>5611</v>
      </c>
      <c r="K2053" s="356"/>
      <c r="L2053" s="419"/>
      <c r="M2053" s="356">
        <f>1699-6054</f>
        <v>-4355</v>
      </c>
      <c r="N2053" s="362">
        <f t="shared" si="68"/>
        <v>-4355</v>
      </c>
      <c r="O2053" s="356"/>
      <c r="P2053" s="356"/>
      <c r="Q2053" s="356"/>
      <c r="R2053" s="356"/>
      <c r="S2053" s="356"/>
      <c r="T2053" s="356"/>
      <c r="U2053" s="372"/>
      <c r="V2053" s="372"/>
      <c r="W2053" s="372"/>
      <c r="X2053" s="373"/>
      <c r="Y2053" s="348"/>
      <c r="Z2053" s="348"/>
      <c r="AA2053" s="348"/>
    </row>
    <row r="2054" s="331" customFormat="1" ht="17" customHeight="1" spans="1:27">
      <c r="A2054" s="348"/>
      <c r="B2054" s="348" t="s">
        <v>153</v>
      </c>
      <c r="C2054" s="334" t="s">
        <v>302</v>
      </c>
      <c r="D2054" s="349" t="s">
        <v>155</v>
      </c>
      <c r="E2054" s="336">
        <v>43663</v>
      </c>
      <c r="F2054" s="336" t="s">
        <v>800</v>
      </c>
      <c r="G2054" s="336">
        <v>43661</v>
      </c>
      <c r="H2054" s="269" t="s">
        <v>5612</v>
      </c>
      <c r="I2054" s="356">
        <v>13801983848</v>
      </c>
      <c r="J2054" s="361" t="s">
        <v>5613</v>
      </c>
      <c r="K2054" s="356"/>
      <c r="L2054" s="419"/>
      <c r="M2054" s="334">
        <v>5355</v>
      </c>
      <c r="N2054" s="362">
        <f t="shared" si="68"/>
        <v>5355</v>
      </c>
      <c r="O2054" s="356"/>
      <c r="P2054" s="356"/>
      <c r="Q2054" s="356"/>
      <c r="R2054" s="356"/>
      <c r="S2054" s="356"/>
      <c r="T2054" s="356"/>
      <c r="U2054" s="372"/>
      <c r="V2054" s="372"/>
      <c r="W2054" s="372"/>
      <c r="X2054" s="373"/>
      <c r="Y2054" s="348"/>
      <c r="Z2054" s="348"/>
      <c r="AA2054" s="348"/>
    </row>
    <row r="2055" s="331" customFormat="1" ht="17" customHeight="1" spans="1:27">
      <c r="A2055" s="348"/>
      <c r="B2055" s="348" t="s">
        <v>169</v>
      </c>
      <c r="C2055" s="334" t="s">
        <v>542</v>
      </c>
      <c r="D2055" s="349" t="s">
        <v>171</v>
      </c>
      <c r="E2055" s="336">
        <v>43663</v>
      </c>
      <c r="F2055" s="336" t="s">
        <v>800</v>
      </c>
      <c r="G2055" s="336">
        <v>43663</v>
      </c>
      <c r="H2055" s="334" t="s">
        <v>5614</v>
      </c>
      <c r="I2055" s="356">
        <v>18616027463</v>
      </c>
      <c r="J2055" s="361" t="s">
        <v>5615</v>
      </c>
      <c r="K2055" s="356"/>
      <c r="L2055" s="419"/>
      <c r="M2055" s="334">
        <v>938</v>
      </c>
      <c r="N2055" s="362">
        <f t="shared" si="68"/>
        <v>938</v>
      </c>
      <c r="O2055" s="356"/>
      <c r="P2055" s="356"/>
      <c r="Q2055" s="356"/>
      <c r="R2055" s="356"/>
      <c r="S2055" s="356"/>
      <c r="T2055" s="356"/>
      <c r="U2055" s="372"/>
      <c r="V2055" s="372"/>
      <c r="W2055" s="372"/>
      <c r="X2055" s="373"/>
      <c r="Y2055" s="348"/>
      <c r="Z2055" s="348"/>
      <c r="AA2055" s="348"/>
    </row>
    <row r="2056" s="331" customFormat="1" ht="17" customHeight="1" spans="1:27">
      <c r="A2056" s="348"/>
      <c r="B2056" s="348" t="s">
        <v>31</v>
      </c>
      <c r="C2056" s="334" t="s">
        <v>220</v>
      </c>
      <c r="D2056" s="349" t="s">
        <v>162</v>
      </c>
      <c r="E2056" s="336">
        <v>43663</v>
      </c>
      <c r="F2056" s="336" t="s">
        <v>800</v>
      </c>
      <c r="G2056" s="336">
        <v>43663</v>
      </c>
      <c r="H2056" s="334" t="s">
        <v>5616</v>
      </c>
      <c r="I2056" s="356">
        <v>13611848880</v>
      </c>
      <c r="J2056" s="361" t="s">
        <v>5617</v>
      </c>
      <c r="K2056" s="356"/>
      <c r="L2056" s="419"/>
      <c r="M2056" s="334">
        <v>264</v>
      </c>
      <c r="N2056" s="362">
        <f t="shared" si="68"/>
        <v>264</v>
      </c>
      <c r="O2056" s="356"/>
      <c r="P2056" s="356"/>
      <c r="Q2056" s="356"/>
      <c r="R2056" s="356"/>
      <c r="S2056" s="356"/>
      <c r="T2056" s="356"/>
      <c r="U2056" s="372"/>
      <c r="V2056" s="372"/>
      <c r="W2056" s="372"/>
      <c r="X2056" s="373"/>
      <c r="Y2056" s="348"/>
      <c r="Z2056" s="348"/>
      <c r="AA2056" s="348"/>
    </row>
    <row r="2057" s="331" customFormat="1" ht="17" customHeight="1" spans="1:27">
      <c r="A2057" s="348"/>
      <c r="B2057" s="348" t="s">
        <v>31</v>
      </c>
      <c r="C2057" s="334" t="s">
        <v>220</v>
      </c>
      <c r="D2057" s="349" t="s">
        <v>162</v>
      </c>
      <c r="E2057" s="336">
        <v>43663</v>
      </c>
      <c r="F2057" s="336" t="s">
        <v>800</v>
      </c>
      <c r="G2057" s="336">
        <v>43662</v>
      </c>
      <c r="H2057" s="334" t="s">
        <v>5618</v>
      </c>
      <c r="I2057" s="356">
        <v>13918519682</v>
      </c>
      <c r="J2057" s="361" t="s">
        <v>5619</v>
      </c>
      <c r="K2057" s="356"/>
      <c r="L2057" s="419"/>
      <c r="M2057" s="334">
        <v>527</v>
      </c>
      <c r="N2057" s="362">
        <f t="shared" si="68"/>
        <v>527</v>
      </c>
      <c r="O2057" s="356"/>
      <c r="P2057" s="356"/>
      <c r="Q2057" s="356"/>
      <c r="R2057" s="356"/>
      <c r="S2057" s="356"/>
      <c r="T2057" s="356"/>
      <c r="U2057" s="372"/>
      <c r="V2057" s="372"/>
      <c r="W2057" s="372"/>
      <c r="X2057" s="373"/>
      <c r="Y2057" s="348"/>
      <c r="Z2057" s="348"/>
      <c r="AA2057" s="348"/>
    </row>
    <row r="2058" s="331" customFormat="1" ht="17" customHeight="1" spans="1:27">
      <c r="A2058" s="348"/>
      <c r="B2058" s="348" t="s">
        <v>58</v>
      </c>
      <c r="C2058" s="334" t="s">
        <v>794</v>
      </c>
      <c r="D2058" s="349" t="s">
        <v>110</v>
      </c>
      <c r="E2058" s="336">
        <v>43663</v>
      </c>
      <c r="F2058" s="336" t="s">
        <v>800</v>
      </c>
      <c r="G2058" s="336">
        <v>43662</v>
      </c>
      <c r="H2058" s="334" t="s">
        <v>5620</v>
      </c>
      <c r="I2058" s="356">
        <v>13817533648</v>
      </c>
      <c r="J2058" s="361" t="s">
        <v>5621</v>
      </c>
      <c r="K2058" s="356"/>
      <c r="L2058" s="419"/>
      <c r="M2058" s="334">
        <f>8049+1072</f>
        <v>9121</v>
      </c>
      <c r="N2058" s="362">
        <f t="shared" si="68"/>
        <v>9121</v>
      </c>
      <c r="O2058" s="356"/>
      <c r="P2058" s="356"/>
      <c r="Q2058" s="356"/>
      <c r="R2058" s="356"/>
      <c r="S2058" s="356"/>
      <c r="T2058" s="356"/>
      <c r="U2058" s="372"/>
      <c r="V2058" s="372"/>
      <c r="W2058" s="372"/>
      <c r="X2058" s="373"/>
      <c r="Y2058" s="348"/>
      <c r="Z2058" s="348"/>
      <c r="AA2058" s="348"/>
    </row>
    <row r="2059" s="331" customFormat="1" ht="17" customHeight="1" spans="1:27">
      <c r="A2059" s="348"/>
      <c r="B2059" s="348" t="s">
        <v>137</v>
      </c>
      <c r="C2059" s="334" t="s">
        <v>406</v>
      </c>
      <c r="D2059" s="349" t="s">
        <v>139</v>
      </c>
      <c r="E2059" s="336">
        <v>43663</v>
      </c>
      <c r="F2059" s="336" t="s">
        <v>800</v>
      </c>
      <c r="G2059" s="336">
        <v>43663</v>
      </c>
      <c r="H2059" s="334" t="s">
        <v>5622</v>
      </c>
      <c r="I2059" s="356" t="s">
        <v>5623</v>
      </c>
      <c r="J2059" s="361" t="s">
        <v>5624</v>
      </c>
      <c r="K2059" s="356"/>
      <c r="L2059" s="419"/>
      <c r="M2059" s="334">
        <v>2119</v>
      </c>
      <c r="N2059" s="362">
        <f t="shared" ref="N2059:N2064" si="69">L2059+M2059</f>
        <v>2119</v>
      </c>
      <c r="O2059" s="356"/>
      <c r="P2059" s="356"/>
      <c r="Q2059" s="356"/>
      <c r="R2059" s="356"/>
      <c r="S2059" s="356"/>
      <c r="T2059" s="356"/>
      <c r="U2059" s="372"/>
      <c r="V2059" s="372"/>
      <c r="W2059" s="372"/>
      <c r="X2059" s="373"/>
      <c r="Y2059" s="348"/>
      <c r="Z2059" s="348"/>
      <c r="AA2059" s="348"/>
    </row>
    <row r="2060" s="331" customFormat="1" ht="17" customHeight="1" spans="1:27">
      <c r="A2060" s="348"/>
      <c r="B2060" s="348" t="s">
        <v>66</v>
      </c>
      <c r="C2060" s="334" t="s">
        <v>67</v>
      </c>
      <c r="D2060" s="349" t="s">
        <v>125</v>
      </c>
      <c r="E2060" s="336">
        <v>43663</v>
      </c>
      <c r="F2060" s="336" t="s">
        <v>800</v>
      </c>
      <c r="G2060" s="336">
        <v>43663</v>
      </c>
      <c r="H2060" s="334" t="s">
        <v>5625</v>
      </c>
      <c r="I2060" s="356">
        <v>13585993053</v>
      </c>
      <c r="J2060" s="361" t="s">
        <v>5626</v>
      </c>
      <c r="K2060" s="356"/>
      <c r="L2060" s="419"/>
      <c r="M2060" s="334">
        <v>237</v>
      </c>
      <c r="N2060" s="362">
        <f t="shared" si="69"/>
        <v>237</v>
      </c>
      <c r="O2060" s="356"/>
      <c r="P2060" s="356"/>
      <c r="Q2060" s="356"/>
      <c r="R2060" s="356"/>
      <c r="S2060" s="356"/>
      <c r="T2060" s="356"/>
      <c r="U2060" s="372"/>
      <c r="V2060" s="372"/>
      <c r="W2060" s="372"/>
      <c r="X2060" s="373"/>
      <c r="Y2060" s="348"/>
      <c r="Z2060" s="348"/>
      <c r="AA2060" s="348"/>
    </row>
    <row r="2061" s="331" customFormat="1" ht="17" customHeight="1" spans="1:27">
      <c r="A2061" s="348"/>
      <c r="B2061" s="348" t="s">
        <v>354</v>
      </c>
      <c r="C2061" s="348" t="s">
        <v>355</v>
      </c>
      <c r="D2061" s="349" t="s">
        <v>356</v>
      </c>
      <c r="E2061" s="336">
        <v>43663</v>
      </c>
      <c r="F2061" s="336" t="s">
        <v>800</v>
      </c>
      <c r="G2061" s="336">
        <v>43663</v>
      </c>
      <c r="H2061" s="334" t="s">
        <v>5627</v>
      </c>
      <c r="I2061" s="356">
        <v>18721082907</v>
      </c>
      <c r="J2061" s="361" t="s">
        <v>5628</v>
      </c>
      <c r="K2061" s="356"/>
      <c r="L2061" s="419"/>
      <c r="M2061" s="334">
        <v>4628</v>
      </c>
      <c r="N2061" s="362">
        <f t="shared" si="69"/>
        <v>4628</v>
      </c>
      <c r="O2061" s="356"/>
      <c r="P2061" s="356"/>
      <c r="Q2061" s="356"/>
      <c r="R2061" s="356"/>
      <c r="S2061" s="356"/>
      <c r="T2061" s="356"/>
      <c r="U2061" s="372"/>
      <c r="V2061" s="372"/>
      <c r="W2061" s="372"/>
      <c r="X2061" s="373"/>
      <c r="Y2061" s="348"/>
      <c r="Z2061" s="348"/>
      <c r="AA2061" s="348"/>
    </row>
    <row r="2062" s="331" customFormat="1" ht="17" customHeight="1" spans="1:27">
      <c r="A2062" s="348"/>
      <c r="B2062" s="348" t="s">
        <v>147</v>
      </c>
      <c r="C2062" s="348" t="s">
        <v>148</v>
      </c>
      <c r="D2062" s="349" t="s">
        <v>33</v>
      </c>
      <c r="E2062" s="336">
        <v>43664</v>
      </c>
      <c r="F2062" s="336" t="s">
        <v>800</v>
      </c>
      <c r="G2062" s="336">
        <v>43663</v>
      </c>
      <c r="H2062" s="334" t="s">
        <v>5629</v>
      </c>
      <c r="I2062" s="356">
        <v>13774251929</v>
      </c>
      <c r="J2062" s="361" t="s">
        <v>5630</v>
      </c>
      <c r="K2062" s="356"/>
      <c r="L2062" s="419"/>
      <c r="M2062" s="334">
        <v>1711</v>
      </c>
      <c r="N2062" s="362">
        <f t="shared" si="69"/>
        <v>1711</v>
      </c>
      <c r="O2062" s="356"/>
      <c r="P2062" s="356"/>
      <c r="Q2062" s="356"/>
      <c r="R2062" s="356"/>
      <c r="S2062" s="356"/>
      <c r="T2062" s="356"/>
      <c r="U2062" s="372"/>
      <c r="V2062" s="372"/>
      <c r="W2062" s="372"/>
      <c r="X2062" s="373"/>
      <c r="Y2062" s="348"/>
      <c r="Z2062" s="348"/>
      <c r="AA2062" s="348"/>
    </row>
    <row r="2063" s="331" customFormat="1" ht="17" customHeight="1" spans="1:27">
      <c r="A2063" s="348"/>
      <c r="B2063" s="348" t="s">
        <v>185</v>
      </c>
      <c r="C2063" s="348" t="s">
        <v>886</v>
      </c>
      <c r="D2063" s="349" t="s">
        <v>187</v>
      </c>
      <c r="E2063" s="336">
        <v>43664</v>
      </c>
      <c r="F2063" s="336" t="s">
        <v>800</v>
      </c>
      <c r="G2063" s="336">
        <v>43663</v>
      </c>
      <c r="H2063" s="334" t="s">
        <v>5631</v>
      </c>
      <c r="I2063" s="356">
        <v>13122420310</v>
      </c>
      <c r="J2063" s="361" t="s">
        <v>5632</v>
      </c>
      <c r="K2063" s="356"/>
      <c r="L2063" s="419"/>
      <c r="M2063" s="334">
        <v>120</v>
      </c>
      <c r="N2063" s="362">
        <f t="shared" si="69"/>
        <v>120</v>
      </c>
      <c r="O2063" s="356"/>
      <c r="P2063" s="356"/>
      <c r="Q2063" s="356"/>
      <c r="R2063" s="356"/>
      <c r="S2063" s="356"/>
      <c r="T2063" s="356"/>
      <c r="U2063" s="372"/>
      <c r="V2063" s="372"/>
      <c r="W2063" s="372"/>
      <c r="X2063" s="373"/>
      <c r="Y2063" s="348"/>
      <c r="Z2063" s="348"/>
      <c r="AA2063" s="348"/>
    </row>
    <row r="2064" s="331" customFormat="1" ht="17" customHeight="1" spans="1:27">
      <c r="A2064" s="348"/>
      <c r="B2064" s="348" t="s">
        <v>147</v>
      </c>
      <c r="C2064" s="334" t="s">
        <v>148</v>
      </c>
      <c r="D2064" s="349" t="s">
        <v>162</v>
      </c>
      <c r="E2064" s="336">
        <v>43664</v>
      </c>
      <c r="F2064" s="336" t="s">
        <v>800</v>
      </c>
      <c r="G2064" s="336">
        <v>43664</v>
      </c>
      <c r="H2064" s="334" t="s">
        <v>5633</v>
      </c>
      <c r="I2064" s="356">
        <v>18521353018</v>
      </c>
      <c r="J2064" s="361" t="s">
        <v>5634</v>
      </c>
      <c r="K2064" s="356"/>
      <c r="L2064" s="419"/>
      <c r="M2064" s="334">
        <v>120</v>
      </c>
      <c r="N2064" s="362">
        <f t="shared" si="69"/>
        <v>120</v>
      </c>
      <c r="O2064" s="356"/>
      <c r="P2064" s="356"/>
      <c r="Q2064" s="356"/>
      <c r="R2064" s="356"/>
      <c r="S2064" s="356"/>
      <c r="T2064" s="356"/>
      <c r="U2064" s="372"/>
      <c r="V2064" s="372"/>
      <c r="W2064" s="372"/>
      <c r="X2064" s="373"/>
      <c r="Y2064" s="348"/>
      <c r="Z2064" s="348"/>
      <c r="AA2064" s="348"/>
    </row>
    <row r="2065" s="331" customFormat="1" ht="17" customHeight="1" spans="1:27">
      <c r="A2065" s="348"/>
      <c r="B2065" s="348" t="s">
        <v>123</v>
      </c>
      <c r="C2065" s="334" t="s">
        <v>124</v>
      </c>
      <c r="D2065" s="349" t="s">
        <v>125</v>
      </c>
      <c r="E2065" s="336">
        <v>43664</v>
      </c>
      <c r="F2065" s="336" t="s">
        <v>800</v>
      </c>
      <c r="G2065" s="336">
        <v>43664</v>
      </c>
      <c r="H2065" s="334" t="s">
        <v>5635</v>
      </c>
      <c r="I2065" s="356">
        <v>16602117856</v>
      </c>
      <c r="J2065" s="361" t="s">
        <v>5636</v>
      </c>
      <c r="K2065" s="356"/>
      <c r="L2065" s="419"/>
      <c r="M2065" s="334">
        <v>200</v>
      </c>
      <c r="N2065" s="362">
        <f t="shared" ref="N2065:N2079" si="70">L2065+M2065</f>
        <v>200</v>
      </c>
      <c r="O2065" s="356"/>
      <c r="P2065" s="356"/>
      <c r="Q2065" s="356"/>
      <c r="R2065" s="356"/>
      <c r="S2065" s="356"/>
      <c r="T2065" s="356"/>
      <c r="U2065" s="372"/>
      <c r="V2065" s="372"/>
      <c r="W2065" s="372"/>
      <c r="X2065" s="373"/>
      <c r="Y2065" s="348"/>
      <c r="Z2065" s="348"/>
      <c r="AA2065" s="348"/>
    </row>
    <row r="2066" s="331" customFormat="1" ht="17" customHeight="1" spans="1:27">
      <c r="A2066" s="348"/>
      <c r="B2066" s="348" t="s">
        <v>73</v>
      </c>
      <c r="C2066" s="334" t="s">
        <v>74</v>
      </c>
      <c r="D2066" s="349" t="s">
        <v>717</v>
      </c>
      <c r="E2066" s="336">
        <v>43664</v>
      </c>
      <c r="F2066" s="336" t="s">
        <v>800</v>
      </c>
      <c r="G2066" s="336">
        <v>43664</v>
      </c>
      <c r="H2066" s="334" t="s">
        <v>5637</v>
      </c>
      <c r="I2066" s="356">
        <v>13564287170</v>
      </c>
      <c r="J2066" s="361" t="s">
        <v>5638</v>
      </c>
      <c r="K2066" s="356"/>
      <c r="L2066" s="419"/>
      <c r="M2066" s="334">
        <v>1016</v>
      </c>
      <c r="N2066" s="362">
        <f t="shared" si="70"/>
        <v>1016</v>
      </c>
      <c r="O2066" s="356"/>
      <c r="P2066" s="356"/>
      <c r="Q2066" s="356"/>
      <c r="R2066" s="356"/>
      <c r="S2066" s="356"/>
      <c r="T2066" s="356"/>
      <c r="U2066" s="372"/>
      <c r="V2066" s="372"/>
      <c r="W2066" s="372"/>
      <c r="X2066" s="373"/>
      <c r="Y2066" s="348"/>
      <c r="Z2066" s="348"/>
      <c r="AA2066" s="348"/>
    </row>
    <row r="2067" s="331" customFormat="1" ht="17" customHeight="1" spans="1:27">
      <c r="A2067" s="348"/>
      <c r="B2067" s="348" t="s">
        <v>335</v>
      </c>
      <c r="C2067" s="334" t="s">
        <v>399</v>
      </c>
      <c r="D2067" s="349" t="s">
        <v>337</v>
      </c>
      <c r="E2067" s="336">
        <v>43664</v>
      </c>
      <c r="F2067" s="336" t="s">
        <v>800</v>
      </c>
      <c r="G2067" s="336">
        <v>43663</v>
      </c>
      <c r="H2067" s="334" t="s">
        <v>5639</v>
      </c>
      <c r="I2067" s="356">
        <v>18101848768</v>
      </c>
      <c r="J2067" s="361" t="s">
        <v>5640</v>
      </c>
      <c r="K2067" s="356"/>
      <c r="L2067" s="419"/>
      <c r="M2067" s="334">
        <v>1607</v>
      </c>
      <c r="N2067" s="362">
        <f t="shared" si="70"/>
        <v>1607</v>
      </c>
      <c r="O2067" s="356"/>
      <c r="P2067" s="356"/>
      <c r="Q2067" s="356"/>
      <c r="R2067" s="356"/>
      <c r="S2067" s="356"/>
      <c r="T2067" s="356"/>
      <c r="U2067" s="372"/>
      <c r="V2067" s="372"/>
      <c r="W2067" s="372"/>
      <c r="X2067" s="373"/>
      <c r="Y2067" s="348"/>
      <c r="Z2067" s="348"/>
      <c r="AA2067" s="348"/>
    </row>
    <row r="2068" s="331" customFormat="1" ht="17" customHeight="1" spans="1:27">
      <c r="A2068" s="348"/>
      <c r="B2068" s="348" t="s">
        <v>315</v>
      </c>
      <c r="C2068" s="348" t="s">
        <v>181</v>
      </c>
      <c r="D2068" s="349" t="s">
        <v>132</v>
      </c>
      <c r="E2068" s="336">
        <v>43665</v>
      </c>
      <c r="F2068" s="336" t="s">
        <v>800</v>
      </c>
      <c r="G2068" s="336">
        <v>43665</v>
      </c>
      <c r="H2068" s="334" t="s">
        <v>2219</v>
      </c>
      <c r="I2068" s="356">
        <v>13901820879</v>
      </c>
      <c r="J2068" s="361" t="s">
        <v>5641</v>
      </c>
      <c r="K2068" s="356"/>
      <c r="L2068" s="419"/>
      <c r="M2068" s="334">
        <v>-2784</v>
      </c>
      <c r="N2068" s="362">
        <f t="shared" si="70"/>
        <v>-2784</v>
      </c>
      <c r="O2068" s="356"/>
      <c r="P2068" s="356"/>
      <c r="Q2068" s="356"/>
      <c r="R2068" s="356"/>
      <c r="S2068" s="356"/>
      <c r="T2068" s="356"/>
      <c r="U2068" s="372"/>
      <c r="V2068" s="372"/>
      <c r="W2068" s="372"/>
      <c r="X2068" s="373"/>
      <c r="Y2068" s="348"/>
      <c r="Z2068" s="348"/>
      <c r="AA2068" s="348"/>
    </row>
    <row r="2069" s="331" customFormat="1" ht="17" customHeight="1" spans="1:27">
      <c r="A2069" s="348"/>
      <c r="B2069" s="348" t="s">
        <v>66</v>
      </c>
      <c r="C2069" s="334" t="s">
        <v>119</v>
      </c>
      <c r="D2069" s="349" t="s">
        <v>68</v>
      </c>
      <c r="E2069" s="336">
        <v>43665</v>
      </c>
      <c r="F2069" s="336"/>
      <c r="G2069" s="336">
        <v>43647</v>
      </c>
      <c r="H2069" s="334" t="s">
        <v>5642</v>
      </c>
      <c r="I2069" s="356">
        <v>18601662233</v>
      </c>
      <c r="J2069" s="361" t="s">
        <v>5643</v>
      </c>
      <c r="K2069" s="356"/>
      <c r="L2069" s="334">
        <f>8939+14061</f>
        <v>23000</v>
      </c>
      <c r="M2069" s="334"/>
      <c r="N2069" s="362">
        <f t="shared" si="70"/>
        <v>23000</v>
      </c>
      <c r="O2069" s="356"/>
      <c r="P2069" s="356"/>
      <c r="Q2069" s="356"/>
      <c r="R2069" s="356"/>
      <c r="S2069" s="356"/>
      <c r="T2069" s="356"/>
      <c r="U2069" s="372"/>
      <c r="V2069" s="372"/>
      <c r="W2069" s="372"/>
      <c r="X2069" s="373"/>
      <c r="Y2069" s="348"/>
      <c r="Z2069" s="348"/>
      <c r="AA2069" s="348"/>
    </row>
    <row r="2070" s="331" customFormat="1" ht="17" customHeight="1" spans="1:27">
      <c r="A2070" s="348"/>
      <c r="B2070" s="348" t="s">
        <v>137</v>
      </c>
      <c r="C2070" s="334" t="s">
        <v>406</v>
      </c>
      <c r="D2070" s="349" t="s">
        <v>427</v>
      </c>
      <c r="E2070" s="336">
        <v>43665</v>
      </c>
      <c r="F2070" s="336" t="s">
        <v>800</v>
      </c>
      <c r="G2070" s="336">
        <v>43665</v>
      </c>
      <c r="H2070" s="334" t="s">
        <v>5644</v>
      </c>
      <c r="I2070" s="356">
        <v>13817905643</v>
      </c>
      <c r="J2070" s="361" t="s">
        <v>5645</v>
      </c>
      <c r="K2070" s="356"/>
      <c r="L2070" s="419"/>
      <c r="M2070" s="334">
        <v>7233</v>
      </c>
      <c r="N2070" s="362">
        <f t="shared" si="70"/>
        <v>7233</v>
      </c>
      <c r="O2070" s="356"/>
      <c r="P2070" s="356"/>
      <c r="Q2070" s="356"/>
      <c r="R2070" s="356"/>
      <c r="S2070" s="356"/>
      <c r="T2070" s="356"/>
      <c r="U2070" s="372"/>
      <c r="V2070" s="372"/>
      <c r="W2070" s="372"/>
      <c r="X2070" s="373"/>
      <c r="Y2070" s="348"/>
      <c r="Z2070" s="348"/>
      <c r="AA2070" s="348"/>
    </row>
    <row r="2071" s="331" customFormat="1" ht="17" customHeight="1" spans="1:27">
      <c r="A2071" s="348"/>
      <c r="B2071" s="348" t="s">
        <v>137</v>
      </c>
      <c r="C2071" s="334" t="s">
        <v>861</v>
      </c>
      <c r="D2071" s="349" t="s">
        <v>427</v>
      </c>
      <c r="E2071" s="336">
        <v>43665</v>
      </c>
      <c r="F2071" s="336" t="s">
        <v>800</v>
      </c>
      <c r="G2071" s="336">
        <v>43665</v>
      </c>
      <c r="H2071" s="334" t="s">
        <v>5646</v>
      </c>
      <c r="I2071" s="356">
        <v>13585897180</v>
      </c>
      <c r="J2071" s="361" t="s">
        <v>5647</v>
      </c>
      <c r="K2071" s="356"/>
      <c r="L2071" s="419"/>
      <c r="M2071" s="334">
        <v>123</v>
      </c>
      <c r="N2071" s="362">
        <f t="shared" si="70"/>
        <v>123</v>
      </c>
      <c r="O2071" s="356"/>
      <c r="P2071" s="356"/>
      <c r="Q2071" s="356"/>
      <c r="R2071" s="356"/>
      <c r="S2071" s="356"/>
      <c r="T2071" s="356"/>
      <c r="U2071" s="372"/>
      <c r="V2071" s="372"/>
      <c r="W2071" s="372"/>
      <c r="X2071" s="373"/>
      <c r="Y2071" s="348"/>
      <c r="Z2071" s="348"/>
      <c r="AA2071" s="348"/>
    </row>
    <row r="2072" s="331" customFormat="1" ht="17" customHeight="1" spans="1:27">
      <c r="A2072" s="348"/>
      <c r="B2072" s="348" t="s">
        <v>123</v>
      </c>
      <c r="C2072" s="334" t="s">
        <v>124</v>
      </c>
      <c r="D2072" s="349" t="s">
        <v>125</v>
      </c>
      <c r="E2072" s="336">
        <v>43665</v>
      </c>
      <c r="F2072" s="336" t="s">
        <v>800</v>
      </c>
      <c r="G2072" s="336">
        <v>43665</v>
      </c>
      <c r="H2072" s="334" t="s">
        <v>5648</v>
      </c>
      <c r="I2072" s="356">
        <v>13818152569</v>
      </c>
      <c r="J2072" s="361" t="s">
        <v>5649</v>
      </c>
      <c r="K2072" s="356"/>
      <c r="L2072" s="419"/>
      <c r="M2072" s="334">
        <v>1215</v>
      </c>
      <c r="N2072" s="362">
        <f t="shared" si="70"/>
        <v>1215</v>
      </c>
      <c r="O2072" s="356"/>
      <c r="P2072" s="356"/>
      <c r="Q2072" s="356"/>
      <c r="R2072" s="356"/>
      <c r="S2072" s="356"/>
      <c r="T2072" s="356"/>
      <c r="U2072" s="372"/>
      <c r="V2072" s="372"/>
      <c r="W2072" s="372"/>
      <c r="X2072" s="373"/>
      <c r="Y2072" s="348"/>
      <c r="Z2072" s="348"/>
      <c r="AA2072" s="348"/>
    </row>
    <row r="2073" s="331" customFormat="1" ht="17" customHeight="1" spans="1:27">
      <c r="A2073" s="348"/>
      <c r="B2073" s="348" t="s">
        <v>58</v>
      </c>
      <c r="C2073" s="334" t="s">
        <v>347</v>
      </c>
      <c r="D2073" s="349" t="s">
        <v>343</v>
      </c>
      <c r="E2073" s="336">
        <v>43665</v>
      </c>
      <c r="F2073" s="336" t="s">
        <v>800</v>
      </c>
      <c r="G2073" s="336">
        <v>43662</v>
      </c>
      <c r="H2073" s="334" t="s">
        <v>5650</v>
      </c>
      <c r="I2073" s="356">
        <v>13818413559</v>
      </c>
      <c r="J2073" s="361" t="s">
        <v>5651</v>
      </c>
      <c r="K2073" s="356"/>
      <c r="L2073" s="419"/>
      <c r="M2073" s="334">
        <f>1072+928</f>
        <v>2000</v>
      </c>
      <c r="N2073" s="362">
        <f t="shared" si="70"/>
        <v>2000</v>
      </c>
      <c r="O2073" s="356"/>
      <c r="P2073" s="356"/>
      <c r="Q2073" s="356"/>
      <c r="R2073" s="356"/>
      <c r="S2073" s="356"/>
      <c r="T2073" s="356"/>
      <c r="U2073" s="372"/>
      <c r="V2073" s="372"/>
      <c r="W2073" s="372"/>
      <c r="X2073" s="373"/>
      <c r="Y2073" s="348"/>
      <c r="Z2073" s="348"/>
      <c r="AA2073" s="348"/>
    </row>
    <row r="2074" s="331" customFormat="1" ht="17" customHeight="1" spans="1:27">
      <c r="A2074" s="348"/>
      <c r="B2074" s="348" t="s">
        <v>31</v>
      </c>
      <c r="C2074" s="348" t="s">
        <v>32</v>
      </c>
      <c r="D2074" s="349" t="s">
        <v>162</v>
      </c>
      <c r="E2074" s="336">
        <v>43647</v>
      </c>
      <c r="F2074" s="336"/>
      <c r="G2074" s="336">
        <v>43647</v>
      </c>
      <c r="H2074" s="269" t="s">
        <v>5652</v>
      </c>
      <c r="I2074" s="356">
        <v>13761628668</v>
      </c>
      <c r="J2074" s="361" t="s">
        <v>5653</v>
      </c>
      <c r="K2074" s="356"/>
      <c r="L2074" s="334">
        <v>8402</v>
      </c>
      <c r="M2074" s="334">
        <v>1472</v>
      </c>
      <c r="N2074" s="362">
        <f t="shared" ref="N2074:N2089" si="71">L2074+M2074</f>
        <v>9874</v>
      </c>
      <c r="O2074" s="356"/>
      <c r="P2074" s="356"/>
      <c r="Q2074" s="356"/>
      <c r="R2074" s="356"/>
      <c r="S2074" s="356"/>
      <c r="T2074" s="356"/>
      <c r="U2074" s="372"/>
      <c r="V2074" s="372"/>
      <c r="W2074" s="372"/>
      <c r="X2074" s="373"/>
      <c r="Y2074" s="348"/>
      <c r="Z2074" s="348"/>
      <c r="AA2074" s="348"/>
    </row>
    <row r="2075" s="331" customFormat="1" ht="17" customHeight="1" spans="1:27">
      <c r="A2075" s="348"/>
      <c r="B2075" s="348" t="s">
        <v>66</v>
      </c>
      <c r="C2075" s="348" t="s">
        <v>1749</v>
      </c>
      <c r="D2075" s="349" t="s">
        <v>68</v>
      </c>
      <c r="E2075" s="336">
        <v>43647</v>
      </c>
      <c r="F2075" s="336"/>
      <c r="G2075" s="336">
        <v>43647</v>
      </c>
      <c r="H2075" s="269" t="s">
        <v>5654</v>
      </c>
      <c r="I2075" s="356">
        <v>18621633538</v>
      </c>
      <c r="J2075" s="361" t="s">
        <v>5655</v>
      </c>
      <c r="K2075" s="356"/>
      <c r="L2075" s="334">
        <v>2318.27</v>
      </c>
      <c r="M2075" s="419"/>
      <c r="N2075" s="362">
        <f t="shared" si="71"/>
        <v>2318.27</v>
      </c>
      <c r="O2075" s="356"/>
      <c r="P2075" s="356"/>
      <c r="Q2075" s="356"/>
      <c r="R2075" s="356"/>
      <c r="S2075" s="356"/>
      <c r="T2075" s="356"/>
      <c r="U2075" s="372"/>
      <c r="V2075" s="372"/>
      <c r="W2075" s="372"/>
      <c r="X2075" s="373"/>
      <c r="Y2075" s="348"/>
      <c r="Z2075" s="348"/>
      <c r="AA2075" s="348"/>
    </row>
    <row r="2076" s="331" customFormat="1" ht="17" customHeight="1" spans="1:27">
      <c r="A2076" s="348"/>
      <c r="B2076" s="348" t="s">
        <v>2625</v>
      </c>
      <c r="C2076" s="348" t="s">
        <v>2626</v>
      </c>
      <c r="D2076" s="349" t="s">
        <v>89</v>
      </c>
      <c r="E2076" s="336">
        <v>43647</v>
      </c>
      <c r="F2076" s="336"/>
      <c r="G2076" s="336">
        <v>43647</v>
      </c>
      <c r="H2076" s="269" t="s">
        <v>5656</v>
      </c>
      <c r="I2076" s="356">
        <v>13816076866</v>
      </c>
      <c r="J2076" s="361" t="s">
        <v>5657</v>
      </c>
      <c r="K2076" s="356"/>
      <c r="L2076" s="334">
        <v>9736</v>
      </c>
      <c r="M2076" s="419"/>
      <c r="N2076" s="362">
        <f t="shared" si="71"/>
        <v>9736</v>
      </c>
      <c r="O2076" s="356"/>
      <c r="P2076" s="356"/>
      <c r="Q2076" s="356"/>
      <c r="R2076" s="356"/>
      <c r="S2076" s="356"/>
      <c r="T2076" s="356"/>
      <c r="U2076" s="372"/>
      <c r="V2076" s="372"/>
      <c r="W2076" s="372"/>
      <c r="X2076" s="373"/>
      <c r="Y2076" s="348"/>
      <c r="Z2076" s="348"/>
      <c r="AA2076" s="348"/>
    </row>
    <row r="2077" s="331" customFormat="1" ht="17" customHeight="1" spans="1:27">
      <c r="A2077" s="348"/>
      <c r="B2077" s="348" t="s">
        <v>359</v>
      </c>
      <c r="C2077" s="348" t="s">
        <v>5184</v>
      </c>
      <c r="D2077" s="349" t="s">
        <v>361</v>
      </c>
      <c r="E2077" s="336">
        <v>43647</v>
      </c>
      <c r="F2077" s="336"/>
      <c r="G2077" s="336">
        <v>43647</v>
      </c>
      <c r="H2077" s="269" t="s">
        <v>5658</v>
      </c>
      <c r="I2077" s="356">
        <v>18616536508</v>
      </c>
      <c r="J2077" s="361" t="s">
        <v>5659</v>
      </c>
      <c r="K2077" s="356"/>
      <c r="L2077" s="334">
        <v>3754</v>
      </c>
      <c r="M2077" s="419"/>
      <c r="N2077" s="362">
        <f t="shared" si="71"/>
        <v>3754</v>
      </c>
      <c r="O2077" s="356"/>
      <c r="P2077" s="356"/>
      <c r="Q2077" s="356"/>
      <c r="R2077" s="356"/>
      <c r="S2077" s="356"/>
      <c r="T2077" s="356"/>
      <c r="U2077" s="372"/>
      <c r="V2077" s="372"/>
      <c r="W2077" s="372"/>
      <c r="X2077" s="373"/>
      <c r="Y2077" s="348"/>
      <c r="Z2077" s="348"/>
      <c r="AA2077" s="348"/>
    </row>
    <row r="2078" s="331" customFormat="1" ht="17" customHeight="1" spans="1:27">
      <c r="A2078" s="348"/>
      <c r="B2078" s="348" t="s">
        <v>315</v>
      </c>
      <c r="C2078" s="348" t="s">
        <v>722</v>
      </c>
      <c r="D2078" s="349" t="s">
        <v>182</v>
      </c>
      <c r="E2078" s="336">
        <v>43647</v>
      </c>
      <c r="F2078" s="336"/>
      <c r="G2078" s="336">
        <v>43647</v>
      </c>
      <c r="H2078" s="269" t="s">
        <v>5660</v>
      </c>
      <c r="I2078" s="356">
        <v>18916676046</v>
      </c>
      <c r="J2078" s="361" t="s">
        <v>5661</v>
      </c>
      <c r="K2078" s="356"/>
      <c r="L2078" s="334">
        <v>17964</v>
      </c>
      <c r="M2078" s="419"/>
      <c r="N2078" s="362">
        <f t="shared" si="71"/>
        <v>17964</v>
      </c>
      <c r="O2078" s="356"/>
      <c r="P2078" s="356"/>
      <c r="Q2078" s="356"/>
      <c r="R2078" s="356"/>
      <c r="S2078" s="356"/>
      <c r="T2078" s="356"/>
      <c r="U2078" s="372"/>
      <c r="V2078" s="372"/>
      <c r="W2078" s="372"/>
      <c r="X2078" s="373"/>
      <c r="Y2078" s="348"/>
      <c r="Z2078" s="348"/>
      <c r="AA2078" s="348"/>
    </row>
    <row r="2079" s="331" customFormat="1" ht="17" customHeight="1" spans="1:27">
      <c r="A2079" s="348"/>
      <c r="B2079" s="348" t="s">
        <v>185</v>
      </c>
      <c r="C2079" s="334" t="s">
        <v>186</v>
      </c>
      <c r="D2079" s="349" t="s">
        <v>44</v>
      </c>
      <c r="E2079" s="336">
        <v>43647</v>
      </c>
      <c r="F2079" s="336"/>
      <c r="G2079" s="336">
        <v>43647</v>
      </c>
      <c r="H2079" s="269" t="s">
        <v>5662</v>
      </c>
      <c r="I2079" s="356">
        <v>18302103574</v>
      </c>
      <c r="J2079" s="361" t="s">
        <v>5663</v>
      </c>
      <c r="K2079" s="356"/>
      <c r="L2079" s="334">
        <v>5140</v>
      </c>
      <c r="M2079" s="419"/>
      <c r="N2079" s="362">
        <f t="shared" si="71"/>
        <v>5140</v>
      </c>
      <c r="O2079" s="356"/>
      <c r="P2079" s="356"/>
      <c r="Q2079" s="356"/>
      <c r="R2079" s="356"/>
      <c r="S2079" s="356"/>
      <c r="T2079" s="356"/>
      <c r="U2079" s="372"/>
      <c r="V2079" s="372"/>
      <c r="W2079" s="372"/>
      <c r="X2079" s="373"/>
      <c r="Y2079" s="348"/>
      <c r="Z2079" s="348"/>
      <c r="AA2079" s="348"/>
    </row>
    <row r="2080" s="331" customFormat="1" ht="17" customHeight="1" spans="1:27">
      <c r="A2080" s="348"/>
      <c r="B2080" s="348" t="s">
        <v>66</v>
      </c>
      <c r="C2080" s="348" t="s">
        <v>119</v>
      </c>
      <c r="D2080" s="349" t="s">
        <v>68</v>
      </c>
      <c r="E2080" s="336">
        <v>43647</v>
      </c>
      <c r="F2080" s="336"/>
      <c r="G2080" s="336">
        <v>43647</v>
      </c>
      <c r="H2080" s="269" t="s">
        <v>5664</v>
      </c>
      <c r="I2080" s="356">
        <v>18964918318</v>
      </c>
      <c r="J2080" s="361" t="s">
        <v>5665</v>
      </c>
      <c r="K2080" s="356"/>
      <c r="L2080" s="334">
        <v>12304</v>
      </c>
      <c r="M2080" s="419"/>
      <c r="N2080" s="362">
        <f t="shared" si="71"/>
        <v>12304</v>
      </c>
      <c r="O2080" s="356"/>
      <c r="P2080" s="356"/>
      <c r="Q2080" s="356"/>
      <c r="R2080" s="356"/>
      <c r="S2080" s="356"/>
      <c r="T2080" s="356"/>
      <c r="U2080" s="372"/>
      <c r="V2080" s="372"/>
      <c r="W2080" s="372"/>
      <c r="X2080" s="373"/>
      <c r="Y2080" s="348"/>
      <c r="Z2080" s="348"/>
      <c r="AA2080" s="348"/>
    </row>
    <row r="2081" s="331" customFormat="1" ht="17" customHeight="1" spans="1:27">
      <c r="A2081" s="348"/>
      <c r="B2081" s="348" t="s">
        <v>169</v>
      </c>
      <c r="C2081" s="348" t="s">
        <v>634</v>
      </c>
      <c r="D2081" s="349" t="s">
        <v>171</v>
      </c>
      <c r="E2081" s="336">
        <v>43647</v>
      </c>
      <c r="F2081" s="336" t="s">
        <v>800</v>
      </c>
      <c r="G2081" s="336">
        <v>43647</v>
      </c>
      <c r="H2081" s="269" t="s">
        <v>5666</v>
      </c>
      <c r="I2081" s="356">
        <v>18602114260</v>
      </c>
      <c r="J2081" s="361" t="s">
        <v>5667</v>
      </c>
      <c r="K2081" s="356"/>
      <c r="L2081" s="419"/>
      <c r="M2081" s="334">
        <v>269</v>
      </c>
      <c r="N2081" s="362">
        <f t="shared" si="71"/>
        <v>269</v>
      </c>
      <c r="O2081" s="356"/>
      <c r="P2081" s="356"/>
      <c r="Q2081" s="356"/>
      <c r="R2081" s="356"/>
      <c r="S2081" s="356"/>
      <c r="T2081" s="356"/>
      <c r="U2081" s="372"/>
      <c r="V2081" s="372"/>
      <c r="W2081" s="372"/>
      <c r="X2081" s="373"/>
      <c r="Y2081" s="348"/>
      <c r="Z2081" s="348"/>
      <c r="AA2081" s="348"/>
    </row>
    <row r="2082" s="331" customFormat="1" ht="17" customHeight="1" spans="1:27">
      <c r="A2082" s="348"/>
      <c r="B2082" s="348" t="s">
        <v>31</v>
      </c>
      <c r="C2082" s="348" t="s">
        <v>251</v>
      </c>
      <c r="D2082" s="349" t="s">
        <v>221</v>
      </c>
      <c r="E2082" s="336">
        <v>43647</v>
      </c>
      <c r="F2082" s="336" t="s">
        <v>800</v>
      </c>
      <c r="G2082" s="336">
        <v>43647</v>
      </c>
      <c r="H2082" s="269" t="s">
        <v>5668</v>
      </c>
      <c r="I2082" s="356" t="s">
        <v>5669</v>
      </c>
      <c r="J2082" s="361" t="s">
        <v>5670</v>
      </c>
      <c r="K2082" s="356"/>
      <c r="L2082" s="419"/>
      <c r="M2082" s="334">
        <v>-200</v>
      </c>
      <c r="N2082" s="362">
        <f t="shared" si="71"/>
        <v>-200</v>
      </c>
      <c r="O2082" s="356"/>
      <c r="P2082" s="356"/>
      <c r="Q2082" s="356"/>
      <c r="R2082" s="356"/>
      <c r="S2082" s="356"/>
      <c r="T2082" s="356"/>
      <c r="U2082" s="372"/>
      <c r="V2082" s="372"/>
      <c r="W2082" s="372"/>
      <c r="X2082" s="373"/>
      <c r="Y2082" s="348"/>
      <c r="Z2082" s="348"/>
      <c r="AA2082" s="348"/>
    </row>
    <row r="2083" s="331" customFormat="1" ht="17" customHeight="1" spans="1:27">
      <c r="A2083" s="348"/>
      <c r="B2083" s="348" t="s">
        <v>185</v>
      </c>
      <c r="C2083" s="348" t="s">
        <v>886</v>
      </c>
      <c r="D2083" s="349" t="s">
        <v>187</v>
      </c>
      <c r="E2083" s="336">
        <v>43647</v>
      </c>
      <c r="F2083" s="336" t="s">
        <v>800</v>
      </c>
      <c r="G2083" s="336">
        <v>43647</v>
      </c>
      <c r="H2083" s="269" t="s">
        <v>5671</v>
      </c>
      <c r="I2083" s="356">
        <v>19321717098</v>
      </c>
      <c r="J2083" s="361" t="s">
        <v>5672</v>
      </c>
      <c r="K2083" s="356"/>
      <c r="L2083" s="419"/>
      <c r="M2083" s="334">
        <f>-2347+368+2203</f>
        <v>224</v>
      </c>
      <c r="N2083" s="362">
        <f t="shared" si="71"/>
        <v>224</v>
      </c>
      <c r="O2083" s="356"/>
      <c r="P2083" s="356"/>
      <c r="Q2083" s="356"/>
      <c r="R2083" s="356"/>
      <c r="S2083" s="356"/>
      <c r="T2083" s="356"/>
      <c r="U2083" s="372"/>
      <c r="V2083" s="372"/>
      <c r="W2083" s="372"/>
      <c r="X2083" s="373"/>
      <c r="Y2083" s="348"/>
      <c r="Z2083" s="348"/>
      <c r="AA2083" s="348"/>
    </row>
    <row r="2084" s="331" customFormat="1" ht="17" customHeight="1" spans="1:27">
      <c r="A2084" s="348"/>
      <c r="B2084" s="348" t="s">
        <v>185</v>
      </c>
      <c r="C2084" s="334" t="s">
        <v>1204</v>
      </c>
      <c r="D2084" s="349" t="s">
        <v>187</v>
      </c>
      <c r="E2084" s="336">
        <v>43647</v>
      </c>
      <c r="F2084" s="336" t="s">
        <v>800</v>
      </c>
      <c r="G2084" s="336">
        <v>43647</v>
      </c>
      <c r="H2084" s="269" t="s">
        <v>5673</v>
      </c>
      <c r="I2084" s="356">
        <v>18918685216</v>
      </c>
      <c r="J2084" s="361" t="s">
        <v>5674</v>
      </c>
      <c r="K2084" s="356"/>
      <c r="L2084" s="419"/>
      <c r="M2084" s="334">
        <v>2544</v>
      </c>
      <c r="N2084" s="362">
        <f t="shared" si="71"/>
        <v>2544</v>
      </c>
      <c r="O2084" s="356"/>
      <c r="P2084" s="356"/>
      <c r="Q2084" s="356"/>
      <c r="R2084" s="356"/>
      <c r="S2084" s="356"/>
      <c r="T2084" s="356"/>
      <c r="U2084" s="372"/>
      <c r="V2084" s="372"/>
      <c r="W2084" s="372"/>
      <c r="X2084" s="373"/>
      <c r="Y2084" s="348"/>
      <c r="Z2084" s="348"/>
      <c r="AA2084" s="348"/>
    </row>
    <row r="2085" s="331" customFormat="1" ht="17" customHeight="1" spans="1:27">
      <c r="A2085" s="348"/>
      <c r="B2085" s="348" t="s">
        <v>243</v>
      </c>
      <c r="C2085" s="334" t="s">
        <v>309</v>
      </c>
      <c r="D2085" s="352" t="s">
        <v>49</v>
      </c>
      <c r="E2085" s="336">
        <v>43648</v>
      </c>
      <c r="F2085" s="336" t="s">
        <v>800</v>
      </c>
      <c r="G2085" s="336">
        <v>43648</v>
      </c>
      <c r="H2085" s="363" t="s">
        <v>5675</v>
      </c>
      <c r="I2085" s="363">
        <v>1311917835</v>
      </c>
      <c r="J2085" s="364" t="s">
        <v>5676</v>
      </c>
      <c r="K2085" s="356"/>
      <c r="L2085" s="419"/>
      <c r="M2085" s="334">
        <v>2580</v>
      </c>
      <c r="N2085" s="362">
        <f t="shared" si="71"/>
        <v>2580</v>
      </c>
      <c r="O2085" s="356"/>
      <c r="P2085" s="356"/>
      <c r="Q2085" s="356"/>
      <c r="R2085" s="356"/>
      <c r="S2085" s="356"/>
      <c r="T2085" s="356"/>
      <c r="U2085" s="372"/>
      <c r="V2085" s="372"/>
      <c r="W2085" s="372"/>
      <c r="X2085" s="373"/>
      <c r="Y2085" s="348"/>
      <c r="Z2085" s="348"/>
      <c r="AA2085" s="348"/>
    </row>
    <row r="2086" s="331" customFormat="1" ht="17" customHeight="1" spans="1:27">
      <c r="A2086" s="348"/>
      <c r="B2086" s="348" t="s">
        <v>35</v>
      </c>
      <c r="C2086" s="334" t="s">
        <v>392</v>
      </c>
      <c r="D2086" s="349" t="s">
        <v>37</v>
      </c>
      <c r="E2086" s="336">
        <v>43648</v>
      </c>
      <c r="F2086" s="336" t="s">
        <v>800</v>
      </c>
      <c r="G2086" s="336">
        <v>43647</v>
      </c>
      <c r="H2086" s="269" t="s">
        <v>5677</v>
      </c>
      <c r="I2086" s="356">
        <v>18917870610</v>
      </c>
      <c r="J2086" s="361" t="s">
        <v>5678</v>
      </c>
      <c r="K2086" s="356"/>
      <c r="L2086" s="419"/>
      <c r="M2086" s="334">
        <v>1061</v>
      </c>
      <c r="N2086" s="362">
        <f t="shared" si="71"/>
        <v>1061</v>
      </c>
      <c r="O2086" s="356"/>
      <c r="P2086" s="356"/>
      <c r="Q2086" s="356"/>
      <c r="R2086" s="356"/>
      <c r="S2086" s="356"/>
      <c r="T2086" s="356"/>
      <c r="U2086" s="372"/>
      <c r="V2086" s="372"/>
      <c r="W2086" s="372"/>
      <c r="X2086" s="373"/>
      <c r="Y2086" s="348"/>
      <c r="Z2086" s="348"/>
      <c r="AA2086" s="348"/>
    </row>
    <row r="2087" s="331" customFormat="1" ht="17" customHeight="1" spans="1:27">
      <c r="A2087" s="348"/>
      <c r="B2087" s="348" t="s">
        <v>123</v>
      </c>
      <c r="C2087" s="334" t="s">
        <v>124</v>
      </c>
      <c r="D2087" s="349" t="s">
        <v>125</v>
      </c>
      <c r="E2087" s="336">
        <v>43648</v>
      </c>
      <c r="F2087" s="336" t="s">
        <v>800</v>
      </c>
      <c r="G2087" s="336">
        <v>43648</v>
      </c>
      <c r="H2087" s="269" t="s">
        <v>5679</v>
      </c>
      <c r="I2087" s="356">
        <v>13482331982</v>
      </c>
      <c r="J2087" s="361" t="s">
        <v>5680</v>
      </c>
      <c r="K2087" s="356"/>
      <c r="L2087" s="419"/>
      <c r="M2087" s="334">
        <v>366</v>
      </c>
      <c r="N2087" s="362">
        <f t="shared" si="71"/>
        <v>366</v>
      </c>
      <c r="O2087" s="356"/>
      <c r="P2087" s="356"/>
      <c r="Q2087" s="356"/>
      <c r="R2087" s="356"/>
      <c r="S2087" s="356"/>
      <c r="T2087" s="356"/>
      <c r="U2087" s="372"/>
      <c r="V2087" s="372"/>
      <c r="W2087" s="372"/>
      <c r="X2087" s="373"/>
      <c r="Y2087" s="348"/>
      <c r="Z2087" s="348"/>
      <c r="AA2087" s="348"/>
    </row>
    <row r="2088" s="331" customFormat="1" ht="17" customHeight="1" spans="1:27">
      <c r="A2088" s="348"/>
      <c r="B2088" s="348" t="s">
        <v>73</v>
      </c>
      <c r="C2088" s="334" t="s">
        <v>178</v>
      </c>
      <c r="D2088" s="349" t="s">
        <v>132</v>
      </c>
      <c r="E2088" s="336">
        <v>43648</v>
      </c>
      <c r="F2088" s="336" t="s">
        <v>800</v>
      </c>
      <c r="G2088" s="336">
        <v>43647</v>
      </c>
      <c r="H2088" s="269" t="s">
        <v>5681</v>
      </c>
      <c r="I2088" s="356">
        <v>13564356585</v>
      </c>
      <c r="J2088" s="361" t="s">
        <v>5682</v>
      </c>
      <c r="K2088" s="356"/>
      <c r="L2088" s="419"/>
      <c r="M2088" s="334">
        <v>2129</v>
      </c>
      <c r="N2088" s="362">
        <f t="shared" si="71"/>
        <v>2129</v>
      </c>
      <c r="O2088" s="356"/>
      <c r="P2088" s="356"/>
      <c r="Q2088" s="356"/>
      <c r="R2088" s="356"/>
      <c r="S2088" s="356"/>
      <c r="T2088" s="356"/>
      <c r="U2088" s="372"/>
      <c r="V2088" s="372"/>
      <c r="W2088" s="372"/>
      <c r="X2088" s="373"/>
      <c r="Y2088" s="348"/>
      <c r="Z2088" s="348"/>
      <c r="AA2088" s="348"/>
    </row>
    <row r="2089" s="331" customFormat="1" ht="17" customHeight="1" spans="1:27">
      <c r="A2089" s="348"/>
      <c r="B2089" s="348" t="s">
        <v>315</v>
      </c>
      <c r="C2089" s="334" t="s">
        <v>258</v>
      </c>
      <c r="D2089" s="349" t="s">
        <v>132</v>
      </c>
      <c r="E2089" s="336">
        <v>43648</v>
      </c>
      <c r="F2089" s="336" t="s">
        <v>800</v>
      </c>
      <c r="G2089" s="336">
        <v>43648</v>
      </c>
      <c r="H2089" s="269" t="s">
        <v>5683</v>
      </c>
      <c r="I2089" s="356">
        <v>18621746236</v>
      </c>
      <c r="J2089" s="361" t="s">
        <v>5684</v>
      </c>
      <c r="K2089" s="356"/>
      <c r="L2089" s="419"/>
      <c r="M2089" s="334">
        <v>-2112</v>
      </c>
      <c r="N2089" s="362">
        <f t="shared" si="71"/>
        <v>-2112</v>
      </c>
      <c r="O2089" s="356"/>
      <c r="P2089" s="356"/>
      <c r="Q2089" s="356"/>
      <c r="R2089" s="356"/>
      <c r="S2089" s="356"/>
      <c r="T2089" s="356"/>
      <c r="U2089" s="372"/>
      <c r="V2089" s="372"/>
      <c r="W2089" s="372"/>
      <c r="X2089" s="373"/>
      <c r="Y2089" s="348"/>
      <c r="Z2089" s="348"/>
      <c r="AA2089" s="348"/>
    </row>
    <row r="2090" s="331" customFormat="1" ht="17" customHeight="1" spans="1:27">
      <c r="A2090" s="348"/>
      <c r="B2090" s="348" t="s">
        <v>169</v>
      </c>
      <c r="C2090" s="334" t="s">
        <v>634</v>
      </c>
      <c r="D2090" s="349" t="s">
        <v>635</v>
      </c>
      <c r="E2090" s="336">
        <v>43648</v>
      </c>
      <c r="F2090" s="336" t="s">
        <v>800</v>
      </c>
      <c r="G2090" s="336">
        <v>43648</v>
      </c>
      <c r="H2090" s="269" t="s">
        <v>5685</v>
      </c>
      <c r="I2090" s="356">
        <v>13918310900</v>
      </c>
      <c r="J2090" s="361" t="s">
        <v>5686</v>
      </c>
      <c r="K2090" s="356"/>
      <c r="L2090" s="419"/>
      <c r="M2090" s="334">
        <v>978</v>
      </c>
      <c r="N2090" s="362">
        <f t="shared" ref="N2090:N2105" si="72">L2090+M2090</f>
        <v>978</v>
      </c>
      <c r="O2090" s="356"/>
      <c r="P2090" s="356"/>
      <c r="Q2090" s="356"/>
      <c r="R2090" s="356"/>
      <c r="S2090" s="356"/>
      <c r="T2090" s="356"/>
      <c r="U2090" s="372"/>
      <c r="V2090" s="372"/>
      <c r="W2090" s="372"/>
      <c r="X2090" s="373"/>
      <c r="Y2090" s="348"/>
      <c r="Z2090" s="348"/>
      <c r="AA2090" s="348"/>
    </row>
    <row r="2091" s="331" customFormat="1" ht="17" customHeight="1" spans="1:27">
      <c r="A2091" s="348"/>
      <c r="B2091" s="348" t="s">
        <v>315</v>
      </c>
      <c r="C2091" s="334" t="s">
        <v>275</v>
      </c>
      <c r="D2091" s="349" t="s">
        <v>162</v>
      </c>
      <c r="E2091" s="336">
        <v>43648</v>
      </c>
      <c r="F2091" s="336" t="s">
        <v>800</v>
      </c>
      <c r="G2091" s="336">
        <v>43648</v>
      </c>
      <c r="H2091" s="269" t="s">
        <v>5687</v>
      </c>
      <c r="I2091" s="356">
        <v>13601931263</v>
      </c>
      <c r="J2091" s="361" t="s">
        <v>5688</v>
      </c>
      <c r="K2091" s="356"/>
      <c r="L2091" s="419"/>
      <c r="M2091" s="419">
        <f>-736+368+368</f>
        <v>0</v>
      </c>
      <c r="N2091" s="362">
        <f t="shared" si="72"/>
        <v>0</v>
      </c>
      <c r="O2091" s="356"/>
      <c r="P2091" s="356"/>
      <c r="Q2091" s="356"/>
      <c r="R2091" s="356"/>
      <c r="S2091" s="356"/>
      <c r="T2091" s="356"/>
      <c r="U2091" s="372"/>
      <c r="V2091" s="372"/>
      <c r="W2091" s="372"/>
      <c r="X2091" s="373"/>
      <c r="Y2091" s="348"/>
      <c r="Z2091" s="348"/>
      <c r="AA2091" s="348"/>
    </row>
    <row r="2092" s="331" customFormat="1" ht="17" customHeight="1" spans="1:27">
      <c r="A2092" s="348"/>
      <c r="B2092" s="348" t="s">
        <v>123</v>
      </c>
      <c r="C2092" s="334" t="s">
        <v>124</v>
      </c>
      <c r="D2092" s="349" t="s">
        <v>125</v>
      </c>
      <c r="E2092" s="336">
        <v>43648</v>
      </c>
      <c r="F2092" s="336" t="s">
        <v>800</v>
      </c>
      <c r="G2092" s="336">
        <v>43648</v>
      </c>
      <c r="H2092" s="269" t="s">
        <v>5689</v>
      </c>
      <c r="I2092" s="356">
        <v>18101658390</v>
      </c>
      <c r="J2092" s="361" t="s">
        <v>5690</v>
      </c>
      <c r="K2092" s="356"/>
      <c r="L2092" s="419"/>
      <c r="M2092" s="334">
        <v>664</v>
      </c>
      <c r="N2092" s="362">
        <f t="shared" si="72"/>
        <v>664</v>
      </c>
      <c r="O2092" s="356"/>
      <c r="P2092" s="356"/>
      <c r="Q2092" s="356"/>
      <c r="R2092" s="356"/>
      <c r="S2092" s="356"/>
      <c r="T2092" s="356"/>
      <c r="U2092" s="372"/>
      <c r="V2092" s="372"/>
      <c r="W2092" s="372"/>
      <c r="X2092" s="373"/>
      <c r="Y2092" s="348"/>
      <c r="Z2092" s="348"/>
      <c r="AA2092" s="348"/>
    </row>
    <row r="2093" s="331" customFormat="1" ht="17" customHeight="1" spans="1:27">
      <c r="A2093" s="348"/>
      <c r="B2093" s="348" t="s">
        <v>58</v>
      </c>
      <c r="C2093" s="334" t="s">
        <v>109</v>
      </c>
      <c r="D2093" s="349" t="s">
        <v>110</v>
      </c>
      <c r="E2093" s="336">
        <v>43648</v>
      </c>
      <c r="F2093" s="336" t="s">
        <v>800</v>
      </c>
      <c r="G2093" s="336">
        <v>43648</v>
      </c>
      <c r="H2093" s="269" t="s">
        <v>5691</v>
      </c>
      <c r="I2093" s="356">
        <v>13764275539</v>
      </c>
      <c r="J2093" s="361" t="s">
        <v>5692</v>
      </c>
      <c r="K2093" s="356"/>
      <c r="L2093" s="419"/>
      <c r="M2093" s="334">
        <v>1489</v>
      </c>
      <c r="N2093" s="362">
        <f t="shared" si="72"/>
        <v>1489</v>
      </c>
      <c r="O2093" s="356"/>
      <c r="P2093" s="356"/>
      <c r="Q2093" s="356"/>
      <c r="R2093" s="356"/>
      <c r="S2093" s="356"/>
      <c r="T2093" s="356"/>
      <c r="U2093" s="372"/>
      <c r="V2093" s="372"/>
      <c r="W2093" s="372"/>
      <c r="X2093" s="373"/>
      <c r="Y2093" s="348"/>
      <c r="Z2093" s="348"/>
      <c r="AA2093" s="348"/>
    </row>
    <row r="2094" s="331" customFormat="1" ht="17" customHeight="1" spans="1:27">
      <c r="A2094" s="348"/>
      <c r="B2094" s="348" t="s">
        <v>281</v>
      </c>
      <c r="C2094" s="348" t="s">
        <v>517</v>
      </c>
      <c r="D2094" s="349" t="s">
        <v>518</v>
      </c>
      <c r="E2094" s="336">
        <v>43648</v>
      </c>
      <c r="F2094" s="336" t="s">
        <v>800</v>
      </c>
      <c r="G2094" s="336">
        <v>43647</v>
      </c>
      <c r="H2094" s="334" t="s">
        <v>5693</v>
      </c>
      <c r="I2094" s="356">
        <v>13661403223</v>
      </c>
      <c r="J2094" s="361" t="s">
        <v>5694</v>
      </c>
      <c r="K2094" s="356"/>
      <c r="L2094" s="419"/>
      <c r="M2094" s="334">
        <v>704</v>
      </c>
      <c r="N2094" s="362">
        <f t="shared" si="72"/>
        <v>704</v>
      </c>
      <c r="O2094" s="356"/>
      <c r="P2094" s="356"/>
      <c r="Q2094" s="356"/>
      <c r="R2094" s="356"/>
      <c r="S2094" s="356"/>
      <c r="T2094" s="356"/>
      <c r="U2094" s="372"/>
      <c r="V2094" s="372"/>
      <c r="W2094" s="372"/>
      <c r="X2094" s="373"/>
      <c r="Y2094" s="348"/>
      <c r="Z2094" s="348"/>
      <c r="AA2094" s="348"/>
    </row>
    <row r="2095" s="331" customFormat="1" ht="17" customHeight="1" spans="1:27">
      <c r="A2095" s="348"/>
      <c r="B2095" s="348" t="s">
        <v>58</v>
      </c>
      <c r="C2095" s="348" t="s">
        <v>342</v>
      </c>
      <c r="D2095" s="349" t="s">
        <v>5695</v>
      </c>
      <c r="E2095" s="336">
        <v>43649</v>
      </c>
      <c r="F2095" s="336" t="s">
        <v>800</v>
      </c>
      <c r="G2095" s="336">
        <v>43648</v>
      </c>
      <c r="H2095" s="269" t="s">
        <v>5696</v>
      </c>
      <c r="I2095" s="356">
        <v>18101641201</v>
      </c>
      <c r="J2095" s="361" t="s">
        <v>5697</v>
      </c>
      <c r="K2095" s="356"/>
      <c r="L2095" s="419"/>
      <c r="M2095" s="334">
        <v>1100</v>
      </c>
      <c r="N2095" s="362">
        <f t="shared" si="72"/>
        <v>1100</v>
      </c>
      <c r="O2095" s="356"/>
      <c r="P2095" s="356"/>
      <c r="Q2095" s="356"/>
      <c r="R2095" s="356"/>
      <c r="S2095" s="356"/>
      <c r="T2095" s="356"/>
      <c r="U2095" s="372"/>
      <c r="V2095" s="372"/>
      <c r="W2095" s="372"/>
      <c r="X2095" s="373"/>
      <c r="Y2095" s="348"/>
      <c r="Z2095" s="348"/>
      <c r="AA2095" s="348"/>
    </row>
    <row r="2096" s="331" customFormat="1" ht="17" customHeight="1" spans="1:27">
      <c r="A2096" s="348"/>
      <c r="B2096" s="348" t="s">
        <v>315</v>
      </c>
      <c r="C2096" s="348" t="s">
        <v>275</v>
      </c>
      <c r="D2096" s="349" t="s">
        <v>33</v>
      </c>
      <c r="E2096" s="336">
        <v>43649</v>
      </c>
      <c r="F2096" s="336" t="s">
        <v>800</v>
      </c>
      <c r="G2096" s="336">
        <v>43649</v>
      </c>
      <c r="H2096" s="269" t="s">
        <v>5698</v>
      </c>
      <c r="I2096" s="356">
        <v>13166367188</v>
      </c>
      <c r="J2096" s="361" t="s">
        <v>5699</v>
      </c>
      <c r="K2096" s="356"/>
      <c r="L2096" s="419"/>
      <c r="M2096" s="334">
        <v>249</v>
      </c>
      <c r="N2096" s="362">
        <f t="shared" si="72"/>
        <v>249</v>
      </c>
      <c r="O2096" s="356"/>
      <c r="P2096" s="356"/>
      <c r="Q2096" s="356"/>
      <c r="R2096" s="356"/>
      <c r="S2096" s="356"/>
      <c r="T2096" s="356"/>
      <c r="U2096" s="372"/>
      <c r="V2096" s="372"/>
      <c r="W2096" s="372"/>
      <c r="X2096" s="373"/>
      <c r="Y2096" s="348"/>
      <c r="Z2096" s="348"/>
      <c r="AA2096" s="348"/>
    </row>
    <row r="2097" s="331" customFormat="1" ht="17" customHeight="1" spans="1:27">
      <c r="A2097" s="348"/>
      <c r="B2097" s="348" t="s">
        <v>147</v>
      </c>
      <c r="C2097" s="334" t="s">
        <v>148</v>
      </c>
      <c r="D2097" s="349" t="s">
        <v>221</v>
      </c>
      <c r="E2097" s="336">
        <v>43649</v>
      </c>
      <c r="F2097" s="336" t="s">
        <v>800</v>
      </c>
      <c r="G2097" s="336">
        <v>43649</v>
      </c>
      <c r="H2097" s="334" t="s">
        <v>5700</v>
      </c>
      <c r="I2097" s="356">
        <v>13795386115</v>
      </c>
      <c r="J2097" s="364" t="s">
        <v>5701</v>
      </c>
      <c r="K2097" s="356"/>
      <c r="L2097" s="419"/>
      <c r="M2097" s="334">
        <v>495</v>
      </c>
      <c r="N2097" s="362">
        <f t="shared" si="72"/>
        <v>495</v>
      </c>
      <c r="O2097" s="356"/>
      <c r="P2097" s="356"/>
      <c r="Q2097" s="356"/>
      <c r="R2097" s="356"/>
      <c r="S2097" s="356"/>
      <c r="T2097" s="356"/>
      <c r="U2097" s="372"/>
      <c r="V2097" s="372"/>
      <c r="W2097" s="372"/>
      <c r="X2097" s="373"/>
      <c r="Y2097" s="348"/>
      <c r="Z2097" s="348"/>
      <c r="AA2097" s="348"/>
    </row>
    <row r="2098" s="331" customFormat="1" ht="17" customHeight="1" spans="1:27">
      <c r="A2098" s="348"/>
      <c r="B2098" s="348" t="s">
        <v>335</v>
      </c>
      <c r="C2098" s="348" t="s">
        <v>615</v>
      </c>
      <c r="D2098" s="349" t="s">
        <v>337</v>
      </c>
      <c r="E2098" s="336">
        <v>43649</v>
      </c>
      <c r="F2098" s="336" t="s">
        <v>800</v>
      </c>
      <c r="G2098" s="336">
        <v>43649</v>
      </c>
      <c r="H2098" s="269" t="s">
        <v>5702</v>
      </c>
      <c r="I2098" s="356">
        <v>15900520507</v>
      </c>
      <c r="J2098" s="361" t="s">
        <v>5703</v>
      </c>
      <c r="K2098" s="356"/>
      <c r="L2098" s="419"/>
      <c r="M2098" s="334">
        <v>2598</v>
      </c>
      <c r="N2098" s="362">
        <f t="shared" si="72"/>
        <v>2598</v>
      </c>
      <c r="O2098" s="356"/>
      <c r="P2098" s="356"/>
      <c r="Q2098" s="356"/>
      <c r="R2098" s="356"/>
      <c r="S2098" s="356"/>
      <c r="T2098" s="356"/>
      <c r="U2098" s="372"/>
      <c r="V2098" s="372"/>
      <c r="W2098" s="372"/>
      <c r="X2098" s="373"/>
      <c r="Y2098" s="348"/>
      <c r="Z2098" s="348"/>
      <c r="AA2098" s="348"/>
    </row>
    <row r="2099" s="331" customFormat="1" ht="17" customHeight="1" spans="1:27">
      <c r="A2099" s="348"/>
      <c r="B2099" s="348" t="s">
        <v>315</v>
      </c>
      <c r="C2099" s="348" t="s">
        <v>161</v>
      </c>
      <c r="D2099" s="349" t="s">
        <v>162</v>
      </c>
      <c r="E2099" s="336">
        <v>43649</v>
      </c>
      <c r="F2099" s="336" t="s">
        <v>800</v>
      </c>
      <c r="G2099" s="336">
        <v>43649</v>
      </c>
      <c r="H2099" s="269" t="s">
        <v>5704</v>
      </c>
      <c r="I2099" s="356">
        <v>13818623613</v>
      </c>
      <c r="J2099" s="361" t="s">
        <v>5705</v>
      </c>
      <c r="K2099" s="356"/>
      <c r="L2099" s="419"/>
      <c r="M2099" s="334">
        <v>3490</v>
      </c>
      <c r="N2099" s="362">
        <f t="shared" si="72"/>
        <v>3490</v>
      </c>
      <c r="O2099" s="356"/>
      <c r="P2099" s="356"/>
      <c r="Q2099" s="356"/>
      <c r="R2099" s="356"/>
      <c r="S2099" s="356"/>
      <c r="T2099" s="356"/>
      <c r="U2099" s="372"/>
      <c r="V2099" s="372"/>
      <c r="W2099" s="372"/>
      <c r="X2099" s="373"/>
      <c r="Y2099" s="348"/>
      <c r="Z2099" s="348"/>
      <c r="AA2099" s="348"/>
    </row>
    <row r="2100" s="331" customFormat="1" ht="17" customHeight="1" spans="1:27">
      <c r="A2100" s="348"/>
      <c r="B2100" s="348" t="s">
        <v>31</v>
      </c>
      <c r="C2100" s="348" t="s">
        <v>220</v>
      </c>
      <c r="D2100" s="349" t="s">
        <v>5695</v>
      </c>
      <c r="E2100" s="336">
        <v>43649</v>
      </c>
      <c r="F2100" s="336" t="s">
        <v>800</v>
      </c>
      <c r="G2100" s="336">
        <v>43649</v>
      </c>
      <c r="H2100" s="269" t="s">
        <v>5706</v>
      </c>
      <c r="I2100" s="356">
        <v>13574255040</v>
      </c>
      <c r="J2100" s="361" t="s">
        <v>5707</v>
      </c>
      <c r="K2100" s="356"/>
      <c r="L2100" s="419"/>
      <c r="M2100" s="334">
        <v>140</v>
      </c>
      <c r="N2100" s="362">
        <f t="shared" si="72"/>
        <v>140</v>
      </c>
      <c r="O2100" s="356"/>
      <c r="P2100" s="356"/>
      <c r="Q2100" s="356"/>
      <c r="R2100" s="356"/>
      <c r="S2100" s="356"/>
      <c r="T2100" s="356"/>
      <c r="U2100" s="372"/>
      <c r="V2100" s="372"/>
      <c r="W2100" s="372"/>
      <c r="X2100" s="373"/>
      <c r="Y2100" s="348"/>
      <c r="Z2100" s="348"/>
      <c r="AA2100" s="348"/>
    </row>
    <row r="2101" s="331" customFormat="1" ht="17" customHeight="1" spans="1:27">
      <c r="A2101" s="348"/>
      <c r="B2101" s="348" t="s">
        <v>726</v>
      </c>
      <c r="C2101" s="348" t="s">
        <v>727</v>
      </c>
      <c r="D2101" s="349" t="s">
        <v>356</v>
      </c>
      <c r="E2101" s="336">
        <v>43649</v>
      </c>
      <c r="F2101" s="336" t="s">
        <v>800</v>
      </c>
      <c r="G2101" s="336">
        <v>43649</v>
      </c>
      <c r="H2101" s="269" t="s">
        <v>5708</v>
      </c>
      <c r="I2101" s="356">
        <v>13764078047</v>
      </c>
      <c r="J2101" s="361" t="s">
        <v>5709</v>
      </c>
      <c r="K2101" s="356"/>
      <c r="L2101" s="419"/>
      <c r="M2101" s="334">
        <v>-1484</v>
      </c>
      <c r="N2101" s="362">
        <f t="shared" si="72"/>
        <v>-1484</v>
      </c>
      <c r="O2101" s="356"/>
      <c r="P2101" s="356"/>
      <c r="Q2101" s="356"/>
      <c r="R2101" s="356"/>
      <c r="S2101" s="356"/>
      <c r="T2101" s="356"/>
      <c r="U2101" s="372"/>
      <c r="V2101" s="372"/>
      <c r="W2101" s="372"/>
      <c r="X2101" s="373"/>
      <c r="Y2101" s="348"/>
      <c r="Z2101" s="348"/>
      <c r="AA2101" s="348"/>
    </row>
    <row r="2102" s="331" customFormat="1" ht="17" customHeight="1" spans="1:27">
      <c r="A2102" s="348"/>
      <c r="B2102" s="348" t="s">
        <v>66</v>
      </c>
      <c r="C2102" s="334" t="s">
        <v>1749</v>
      </c>
      <c r="D2102" s="349" t="s">
        <v>68</v>
      </c>
      <c r="E2102" s="336">
        <v>43649</v>
      </c>
      <c r="F2102" s="336"/>
      <c r="G2102" s="336">
        <v>43649</v>
      </c>
      <c r="H2102" s="269" t="s">
        <v>5710</v>
      </c>
      <c r="I2102" s="356">
        <v>17621642299</v>
      </c>
      <c r="J2102" s="361" t="s">
        <v>5711</v>
      </c>
      <c r="K2102" s="356"/>
      <c r="L2102" s="334">
        <v>1400</v>
      </c>
      <c r="M2102" s="334"/>
      <c r="N2102" s="362">
        <f t="shared" si="72"/>
        <v>1400</v>
      </c>
      <c r="O2102" s="356"/>
      <c r="P2102" s="356"/>
      <c r="Q2102" s="356"/>
      <c r="R2102" s="356"/>
      <c r="S2102" s="356"/>
      <c r="T2102" s="356"/>
      <c r="U2102" s="372"/>
      <c r="V2102" s="372"/>
      <c r="W2102" s="372"/>
      <c r="X2102" s="373"/>
      <c r="Y2102" s="348"/>
      <c r="Z2102" s="348"/>
      <c r="AA2102" s="348"/>
    </row>
    <row r="2103" s="331" customFormat="1" ht="17" customHeight="1" spans="1:27">
      <c r="A2103" s="348"/>
      <c r="B2103" s="348" t="s">
        <v>169</v>
      </c>
      <c r="C2103" s="348" t="s">
        <v>634</v>
      </c>
      <c r="D2103" s="349" t="s">
        <v>635</v>
      </c>
      <c r="E2103" s="336">
        <v>43649</v>
      </c>
      <c r="F2103" s="336"/>
      <c r="G2103" s="336">
        <v>43648</v>
      </c>
      <c r="H2103" s="334" t="s">
        <v>5712</v>
      </c>
      <c r="I2103" s="356">
        <v>15924347158</v>
      </c>
      <c r="J2103" s="361" t="s">
        <v>5713</v>
      </c>
      <c r="K2103" s="356"/>
      <c r="L2103" s="334">
        <v>6237</v>
      </c>
      <c r="M2103" s="419"/>
      <c r="N2103" s="362">
        <f t="shared" si="72"/>
        <v>6237</v>
      </c>
      <c r="O2103" s="356"/>
      <c r="P2103" s="356"/>
      <c r="Q2103" s="356"/>
      <c r="R2103" s="356"/>
      <c r="S2103" s="356"/>
      <c r="T2103" s="356"/>
      <c r="U2103" s="372"/>
      <c r="V2103" s="372"/>
      <c r="W2103" s="372"/>
      <c r="X2103" s="373"/>
      <c r="Y2103" s="348"/>
      <c r="Z2103" s="348"/>
      <c r="AA2103" s="348"/>
    </row>
    <row r="2104" s="331" customFormat="1" ht="17" customHeight="1" spans="1:27">
      <c r="A2104" s="348"/>
      <c r="B2104" s="348" t="s">
        <v>73</v>
      </c>
      <c r="C2104" s="348" t="s">
        <v>74</v>
      </c>
      <c r="D2104" s="349" t="s">
        <v>132</v>
      </c>
      <c r="E2104" s="336">
        <v>43649</v>
      </c>
      <c r="F2104" s="336"/>
      <c r="G2104" s="336">
        <v>43649</v>
      </c>
      <c r="H2104" s="269" t="s">
        <v>5714</v>
      </c>
      <c r="I2104" s="356">
        <v>13917130838</v>
      </c>
      <c r="J2104" s="361" t="s">
        <v>5715</v>
      </c>
      <c r="K2104" s="356"/>
      <c r="L2104" s="334">
        <v>1729</v>
      </c>
      <c r="M2104" s="419"/>
      <c r="N2104" s="362">
        <f t="shared" si="72"/>
        <v>1729</v>
      </c>
      <c r="O2104" s="356"/>
      <c r="P2104" s="356"/>
      <c r="Q2104" s="356"/>
      <c r="R2104" s="356"/>
      <c r="S2104" s="356"/>
      <c r="T2104" s="356"/>
      <c r="U2104" s="372"/>
      <c r="V2104" s="372"/>
      <c r="W2104" s="372"/>
      <c r="X2104" s="373"/>
      <c r="Y2104" s="348"/>
      <c r="Z2104" s="348"/>
      <c r="AA2104" s="348"/>
    </row>
    <row r="2105" s="331" customFormat="1" ht="17" customHeight="1" spans="1:27">
      <c r="A2105" s="348"/>
      <c r="B2105" s="348" t="s">
        <v>137</v>
      </c>
      <c r="C2105" s="334" t="s">
        <v>411</v>
      </c>
      <c r="D2105" s="349" t="s">
        <v>427</v>
      </c>
      <c r="E2105" s="336">
        <v>43650</v>
      </c>
      <c r="F2105" s="336" t="s">
        <v>800</v>
      </c>
      <c r="G2105" s="336">
        <v>43649</v>
      </c>
      <c r="H2105" s="269" t="s">
        <v>5716</v>
      </c>
      <c r="I2105" s="356">
        <v>13764508599</v>
      </c>
      <c r="J2105" s="361" t="s">
        <v>5717</v>
      </c>
      <c r="K2105" s="356"/>
      <c r="L2105" s="419"/>
      <c r="M2105" s="334">
        <v>730</v>
      </c>
      <c r="N2105" s="362">
        <f t="shared" si="72"/>
        <v>730</v>
      </c>
      <c r="O2105" s="356"/>
      <c r="P2105" s="356"/>
      <c r="Q2105" s="356"/>
      <c r="R2105" s="356"/>
      <c r="S2105" s="356"/>
      <c r="T2105" s="356"/>
      <c r="U2105" s="372"/>
      <c r="V2105" s="372"/>
      <c r="W2105" s="372"/>
      <c r="X2105" s="373"/>
      <c r="Y2105" s="348"/>
      <c r="Z2105" s="348"/>
      <c r="AA2105" s="348"/>
    </row>
    <row r="2106" s="331" customFormat="1" ht="17" customHeight="1" spans="1:27">
      <c r="A2106" s="348"/>
      <c r="B2106" s="348" t="s">
        <v>31</v>
      </c>
      <c r="C2106" s="334" t="s">
        <v>220</v>
      </c>
      <c r="D2106" s="349" t="s">
        <v>221</v>
      </c>
      <c r="E2106" s="336">
        <v>43650</v>
      </c>
      <c r="F2106" s="336" t="s">
        <v>800</v>
      </c>
      <c r="G2106" s="336">
        <v>43650</v>
      </c>
      <c r="H2106" s="269" t="s">
        <v>5718</v>
      </c>
      <c r="I2106" s="356">
        <v>13801903511</v>
      </c>
      <c r="J2106" s="361" t="s">
        <v>5719</v>
      </c>
      <c r="K2106" s="356"/>
      <c r="L2106" s="419"/>
      <c r="M2106" s="334">
        <v>1769</v>
      </c>
      <c r="N2106" s="362">
        <f t="shared" ref="N2106:N2113" si="73">L2106+M2106</f>
        <v>1769</v>
      </c>
      <c r="O2106" s="356"/>
      <c r="P2106" s="356"/>
      <c r="Q2106" s="356"/>
      <c r="R2106" s="356"/>
      <c r="S2106" s="356"/>
      <c r="T2106" s="356"/>
      <c r="U2106" s="372"/>
      <c r="V2106" s="372"/>
      <c r="W2106" s="372"/>
      <c r="X2106" s="373"/>
      <c r="Y2106" s="348"/>
      <c r="Z2106" s="348"/>
      <c r="AA2106" s="348"/>
    </row>
    <row r="2107" s="331" customFormat="1" ht="17" customHeight="1" spans="1:27">
      <c r="A2107" s="348"/>
      <c r="B2107" s="348" t="s">
        <v>87</v>
      </c>
      <c r="C2107" s="334" t="s">
        <v>466</v>
      </c>
      <c r="D2107" s="349" t="s">
        <v>1170</v>
      </c>
      <c r="E2107" s="336">
        <v>43650</v>
      </c>
      <c r="F2107" s="336" t="s">
        <v>800</v>
      </c>
      <c r="G2107" s="336">
        <v>43650</v>
      </c>
      <c r="H2107" s="269" t="s">
        <v>5720</v>
      </c>
      <c r="I2107" s="356">
        <v>13764391506</v>
      </c>
      <c r="J2107" s="361" t="s">
        <v>5721</v>
      </c>
      <c r="K2107" s="356"/>
      <c r="L2107" s="419"/>
      <c r="M2107" s="334">
        <v>0</v>
      </c>
      <c r="N2107" s="362">
        <f t="shared" si="73"/>
        <v>0</v>
      </c>
      <c r="O2107" s="356"/>
      <c r="P2107" s="356"/>
      <c r="Q2107" s="356"/>
      <c r="R2107" s="356"/>
      <c r="S2107" s="356"/>
      <c r="T2107" s="356"/>
      <c r="U2107" s="372"/>
      <c r="V2107" s="372"/>
      <c r="W2107" s="372"/>
      <c r="X2107" s="373"/>
      <c r="Y2107" s="348"/>
      <c r="Z2107" s="348"/>
      <c r="AA2107" s="348"/>
    </row>
    <row r="2108" s="331" customFormat="1" ht="17" customHeight="1" spans="1:27">
      <c r="A2108" s="348"/>
      <c r="B2108" s="348" t="s">
        <v>31</v>
      </c>
      <c r="C2108" s="334" t="s">
        <v>251</v>
      </c>
      <c r="D2108" s="349" t="s">
        <v>89</v>
      </c>
      <c r="E2108" s="336">
        <v>43650</v>
      </c>
      <c r="F2108" s="336" t="s">
        <v>800</v>
      </c>
      <c r="G2108" s="336">
        <v>43650</v>
      </c>
      <c r="H2108" s="269" t="s">
        <v>187</v>
      </c>
      <c r="I2108" s="356">
        <v>15800825107</v>
      </c>
      <c r="J2108" s="361" t="s">
        <v>5722</v>
      </c>
      <c r="K2108" s="356"/>
      <c r="L2108" s="419"/>
      <c r="M2108" s="334">
        <f>-1680+2704</f>
        <v>1024</v>
      </c>
      <c r="N2108" s="362">
        <f t="shared" si="73"/>
        <v>1024</v>
      </c>
      <c r="O2108" s="356"/>
      <c r="P2108" s="356"/>
      <c r="Q2108" s="356"/>
      <c r="R2108" s="356"/>
      <c r="S2108" s="356"/>
      <c r="T2108" s="356"/>
      <c r="U2108" s="372"/>
      <c r="V2108" s="372"/>
      <c r="W2108" s="372"/>
      <c r="X2108" s="373"/>
      <c r="Y2108" s="348"/>
      <c r="Z2108" s="348"/>
      <c r="AA2108" s="348"/>
    </row>
    <row r="2109" s="331" customFormat="1" ht="17" customHeight="1" spans="1:27">
      <c r="A2109" s="348"/>
      <c r="B2109" s="348" t="s">
        <v>87</v>
      </c>
      <c r="C2109" s="334" t="s">
        <v>199</v>
      </c>
      <c r="D2109" s="349" t="s">
        <v>75</v>
      </c>
      <c r="E2109" s="336">
        <v>43650</v>
      </c>
      <c r="F2109" s="336" t="s">
        <v>800</v>
      </c>
      <c r="G2109" s="336">
        <v>43650</v>
      </c>
      <c r="H2109" s="269" t="s">
        <v>5723</v>
      </c>
      <c r="I2109" s="356">
        <v>13120610618</v>
      </c>
      <c r="J2109" s="361" t="s">
        <v>5724</v>
      </c>
      <c r="K2109" s="356"/>
      <c r="L2109" s="419"/>
      <c r="M2109" s="334">
        <v>5999</v>
      </c>
      <c r="N2109" s="362">
        <f t="shared" si="73"/>
        <v>5999</v>
      </c>
      <c r="O2109" s="356"/>
      <c r="P2109" s="356"/>
      <c r="Q2109" s="356"/>
      <c r="R2109" s="356"/>
      <c r="S2109" s="356"/>
      <c r="T2109" s="356"/>
      <c r="U2109" s="372"/>
      <c r="V2109" s="372"/>
      <c r="W2109" s="372"/>
      <c r="X2109" s="373"/>
      <c r="Y2109" s="348"/>
      <c r="Z2109" s="348"/>
      <c r="AA2109" s="348"/>
    </row>
    <row r="2110" s="331" customFormat="1" ht="17" customHeight="1" spans="1:27">
      <c r="A2110" s="348"/>
      <c r="B2110" s="348" t="s">
        <v>243</v>
      </c>
      <c r="C2110" s="334" t="s">
        <v>304</v>
      </c>
      <c r="D2110" s="352" t="s">
        <v>49</v>
      </c>
      <c r="E2110" s="336">
        <v>43650</v>
      </c>
      <c r="F2110" s="336" t="s">
        <v>800</v>
      </c>
      <c r="G2110" s="336">
        <v>43647</v>
      </c>
      <c r="H2110" s="269" t="s">
        <v>5725</v>
      </c>
      <c r="I2110" s="356">
        <v>15800519895</v>
      </c>
      <c r="J2110" s="361" t="s">
        <v>5726</v>
      </c>
      <c r="K2110" s="356"/>
      <c r="L2110" s="419"/>
      <c r="M2110" s="334">
        <f>1340-1340</f>
        <v>0</v>
      </c>
      <c r="N2110" s="362">
        <f t="shared" si="73"/>
        <v>0</v>
      </c>
      <c r="O2110" s="356"/>
      <c r="P2110" s="356"/>
      <c r="Q2110" s="356"/>
      <c r="R2110" s="356"/>
      <c r="S2110" s="356"/>
      <c r="T2110" s="356"/>
      <c r="U2110" s="372"/>
      <c r="V2110" s="372"/>
      <c r="W2110" s="372"/>
      <c r="X2110" s="373"/>
      <c r="Y2110" s="348"/>
      <c r="Z2110" s="348"/>
      <c r="AA2110" s="348"/>
    </row>
    <row r="2111" s="331" customFormat="1" ht="17" customHeight="1" spans="1:27">
      <c r="A2111" s="348"/>
      <c r="B2111" s="348" t="s">
        <v>153</v>
      </c>
      <c r="C2111" s="334" t="s">
        <v>154</v>
      </c>
      <c r="D2111" s="349" t="s">
        <v>155</v>
      </c>
      <c r="E2111" s="336">
        <v>43650</v>
      </c>
      <c r="F2111" s="336" t="s">
        <v>800</v>
      </c>
      <c r="G2111" s="336">
        <v>43650</v>
      </c>
      <c r="H2111" s="269" t="s">
        <v>5727</v>
      </c>
      <c r="I2111" s="356">
        <v>13601788502</v>
      </c>
      <c r="J2111" s="361" t="s">
        <v>5728</v>
      </c>
      <c r="K2111" s="356"/>
      <c r="L2111" s="419"/>
      <c r="M2111" s="334">
        <v>0</v>
      </c>
      <c r="N2111" s="362">
        <f t="shared" si="73"/>
        <v>0</v>
      </c>
      <c r="O2111" s="356"/>
      <c r="P2111" s="356"/>
      <c r="Q2111" s="356"/>
      <c r="R2111" s="356"/>
      <c r="S2111" s="356"/>
      <c r="T2111" s="356"/>
      <c r="U2111" s="372"/>
      <c r="V2111" s="372"/>
      <c r="W2111" s="372"/>
      <c r="X2111" s="373"/>
      <c r="Y2111" s="348"/>
      <c r="Z2111" s="348"/>
      <c r="AA2111" s="348"/>
    </row>
    <row r="2112" s="331" customFormat="1" ht="17" customHeight="1" spans="1:27">
      <c r="A2112" s="348"/>
      <c r="B2112" s="348" t="s">
        <v>354</v>
      </c>
      <c r="C2112" s="334" t="s">
        <v>355</v>
      </c>
      <c r="D2112" s="349" t="s">
        <v>356</v>
      </c>
      <c r="E2112" s="336">
        <v>43650</v>
      </c>
      <c r="F2112" s="336" t="s">
        <v>800</v>
      </c>
      <c r="G2112" s="336">
        <v>43650</v>
      </c>
      <c r="H2112" s="269" t="s">
        <v>5729</v>
      </c>
      <c r="I2112" s="356">
        <v>15901766866</v>
      </c>
      <c r="J2112" s="361" t="s">
        <v>5730</v>
      </c>
      <c r="K2112" s="356"/>
      <c r="L2112" s="419"/>
      <c r="M2112" s="334">
        <v>0</v>
      </c>
      <c r="N2112" s="362">
        <f t="shared" si="73"/>
        <v>0</v>
      </c>
      <c r="O2112" s="356"/>
      <c r="P2112" s="356"/>
      <c r="Q2112" s="356"/>
      <c r="R2112" s="356"/>
      <c r="S2112" s="356"/>
      <c r="T2112" s="356"/>
      <c r="U2112" s="372"/>
      <c r="V2112" s="372"/>
      <c r="W2112" s="372"/>
      <c r="X2112" s="373"/>
      <c r="Y2112" s="348"/>
      <c r="Z2112" s="348"/>
      <c r="AA2112" s="348"/>
    </row>
    <row r="2113" s="331" customFormat="1" ht="17" customHeight="1" spans="1:27">
      <c r="A2113" s="348"/>
      <c r="B2113" s="348" t="s">
        <v>73</v>
      </c>
      <c r="C2113" s="334" t="s">
        <v>74</v>
      </c>
      <c r="D2113" s="349" t="s">
        <v>143</v>
      </c>
      <c r="E2113" s="336">
        <v>43647</v>
      </c>
      <c r="F2113" s="336" t="s">
        <v>800</v>
      </c>
      <c r="G2113" s="336">
        <v>43647</v>
      </c>
      <c r="H2113" s="269" t="s">
        <v>5731</v>
      </c>
      <c r="I2113" s="356">
        <v>15618511996</v>
      </c>
      <c r="J2113" s="361" t="s">
        <v>5732</v>
      </c>
      <c r="K2113" s="356"/>
      <c r="L2113" s="419"/>
      <c r="M2113" s="334">
        <v>0</v>
      </c>
      <c r="N2113" s="362">
        <f t="shared" si="73"/>
        <v>0</v>
      </c>
      <c r="O2113" s="356"/>
      <c r="P2113" s="356"/>
      <c r="Q2113" s="356"/>
      <c r="R2113" s="356"/>
      <c r="S2113" s="356"/>
      <c r="T2113" s="356"/>
      <c r="U2113" s="372"/>
      <c r="V2113" s="372"/>
      <c r="W2113" s="372"/>
      <c r="X2113" s="373"/>
      <c r="Y2113" s="348"/>
      <c r="Z2113" s="348"/>
      <c r="AA2113" s="348"/>
    </row>
    <row r="2114" s="331" customFormat="1" ht="17" customHeight="1" spans="1:27">
      <c r="A2114" s="550" t="s">
        <v>5733</v>
      </c>
      <c r="B2114" s="348" t="s">
        <v>123</v>
      </c>
      <c r="C2114" s="348" t="s">
        <v>902</v>
      </c>
      <c r="D2114" s="349" t="s">
        <v>37</v>
      </c>
      <c r="E2114" s="336">
        <v>43666</v>
      </c>
      <c r="F2114" s="336">
        <v>43650</v>
      </c>
      <c r="G2114" s="350">
        <v>43662</v>
      </c>
      <c r="H2114" s="334" t="s">
        <v>5734</v>
      </c>
      <c r="I2114" s="356">
        <v>13917483666</v>
      </c>
      <c r="J2114" s="361" t="s">
        <v>5735</v>
      </c>
      <c r="K2114" s="356">
        <v>5724</v>
      </c>
      <c r="L2114" s="334">
        <v>9841</v>
      </c>
      <c r="M2114" s="419"/>
      <c r="N2114" s="362">
        <f t="shared" ref="N2114:N2150" si="74">L2114+M2114</f>
        <v>9841</v>
      </c>
      <c r="O2114" s="356"/>
      <c r="P2114" s="356"/>
      <c r="Q2114" s="356"/>
      <c r="R2114" s="356"/>
      <c r="S2114" s="356"/>
      <c r="T2114" s="356"/>
      <c r="U2114" s="372"/>
      <c r="V2114" s="372"/>
      <c r="W2114" s="372"/>
      <c r="X2114" s="373"/>
      <c r="Y2114" s="348"/>
      <c r="Z2114" s="348"/>
      <c r="AA2114" s="348"/>
    </row>
    <row r="2115" s="331" customFormat="1" ht="17" customHeight="1" spans="1:27">
      <c r="A2115" s="550" t="s">
        <v>5736</v>
      </c>
      <c r="B2115" s="348" t="s">
        <v>123</v>
      </c>
      <c r="C2115" s="348" t="s">
        <v>902</v>
      </c>
      <c r="D2115" s="349" t="s">
        <v>37</v>
      </c>
      <c r="E2115" s="336">
        <v>43666</v>
      </c>
      <c r="F2115" s="336">
        <v>43652</v>
      </c>
      <c r="G2115" s="336">
        <v>43664</v>
      </c>
      <c r="H2115" s="334" t="s">
        <v>5737</v>
      </c>
      <c r="I2115" s="356">
        <v>15921549369</v>
      </c>
      <c r="J2115" s="361" t="s">
        <v>5738</v>
      </c>
      <c r="K2115" s="356">
        <v>5000</v>
      </c>
      <c r="L2115" s="334">
        <v>9832</v>
      </c>
      <c r="M2115" s="334">
        <v>736</v>
      </c>
      <c r="N2115" s="362">
        <f t="shared" si="74"/>
        <v>10568</v>
      </c>
      <c r="O2115" s="356"/>
      <c r="P2115" s="356"/>
      <c r="Q2115" s="356"/>
      <c r="R2115" s="356"/>
      <c r="S2115" s="356"/>
      <c r="T2115" s="356"/>
      <c r="U2115" s="372"/>
      <c r="V2115" s="372"/>
      <c r="W2115" s="372"/>
      <c r="X2115" s="373"/>
      <c r="Y2115" s="348"/>
      <c r="Z2115" s="348"/>
      <c r="AA2115" s="348"/>
    </row>
    <row r="2116" s="331" customFormat="1" ht="17" customHeight="1" spans="1:28">
      <c r="A2116" s="550" t="s">
        <v>5739</v>
      </c>
      <c r="B2116" s="348" t="s">
        <v>123</v>
      </c>
      <c r="C2116" s="348" t="s">
        <v>902</v>
      </c>
      <c r="D2116" s="349" t="s">
        <v>125</v>
      </c>
      <c r="E2116" s="336">
        <v>43666</v>
      </c>
      <c r="F2116" s="336">
        <v>43652</v>
      </c>
      <c r="G2116" s="336">
        <v>43677</v>
      </c>
      <c r="H2116" s="348" t="s">
        <v>5740</v>
      </c>
      <c r="I2116" s="356">
        <v>13564786712</v>
      </c>
      <c r="J2116" s="361" t="s">
        <v>5741</v>
      </c>
      <c r="K2116" s="356">
        <v>4650</v>
      </c>
      <c r="L2116" s="334">
        <v>4658</v>
      </c>
      <c r="M2116" s="419"/>
      <c r="N2116" s="362">
        <f t="shared" si="74"/>
        <v>4658</v>
      </c>
      <c r="O2116" s="356"/>
      <c r="P2116" s="356"/>
      <c r="Q2116" s="356" t="s">
        <v>52</v>
      </c>
      <c r="R2116" s="356"/>
      <c r="S2116" s="356"/>
      <c r="T2116" s="356"/>
      <c r="U2116" s="372"/>
      <c r="V2116" s="374">
        <v>43697</v>
      </c>
      <c r="W2116" s="372"/>
      <c r="X2116" s="373"/>
      <c r="Y2116" s="348"/>
      <c r="Z2116" s="348"/>
      <c r="AA2116" s="348"/>
      <c r="AB2116" s="331" t="s">
        <v>659</v>
      </c>
    </row>
    <row r="2117" s="331" customFormat="1" ht="15" customHeight="1" spans="1:27">
      <c r="A2117" s="550" t="s">
        <v>5742</v>
      </c>
      <c r="B2117" s="348" t="s">
        <v>58</v>
      </c>
      <c r="C2117" s="348" t="s">
        <v>347</v>
      </c>
      <c r="D2117" s="352" t="s">
        <v>343</v>
      </c>
      <c r="E2117" s="336">
        <v>43729</v>
      </c>
      <c r="F2117" s="336">
        <v>43658</v>
      </c>
      <c r="G2117" s="336">
        <v>43728</v>
      </c>
      <c r="H2117" s="334" t="s">
        <v>5743</v>
      </c>
      <c r="I2117" s="356">
        <v>18918353113</v>
      </c>
      <c r="J2117" s="361" t="s">
        <v>5744</v>
      </c>
      <c r="K2117" s="356">
        <v>1000</v>
      </c>
      <c r="L2117" s="334">
        <v>26196</v>
      </c>
      <c r="M2117" s="334">
        <v>1104</v>
      </c>
      <c r="N2117" s="362">
        <f t="shared" si="74"/>
        <v>27300</v>
      </c>
      <c r="O2117" s="356"/>
      <c r="P2117" s="366"/>
      <c r="Q2117" s="356"/>
      <c r="R2117" s="356"/>
      <c r="S2117" s="356"/>
      <c r="T2117" s="356"/>
      <c r="U2117" s="372"/>
      <c r="V2117" s="372"/>
      <c r="W2117" s="372">
        <v>8.26</v>
      </c>
      <c r="X2117" s="373"/>
      <c r="Y2117" s="348"/>
      <c r="Z2117" s="348"/>
      <c r="AA2117" s="348"/>
    </row>
    <row r="2118" s="331" customFormat="1" ht="17" customHeight="1" spans="1:27">
      <c r="A2118" s="550" t="s">
        <v>5745</v>
      </c>
      <c r="B2118" s="348" t="s">
        <v>123</v>
      </c>
      <c r="C2118" s="348" t="s">
        <v>902</v>
      </c>
      <c r="D2118" s="349" t="s">
        <v>125</v>
      </c>
      <c r="E2118" s="336">
        <v>43666</v>
      </c>
      <c r="F2118" s="336">
        <v>43659</v>
      </c>
      <c r="G2118" s="336">
        <v>43667</v>
      </c>
      <c r="H2118" s="334" t="s">
        <v>5746</v>
      </c>
      <c r="I2118" s="356">
        <v>15221253935</v>
      </c>
      <c r="J2118" s="361" t="s">
        <v>5747</v>
      </c>
      <c r="K2118" s="356">
        <v>1000</v>
      </c>
      <c r="L2118" s="334">
        <v>9200</v>
      </c>
      <c r="M2118" s="419"/>
      <c r="N2118" s="362">
        <f t="shared" si="74"/>
        <v>9200</v>
      </c>
      <c r="O2118" s="356"/>
      <c r="P2118" s="356"/>
      <c r="Q2118" s="356"/>
      <c r="R2118" s="356"/>
      <c r="S2118" s="356"/>
      <c r="T2118" s="356"/>
      <c r="U2118" s="372"/>
      <c r="V2118" s="372"/>
      <c r="W2118" s="372"/>
      <c r="X2118" s="373"/>
      <c r="Y2118" s="348"/>
      <c r="Z2118" s="348"/>
      <c r="AA2118" s="348"/>
    </row>
    <row r="2119" s="331" customFormat="1" ht="17" customHeight="1" spans="1:27">
      <c r="A2119" s="550" t="s">
        <v>5748</v>
      </c>
      <c r="B2119" s="348" t="s">
        <v>123</v>
      </c>
      <c r="C2119" s="348" t="s">
        <v>902</v>
      </c>
      <c r="D2119" s="349" t="s">
        <v>125</v>
      </c>
      <c r="E2119" s="336">
        <v>43666</v>
      </c>
      <c r="F2119" s="336">
        <v>43659</v>
      </c>
      <c r="G2119" s="336">
        <v>43675</v>
      </c>
      <c r="H2119" s="334" t="s">
        <v>5749</v>
      </c>
      <c r="I2119" s="356">
        <v>13916800382</v>
      </c>
      <c r="J2119" s="361" t="s">
        <v>5750</v>
      </c>
      <c r="K2119" s="356">
        <v>1000</v>
      </c>
      <c r="L2119" s="334">
        <v>17557</v>
      </c>
      <c r="M2119" s="334">
        <v>1840</v>
      </c>
      <c r="N2119" s="362">
        <f t="shared" si="74"/>
        <v>19397</v>
      </c>
      <c r="O2119" s="356"/>
      <c r="P2119" s="356"/>
      <c r="Q2119" s="356"/>
      <c r="R2119" s="356"/>
      <c r="S2119" s="356"/>
      <c r="T2119" s="356"/>
      <c r="U2119" s="372"/>
      <c r="V2119" s="372"/>
      <c r="W2119" s="372"/>
      <c r="X2119" s="373"/>
      <c r="Y2119" s="348"/>
      <c r="Z2119" s="348"/>
      <c r="AA2119" s="348"/>
    </row>
    <row r="2120" s="331" customFormat="1" ht="17" customHeight="1" spans="1:28">
      <c r="A2120" s="550" t="s">
        <v>5751</v>
      </c>
      <c r="B2120" s="348" t="s">
        <v>123</v>
      </c>
      <c r="C2120" s="348" t="s">
        <v>902</v>
      </c>
      <c r="D2120" s="349" t="s">
        <v>125</v>
      </c>
      <c r="E2120" s="336">
        <v>43666</v>
      </c>
      <c r="F2120" s="336">
        <v>43664</v>
      </c>
      <c r="G2120" s="356" t="s">
        <v>69</v>
      </c>
      <c r="H2120" s="334" t="s">
        <v>5752</v>
      </c>
      <c r="I2120" s="356">
        <v>18019711992</v>
      </c>
      <c r="J2120" s="361" t="s">
        <v>5753</v>
      </c>
      <c r="K2120" s="356">
        <v>1000</v>
      </c>
      <c r="L2120" s="419"/>
      <c r="M2120" s="419"/>
      <c r="N2120" s="362">
        <f t="shared" si="74"/>
        <v>0</v>
      </c>
      <c r="O2120" s="356"/>
      <c r="P2120" s="356"/>
      <c r="Q2120" s="356"/>
      <c r="R2120" s="356" t="s">
        <v>52</v>
      </c>
      <c r="S2120" s="356"/>
      <c r="T2120" s="356"/>
      <c r="U2120" s="372"/>
      <c r="V2120" s="356" t="s">
        <v>98</v>
      </c>
      <c r="W2120" s="372"/>
      <c r="X2120" s="373"/>
      <c r="Y2120" s="348"/>
      <c r="Z2120" s="348"/>
      <c r="AA2120" s="348"/>
      <c r="AB2120" s="331" t="s">
        <v>659</v>
      </c>
    </row>
    <row r="2121" s="331" customFormat="1" ht="17" customHeight="1" spans="1:27">
      <c r="A2121" s="550" t="s">
        <v>5754</v>
      </c>
      <c r="B2121" s="348" t="s">
        <v>58</v>
      </c>
      <c r="C2121" s="348" t="s">
        <v>347</v>
      </c>
      <c r="D2121" s="349" t="s">
        <v>343</v>
      </c>
      <c r="E2121" s="336">
        <v>43666</v>
      </c>
      <c r="F2121" s="336">
        <v>43665</v>
      </c>
      <c r="G2121" s="350">
        <v>43666</v>
      </c>
      <c r="H2121" s="334" t="s">
        <v>3996</v>
      </c>
      <c r="I2121" s="356">
        <v>13524540925</v>
      </c>
      <c r="J2121" s="361" t="s">
        <v>5755</v>
      </c>
      <c r="K2121" s="356">
        <v>13883</v>
      </c>
      <c r="L2121" s="334">
        <v>13883</v>
      </c>
      <c r="M2121" s="419"/>
      <c r="N2121" s="362">
        <f t="shared" si="74"/>
        <v>13883</v>
      </c>
      <c r="O2121" s="356"/>
      <c r="P2121" s="356"/>
      <c r="Q2121" s="356"/>
      <c r="R2121" s="356"/>
      <c r="S2121" s="356"/>
      <c r="T2121" s="356"/>
      <c r="U2121" s="372"/>
      <c r="V2121" s="372"/>
      <c r="W2121" s="372"/>
      <c r="X2121" s="373"/>
      <c r="Y2121" s="348"/>
      <c r="Z2121" s="348"/>
      <c r="AA2121" s="348"/>
    </row>
    <row r="2122" s="331" customFormat="1" ht="17" customHeight="1" spans="1:27">
      <c r="A2122" s="550" t="s">
        <v>5756</v>
      </c>
      <c r="B2122" s="348" t="s">
        <v>205</v>
      </c>
      <c r="C2122" s="348" t="s">
        <v>1467</v>
      </c>
      <c r="D2122" s="349" t="s">
        <v>407</v>
      </c>
      <c r="E2122" s="336">
        <v>43666</v>
      </c>
      <c r="F2122" s="336">
        <v>43666</v>
      </c>
      <c r="G2122" s="336">
        <v>43672</v>
      </c>
      <c r="H2122" s="334" t="s">
        <v>5757</v>
      </c>
      <c r="I2122" s="356">
        <v>18655185630</v>
      </c>
      <c r="J2122" s="361" t="s">
        <v>5758</v>
      </c>
      <c r="K2122" s="356">
        <v>7205</v>
      </c>
      <c r="L2122" s="334">
        <v>11158</v>
      </c>
      <c r="M2122" s="419"/>
      <c r="N2122" s="362">
        <f t="shared" si="74"/>
        <v>11158</v>
      </c>
      <c r="O2122" s="356"/>
      <c r="P2122" s="356" t="s">
        <v>20</v>
      </c>
      <c r="Q2122" s="356"/>
      <c r="R2122" s="356"/>
      <c r="S2122" s="356"/>
      <c r="T2122" s="356"/>
      <c r="U2122" s="372"/>
      <c r="V2122" s="372"/>
      <c r="W2122" s="372"/>
      <c r="X2122" s="373"/>
      <c r="Y2122" s="348"/>
      <c r="Z2122" s="348"/>
      <c r="AA2122" s="348"/>
    </row>
    <row r="2123" s="331" customFormat="1" ht="17" customHeight="1" spans="1:27">
      <c r="A2123" s="550" t="s">
        <v>5759</v>
      </c>
      <c r="B2123" s="348" t="s">
        <v>153</v>
      </c>
      <c r="C2123" s="348" t="s">
        <v>302</v>
      </c>
      <c r="D2123" s="352" t="s">
        <v>155</v>
      </c>
      <c r="E2123" s="336">
        <v>43706</v>
      </c>
      <c r="F2123" s="336">
        <v>43666</v>
      </c>
      <c r="G2123" s="336">
        <v>43704</v>
      </c>
      <c r="H2123" s="334" t="s">
        <v>5760</v>
      </c>
      <c r="I2123" s="356">
        <v>13601923010</v>
      </c>
      <c r="J2123" s="361" t="s">
        <v>5761</v>
      </c>
      <c r="K2123" s="356">
        <v>1000</v>
      </c>
      <c r="L2123" s="334">
        <v>13499</v>
      </c>
      <c r="M2123" s="419"/>
      <c r="N2123" s="362">
        <f t="shared" si="74"/>
        <v>13499</v>
      </c>
      <c r="O2123" s="356"/>
      <c r="P2123" s="356"/>
      <c r="Q2123" s="356" t="s">
        <v>52</v>
      </c>
      <c r="R2123" s="356"/>
      <c r="S2123" s="356"/>
      <c r="T2123" s="356"/>
      <c r="U2123" s="372"/>
      <c r="V2123" s="372"/>
      <c r="W2123" s="372"/>
      <c r="X2123" s="373"/>
      <c r="Y2123" s="348"/>
      <c r="Z2123" s="348"/>
      <c r="AA2123" s="348"/>
    </row>
    <row r="2124" s="331" customFormat="1" ht="17" customHeight="1" spans="1:27">
      <c r="A2124" s="550" t="s">
        <v>5762</v>
      </c>
      <c r="B2124" s="348" t="s">
        <v>47</v>
      </c>
      <c r="C2124" s="348" t="s">
        <v>53</v>
      </c>
      <c r="D2124" s="352" t="s">
        <v>49</v>
      </c>
      <c r="E2124" s="336">
        <v>43666</v>
      </c>
      <c r="F2124" s="336">
        <v>43660</v>
      </c>
      <c r="G2124" s="336">
        <v>43666</v>
      </c>
      <c r="H2124" s="334" t="s">
        <v>5763</v>
      </c>
      <c r="I2124" s="356">
        <v>13761285069</v>
      </c>
      <c r="J2124" s="361" t="s">
        <v>5764</v>
      </c>
      <c r="K2124" s="356">
        <v>2000</v>
      </c>
      <c r="L2124" s="334">
        <v>12528</v>
      </c>
      <c r="M2124" s="334">
        <v>1472</v>
      </c>
      <c r="N2124" s="362">
        <f t="shared" si="74"/>
        <v>14000</v>
      </c>
      <c r="O2124" s="356"/>
      <c r="P2124" s="356"/>
      <c r="Q2124" s="356"/>
      <c r="R2124" s="356"/>
      <c r="S2124" s="356"/>
      <c r="T2124" s="356"/>
      <c r="U2124" s="372"/>
      <c r="V2124" s="372"/>
      <c r="W2124" s="372"/>
      <c r="X2124" s="373"/>
      <c r="Y2124" s="348"/>
      <c r="Z2124" s="348"/>
      <c r="AA2124" s="348"/>
    </row>
    <row r="2125" s="331" customFormat="1" ht="17" customHeight="1" spans="1:27">
      <c r="A2125" s="348">
        <v>2067257</v>
      </c>
      <c r="B2125" s="348" t="s">
        <v>87</v>
      </c>
      <c r="C2125" s="348" t="s">
        <v>199</v>
      </c>
      <c r="D2125" s="349" t="s">
        <v>37</v>
      </c>
      <c r="E2125" s="336">
        <v>43666</v>
      </c>
      <c r="F2125" s="336">
        <v>43666</v>
      </c>
      <c r="G2125" s="336">
        <v>43667</v>
      </c>
      <c r="H2125" s="334" t="s">
        <v>5765</v>
      </c>
      <c r="I2125" s="356">
        <v>13764694855</v>
      </c>
      <c r="J2125" s="361" t="s">
        <v>5766</v>
      </c>
      <c r="K2125" s="356">
        <v>1000</v>
      </c>
      <c r="L2125" s="334">
        <v>3918</v>
      </c>
      <c r="M2125" s="419"/>
      <c r="N2125" s="362">
        <f t="shared" si="74"/>
        <v>3918</v>
      </c>
      <c r="O2125" s="356"/>
      <c r="P2125" s="356"/>
      <c r="Q2125" s="356"/>
      <c r="R2125" s="356"/>
      <c r="S2125" s="356"/>
      <c r="T2125" s="356"/>
      <c r="U2125" s="372"/>
      <c r="V2125" s="372"/>
      <c r="W2125" s="372"/>
      <c r="X2125" s="373"/>
      <c r="Y2125" s="348"/>
      <c r="Z2125" s="348"/>
      <c r="AA2125" s="348"/>
    </row>
    <row r="2126" s="331" customFormat="1" ht="17" customHeight="1" spans="1:27">
      <c r="A2126" s="348">
        <v>2068581</v>
      </c>
      <c r="B2126" s="348" t="s">
        <v>87</v>
      </c>
      <c r="C2126" s="348" t="s">
        <v>199</v>
      </c>
      <c r="D2126" s="352" t="s">
        <v>89</v>
      </c>
      <c r="E2126" s="336">
        <v>43688</v>
      </c>
      <c r="F2126" s="336">
        <v>43666</v>
      </c>
      <c r="G2126" s="336">
        <v>43688</v>
      </c>
      <c r="H2126" s="334" t="s">
        <v>5767</v>
      </c>
      <c r="I2126" s="356">
        <v>17721166676</v>
      </c>
      <c r="J2126" s="361" t="s">
        <v>5768</v>
      </c>
      <c r="K2126" s="356">
        <v>1000</v>
      </c>
      <c r="L2126" s="334">
        <v>9967</v>
      </c>
      <c r="M2126" s="334">
        <v>1140</v>
      </c>
      <c r="N2126" s="362">
        <f t="shared" si="74"/>
        <v>11107</v>
      </c>
      <c r="O2126" s="356"/>
      <c r="P2126" s="356"/>
      <c r="Q2126" s="411"/>
      <c r="R2126" s="356"/>
      <c r="S2126" s="356"/>
      <c r="T2126" s="356"/>
      <c r="U2126" s="372"/>
      <c r="V2126" s="356" t="s">
        <v>1768</v>
      </c>
      <c r="W2126" s="372"/>
      <c r="X2126" s="373"/>
      <c r="Y2126" s="348"/>
      <c r="Z2126" s="348"/>
      <c r="AA2126" s="348"/>
    </row>
    <row r="2127" s="331" customFormat="1" ht="17" customHeight="1" spans="1:27">
      <c r="A2127" s="348"/>
      <c r="B2127" s="348" t="s">
        <v>31</v>
      </c>
      <c r="C2127" s="348" t="s">
        <v>419</v>
      </c>
      <c r="D2127" s="349" t="s">
        <v>221</v>
      </c>
      <c r="E2127" s="336">
        <v>43666</v>
      </c>
      <c r="F2127" s="336">
        <v>43666</v>
      </c>
      <c r="G2127" s="336">
        <v>43667</v>
      </c>
      <c r="H2127" s="334" t="s">
        <v>5769</v>
      </c>
      <c r="I2127" s="356">
        <v>13601847611</v>
      </c>
      <c r="J2127" s="361" t="s">
        <v>5770</v>
      </c>
      <c r="K2127" s="356">
        <v>1000</v>
      </c>
      <c r="L2127" s="334">
        <v>3484</v>
      </c>
      <c r="M2127" s="334">
        <v>736</v>
      </c>
      <c r="N2127" s="362">
        <f t="shared" si="74"/>
        <v>4220</v>
      </c>
      <c r="O2127" s="356"/>
      <c r="P2127" s="356"/>
      <c r="Q2127" s="356"/>
      <c r="R2127" s="356"/>
      <c r="S2127" s="356"/>
      <c r="T2127" s="356"/>
      <c r="U2127" s="372"/>
      <c r="V2127" s="372"/>
      <c r="W2127" s="372"/>
      <c r="X2127" s="373"/>
      <c r="Y2127" s="348"/>
      <c r="Z2127" s="348"/>
      <c r="AA2127" s="348"/>
    </row>
    <row r="2128" s="331" customFormat="1" ht="17" customHeight="1" spans="1:27">
      <c r="A2128" s="348"/>
      <c r="B2128" s="348" t="s">
        <v>31</v>
      </c>
      <c r="C2128" s="348" t="s">
        <v>3186</v>
      </c>
      <c r="D2128" s="352" t="s">
        <v>221</v>
      </c>
      <c r="E2128" s="336">
        <v>43666</v>
      </c>
      <c r="F2128" s="336">
        <v>43666</v>
      </c>
      <c r="G2128" s="350"/>
      <c r="H2128" s="334" t="s">
        <v>5771</v>
      </c>
      <c r="I2128" s="356">
        <v>15800824116</v>
      </c>
      <c r="J2128" s="361" t="s">
        <v>5772</v>
      </c>
      <c r="K2128" s="356">
        <v>1000</v>
      </c>
      <c r="L2128" s="419"/>
      <c r="M2128" s="419"/>
      <c r="N2128" s="362">
        <f t="shared" si="74"/>
        <v>0</v>
      </c>
      <c r="O2128" s="366"/>
      <c r="P2128" s="366" t="s">
        <v>52</v>
      </c>
      <c r="Q2128" s="356"/>
      <c r="R2128" s="356"/>
      <c r="S2128" s="356"/>
      <c r="T2128" s="356"/>
      <c r="U2128" s="372"/>
      <c r="V2128" s="372"/>
      <c r="W2128" s="372"/>
      <c r="X2128" s="373"/>
      <c r="Y2128" s="348"/>
      <c r="Z2128" s="348"/>
      <c r="AA2128" s="348"/>
    </row>
    <row r="2129" s="331" customFormat="1" ht="17" customHeight="1" spans="1:27">
      <c r="A2129" s="348">
        <v>2022584</v>
      </c>
      <c r="B2129" s="348" t="s">
        <v>73</v>
      </c>
      <c r="C2129" s="348" t="s">
        <v>74</v>
      </c>
      <c r="D2129" s="334" t="s">
        <v>717</v>
      </c>
      <c r="E2129" s="336">
        <v>43738</v>
      </c>
      <c r="F2129" s="336">
        <v>43666</v>
      </c>
      <c r="G2129" s="336">
        <v>43737</v>
      </c>
      <c r="H2129" s="334" t="s">
        <v>5773</v>
      </c>
      <c r="I2129" s="356">
        <v>13816002926</v>
      </c>
      <c r="J2129" s="361" t="s">
        <v>5774</v>
      </c>
      <c r="K2129" s="356">
        <v>1000</v>
      </c>
      <c r="L2129" s="334">
        <v>16801</v>
      </c>
      <c r="M2129" s="419"/>
      <c r="N2129" s="362">
        <f t="shared" si="74"/>
        <v>16801</v>
      </c>
      <c r="O2129" s="356"/>
      <c r="P2129" s="366" t="s">
        <v>52</v>
      </c>
      <c r="Q2129" s="356"/>
      <c r="R2129" s="356"/>
      <c r="S2129" s="356"/>
      <c r="T2129" s="356"/>
      <c r="U2129" s="372"/>
      <c r="V2129" s="372"/>
      <c r="W2129" s="372"/>
      <c r="X2129" s="373"/>
      <c r="Y2129" s="348"/>
      <c r="Z2129" s="348"/>
      <c r="AA2129" s="348"/>
    </row>
    <row r="2130" s="331" customFormat="1" ht="17" customHeight="1" spans="1:27">
      <c r="A2130" s="550" t="s">
        <v>5775</v>
      </c>
      <c r="B2130" s="348" t="s">
        <v>354</v>
      </c>
      <c r="C2130" s="348" t="s">
        <v>355</v>
      </c>
      <c r="D2130" s="349" t="s">
        <v>343</v>
      </c>
      <c r="E2130" s="336">
        <v>43666</v>
      </c>
      <c r="F2130" s="336">
        <v>43665</v>
      </c>
      <c r="G2130" s="336">
        <v>43673</v>
      </c>
      <c r="H2130" s="334" t="s">
        <v>5776</v>
      </c>
      <c r="I2130" s="356">
        <v>13590161006</v>
      </c>
      <c r="J2130" s="361" t="s">
        <v>5777</v>
      </c>
      <c r="K2130" s="356">
        <v>9000</v>
      </c>
      <c r="L2130" s="334">
        <v>6720</v>
      </c>
      <c r="M2130" s="334">
        <v>1472</v>
      </c>
      <c r="N2130" s="362">
        <f t="shared" si="74"/>
        <v>8192</v>
      </c>
      <c r="O2130" s="356"/>
      <c r="P2130" s="356"/>
      <c r="Q2130" s="356"/>
      <c r="R2130" s="356"/>
      <c r="S2130" s="356"/>
      <c r="T2130" s="356"/>
      <c r="U2130" s="372"/>
      <c r="V2130" s="372"/>
      <c r="W2130" s="372"/>
      <c r="X2130" s="373"/>
      <c r="Y2130" s="348"/>
      <c r="Z2130" s="348"/>
      <c r="AA2130" s="348"/>
    </row>
    <row r="2131" s="331" customFormat="1" ht="17" customHeight="1" spans="1:27">
      <c r="A2131" s="550" t="s">
        <v>5778</v>
      </c>
      <c r="B2131" s="348" t="s">
        <v>73</v>
      </c>
      <c r="C2131" s="348" t="s">
        <v>178</v>
      </c>
      <c r="D2131" s="352" t="s">
        <v>75</v>
      </c>
      <c r="E2131" s="336">
        <v>43667</v>
      </c>
      <c r="F2131" s="336">
        <v>43667</v>
      </c>
      <c r="G2131" s="350"/>
      <c r="H2131" s="334" t="s">
        <v>5779</v>
      </c>
      <c r="I2131" s="356">
        <v>13918117857</v>
      </c>
      <c r="J2131" s="361" t="s">
        <v>5780</v>
      </c>
      <c r="K2131" s="356">
        <v>1000</v>
      </c>
      <c r="L2131" s="419"/>
      <c r="M2131" s="419"/>
      <c r="N2131" s="362">
        <f t="shared" si="74"/>
        <v>0</v>
      </c>
      <c r="O2131" s="366"/>
      <c r="P2131" s="366" t="s">
        <v>52</v>
      </c>
      <c r="Q2131" s="356"/>
      <c r="R2131" s="356"/>
      <c r="S2131" s="356"/>
      <c r="T2131" s="356"/>
      <c r="U2131" s="372"/>
      <c r="V2131" s="372"/>
      <c r="W2131" s="372"/>
      <c r="X2131" s="373"/>
      <c r="Y2131" s="348"/>
      <c r="Z2131" s="348"/>
      <c r="AA2131" s="348"/>
    </row>
    <row r="2132" s="331" customFormat="1" ht="17" customHeight="1" spans="1:27">
      <c r="A2132" s="348">
        <v>2022582</v>
      </c>
      <c r="B2132" s="348" t="s">
        <v>73</v>
      </c>
      <c r="C2132" s="348" t="s">
        <v>178</v>
      </c>
      <c r="D2132" s="349" t="s">
        <v>132</v>
      </c>
      <c r="E2132" s="336">
        <v>43696</v>
      </c>
      <c r="F2132" s="336">
        <v>43666</v>
      </c>
      <c r="G2132" s="336">
        <v>43695</v>
      </c>
      <c r="H2132" s="334" t="s">
        <v>5781</v>
      </c>
      <c r="I2132" s="356">
        <v>13795482461</v>
      </c>
      <c r="J2132" s="361" t="s">
        <v>5782</v>
      </c>
      <c r="K2132" s="356">
        <v>1000</v>
      </c>
      <c r="L2132" s="334">
        <f>18785-736</f>
        <v>18049</v>
      </c>
      <c r="M2132" s="334">
        <v>736</v>
      </c>
      <c r="N2132" s="362">
        <f t="shared" si="74"/>
        <v>18785</v>
      </c>
      <c r="O2132" s="356"/>
      <c r="P2132" s="366" t="s">
        <v>52</v>
      </c>
      <c r="Q2132" s="356"/>
      <c r="R2132" s="356"/>
      <c r="S2132" s="356"/>
      <c r="T2132" s="356"/>
      <c r="U2132" s="372"/>
      <c r="V2132" s="372"/>
      <c r="W2132" s="372"/>
      <c r="X2132" s="373"/>
      <c r="Y2132" s="348"/>
      <c r="Z2132" s="348"/>
      <c r="AA2132" s="348"/>
    </row>
    <row r="2133" s="331" customFormat="1" ht="17" customHeight="1" spans="1:27">
      <c r="A2133" s="348"/>
      <c r="B2133" s="348" t="s">
        <v>31</v>
      </c>
      <c r="C2133" s="348" t="s">
        <v>419</v>
      </c>
      <c r="D2133" s="352" t="s">
        <v>221</v>
      </c>
      <c r="E2133" s="336">
        <v>43695</v>
      </c>
      <c r="F2133" s="336">
        <v>43666</v>
      </c>
      <c r="G2133" s="336">
        <v>43693</v>
      </c>
      <c r="H2133" s="334" t="s">
        <v>5783</v>
      </c>
      <c r="I2133" s="356">
        <v>19957144151</v>
      </c>
      <c r="J2133" s="361" t="s">
        <v>5784</v>
      </c>
      <c r="K2133" s="356">
        <v>1000</v>
      </c>
      <c r="L2133" s="334">
        <v>11003</v>
      </c>
      <c r="M2133" s="334">
        <v>6997</v>
      </c>
      <c r="N2133" s="362">
        <f t="shared" si="74"/>
        <v>18000</v>
      </c>
      <c r="O2133" s="356"/>
      <c r="P2133" s="356"/>
      <c r="Q2133" s="356"/>
      <c r="R2133" s="356"/>
      <c r="S2133" s="356"/>
      <c r="T2133" s="356"/>
      <c r="U2133" s="372"/>
      <c r="V2133" s="372"/>
      <c r="W2133" s="372" t="s">
        <v>52</v>
      </c>
      <c r="X2133" s="373"/>
      <c r="Y2133" s="348"/>
      <c r="Z2133" s="348"/>
      <c r="AA2133" s="348"/>
    </row>
    <row r="2134" s="331" customFormat="1" ht="17" customHeight="1" spans="1:27">
      <c r="A2134" s="348">
        <v>2022583</v>
      </c>
      <c r="B2134" s="348" t="s">
        <v>73</v>
      </c>
      <c r="C2134" s="348" t="s">
        <v>178</v>
      </c>
      <c r="D2134" s="349" t="s">
        <v>132</v>
      </c>
      <c r="E2134" s="336">
        <v>43666</v>
      </c>
      <c r="F2134" s="336">
        <v>43666</v>
      </c>
      <c r="G2134" s="336">
        <v>43677</v>
      </c>
      <c r="H2134" s="334" t="s">
        <v>5785</v>
      </c>
      <c r="I2134" s="356">
        <v>13501854089</v>
      </c>
      <c r="J2134" s="361" t="s">
        <v>5786</v>
      </c>
      <c r="K2134" s="356">
        <v>1000</v>
      </c>
      <c r="L2134" s="334">
        <v>128283</v>
      </c>
      <c r="M2134" s="419"/>
      <c r="N2134" s="362">
        <f t="shared" si="74"/>
        <v>128283</v>
      </c>
      <c r="O2134" s="356"/>
      <c r="P2134" s="366" t="s">
        <v>52</v>
      </c>
      <c r="Q2134" s="356"/>
      <c r="R2134" s="356"/>
      <c r="S2134" s="356"/>
      <c r="T2134" s="356"/>
      <c r="U2134" s="372"/>
      <c r="V2134" s="372"/>
      <c r="W2134" s="372"/>
      <c r="X2134" s="373"/>
      <c r="Y2134" s="348"/>
      <c r="Z2134" s="348"/>
      <c r="AA2134" s="348"/>
    </row>
    <row r="2135" s="331" customFormat="1" ht="17" customHeight="1" spans="1:27">
      <c r="A2135" s="348"/>
      <c r="B2135" s="348" t="s">
        <v>2625</v>
      </c>
      <c r="C2135" s="348" t="s">
        <v>2626</v>
      </c>
      <c r="D2135" s="349" t="s">
        <v>44</v>
      </c>
      <c r="E2135" s="336">
        <v>43666</v>
      </c>
      <c r="F2135" s="336">
        <v>43666</v>
      </c>
      <c r="G2135" s="336">
        <v>43669</v>
      </c>
      <c r="H2135" s="334" t="s">
        <v>5787</v>
      </c>
      <c r="I2135" s="356">
        <v>13816992087</v>
      </c>
      <c r="J2135" s="361" t="s">
        <v>5788</v>
      </c>
      <c r="K2135" s="356">
        <v>3000</v>
      </c>
      <c r="L2135" s="334">
        <v>11321</v>
      </c>
      <c r="M2135" s="334">
        <v>840</v>
      </c>
      <c r="N2135" s="362">
        <f t="shared" si="74"/>
        <v>12161</v>
      </c>
      <c r="O2135" s="356"/>
      <c r="P2135" s="356"/>
      <c r="Q2135" s="356"/>
      <c r="R2135" s="356"/>
      <c r="S2135" s="356"/>
      <c r="T2135" s="356"/>
      <c r="U2135" s="372"/>
      <c r="V2135" s="372"/>
      <c r="W2135" s="372"/>
      <c r="X2135" s="373"/>
      <c r="Y2135" s="348"/>
      <c r="Z2135" s="348"/>
      <c r="AA2135" s="348"/>
    </row>
    <row r="2136" s="331" customFormat="1" ht="17" customHeight="1" spans="1:27">
      <c r="A2136" s="550" t="s">
        <v>5789</v>
      </c>
      <c r="B2136" s="348" t="s">
        <v>2625</v>
      </c>
      <c r="C2136" s="348" t="s">
        <v>2626</v>
      </c>
      <c r="D2136" s="334" t="s">
        <v>337</v>
      </c>
      <c r="E2136" s="336">
        <v>43722</v>
      </c>
      <c r="F2136" s="336">
        <v>43666</v>
      </c>
      <c r="G2136" s="336">
        <v>43722</v>
      </c>
      <c r="H2136" s="334" t="s">
        <v>5790</v>
      </c>
      <c r="I2136" s="356">
        <v>13524874068</v>
      </c>
      <c r="J2136" s="361" t="s">
        <v>5791</v>
      </c>
      <c r="K2136" s="356">
        <v>3000</v>
      </c>
      <c r="L2136" s="334">
        <v>8200</v>
      </c>
      <c r="M2136" s="334">
        <v>1100</v>
      </c>
      <c r="N2136" s="362">
        <f t="shared" si="74"/>
        <v>9300</v>
      </c>
      <c r="O2136" s="356"/>
      <c r="P2136" s="356"/>
      <c r="Q2136" s="356"/>
      <c r="R2136" s="356" t="s">
        <v>3660</v>
      </c>
      <c r="S2136" s="356"/>
      <c r="T2136" s="356"/>
      <c r="U2136" s="372"/>
      <c r="V2136" s="372"/>
      <c r="W2136" s="372"/>
      <c r="X2136" s="373"/>
      <c r="Y2136" s="348"/>
      <c r="Z2136" s="348"/>
      <c r="AA2136" s="348"/>
    </row>
    <row r="2137" s="331" customFormat="1" ht="17" customHeight="1" spans="1:27">
      <c r="A2137" s="550" t="s">
        <v>5792</v>
      </c>
      <c r="B2137" s="348" t="s">
        <v>205</v>
      </c>
      <c r="C2137" s="348" t="s">
        <v>1467</v>
      </c>
      <c r="D2137" s="352" t="s">
        <v>1170</v>
      </c>
      <c r="E2137" s="336">
        <v>43666</v>
      </c>
      <c r="F2137" s="336">
        <v>43646</v>
      </c>
      <c r="G2137" s="350"/>
      <c r="H2137" s="334" t="s">
        <v>5793</v>
      </c>
      <c r="I2137" s="356">
        <v>17717506884</v>
      </c>
      <c r="J2137" s="361" t="s">
        <v>5794</v>
      </c>
      <c r="K2137" s="356">
        <v>1000</v>
      </c>
      <c r="L2137" s="419"/>
      <c r="M2137" s="419"/>
      <c r="N2137" s="362">
        <f t="shared" si="74"/>
        <v>0</v>
      </c>
      <c r="O2137" s="356" t="s">
        <v>4998</v>
      </c>
      <c r="P2137" s="356"/>
      <c r="Q2137" s="356"/>
      <c r="R2137" s="356"/>
      <c r="S2137" s="356"/>
      <c r="T2137" s="356"/>
      <c r="U2137" s="393" t="s">
        <v>40</v>
      </c>
      <c r="V2137" s="372"/>
      <c r="W2137" s="372"/>
      <c r="X2137" s="373"/>
      <c r="Y2137" s="348"/>
      <c r="Z2137" s="348"/>
      <c r="AA2137" s="348"/>
    </row>
    <row r="2138" s="331" customFormat="1" ht="17" customHeight="1" spans="1:27">
      <c r="A2138" s="348">
        <v>2022256</v>
      </c>
      <c r="B2138" s="348" t="s">
        <v>243</v>
      </c>
      <c r="C2138" s="348" t="s">
        <v>309</v>
      </c>
      <c r="D2138" s="352" t="s">
        <v>49</v>
      </c>
      <c r="E2138" s="336">
        <v>43666</v>
      </c>
      <c r="F2138" s="336">
        <v>43666</v>
      </c>
      <c r="G2138" s="350"/>
      <c r="H2138" s="334" t="s">
        <v>5795</v>
      </c>
      <c r="I2138" s="356">
        <v>13701649023</v>
      </c>
      <c r="J2138" s="361" t="s">
        <v>5796</v>
      </c>
      <c r="K2138" s="356">
        <v>1000</v>
      </c>
      <c r="L2138" s="419"/>
      <c r="M2138" s="419"/>
      <c r="N2138" s="362">
        <f t="shared" si="74"/>
        <v>0</v>
      </c>
      <c r="O2138" s="356" t="s">
        <v>52</v>
      </c>
      <c r="P2138" s="356"/>
      <c r="Q2138" s="356"/>
      <c r="R2138" s="356"/>
      <c r="S2138" s="356"/>
      <c r="T2138" s="356"/>
      <c r="U2138" s="372"/>
      <c r="V2138" s="372"/>
      <c r="W2138" s="372"/>
      <c r="X2138" s="373"/>
      <c r="Y2138" s="348"/>
      <c r="Z2138" s="348"/>
      <c r="AA2138" s="348"/>
    </row>
    <row r="2139" s="331" customFormat="1" ht="17" customHeight="1" spans="1:27">
      <c r="A2139" s="348">
        <v>2022257</v>
      </c>
      <c r="B2139" s="348" t="s">
        <v>243</v>
      </c>
      <c r="C2139" s="348" t="s">
        <v>304</v>
      </c>
      <c r="D2139" s="352" t="s">
        <v>49</v>
      </c>
      <c r="E2139" s="336">
        <v>43692</v>
      </c>
      <c r="F2139" s="336">
        <v>43666</v>
      </c>
      <c r="G2139" s="336">
        <v>43682</v>
      </c>
      <c r="H2139" s="334" t="s">
        <v>5797</v>
      </c>
      <c r="I2139" s="356">
        <v>15221213118</v>
      </c>
      <c r="J2139" s="361" t="s">
        <v>5798</v>
      </c>
      <c r="K2139" s="356">
        <v>0</v>
      </c>
      <c r="L2139" s="334">
        <f>5695-2299-125</f>
        <v>3271</v>
      </c>
      <c r="M2139" s="334">
        <f>2299+125</f>
        <v>2424</v>
      </c>
      <c r="N2139" s="362">
        <f t="shared" si="74"/>
        <v>5695</v>
      </c>
      <c r="O2139" s="356"/>
      <c r="P2139" s="356"/>
      <c r="Q2139" s="356"/>
      <c r="R2139" s="356"/>
      <c r="S2139" s="356"/>
      <c r="T2139" s="356"/>
      <c r="U2139" s="372"/>
      <c r="V2139" s="372"/>
      <c r="W2139" s="372"/>
      <c r="X2139" s="373"/>
      <c r="Y2139" s="348"/>
      <c r="Z2139" s="348"/>
      <c r="AA2139" s="348"/>
    </row>
    <row r="2140" s="331" customFormat="1" ht="17" customHeight="1" spans="1:27">
      <c r="A2140" s="348">
        <v>2066622</v>
      </c>
      <c r="B2140" s="348" t="s">
        <v>335</v>
      </c>
      <c r="C2140" s="348" t="s">
        <v>615</v>
      </c>
      <c r="D2140" s="352" t="s">
        <v>337</v>
      </c>
      <c r="E2140" s="336">
        <v>43692</v>
      </c>
      <c r="F2140" s="336">
        <v>43666</v>
      </c>
      <c r="G2140" s="336">
        <v>43692</v>
      </c>
      <c r="H2140" s="334" t="s">
        <v>5799</v>
      </c>
      <c r="I2140" s="356">
        <v>18916017925</v>
      </c>
      <c r="J2140" s="361" t="s">
        <v>5800</v>
      </c>
      <c r="K2140" s="356">
        <v>1000</v>
      </c>
      <c r="L2140" s="334">
        <f>12386-1140</f>
        <v>11246</v>
      </c>
      <c r="M2140" s="334">
        <v>1140</v>
      </c>
      <c r="N2140" s="362">
        <f t="shared" si="74"/>
        <v>12386</v>
      </c>
      <c r="O2140" s="356"/>
      <c r="P2140" s="356" t="s">
        <v>1526</v>
      </c>
      <c r="Q2140" s="356"/>
      <c r="R2140" s="356"/>
      <c r="S2140" s="356"/>
      <c r="T2140" s="356"/>
      <c r="U2140" s="372"/>
      <c r="V2140" s="372"/>
      <c r="W2140" s="372"/>
      <c r="X2140" s="373"/>
      <c r="Y2140" s="348"/>
      <c r="Z2140" s="348"/>
      <c r="AA2140" s="348"/>
    </row>
    <row r="2141" s="331" customFormat="1" ht="17" customHeight="1" spans="1:27">
      <c r="A2141" s="550" t="s">
        <v>5801</v>
      </c>
      <c r="B2141" s="348" t="s">
        <v>315</v>
      </c>
      <c r="C2141" s="348" t="s">
        <v>161</v>
      </c>
      <c r="D2141" s="352" t="s">
        <v>162</v>
      </c>
      <c r="E2141" s="336">
        <v>43786</v>
      </c>
      <c r="F2141" s="336">
        <v>43666</v>
      </c>
      <c r="G2141" s="336">
        <v>43786</v>
      </c>
      <c r="H2141" s="334" t="s">
        <v>5802</v>
      </c>
      <c r="I2141" s="356">
        <v>13764350340</v>
      </c>
      <c r="J2141" s="361" t="s">
        <v>5803</v>
      </c>
      <c r="K2141" s="356">
        <v>1000</v>
      </c>
      <c r="L2141" s="334">
        <v>20949</v>
      </c>
      <c r="M2141" s="419"/>
      <c r="N2141" s="362">
        <f t="shared" si="74"/>
        <v>20949</v>
      </c>
      <c r="O2141" s="356">
        <v>1</v>
      </c>
      <c r="P2141" s="356"/>
      <c r="Q2141" s="356"/>
      <c r="R2141" s="356"/>
      <c r="S2141" s="356"/>
      <c r="T2141" s="356"/>
      <c r="U2141" s="372"/>
      <c r="V2141" s="372"/>
      <c r="W2141" s="372"/>
      <c r="X2141" s="373"/>
      <c r="Y2141" s="348"/>
      <c r="Z2141" s="348"/>
      <c r="AA2141" s="348"/>
    </row>
    <row r="2142" s="331" customFormat="1" ht="17" customHeight="1" spans="1:27">
      <c r="A2142" s="348">
        <v>2022586</v>
      </c>
      <c r="B2142" s="348" t="s">
        <v>73</v>
      </c>
      <c r="C2142" s="348" t="s">
        <v>74</v>
      </c>
      <c r="D2142" s="349" t="s">
        <v>717</v>
      </c>
      <c r="E2142" s="336">
        <v>43666</v>
      </c>
      <c r="F2142" s="336">
        <v>43666</v>
      </c>
      <c r="G2142" s="336">
        <v>43677</v>
      </c>
      <c r="H2142" s="334" t="s">
        <v>5804</v>
      </c>
      <c r="I2142" s="356">
        <v>15800311416</v>
      </c>
      <c r="J2142" s="361" t="s">
        <v>5805</v>
      </c>
      <c r="K2142" s="356">
        <v>1000</v>
      </c>
      <c r="L2142" s="334">
        <v>16157</v>
      </c>
      <c r="M2142" s="419"/>
      <c r="N2142" s="362">
        <f t="shared" si="74"/>
        <v>16157</v>
      </c>
      <c r="O2142" s="356"/>
      <c r="P2142" s="366" t="s">
        <v>52</v>
      </c>
      <c r="Q2142" s="356"/>
      <c r="R2142" s="356"/>
      <c r="S2142" s="356"/>
      <c r="T2142" s="356"/>
      <c r="U2142" s="372"/>
      <c r="V2142" s="372"/>
      <c r="W2142" s="372"/>
      <c r="X2142" s="373"/>
      <c r="Y2142" s="348"/>
      <c r="Z2142" s="348"/>
      <c r="AA2142" s="348"/>
    </row>
    <row r="2143" s="331" customFormat="1" ht="17" customHeight="1" spans="1:27">
      <c r="A2143" s="348">
        <v>2022584</v>
      </c>
      <c r="B2143" s="348" t="s">
        <v>73</v>
      </c>
      <c r="C2143" s="348" t="s">
        <v>74</v>
      </c>
      <c r="D2143" s="349" t="s">
        <v>143</v>
      </c>
      <c r="E2143" s="336">
        <v>43688</v>
      </c>
      <c r="F2143" s="336">
        <v>43666</v>
      </c>
      <c r="G2143" s="336">
        <v>43687</v>
      </c>
      <c r="H2143" s="334" t="s">
        <v>5806</v>
      </c>
      <c r="I2143" s="356">
        <v>13816002826</v>
      </c>
      <c r="J2143" s="361" t="s">
        <v>5807</v>
      </c>
      <c r="K2143" s="356">
        <v>1000</v>
      </c>
      <c r="L2143" s="334">
        <v>14355</v>
      </c>
      <c r="M2143" s="419"/>
      <c r="N2143" s="362">
        <f t="shared" si="74"/>
        <v>14355</v>
      </c>
      <c r="O2143" s="356"/>
      <c r="P2143" s="366" t="s">
        <v>52</v>
      </c>
      <c r="Q2143" s="356"/>
      <c r="R2143" s="356"/>
      <c r="S2143" s="356"/>
      <c r="T2143" s="356"/>
      <c r="U2143" s="372"/>
      <c r="V2143" s="372"/>
      <c r="W2143" s="372"/>
      <c r="X2143" s="373"/>
      <c r="Y2143" s="348"/>
      <c r="Z2143" s="348"/>
      <c r="AA2143" s="348"/>
    </row>
    <row r="2144" s="331" customFormat="1" ht="17" customHeight="1" spans="1:27">
      <c r="A2144" s="550" t="s">
        <v>5808</v>
      </c>
      <c r="B2144" s="348" t="s">
        <v>169</v>
      </c>
      <c r="C2144" s="348" t="s">
        <v>542</v>
      </c>
      <c r="D2144" s="352" t="s">
        <v>171</v>
      </c>
      <c r="E2144" s="336">
        <v>43700</v>
      </c>
      <c r="F2144" s="336">
        <v>43666</v>
      </c>
      <c r="G2144" s="336">
        <v>43698</v>
      </c>
      <c r="H2144" s="334" t="s">
        <v>5809</v>
      </c>
      <c r="I2144" s="356">
        <v>13880462163</v>
      </c>
      <c r="J2144" s="361" t="s">
        <v>5810</v>
      </c>
      <c r="K2144" s="356">
        <v>1000</v>
      </c>
      <c r="L2144" s="334">
        <v>29431</v>
      </c>
      <c r="M2144" s="334">
        <v>-2487</v>
      </c>
      <c r="N2144" s="362">
        <f t="shared" si="74"/>
        <v>26944</v>
      </c>
      <c r="O2144" s="356"/>
      <c r="P2144" s="356" t="s">
        <v>1526</v>
      </c>
      <c r="Q2144" s="356"/>
      <c r="R2144" s="356"/>
      <c r="S2144" s="356"/>
      <c r="T2144" s="356"/>
      <c r="U2144" s="372"/>
      <c r="V2144" s="372"/>
      <c r="W2144" s="372"/>
      <c r="X2144" s="373"/>
      <c r="Y2144" s="348"/>
      <c r="Z2144" s="348"/>
      <c r="AA2144" s="348"/>
    </row>
    <row r="2145" s="331" customFormat="1" ht="17" customHeight="1" spans="1:27">
      <c r="A2145" s="348"/>
      <c r="B2145" s="348" t="s">
        <v>31</v>
      </c>
      <c r="C2145" s="348" t="s">
        <v>3186</v>
      </c>
      <c r="D2145" s="334" t="s">
        <v>33</v>
      </c>
      <c r="E2145" s="336">
        <v>43708</v>
      </c>
      <c r="F2145" s="336">
        <v>43666</v>
      </c>
      <c r="G2145" s="336">
        <v>43708</v>
      </c>
      <c r="H2145" s="334" t="s">
        <v>5811</v>
      </c>
      <c r="I2145" s="356">
        <v>13524554275</v>
      </c>
      <c r="J2145" s="361" t="s">
        <v>5812</v>
      </c>
      <c r="K2145" s="356">
        <v>1000</v>
      </c>
      <c r="L2145" s="334">
        <v>40000</v>
      </c>
      <c r="M2145" s="419"/>
      <c r="N2145" s="362">
        <f t="shared" si="74"/>
        <v>40000</v>
      </c>
      <c r="O2145" s="366"/>
      <c r="P2145" s="366" t="s">
        <v>52</v>
      </c>
      <c r="Q2145" s="356"/>
      <c r="R2145" s="356"/>
      <c r="S2145" s="356"/>
      <c r="T2145" s="356"/>
      <c r="U2145" s="372"/>
      <c r="V2145" s="372"/>
      <c r="W2145" s="372"/>
      <c r="X2145" s="373"/>
      <c r="Y2145" s="348"/>
      <c r="Z2145" s="348"/>
      <c r="AA2145" s="348"/>
    </row>
    <row r="2146" s="331" customFormat="1" ht="17" customHeight="1" spans="1:27">
      <c r="A2146" s="550" t="s">
        <v>5813</v>
      </c>
      <c r="B2146" s="348" t="s">
        <v>169</v>
      </c>
      <c r="C2146" s="348" t="s">
        <v>634</v>
      </c>
      <c r="D2146" s="352" t="s">
        <v>635</v>
      </c>
      <c r="E2146" s="336">
        <v>43666</v>
      </c>
      <c r="F2146" s="336">
        <v>43666</v>
      </c>
      <c r="G2146" s="336">
        <v>43672</v>
      </c>
      <c r="H2146" s="334" t="s">
        <v>5814</v>
      </c>
      <c r="I2146" s="356">
        <v>13058834178</v>
      </c>
      <c r="J2146" s="361" t="s">
        <v>5815</v>
      </c>
      <c r="K2146" s="356">
        <v>1000</v>
      </c>
      <c r="L2146" s="334">
        <v>2565</v>
      </c>
      <c r="M2146" s="334">
        <v>1680</v>
      </c>
      <c r="N2146" s="362">
        <f t="shared" si="74"/>
        <v>4245</v>
      </c>
      <c r="O2146" s="356"/>
      <c r="P2146" s="356"/>
      <c r="Q2146" s="356"/>
      <c r="R2146" s="356"/>
      <c r="S2146" s="356" t="s">
        <v>2134</v>
      </c>
      <c r="T2146" s="356"/>
      <c r="U2146" s="372"/>
      <c r="V2146" s="372"/>
      <c r="W2146" s="372"/>
      <c r="X2146" s="373"/>
      <c r="Y2146" s="348"/>
      <c r="Z2146" s="348"/>
      <c r="AA2146" s="348"/>
    </row>
    <row r="2147" s="331" customFormat="1" ht="17" customHeight="1" spans="1:27">
      <c r="A2147" s="550" t="s">
        <v>5816</v>
      </c>
      <c r="B2147" s="348" t="s">
        <v>31</v>
      </c>
      <c r="C2147" s="334" t="s">
        <v>419</v>
      </c>
      <c r="D2147" s="349" t="s">
        <v>407</v>
      </c>
      <c r="E2147" s="336">
        <v>43666</v>
      </c>
      <c r="F2147" s="336">
        <v>43666</v>
      </c>
      <c r="G2147" s="336">
        <v>43666</v>
      </c>
      <c r="H2147" s="334" t="s">
        <v>5817</v>
      </c>
      <c r="I2147" s="356">
        <v>13564694771</v>
      </c>
      <c r="J2147" s="361" t="s">
        <v>5818</v>
      </c>
      <c r="K2147" s="356">
        <v>0</v>
      </c>
      <c r="L2147" s="334">
        <v>2040</v>
      </c>
      <c r="M2147" s="334">
        <v>268</v>
      </c>
      <c r="N2147" s="362">
        <f t="shared" si="74"/>
        <v>2308</v>
      </c>
      <c r="O2147" s="356"/>
      <c r="P2147" s="356"/>
      <c r="Q2147" s="356"/>
      <c r="R2147" s="356"/>
      <c r="S2147" s="356"/>
      <c r="T2147" s="356"/>
      <c r="U2147" s="372"/>
      <c r="V2147" s="372"/>
      <c r="W2147" s="372"/>
      <c r="X2147" s="373"/>
      <c r="Y2147" s="348"/>
      <c r="Z2147" s="348"/>
      <c r="AA2147" s="348"/>
    </row>
    <row r="2148" s="331" customFormat="1" ht="17" customHeight="1" spans="1:27">
      <c r="A2148" s="348"/>
      <c r="B2148" s="348" t="s">
        <v>58</v>
      </c>
      <c r="C2148" s="334" t="s">
        <v>347</v>
      </c>
      <c r="D2148" s="349" t="s">
        <v>343</v>
      </c>
      <c r="E2148" s="336">
        <v>43666</v>
      </c>
      <c r="F2148" s="336"/>
      <c r="G2148" s="336">
        <v>43664</v>
      </c>
      <c r="H2148" s="334" t="s">
        <v>5819</v>
      </c>
      <c r="I2148" s="356">
        <v>18621782815</v>
      </c>
      <c r="J2148" s="361" t="s">
        <v>5820</v>
      </c>
      <c r="K2148" s="356"/>
      <c r="L2148" s="334">
        <v>35714</v>
      </c>
      <c r="M2148" s="419"/>
      <c r="N2148" s="362">
        <f t="shared" si="74"/>
        <v>35714</v>
      </c>
      <c r="O2148" s="356"/>
      <c r="P2148" s="356"/>
      <c r="Q2148" s="356"/>
      <c r="R2148" s="356"/>
      <c r="S2148" s="356"/>
      <c r="T2148" s="356"/>
      <c r="U2148" s="372"/>
      <c r="V2148" s="372"/>
      <c r="W2148" s="372"/>
      <c r="X2148" s="373"/>
      <c r="Y2148" s="348"/>
      <c r="Z2148" s="348"/>
      <c r="AA2148" s="348"/>
    </row>
    <row r="2149" s="331" customFormat="1" ht="17" customHeight="1" spans="1:27">
      <c r="A2149" s="348"/>
      <c r="B2149" s="348" t="s">
        <v>47</v>
      </c>
      <c r="C2149" s="334" t="s">
        <v>80</v>
      </c>
      <c r="D2149" s="352" t="s">
        <v>49</v>
      </c>
      <c r="E2149" s="336">
        <v>43666</v>
      </c>
      <c r="F2149" s="336"/>
      <c r="G2149" s="336">
        <v>43666</v>
      </c>
      <c r="H2149" s="334" t="s">
        <v>5821</v>
      </c>
      <c r="I2149" s="356">
        <v>18721670218</v>
      </c>
      <c r="J2149" s="361" t="s">
        <v>5822</v>
      </c>
      <c r="K2149" s="356"/>
      <c r="L2149" s="334">
        <v>4527</v>
      </c>
      <c r="M2149" s="419"/>
      <c r="N2149" s="362">
        <f t="shared" si="74"/>
        <v>4527</v>
      </c>
      <c r="O2149" s="356"/>
      <c r="P2149" s="356"/>
      <c r="Q2149" s="356"/>
      <c r="R2149" s="356"/>
      <c r="S2149" s="356"/>
      <c r="T2149" s="356"/>
      <c r="U2149" s="372"/>
      <c r="V2149" s="372"/>
      <c r="W2149" s="372"/>
      <c r="X2149" s="373"/>
      <c r="Y2149" s="348"/>
      <c r="Z2149" s="348"/>
      <c r="AA2149" s="348"/>
    </row>
    <row r="2150" s="331" customFormat="1" ht="17" customHeight="1" spans="1:27">
      <c r="A2150" s="348"/>
      <c r="B2150" s="348" t="s">
        <v>58</v>
      </c>
      <c r="C2150" s="334" t="s">
        <v>59</v>
      </c>
      <c r="D2150" s="349" t="s">
        <v>271</v>
      </c>
      <c r="E2150" s="336">
        <v>43666</v>
      </c>
      <c r="F2150" s="336"/>
      <c r="G2150" s="336">
        <v>43665</v>
      </c>
      <c r="H2150" s="334" t="s">
        <v>5823</v>
      </c>
      <c r="I2150" s="356">
        <v>13761947802</v>
      </c>
      <c r="J2150" s="361" t="s">
        <v>5824</v>
      </c>
      <c r="K2150" s="356"/>
      <c r="L2150" s="334">
        <v>18363</v>
      </c>
      <c r="M2150" s="419"/>
      <c r="N2150" s="362">
        <f t="shared" si="74"/>
        <v>18363</v>
      </c>
      <c r="O2150" s="356"/>
      <c r="P2150" s="356"/>
      <c r="Q2150" s="356"/>
      <c r="R2150" s="356"/>
      <c r="S2150" s="356"/>
      <c r="T2150" s="356"/>
      <c r="U2150" s="372"/>
      <c r="V2150" s="372"/>
      <c r="W2150" s="372"/>
      <c r="X2150" s="373"/>
      <c r="Y2150" s="348"/>
      <c r="Z2150" s="348"/>
      <c r="AA2150" s="348"/>
    </row>
    <row r="2151" s="331" customFormat="1" ht="17" customHeight="1" spans="1:27">
      <c r="A2151" s="348"/>
      <c r="B2151" s="348" t="s">
        <v>47</v>
      </c>
      <c r="C2151" s="348" t="s">
        <v>53</v>
      </c>
      <c r="D2151" s="352" t="s">
        <v>49</v>
      </c>
      <c r="E2151" s="336">
        <v>43666</v>
      </c>
      <c r="F2151" s="336" t="s">
        <v>800</v>
      </c>
      <c r="G2151" s="336">
        <v>43666</v>
      </c>
      <c r="H2151" s="428" t="s">
        <v>5825</v>
      </c>
      <c r="I2151" s="356">
        <v>13868735848</v>
      </c>
      <c r="J2151" s="361" t="s">
        <v>5826</v>
      </c>
      <c r="K2151" s="356"/>
      <c r="L2151" s="419"/>
      <c r="M2151" s="334">
        <v>1159</v>
      </c>
      <c r="N2151" s="362">
        <f t="shared" ref="N2151:N2160" si="75">L2151+M2151</f>
        <v>1159</v>
      </c>
      <c r="O2151" s="356"/>
      <c r="P2151" s="356"/>
      <c r="Q2151" s="356"/>
      <c r="R2151" s="356"/>
      <c r="S2151" s="356"/>
      <c r="T2151" s="356"/>
      <c r="U2151" s="372"/>
      <c r="V2151" s="372"/>
      <c r="W2151" s="372"/>
      <c r="X2151" s="373"/>
      <c r="Y2151" s="348"/>
      <c r="Z2151" s="348"/>
      <c r="AA2151" s="348"/>
    </row>
    <row r="2152" s="331" customFormat="1" ht="17" customHeight="1" spans="1:27">
      <c r="A2152" s="348"/>
      <c r="B2152" s="348" t="s">
        <v>236</v>
      </c>
      <c r="C2152" s="334" t="s">
        <v>703</v>
      </c>
      <c r="D2152" s="349" t="s">
        <v>125</v>
      </c>
      <c r="E2152" s="336">
        <v>43666</v>
      </c>
      <c r="F2152" s="336" t="s">
        <v>800</v>
      </c>
      <c r="G2152" s="336">
        <v>43632</v>
      </c>
      <c r="H2152" s="334" t="s">
        <v>5827</v>
      </c>
      <c r="I2152" s="356">
        <v>13818206636</v>
      </c>
      <c r="J2152" s="361" t="s">
        <v>5828</v>
      </c>
      <c r="K2152" s="356"/>
      <c r="L2152" s="419"/>
      <c r="M2152" s="334">
        <v>792</v>
      </c>
      <c r="N2152" s="362">
        <f t="shared" si="75"/>
        <v>792</v>
      </c>
      <c r="O2152" s="356"/>
      <c r="P2152" s="356"/>
      <c r="Q2152" s="356"/>
      <c r="R2152" s="356"/>
      <c r="S2152" s="356"/>
      <c r="T2152" s="356"/>
      <c r="U2152" s="372"/>
      <c r="V2152" s="372"/>
      <c r="W2152" s="372"/>
      <c r="X2152" s="373"/>
      <c r="Y2152" s="348"/>
      <c r="Z2152" s="348"/>
      <c r="AA2152" s="348"/>
    </row>
    <row r="2153" s="331" customFormat="1" ht="17" customHeight="1" spans="1:27">
      <c r="A2153" s="348"/>
      <c r="B2153" s="348" t="s">
        <v>236</v>
      </c>
      <c r="C2153" s="334" t="s">
        <v>703</v>
      </c>
      <c r="D2153" s="349" t="s">
        <v>125</v>
      </c>
      <c r="E2153" s="336">
        <v>43666</v>
      </c>
      <c r="F2153" s="336" t="s">
        <v>800</v>
      </c>
      <c r="G2153" s="336">
        <v>43662</v>
      </c>
      <c r="H2153" s="334" t="s">
        <v>5436</v>
      </c>
      <c r="I2153" s="356">
        <v>18616677535</v>
      </c>
      <c r="J2153" s="361" t="s">
        <v>5829</v>
      </c>
      <c r="K2153" s="356"/>
      <c r="L2153" s="419"/>
      <c r="M2153" s="334">
        <f>368+6829</f>
        <v>7197</v>
      </c>
      <c r="N2153" s="362">
        <f t="shared" si="75"/>
        <v>7197</v>
      </c>
      <c r="O2153" s="356"/>
      <c r="P2153" s="356"/>
      <c r="Q2153" s="356"/>
      <c r="R2153" s="356"/>
      <c r="S2153" s="356"/>
      <c r="T2153" s="356"/>
      <c r="U2153" s="372"/>
      <c r="V2153" s="372"/>
      <c r="W2153" s="372"/>
      <c r="X2153" s="373"/>
      <c r="Y2153" s="348"/>
      <c r="Z2153" s="348"/>
      <c r="AA2153" s="348"/>
    </row>
    <row r="2154" s="331" customFormat="1" ht="17" customHeight="1" spans="1:27">
      <c r="A2154" s="348"/>
      <c r="B2154" s="348" t="s">
        <v>58</v>
      </c>
      <c r="C2154" s="334" t="s">
        <v>59</v>
      </c>
      <c r="D2154" s="349" t="s">
        <v>271</v>
      </c>
      <c r="E2154" s="336">
        <v>43666</v>
      </c>
      <c r="F2154" s="336" t="s">
        <v>800</v>
      </c>
      <c r="G2154" s="336">
        <v>43664</v>
      </c>
      <c r="H2154" s="334" t="s">
        <v>5830</v>
      </c>
      <c r="I2154" s="356">
        <v>18221396206</v>
      </c>
      <c r="J2154" s="361" t="s">
        <v>5831</v>
      </c>
      <c r="K2154" s="356"/>
      <c r="L2154" s="419"/>
      <c r="M2154" s="334">
        <v>4078</v>
      </c>
      <c r="N2154" s="362">
        <f t="shared" si="75"/>
        <v>4078</v>
      </c>
      <c r="O2154" s="356"/>
      <c r="P2154" s="356"/>
      <c r="Q2154" s="356"/>
      <c r="R2154" s="356"/>
      <c r="S2154" s="356"/>
      <c r="T2154" s="356"/>
      <c r="U2154" s="372"/>
      <c r="V2154" s="372"/>
      <c r="W2154" s="372"/>
      <c r="X2154" s="373"/>
      <c r="Y2154" s="348"/>
      <c r="Z2154" s="348"/>
      <c r="AA2154" s="348"/>
    </row>
    <row r="2155" s="331" customFormat="1" ht="17" customHeight="1" spans="1:27">
      <c r="A2155" s="348"/>
      <c r="B2155" s="348" t="s">
        <v>66</v>
      </c>
      <c r="C2155" s="334" t="s">
        <v>1749</v>
      </c>
      <c r="D2155" s="349" t="s">
        <v>427</v>
      </c>
      <c r="E2155" s="336">
        <v>43666</v>
      </c>
      <c r="F2155" s="336" t="s">
        <v>800</v>
      </c>
      <c r="G2155" s="336">
        <v>43665</v>
      </c>
      <c r="H2155" s="334" t="s">
        <v>5832</v>
      </c>
      <c r="I2155" s="356">
        <v>15618151202</v>
      </c>
      <c r="J2155" s="361" t="s">
        <v>5833</v>
      </c>
      <c r="K2155" s="356"/>
      <c r="L2155" s="419"/>
      <c r="M2155" s="334">
        <v>2896</v>
      </c>
      <c r="N2155" s="362">
        <f t="shared" si="75"/>
        <v>2896</v>
      </c>
      <c r="O2155" s="356"/>
      <c r="P2155" s="356"/>
      <c r="Q2155" s="356"/>
      <c r="R2155" s="356"/>
      <c r="S2155" s="356"/>
      <c r="T2155" s="356"/>
      <c r="U2155" s="372"/>
      <c r="V2155" s="372"/>
      <c r="W2155" s="372"/>
      <c r="X2155" s="373"/>
      <c r="Y2155" s="348"/>
      <c r="Z2155" s="348"/>
      <c r="AA2155" s="348"/>
    </row>
    <row r="2156" s="331" customFormat="1" ht="17" customHeight="1" spans="1:27">
      <c r="A2156" s="348"/>
      <c r="B2156" s="348" t="s">
        <v>73</v>
      </c>
      <c r="C2156" s="334" t="s">
        <v>74</v>
      </c>
      <c r="D2156" s="349" t="s">
        <v>132</v>
      </c>
      <c r="E2156" s="336">
        <v>43666</v>
      </c>
      <c r="F2156" s="336" t="s">
        <v>800</v>
      </c>
      <c r="G2156" s="336">
        <v>43666</v>
      </c>
      <c r="H2156" s="334" t="s">
        <v>5834</v>
      </c>
      <c r="I2156" s="356">
        <v>17621058392</v>
      </c>
      <c r="J2156" s="361" t="s">
        <v>5835</v>
      </c>
      <c r="K2156" s="356"/>
      <c r="L2156" s="419"/>
      <c r="M2156" s="334">
        <v>1506</v>
      </c>
      <c r="N2156" s="362">
        <f t="shared" si="75"/>
        <v>1506</v>
      </c>
      <c r="O2156" s="356"/>
      <c r="P2156" s="356"/>
      <c r="Q2156" s="356"/>
      <c r="R2156" s="356"/>
      <c r="S2156" s="356"/>
      <c r="T2156" s="356"/>
      <c r="U2156" s="372"/>
      <c r="V2156" s="372"/>
      <c r="W2156" s="372"/>
      <c r="X2156" s="373"/>
      <c r="Y2156" s="348"/>
      <c r="Z2156" s="348"/>
      <c r="AA2156" s="348"/>
    </row>
    <row r="2157" s="331" customFormat="1" ht="17" customHeight="1" spans="1:27">
      <c r="A2157" s="348"/>
      <c r="B2157" s="348" t="s">
        <v>58</v>
      </c>
      <c r="C2157" s="334" t="s">
        <v>109</v>
      </c>
      <c r="D2157" s="349" t="s">
        <v>110</v>
      </c>
      <c r="E2157" s="336">
        <v>43666</v>
      </c>
      <c r="F2157" s="336" t="s">
        <v>800</v>
      </c>
      <c r="G2157" s="336">
        <v>43666</v>
      </c>
      <c r="H2157" s="334" t="s">
        <v>5836</v>
      </c>
      <c r="I2157" s="356">
        <v>18801800513</v>
      </c>
      <c r="J2157" s="361" t="s">
        <v>5837</v>
      </c>
      <c r="K2157" s="356"/>
      <c r="L2157" s="419"/>
      <c r="M2157" s="334">
        <v>5200</v>
      </c>
      <c r="N2157" s="362">
        <f t="shared" si="75"/>
        <v>5200</v>
      </c>
      <c r="O2157" s="356"/>
      <c r="P2157" s="356"/>
      <c r="Q2157" s="356"/>
      <c r="R2157" s="356"/>
      <c r="S2157" s="356"/>
      <c r="T2157" s="356"/>
      <c r="U2157" s="372"/>
      <c r="V2157" s="372"/>
      <c r="W2157" s="372"/>
      <c r="X2157" s="373"/>
      <c r="Y2157" s="348"/>
      <c r="Z2157" s="348"/>
      <c r="AA2157" s="348"/>
    </row>
    <row r="2158" s="331" customFormat="1" ht="17" customHeight="1" spans="1:27">
      <c r="A2158" s="550" t="s">
        <v>1006</v>
      </c>
      <c r="B2158" s="348" t="s">
        <v>137</v>
      </c>
      <c r="C2158" s="348" t="s">
        <v>2705</v>
      </c>
      <c r="D2158" s="349" t="s">
        <v>60</v>
      </c>
      <c r="E2158" s="336">
        <v>43667</v>
      </c>
      <c r="F2158" s="336">
        <v>43653</v>
      </c>
      <c r="G2158" s="350">
        <v>43666</v>
      </c>
      <c r="H2158" s="334" t="s">
        <v>5838</v>
      </c>
      <c r="I2158" s="356">
        <v>13817944221</v>
      </c>
      <c r="J2158" s="361" t="s">
        <v>5839</v>
      </c>
      <c r="K2158" s="356">
        <v>1000</v>
      </c>
      <c r="L2158" s="334">
        <v>12768</v>
      </c>
      <c r="M2158" s="419"/>
      <c r="N2158" s="362">
        <f t="shared" si="75"/>
        <v>12768</v>
      </c>
      <c r="O2158" s="356"/>
      <c r="P2158" s="356"/>
      <c r="Q2158" s="356"/>
      <c r="R2158" s="356"/>
      <c r="S2158" s="356"/>
      <c r="T2158" s="356"/>
      <c r="U2158" s="372"/>
      <c r="V2158" s="372"/>
      <c r="W2158" s="372"/>
      <c r="X2158" s="373"/>
      <c r="Y2158" s="348"/>
      <c r="Z2158" s="348"/>
      <c r="AA2158" s="348"/>
    </row>
    <row r="2159" s="331" customFormat="1" ht="17" customHeight="1" spans="1:27">
      <c r="A2159" s="550" t="s">
        <v>5840</v>
      </c>
      <c r="B2159" s="348" t="s">
        <v>354</v>
      </c>
      <c r="C2159" s="348" t="s">
        <v>355</v>
      </c>
      <c r="D2159" s="349" t="s">
        <v>162</v>
      </c>
      <c r="E2159" s="336">
        <v>43687</v>
      </c>
      <c r="F2159" s="336">
        <v>43666</v>
      </c>
      <c r="G2159" s="336">
        <v>43686</v>
      </c>
      <c r="H2159" s="334" t="s">
        <v>5841</v>
      </c>
      <c r="I2159" s="356">
        <v>15821817663</v>
      </c>
      <c r="J2159" s="361" t="s">
        <v>5842</v>
      </c>
      <c r="K2159" s="356">
        <v>1000</v>
      </c>
      <c r="L2159" s="334">
        <v>6300</v>
      </c>
      <c r="M2159" s="419"/>
      <c r="N2159" s="362">
        <f t="shared" si="75"/>
        <v>6300</v>
      </c>
      <c r="O2159" s="356"/>
      <c r="P2159" s="356" t="s">
        <v>52</v>
      </c>
      <c r="Q2159" s="356"/>
      <c r="R2159" s="356"/>
      <c r="S2159" s="356"/>
      <c r="T2159" s="356"/>
      <c r="U2159" s="372"/>
      <c r="V2159" s="429">
        <v>43689</v>
      </c>
      <c r="W2159" s="372"/>
      <c r="X2159" s="373"/>
      <c r="Y2159" s="348"/>
      <c r="Z2159" s="348"/>
      <c r="AA2159" s="348"/>
    </row>
    <row r="2160" s="331" customFormat="1" ht="17" customHeight="1" spans="1:27">
      <c r="A2160" s="348"/>
      <c r="B2160" s="348" t="s">
        <v>31</v>
      </c>
      <c r="C2160" s="348" t="s">
        <v>419</v>
      </c>
      <c r="D2160" s="352" t="s">
        <v>221</v>
      </c>
      <c r="E2160" s="336">
        <v>43695</v>
      </c>
      <c r="F2160" s="336">
        <v>43666</v>
      </c>
      <c r="G2160" s="336">
        <v>43694</v>
      </c>
      <c r="H2160" s="334" t="s">
        <v>5843</v>
      </c>
      <c r="I2160" s="356">
        <v>18516608117</v>
      </c>
      <c r="J2160" s="361" t="s">
        <v>5844</v>
      </c>
      <c r="K2160" s="356">
        <v>1000</v>
      </c>
      <c r="L2160" s="334">
        <v>21319</v>
      </c>
      <c r="M2160" s="419"/>
      <c r="N2160" s="362">
        <f t="shared" ref="N2160:N2191" si="76">L2160+M2160</f>
        <v>21319</v>
      </c>
      <c r="O2160" s="356"/>
      <c r="P2160" s="356"/>
      <c r="Q2160" s="356"/>
      <c r="R2160" s="356"/>
      <c r="S2160" s="356"/>
      <c r="T2160" s="356"/>
      <c r="U2160" s="372"/>
      <c r="V2160" s="372"/>
      <c r="W2160" s="372" t="s">
        <v>52</v>
      </c>
      <c r="X2160" s="373"/>
      <c r="Y2160" s="348"/>
      <c r="Z2160" s="348"/>
      <c r="AA2160" s="348"/>
    </row>
    <row r="2161" s="331" customFormat="1" ht="17" customHeight="1" spans="1:27">
      <c r="A2161" s="348"/>
      <c r="B2161" s="348" t="s">
        <v>66</v>
      </c>
      <c r="C2161" s="348" t="s">
        <v>951</v>
      </c>
      <c r="D2161" s="334" t="s">
        <v>1436</v>
      </c>
      <c r="E2161" s="336">
        <v>43729</v>
      </c>
      <c r="F2161" s="336">
        <v>43666</v>
      </c>
      <c r="G2161" s="336">
        <v>43728</v>
      </c>
      <c r="H2161" s="334" t="s">
        <v>5845</v>
      </c>
      <c r="I2161" s="356">
        <v>18721622437</v>
      </c>
      <c r="J2161" s="361" t="s">
        <v>5846</v>
      </c>
      <c r="K2161" s="356">
        <v>3000</v>
      </c>
      <c r="L2161" s="334">
        <v>7638</v>
      </c>
      <c r="M2161" s="419"/>
      <c r="N2161" s="362">
        <f t="shared" si="76"/>
        <v>7638</v>
      </c>
      <c r="O2161" s="356" t="s">
        <v>5847</v>
      </c>
      <c r="P2161" s="356"/>
      <c r="Q2161" s="356"/>
      <c r="R2161" s="356"/>
      <c r="S2161" s="356"/>
      <c r="T2161" s="356"/>
      <c r="U2161" s="372"/>
      <c r="V2161" s="372"/>
      <c r="W2161" s="372"/>
      <c r="X2161" s="373"/>
      <c r="Y2161" s="348"/>
      <c r="Z2161" s="348"/>
      <c r="AA2161" s="348"/>
    </row>
    <row r="2162" s="331" customFormat="1" ht="17" customHeight="1" spans="1:27">
      <c r="A2162" s="348">
        <v>2022588</v>
      </c>
      <c r="B2162" s="348" t="s">
        <v>73</v>
      </c>
      <c r="C2162" s="348" t="s">
        <v>74</v>
      </c>
      <c r="D2162" s="352" t="s">
        <v>75</v>
      </c>
      <c r="E2162" s="336">
        <v>43720</v>
      </c>
      <c r="F2162" s="336">
        <v>43666</v>
      </c>
      <c r="G2162" s="336">
        <v>43718</v>
      </c>
      <c r="H2162" s="334" t="s">
        <v>5848</v>
      </c>
      <c r="I2162" s="356">
        <v>13601687458</v>
      </c>
      <c r="J2162" s="361" t="s">
        <v>5849</v>
      </c>
      <c r="K2162" s="356">
        <v>1000</v>
      </c>
      <c r="L2162" s="334">
        <f>12106-1520</f>
        <v>10586</v>
      </c>
      <c r="M2162" s="334">
        <v>1520</v>
      </c>
      <c r="N2162" s="362">
        <f t="shared" si="76"/>
        <v>12106</v>
      </c>
      <c r="O2162" s="366" t="s">
        <v>52</v>
      </c>
      <c r="P2162" s="356"/>
      <c r="Q2162" s="356"/>
      <c r="R2162" s="356"/>
      <c r="S2162" s="356"/>
      <c r="T2162" s="356"/>
      <c r="U2162" s="372"/>
      <c r="V2162" s="372"/>
      <c r="W2162" s="372"/>
      <c r="X2162" s="373"/>
      <c r="Y2162" s="348"/>
      <c r="Z2162" s="348"/>
      <c r="AA2162" s="348"/>
    </row>
    <row r="2163" s="331" customFormat="1" ht="17" customHeight="1" spans="1:27">
      <c r="A2163" s="550" t="s">
        <v>5850</v>
      </c>
      <c r="B2163" s="348" t="s">
        <v>354</v>
      </c>
      <c r="C2163" s="348" t="s">
        <v>355</v>
      </c>
      <c r="D2163" s="349" t="s">
        <v>343</v>
      </c>
      <c r="E2163" s="336">
        <v>43667</v>
      </c>
      <c r="F2163" s="336">
        <v>43666</v>
      </c>
      <c r="G2163" s="336">
        <v>43670</v>
      </c>
      <c r="H2163" s="334" t="s">
        <v>5851</v>
      </c>
      <c r="I2163" s="356">
        <v>13301790997</v>
      </c>
      <c r="J2163" s="361" t="s">
        <v>5852</v>
      </c>
      <c r="K2163" s="356">
        <v>10000</v>
      </c>
      <c r="L2163" s="334">
        <v>9975</v>
      </c>
      <c r="M2163" s="419"/>
      <c r="N2163" s="362">
        <f t="shared" si="76"/>
        <v>9975</v>
      </c>
      <c r="O2163" s="356"/>
      <c r="P2163" s="356"/>
      <c r="Q2163" s="356"/>
      <c r="R2163" s="356"/>
      <c r="S2163" s="356"/>
      <c r="T2163" s="356"/>
      <c r="U2163" s="372"/>
      <c r="V2163" s="372"/>
      <c r="W2163" s="372"/>
      <c r="X2163" s="373"/>
      <c r="Y2163" s="348"/>
      <c r="Z2163" s="348"/>
      <c r="AA2163" s="348"/>
    </row>
    <row r="2164" s="331" customFormat="1" ht="17" customHeight="1" spans="1:27">
      <c r="A2164" s="550" t="s">
        <v>5853</v>
      </c>
      <c r="B2164" s="348" t="s">
        <v>315</v>
      </c>
      <c r="C2164" s="348" t="s">
        <v>258</v>
      </c>
      <c r="D2164" s="352" t="s">
        <v>132</v>
      </c>
      <c r="E2164" s="336">
        <v>43667</v>
      </c>
      <c r="F2164" s="336">
        <v>43666</v>
      </c>
      <c r="G2164" s="350"/>
      <c r="H2164" s="334" t="s">
        <v>5854</v>
      </c>
      <c r="I2164" s="356">
        <v>13524618137</v>
      </c>
      <c r="J2164" s="361" t="s">
        <v>5855</v>
      </c>
      <c r="K2164" s="356">
        <v>1000</v>
      </c>
      <c r="L2164" s="419"/>
      <c r="M2164" s="419"/>
      <c r="N2164" s="362">
        <f t="shared" si="76"/>
        <v>0</v>
      </c>
      <c r="O2164" s="356"/>
      <c r="P2164" s="356">
        <v>1</v>
      </c>
      <c r="Q2164" s="356"/>
      <c r="R2164" s="356"/>
      <c r="S2164" s="356"/>
      <c r="T2164" s="356"/>
      <c r="U2164" s="400" t="s">
        <v>5856</v>
      </c>
      <c r="V2164" s="372"/>
      <c r="W2164" s="372"/>
      <c r="X2164" s="373"/>
      <c r="Y2164" s="348"/>
      <c r="Z2164" s="348"/>
      <c r="AA2164" s="348"/>
    </row>
    <row r="2165" s="331" customFormat="1" ht="17" customHeight="1" spans="1:27">
      <c r="A2165" s="550" t="s">
        <v>5857</v>
      </c>
      <c r="B2165" s="348" t="s">
        <v>315</v>
      </c>
      <c r="C2165" s="348" t="s">
        <v>230</v>
      </c>
      <c r="D2165" s="352" t="s">
        <v>182</v>
      </c>
      <c r="E2165" s="336">
        <v>43732</v>
      </c>
      <c r="F2165" s="336">
        <v>43666</v>
      </c>
      <c r="G2165" s="336">
        <v>43732</v>
      </c>
      <c r="H2165" s="334" t="s">
        <v>5858</v>
      </c>
      <c r="I2165" s="356">
        <v>15821767479</v>
      </c>
      <c r="J2165" s="361" t="s">
        <v>5859</v>
      </c>
      <c r="K2165" s="356">
        <v>1000</v>
      </c>
      <c r="L2165" s="334">
        <f>17529-736</f>
        <v>16793</v>
      </c>
      <c r="M2165" s="334">
        <v>736</v>
      </c>
      <c r="N2165" s="362">
        <f t="shared" si="76"/>
        <v>17529</v>
      </c>
      <c r="O2165" s="356">
        <v>1</v>
      </c>
      <c r="P2165" s="356"/>
      <c r="Q2165" s="356"/>
      <c r="R2165" s="356"/>
      <c r="S2165" s="356"/>
      <c r="T2165" s="356"/>
      <c r="U2165" s="372"/>
      <c r="V2165" s="372"/>
      <c r="W2165" s="372"/>
      <c r="X2165" s="373"/>
      <c r="Y2165" s="348"/>
      <c r="Z2165" s="348"/>
      <c r="AA2165" s="348"/>
    </row>
    <row r="2166" s="331" customFormat="1" ht="17" customHeight="1" spans="1:27">
      <c r="A2166" s="550" t="s">
        <v>5860</v>
      </c>
      <c r="B2166" s="348" t="s">
        <v>354</v>
      </c>
      <c r="C2166" s="348" t="s">
        <v>355</v>
      </c>
      <c r="D2166" s="349" t="s">
        <v>149</v>
      </c>
      <c r="E2166" s="336">
        <v>43667</v>
      </c>
      <c r="F2166" s="336">
        <v>43666</v>
      </c>
      <c r="G2166" s="336">
        <v>43677</v>
      </c>
      <c r="H2166" s="334" t="s">
        <v>5861</v>
      </c>
      <c r="I2166" s="356">
        <v>18021037955</v>
      </c>
      <c r="J2166" s="361" t="s">
        <v>5862</v>
      </c>
      <c r="K2166" s="356">
        <v>5000</v>
      </c>
      <c r="L2166" s="334">
        <v>8701</v>
      </c>
      <c r="M2166" s="419"/>
      <c r="N2166" s="362">
        <f t="shared" si="76"/>
        <v>8701</v>
      </c>
      <c r="O2166" s="356"/>
      <c r="P2166" s="356"/>
      <c r="Q2166" s="356"/>
      <c r="R2166" s="356"/>
      <c r="S2166" s="356"/>
      <c r="T2166" s="356"/>
      <c r="U2166" s="372"/>
      <c r="V2166" s="372"/>
      <c r="W2166" s="372"/>
      <c r="X2166" s="373"/>
      <c r="Y2166" s="348"/>
      <c r="Z2166" s="348"/>
      <c r="AA2166" s="348"/>
    </row>
    <row r="2167" s="331" customFormat="1" ht="17" customHeight="1" spans="1:27">
      <c r="A2167" s="348">
        <v>2023506</v>
      </c>
      <c r="B2167" s="348" t="s">
        <v>185</v>
      </c>
      <c r="C2167" s="348" t="s">
        <v>4146</v>
      </c>
      <c r="D2167" s="352" t="s">
        <v>187</v>
      </c>
      <c r="E2167" s="336">
        <v>43704</v>
      </c>
      <c r="F2167" s="336">
        <v>43666</v>
      </c>
      <c r="G2167" s="336">
        <v>43666</v>
      </c>
      <c r="H2167" s="334" t="s">
        <v>5863</v>
      </c>
      <c r="I2167" s="356">
        <v>13901817427</v>
      </c>
      <c r="J2167" s="361" t="s">
        <v>5864</v>
      </c>
      <c r="K2167" s="356">
        <v>1000</v>
      </c>
      <c r="L2167" s="334">
        <v>18600</v>
      </c>
      <c r="M2167" s="419"/>
      <c r="N2167" s="362">
        <f t="shared" si="76"/>
        <v>18600</v>
      </c>
      <c r="O2167" s="356"/>
      <c r="P2167" s="356"/>
      <c r="Q2167" s="356" t="s">
        <v>52</v>
      </c>
      <c r="R2167" s="356"/>
      <c r="S2167" s="356"/>
      <c r="T2167" s="356"/>
      <c r="U2167" s="372"/>
      <c r="V2167" s="372"/>
      <c r="W2167" s="372"/>
      <c r="X2167" s="373"/>
      <c r="Y2167" s="348"/>
      <c r="Z2167" s="348"/>
      <c r="AA2167" s="348"/>
    </row>
    <row r="2168" s="331" customFormat="1" ht="17" customHeight="1" spans="1:27">
      <c r="A2168" s="550" t="s">
        <v>5865</v>
      </c>
      <c r="B2168" s="348" t="s">
        <v>31</v>
      </c>
      <c r="C2168" s="348" t="s">
        <v>251</v>
      </c>
      <c r="D2168" s="349" t="s">
        <v>33</v>
      </c>
      <c r="E2168" s="336">
        <v>43680</v>
      </c>
      <c r="F2168" s="336">
        <v>43666</v>
      </c>
      <c r="G2168" s="336">
        <v>43679</v>
      </c>
      <c r="H2168" s="334" t="s">
        <v>5866</v>
      </c>
      <c r="I2168" s="356">
        <v>13818567173</v>
      </c>
      <c r="J2168" s="361" t="s">
        <v>5867</v>
      </c>
      <c r="K2168" s="356">
        <v>1000</v>
      </c>
      <c r="L2168" s="334">
        <v>19463</v>
      </c>
      <c r="M2168" s="419"/>
      <c r="N2168" s="362">
        <f t="shared" si="76"/>
        <v>19463</v>
      </c>
      <c r="O2168" s="356"/>
      <c r="P2168" s="356"/>
      <c r="Q2168" s="366" t="s">
        <v>52</v>
      </c>
      <c r="R2168" s="356"/>
      <c r="S2168" s="356"/>
      <c r="T2168" s="356"/>
      <c r="U2168" s="372"/>
      <c r="V2168" s="372"/>
      <c r="W2168" s="372"/>
      <c r="X2168" s="373"/>
      <c r="Y2168" s="348"/>
      <c r="Z2168" s="348"/>
      <c r="AA2168" s="348"/>
    </row>
    <row r="2169" s="331" customFormat="1" ht="17" customHeight="1" spans="1:27">
      <c r="A2169" s="348"/>
      <c r="B2169" s="348" t="s">
        <v>31</v>
      </c>
      <c r="C2169" s="348" t="s">
        <v>419</v>
      </c>
      <c r="D2169" s="349" t="s">
        <v>221</v>
      </c>
      <c r="E2169" s="336">
        <v>43667</v>
      </c>
      <c r="F2169" s="336">
        <v>43666</v>
      </c>
      <c r="G2169" s="336">
        <v>43666</v>
      </c>
      <c r="H2169" s="334" t="s">
        <v>5868</v>
      </c>
      <c r="I2169" s="356">
        <v>15800989818</v>
      </c>
      <c r="J2169" s="361" t="s">
        <v>5869</v>
      </c>
      <c r="K2169" s="356">
        <v>12032</v>
      </c>
      <c r="L2169" s="334">
        <v>13885</v>
      </c>
      <c r="M2169" s="419"/>
      <c r="N2169" s="362">
        <f t="shared" si="76"/>
        <v>13885</v>
      </c>
      <c r="O2169" s="356"/>
      <c r="P2169" s="356"/>
      <c r="Q2169" s="356"/>
      <c r="R2169" s="356"/>
      <c r="S2169" s="356"/>
      <c r="T2169" s="356"/>
      <c r="U2169" s="372"/>
      <c r="V2169" s="372"/>
      <c r="W2169" s="372"/>
      <c r="X2169" s="373"/>
      <c r="Y2169" s="348"/>
      <c r="Z2169" s="348"/>
      <c r="AA2169" s="348"/>
    </row>
    <row r="2170" s="331" customFormat="1" ht="17" customHeight="1" spans="1:27">
      <c r="A2170" s="348">
        <v>2068596</v>
      </c>
      <c r="B2170" s="348" t="s">
        <v>87</v>
      </c>
      <c r="C2170" s="348" t="s">
        <v>466</v>
      </c>
      <c r="D2170" s="352" t="s">
        <v>89</v>
      </c>
      <c r="E2170" s="336">
        <v>43829</v>
      </c>
      <c r="F2170" s="336">
        <v>43666</v>
      </c>
      <c r="G2170" s="336">
        <v>43828</v>
      </c>
      <c r="H2170" s="334" t="s">
        <v>5870</v>
      </c>
      <c r="I2170" s="356">
        <v>13321826925</v>
      </c>
      <c r="J2170" s="361" t="s">
        <v>5871</v>
      </c>
      <c r="K2170" s="356">
        <v>1000</v>
      </c>
      <c r="L2170" s="334">
        <f>15326-1</f>
        <v>15325</v>
      </c>
      <c r="M2170" s="419"/>
      <c r="N2170" s="362">
        <f t="shared" si="76"/>
        <v>15325</v>
      </c>
      <c r="O2170" s="411"/>
      <c r="P2170" s="356"/>
      <c r="Q2170" s="411"/>
      <c r="R2170" s="356"/>
      <c r="S2170" s="356"/>
      <c r="T2170" s="356" t="s">
        <v>52</v>
      </c>
      <c r="U2170" s="372"/>
      <c r="V2170" s="372"/>
      <c r="W2170" s="372"/>
      <c r="X2170" s="373"/>
      <c r="Y2170" s="348"/>
      <c r="Z2170" s="348"/>
      <c r="AA2170" s="348"/>
    </row>
    <row r="2171" s="331" customFormat="1" ht="17" customHeight="1" spans="1:27">
      <c r="A2171" s="348">
        <v>2066866</v>
      </c>
      <c r="B2171" s="348" t="s">
        <v>726</v>
      </c>
      <c r="C2171" s="348" t="s">
        <v>727</v>
      </c>
      <c r="D2171" s="352" t="s">
        <v>149</v>
      </c>
      <c r="E2171" s="336">
        <v>43667</v>
      </c>
      <c r="F2171" s="336">
        <v>43666</v>
      </c>
      <c r="G2171" s="350"/>
      <c r="H2171" s="334" t="s">
        <v>5872</v>
      </c>
      <c r="I2171" s="356">
        <v>18601728862</v>
      </c>
      <c r="J2171" s="361" t="s">
        <v>5873</v>
      </c>
      <c r="K2171" s="356">
        <v>1000</v>
      </c>
      <c r="L2171" s="419"/>
      <c r="M2171" s="419"/>
      <c r="N2171" s="362">
        <f t="shared" si="76"/>
        <v>0</v>
      </c>
      <c r="O2171" s="356"/>
      <c r="P2171" s="356"/>
      <c r="Q2171" s="356" t="s">
        <v>21</v>
      </c>
      <c r="R2171" s="356"/>
      <c r="S2171" s="356"/>
      <c r="T2171" s="356"/>
      <c r="U2171" s="374">
        <v>43697</v>
      </c>
      <c r="V2171" s="372"/>
      <c r="W2171" s="372"/>
      <c r="X2171" s="373"/>
      <c r="Y2171" s="348"/>
      <c r="Z2171" s="348"/>
      <c r="AA2171" s="348"/>
    </row>
    <row r="2172" s="331" customFormat="1" ht="17" customHeight="1" spans="1:27">
      <c r="A2172" s="550" t="s">
        <v>5874</v>
      </c>
      <c r="B2172" s="348" t="s">
        <v>354</v>
      </c>
      <c r="C2172" s="348" t="s">
        <v>355</v>
      </c>
      <c r="D2172" s="349" t="s">
        <v>343</v>
      </c>
      <c r="E2172" s="336">
        <v>43667</v>
      </c>
      <c r="F2172" s="336">
        <v>43666</v>
      </c>
      <c r="G2172" s="336">
        <v>43670</v>
      </c>
      <c r="H2172" s="334" t="s">
        <v>5875</v>
      </c>
      <c r="I2172" s="356">
        <v>13817303502</v>
      </c>
      <c r="J2172" s="361" t="s">
        <v>5876</v>
      </c>
      <c r="K2172" s="356">
        <v>10000</v>
      </c>
      <c r="L2172" s="334">
        <v>9107</v>
      </c>
      <c r="M2172" s="334">
        <v>804</v>
      </c>
      <c r="N2172" s="362">
        <f t="shared" si="76"/>
        <v>9911</v>
      </c>
      <c r="O2172" s="356"/>
      <c r="P2172" s="356"/>
      <c r="Q2172" s="356"/>
      <c r="R2172" s="356"/>
      <c r="S2172" s="356"/>
      <c r="T2172" s="356"/>
      <c r="U2172" s="372"/>
      <c r="V2172" s="372"/>
      <c r="W2172" s="372"/>
      <c r="X2172" s="373"/>
      <c r="Y2172" s="348"/>
      <c r="Z2172" s="348"/>
      <c r="AA2172" s="348"/>
    </row>
    <row r="2173" s="331" customFormat="1" ht="17" customHeight="1" spans="1:27">
      <c r="A2173" s="550" t="s">
        <v>5877</v>
      </c>
      <c r="B2173" s="348" t="s">
        <v>137</v>
      </c>
      <c r="C2173" s="348" t="s">
        <v>138</v>
      </c>
      <c r="D2173" s="349" t="s">
        <v>427</v>
      </c>
      <c r="E2173" s="336">
        <v>43667</v>
      </c>
      <c r="F2173" s="336">
        <v>43666</v>
      </c>
      <c r="G2173" s="336">
        <v>43676</v>
      </c>
      <c r="H2173" s="334" t="s">
        <v>4506</v>
      </c>
      <c r="I2173" s="356">
        <v>18917385088</v>
      </c>
      <c r="J2173" s="361" t="s">
        <v>4507</v>
      </c>
      <c r="K2173" s="356">
        <v>6300</v>
      </c>
      <c r="L2173" s="334">
        <v>6800</v>
      </c>
      <c r="M2173" s="419"/>
      <c r="N2173" s="362">
        <f t="shared" si="76"/>
        <v>6800</v>
      </c>
      <c r="O2173" s="356"/>
      <c r="P2173" s="356"/>
      <c r="Q2173" s="356"/>
      <c r="R2173" s="356">
        <v>1</v>
      </c>
      <c r="S2173" s="356"/>
      <c r="T2173" s="356"/>
      <c r="U2173" s="372"/>
      <c r="V2173" s="372"/>
      <c r="W2173" s="372"/>
      <c r="X2173" s="373"/>
      <c r="Y2173" s="348"/>
      <c r="Z2173" s="348"/>
      <c r="AA2173" s="348"/>
    </row>
    <row r="2174" s="331" customFormat="1" ht="17" customHeight="1" spans="1:27">
      <c r="A2174" s="550" t="s">
        <v>5878</v>
      </c>
      <c r="B2174" s="348" t="s">
        <v>137</v>
      </c>
      <c r="C2174" s="348" t="s">
        <v>138</v>
      </c>
      <c r="D2174" s="349" t="s">
        <v>427</v>
      </c>
      <c r="E2174" s="336">
        <v>43667</v>
      </c>
      <c r="F2174" s="336">
        <v>43666</v>
      </c>
      <c r="G2174" s="336">
        <v>43676</v>
      </c>
      <c r="H2174" s="334" t="s">
        <v>4500</v>
      </c>
      <c r="I2174" s="356">
        <v>13918085088</v>
      </c>
      <c r="J2174" s="361" t="s">
        <v>4501</v>
      </c>
      <c r="K2174" s="356">
        <v>17100</v>
      </c>
      <c r="L2174" s="334">
        <v>17600</v>
      </c>
      <c r="M2174" s="419"/>
      <c r="N2174" s="362">
        <f t="shared" si="76"/>
        <v>17600</v>
      </c>
      <c r="O2174" s="356"/>
      <c r="P2174" s="356"/>
      <c r="Q2174" s="356"/>
      <c r="R2174" s="356">
        <v>1</v>
      </c>
      <c r="S2174" s="356"/>
      <c r="T2174" s="356"/>
      <c r="U2174" s="372"/>
      <c r="V2174" s="372"/>
      <c r="W2174" s="372"/>
      <c r="X2174" s="373"/>
      <c r="Y2174" s="348"/>
      <c r="Z2174" s="348"/>
      <c r="AA2174" s="348"/>
    </row>
    <row r="2175" s="331" customFormat="1" ht="17" customHeight="1" spans="1:27">
      <c r="A2175" s="348"/>
      <c r="B2175" s="348" t="s">
        <v>153</v>
      </c>
      <c r="C2175" s="348" t="s">
        <v>154</v>
      </c>
      <c r="D2175" s="352" t="s">
        <v>155</v>
      </c>
      <c r="E2175" s="336">
        <v>43667</v>
      </c>
      <c r="F2175" s="336">
        <v>43666</v>
      </c>
      <c r="G2175" s="354" t="s">
        <v>69</v>
      </c>
      <c r="H2175" s="334" t="s">
        <v>5879</v>
      </c>
      <c r="I2175" s="356">
        <v>18014398996</v>
      </c>
      <c r="J2175" s="361" t="s">
        <v>5880</v>
      </c>
      <c r="K2175" s="356">
        <v>1000</v>
      </c>
      <c r="L2175" s="419"/>
      <c r="M2175" s="419"/>
      <c r="N2175" s="362">
        <f t="shared" si="76"/>
        <v>0</v>
      </c>
      <c r="O2175" s="356"/>
      <c r="P2175" s="356"/>
      <c r="Q2175" s="356"/>
      <c r="R2175" s="356"/>
      <c r="S2175" s="356"/>
      <c r="T2175" s="356"/>
      <c r="U2175" s="372"/>
      <c r="V2175" s="372"/>
      <c r="W2175" s="372"/>
      <c r="X2175" s="373"/>
      <c r="Y2175" s="348"/>
      <c r="Z2175" s="348"/>
      <c r="AA2175" s="348"/>
    </row>
    <row r="2176" s="331" customFormat="1" ht="17" customHeight="1" spans="1:27">
      <c r="A2176" s="348"/>
      <c r="B2176" s="348" t="s">
        <v>137</v>
      </c>
      <c r="C2176" s="348" t="s">
        <v>138</v>
      </c>
      <c r="D2176" s="352" t="s">
        <v>139</v>
      </c>
      <c r="E2176" s="336">
        <v>43667</v>
      </c>
      <c r="F2176" s="336">
        <v>43666</v>
      </c>
      <c r="G2176" s="336">
        <v>43670</v>
      </c>
      <c r="H2176" s="334" t="s">
        <v>5881</v>
      </c>
      <c r="I2176" s="356">
        <v>13817966563</v>
      </c>
      <c r="J2176" s="361" t="s">
        <v>5882</v>
      </c>
      <c r="K2176" s="356">
        <v>13500</v>
      </c>
      <c r="L2176" s="334">
        <v>12477</v>
      </c>
      <c r="M2176" s="419"/>
      <c r="N2176" s="362">
        <f t="shared" si="76"/>
        <v>12477</v>
      </c>
      <c r="O2176" s="356"/>
      <c r="P2176" s="356"/>
      <c r="Q2176" s="356">
        <v>1</v>
      </c>
      <c r="R2176" s="356"/>
      <c r="S2176" s="356"/>
      <c r="T2176" s="356"/>
      <c r="U2176" s="372"/>
      <c r="V2176" s="372"/>
      <c r="W2176" s="372"/>
      <c r="X2176" s="373"/>
      <c r="Y2176" s="348"/>
      <c r="Z2176" s="348"/>
      <c r="AA2176" s="348"/>
    </row>
    <row r="2177" s="331" customFormat="1" ht="17" customHeight="1" spans="1:27">
      <c r="A2177" s="348">
        <v>2024316</v>
      </c>
      <c r="B2177" s="348" t="s">
        <v>137</v>
      </c>
      <c r="C2177" s="348" t="s">
        <v>480</v>
      </c>
      <c r="D2177" s="352" t="s">
        <v>139</v>
      </c>
      <c r="E2177" s="336">
        <v>43667</v>
      </c>
      <c r="F2177" s="336">
        <v>43666</v>
      </c>
      <c r="G2177" s="336">
        <v>43668</v>
      </c>
      <c r="H2177" s="334" t="s">
        <v>5883</v>
      </c>
      <c r="I2177" s="356">
        <v>15921766044</v>
      </c>
      <c r="J2177" s="361" t="s">
        <v>5884</v>
      </c>
      <c r="K2177" s="356">
        <v>1000</v>
      </c>
      <c r="L2177" s="334">
        <v>4651</v>
      </c>
      <c r="M2177" s="419"/>
      <c r="N2177" s="362">
        <f t="shared" si="76"/>
        <v>4651</v>
      </c>
      <c r="O2177" s="356"/>
      <c r="P2177" s="356"/>
      <c r="Q2177" s="356"/>
      <c r="R2177" s="356"/>
      <c r="S2177" s="356"/>
      <c r="T2177" s="356"/>
      <c r="U2177" s="372"/>
      <c r="V2177" s="372"/>
      <c r="W2177" s="372"/>
      <c r="X2177" s="373"/>
      <c r="Y2177" s="348"/>
      <c r="Z2177" s="348"/>
      <c r="AA2177" s="348"/>
    </row>
    <row r="2178" s="331" customFormat="1" ht="17" customHeight="1" spans="1:27">
      <c r="A2178" s="348"/>
      <c r="B2178" s="348" t="s">
        <v>137</v>
      </c>
      <c r="C2178" s="348" t="s">
        <v>480</v>
      </c>
      <c r="D2178" s="352" t="s">
        <v>139</v>
      </c>
      <c r="E2178" s="336">
        <v>43667</v>
      </c>
      <c r="F2178" s="336">
        <v>43666</v>
      </c>
      <c r="G2178" s="336">
        <v>43671</v>
      </c>
      <c r="H2178" s="334" t="s">
        <v>5885</v>
      </c>
      <c r="I2178" s="356">
        <v>13305593669</v>
      </c>
      <c r="J2178" s="361" t="s">
        <v>5886</v>
      </c>
      <c r="K2178" s="356">
        <v>1000</v>
      </c>
      <c r="L2178" s="334">
        <v>4564</v>
      </c>
      <c r="M2178" s="419"/>
      <c r="N2178" s="362">
        <f t="shared" si="76"/>
        <v>4564</v>
      </c>
      <c r="O2178" s="356"/>
      <c r="P2178" s="356">
        <v>1</v>
      </c>
      <c r="Q2178" s="356"/>
      <c r="R2178" s="356"/>
      <c r="S2178" s="356"/>
      <c r="T2178" s="356"/>
      <c r="U2178" s="372"/>
      <c r="V2178" s="372"/>
      <c r="W2178" s="372"/>
      <c r="X2178" s="373"/>
      <c r="Y2178" s="348"/>
      <c r="Z2178" s="348"/>
      <c r="AA2178" s="348"/>
    </row>
    <row r="2179" s="331" customFormat="1" ht="17" customHeight="1" spans="1:27">
      <c r="A2179" s="550" t="s">
        <v>5887</v>
      </c>
      <c r="B2179" s="348" t="s">
        <v>137</v>
      </c>
      <c r="C2179" s="348" t="s">
        <v>480</v>
      </c>
      <c r="D2179" s="352" t="s">
        <v>139</v>
      </c>
      <c r="E2179" s="336">
        <v>43667</v>
      </c>
      <c r="F2179" s="336">
        <v>43666</v>
      </c>
      <c r="G2179" s="336">
        <v>43675</v>
      </c>
      <c r="H2179" s="334" t="s">
        <v>5888</v>
      </c>
      <c r="I2179" s="356">
        <v>15026786773</v>
      </c>
      <c r="J2179" s="361" t="s">
        <v>5889</v>
      </c>
      <c r="K2179" s="356">
        <v>3616</v>
      </c>
      <c r="L2179" s="334">
        <v>3616</v>
      </c>
      <c r="M2179" s="419"/>
      <c r="N2179" s="362">
        <f t="shared" si="76"/>
        <v>3616</v>
      </c>
      <c r="O2179" s="356">
        <v>1</v>
      </c>
      <c r="P2179" s="356"/>
      <c r="Q2179" s="356"/>
      <c r="R2179" s="356"/>
      <c r="S2179" s="356"/>
      <c r="T2179" s="356"/>
      <c r="U2179" s="372"/>
      <c r="V2179" s="372"/>
      <c r="W2179" s="372"/>
      <c r="X2179" s="373"/>
      <c r="Y2179" s="348"/>
      <c r="Z2179" s="348"/>
      <c r="AA2179" s="348"/>
    </row>
    <row r="2180" s="331" customFormat="1" ht="17" customHeight="1" spans="1:27">
      <c r="A2180" s="550" t="s">
        <v>5890</v>
      </c>
      <c r="B2180" s="348" t="s">
        <v>137</v>
      </c>
      <c r="C2180" s="348" t="s">
        <v>480</v>
      </c>
      <c r="D2180" s="352" t="s">
        <v>139</v>
      </c>
      <c r="E2180" s="336">
        <v>43667</v>
      </c>
      <c r="F2180" s="336">
        <v>43666</v>
      </c>
      <c r="G2180" s="336">
        <v>43675</v>
      </c>
      <c r="H2180" s="334" t="s">
        <v>5891</v>
      </c>
      <c r="I2180" s="356">
        <v>13701891995</v>
      </c>
      <c r="J2180" s="361" t="s">
        <v>5892</v>
      </c>
      <c r="K2180" s="356">
        <v>25200</v>
      </c>
      <c r="L2180" s="334">
        <v>25000</v>
      </c>
      <c r="M2180" s="419"/>
      <c r="N2180" s="362">
        <f t="shared" si="76"/>
        <v>25000</v>
      </c>
      <c r="O2180" s="356"/>
      <c r="P2180" s="356">
        <v>1</v>
      </c>
      <c r="Q2180" s="356"/>
      <c r="R2180" s="356"/>
      <c r="S2180" s="356"/>
      <c r="T2180" s="356"/>
      <c r="U2180" s="372"/>
      <c r="V2180" s="372"/>
      <c r="W2180" s="372"/>
      <c r="X2180" s="373"/>
      <c r="Y2180" s="348"/>
      <c r="Z2180" s="348"/>
      <c r="AA2180" s="348"/>
    </row>
    <row r="2181" s="331" customFormat="1" ht="17" customHeight="1" spans="1:27">
      <c r="A2181" s="550" t="s">
        <v>5893</v>
      </c>
      <c r="B2181" s="348" t="s">
        <v>137</v>
      </c>
      <c r="C2181" s="348" t="s">
        <v>480</v>
      </c>
      <c r="D2181" s="352" t="s">
        <v>139</v>
      </c>
      <c r="E2181" s="336">
        <v>43667</v>
      </c>
      <c r="F2181" s="336">
        <v>43666</v>
      </c>
      <c r="G2181" s="336">
        <v>43671</v>
      </c>
      <c r="H2181" s="334" t="s">
        <v>5894</v>
      </c>
      <c r="I2181" s="356">
        <v>13916079130</v>
      </c>
      <c r="J2181" s="361" t="s">
        <v>5895</v>
      </c>
      <c r="K2181" s="356">
        <v>10800</v>
      </c>
      <c r="L2181" s="334">
        <v>15415</v>
      </c>
      <c r="M2181" s="419"/>
      <c r="N2181" s="362">
        <f t="shared" si="76"/>
        <v>15415</v>
      </c>
      <c r="O2181" s="356"/>
      <c r="P2181" s="356">
        <v>1</v>
      </c>
      <c r="Q2181" s="356"/>
      <c r="R2181" s="356"/>
      <c r="S2181" s="356"/>
      <c r="T2181" s="356"/>
      <c r="U2181" s="372"/>
      <c r="V2181" s="372"/>
      <c r="W2181" s="372"/>
      <c r="X2181" s="373"/>
      <c r="Y2181" s="348"/>
      <c r="Z2181" s="348"/>
      <c r="AA2181" s="348"/>
    </row>
    <row r="2182" s="331" customFormat="1" ht="17" customHeight="1" spans="1:27">
      <c r="A2182" s="550" t="s">
        <v>5896</v>
      </c>
      <c r="B2182" s="348" t="s">
        <v>153</v>
      </c>
      <c r="C2182" s="348" t="s">
        <v>302</v>
      </c>
      <c r="D2182" s="352" t="s">
        <v>155</v>
      </c>
      <c r="E2182" s="336">
        <v>43667</v>
      </c>
      <c r="F2182" s="336">
        <v>43666</v>
      </c>
      <c r="G2182" s="350"/>
      <c r="H2182" s="334" t="s">
        <v>5897</v>
      </c>
      <c r="I2182" s="356">
        <v>13918018136</v>
      </c>
      <c r="J2182" s="361" t="s">
        <v>5898</v>
      </c>
      <c r="K2182" s="356">
        <v>1000</v>
      </c>
      <c r="L2182" s="419"/>
      <c r="M2182" s="419"/>
      <c r="N2182" s="362">
        <f t="shared" si="76"/>
        <v>0</v>
      </c>
      <c r="O2182" s="356"/>
      <c r="P2182" s="356"/>
      <c r="Q2182" s="356"/>
      <c r="R2182" s="356"/>
      <c r="S2182" s="356"/>
      <c r="T2182" s="356"/>
      <c r="U2182" s="372" t="s">
        <v>5899</v>
      </c>
      <c r="V2182" s="372"/>
      <c r="W2182" s="372"/>
      <c r="X2182" s="373"/>
      <c r="Y2182" s="348"/>
      <c r="Z2182" s="348"/>
      <c r="AA2182" s="348"/>
    </row>
    <row r="2183" s="331" customFormat="1" ht="17" customHeight="1" spans="1:27">
      <c r="A2183" s="348">
        <v>2066980</v>
      </c>
      <c r="B2183" s="348" t="s">
        <v>66</v>
      </c>
      <c r="C2183" s="348" t="s">
        <v>3954</v>
      </c>
      <c r="D2183" s="335" t="s">
        <v>1436</v>
      </c>
      <c r="E2183" s="336">
        <v>43667</v>
      </c>
      <c r="F2183" s="336">
        <v>43666</v>
      </c>
      <c r="G2183" s="350"/>
      <c r="H2183" s="334" t="s">
        <v>5900</v>
      </c>
      <c r="I2183" s="356">
        <v>15900606610</v>
      </c>
      <c r="J2183" s="361" t="s">
        <v>5901</v>
      </c>
      <c r="K2183" s="356">
        <v>1000</v>
      </c>
      <c r="L2183" s="419"/>
      <c r="M2183" s="419"/>
      <c r="N2183" s="362">
        <f t="shared" si="76"/>
        <v>0</v>
      </c>
      <c r="O2183" s="356"/>
      <c r="P2183" s="356" t="s">
        <v>1526</v>
      </c>
      <c r="Q2183" s="356"/>
      <c r="R2183" s="356"/>
      <c r="S2183" s="356"/>
      <c r="T2183" s="356"/>
      <c r="U2183" s="393" t="s">
        <v>40</v>
      </c>
      <c r="V2183" s="372"/>
      <c r="W2183" s="372"/>
      <c r="X2183" s="373"/>
      <c r="Y2183" s="348"/>
      <c r="Z2183" s="348"/>
      <c r="AA2183" s="348"/>
    </row>
    <row r="2184" s="331" customFormat="1" ht="17" customHeight="1" spans="1:27">
      <c r="A2184" s="550" t="s">
        <v>5902</v>
      </c>
      <c r="B2184" s="348" t="s">
        <v>153</v>
      </c>
      <c r="C2184" s="348" t="s">
        <v>302</v>
      </c>
      <c r="D2184" s="352" t="s">
        <v>155</v>
      </c>
      <c r="E2184" s="336">
        <v>43667</v>
      </c>
      <c r="F2184" s="336">
        <v>43666</v>
      </c>
      <c r="G2184" s="350" t="s">
        <v>69</v>
      </c>
      <c r="H2184" s="334" t="s">
        <v>5903</v>
      </c>
      <c r="I2184" s="356">
        <v>15021068561</v>
      </c>
      <c r="J2184" s="361" t="s">
        <v>5904</v>
      </c>
      <c r="K2184" s="356">
        <v>1000</v>
      </c>
      <c r="L2184" s="419"/>
      <c r="M2184" s="419"/>
      <c r="N2184" s="362">
        <f t="shared" si="76"/>
        <v>0</v>
      </c>
      <c r="O2184" s="356"/>
      <c r="P2184" s="356"/>
      <c r="Q2184" s="356" t="s">
        <v>52</v>
      </c>
      <c r="R2184" s="356"/>
      <c r="S2184" s="356"/>
      <c r="T2184" s="356"/>
      <c r="U2184" s="372"/>
      <c r="V2184" s="372"/>
      <c r="W2184" s="372"/>
      <c r="X2184" s="373"/>
      <c r="Y2184" s="348"/>
      <c r="Z2184" s="348"/>
      <c r="AA2184" s="348"/>
    </row>
    <row r="2185" s="331" customFormat="1" ht="17" customHeight="1" spans="1:27">
      <c r="A2185" s="550" t="s">
        <v>5905</v>
      </c>
      <c r="B2185" s="348" t="s">
        <v>169</v>
      </c>
      <c r="C2185" s="348" t="s">
        <v>542</v>
      </c>
      <c r="D2185" s="352" t="s">
        <v>171</v>
      </c>
      <c r="E2185" s="336">
        <v>43693</v>
      </c>
      <c r="F2185" s="336">
        <v>43666</v>
      </c>
      <c r="G2185" s="336">
        <v>43693</v>
      </c>
      <c r="H2185" s="334" t="s">
        <v>5906</v>
      </c>
      <c r="I2185" s="363">
        <v>13301752451</v>
      </c>
      <c r="J2185" s="364" t="s">
        <v>5907</v>
      </c>
      <c r="K2185" s="356">
        <v>1000</v>
      </c>
      <c r="L2185" s="334">
        <f>44239+18433</f>
        <v>62672</v>
      </c>
      <c r="M2185" s="419"/>
      <c r="N2185" s="362">
        <f t="shared" si="76"/>
        <v>62672</v>
      </c>
      <c r="O2185" s="356"/>
      <c r="P2185" s="356"/>
      <c r="Q2185" s="356"/>
      <c r="R2185" s="356"/>
      <c r="S2185" s="356"/>
      <c r="T2185" s="356"/>
      <c r="U2185" s="372"/>
      <c r="V2185" s="356" t="s">
        <v>5908</v>
      </c>
      <c r="W2185" s="372"/>
      <c r="X2185" s="373"/>
      <c r="Y2185" s="348"/>
      <c r="Z2185" s="348"/>
      <c r="AA2185" s="348"/>
    </row>
    <row r="2186" s="331" customFormat="1" ht="17" customHeight="1" spans="1:28">
      <c r="A2186" s="550" t="s">
        <v>5909</v>
      </c>
      <c r="B2186" s="348" t="s">
        <v>123</v>
      </c>
      <c r="C2186" s="348" t="s">
        <v>902</v>
      </c>
      <c r="D2186" s="349" t="s">
        <v>125</v>
      </c>
      <c r="E2186" s="336">
        <v>43694</v>
      </c>
      <c r="F2186" s="336">
        <v>43666</v>
      </c>
      <c r="G2186" s="336">
        <v>43694</v>
      </c>
      <c r="H2186" s="334" t="s">
        <v>5910</v>
      </c>
      <c r="I2186" s="356">
        <v>13916383938</v>
      </c>
      <c r="J2186" s="361" t="s">
        <v>5911</v>
      </c>
      <c r="K2186" s="356">
        <v>1000</v>
      </c>
      <c r="L2186" s="334">
        <f>25842-368-65</f>
        <v>25409</v>
      </c>
      <c r="M2186" s="334">
        <v>3091</v>
      </c>
      <c r="N2186" s="362">
        <f t="shared" si="76"/>
        <v>28500</v>
      </c>
      <c r="O2186" s="356"/>
      <c r="P2186" s="356"/>
      <c r="Q2186" s="356" t="s">
        <v>52</v>
      </c>
      <c r="R2186" s="356"/>
      <c r="S2186" s="356"/>
      <c r="T2186" s="356"/>
      <c r="U2186" s="372"/>
      <c r="V2186" s="374">
        <v>43692</v>
      </c>
      <c r="W2186" s="372"/>
      <c r="X2186" s="373"/>
      <c r="Y2186" s="348"/>
      <c r="Z2186" s="348"/>
      <c r="AA2186" s="348"/>
      <c r="AB2186" s="331" t="s">
        <v>659</v>
      </c>
    </row>
    <row r="2187" s="331" customFormat="1" ht="17" customHeight="1" spans="1:27">
      <c r="A2187" s="348"/>
      <c r="B2187" s="348" t="s">
        <v>236</v>
      </c>
      <c r="C2187" s="348" t="s">
        <v>703</v>
      </c>
      <c r="D2187" s="349" t="s">
        <v>37</v>
      </c>
      <c r="E2187" s="336">
        <v>43667</v>
      </c>
      <c r="F2187" s="336">
        <v>43666</v>
      </c>
      <c r="G2187" s="336">
        <v>43675</v>
      </c>
      <c r="H2187" s="334" t="s">
        <v>5912</v>
      </c>
      <c r="I2187" s="356">
        <v>13641777025</v>
      </c>
      <c r="J2187" s="361" t="s">
        <v>5913</v>
      </c>
      <c r="K2187" s="356">
        <v>14576</v>
      </c>
      <c r="L2187" s="334">
        <v>14576</v>
      </c>
      <c r="M2187" s="419"/>
      <c r="N2187" s="362">
        <f t="shared" si="76"/>
        <v>14576</v>
      </c>
      <c r="O2187" s="356"/>
      <c r="P2187" s="356"/>
      <c r="Q2187" s="356"/>
      <c r="R2187" s="356"/>
      <c r="S2187" s="356"/>
      <c r="T2187" s="356"/>
      <c r="U2187" s="372"/>
      <c r="V2187" s="356" t="s">
        <v>5914</v>
      </c>
      <c r="W2187" s="372"/>
      <c r="X2187" s="373"/>
      <c r="Y2187" s="348"/>
      <c r="Z2187" s="348"/>
      <c r="AA2187" s="348"/>
    </row>
    <row r="2188" s="331" customFormat="1" ht="17" customHeight="1" spans="1:27">
      <c r="A2188" s="348"/>
      <c r="B2188" s="348" t="s">
        <v>236</v>
      </c>
      <c r="C2188" s="348" t="s">
        <v>703</v>
      </c>
      <c r="D2188" s="349" t="s">
        <v>37</v>
      </c>
      <c r="E2188" s="336">
        <v>43667</v>
      </c>
      <c r="F2188" s="336">
        <v>43666</v>
      </c>
      <c r="G2188" s="336">
        <v>43675</v>
      </c>
      <c r="H2188" s="334" t="s">
        <v>5915</v>
      </c>
      <c r="I2188" s="356">
        <v>15316965323</v>
      </c>
      <c r="J2188" s="361" t="s">
        <v>5916</v>
      </c>
      <c r="K2188" s="356">
        <v>10000</v>
      </c>
      <c r="L2188" s="334">
        <v>10000</v>
      </c>
      <c r="M2188" s="419"/>
      <c r="N2188" s="362">
        <f t="shared" si="76"/>
        <v>10000</v>
      </c>
      <c r="O2188" s="356"/>
      <c r="P2188" s="356"/>
      <c r="Q2188" s="356"/>
      <c r="R2188" s="356"/>
      <c r="S2188" s="356"/>
      <c r="T2188" s="356"/>
      <c r="U2188" s="372"/>
      <c r="V2188" s="356" t="s">
        <v>5914</v>
      </c>
      <c r="W2188" s="372"/>
      <c r="X2188" s="373"/>
      <c r="Y2188" s="348"/>
      <c r="Z2188" s="348"/>
      <c r="AA2188" s="348"/>
    </row>
    <row r="2189" s="331" customFormat="1" ht="17" customHeight="1" spans="1:27">
      <c r="A2189" s="348"/>
      <c r="B2189" s="348" t="s">
        <v>236</v>
      </c>
      <c r="C2189" s="348" t="s">
        <v>703</v>
      </c>
      <c r="D2189" s="352" t="s">
        <v>143</v>
      </c>
      <c r="E2189" s="336">
        <v>43667</v>
      </c>
      <c r="F2189" s="336">
        <v>43666</v>
      </c>
      <c r="G2189" s="350"/>
      <c r="H2189" s="334" t="s">
        <v>5917</v>
      </c>
      <c r="I2189" s="356">
        <v>13817880967</v>
      </c>
      <c r="J2189" s="361" t="s">
        <v>5918</v>
      </c>
      <c r="K2189" s="356">
        <v>3199</v>
      </c>
      <c r="L2189" s="419"/>
      <c r="M2189" s="419"/>
      <c r="N2189" s="362">
        <f t="shared" si="76"/>
        <v>0</v>
      </c>
      <c r="O2189" s="356"/>
      <c r="P2189" s="356"/>
      <c r="Q2189" s="356"/>
      <c r="R2189" s="356"/>
      <c r="S2189" s="356"/>
      <c r="T2189" s="356"/>
      <c r="U2189" s="356" t="s">
        <v>40</v>
      </c>
      <c r="V2189" s="372"/>
      <c r="W2189" s="372"/>
      <c r="X2189" s="373"/>
      <c r="Y2189" s="348"/>
      <c r="Z2189" s="348"/>
      <c r="AA2189" s="348"/>
    </row>
    <row r="2190" s="331" customFormat="1" ht="17" customHeight="1" spans="1:28">
      <c r="A2190" s="550" t="s">
        <v>5919</v>
      </c>
      <c r="B2190" s="348" t="s">
        <v>123</v>
      </c>
      <c r="C2190" s="348" t="s">
        <v>2301</v>
      </c>
      <c r="D2190" s="349" t="s">
        <v>125</v>
      </c>
      <c r="E2190" s="336">
        <v>43737</v>
      </c>
      <c r="F2190" s="336">
        <v>43666</v>
      </c>
      <c r="G2190" s="336">
        <v>43737</v>
      </c>
      <c r="H2190" s="334" t="s">
        <v>5920</v>
      </c>
      <c r="I2190" s="356">
        <v>13817762605</v>
      </c>
      <c r="J2190" s="361" t="s">
        <v>5921</v>
      </c>
      <c r="K2190" s="356">
        <v>10000</v>
      </c>
      <c r="L2190" s="334">
        <f>17000-1104</f>
        <v>15896</v>
      </c>
      <c r="M2190" s="334">
        <v>1104</v>
      </c>
      <c r="N2190" s="362">
        <f t="shared" si="76"/>
        <v>17000</v>
      </c>
      <c r="O2190" s="356"/>
      <c r="P2190" s="356"/>
      <c r="Q2190" s="356" t="s">
        <v>52</v>
      </c>
      <c r="R2190" s="356"/>
      <c r="S2190" s="356"/>
      <c r="T2190" s="356"/>
      <c r="U2190" s="372"/>
      <c r="V2190" s="372"/>
      <c r="W2190" s="372"/>
      <c r="X2190" s="373"/>
      <c r="Y2190" s="348"/>
      <c r="Z2190" s="348"/>
      <c r="AA2190" s="348"/>
      <c r="AB2190" s="331" t="s">
        <v>659</v>
      </c>
    </row>
    <row r="2191" s="331" customFormat="1" ht="17" customHeight="1" spans="1:27">
      <c r="A2191" s="550" t="s">
        <v>5922</v>
      </c>
      <c r="B2191" s="348" t="s">
        <v>123</v>
      </c>
      <c r="C2191" s="348" t="s">
        <v>2301</v>
      </c>
      <c r="D2191" s="349" t="s">
        <v>125</v>
      </c>
      <c r="E2191" s="336">
        <v>43667</v>
      </c>
      <c r="F2191" s="336">
        <v>43666</v>
      </c>
      <c r="G2191" s="336">
        <v>43674</v>
      </c>
      <c r="H2191" s="334" t="s">
        <v>5923</v>
      </c>
      <c r="I2191" s="356">
        <v>18918020182</v>
      </c>
      <c r="J2191" s="361" t="s">
        <v>5924</v>
      </c>
      <c r="K2191" s="356">
        <v>1000</v>
      </c>
      <c r="L2191" s="334">
        <v>11202</v>
      </c>
      <c r="M2191" s="334">
        <f>1104+736</f>
        <v>1840</v>
      </c>
      <c r="N2191" s="362">
        <f t="shared" si="76"/>
        <v>13042</v>
      </c>
      <c r="O2191" s="356"/>
      <c r="P2191" s="356"/>
      <c r="Q2191" s="356"/>
      <c r="R2191" s="356"/>
      <c r="S2191" s="356"/>
      <c r="T2191" s="356"/>
      <c r="U2191" s="372"/>
      <c r="V2191" s="372" t="s">
        <v>1481</v>
      </c>
      <c r="W2191" s="372"/>
      <c r="X2191" s="373"/>
      <c r="Y2191" s="348"/>
      <c r="Z2191" s="348"/>
      <c r="AA2191" s="348"/>
    </row>
    <row r="2192" s="331" customFormat="1" ht="17" customHeight="1" spans="1:27">
      <c r="A2192" s="550" t="s">
        <v>5925</v>
      </c>
      <c r="B2192" s="348" t="s">
        <v>35</v>
      </c>
      <c r="C2192" s="348" t="s">
        <v>36</v>
      </c>
      <c r="D2192" s="334" t="s">
        <v>187</v>
      </c>
      <c r="E2192" s="336">
        <v>43717</v>
      </c>
      <c r="F2192" s="336">
        <v>43666</v>
      </c>
      <c r="G2192" s="336">
        <v>43715</v>
      </c>
      <c r="H2192" s="334" t="s">
        <v>5926</v>
      </c>
      <c r="I2192" s="356">
        <v>17621530036</v>
      </c>
      <c r="J2192" s="361" t="s">
        <v>5927</v>
      </c>
      <c r="K2192" s="356">
        <v>1000</v>
      </c>
      <c r="L2192" s="334">
        <f>12972-1104</f>
        <v>11868</v>
      </c>
      <c r="M2192" s="334">
        <v>1104</v>
      </c>
      <c r="N2192" s="362">
        <f t="shared" ref="N2192:N2223" si="77">L2192+M2192</f>
        <v>12972</v>
      </c>
      <c r="O2192" s="356" t="s">
        <v>52</v>
      </c>
      <c r="P2192" s="356"/>
      <c r="Q2192" s="356"/>
      <c r="R2192" s="356"/>
      <c r="S2192" s="356"/>
      <c r="T2192" s="356"/>
      <c r="U2192" s="372"/>
      <c r="V2192" s="372"/>
      <c r="W2192" s="372"/>
      <c r="X2192" s="373"/>
      <c r="Y2192" s="348"/>
      <c r="Z2192" s="348"/>
      <c r="AA2192" s="348"/>
    </row>
    <row r="2193" s="331" customFormat="1" ht="17" customHeight="1" spans="1:27">
      <c r="A2193" s="550" t="s">
        <v>5928</v>
      </c>
      <c r="B2193" s="348" t="s">
        <v>35</v>
      </c>
      <c r="C2193" s="348" t="s">
        <v>36</v>
      </c>
      <c r="D2193" s="352" t="s">
        <v>37</v>
      </c>
      <c r="E2193" s="336">
        <v>43667</v>
      </c>
      <c r="F2193" s="336">
        <v>43666</v>
      </c>
      <c r="G2193" s="350"/>
      <c r="H2193" s="334" t="s">
        <v>5929</v>
      </c>
      <c r="I2193" s="356">
        <v>18516637601</v>
      </c>
      <c r="J2193" s="361" t="s">
        <v>5930</v>
      </c>
      <c r="K2193" s="356">
        <v>1000</v>
      </c>
      <c r="L2193" s="419"/>
      <c r="M2193" s="419"/>
      <c r="N2193" s="362">
        <f t="shared" si="77"/>
        <v>0</v>
      </c>
      <c r="O2193" s="356" t="s">
        <v>52</v>
      </c>
      <c r="P2193" s="356"/>
      <c r="Q2193" s="356"/>
      <c r="R2193" s="356"/>
      <c r="S2193" s="356"/>
      <c r="T2193" s="356"/>
      <c r="U2193" s="372" t="s">
        <v>40</v>
      </c>
      <c r="V2193" s="372"/>
      <c r="W2193" s="372"/>
      <c r="X2193" s="373"/>
      <c r="Y2193" s="348"/>
      <c r="Z2193" s="348"/>
      <c r="AA2193" s="348"/>
    </row>
    <row r="2194" s="331" customFormat="1" ht="17" customHeight="1" spans="1:27">
      <c r="A2194" s="550" t="s">
        <v>5931</v>
      </c>
      <c r="B2194" s="348" t="s">
        <v>35</v>
      </c>
      <c r="C2194" s="348" t="s">
        <v>36</v>
      </c>
      <c r="D2194" s="352" t="s">
        <v>37</v>
      </c>
      <c r="E2194" s="336">
        <v>43667</v>
      </c>
      <c r="F2194" s="336">
        <v>43666</v>
      </c>
      <c r="G2194" s="336">
        <v>43668</v>
      </c>
      <c r="H2194" s="334" t="s">
        <v>5932</v>
      </c>
      <c r="I2194" s="356">
        <v>18321484030</v>
      </c>
      <c r="J2194" s="361" t="s">
        <v>5933</v>
      </c>
      <c r="K2194" s="356">
        <v>1000</v>
      </c>
      <c r="L2194" s="334">
        <v>4305</v>
      </c>
      <c r="M2194" s="419"/>
      <c r="N2194" s="362">
        <f t="shared" si="77"/>
        <v>4305</v>
      </c>
      <c r="O2194" s="356"/>
      <c r="P2194" s="356"/>
      <c r="Q2194" s="356"/>
      <c r="R2194" s="356"/>
      <c r="S2194" s="356"/>
      <c r="T2194" s="356"/>
      <c r="U2194" s="372"/>
      <c r="V2194" s="372"/>
      <c r="W2194" s="372"/>
      <c r="X2194" s="373"/>
      <c r="Y2194" s="348"/>
      <c r="Z2194" s="348"/>
      <c r="AA2194" s="348"/>
    </row>
    <row r="2195" s="331" customFormat="1" ht="17" customHeight="1" spans="1:27">
      <c r="A2195" s="348"/>
      <c r="B2195" s="348" t="s">
        <v>2625</v>
      </c>
      <c r="C2195" s="348" t="s">
        <v>2626</v>
      </c>
      <c r="D2195" s="349" t="s">
        <v>44</v>
      </c>
      <c r="E2195" s="336">
        <v>43697</v>
      </c>
      <c r="F2195" s="336">
        <v>43667</v>
      </c>
      <c r="G2195" s="336">
        <v>43696</v>
      </c>
      <c r="H2195" s="334" t="s">
        <v>5934</v>
      </c>
      <c r="I2195" s="356">
        <v>13917623898</v>
      </c>
      <c r="J2195" s="361" t="s">
        <v>5935</v>
      </c>
      <c r="K2195" s="356">
        <v>3000</v>
      </c>
      <c r="L2195" s="334">
        <v>9373</v>
      </c>
      <c r="M2195" s="419"/>
      <c r="N2195" s="362">
        <f t="shared" si="77"/>
        <v>9373</v>
      </c>
      <c r="O2195" s="356"/>
      <c r="P2195" s="356"/>
      <c r="Q2195" s="356"/>
      <c r="R2195" s="356"/>
      <c r="S2195" s="356"/>
      <c r="T2195" s="356"/>
      <c r="U2195" s="372"/>
      <c r="V2195" s="372"/>
      <c r="W2195" s="374">
        <v>43696</v>
      </c>
      <c r="X2195" s="373"/>
      <c r="Y2195" s="348"/>
      <c r="Z2195" s="348"/>
      <c r="AA2195" s="348"/>
    </row>
    <row r="2196" s="331" customFormat="1" ht="17" customHeight="1" spans="1:27">
      <c r="A2196" s="348"/>
      <c r="B2196" s="348" t="s">
        <v>2625</v>
      </c>
      <c r="C2196" s="348" t="s">
        <v>2626</v>
      </c>
      <c r="D2196" s="349" t="s">
        <v>717</v>
      </c>
      <c r="E2196" s="336">
        <v>43667</v>
      </c>
      <c r="F2196" s="336">
        <v>43667</v>
      </c>
      <c r="G2196" s="336">
        <v>43668</v>
      </c>
      <c r="H2196" s="334" t="s">
        <v>5936</v>
      </c>
      <c r="I2196" s="356">
        <v>13122367350</v>
      </c>
      <c r="J2196" s="361" t="s">
        <v>5937</v>
      </c>
      <c r="K2196" s="356">
        <v>1000</v>
      </c>
      <c r="L2196" s="334">
        <v>5410</v>
      </c>
      <c r="M2196" s="419"/>
      <c r="N2196" s="362">
        <f t="shared" si="77"/>
        <v>5410</v>
      </c>
      <c r="O2196" s="356"/>
      <c r="P2196" s="356"/>
      <c r="Q2196" s="356"/>
      <c r="R2196" s="356"/>
      <c r="S2196" s="356"/>
      <c r="T2196" s="356"/>
      <c r="U2196" s="372"/>
      <c r="V2196" s="372"/>
      <c r="W2196" s="372"/>
      <c r="X2196" s="373"/>
      <c r="Y2196" s="348"/>
      <c r="Z2196" s="348"/>
      <c r="AA2196" s="348"/>
    </row>
    <row r="2197" s="331" customFormat="1" ht="17" customHeight="1" spans="1:27">
      <c r="A2197" s="348"/>
      <c r="B2197" s="348" t="s">
        <v>805</v>
      </c>
      <c r="C2197" s="348" t="s">
        <v>4935</v>
      </c>
      <c r="D2197" s="352" t="s">
        <v>171</v>
      </c>
      <c r="E2197" s="336">
        <v>43721</v>
      </c>
      <c r="F2197" s="336">
        <v>43667</v>
      </c>
      <c r="G2197" s="336">
        <v>43721</v>
      </c>
      <c r="H2197" s="334" t="s">
        <v>5938</v>
      </c>
      <c r="I2197" s="356">
        <v>15802187537</v>
      </c>
      <c r="J2197" s="361" t="s">
        <v>5939</v>
      </c>
      <c r="K2197" s="356">
        <v>1000</v>
      </c>
      <c r="L2197" s="334">
        <v>4579</v>
      </c>
      <c r="M2197" s="419"/>
      <c r="N2197" s="362">
        <f t="shared" si="77"/>
        <v>4579</v>
      </c>
      <c r="O2197" s="356"/>
      <c r="P2197" s="430"/>
      <c r="Q2197" s="430" t="s">
        <v>52</v>
      </c>
      <c r="R2197" s="356"/>
      <c r="S2197" s="356"/>
      <c r="T2197" s="356"/>
      <c r="U2197" s="372"/>
      <c r="V2197" s="372"/>
      <c r="W2197" s="372"/>
      <c r="X2197" s="373"/>
      <c r="Y2197" s="348"/>
      <c r="Z2197" s="348"/>
      <c r="AA2197" s="348"/>
    </row>
    <row r="2198" s="331" customFormat="1" ht="17" customHeight="1" spans="1:27">
      <c r="A2198" s="348"/>
      <c r="B2198" s="348" t="s">
        <v>805</v>
      </c>
      <c r="C2198" s="348" t="s">
        <v>806</v>
      </c>
      <c r="D2198" s="334" t="s">
        <v>427</v>
      </c>
      <c r="E2198" s="336">
        <v>43790</v>
      </c>
      <c r="F2198" s="336">
        <v>43667</v>
      </c>
      <c r="G2198" s="336">
        <v>43789</v>
      </c>
      <c r="H2198" s="334" t="s">
        <v>5940</v>
      </c>
      <c r="I2198" s="356">
        <v>15900903037</v>
      </c>
      <c r="J2198" s="361" t="s">
        <v>5941</v>
      </c>
      <c r="K2198" s="356">
        <v>3000</v>
      </c>
      <c r="L2198" s="334">
        <v>12334</v>
      </c>
      <c r="M2198" s="419"/>
      <c r="N2198" s="362">
        <f t="shared" si="77"/>
        <v>12334</v>
      </c>
      <c r="O2198" s="430" t="s">
        <v>52</v>
      </c>
      <c r="P2198" s="356"/>
      <c r="Q2198" s="356"/>
      <c r="R2198" s="356"/>
      <c r="S2198" s="356"/>
      <c r="T2198" s="356"/>
      <c r="U2198" s="372"/>
      <c r="V2198" s="372"/>
      <c r="W2198" s="372"/>
      <c r="X2198" s="373"/>
      <c r="Y2198" s="348"/>
      <c r="Z2198" s="348"/>
      <c r="AA2198" s="348"/>
    </row>
    <row r="2199" s="331" customFormat="1" ht="17" customHeight="1" spans="1:27">
      <c r="A2199" s="348">
        <v>20260</v>
      </c>
      <c r="B2199" s="348" t="s">
        <v>335</v>
      </c>
      <c r="C2199" s="348" t="s">
        <v>399</v>
      </c>
      <c r="D2199" s="349" t="s">
        <v>717</v>
      </c>
      <c r="E2199" s="336">
        <v>43667</v>
      </c>
      <c r="F2199" s="336">
        <v>43666</v>
      </c>
      <c r="G2199" s="336">
        <v>43666</v>
      </c>
      <c r="H2199" s="334" t="s">
        <v>5942</v>
      </c>
      <c r="I2199" s="356">
        <v>13120726633</v>
      </c>
      <c r="J2199" s="361" t="s">
        <v>5943</v>
      </c>
      <c r="K2199" s="356">
        <v>0</v>
      </c>
      <c r="L2199" s="334">
        <v>58285</v>
      </c>
      <c r="M2199" s="419"/>
      <c r="N2199" s="362">
        <f t="shared" si="77"/>
        <v>58285</v>
      </c>
      <c r="O2199" s="356"/>
      <c r="P2199" s="356"/>
      <c r="Q2199" s="356"/>
      <c r="R2199" s="356"/>
      <c r="S2199" s="356"/>
      <c r="T2199" s="356"/>
      <c r="U2199" s="372"/>
      <c r="V2199" s="372"/>
      <c r="W2199" s="372"/>
      <c r="X2199" s="373"/>
      <c r="Y2199" s="348"/>
      <c r="Z2199" s="348"/>
      <c r="AA2199" s="348"/>
    </row>
    <row r="2200" s="331" customFormat="1" ht="17" customHeight="1" spans="1:27">
      <c r="A2200" s="550" t="s">
        <v>5944</v>
      </c>
      <c r="B2200" s="348" t="s">
        <v>153</v>
      </c>
      <c r="C2200" s="348" t="s">
        <v>302</v>
      </c>
      <c r="D2200" s="352" t="s">
        <v>155</v>
      </c>
      <c r="E2200" s="336">
        <v>43667</v>
      </c>
      <c r="F2200" s="336">
        <v>43667</v>
      </c>
      <c r="G2200" s="336">
        <v>43671</v>
      </c>
      <c r="H2200" s="334" t="s">
        <v>5945</v>
      </c>
      <c r="I2200" s="356">
        <v>13818894344</v>
      </c>
      <c r="J2200" s="361" t="s">
        <v>5946</v>
      </c>
      <c r="K2200" s="356">
        <v>3801</v>
      </c>
      <c r="L2200" s="334">
        <v>4436</v>
      </c>
      <c r="M2200" s="334">
        <v>2252</v>
      </c>
      <c r="N2200" s="362">
        <f t="shared" si="77"/>
        <v>6688</v>
      </c>
      <c r="O2200" s="356"/>
      <c r="P2200" s="356"/>
      <c r="Q2200" s="356"/>
      <c r="R2200" s="356"/>
      <c r="S2200" s="356"/>
      <c r="T2200" s="356"/>
      <c r="U2200" s="372"/>
      <c r="V2200" s="372"/>
      <c r="W2200" s="354" t="s">
        <v>2494</v>
      </c>
      <c r="X2200" s="373"/>
      <c r="Y2200" s="348"/>
      <c r="Z2200" s="348"/>
      <c r="AA2200" s="348"/>
    </row>
    <row r="2201" s="331" customFormat="1" ht="17" customHeight="1" spans="1:27">
      <c r="A2201" s="348"/>
      <c r="B2201" s="348" t="s">
        <v>805</v>
      </c>
      <c r="C2201" s="348" t="s">
        <v>806</v>
      </c>
      <c r="D2201" s="349" t="s">
        <v>427</v>
      </c>
      <c r="E2201" s="336">
        <v>43667</v>
      </c>
      <c r="F2201" s="336">
        <v>43667</v>
      </c>
      <c r="G2201" s="336">
        <v>43667</v>
      </c>
      <c r="H2201" s="334" t="s">
        <v>5947</v>
      </c>
      <c r="I2201" s="356">
        <v>13795489248</v>
      </c>
      <c r="J2201" s="361" t="s">
        <v>5948</v>
      </c>
      <c r="K2201" s="356">
        <v>0</v>
      </c>
      <c r="L2201" s="334">
        <v>30000</v>
      </c>
      <c r="M2201" s="419"/>
      <c r="N2201" s="362">
        <f t="shared" si="77"/>
        <v>30000</v>
      </c>
      <c r="O2201" s="356"/>
      <c r="P2201" s="356"/>
      <c r="Q2201" s="356"/>
      <c r="R2201" s="356"/>
      <c r="S2201" s="356"/>
      <c r="T2201" s="356"/>
      <c r="U2201" s="372"/>
      <c r="V2201" s="372"/>
      <c r="W2201" s="372"/>
      <c r="X2201" s="373"/>
      <c r="Y2201" s="348"/>
      <c r="Z2201" s="348"/>
      <c r="AA2201" s="348"/>
    </row>
    <row r="2202" s="331" customFormat="1" ht="17" customHeight="1" spans="1:27">
      <c r="A2202" s="550" t="s">
        <v>5949</v>
      </c>
      <c r="B2202" s="348" t="s">
        <v>31</v>
      </c>
      <c r="C2202" s="348" t="s">
        <v>2716</v>
      </c>
      <c r="D2202" s="334" t="s">
        <v>68</v>
      </c>
      <c r="E2202" s="336">
        <v>43724</v>
      </c>
      <c r="F2202" s="336">
        <v>43667</v>
      </c>
      <c r="G2202" s="336">
        <v>43723</v>
      </c>
      <c r="H2202" s="334" t="s">
        <v>5950</v>
      </c>
      <c r="I2202" s="356">
        <v>18930969507</v>
      </c>
      <c r="J2202" s="361" t="s">
        <v>5951</v>
      </c>
      <c r="K2202" s="356">
        <v>1000</v>
      </c>
      <c r="L2202" s="334">
        <v>9236</v>
      </c>
      <c r="M2202" s="419"/>
      <c r="N2202" s="362">
        <f t="shared" si="77"/>
        <v>9236</v>
      </c>
      <c r="O2202" s="356"/>
      <c r="P2202" s="356"/>
      <c r="Q2202" s="366" t="s">
        <v>52</v>
      </c>
      <c r="R2202" s="356"/>
      <c r="S2202" s="356"/>
      <c r="T2202" s="356"/>
      <c r="U2202" s="372"/>
      <c r="V2202" s="372"/>
      <c r="W2202" s="372"/>
      <c r="X2202" s="373"/>
      <c r="Y2202" s="348"/>
      <c r="Z2202" s="348"/>
      <c r="AA2202" s="348"/>
    </row>
    <row r="2203" s="331" customFormat="1" ht="17" customHeight="1" spans="1:27">
      <c r="A2203" s="550" t="s">
        <v>5952</v>
      </c>
      <c r="B2203" s="348" t="s">
        <v>58</v>
      </c>
      <c r="C2203" s="348" t="s">
        <v>794</v>
      </c>
      <c r="D2203" s="352" t="s">
        <v>110</v>
      </c>
      <c r="E2203" s="336">
        <v>43667</v>
      </c>
      <c r="F2203" s="336">
        <v>43666</v>
      </c>
      <c r="G2203" s="336">
        <v>43668</v>
      </c>
      <c r="H2203" s="334" t="s">
        <v>5953</v>
      </c>
      <c r="I2203" s="356">
        <v>13301860893</v>
      </c>
      <c r="J2203" s="361" t="s">
        <v>5954</v>
      </c>
      <c r="K2203" s="356">
        <v>10000</v>
      </c>
      <c r="L2203" s="334">
        <v>9512</v>
      </c>
      <c r="M2203" s="419"/>
      <c r="N2203" s="362">
        <f t="shared" si="77"/>
        <v>9512</v>
      </c>
      <c r="O2203" s="356"/>
      <c r="P2203" s="356"/>
      <c r="Q2203" s="356"/>
      <c r="R2203" s="356"/>
      <c r="S2203" s="366" t="s">
        <v>52</v>
      </c>
      <c r="T2203" s="356"/>
      <c r="U2203" s="372"/>
      <c r="V2203" s="372"/>
      <c r="W2203" s="372"/>
      <c r="X2203" s="373"/>
      <c r="Y2203" s="348"/>
      <c r="Z2203" s="348"/>
      <c r="AA2203" s="348"/>
    </row>
    <row r="2204" s="331" customFormat="1" ht="17" customHeight="1" spans="1:27">
      <c r="A2204" s="550" t="s">
        <v>5955</v>
      </c>
      <c r="B2204" s="348" t="s">
        <v>58</v>
      </c>
      <c r="C2204" s="348" t="s">
        <v>794</v>
      </c>
      <c r="D2204" s="352" t="s">
        <v>110</v>
      </c>
      <c r="E2204" s="336">
        <v>43699</v>
      </c>
      <c r="F2204" s="336">
        <v>43666</v>
      </c>
      <c r="G2204" s="336">
        <v>43699</v>
      </c>
      <c r="H2204" s="334" t="s">
        <v>5956</v>
      </c>
      <c r="I2204" s="356">
        <v>18801934612</v>
      </c>
      <c r="J2204" s="361" t="s">
        <v>5957</v>
      </c>
      <c r="K2204" s="356">
        <v>5000</v>
      </c>
      <c r="L2204" s="334">
        <v>13376</v>
      </c>
      <c r="M2204" s="419"/>
      <c r="N2204" s="362">
        <f t="shared" si="77"/>
        <v>13376</v>
      </c>
      <c r="O2204" s="356"/>
      <c r="P2204" s="366"/>
      <c r="Q2204" s="366" t="s">
        <v>52</v>
      </c>
      <c r="R2204" s="356"/>
      <c r="S2204" s="356"/>
      <c r="T2204" s="356"/>
      <c r="U2204" s="372"/>
      <c r="V2204" s="372"/>
      <c r="W2204" s="372"/>
      <c r="X2204" s="373"/>
      <c r="Y2204" s="348"/>
      <c r="Z2204" s="348"/>
      <c r="AA2204" s="348"/>
    </row>
    <row r="2205" s="331" customFormat="1" ht="17" customHeight="1" spans="1:27">
      <c r="A2205" s="550" t="s">
        <v>5958</v>
      </c>
      <c r="B2205" s="348" t="s">
        <v>354</v>
      </c>
      <c r="C2205" s="348" t="s">
        <v>355</v>
      </c>
      <c r="D2205" s="334" t="s">
        <v>162</v>
      </c>
      <c r="E2205" s="336">
        <v>43736</v>
      </c>
      <c r="F2205" s="336">
        <v>43667</v>
      </c>
      <c r="G2205" s="336">
        <v>43733</v>
      </c>
      <c r="H2205" s="334" t="s">
        <v>5959</v>
      </c>
      <c r="I2205" s="356">
        <v>13817920302</v>
      </c>
      <c r="J2205" s="361" t="s">
        <v>5960</v>
      </c>
      <c r="K2205" s="356">
        <v>5000</v>
      </c>
      <c r="L2205" s="334">
        <v>15678</v>
      </c>
      <c r="M2205" s="419"/>
      <c r="N2205" s="362">
        <f t="shared" si="77"/>
        <v>15678</v>
      </c>
      <c r="O2205" s="356"/>
      <c r="P2205" s="356"/>
      <c r="Q2205" s="356"/>
      <c r="R2205" s="356" t="s">
        <v>52</v>
      </c>
      <c r="S2205" s="356"/>
      <c r="T2205" s="356"/>
      <c r="U2205" s="372"/>
      <c r="V2205" s="372"/>
      <c r="W2205" s="372"/>
      <c r="X2205" s="373"/>
      <c r="Y2205" s="348"/>
      <c r="Z2205" s="348"/>
      <c r="AA2205" s="348"/>
    </row>
    <row r="2206" s="331" customFormat="1" ht="17" customHeight="1" spans="1:27">
      <c r="A2206" s="348">
        <v>2023545</v>
      </c>
      <c r="B2206" s="348" t="s">
        <v>185</v>
      </c>
      <c r="C2206" s="348" t="s">
        <v>1133</v>
      </c>
      <c r="D2206" s="334" t="s">
        <v>187</v>
      </c>
      <c r="E2206" s="336">
        <v>43708</v>
      </c>
      <c r="F2206" s="336">
        <v>43667</v>
      </c>
      <c r="G2206" s="336">
        <v>43708</v>
      </c>
      <c r="H2206" s="334" t="s">
        <v>5961</v>
      </c>
      <c r="I2206" s="356">
        <v>15750736976</v>
      </c>
      <c r="J2206" s="361" t="s">
        <v>5962</v>
      </c>
      <c r="K2206" s="356">
        <v>1000</v>
      </c>
      <c r="L2206" s="334">
        <v>31400</v>
      </c>
      <c r="M2206" s="419"/>
      <c r="N2206" s="362">
        <f t="shared" si="77"/>
        <v>31400</v>
      </c>
      <c r="O2206" s="356"/>
      <c r="P2206" s="356"/>
      <c r="Q2206" s="356"/>
      <c r="R2206" s="356"/>
      <c r="S2206" s="356" t="s">
        <v>52</v>
      </c>
      <c r="T2206" s="356"/>
      <c r="U2206" s="372"/>
      <c r="V2206" s="372"/>
      <c r="W2206" s="374">
        <v>43668</v>
      </c>
      <c r="X2206" s="395"/>
      <c r="Y2206" s="348"/>
      <c r="Z2206" s="348"/>
      <c r="AA2206" s="348"/>
    </row>
    <row r="2207" s="331" customFormat="1" ht="17" customHeight="1" spans="1:27">
      <c r="A2207" s="550" t="s">
        <v>5963</v>
      </c>
      <c r="B2207" s="348" t="s">
        <v>153</v>
      </c>
      <c r="C2207" s="348" t="s">
        <v>302</v>
      </c>
      <c r="D2207" s="352" t="s">
        <v>155</v>
      </c>
      <c r="E2207" s="336">
        <v>43734</v>
      </c>
      <c r="F2207" s="336">
        <v>43667</v>
      </c>
      <c r="G2207" s="336">
        <v>43733</v>
      </c>
      <c r="H2207" s="334" t="s">
        <v>5964</v>
      </c>
      <c r="I2207" s="356">
        <v>18616181010</v>
      </c>
      <c r="J2207" s="361" t="s">
        <v>5965</v>
      </c>
      <c r="K2207" s="356">
        <v>1000</v>
      </c>
      <c r="L2207" s="334">
        <v>8590</v>
      </c>
      <c r="M2207" s="419"/>
      <c r="N2207" s="362">
        <f t="shared" si="77"/>
        <v>8590</v>
      </c>
      <c r="O2207" s="356"/>
      <c r="P2207" s="356"/>
      <c r="Q2207" s="356"/>
      <c r="R2207" s="356"/>
      <c r="S2207" s="356"/>
      <c r="T2207" s="356"/>
      <c r="U2207" s="372"/>
      <c r="V2207" s="372" t="s">
        <v>1328</v>
      </c>
      <c r="W2207" s="372"/>
      <c r="X2207" s="373"/>
      <c r="Y2207" s="348"/>
      <c r="Z2207" s="348"/>
      <c r="AA2207" s="348"/>
    </row>
    <row r="2208" s="331" customFormat="1" ht="17" customHeight="1" spans="1:27">
      <c r="A2208" s="348"/>
      <c r="B2208" s="348" t="s">
        <v>243</v>
      </c>
      <c r="C2208" s="348" t="s">
        <v>244</v>
      </c>
      <c r="D2208" s="352" t="s">
        <v>49</v>
      </c>
      <c r="E2208" s="336">
        <v>43745</v>
      </c>
      <c r="F2208" s="336">
        <v>43667</v>
      </c>
      <c r="G2208" s="336">
        <v>43742</v>
      </c>
      <c r="H2208" s="334" t="s">
        <v>5966</v>
      </c>
      <c r="I2208" s="356">
        <v>13917575395</v>
      </c>
      <c r="J2208" s="361" t="s">
        <v>5967</v>
      </c>
      <c r="K2208" s="356">
        <v>1000</v>
      </c>
      <c r="L2208" s="334">
        <v>27202</v>
      </c>
      <c r="M2208" s="419"/>
      <c r="N2208" s="362">
        <f t="shared" si="77"/>
        <v>27202</v>
      </c>
      <c r="O2208" s="356"/>
      <c r="P2208" s="356"/>
      <c r="Q2208" s="356"/>
      <c r="R2208" s="356" t="s">
        <v>52</v>
      </c>
      <c r="S2208" s="356"/>
      <c r="T2208" s="356"/>
      <c r="U2208" s="372"/>
      <c r="V2208" s="372"/>
      <c r="W2208" s="372"/>
      <c r="X2208" s="373"/>
      <c r="Y2208" s="348"/>
      <c r="Z2208" s="348"/>
      <c r="AA2208" s="348"/>
    </row>
    <row r="2209" s="331" customFormat="1" ht="17" customHeight="1" spans="1:27">
      <c r="A2209" s="550" t="s">
        <v>5968</v>
      </c>
      <c r="B2209" s="348" t="s">
        <v>315</v>
      </c>
      <c r="C2209" s="348" t="s">
        <v>161</v>
      </c>
      <c r="D2209" s="352" t="s">
        <v>162</v>
      </c>
      <c r="E2209" s="336">
        <v>43667</v>
      </c>
      <c r="F2209" s="336">
        <v>43667</v>
      </c>
      <c r="G2209" s="350" t="s">
        <v>69</v>
      </c>
      <c r="H2209" s="334" t="s">
        <v>5969</v>
      </c>
      <c r="I2209" s="356">
        <v>18616864488</v>
      </c>
      <c r="J2209" s="361" t="s">
        <v>5970</v>
      </c>
      <c r="K2209" s="356">
        <v>1000</v>
      </c>
      <c r="L2209" s="419"/>
      <c r="M2209" s="419"/>
      <c r="N2209" s="362">
        <f t="shared" si="77"/>
        <v>0</v>
      </c>
      <c r="O2209" s="356"/>
      <c r="P2209" s="356">
        <v>1</v>
      </c>
      <c r="Q2209" s="356"/>
      <c r="R2209" s="356"/>
      <c r="S2209" s="356"/>
      <c r="T2209" s="356"/>
      <c r="U2209" s="372"/>
      <c r="V2209" s="372"/>
      <c r="W2209" s="372"/>
      <c r="X2209" s="373"/>
      <c r="Y2209" s="348"/>
      <c r="Z2209" s="348"/>
      <c r="AA2209" s="348"/>
    </row>
    <row r="2210" s="331" customFormat="1" ht="17" customHeight="1" spans="1:27">
      <c r="A2210" s="348"/>
      <c r="B2210" s="348" t="s">
        <v>315</v>
      </c>
      <c r="C2210" s="348" t="s">
        <v>161</v>
      </c>
      <c r="D2210" s="352" t="s">
        <v>162</v>
      </c>
      <c r="E2210" s="336">
        <v>43667</v>
      </c>
      <c r="F2210" s="336">
        <v>43667</v>
      </c>
      <c r="G2210" s="336">
        <v>43670</v>
      </c>
      <c r="H2210" s="334" t="s">
        <v>5971</v>
      </c>
      <c r="I2210" s="356">
        <v>18930863009</v>
      </c>
      <c r="J2210" s="361" t="s">
        <v>5972</v>
      </c>
      <c r="K2210" s="356">
        <v>1000</v>
      </c>
      <c r="L2210" s="334">
        <v>18410</v>
      </c>
      <c r="M2210" s="419"/>
      <c r="N2210" s="362">
        <f t="shared" si="77"/>
        <v>18410</v>
      </c>
      <c r="O2210" s="356"/>
      <c r="P2210" s="356"/>
      <c r="Q2210" s="356"/>
      <c r="R2210" s="356">
        <v>1</v>
      </c>
      <c r="S2210" s="356"/>
      <c r="T2210" s="356"/>
      <c r="U2210" s="372"/>
      <c r="V2210" s="372"/>
      <c r="W2210" s="372"/>
      <c r="X2210" s="373"/>
      <c r="Y2210" s="348"/>
      <c r="Z2210" s="348"/>
      <c r="AA2210" s="348"/>
    </row>
    <row r="2211" s="331" customFormat="1" ht="17" customHeight="1" spans="1:27">
      <c r="A2211" s="348"/>
      <c r="B2211" s="348" t="s">
        <v>31</v>
      </c>
      <c r="C2211" s="348" t="s">
        <v>377</v>
      </c>
      <c r="D2211" s="349" t="s">
        <v>33</v>
      </c>
      <c r="E2211" s="336">
        <v>43703</v>
      </c>
      <c r="F2211" s="336">
        <v>43667</v>
      </c>
      <c r="G2211" s="336">
        <v>43702</v>
      </c>
      <c r="H2211" s="334" t="s">
        <v>5973</v>
      </c>
      <c r="I2211" s="356">
        <v>13585947060</v>
      </c>
      <c r="J2211" s="361" t="s">
        <v>5974</v>
      </c>
      <c r="K2211" s="356">
        <v>1000</v>
      </c>
      <c r="L2211" s="334">
        <v>13019</v>
      </c>
      <c r="M2211" s="419"/>
      <c r="N2211" s="362">
        <f t="shared" si="77"/>
        <v>13019</v>
      </c>
      <c r="O2211" s="366" t="s">
        <v>52</v>
      </c>
      <c r="P2211" s="356"/>
      <c r="Q2211" s="356"/>
      <c r="R2211" s="356"/>
      <c r="S2211" s="356"/>
      <c r="T2211" s="356"/>
      <c r="U2211" s="372"/>
      <c r="V2211" s="372"/>
      <c r="W2211" s="372"/>
      <c r="X2211" s="373"/>
      <c r="Y2211" s="348"/>
      <c r="Z2211" s="348"/>
      <c r="AA2211" s="348"/>
    </row>
    <row r="2212" s="331" customFormat="1" ht="17" customHeight="1" spans="1:27">
      <c r="A2212" s="550" t="s">
        <v>5975</v>
      </c>
      <c r="B2212" s="348" t="s">
        <v>354</v>
      </c>
      <c r="C2212" s="348" t="s">
        <v>355</v>
      </c>
      <c r="D2212" s="349" t="s">
        <v>343</v>
      </c>
      <c r="E2212" s="336">
        <v>43667</v>
      </c>
      <c r="F2212" s="336">
        <v>43667</v>
      </c>
      <c r="G2212" s="336">
        <v>43673</v>
      </c>
      <c r="H2212" s="334" t="s">
        <v>5976</v>
      </c>
      <c r="I2212" s="356">
        <v>18247183347</v>
      </c>
      <c r="J2212" s="361" t="s">
        <v>5977</v>
      </c>
      <c r="K2212" s="356">
        <v>10000</v>
      </c>
      <c r="L2212" s="334">
        <v>9930</v>
      </c>
      <c r="M2212" s="419"/>
      <c r="N2212" s="362">
        <f t="shared" si="77"/>
        <v>9930</v>
      </c>
      <c r="O2212" s="356"/>
      <c r="P2212" s="356"/>
      <c r="Q2212" s="356"/>
      <c r="R2212" s="356"/>
      <c r="S2212" s="356"/>
      <c r="T2212" s="356"/>
      <c r="U2212" s="372"/>
      <c r="V2212" s="372"/>
      <c r="W2212" s="372"/>
      <c r="X2212" s="373"/>
      <c r="Y2212" s="348"/>
      <c r="Z2212" s="348"/>
      <c r="AA2212" s="348"/>
    </row>
    <row r="2213" s="331" customFormat="1" ht="17" customHeight="1" spans="1:27">
      <c r="A2213" s="550" t="s">
        <v>5978</v>
      </c>
      <c r="B2213" s="348" t="s">
        <v>31</v>
      </c>
      <c r="C2213" s="348" t="s">
        <v>419</v>
      </c>
      <c r="D2213" s="334" t="s">
        <v>954</v>
      </c>
      <c r="E2213" s="336">
        <v>43715</v>
      </c>
      <c r="F2213" s="336">
        <v>43667</v>
      </c>
      <c r="G2213" s="336">
        <v>43715</v>
      </c>
      <c r="H2213" s="334" t="s">
        <v>5979</v>
      </c>
      <c r="I2213" s="356">
        <v>13585965889</v>
      </c>
      <c r="J2213" s="361" t="s">
        <v>5980</v>
      </c>
      <c r="K2213" s="356">
        <v>1000</v>
      </c>
      <c r="L2213" s="334">
        <v>9915</v>
      </c>
      <c r="M2213" s="419"/>
      <c r="N2213" s="362">
        <f t="shared" si="77"/>
        <v>9915</v>
      </c>
      <c r="O2213" s="366" t="s">
        <v>52</v>
      </c>
      <c r="P2213" s="356"/>
      <c r="Q2213" s="356"/>
      <c r="R2213" s="356"/>
      <c r="S2213" s="356"/>
      <c r="T2213" s="356"/>
      <c r="U2213" s="372"/>
      <c r="V2213" s="372"/>
      <c r="W2213" s="372"/>
      <c r="X2213" s="373"/>
      <c r="Y2213" s="348"/>
      <c r="Z2213" s="348"/>
      <c r="AA2213" s="348"/>
    </row>
    <row r="2214" s="331" customFormat="1" ht="17" customHeight="1" spans="1:27">
      <c r="A2214" s="550" t="s">
        <v>5981</v>
      </c>
      <c r="B2214" s="348" t="s">
        <v>31</v>
      </c>
      <c r="C2214" s="348" t="s">
        <v>3186</v>
      </c>
      <c r="D2214" s="352" t="s">
        <v>221</v>
      </c>
      <c r="E2214" s="336">
        <v>43667</v>
      </c>
      <c r="F2214" s="336">
        <v>43667</v>
      </c>
      <c r="G2214" s="350"/>
      <c r="H2214" s="334" t="s">
        <v>5982</v>
      </c>
      <c r="I2214" s="356">
        <v>18917288793</v>
      </c>
      <c r="J2214" s="361" t="s">
        <v>5983</v>
      </c>
      <c r="K2214" s="356">
        <v>1000</v>
      </c>
      <c r="L2214" s="419"/>
      <c r="M2214" s="419"/>
      <c r="N2214" s="362">
        <f t="shared" si="77"/>
        <v>0</v>
      </c>
      <c r="O2214" s="366" t="s">
        <v>52</v>
      </c>
      <c r="P2214" s="356"/>
      <c r="Q2214" s="356"/>
      <c r="R2214" s="356"/>
      <c r="S2214" s="356"/>
      <c r="T2214" s="356"/>
      <c r="U2214" s="372"/>
      <c r="V2214" s="372"/>
      <c r="W2214" s="372"/>
      <c r="X2214" s="373"/>
      <c r="Y2214" s="348"/>
      <c r="Z2214" s="348"/>
      <c r="AA2214" s="348"/>
    </row>
    <row r="2215" s="331" customFormat="1" ht="17" customHeight="1" spans="1:27">
      <c r="A2215" s="348">
        <v>2068065</v>
      </c>
      <c r="B2215" s="348" t="s">
        <v>87</v>
      </c>
      <c r="C2215" s="348" t="s">
        <v>199</v>
      </c>
      <c r="D2215" s="352" t="s">
        <v>89</v>
      </c>
      <c r="E2215" s="336">
        <v>43698</v>
      </c>
      <c r="F2215" s="336">
        <v>43667</v>
      </c>
      <c r="G2215" s="336">
        <v>43698</v>
      </c>
      <c r="H2215" s="334" t="s">
        <v>5984</v>
      </c>
      <c r="I2215" s="356">
        <v>13761490206</v>
      </c>
      <c r="J2215" s="361" t="s">
        <v>5985</v>
      </c>
      <c r="K2215" s="356">
        <v>5310.9</v>
      </c>
      <c r="L2215" s="334">
        <v>5552.9</v>
      </c>
      <c r="M2215" s="419"/>
      <c r="N2215" s="362">
        <f t="shared" si="77"/>
        <v>5552.9</v>
      </c>
      <c r="O2215" s="356"/>
      <c r="P2215" s="411" t="s">
        <v>52</v>
      </c>
      <c r="Q2215" s="356"/>
      <c r="R2215" s="356"/>
      <c r="S2215" s="356"/>
      <c r="T2215" s="356"/>
      <c r="U2215" s="372"/>
      <c r="V2215" s="372"/>
      <c r="W2215" s="372"/>
      <c r="X2215" s="373"/>
      <c r="Y2215" s="348"/>
      <c r="Z2215" s="348"/>
      <c r="AA2215" s="348"/>
    </row>
    <row r="2216" s="331" customFormat="1" ht="17" customHeight="1" spans="1:27">
      <c r="A2216" s="550" t="s">
        <v>5986</v>
      </c>
      <c r="B2216" s="348" t="s">
        <v>31</v>
      </c>
      <c r="C2216" s="348" t="s">
        <v>419</v>
      </c>
      <c r="D2216" s="349" t="s">
        <v>33</v>
      </c>
      <c r="E2216" s="336">
        <v>43667</v>
      </c>
      <c r="F2216" s="336">
        <v>43667</v>
      </c>
      <c r="G2216" s="336">
        <v>43672</v>
      </c>
      <c r="H2216" s="334" t="s">
        <v>5987</v>
      </c>
      <c r="I2216" s="356">
        <v>15801831291</v>
      </c>
      <c r="J2216" s="361" t="s">
        <v>5988</v>
      </c>
      <c r="K2216" s="356">
        <v>18000</v>
      </c>
      <c r="L2216" s="334">
        <v>18000</v>
      </c>
      <c r="M2216" s="419"/>
      <c r="N2216" s="362">
        <f t="shared" si="77"/>
        <v>18000</v>
      </c>
      <c r="O2216" s="356"/>
      <c r="P2216" s="356"/>
      <c r="Q2216" s="356"/>
      <c r="R2216" s="356"/>
      <c r="S2216" s="356"/>
      <c r="T2216" s="356"/>
      <c r="U2216" s="372"/>
      <c r="V2216" s="372"/>
      <c r="W2216" s="372" t="s">
        <v>52</v>
      </c>
      <c r="X2216" s="373"/>
      <c r="Y2216" s="348"/>
      <c r="Z2216" s="348"/>
      <c r="AA2216" s="348"/>
    </row>
    <row r="2217" s="331" customFormat="1" ht="17" customHeight="1" spans="1:27">
      <c r="A2217" s="348"/>
      <c r="B2217" s="348" t="s">
        <v>315</v>
      </c>
      <c r="C2217" s="348" t="s">
        <v>722</v>
      </c>
      <c r="D2217" s="352" t="s">
        <v>182</v>
      </c>
      <c r="E2217" s="336">
        <v>43667</v>
      </c>
      <c r="F2217" s="336">
        <v>43667</v>
      </c>
      <c r="G2217" s="336">
        <v>43676</v>
      </c>
      <c r="H2217" s="334" t="s">
        <v>5989</v>
      </c>
      <c r="I2217" s="356">
        <v>18117020802</v>
      </c>
      <c r="J2217" s="361" t="s">
        <v>5990</v>
      </c>
      <c r="K2217" s="356">
        <v>10000</v>
      </c>
      <c r="L2217" s="356">
        <v>10000</v>
      </c>
      <c r="M2217" s="419"/>
      <c r="N2217" s="362">
        <f t="shared" si="77"/>
        <v>10000</v>
      </c>
      <c r="O2217" s="356"/>
      <c r="P2217" s="356"/>
      <c r="Q2217" s="356"/>
      <c r="R2217" s="356">
        <v>1</v>
      </c>
      <c r="S2217" s="356"/>
      <c r="T2217" s="356"/>
      <c r="U2217" s="372"/>
      <c r="V2217" s="372"/>
      <c r="W2217" s="372"/>
      <c r="X2217" s="373"/>
      <c r="Y2217" s="348"/>
      <c r="Z2217" s="348"/>
      <c r="AA2217" s="348"/>
    </row>
    <row r="2218" s="331" customFormat="1" ht="17" customHeight="1" spans="1:27">
      <c r="A2218" s="550" t="s">
        <v>5991</v>
      </c>
      <c r="B2218" s="348" t="s">
        <v>169</v>
      </c>
      <c r="C2218" s="348" t="s">
        <v>542</v>
      </c>
      <c r="D2218" s="352" t="s">
        <v>171</v>
      </c>
      <c r="E2218" s="336">
        <v>43667</v>
      </c>
      <c r="F2218" s="336">
        <v>43667</v>
      </c>
      <c r="G2218" s="336">
        <v>43668</v>
      </c>
      <c r="H2218" s="334" t="s">
        <v>5992</v>
      </c>
      <c r="I2218" s="356">
        <v>13636602453</v>
      </c>
      <c r="J2218" s="361" t="s">
        <v>5993</v>
      </c>
      <c r="K2218" s="356">
        <v>1000</v>
      </c>
      <c r="L2218" s="334">
        <v>3709</v>
      </c>
      <c r="M2218" s="334">
        <v>736</v>
      </c>
      <c r="N2218" s="362">
        <f t="shared" si="77"/>
        <v>4445</v>
      </c>
      <c r="O2218" s="356"/>
      <c r="P2218" s="356"/>
      <c r="Q2218" s="356"/>
      <c r="R2218" s="356"/>
      <c r="S2218" s="356"/>
      <c r="T2218" s="356"/>
      <c r="U2218" s="372"/>
      <c r="V2218" s="372"/>
      <c r="W2218" s="372"/>
      <c r="X2218" s="373"/>
      <c r="Y2218" s="348"/>
      <c r="Z2218" s="348"/>
      <c r="AA2218" s="348"/>
    </row>
    <row r="2219" s="331" customFormat="1" ht="17" customHeight="1" spans="1:27">
      <c r="A2219" s="550" t="s">
        <v>5994</v>
      </c>
      <c r="B2219" s="348" t="s">
        <v>73</v>
      </c>
      <c r="C2219" s="348" t="s">
        <v>74</v>
      </c>
      <c r="D2219" s="352" t="s">
        <v>75</v>
      </c>
      <c r="E2219" s="336">
        <v>43667</v>
      </c>
      <c r="F2219" s="336">
        <v>43667</v>
      </c>
      <c r="G2219" s="350"/>
      <c r="H2219" s="334" t="s">
        <v>5995</v>
      </c>
      <c r="I2219" s="356">
        <v>18701966791</v>
      </c>
      <c r="J2219" s="361" t="s">
        <v>5996</v>
      </c>
      <c r="K2219" s="356">
        <v>1000</v>
      </c>
      <c r="L2219" s="419"/>
      <c r="M2219" s="419"/>
      <c r="N2219" s="362">
        <f t="shared" si="77"/>
        <v>0</v>
      </c>
      <c r="O2219" s="366" t="s">
        <v>52</v>
      </c>
      <c r="P2219" s="356"/>
      <c r="Q2219" s="356"/>
      <c r="R2219" s="356"/>
      <c r="S2219" s="356"/>
      <c r="T2219" s="356"/>
      <c r="U2219" s="372"/>
      <c r="V2219" s="372"/>
      <c r="W2219" s="372"/>
      <c r="X2219" s="373"/>
      <c r="Y2219" s="348"/>
      <c r="Z2219" s="348"/>
      <c r="AA2219" s="348"/>
    </row>
    <row r="2220" s="331" customFormat="1" ht="17" customHeight="1" spans="1:27">
      <c r="A2220" s="348"/>
      <c r="B2220" s="348" t="s">
        <v>31</v>
      </c>
      <c r="C2220" s="348" t="s">
        <v>220</v>
      </c>
      <c r="D2220" s="352" t="s">
        <v>221</v>
      </c>
      <c r="E2220" s="336">
        <v>43667</v>
      </c>
      <c r="F2220" s="336">
        <v>43667</v>
      </c>
      <c r="G2220" s="350"/>
      <c r="H2220" s="334" t="s">
        <v>5997</v>
      </c>
      <c r="I2220" s="356">
        <v>13916586928</v>
      </c>
      <c r="J2220" s="361" t="s">
        <v>5998</v>
      </c>
      <c r="K2220" s="356">
        <v>1000</v>
      </c>
      <c r="L2220" s="419"/>
      <c r="M2220" s="419"/>
      <c r="N2220" s="362">
        <f t="shared" si="77"/>
        <v>0</v>
      </c>
      <c r="O2220" s="356"/>
      <c r="P2220" s="356"/>
      <c r="Q2220" s="366" t="s">
        <v>52</v>
      </c>
      <c r="R2220" s="356"/>
      <c r="S2220" s="356"/>
      <c r="T2220" s="356"/>
      <c r="U2220" s="372"/>
      <c r="V2220" s="372"/>
      <c r="W2220" s="372"/>
      <c r="X2220" s="373"/>
      <c r="Y2220" s="348"/>
      <c r="Z2220" s="348"/>
      <c r="AA2220" s="348"/>
    </row>
    <row r="2221" s="331" customFormat="1" ht="17" customHeight="1" spans="1:27">
      <c r="A2221" s="348">
        <v>2022589</v>
      </c>
      <c r="B2221" s="348" t="s">
        <v>73</v>
      </c>
      <c r="C2221" s="348" t="s">
        <v>74</v>
      </c>
      <c r="D2221" s="352" t="s">
        <v>75</v>
      </c>
      <c r="E2221" s="336">
        <v>43667</v>
      </c>
      <c r="F2221" s="336">
        <v>43667</v>
      </c>
      <c r="G2221" s="350"/>
      <c r="H2221" s="334" t="s">
        <v>5999</v>
      </c>
      <c r="I2221" s="356">
        <v>13816038680</v>
      </c>
      <c r="J2221" s="361" t="s">
        <v>6000</v>
      </c>
      <c r="K2221" s="356">
        <v>1000</v>
      </c>
      <c r="L2221" s="419"/>
      <c r="M2221" s="419"/>
      <c r="N2221" s="362">
        <f t="shared" si="77"/>
        <v>0</v>
      </c>
      <c r="O2221" s="366" t="s">
        <v>52</v>
      </c>
      <c r="P2221" s="356"/>
      <c r="Q2221" s="356"/>
      <c r="R2221" s="356"/>
      <c r="S2221" s="356"/>
      <c r="T2221" s="356"/>
      <c r="U2221" s="372"/>
      <c r="V2221" s="372"/>
      <c r="W2221" s="372"/>
      <c r="X2221" s="373"/>
      <c r="Y2221" s="348"/>
      <c r="Z2221" s="348"/>
      <c r="AA2221" s="348"/>
    </row>
    <row r="2222" s="331" customFormat="1" ht="17" customHeight="1" spans="1:27">
      <c r="A2222" s="550" t="s">
        <v>6001</v>
      </c>
      <c r="B2222" s="348" t="s">
        <v>73</v>
      </c>
      <c r="C2222" s="348" t="s">
        <v>178</v>
      </c>
      <c r="D2222" s="352" t="s">
        <v>75</v>
      </c>
      <c r="E2222" s="336">
        <v>43674</v>
      </c>
      <c r="F2222" s="336">
        <v>43673</v>
      </c>
      <c r="G2222" s="350" t="s">
        <v>69</v>
      </c>
      <c r="H2222" s="351" t="s">
        <v>6002</v>
      </c>
      <c r="I2222" s="356">
        <v>13918599027</v>
      </c>
      <c r="J2222" s="361" t="s">
        <v>6003</v>
      </c>
      <c r="K2222" s="356">
        <v>1000</v>
      </c>
      <c r="L2222" s="419"/>
      <c r="M2222" s="419"/>
      <c r="N2222" s="362">
        <f t="shared" si="77"/>
        <v>0</v>
      </c>
      <c r="O2222" s="366" t="s">
        <v>52</v>
      </c>
      <c r="P2222" s="356"/>
      <c r="Q2222" s="356"/>
      <c r="R2222" s="356"/>
      <c r="S2222" s="356"/>
      <c r="T2222" s="356"/>
      <c r="U2222" s="372"/>
      <c r="V2222" s="372"/>
      <c r="W2222" s="372"/>
      <c r="X2222" s="373"/>
      <c r="Y2222" s="348"/>
      <c r="Z2222" s="348"/>
      <c r="AA2222" s="348"/>
    </row>
    <row r="2223" s="331" customFormat="1" ht="17" customHeight="1" spans="1:27">
      <c r="A2223" s="550" t="s">
        <v>6004</v>
      </c>
      <c r="B2223" s="348" t="s">
        <v>137</v>
      </c>
      <c r="C2223" s="348" t="s">
        <v>406</v>
      </c>
      <c r="D2223" s="349" t="s">
        <v>139</v>
      </c>
      <c r="E2223" s="336">
        <v>43667</v>
      </c>
      <c r="F2223" s="336">
        <v>43667</v>
      </c>
      <c r="G2223" s="336">
        <v>43676</v>
      </c>
      <c r="H2223" s="334" t="s">
        <v>6005</v>
      </c>
      <c r="I2223" s="356">
        <v>18019248012</v>
      </c>
      <c r="J2223" s="361" t="s">
        <v>6006</v>
      </c>
      <c r="K2223" s="356">
        <v>10000</v>
      </c>
      <c r="L2223" s="334">
        <v>9968</v>
      </c>
      <c r="M2223" s="419"/>
      <c r="N2223" s="362">
        <f t="shared" si="77"/>
        <v>9968</v>
      </c>
      <c r="O2223" s="356"/>
      <c r="P2223" s="356">
        <v>1</v>
      </c>
      <c r="Q2223" s="356"/>
      <c r="R2223" s="356"/>
      <c r="S2223" s="356"/>
      <c r="T2223" s="356"/>
      <c r="U2223" s="372"/>
      <c r="V2223" s="372"/>
      <c r="W2223" s="372"/>
      <c r="X2223" s="373"/>
      <c r="Y2223" s="348"/>
      <c r="Z2223" s="348"/>
      <c r="AA2223" s="348"/>
    </row>
    <row r="2224" s="331" customFormat="1" ht="17" customHeight="1" spans="1:27">
      <c r="A2224" s="348">
        <v>2023547</v>
      </c>
      <c r="B2224" s="348" t="s">
        <v>185</v>
      </c>
      <c r="C2224" s="348" t="s">
        <v>1133</v>
      </c>
      <c r="D2224" s="352" t="s">
        <v>44</v>
      </c>
      <c r="E2224" s="336">
        <v>43709</v>
      </c>
      <c r="F2224" s="336">
        <v>43667</v>
      </c>
      <c r="G2224" s="336">
        <v>43709</v>
      </c>
      <c r="H2224" s="334" t="s">
        <v>6007</v>
      </c>
      <c r="I2224" s="356">
        <v>18918178666</v>
      </c>
      <c r="J2224" s="361" t="s">
        <v>6008</v>
      </c>
      <c r="K2224" s="356">
        <v>1000</v>
      </c>
      <c r="L2224" s="334">
        <f>6858-760</f>
        <v>6098</v>
      </c>
      <c r="M2224" s="334">
        <v>760</v>
      </c>
      <c r="N2224" s="362">
        <f t="shared" ref="N2224:N2242" si="78">L2224+M2224</f>
        <v>6858</v>
      </c>
      <c r="O2224" s="356"/>
      <c r="P2224" s="356"/>
      <c r="Q2224" s="356"/>
      <c r="R2224" s="356"/>
      <c r="S2224" s="356" t="s">
        <v>52</v>
      </c>
      <c r="T2224" s="356"/>
      <c r="U2224" s="372"/>
      <c r="V2224" s="372"/>
      <c r="W2224" s="372"/>
      <c r="X2224" s="373"/>
      <c r="Y2224" s="348"/>
      <c r="Z2224" s="348"/>
      <c r="AA2224" s="348"/>
    </row>
    <row r="2225" s="331" customFormat="1" ht="17" customHeight="1" spans="1:27">
      <c r="A2225" s="348">
        <v>2023508</v>
      </c>
      <c r="B2225" s="348" t="s">
        <v>185</v>
      </c>
      <c r="C2225" s="348" t="s">
        <v>1620</v>
      </c>
      <c r="D2225" s="334" t="s">
        <v>187</v>
      </c>
      <c r="E2225" s="336">
        <v>43724</v>
      </c>
      <c r="F2225" s="336">
        <v>43667</v>
      </c>
      <c r="G2225" s="336">
        <v>43715</v>
      </c>
      <c r="H2225" s="334" t="s">
        <v>6009</v>
      </c>
      <c r="I2225" s="356">
        <v>18721485276</v>
      </c>
      <c r="J2225" s="361" t="s">
        <v>6010</v>
      </c>
      <c r="K2225" s="356">
        <v>1000</v>
      </c>
      <c r="L2225" s="334">
        <v>9894</v>
      </c>
      <c r="M2225" s="334">
        <v>-1136</v>
      </c>
      <c r="N2225" s="362">
        <f t="shared" si="78"/>
        <v>8758</v>
      </c>
      <c r="O2225" s="356"/>
      <c r="P2225" s="356"/>
      <c r="Q2225" s="366"/>
      <c r="R2225" s="356" t="s">
        <v>52</v>
      </c>
      <c r="S2225" s="356"/>
      <c r="T2225" s="356"/>
      <c r="U2225" s="372"/>
      <c r="V2225" s="372"/>
      <c r="W2225" s="372"/>
      <c r="X2225" s="373"/>
      <c r="Y2225" s="348"/>
      <c r="Z2225" s="348"/>
      <c r="AA2225" s="348"/>
    </row>
    <row r="2226" s="331" customFormat="1" ht="17" customHeight="1" spans="1:27">
      <c r="A2226" s="348">
        <v>2023509</v>
      </c>
      <c r="B2226" s="348" t="s">
        <v>185</v>
      </c>
      <c r="C2226" s="348" t="s">
        <v>4146</v>
      </c>
      <c r="D2226" s="352" t="s">
        <v>187</v>
      </c>
      <c r="E2226" s="336">
        <v>43667</v>
      </c>
      <c r="F2226" s="336">
        <v>43667</v>
      </c>
      <c r="G2226" s="350" t="s">
        <v>231</v>
      </c>
      <c r="H2226" s="334" t="s">
        <v>6011</v>
      </c>
      <c r="I2226" s="356">
        <v>13917157868</v>
      </c>
      <c r="J2226" s="361" t="s">
        <v>6012</v>
      </c>
      <c r="K2226" s="356">
        <v>1000</v>
      </c>
      <c r="L2226" s="419"/>
      <c r="M2226" s="419"/>
      <c r="N2226" s="362">
        <f t="shared" si="78"/>
        <v>0</v>
      </c>
      <c r="O2226" s="356"/>
      <c r="P2226" s="356"/>
      <c r="Q2226" s="356" t="s">
        <v>52</v>
      </c>
      <c r="R2226" s="356"/>
      <c r="S2226" s="356"/>
      <c r="T2226" s="356"/>
      <c r="U2226" s="372"/>
      <c r="V2226" s="372"/>
      <c r="W2226" s="372"/>
      <c r="X2226" s="373"/>
      <c r="Y2226" s="348"/>
      <c r="Z2226" s="348"/>
      <c r="AA2226" s="348"/>
    </row>
    <row r="2227" s="331" customFormat="1" ht="17" customHeight="1" spans="1:27">
      <c r="A2227" s="550" t="s">
        <v>6013</v>
      </c>
      <c r="B2227" s="348" t="s">
        <v>123</v>
      </c>
      <c r="C2227" s="348" t="s">
        <v>2301</v>
      </c>
      <c r="D2227" s="349" t="s">
        <v>125</v>
      </c>
      <c r="E2227" s="336">
        <v>43667</v>
      </c>
      <c r="F2227" s="336">
        <v>43667</v>
      </c>
      <c r="G2227" s="336">
        <v>43670</v>
      </c>
      <c r="H2227" s="334" t="s">
        <v>6014</v>
      </c>
      <c r="I2227" s="356">
        <v>13661534029</v>
      </c>
      <c r="J2227" s="361" t="s">
        <v>6015</v>
      </c>
      <c r="K2227" s="356">
        <v>5000</v>
      </c>
      <c r="L2227" s="334">
        <v>11406</v>
      </c>
      <c r="M2227" s="334">
        <v>1104</v>
      </c>
      <c r="N2227" s="362">
        <f t="shared" si="78"/>
        <v>12510</v>
      </c>
      <c r="O2227" s="356"/>
      <c r="P2227" s="356"/>
      <c r="Q2227" s="356"/>
      <c r="R2227" s="356"/>
      <c r="S2227" s="356"/>
      <c r="T2227" s="356"/>
      <c r="U2227" s="372"/>
      <c r="V2227" s="372" t="s">
        <v>1481</v>
      </c>
      <c r="W2227" s="372"/>
      <c r="X2227" s="373"/>
      <c r="Y2227" s="348"/>
      <c r="Z2227" s="348"/>
      <c r="AA2227" s="348"/>
    </row>
    <row r="2228" s="331" customFormat="1" ht="17" customHeight="1" spans="1:27">
      <c r="A2228" s="348"/>
      <c r="B2228" s="348" t="s">
        <v>66</v>
      </c>
      <c r="C2228" s="348" t="s">
        <v>3954</v>
      </c>
      <c r="D2228" s="352" t="s">
        <v>68</v>
      </c>
      <c r="E2228" s="336">
        <v>43667</v>
      </c>
      <c r="F2228" s="336">
        <v>43667</v>
      </c>
      <c r="G2228" s="336">
        <v>43673</v>
      </c>
      <c r="H2228" s="334" t="s">
        <v>6016</v>
      </c>
      <c r="I2228" s="356">
        <v>17317646989</v>
      </c>
      <c r="J2228" s="361" t="s">
        <v>6017</v>
      </c>
      <c r="K2228" s="356">
        <v>1000</v>
      </c>
      <c r="L2228" s="334">
        <v>2307</v>
      </c>
      <c r="M2228" s="334">
        <v>1693</v>
      </c>
      <c r="N2228" s="362">
        <f t="shared" si="78"/>
        <v>4000</v>
      </c>
      <c r="O2228" s="356"/>
      <c r="P2228" s="356"/>
      <c r="Q2228" s="356"/>
      <c r="R2228" s="356"/>
      <c r="S2228" s="356"/>
      <c r="T2228" s="356"/>
      <c r="U2228" s="372"/>
      <c r="V2228" s="372" t="s">
        <v>2327</v>
      </c>
      <c r="W2228" s="372"/>
      <c r="X2228" s="373"/>
      <c r="Y2228" s="348"/>
      <c r="Z2228" s="348"/>
      <c r="AA2228" s="348"/>
    </row>
    <row r="2229" s="331" customFormat="1" ht="17" customHeight="1" spans="1:27">
      <c r="A2229" s="550" t="s">
        <v>1710</v>
      </c>
      <c r="B2229" s="348" t="s">
        <v>137</v>
      </c>
      <c r="C2229" s="348" t="s">
        <v>411</v>
      </c>
      <c r="D2229" s="349" t="s">
        <v>139</v>
      </c>
      <c r="E2229" s="336">
        <v>43667</v>
      </c>
      <c r="F2229" s="336">
        <v>43666</v>
      </c>
      <c r="G2229" s="336">
        <v>43675</v>
      </c>
      <c r="H2229" s="334" t="s">
        <v>6018</v>
      </c>
      <c r="I2229" s="356">
        <v>13641598002</v>
      </c>
      <c r="J2229" s="361" t="s">
        <v>6019</v>
      </c>
      <c r="K2229" s="356">
        <v>13500</v>
      </c>
      <c r="L2229" s="334">
        <v>13285</v>
      </c>
      <c r="M2229" s="419"/>
      <c r="N2229" s="362">
        <f t="shared" si="78"/>
        <v>13285</v>
      </c>
      <c r="O2229" s="356"/>
      <c r="P2229" s="356"/>
      <c r="Q2229" s="356">
        <v>1</v>
      </c>
      <c r="R2229" s="356"/>
      <c r="S2229" s="356"/>
      <c r="T2229" s="356"/>
      <c r="U2229" s="372"/>
      <c r="V2229" s="372"/>
      <c r="W2229" s="372"/>
      <c r="X2229" s="373"/>
      <c r="Y2229" s="348"/>
      <c r="Z2229" s="348"/>
      <c r="AA2229" s="348"/>
    </row>
    <row r="2230" s="331" customFormat="1" ht="17" customHeight="1" spans="1:27">
      <c r="A2230" s="550" t="s">
        <v>6020</v>
      </c>
      <c r="B2230" s="348" t="s">
        <v>137</v>
      </c>
      <c r="C2230" s="348" t="s">
        <v>411</v>
      </c>
      <c r="D2230" s="349" t="s">
        <v>139</v>
      </c>
      <c r="E2230" s="336">
        <v>43667</v>
      </c>
      <c r="F2230" s="336">
        <v>43666</v>
      </c>
      <c r="G2230" s="336">
        <v>43675</v>
      </c>
      <c r="H2230" s="334" t="s">
        <v>6021</v>
      </c>
      <c r="I2230" s="356">
        <v>13701780572</v>
      </c>
      <c r="J2230" s="361" t="s">
        <v>6022</v>
      </c>
      <c r="K2230" s="356">
        <v>9000</v>
      </c>
      <c r="L2230" s="334">
        <v>8619</v>
      </c>
      <c r="M2230" s="419"/>
      <c r="N2230" s="362">
        <f t="shared" si="78"/>
        <v>8619</v>
      </c>
      <c r="O2230" s="356"/>
      <c r="P2230" s="356"/>
      <c r="Q2230" s="356"/>
      <c r="R2230" s="356">
        <v>1</v>
      </c>
      <c r="S2230" s="356"/>
      <c r="T2230" s="356"/>
      <c r="U2230" s="372"/>
      <c r="V2230" s="372"/>
      <c r="W2230" s="372"/>
      <c r="X2230" s="373"/>
      <c r="Y2230" s="348"/>
      <c r="Z2230" s="348"/>
      <c r="AA2230" s="348"/>
    </row>
    <row r="2231" s="331" customFormat="1" ht="17" customHeight="1" spans="1:27">
      <c r="A2231" s="550" t="s">
        <v>6023</v>
      </c>
      <c r="B2231" s="348" t="s">
        <v>137</v>
      </c>
      <c r="C2231" s="348" t="s">
        <v>411</v>
      </c>
      <c r="D2231" s="352" t="s">
        <v>427</v>
      </c>
      <c r="E2231" s="336">
        <v>43667</v>
      </c>
      <c r="F2231" s="336">
        <v>43666</v>
      </c>
      <c r="G2231" s="336">
        <v>43675</v>
      </c>
      <c r="H2231" s="334" t="s">
        <v>6024</v>
      </c>
      <c r="I2231" s="356">
        <v>13916933069</v>
      </c>
      <c r="J2231" s="361" t="s">
        <v>6025</v>
      </c>
      <c r="K2231" s="356">
        <v>14400</v>
      </c>
      <c r="L2231" s="334">
        <v>14276</v>
      </c>
      <c r="M2231" s="419"/>
      <c r="N2231" s="362">
        <f t="shared" si="78"/>
        <v>14276</v>
      </c>
      <c r="O2231" s="356"/>
      <c r="P2231" s="356"/>
      <c r="Q2231" s="356">
        <v>1</v>
      </c>
      <c r="R2231" s="356"/>
      <c r="S2231" s="356"/>
      <c r="T2231" s="356"/>
      <c r="U2231" s="372"/>
      <c r="V2231" s="372"/>
      <c r="W2231" s="372"/>
      <c r="X2231" s="373"/>
      <c r="Y2231" s="348"/>
      <c r="Z2231" s="348"/>
      <c r="AA2231" s="348"/>
    </row>
    <row r="2232" s="331" customFormat="1" ht="17" customHeight="1" spans="1:27">
      <c r="A2232" s="550" t="s">
        <v>6026</v>
      </c>
      <c r="B2232" s="348" t="s">
        <v>137</v>
      </c>
      <c r="C2232" s="348" t="s">
        <v>411</v>
      </c>
      <c r="D2232" s="352" t="s">
        <v>427</v>
      </c>
      <c r="E2232" s="336">
        <v>43667</v>
      </c>
      <c r="F2232" s="336">
        <v>43666</v>
      </c>
      <c r="G2232" s="336">
        <v>43675</v>
      </c>
      <c r="H2232" s="334" t="s">
        <v>6027</v>
      </c>
      <c r="I2232" s="356">
        <v>18616898664</v>
      </c>
      <c r="J2232" s="361" t="s">
        <v>6028</v>
      </c>
      <c r="K2232" s="356">
        <v>7200</v>
      </c>
      <c r="L2232" s="334">
        <v>6930</v>
      </c>
      <c r="M2232" s="419"/>
      <c r="N2232" s="362">
        <f t="shared" si="78"/>
        <v>6930</v>
      </c>
      <c r="O2232" s="356"/>
      <c r="P2232" s="356"/>
      <c r="Q2232" s="356"/>
      <c r="R2232" s="356">
        <v>1</v>
      </c>
      <c r="S2232" s="356"/>
      <c r="T2232" s="356"/>
      <c r="U2232" s="372"/>
      <c r="V2232" s="372"/>
      <c r="W2232" s="372"/>
      <c r="X2232" s="373"/>
      <c r="Y2232" s="348"/>
      <c r="Z2232" s="348"/>
      <c r="AA2232" s="348"/>
    </row>
    <row r="2233" s="57" customFormat="1" ht="17" customHeight="1" spans="1:27">
      <c r="A2233" s="550" t="s">
        <v>906</v>
      </c>
      <c r="B2233" s="348" t="s">
        <v>137</v>
      </c>
      <c r="C2233" s="348" t="s">
        <v>411</v>
      </c>
      <c r="D2233" s="352" t="s">
        <v>427</v>
      </c>
      <c r="E2233" s="336">
        <v>43667</v>
      </c>
      <c r="F2233" s="336">
        <v>43667</v>
      </c>
      <c r="G2233" s="350"/>
      <c r="H2233" s="334" t="s">
        <v>6029</v>
      </c>
      <c r="I2233" s="356">
        <v>15692107676</v>
      </c>
      <c r="J2233" s="348" t="s">
        <v>6030</v>
      </c>
      <c r="K2233" s="356">
        <v>1000</v>
      </c>
      <c r="L2233" s="419"/>
      <c r="M2233" s="419"/>
      <c r="N2233" s="362">
        <f t="shared" si="78"/>
        <v>0</v>
      </c>
      <c r="O2233" s="356"/>
      <c r="P2233" s="356"/>
      <c r="Q2233" s="356">
        <v>1</v>
      </c>
      <c r="R2233" s="356"/>
      <c r="S2233" s="356"/>
      <c r="T2233" s="356"/>
      <c r="U2233" s="385" t="s">
        <v>52</v>
      </c>
      <c r="V2233" s="372"/>
      <c r="W2233" s="372"/>
      <c r="X2233" s="373"/>
      <c r="Y2233" s="348"/>
      <c r="Z2233" s="348"/>
      <c r="AA2233" s="348"/>
    </row>
    <row r="2234" s="331" customFormat="1" ht="17" customHeight="1" spans="1:27">
      <c r="A2234" s="348"/>
      <c r="B2234" s="348" t="s">
        <v>137</v>
      </c>
      <c r="C2234" s="348" t="s">
        <v>411</v>
      </c>
      <c r="D2234" s="334" t="s">
        <v>139</v>
      </c>
      <c r="E2234" s="336">
        <v>43707</v>
      </c>
      <c r="F2234" s="336">
        <v>43667</v>
      </c>
      <c r="G2234" s="336">
        <v>43707</v>
      </c>
      <c r="H2234" s="334" t="s">
        <v>6031</v>
      </c>
      <c r="I2234" s="356">
        <v>18817363022</v>
      </c>
      <c r="J2234" s="361" t="s">
        <v>6032</v>
      </c>
      <c r="K2234" s="356">
        <v>5400</v>
      </c>
      <c r="L2234" s="334">
        <v>5400</v>
      </c>
      <c r="M2234" s="419"/>
      <c r="N2234" s="362">
        <f t="shared" si="78"/>
        <v>5400</v>
      </c>
      <c r="O2234" s="356"/>
      <c r="P2234" s="356">
        <v>1</v>
      </c>
      <c r="Q2234" s="356"/>
      <c r="R2234" s="356"/>
      <c r="S2234" s="356"/>
      <c r="T2234" s="356"/>
      <c r="U2234" s="372"/>
      <c r="V2234" s="372"/>
      <c r="W2234" s="372"/>
      <c r="X2234" s="373"/>
      <c r="Y2234" s="348"/>
      <c r="Z2234" s="348"/>
      <c r="AA2234" s="348"/>
    </row>
    <row r="2235" s="331" customFormat="1" ht="17" customHeight="1" spans="1:27">
      <c r="A2235" s="550" t="s">
        <v>6033</v>
      </c>
      <c r="B2235" s="348" t="s">
        <v>137</v>
      </c>
      <c r="C2235" s="334" t="s">
        <v>480</v>
      </c>
      <c r="D2235" s="349" t="s">
        <v>139</v>
      </c>
      <c r="E2235" s="336">
        <v>43667</v>
      </c>
      <c r="F2235" s="336">
        <v>43667</v>
      </c>
      <c r="G2235" s="336">
        <v>43667</v>
      </c>
      <c r="H2235" s="334" t="s">
        <v>6034</v>
      </c>
      <c r="I2235" s="356">
        <v>18616319415</v>
      </c>
      <c r="J2235" s="361" t="s">
        <v>6035</v>
      </c>
      <c r="K2235" s="356">
        <v>0</v>
      </c>
      <c r="L2235" s="334">
        <v>4391</v>
      </c>
      <c r="M2235" s="334">
        <v>3160</v>
      </c>
      <c r="N2235" s="362">
        <f t="shared" si="78"/>
        <v>7551</v>
      </c>
      <c r="O2235" s="356"/>
      <c r="P2235" s="356"/>
      <c r="Q2235" s="356"/>
      <c r="R2235" s="356"/>
      <c r="S2235" s="356"/>
      <c r="T2235" s="356"/>
      <c r="U2235" s="372"/>
      <c r="V2235" s="372"/>
      <c r="W2235" s="372"/>
      <c r="X2235" s="373"/>
      <c r="Y2235" s="348"/>
      <c r="Z2235" s="348"/>
      <c r="AA2235" s="348"/>
    </row>
    <row r="2236" s="331" customFormat="1" ht="17" customHeight="1" spans="1:27">
      <c r="A2236" s="550" t="s">
        <v>6036</v>
      </c>
      <c r="B2236" s="348" t="s">
        <v>805</v>
      </c>
      <c r="C2236" s="348" t="s">
        <v>4935</v>
      </c>
      <c r="D2236" s="352" t="s">
        <v>171</v>
      </c>
      <c r="E2236" s="336">
        <v>43710</v>
      </c>
      <c r="F2236" s="336">
        <v>43667</v>
      </c>
      <c r="G2236" s="336">
        <v>43708</v>
      </c>
      <c r="H2236" s="334" t="s">
        <v>6037</v>
      </c>
      <c r="I2236" s="356">
        <v>13701998910</v>
      </c>
      <c r="J2236" s="361" t="s">
        <v>6038</v>
      </c>
      <c r="K2236" s="356">
        <v>1000</v>
      </c>
      <c r="L2236" s="334">
        <v>6668</v>
      </c>
      <c r="M2236" s="419"/>
      <c r="N2236" s="362">
        <f t="shared" si="78"/>
        <v>6668</v>
      </c>
      <c r="O2236" s="356"/>
      <c r="P2236" s="356"/>
      <c r="Q2236" s="356"/>
      <c r="R2236" s="430" t="s">
        <v>52</v>
      </c>
      <c r="S2236" s="356"/>
      <c r="T2236" s="356"/>
      <c r="U2236" s="372"/>
      <c r="V2236" s="372"/>
      <c r="W2236" s="372"/>
      <c r="X2236" s="373"/>
      <c r="Y2236" s="348"/>
      <c r="Z2236" s="348"/>
      <c r="AA2236" s="348"/>
    </row>
    <row r="2237" s="331" customFormat="1" ht="17" customHeight="1" spans="1:27">
      <c r="A2237" s="550" t="s">
        <v>6039</v>
      </c>
      <c r="B2237" s="348" t="s">
        <v>359</v>
      </c>
      <c r="C2237" s="348" t="s">
        <v>5184</v>
      </c>
      <c r="D2237" s="352" t="s">
        <v>361</v>
      </c>
      <c r="E2237" s="336">
        <v>43667</v>
      </c>
      <c r="F2237" s="336">
        <v>43667</v>
      </c>
      <c r="G2237" s="350"/>
      <c r="H2237" s="334" t="s">
        <v>6040</v>
      </c>
      <c r="I2237" s="356">
        <v>18512124677</v>
      </c>
      <c r="J2237" s="361" t="s">
        <v>6041</v>
      </c>
      <c r="K2237" s="356">
        <v>4399</v>
      </c>
      <c r="L2237" s="419"/>
      <c r="M2237" s="419"/>
      <c r="N2237" s="362">
        <f t="shared" si="78"/>
        <v>0</v>
      </c>
      <c r="O2237" s="356"/>
      <c r="P2237" s="356"/>
      <c r="Q2237" s="356"/>
      <c r="R2237" s="356" t="s">
        <v>22</v>
      </c>
      <c r="S2237" s="356"/>
      <c r="T2237" s="356"/>
      <c r="U2237" s="372" t="s">
        <v>6042</v>
      </c>
      <c r="V2237" s="372"/>
      <c r="W2237" s="372"/>
      <c r="X2237" s="373"/>
      <c r="Y2237" s="348"/>
      <c r="Z2237" s="348"/>
      <c r="AA2237" s="348"/>
    </row>
    <row r="2238" s="331" customFormat="1" ht="17" customHeight="1" spans="1:27">
      <c r="A2238" s="348">
        <v>2025494</v>
      </c>
      <c r="B2238" s="348" t="s">
        <v>94</v>
      </c>
      <c r="C2238" s="348" t="s">
        <v>3196</v>
      </c>
      <c r="D2238" s="352" t="s">
        <v>49</v>
      </c>
      <c r="E2238" s="336">
        <v>43692</v>
      </c>
      <c r="F2238" s="336">
        <v>43666</v>
      </c>
      <c r="G2238" s="336">
        <v>43692</v>
      </c>
      <c r="H2238" s="334" t="s">
        <v>6043</v>
      </c>
      <c r="I2238" s="356">
        <v>18616870510</v>
      </c>
      <c r="J2238" s="361" t="s">
        <v>6044</v>
      </c>
      <c r="K2238" s="356">
        <v>1000</v>
      </c>
      <c r="L2238" s="334">
        <v>8768</v>
      </c>
      <c r="M2238" s="419"/>
      <c r="N2238" s="362">
        <f t="shared" si="78"/>
        <v>8768</v>
      </c>
      <c r="O2238" s="356"/>
      <c r="P2238" s="366" t="s">
        <v>52</v>
      </c>
      <c r="Q2238" s="356"/>
      <c r="R2238" s="356"/>
      <c r="S2238" s="356"/>
      <c r="T2238" s="356"/>
      <c r="U2238" s="372"/>
      <c r="V2238" s="372"/>
      <c r="W2238" s="372"/>
      <c r="X2238" s="373"/>
      <c r="Y2238" s="348"/>
      <c r="Z2238" s="348"/>
      <c r="AA2238" s="348"/>
    </row>
    <row r="2239" s="331" customFormat="1" ht="17" customHeight="1" spans="1:27">
      <c r="A2239" s="348">
        <v>2025493</v>
      </c>
      <c r="B2239" s="348" t="s">
        <v>94</v>
      </c>
      <c r="C2239" s="348" t="s">
        <v>101</v>
      </c>
      <c r="D2239" s="352" t="s">
        <v>49</v>
      </c>
      <c r="E2239" s="336">
        <v>43667</v>
      </c>
      <c r="F2239" s="336">
        <v>43666</v>
      </c>
      <c r="G2239" s="336">
        <v>43668</v>
      </c>
      <c r="H2239" s="334" t="s">
        <v>6045</v>
      </c>
      <c r="I2239" s="356" t="s">
        <v>6046</v>
      </c>
      <c r="J2239" s="361" t="s">
        <v>6047</v>
      </c>
      <c r="K2239" s="356">
        <v>1000</v>
      </c>
      <c r="L2239" s="334">
        <v>13270</v>
      </c>
      <c r="M2239" s="334">
        <v>1472</v>
      </c>
      <c r="N2239" s="362">
        <f t="shared" si="78"/>
        <v>14742</v>
      </c>
      <c r="O2239" s="356"/>
      <c r="P2239" s="356"/>
      <c r="Q2239" s="356"/>
      <c r="R2239" s="356"/>
      <c r="S2239" s="356"/>
      <c r="T2239" s="356"/>
      <c r="U2239" s="372"/>
      <c r="V2239" s="372"/>
      <c r="W2239" s="372"/>
      <c r="X2239" s="373"/>
      <c r="Y2239" s="348"/>
      <c r="Z2239" s="348"/>
      <c r="AA2239" s="348"/>
    </row>
    <row r="2240" s="331" customFormat="1" ht="17" customHeight="1" spans="1:27">
      <c r="A2240" s="550" t="s">
        <v>3851</v>
      </c>
      <c r="B2240" s="348" t="s">
        <v>94</v>
      </c>
      <c r="C2240" s="348" t="s">
        <v>95</v>
      </c>
      <c r="D2240" s="352" t="s">
        <v>49</v>
      </c>
      <c r="E2240" s="336">
        <v>43789</v>
      </c>
      <c r="F2240" s="336">
        <v>43666</v>
      </c>
      <c r="G2240" s="336">
        <v>43788</v>
      </c>
      <c r="H2240" s="334" t="s">
        <v>6048</v>
      </c>
      <c r="I2240" s="356">
        <v>13817667645</v>
      </c>
      <c r="J2240" s="361" t="s">
        <v>6049</v>
      </c>
      <c r="K2240" s="356">
        <v>1000</v>
      </c>
      <c r="L2240" s="334">
        <v>14725</v>
      </c>
      <c r="M2240" s="419"/>
      <c r="N2240" s="362">
        <f t="shared" si="78"/>
        <v>14725</v>
      </c>
      <c r="O2240" s="366" t="s">
        <v>52</v>
      </c>
      <c r="P2240" s="356"/>
      <c r="Q2240" s="356"/>
      <c r="R2240" s="356"/>
      <c r="S2240" s="356"/>
      <c r="T2240" s="356"/>
      <c r="U2240" s="372"/>
      <c r="V2240" s="372"/>
      <c r="W2240" s="372"/>
      <c r="X2240" s="373"/>
      <c r="Y2240" s="348"/>
      <c r="Z2240" s="348"/>
      <c r="AA2240" s="348"/>
    </row>
    <row r="2241" s="331" customFormat="1" ht="17" customHeight="1" spans="1:27">
      <c r="A2241" s="550" t="s">
        <v>3699</v>
      </c>
      <c r="B2241" s="348" t="s">
        <v>94</v>
      </c>
      <c r="C2241" s="348" t="s">
        <v>95</v>
      </c>
      <c r="D2241" s="352" t="s">
        <v>49</v>
      </c>
      <c r="E2241" s="336">
        <v>43667</v>
      </c>
      <c r="F2241" s="336">
        <v>43666</v>
      </c>
      <c r="G2241" s="336">
        <v>43674</v>
      </c>
      <c r="H2241" s="334" t="s">
        <v>6050</v>
      </c>
      <c r="I2241" s="356">
        <v>18516031601</v>
      </c>
      <c r="J2241" s="361" t="s">
        <v>6051</v>
      </c>
      <c r="K2241" s="356">
        <v>10000</v>
      </c>
      <c r="L2241" s="334">
        <v>25400</v>
      </c>
      <c r="M2241" s="419"/>
      <c r="N2241" s="362">
        <f t="shared" si="78"/>
        <v>25400</v>
      </c>
      <c r="O2241" s="356"/>
      <c r="P2241" s="356"/>
      <c r="Q2241" s="356"/>
      <c r="R2241" s="356"/>
      <c r="S2241" s="356"/>
      <c r="T2241" s="356"/>
      <c r="U2241" s="372"/>
      <c r="V2241" s="372"/>
      <c r="W2241" s="372" t="s">
        <v>1481</v>
      </c>
      <c r="X2241" s="373"/>
      <c r="Y2241" s="348"/>
      <c r="Z2241" s="348"/>
      <c r="AA2241" s="348"/>
    </row>
    <row r="2242" s="331" customFormat="1" ht="17" customHeight="1" spans="1:27">
      <c r="A2242" s="550" t="s">
        <v>3759</v>
      </c>
      <c r="B2242" s="348" t="s">
        <v>94</v>
      </c>
      <c r="C2242" s="348" t="s">
        <v>3196</v>
      </c>
      <c r="D2242" s="352" t="s">
        <v>49</v>
      </c>
      <c r="E2242" s="336">
        <v>43667</v>
      </c>
      <c r="F2242" s="336">
        <v>43666</v>
      </c>
      <c r="G2242" s="336">
        <v>43674</v>
      </c>
      <c r="H2242" s="334" t="s">
        <v>6052</v>
      </c>
      <c r="I2242" s="356">
        <v>15021390408</v>
      </c>
      <c r="J2242" s="361" t="s">
        <v>6053</v>
      </c>
      <c r="K2242" s="356">
        <v>1000</v>
      </c>
      <c r="L2242" s="334">
        <v>6983</v>
      </c>
      <c r="M2242" s="334">
        <v>1104</v>
      </c>
      <c r="N2242" s="362">
        <f t="shared" si="78"/>
        <v>8087</v>
      </c>
      <c r="O2242" s="356"/>
      <c r="P2242" s="356"/>
      <c r="Q2242" s="356"/>
      <c r="R2242" s="356"/>
      <c r="S2242" s="356"/>
      <c r="T2242" s="356"/>
      <c r="U2242" s="372"/>
      <c r="V2242" s="372"/>
      <c r="W2242" s="372" t="s">
        <v>1481</v>
      </c>
      <c r="X2242" s="373"/>
      <c r="Y2242" s="348"/>
      <c r="Z2242" s="348"/>
      <c r="AA2242" s="348"/>
    </row>
    <row r="2243" s="331" customFormat="1" ht="17" customHeight="1" spans="1:27">
      <c r="A2243" s="348"/>
      <c r="B2243" s="348" t="s">
        <v>58</v>
      </c>
      <c r="C2243" s="334" t="s">
        <v>794</v>
      </c>
      <c r="D2243" s="349" t="s">
        <v>110</v>
      </c>
      <c r="E2243" s="336">
        <v>43667</v>
      </c>
      <c r="F2243" s="336"/>
      <c r="G2243" s="336">
        <v>43666</v>
      </c>
      <c r="H2243" s="334" t="s">
        <v>6054</v>
      </c>
      <c r="I2243" s="356">
        <v>13901776808</v>
      </c>
      <c r="J2243" s="361" t="s">
        <v>6055</v>
      </c>
      <c r="K2243" s="356"/>
      <c r="L2243" s="334">
        <v>3880</v>
      </c>
      <c r="M2243" s="334">
        <v>536</v>
      </c>
      <c r="N2243" s="362">
        <f t="shared" ref="N2243:N2255" si="79">L2243+M2243</f>
        <v>4416</v>
      </c>
      <c r="O2243" s="356"/>
      <c r="P2243" s="356"/>
      <c r="Q2243" s="356"/>
      <c r="R2243" s="356"/>
      <c r="S2243" s="356"/>
      <c r="T2243" s="356"/>
      <c r="U2243" s="372"/>
      <c r="V2243" s="372"/>
      <c r="W2243" s="372"/>
      <c r="X2243" s="373"/>
      <c r="Y2243" s="348"/>
      <c r="Z2243" s="348"/>
      <c r="AA2243" s="348"/>
    </row>
    <row r="2244" s="331" customFormat="1" ht="17" customHeight="1" spans="1:27">
      <c r="A2244" s="348"/>
      <c r="B2244" s="348" t="s">
        <v>73</v>
      </c>
      <c r="C2244" s="348" t="s">
        <v>74</v>
      </c>
      <c r="D2244" s="349" t="s">
        <v>132</v>
      </c>
      <c r="E2244" s="336">
        <v>43667</v>
      </c>
      <c r="F2244" s="336"/>
      <c r="G2244" s="336">
        <v>43667</v>
      </c>
      <c r="H2244" s="334" t="s">
        <v>6056</v>
      </c>
      <c r="I2244" s="356">
        <v>13681639859</v>
      </c>
      <c r="J2244" s="361" t="s">
        <v>6057</v>
      </c>
      <c r="K2244" s="356"/>
      <c r="L2244" s="334">
        <v>17480</v>
      </c>
      <c r="M2244" s="419"/>
      <c r="N2244" s="362">
        <f t="shared" si="79"/>
        <v>17480</v>
      </c>
      <c r="O2244" s="356"/>
      <c r="P2244" s="356"/>
      <c r="Q2244" s="356"/>
      <c r="R2244" s="356"/>
      <c r="S2244" s="356"/>
      <c r="T2244" s="356"/>
      <c r="U2244" s="372"/>
      <c r="V2244" s="372"/>
      <c r="W2244" s="372"/>
      <c r="X2244" s="373"/>
      <c r="Y2244" s="348"/>
      <c r="Z2244" s="348"/>
      <c r="AA2244" s="348"/>
    </row>
    <row r="2245" s="331" customFormat="1" ht="17" customHeight="1" spans="1:27">
      <c r="A2245" s="348"/>
      <c r="B2245" s="348" t="s">
        <v>137</v>
      </c>
      <c r="C2245" s="348" t="s">
        <v>138</v>
      </c>
      <c r="D2245" s="349" t="s">
        <v>427</v>
      </c>
      <c r="E2245" s="336">
        <v>43667</v>
      </c>
      <c r="F2245" s="336" t="s">
        <v>800</v>
      </c>
      <c r="G2245" s="336">
        <v>43666</v>
      </c>
      <c r="H2245" s="334" t="s">
        <v>2219</v>
      </c>
      <c r="I2245" s="356">
        <v>13315168180</v>
      </c>
      <c r="J2245" s="361" t="s">
        <v>6058</v>
      </c>
      <c r="K2245" s="356"/>
      <c r="L2245" s="419"/>
      <c r="M2245" s="334">
        <f>1530+6607</f>
        <v>8137</v>
      </c>
      <c r="N2245" s="362">
        <f t="shared" si="79"/>
        <v>8137</v>
      </c>
      <c r="O2245" s="356"/>
      <c r="P2245" s="356"/>
      <c r="Q2245" s="356"/>
      <c r="R2245" s="356"/>
      <c r="S2245" s="356"/>
      <c r="T2245" s="356"/>
      <c r="U2245" s="372"/>
      <c r="V2245" s="372"/>
      <c r="W2245" s="372"/>
      <c r="X2245" s="373"/>
      <c r="Y2245" s="348"/>
      <c r="Z2245" s="348"/>
      <c r="AA2245" s="348"/>
    </row>
    <row r="2246" s="331" customFormat="1" ht="17" customHeight="1" spans="1:27">
      <c r="A2246" s="348"/>
      <c r="B2246" s="348" t="s">
        <v>137</v>
      </c>
      <c r="C2246" s="334" t="s">
        <v>411</v>
      </c>
      <c r="D2246" s="349" t="s">
        <v>427</v>
      </c>
      <c r="E2246" s="336">
        <v>43667</v>
      </c>
      <c r="F2246" s="336" t="s">
        <v>800</v>
      </c>
      <c r="G2246" s="336">
        <v>43666</v>
      </c>
      <c r="H2246" s="334" t="s">
        <v>6059</v>
      </c>
      <c r="I2246" s="356">
        <v>18616579708</v>
      </c>
      <c r="J2246" s="361" t="s">
        <v>6060</v>
      </c>
      <c r="K2246" s="356"/>
      <c r="L2246" s="419"/>
      <c r="M2246" s="334">
        <f>25029-14986</f>
        <v>10043</v>
      </c>
      <c r="N2246" s="362">
        <f t="shared" si="79"/>
        <v>10043</v>
      </c>
      <c r="O2246" s="356"/>
      <c r="P2246" s="356"/>
      <c r="Q2246" s="356"/>
      <c r="R2246" s="356"/>
      <c r="S2246" s="356"/>
      <c r="T2246" s="356"/>
      <c r="U2246" s="372"/>
      <c r="V2246" s="372"/>
      <c r="W2246" s="372"/>
      <c r="X2246" s="373"/>
      <c r="Y2246" s="348"/>
      <c r="Z2246" s="348"/>
      <c r="AA2246" s="348"/>
    </row>
    <row r="2247" s="331" customFormat="1" ht="17" customHeight="1" spans="1:27">
      <c r="A2247" s="348"/>
      <c r="B2247" s="348" t="s">
        <v>243</v>
      </c>
      <c r="C2247" s="334" t="s">
        <v>244</v>
      </c>
      <c r="D2247" s="352" t="s">
        <v>49</v>
      </c>
      <c r="E2247" s="336">
        <v>43667</v>
      </c>
      <c r="F2247" s="336" t="s">
        <v>800</v>
      </c>
      <c r="G2247" s="336">
        <v>43667</v>
      </c>
      <c r="H2247" s="334" t="s">
        <v>6061</v>
      </c>
      <c r="I2247" s="356">
        <v>13916266032</v>
      </c>
      <c r="J2247" s="361" t="s">
        <v>6062</v>
      </c>
      <c r="K2247" s="356"/>
      <c r="L2247" s="419"/>
      <c r="M2247" s="334">
        <v>3399</v>
      </c>
      <c r="N2247" s="362">
        <f t="shared" si="79"/>
        <v>3399</v>
      </c>
      <c r="O2247" s="356"/>
      <c r="P2247" s="356"/>
      <c r="Q2247" s="356"/>
      <c r="R2247" s="356"/>
      <c r="S2247" s="356"/>
      <c r="T2247" s="356"/>
      <c r="U2247" s="372"/>
      <c r="V2247" s="372"/>
      <c r="W2247" s="372"/>
      <c r="X2247" s="373"/>
      <c r="Y2247" s="348"/>
      <c r="Z2247" s="348"/>
      <c r="AA2247" s="348"/>
    </row>
    <row r="2248" s="331" customFormat="1" ht="17" customHeight="1" spans="1:27">
      <c r="A2248" s="348"/>
      <c r="B2248" s="348" t="s">
        <v>137</v>
      </c>
      <c r="C2248" s="348" t="s">
        <v>861</v>
      </c>
      <c r="D2248" s="349" t="s">
        <v>717</v>
      </c>
      <c r="E2248" s="336">
        <v>43667</v>
      </c>
      <c r="F2248" s="336" t="s">
        <v>800</v>
      </c>
      <c r="G2248" s="336">
        <v>43665</v>
      </c>
      <c r="H2248" s="334" t="s">
        <v>6063</v>
      </c>
      <c r="I2248" s="356">
        <v>13781626110</v>
      </c>
      <c r="J2248" s="361" t="s">
        <v>6064</v>
      </c>
      <c r="K2248" s="356"/>
      <c r="L2248" s="419"/>
      <c r="M2248" s="334">
        <f>2191+2191</f>
        <v>4382</v>
      </c>
      <c r="N2248" s="362">
        <f t="shared" si="79"/>
        <v>4382</v>
      </c>
      <c r="O2248" s="356"/>
      <c r="P2248" s="356"/>
      <c r="Q2248" s="356"/>
      <c r="R2248" s="356"/>
      <c r="S2248" s="356"/>
      <c r="T2248" s="356"/>
      <c r="U2248" s="372"/>
      <c r="V2248" s="372"/>
      <c r="W2248" s="372"/>
      <c r="X2248" s="373"/>
      <c r="Y2248" s="348"/>
      <c r="Z2248" s="348"/>
      <c r="AA2248" s="348"/>
    </row>
    <row r="2249" s="331" customFormat="1" ht="17" customHeight="1" spans="1:27">
      <c r="A2249" s="348"/>
      <c r="B2249" s="348" t="s">
        <v>315</v>
      </c>
      <c r="C2249" s="348" t="s">
        <v>258</v>
      </c>
      <c r="D2249" s="349" t="s">
        <v>149</v>
      </c>
      <c r="E2249" s="336">
        <v>43667</v>
      </c>
      <c r="F2249" s="336" t="s">
        <v>800</v>
      </c>
      <c r="G2249" s="336">
        <v>43667</v>
      </c>
      <c r="H2249" s="334" t="s">
        <v>6065</v>
      </c>
      <c r="I2249" s="356" t="s">
        <v>6066</v>
      </c>
      <c r="J2249" s="361" t="s">
        <v>6067</v>
      </c>
      <c r="K2249" s="356"/>
      <c r="L2249" s="419"/>
      <c r="M2249" s="334">
        <v>2597</v>
      </c>
      <c r="N2249" s="362">
        <f t="shared" si="79"/>
        <v>2597</v>
      </c>
      <c r="O2249" s="356"/>
      <c r="P2249" s="356"/>
      <c r="Q2249" s="356"/>
      <c r="R2249" s="356"/>
      <c r="S2249" s="356"/>
      <c r="T2249" s="356"/>
      <c r="U2249" s="372"/>
      <c r="V2249" s="372"/>
      <c r="W2249" s="372"/>
      <c r="X2249" s="373"/>
      <c r="Y2249" s="348"/>
      <c r="Z2249" s="348"/>
      <c r="AA2249" s="348"/>
    </row>
    <row r="2250" s="331" customFormat="1" ht="17" customHeight="1" spans="1:27">
      <c r="A2250" s="348"/>
      <c r="B2250" s="348" t="s">
        <v>87</v>
      </c>
      <c r="C2250" s="348" t="s">
        <v>199</v>
      </c>
      <c r="D2250" s="349" t="s">
        <v>1170</v>
      </c>
      <c r="E2250" s="336">
        <v>43667</v>
      </c>
      <c r="F2250" s="336" t="s">
        <v>800</v>
      </c>
      <c r="G2250" s="336">
        <v>43667</v>
      </c>
      <c r="H2250" s="334" t="s">
        <v>6068</v>
      </c>
      <c r="I2250" s="356">
        <v>13761752345</v>
      </c>
      <c r="J2250" s="361" t="s">
        <v>6069</v>
      </c>
      <c r="K2250" s="356"/>
      <c r="L2250" s="419"/>
      <c r="M2250" s="334">
        <v>12021</v>
      </c>
      <c r="N2250" s="362">
        <f t="shared" si="79"/>
        <v>12021</v>
      </c>
      <c r="O2250" s="356"/>
      <c r="P2250" s="356"/>
      <c r="Q2250" s="356"/>
      <c r="R2250" s="356"/>
      <c r="S2250" s="356"/>
      <c r="T2250" s="356"/>
      <c r="U2250" s="372"/>
      <c r="V2250" s="372"/>
      <c r="W2250" s="372"/>
      <c r="X2250" s="373"/>
      <c r="Y2250" s="348"/>
      <c r="Z2250" s="348"/>
      <c r="AA2250" s="348"/>
    </row>
    <row r="2251" s="331" customFormat="1" ht="17" customHeight="1" spans="1:27">
      <c r="A2251" s="348"/>
      <c r="B2251" s="348" t="s">
        <v>123</v>
      </c>
      <c r="C2251" s="334" t="s">
        <v>2301</v>
      </c>
      <c r="D2251" s="349" t="s">
        <v>125</v>
      </c>
      <c r="E2251" s="336">
        <v>43667</v>
      </c>
      <c r="F2251" s="336" t="s">
        <v>800</v>
      </c>
      <c r="G2251" s="336">
        <v>43667</v>
      </c>
      <c r="H2251" s="334" t="s">
        <v>6070</v>
      </c>
      <c r="I2251" s="356">
        <v>18121095175</v>
      </c>
      <c r="J2251" s="361" t="s">
        <v>6071</v>
      </c>
      <c r="K2251" s="356"/>
      <c r="L2251" s="419"/>
      <c r="M2251" s="334">
        <v>5102</v>
      </c>
      <c r="N2251" s="362">
        <f t="shared" si="79"/>
        <v>5102</v>
      </c>
      <c r="O2251" s="356"/>
      <c r="P2251" s="356"/>
      <c r="Q2251" s="356"/>
      <c r="R2251" s="356"/>
      <c r="S2251" s="356"/>
      <c r="T2251" s="356"/>
      <c r="U2251" s="372"/>
      <c r="V2251" s="372"/>
      <c r="W2251" s="372"/>
      <c r="X2251" s="373"/>
      <c r="Y2251" s="348"/>
      <c r="Z2251" s="348"/>
      <c r="AA2251" s="348"/>
    </row>
    <row r="2252" s="331" customFormat="1" ht="17" customHeight="1" spans="1:27">
      <c r="A2252" s="348"/>
      <c r="B2252" s="348" t="s">
        <v>185</v>
      </c>
      <c r="C2252" s="348" t="s">
        <v>886</v>
      </c>
      <c r="D2252" s="349" t="s">
        <v>44</v>
      </c>
      <c r="E2252" s="336">
        <v>43667</v>
      </c>
      <c r="F2252" s="336" t="s">
        <v>800</v>
      </c>
      <c r="G2252" s="336">
        <v>43667</v>
      </c>
      <c r="H2252" s="334" t="s">
        <v>6072</v>
      </c>
      <c r="I2252" s="356">
        <v>13501674799</v>
      </c>
      <c r="J2252" s="361" t="s">
        <v>6073</v>
      </c>
      <c r="K2252" s="356"/>
      <c r="L2252" s="334"/>
      <c r="M2252" s="334">
        <v>26794</v>
      </c>
      <c r="N2252" s="362">
        <f t="shared" si="79"/>
        <v>26794</v>
      </c>
      <c r="O2252" s="356"/>
      <c r="P2252" s="356"/>
      <c r="Q2252" s="356"/>
      <c r="R2252" s="356"/>
      <c r="S2252" s="356"/>
      <c r="T2252" s="356"/>
      <c r="U2252" s="372"/>
      <c r="V2252" s="372"/>
      <c r="W2252" s="372"/>
      <c r="X2252" s="373"/>
      <c r="Y2252" s="348"/>
      <c r="Z2252" s="348"/>
      <c r="AA2252" s="348"/>
    </row>
    <row r="2253" s="331" customFormat="1" ht="17" customHeight="1" spans="1:27">
      <c r="A2253" s="348"/>
      <c r="B2253" s="348" t="s">
        <v>73</v>
      </c>
      <c r="C2253" s="348" t="s">
        <v>74</v>
      </c>
      <c r="D2253" s="349" t="s">
        <v>717</v>
      </c>
      <c r="E2253" s="336">
        <v>43667</v>
      </c>
      <c r="F2253" s="336" t="s">
        <v>800</v>
      </c>
      <c r="G2253" s="336">
        <v>43667</v>
      </c>
      <c r="H2253" s="334" t="s">
        <v>6074</v>
      </c>
      <c r="I2253" s="356">
        <v>15821157150</v>
      </c>
      <c r="J2253" s="361" t="s">
        <v>6075</v>
      </c>
      <c r="K2253" s="356"/>
      <c r="L2253" s="419"/>
      <c r="M2253" s="334">
        <v>2576</v>
      </c>
      <c r="N2253" s="362">
        <f t="shared" si="79"/>
        <v>2576</v>
      </c>
      <c r="O2253" s="356"/>
      <c r="P2253" s="356"/>
      <c r="Q2253" s="356"/>
      <c r="R2253" s="356"/>
      <c r="S2253" s="356"/>
      <c r="T2253" s="356"/>
      <c r="U2253" s="372"/>
      <c r="V2253" s="372"/>
      <c r="W2253" s="372"/>
      <c r="X2253" s="373"/>
      <c r="Y2253" s="348"/>
      <c r="Z2253" s="348"/>
      <c r="AA2253" s="348"/>
    </row>
    <row r="2254" s="331" customFormat="1" ht="17" customHeight="1" spans="1:27">
      <c r="A2254" s="348"/>
      <c r="B2254" s="334" t="s">
        <v>66</v>
      </c>
      <c r="C2254" s="334" t="s">
        <v>67</v>
      </c>
      <c r="D2254" s="349" t="s">
        <v>68</v>
      </c>
      <c r="E2254" s="336">
        <v>43667</v>
      </c>
      <c r="F2254" s="336" t="s">
        <v>800</v>
      </c>
      <c r="G2254" s="336">
        <v>43667</v>
      </c>
      <c r="H2254" s="428" t="s">
        <v>6076</v>
      </c>
      <c r="I2254" s="337">
        <v>13817127110</v>
      </c>
      <c r="J2254" s="367" t="s">
        <v>6077</v>
      </c>
      <c r="K2254" s="356"/>
      <c r="L2254" s="419"/>
      <c r="M2254" s="334">
        <v>1367</v>
      </c>
      <c r="N2254" s="362">
        <f t="shared" si="79"/>
        <v>1367</v>
      </c>
      <c r="O2254" s="356"/>
      <c r="P2254" s="356"/>
      <c r="Q2254" s="356"/>
      <c r="R2254" s="356"/>
      <c r="S2254" s="356"/>
      <c r="T2254" s="356"/>
      <c r="U2254" s="372"/>
      <c r="V2254" s="372"/>
      <c r="W2254" s="372"/>
      <c r="X2254" s="373"/>
      <c r="Y2254" s="348"/>
      <c r="Z2254" s="348"/>
      <c r="AA2254" s="348"/>
    </row>
    <row r="2255" s="331" customFormat="1" ht="17" customHeight="1" spans="1:27">
      <c r="A2255" s="348">
        <v>2022591</v>
      </c>
      <c r="B2255" s="348" t="s">
        <v>73</v>
      </c>
      <c r="C2255" s="348" t="s">
        <v>74</v>
      </c>
      <c r="D2255" s="349" t="s">
        <v>717</v>
      </c>
      <c r="E2255" s="336">
        <v>43668</v>
      </c>
      <c r="F2255" s="336">
        <v>43664</v>
      </c>
      <c r="G2255" s="350">
        <v>43667</v>
      </c>
      <c r="H2255" s="334" t="s">
        <v>6078</v>
      </c>
      <c r="I2255" s="356">
        <v>13002191158</v>
      </c>
      <c r="J2255" s="361" t="s">
        <v>6079</v>
      </c>
      <c r="K2255" s="356">
        <v>500</v>
      </c>
      <c r="L2255" s="334">
        <f>30055+11410</f>
        <v>41465</v>
      </c>
      <c r="M2255" s="419"/>
      <c r="N2255" s="362">
        <f t="shared" si="79"/>
        <v>41465</v>
      </c>
      <c r="O2255" s="356"/>
      <c r="P2255" s="356"/>
      <c r="Q2255" s="356"/>
      <c r="R2255" s="356"/>
      <c r="S2255" s="356"/>
      <c r="T2255" s="356"/>
      <c r="U2255" s="372"/>
      <c r="V2255" s="372"/>
      <c r="W2255" s="372"/>
      <c r="X2255" s="373"/>
      <c r="Y2255" s="348"/>
      <c r="Z2255" s="348"/>
      <c r="AA2255" s="348"/>
    </row>
    <row r="2256" s="331" customFormat="1" ht="17" customHeight="1" spans="1:27">
      <c r="A2256" s="550" t="s">
        <v>2848</v>
      </c>
      <c r="B2256" s="348" t="s">
        <v>153</v>
      </c>
      <c r="C2256" s="348" t="s">
        <v>302</v>
      </c>
      <c r="D2256" s="352" t="s">
        <v>155</v>
      </c>
      <c r="E2256" s="336">
        <v>43668</v>
      </c>
      <c r="F2256" s="336">
        <v>43667</v>
      </c>
      <c r="G2256" s="336">
        <v>43675</v>
      </c>
      <c r="H2256" s="334" t="s">
        <v>6080</v>
      </c>
      <c r="I2256" s="356">
        <v>18021044943</v>
      </c>
      <c r="J2256" s="361" t="s">
        <v>6081</v>
      </c>
      <c r="K2256" s="356">
        <v>8000</v>
      </c>
      <c r="L2256" s="334">
        <v>30925</v>
      </c>
      <c r="M2256" s="334">
        <v>3960</v>
      </c>
      <c r="N2256" s="362">
        <f t="shared" ref="N2256:N2286" si="80">L2256+M2256</f>
        <v>34885</v>
      </c>
      <c r="O2256" s="356"/>
      <c r="P2256" s="356"/>
      <c r="Q2256" s="356"/>
      <c r="R2256" s="356"/>
      <c r="S2256" s="356"/>
      <c r="T2256" s="356"/>
      <c r="U2256" s="372"/>
      <c r="V2256" s="372"/>
      <c r="W2256" s="372"/>
      <c r="X2256" s="373"/>
      <c r="Y2256" s="348"/>
      <c r="Z2256" s="348"/>
      <c r="AA2256" s="348"/>
    </row>
    <row r="2257" s="331" customFormat="1" ht="17" customHeight="1" spans="1:27">
      <c r="A2257" s="348"/>
      <c r="B2257" s="348" t="s">
        <v>236</v>
      </c>
      <c r="C2257" s="348" t="s">
        <v>703</v>
      </c>
      <c r="D2257" s="352" t="s">
        <v>125</v>
      </c>
      <c r="E2257" s="336">
        <v>43668</v>
      </c>
      <c r="F2257" s="336">
        <v>43667</v>
      </c>
      <c r="G2257" s="336">
        <v>43677</v>
      </c>
      <c r="H2257" s="334" t="s">
        <v>6082</v>
      </c>
      <c r="I2257" s="356">
        <v>13917019132</v>
      </c>
      <c r="J2257" s="361" t="s">
        <v>6083</v>
      </c>
      <c r="K2257" s="356">
        <v>5334</v>
      </c>
      <c r="L2257" s="334">
        <v>5334</v>
      </c>
      <c r="M2257" s="419"/>
      <c r="N2257" s="362">
        <f t="shared" si="80"/>
        <v>5334</v>
      </c>
      <c r="O2257" s="356"/>
      <c r="P2257" s="356"/>
      <c r="Q2257" s="356"/>
      <c r="R2257" s="356"/>
      <c r="S2257" s="356"/>
      <c r="T2257" s="356"/>
      <c r="U2257" s="372"/>
      <c r="V2257" s="372"/>
      <c r="W2257" s="372"/>
      <c r="X2257" s="373"/>
      <c r="Y2257" s="348"/>
      <c r="Z2257" s="348"/>
      <c r="AA2257" s="348"/>
    </row>
    <row r="2258" s="331" customFormat="1" ht="17" customHeight="1" spans="1:27">
      <c r="A2258" s="348"/>
      <c r="B2258" s="348" t="s">
        <v>236</v>
      </c>
      <c r="C2258" s="348" t="s">
        <v>703</v>
      </c>
      <c r="D2258" s="349" t="s">
        <v>37</v>
      </c>
      <c r="E2258" s="336">
        <v>43668</v>
      </c>
      <c r="F2258" s="336">
        <v>43667</v>
      </c>
      <c r="G2258" s="336">
        <v>43675</v>
      </c>
      <c r="H2258" s="334" t="s">
        <v>6084</v>
      </c>
      <c r="I2258" s="356">
        <v>18616751630</v>
      </c>
      <c r="J2258" s="361" t="s">
        <v>6085</v>
      </c>
      <c r="K2258" s="356">
        <v>9134</v>
      </c>
      <c r="L2258" s="334">
        <v>9134</v>
      </c>
      <c r="M2258" s="419"/>
      <c r="N2258" s="362">
        <f t="shared" si="80"/>
        <v>9134</v>
      </c>
      <c r="O2258" s="356"/>
      <c r="P2258" s="356"/>
      <c r="Q2258" s="356"/>
      <c r="R2258" s="356"/>
      <c r="S2258" s="356"/>
      <c r="T2258" s="356"/>
      <c r="U2258" s="372"/>
      <c r="V2258" s="372"/>
      <c r="W2258" s="372"/>
      <c r="X2258" s="373"/>
      <c r="Y2258" s="348"/>
      <c r="Z2258" s="348"/>
      <c r="AA2258" s="348"/>
    </row>
    <row r="2259" s="331" customFormat="1" ht="17" customHeight="1" spans="1:27">
      <c r="A2259" s="348"/>
      <c r="B2259" s="348" t="s">
        <v>236</v>
      </c>
      <c r="C2259" s="348" t="s">
        <v>703</v>
      </c>
      <c r="D2259" s="349" t="s">
        <v>37</v>
      </c>
      <c r="E2259" s="336">
        <v>43668</v>
      </c>
      <c r="F2259" s="336">
        <v>43667</v>
      </c>
      <c r="G2259" s="336">
        <v>43675</v>
      </c>
      <c r="H2259" s="334" t="s">
        <v>6086</v>
      </c>
      <c r="I2259" s="356">
        <v>13611738560</v>
      </c>
      <c r="J2259" s="361" t="s">
        <v>6087</v>
      </c>
      <c r="K2259" s="356">
        <v>14000</v>
      </c>
      <c r="L2259" s="334">
        <v>14000</v>
      </c>
      <c r="M2259" s="419"/>
      <c r="N2259" s="362">
        <f t="shared" si="80"/>
        <v>14000</v>
      </c>
      <c r="O2259" s="356"/>
      <c r="P2259" s="356"/>
      <c r="Q2259" s="356"/>
      <c r="R2259" s="356"/>
      <c r="S2259" s="356"/>
      <c r="T2259" s="356"/>
      <c r="U2259" s="372"/>
      <c r="V2259" s="372"/>
      <c r="W2259" s="372"/>
      <c r="X2259" s="373"/>
      <c r="Y2259" s="348"/>
      <c r="Z2259" s="348"/>
      <c r="AA2259" s="348"/>
    </row>
    <row r="2260" s="331" customFormat="1" ht="17" customHeight="1" spans="1:27">
      <c r="A2260" s="348"/>
      <c r="B2260" s="348" t="s">
        <v>236</v>
      </c>
      <c r="C2260" s="348" t="s">
        <v>703</v>
      </c>
      <c r="D2260" s="349" t="s">
        <v>37</v>
      </c>
      <c r="E2260" s="336">
        <v>43668</v>
      </c>
      <c r="F2260" s="336">
        <v>43667</v>
      </c>
      <c r="G2260" s="336">
        <v>43675</v>
      </c>
      <c r="H2260" s="334" t="s">
        <v>6088</v>
      </c>
      <c r="I2260" s="356">
        <v>13482710015</v>
      </c>
      <c r="J2260" s="361" t="s">
        <v>6089</v>
      </c>
      <c r="K2260" s="356">
        <v>7043</v>
      </c>
      <c r="L2260" s="334">
        <v>7043</v>
      </c>
      <c r="M2260" s="419"/>
      <c r="N2260" s="362">
        <f t="shared" si="80"/>
        <v>7043</v>
      </c>
      <c r="O2260" s="356"/>
      <c r="P2260" s="356"/>
      <c r="Q2260" s="356"/>
      <c r="R2260" s="356"/>
      <c r="S2260" s="356"/>
      <c r="T2260" s="356"/>
      <c r="U2260" s="372"/>
      <c r="V2260" s="372"/>
      <c r="W2260" s="372"/>
      <c r="X2260" s="373"/>
      <c r="Y2260" s="348"/>
      <c r="Z2260" s="348"/>
      <c r="AA2260" s="348"/>
    </row>
    <row r="2261" s="331" customFormat="1" ht="17" customHeight="1" spans="1:27">
      <c r="A2261" s="550" t="s">
        <v>6090</v>
      </c>
      <c r="B2261" s="348" t="s">
        <v>58</v>
      </c>
      <c r="C2261" s="348" t="s">
        <v>342</v>
      </c>
      <c r="D2261" s="349" t="s">
        <v>110</v>
      </c>
      <c r="E2261" s="336">
        <v>43668</v>
      </c>
      <c r="F2261" s="336">
        <v>43667</v>
      </c>
      <c r="G2261" s="336">
        <v>43670</v>
      </c>
      <c r="H2261" s="334" t="s">
        <v>1928</v>
      </c>
      <c r="I2261" s="356">
        <v>18621553565</v>
      </c>
      <c r="J2261" s="361" t="s">
        <v>6091</v>
      </c>
      <c r="K2261" s="356">
        <v>10000</v>
      </c>
      <c r="L2261" s="334">
        <v>11584</v>
      </c>
      <c r="M2261" s="419"/>
      <c r="N2261" s="362">
        <f t="shared" si="80"/>
        <v>11584</v>
      </c>
      <c r="O2261" s="356"/>
      <c r="P2261" s="356"/>
      <c r="Q2261" s="356"/>
      <c r="R2261" s="356"/>
      <c r="S2261" s="356"/>
      <c r="T2261" s="356"/>
      <c r="U2261" s="372"/>
      <c r="V2261" s="372"/>
      <c r="W2261" s="372"/>
      <c r="X2261" s="373"/>
      <c r="Y2261" s="348"/>
      <c r="Z2261" s="348"/>
      <c r="AA2261" s="348"/>
    </row>
    <row r="2262" s="331" customFormat="1" ht="17" customHeight="1" spans="1:27">
      <c r="A2262" s="550" t="s">
        <v>6092</v>
      </c>
      <c r="B2262" s="348" t="s">
        <v>58</v>
      </c>
      <c r="C2262" s="348" t="s">
        <v>109</v>
      </c>
      <c r="D2262" s="352" t="s">
        <v>110</v>
      </c>
      <c r="E2262" s="336">
        <v>43668</v>
      </c>
      <c r="F2262" s="336">
        <v>43667</v>
      </c>
      <c r="G2262" s="350"/>
      <c r="H2262" s="334" t="s">
        <v>3584</v>
      </c>
      <c r="I2262" s="356">
        <v>13817910403</v>
      </c>
      <c r="J2262" s="361" t="s">
        <v>6093</v>
      </c>
      <c r="K2262" s="356">
        <v>1000</v>
      </c>
      <c r="L2262" s="419"/>
      <c r="M2262" s="419"/>
      <c r="N2262" s="362">
        <f t="shared" si="80"/>
        <v>0</v>
      </c>
      <c r="O2262" s="356"/>
      <c r="P2262" s="366" t="s">
        <v>52</v>
      </c>
      <c r="Q2262" s="356"/>
      <c r="R2262" s="356"/>
      <c r="S2262" s="356"/>
      <c r="T2262" s="356"/>
      <c r="U2262" s="372">
        <v>1</v>
      </c>
      <c r="V2262" s="372"/>
      <c r="W2262" s="372"/>
      <c r="X2262" s="373"/>
      <c r="Y2262" s="348"/>
      <c r="Z2262" s="348"/>
      <c r="AA2262" s="348"/>
    </row>
    <row r="2263" s="331" customFormat="1" ht="17" customHeight="1" spans="1:27">
      <c r="A2263" s="550" t="s">
        <v>6094</v>
      </c>
      <c r="B2263" s="348" t="s">
        <v>58</v>
      </c>
      <c r="C2263" s="348" t="s">
        <v>109</v>
      </c>
      <c r="D2263" s="352" t="s">
        <v>110</v>
      </c>
      <c r="E2263" s="336">
        <v>43703</v>
      </c>
      <c r="F2263" s="336">
        <v>43667</v>
      </c>
      <c r="G2263" s="336">
        <v>43702</v>
      </c>
      <c r="H2263" s="334" t="s">
        <v>6095</v>
      </c>
      <c r="I2263" s="356">
        <v>17701798598</v>
      </c>
      <c r="J2263" s="361" t="s">
        <v>6096</v>
      </c>
      <c r="K2263" s="356">
        <v>5000</v>
      </c>
      <c r="L2263" s="334">
        <v>11466</v>
      </c>
      <c r="M2263" s="419"/>
      <c r="N2263" s="362">
        <f t="shared" si="80"/>
        <v>11466</v>
      </c>
      <c r="O2263" s="356"/>
      <c r="P2263" s="356"/>
      <c r="Q2263" s="366" t="s">
        <v>52</v>
      </c>
      <c r="R2263" s="356"/>
      <c r="S2263" s="356"/>
      <c r="T2263" s="356"/>
      <c r="U2263" s="372"/>
      <c r="V2263" s="372"/>
      <c r="W2263" s="372"/>
      <c r="X2263" s="373"/>
      <c r="Y2263" s="348"/>
      <c r="Z2263" s="348"/>
      <c r="AA2263" s="348"/>
    </row>
    <row r="2264" s="331" customFormat="1" ht="17" customHeight="1" spans="1:27">
      <c r="A2264" s="550" t="s">
        <v>6097</v>
      </c>
      <c r="B2264" s="348" t="s">
        <v>58</v>
      </c>
      <c r="C2264" s="348" t="s">
        <v>109</v>
      </c>
      <c r="D2264" s="352" t="s">
        <v>110</v>
      </c>
      <c r="E2264" s="336">
        <v>43686</v>
      </c>
      <c r="F2264" s="336">
        <v>43667</v>
      </c>
      <c r="G2264" s="336">
        <v>43684</v>
      </c>
      <c r="H2264" s="334" t="s">
        <v>6098</v>
      </c>
      <c r="I2264" s="356">
        <v>13906778080</v>
      </c>
      <c r="J2264" s="361" t="s">
        <v>6099</v>
      </c>
      <c r="K2264" s="356">
        <v>10000</v>
      </c>
      <c r="L2264" s="334">
        <v>28896</v>
      </c>
      <c r="M2264" s="334">
        <v>1104</v>
      </c>
      <c r="N2264" s="362">
        <f t="shared" si="80"/>
        <v>30000</v>
      </c>
      <c r="O2264" s="366"/>
      <c r="P2264" s="356"/>
      <c r="Q2264" s="366" t="s">
        <v>52</v>
      </c>
      <c r="R2264" s="356"/>
      <c r="S2264" s="356"/>
      <c r="T2264" s="356"/>
      <c r="U2264" s="372"/>
      <c r="V2264" s="372"/>
      <c r="W2264" s="372"/>
      <c r="X2264" s="373"/>
      <c r="Y2264" s="348"/>
      <c r="Z2264" s="348"/>
      <c r="AA2264" s="348"/>
    </row>
    <row r="2265" s="331" customFormat="1" ht="17" customHeight="1" spans="1:27">
      <c r="A2265" s="348"/>
      <c r="B2265" s="348" t="s">
        <v>137</v>
      </c>
      <c r="C2265" s="348" t="s">
        <v>138</v>
      </c>
      <c r="D2265" s="352" t="s">
        <v>139</v>
      </c>
      <c r="E2265" s="336">
        <v>43668</v>
      </c>
      <c r="F2265" s="336">
        <v>43666</v>
      </c>
      <c r="G2265" s="336">
        <v>43676</v>
      </c>
      <c r="H2265" s="334" t="s">
        <v>2773</v>
      </c>
      <c r="I2265" s="356">
        <v>13681938192</v>
      </c>
      <c r="J2265" s="361" t="s">
        <v>6100</v>
      </c>
      <c r="K2265" s="356">
        <v>9300</v>
      </c>
      <c r="L2265" s="334">
        <v>9300</v>
      </c>
      <c r="M2265" s="419"/>
      <c r="N2265" s="362">
        <f t="shared" si="80"/>
        <v>9300</v>
      </c>
      <c r="O2265" s="356"/>
      <c r="P2265" s="356"/>
      <c r="Q2265" s="356"/>
      <c r="R2265" s="356"/>
      <c r="S2265" s="356"/>
      <c r="T2265" s="356"/>
      <c r="U2265" s="372"/>
      <c r="V2265" s="372"/>
      <c r="W2265" s="372"/>
      <c r="X2265" s="373"/>
      <c r="Y2265" s="348"/>
      <c r="Z2265" s="348"/>
      <c r="AA2265" s="348"/>
    </row>
    <row r="2266" s="331" customFormat="1" ht="17" customHeight="1" spans="1:27">
      <c r="A2266" s="348"/>
      <c r="B2266" s="348" t="s">
        <v>137</v>
      </c>
      <c r="C2266" s="348" t="s">
        <v>411</v>
      </c>
      <c r="D2266" s="352" t="s">
        <v>427</v>
      </c>
      <c r="E2266" s="336">
        <v>43668</v>
      </c>
      <c r="F2266" s="336">
        <v>43667</v>
      </c>
      <c r="G2266" s="336">
        <v>43675</v>
      </c>
      <c r="H2266" s="334" t="s">
        <v>6101</v>
      </c>
      <c r="I2266" s="356" t="s">
        <v>6102</v>
      </c>
      <c r="J2266" s="361" t="s">
        <v>6103</v>
      </c>
      <c r="K2266" s="356">
        <v>8100</v>
      </c>
      <c r="L2266" s="334">
        <v>7767</v>
      </c>
      <c r="M2266" s="419"/>
      <c r="N2266" s="362">
        <f t="shared" si="80"/>
        <v>7767</v>
      </c>
      <c r="O2266" s="356"/>
      <c r="P2266" s="356"/>
      <c r="Q2266" s="356"/>
      <c r="R2266" s="356"/>
      <c r="S2266" s="356"/>
      <c r="T2266" s="356"/>
      <c r="U2266" s="400" t="s">
        <v>6104</v>
      </c>
      <c r="V2266" s="372"/>
      <c r="W2266" s="372"/>
      <c r="X2266" s="373"/>
      <c r="Y2266" s="348"/>
      <c r="Z2266" s="348"/>
      <c r="AA2266" s="348"/>
    </row>
    <row r="2267" s="331" customFormat="1" ht="17" customHeight="1" spans="1:27">
      <c r="A2267" s="348">
        <v>2023511</v>
      </c>
      <c r="B2267" s="348" t="s">
        <v>185</v>
      </c>
      <c r="C2267" s="348" t="s">
        <v>886</v>
      </c>
      <c r="D2267" s="352" t="s">
        <v>187</v>
      </c>
      <c r="E2267" s="336">
        <v>43759</v>
      </c>
      <c r="F2267" s="336">
        <v>43667</v>
      </c>
      <c r="G2267" s="336">
        <v>43758</v>
      </c>
      <c r="H2267" s="334" t="s">
        <v>6105</v>
      </c>
      <c r="I2267" s="356">
        <v>13818208780</v>
      </c>
      <c r="J2267" s="361" t="s">
        <v>6106</v>
      </c>
      <c r="K2267" s="356">
        <v>1000</v>
      </c>
      <c r="L2267" s="334">
        <v>6120</v>
      </c>
      <c r="M2267" s="419"/>
      <c r="N2267" s="362">
        <f t="shared" si="80"/>
        <v>6120</v>
      </c>
      <c r="O2267" s="356"/>
      <c r="P2267" s="356" t="s">
        <v>52</v>
      </c>
      <c r="Q2267" s="356"/>
      <c r="R2267" s="356"/>
      <c r="S2267" s="356"/>
      <c r="T2267" s="356"/>
      <c r="U2267" s="372"/>
      <c r="V2267" s="372"/>
      <c r="W2267" s="372"/>
      <c r="X2267" s="373"/>
      <c r="Y2267" s="348"/>
      <c r="Z2267" s="348"/>
      <c r="AA2267" s="348"/>
    </row>
    <row r="2268" s="331" customFormat="1" ht="17" customHeight="1" spans="1:27">
      <c r="A2268" s="550" t="s">
        <v>1567</v>
      </c>
      <c r="B2268" s="348" t="s">
        <v>137</v>
      </c>
      <c r="C2268" s="348" t="s">
        <v>138</v>
      </c>
      <c r="D2268" s="352" t="s">
        <v>139</v>
      </c>
      <c r="E2268" s="336">
        <v>43668</v>
      </c>
      <c r="F2268" s="336">
        <v>43667</v>
      </c>
      <c r="G2268" s="336">
        <v>43670</v>
      </c>
      <c r="H2268" s="334" t="s">
        <v>6107</v>
      </c>
      <c r="I2268" s="356">
        <v>13761341366</v>
      </c>
      <c r="J2268" s="361" t="s">
        <v>6108</v>
      </c>
      <c r="K2268" s="356">
        <v>1000</v>
      </c>
      <c r="L2268" s="334">
        <v>5143</v>
      </c>
      <c r="M2268" s="419"/>
      <c r="N2268" s="362">
        <f t="shared" si="80"/>
        <v>5143</v>
      </c>
      <c r="O2268" s="356"/>
      <c r="P2268" s="356"/>
      <c r="Q2268" s="356"/>
      <c r="R2268" s="356">
        <v>1</v>
      </c>
      <c r="S2268" s="356"/>
      <c r="T2268" s="356"/>
      <c r="U2268" s="372"/>
      <c r="V2268" s="372"/>
      <c r="W2268" s="372"/>
      <c r="X2268" s="373"/>
      <c r="Y2268" s="348"/>
      <c r="Z2268" s="348"/>
      <c r="AA2268" s="348"/>
    </row>
    <row r="2269" s="331" customFormat="1" ht="17" customHeight="1" spans="1:27">
      <c r="A2269" s="550" t="s">
        <v>6109</v>
      </c>
      <c r="B2269" s="348" t="s">
        <v>137</v>
      </c>
      <c r="C2269" s="348" t="s">
        <v>138</v>
      </c>
      <c r="D2269" s="352" t="s">
        <v>139</v>
      </c>
      <c r="E2269" s="336">
        <v>43694</v>
      </c>
      <c r="F2269" s="336">
        <v>43667</v>
      </c>
      <c r="G2269" s="336">
        <v>43694</v>
      </c>
      <c r="H2269" s="334" t="s">
        <v>6110</v>
      </c>
      <c r="I2269" s="356" t="s">
        <v>6111</v>
      </c>
      <c r="J2269" s="361" t="s">
        <v>6112</v>
      </c>
      <c r="K2269" s="356">
        <v>4500</v>
      </c>
      <c r="L2269" s="334">
        <f>7320-500-368</f>
        <v>6452</v>
      </c>
      <c r="M2269" s="334">
        <v>368</v>
      </c>
      <c r="N2269" s="362">
        <f t="shared" si="80"/>
        <v>6820</v>
      </c>
      <c r="O2269" s="356"/>
      <c r="P2269" s="356"/>
      <c r="Q2269" s="356">
        <v>1</v>
      </c>
      <c r="R2269" s="356"/>
      <c r="S2269" s="356"/>
      <c r="T2269" s="356"/>
      <c r="U2269" s="372"/>
      <c r="V2269" s="372"/>
      <c r="W2269" s="372"/>
      <c r="X2269" s="373"/>
      <c r="Y2269" s="348"/>
      <c r="Z2269" s="348"/>
      <c r="AA2269" s="348"/>
    </row>
    <row r="2270" s="331" customFormat="1" ht="17" customHeight="1" spans="1:27">
      <c r="A2270" s="550" t="s">
        <v>6113</v>
      </c>
      <c r="B2270" s="348" t="s">
        <v>137</v>
      </c>
      <c r="C2270" s="348" t="s">
        <v>406</v>
      </c>
      <c r="D2270" s="334" t="s">
        <v>2381</v>
      </c>
      <c r="E2270" s="336">
        <v>43767</v>
      </c>
      <c r="F2270" s="336">
        <v>43667</v>
      </c>
      <c r="G2270" s="336">
        <v>43767</v>
      </c>
      <c r="H2270" s="334" t="s">
        <v>6114</v>
      </c>
      <c r="I2270" s="356">
        <v>13901646563</v>
      </c>
      <c r="J2270" s="361" t="s">
        <v>6115</v>
      </c>
      <c r="K2270" s="356">
        <v>4500</v>
      </c>
      <c r="L2270" s="334">
        <v>6687</v>
      </c>
      <c r="M2270" s="419"/>
      <c r="N2270" s="362">
        <f t="shared" si="80"/>
        <v>6687</v>
      </c>
      <c r="O2270" s="356"/>
      <c r="P2270" s="356"/>
      <c r="Q2270" s="356">
        <v>1</v>
      </c>
      <c r="R2270" s="356"/>
      <c r="S2270" s="356"/>
      <c r="T2270" s="356"/>
      <c r="U2270" s="372"/>
      <c r="V2270" s="372"/>
      <c r="W2270" s="372"/>
      <c r="X2270" s="373"/>
      <c r="Y2270" s="348"/>
      <c r="Z2270" s="348"/>
      <c r="AA2270" s="348"/>
    </row>
    <row r="2271" s="331" customFormat="1" ht="17" customHeight="1" spans="1:27">
      <c r="A2271" s="348">
        <v>2066948</v>
      </c>
      <c r="B2271" s="348" t="s">
        <v>335</v>
      </c>
      <c r="C2271" s="348" t="s">
        <v>615</v>
      </c>
      <c r="D2271" s="349" t="s">
        <v>717</v>
      </c>
      <c r="E2271" s="336">
        <v>43668</v>
      </c>
      <c r="F2271" s="336">
        <v>43667</v>
      </c>
      <c r="G2271" s="350">
        <v>43667</v>
      </c>
      <c r="H2271" s="334" t="s">
        <v>6116</v>
      </c>
      <c r="I2271" s="356">
        <v>18939810792</v>
      </c>
      <c r="J2271" s="361" t="s">
        <v>6117</v>
      </c>
      <c r="K2271" s="356">
        <f>500+20000</f>
        <v>20500</v>
      </c>
      <c r="L2271" s="356">
        <f>500+20000</f>
        <v>20500</v>
      </c>
      <c r="M2271" s="419"/>
      <c r="N2271" s="362">
        <f t="shared" si="80"/>
        <v>20500</v>
      </c>
      <c r="O2271" s="356"/>
      <c r="P2271" s="356"/>
      <c r="Q2271" s="356"/>
      <c r="R2271" s="356"/>
      <c r="S2271" s="356"/>
      <c r="T2271" s="356"/>
      <c r="U2271" s="372"/>
      <c r="V2271" s="372"/>
      <c r="W2271" s="372"/>
      <c r="X2271" s="373"/>
      <c r="Y2271" s="348"/>
      <c r="Z2271" s="348"/>
      <c r="AA2271" s="348"/>
    </row>
    <row r="2272" s="331" customFormat="1" ht="17" customHeight="1" spans="1:27">
      <c r="A2272" s="550" t="s">
        <v>6118</v>
      </c>
      <c r="B2272" s="348" t="s">
        <v>58</v>
      </c>
      <c r="C2272" s="348" t="s">
        <v>347</v>
      </c>
      <c r="D2272" s="352" t="s">
        <v>343</v>
      </c>
      <c r="E2272" s="336">
        <v>43696</v>
      </c>
      <c r="F2272" s="336">
        <v>43667</v>
      </c>
      <c r="G2272" s="336">
        <v>43695</v>
      </c>
      <c r="H2272" s="334" t="s">
        <v>6119</v>
      </c>
      <c r="I2272" s="356">
        <v>15618880238</v>
      </c>
      <c r="J2272" s="361" t="s">
        <v>6120</v>
      </c>
      <c r="K2272" s="356">
        <v>1000</v>
      </c>
      <c r="L2272" s="334">
        <f>4216-736</f>
        <v>3480</v>
      </c>
      <c r="M2272" s="334">
        <v>736</v>
      </c>
      <c r="N2272" s="362">
        <f t="shared" si="80"/>
        <v>4216</v>
      </c>
      <c r="O2272" s="356"/>
      <c r="P2272" s="366"/>
      <c r="Q2272" s="366" t="s">
        <v>52</v>
      </c>
      <c r="R2272" s="356"/>
      <c r="S2272" s="356"/>
      <c r="T2272" s="356"/>
      <c r="U2272" s="372"/>
      <c r="V2272" s="372"/>
      <c r="W2272" s="372"/>
      <c r="X2272" s="373"/>
      <c r="Y2272" s="348"/>
      <c r="Z2272" s="348"/>
      <c r="AA2272" s="348"/>
    </row>
    <row r="2273" s="331" customFormat="1" ht="17" customHeight="1" spans="1:27">
      <c r="A2273" s="550" t="s">
        <v>6121</v>
      </c>
      <c r="B2273" s="348" t="s">
        <v>58</v>
      </c>
      <c r="C2273" s="348" t="s">
        <v>347</v>
      </c>
      <c r="D2273" s="352" t="s">
        <v>343</v>
      </c>
      <c r="E2273" s="336">
        <v>43702</v>
      </c>
      <c r="F2273" s="336">
        <v>43667</v>
      </c>
      <c r="G2273" s="336">
        <v>43696</v>
      </c>
      <c r="H2273" s="334" t="s">
        <v>6122</v>
      </c>
      <c r="I2273" s="356">
        <v>18516392525</v>
      </c>
      <c r="J2273" s="361" t="s">
        <v>6123</v>
      </c>
      <c r="K2273" s="356">
        <v>5000</v>
      </c>
      <c r="L2273" s="334">
        <v>8293</v>
      </c>
      <c r="M2273" s="419"/>
      <c r="N2273" s="362">
        <f t="shared" si="80"/>
        <v>8293</v>
      </c>
      <c r="O2273" s="366"/>
      <c r="P2273" s="356"/>
      <c r="Q2273" s="366" t="s">
        <v>52</v>
      </c>
      <c r="R2273" s="356"/>
      <c r="S2273" s="356"/>
      <c r="T2273" s="356"/>
      <c r="U2273" s="372"/>
      <c r="V2273" s="372"/>
      <c r="W2273" s="372">
        <v>8.1</v>
      </c>
      <c r="X2273" s="373"/>
      <c r="Y2273" s="348"/>
      <c r="Z2273" s="348"/>
      <c r="AA2273" s="348"/>
    </row>
    <row r="2274" s="331" customFormat="1" ht="17" customHeight="1" spans="1:27">
      <c r="A2274" s="348"/>
      <c r="B2274" s="348" t="s">
        <v>137</v>
      </c>
      <c r="C2274" s="348" t="s">
        <v>480</v>
      </c>
      <c r="D2274" s="352" t="s">
        <v>139</v>
      </c>
      <c r="E2274" s="336">
        <v>43684</v>
      </c>
      <c r="F2274" s="336">
        <v>43667</v>
      </c>
      <c r="G2274" s="336">
        <v>43684</v>
      </c>
      <c r="H2274" s="334" t="s">
        <v>6124</v>
      </c>
      <c r="I2274" s="356">
        <v>15618972226</v>
      </c>
      <c r="J2274" s="361" t="s">
        <v>6125</v>
      </c>
      <c r="K2274" s="356">
        <v>1000</v>
      </c>
      <c r="L2274" s="334">
        <v>5860</v>
      </c>
      <c r="M2274" s="334">
        <v>736</v>
      </c>
      <c r="N2274" s="362">
        <f t="shared" si="80"/>
        <v>6596</v>
      </c>
      <c r="O2274" s="356"/>
      <c r="P2274" s="356"/>
      <c r="Q2274" s="356">
        <v>1</v>
      </c>
      <c r="R2274" s="356"/>
      <c r="S2274" s="356"/>
      <c r="T2274" s="356"/>
      <c r="U2274" s="372"/>
      <c r="V2274" s="372"/>
      <c r="W2274" s="372"/>
      <c r="X2274" s="373"/>
      <c r="Y2274" s="348"/>
      <c r="Z2274" s="348"/>
      <c r="AA2274" s="348"/>
    </row>
    <row r="2275" s="331" customFormat="1" ht="17" customHeight="1" spans="1:27">
      <c r="A2275" s="550" t="s">
        <v>6126</v>
      </c>
      <c r="B2275" s="348" t="s">
        <v>137</v>
      </c>
      <c r="C2275" s="348" t="s">
        <v>406</v>
      </c>
      <c r="D2275" s="349" t="s">
        <v>427</v>
      </c>
      <c r="E2275" s="336">
        <v>43668</v>
      </c>
      <c r="F2275" s="336">
        <v>43667</v>
      </c>
      <c r="G2275" s="336">
        <v>43676</v>
      </c>
      <c r="H2275" s="334" t="s">
        <v>4492</v>
      </c>
      <c r="I2275" s="356">
        <v>18916808180</v>
      </c>
      <c r="J2275" s="361" t="s">
        <v>6127</v>
      </c>
      <c r="K2275" s="356">
        <v>27200</v>
      </c>
      <c r="L2275" s="334">
        <v>26859</v>
      </c>
      <c r="M2275" s="419"/>
      <c r="N2275" s="362">
        <f t="shared" si="80"/>
        <v>26859</v>
      </c>
      <c r="O2275" s="356"/>
      <c r="P2275" s="356"/>
      <c r="Q2275" s="356"/>
      <c r="R2275" s="356"/>
      <c r="S2275" s="356"/>
      <c r="T2275" s="356"/>
      <c r="U2275" s="372"/>
      <c r="V2275" s="372"/>
      <c r="W2275" s="372"/>
      <c r="X2275" s="373"/>
      <c r="Y2275" s="348"/>
      <c r="Z2275" s="348"/>
      <c r="AA2275" s="348"/>
    </row>
    <row r="2276" s="331" customFormat="1" ht="17" customHeight="1" spans="1:27">
      <c r="A2276" s="348">
        <v>2067496</v>
      </c>
      <c r="B2276" s="348" t="s">
        <v>137</v>
      </c>
      <c r="C2276" s="348" t="s">
        <v>411</v>
      </c>
      <c r="D2276" s="349" t="s">
        <v>139</v>
      </c>
      <c r="E2276" s="336">
        <v>43668</v>
      </c>
      <c r="F2276" s="336">
        <v>43666</v>
      </c>
      <c r="G2276" s="336">
        <v>43675</v>
      </c>
      <c r="H2276" s="334" t="s">
        <v>6128</v>
      </c>
      <c r="I2276" s="356">
        <v>18621366729</v>
      </c>
      <c r="J2276" s="361" t="s">
        <v>6129</v>
      </c>
      <c r="K2276" s="356">
        <v>15600</v>
      </c>
      <c r="L2276" s="334">
        <v>15385</v>
      </c>
      <c r="M2276" s="419"/>
      <c r="N2276" s="362">
        <f t="shared" si="80"/>
        <v>15385</v>
      </c>
      <c r="O2276" s="356"/>
      <c r="P2276" s="356"/>
      <c r="Q2276" s="356"/>
      <c r="R2276" s="356"/>
      <c r="S2276" s="356"/>
      <c r="T2276" s="356"/>
      <c r="U2276" s="372"/>
      <c r="V2276" s="372"/>
      <c r="W2276" s="372"/>
      <c r="X2276" s="373"/>
      <c r="Y2276" s="348"/>
      <c r="Z2276" s="348"/>
      <c r="AA2276" s="348"/>
    </row>
    <row r="2277" s="331" customFormat="1" ht="17" customHeight="1" spans="1:27">
      <c r="A2277" s="550" t="s">
        <v>6130</v>
      </c>
      <c r="B2277" s="348" t="s">
        <v>137</v>
      </c>
      <c r="C2277" s="348" t="s">
        <v>411</v>
      </c>
      <c r="D2277" s="349" t="s">
        <v>139</v>
      </c>
      <c r="E2277" s="336">
        <v>43668</v>
      </c>
      <c r="F2277" s="336">
        <v>43666</v>
      </c>
      <c r="G2277" s="336">
        <v>43675</v>
      </c>
      <c r="H2277" s="334" t="s">
        <v>6131</v>
      </c>
      <c r="I2277" s="356">
        <v>15269198505</v>
      </c>
      <c r="J2277" s="361" t="s">
        <v>6132</v>
      </c>
      <c r="K2277" s="356">
        <v>12000</v>
      </c>
      <c r="L2277" s="334">
        <v>11429</v>
      </c>
      <c r="M2277" s="419"/>
      <c r="N2277" s="362">
        <f t="shared" si="80"/>
        <v>11429</v>
      </c>
      <c r="O2277" s="356"/>
      <c r="P2277" s="356"/>
      <c r="Q2277" s="356"/>
      <c r="R2277" s="356"/>
      <c r="S2277" s="356"/>
      <c r="T2277" s="356"/>
      <c r="U2277" s="372"/>
      <c r="V2277" s="372"/>
      <c r="W2277" s="372"/>
      <c r="X2277" s="373"/>
      <c r="Y2277" s="348"/>
      <c r="Z2277" s="348"/>
      <c r="AA2277" s="348"/>
    </row>
    <row r="2278" s="331" customFormat="1" ht="15" customHeight="1" spans="1:27">
      <c r="A2278" s="550" t="s">
        <v>3316</v>
      </c>
      <c r="B2278" s="348" t="s">
        <v>405</v>
      </c>
      <c r="C2278" s="348" t="s">
        <v>1234</v>
      </c>
      <c r="D2278" s="352" t="s">
        <v>407</v>
      </c>
      <c r="E2278" s="336">
        <v>43789</v>
      </c>
      <c r="F2278" s="336">
        <v>43667</v>
      </c>
      <c r="G2278" s="336">
        <v>43786</v>
      </c>
      <c r="H2278" s="334" t="s">
        <v>6133</v>
      </c>
      <c r="I2278" s="356">
        <v>13311601325</v>
      </c>
      <c r="J2278" s="361" t="s">
        <v>6134</v>
      </c>
      <c r="K2278" s="356">
        <v>1000</v>
      </c>
      <c r="L2278" s="334">
        <v>9100</v>
      </c>
      <c r="M2278" s="419"/>
      <c r="N2278" s="362">
        <f t="shared" si="80"/>
        <v>9100</v>
      </c>
      <c r="O2278" s="356"/>
      <c r="P2278" s="356" t="s">
        <v>52</v>
      </c>
      <c r="Q2278" s="356"/>
      <c r="R2278" s="356"/>
      <c r="S2278" s="356"/>
      <c r="T2278" s="356"/>
      <c r="U2278" s="372"/>
      <c r="V2278" s="372"/>
      <c r="W2278" s="372"/>
      <c r="X2278" s="373"/>
      <c r="Y2278" s="348"/>
      <c r="Z2278" s="348"/>
      <c r="AA2278" s="348"/>
    </row>
    <row r="2279" s="331" customFormat="1" ht="15" customHeight="1" spans="1:27">
      <c r="A2279" s="550" t="s">
        <v>6135</v>
      </c>
      <c r="B2279" s="348" t="s">
        <v>405</v>
      </c>
      <c r="C2279" s="348" t="s">
        <v>1234</v>
      </c>
      <c r="D2279" s="352" t="s">
        <v>407</v>
      </c>
      <c r="E2279" s="336">
        <v>43799</v>
      </c>
      <c r="F2279" s="336">
        <v>43667</v>
      </c>
      <c r="G2279" s="336">
        <v>43797</v>
      </c>
      <c r="H2279" s="334" t="s">
        <v>6136</v>
      </c>
      <c r="I2279" s="356">
        <v>15221600923</v>
      </c>
      <c r="J2279" s="361" t="s">
        <v>6137</v>
      </c>
      <c r="K2279" s="356">
        <v>2000</v>
      </c>
      <c r="L2279" s="334">
        <v>19630</v>
      </c>
      <c r="M2279" s="419"/>
      <c r="N2279" s="362">
        <f t="shared" si="80"/>
        <v>19630</v>
      </c>
      <c r="O2279" s="356"/>
      <c r="P2279" s="356"/>
      <c r="Q2279" s="356" t="s">
        <v>52</v>
      </c>
      <c r="R2279" s="356"/>
      <c r="S2279" s="356"/>
      <c r="T2279" s="356"/>
      <c r="U2279" s="372"/>
      <c r="V2279" s="372"/>
      <c r="W2279" s="372"/>
      <c r="X2279" s="373"/>
      <c r="Y2279" s="348"/>
      <c r="Z2279" s="348"/>
      <c r="AA2279" s="348"/>
    </row>
    <row r="2280" s="331" customFormat="1" ht="17" customHeight="1" spans="1:27">
      <c r="A2280" s="550" t="s">
        <v>6138</v>
      </c>
      <c r="B2280" s="348" t="s">
        <v>123</v>
      </c>
      <c r="C2280" s="348" t="s">
        <v>902</v>
      </c>
      <c r="D2280" s="349" t="s">
        <v>125</v>
      </c>
      <c r="E2280" s="336">
        <v>43692</v>
      </c>
      <c r="F2280" s="336">
        <v>43667</v>
      </c>
      <c r="G2280" s="336">
        <v>43692</v>
      </c>
      <c r="H2280" s="334" t="s">
        <v>6139</v>
      </c>
      <c r="I2280" s="356">
        <v>15221135003</v>
      </c>
      <c r="J2280" s="361" t="s">
        <v>6140</v>
      </c>
      <c r="K2280" s="356">
        <v>1000</v>
      </c>
      <c r="L2280" s="334">
        <f>5614-804</f>
        <v>4810</v>
      </c>
      <c r="M2280" s="334">
        <v>804</v>
      </c>
      <c r="N2280" s="362">
        <f t="shared" si="80"/>
        <v>5614</v>
      </c>
      <c r="O2280" s="356"/>
      <c r="P2280" s="356"/>
      <c r="Q2280" s="356"/>
      <c r="R2280" s="356"/>
      <c r="S2280" s="356" t="s">
        <v>52</v>
      </c>
      <c r="T2280" s="356"/>
      <c r="U2280" s="372"/>
      <c r="V2280" s="374">
        <v>43682</v>
      </c>
      <c r="W2280" s="372"/>
      <c r="X2280" s="373"/>
      <c r="Y2280" s="348"/>
      <c r="Z2280" s="348"/>
      <c r="AA2280" s="348"/>
    </row>
    <row r="2281" s="331" customFormat="1" ht="17" customHeight="1" spans="1:27">
      <c r="A2281" s="550" t="s">
        <v>901</v>
      </c>
      <c r="B2281" s="348" t="s">
        <v>137</v>
      </c>
      <c r="C2281" s="348" t="s">
        <v>861</v>
      </c>
      <c r="D2281" s="349" t="s">
        <v>139</v>
      </c>
      <c r="E2281" s="336">
        <v>43668</v>
      </c>
      <c r="F2281" s="336">
        <v>43666</v>
      </c>
      <c r="G2281" s="336">
        <v>43675</v>
      </c>
      <c r="H2281" s="334" t="s">
        <v>6088</v>
      </c>
      <c r="I2281" s="356">
        <v>18017711571</v>
      </c>
      <c r="J2281" s="361" t="s">
        <v>6141</v>
      </c>
      <c r="K2281" s="356">
        <v>5880</v>
      </c>
      <c r="L2281" s="334">
        <v>5880</v>
      </c>
      <c r="M2281" s="419"/>
      <c r="N2281" s="362">
        <f t="shared" si="80"/>
        <v>5880</v>
      </c>
      <c r="O2281" s="356"/>
      <c r="P2281" s="356"/>
      <c r="Q2281" s="356"/>
      <c r="R2281" s="356"/>
      <c r="S2281" s="356"/>
      <c r="T2281" s="356"/>
      <c r="U2281" s="372"/>
      <c r="V2281" s="372"/>
      <c r="W2281" s="372"/>
      <c r="X2281" s="373"/>
      <c r="Y2281" s="348"/>
      <c r="Z2281" s="348"/>
      <c r="AA2281" s="348"/>
    </row>
    <row r="2282" s="331" customFormat="1" ht="17" customHeight="1" spans="1:27">
      <c r="A2282" s="348">
        <v>2024315</v>
      </c>
      <c r="B2282" s="348" t="s">
        <v>137</v>
      </c>
      <c r="C2282" s="348" t="s">
        <v>861</v>
      </c>
      <c r="D2282" s="352" t="s">
        <v>427</v>
      </c>
      <c r="E2282" s="336">
        <v>43668</v>
      </c>
      <c r="F2282" s="336">
        <v>43666</v>
      </c>
      <c r="G2282" s="336">
        <v>43675</v>
      </c>
      <c r="H2282" s="334" t="s">
        <v>6142</v>
      </c>
      <c r="I2282" s="356">
        <v>15502154876</v>
      </c>
      <c r="J2282" s="361" t="s">
        <v>6143</v>
      </c>
      <c r="K2282" s="356">
        <v>9000</v>
      </c>
      <c r="L2282" s="334">
        <v>9000</v>
      </c>
      <c r="M2282" s="419"/>
      <c r="N2282" s="362">
        <f t="shared" si="80"/>
        <v>9000</v>
      </c>
      <c r="O2282" s="356"/>
      <c r="P2282" s="356"/>
      <c r="Q2282" s="356"/>
      <c r="R2282" s="356"/>
      <c r="S2282" s="356"/>
      <c r="T2282" s="356"/>
      <c r="U2282" s="372"/>
      <c r="V2282" s="372"/>
      <c r="W2282" s="372"/>
      <c r="X2282" s="373"/>
      <c r="Y2282" s="348"/>
      <c r="Z2282" s="348"/>
      <c r="AA2282" s="348"/>
    </row>
    <row r="2283" s="331" customFormat="1" ht="17" customHeight="1" spans="1:27">
      <c r="A2283" s="550" t="s">
        <v>6144</v>
      </c>
      <c r="B2283" s="348" t="s">
        <v>315</v>
      </c>
      <c r="C2283" s="348" t="s">
        <v>275</v>
      </c>
      <c r="D2283" s="352" t="s">
        <v>162</v>
      </c>
      <c r="E2283" s="336">
        <v>43732</v>
      </c>
      <c r="F2283" s="336">
        <v>43667</v>
      </c>
      <c r="G2283" s="336">
        <v>43731</v>
      </c>
      <c r="H2283" s="334" t="s">
        <v>6145</v>
      </c>
      <c r="I2283" s="356">
        <v>15618097573</v>
      </c>
      <c r="J2283" s="361" t="s">
        <v>6146</v>
      </c>
      <c r="K2283" s="356">
        <v>1000</v>
      </c>
      <c r="L2283" s="334">
        <f>13053-1472</f>
        <v>11581</v>
      </c>
      <c r="M2283" s="334">
        <v>1472</v>
      </c>
      <c r="N2283" s="362">
        <f t="shared" si="80"/>
        <v>13053</v>
      </c>
      <c r="O2283" s="356"/>
      <c r="P2283" s="356"/>
      <c r="Q2283" s="356">
        <v>1</v>
      </c>
      <c r="R2283" s="356"/>
      <c r="S2283" s="356"/>
      <c r="T2283" s="356"/>
      <c r="U2283" s="372"/>
      <c r="V2283" s="372"/>
      <c r="W2283" s="372"/>
      <c r="X2283" s="373"/>
      <c r="Y2283" s="348"/>
      <c r="Z2283" s="348"/>
      <c r="AA2283" s="348"/>
    </row>
    <row r="2284" s="331" customFormat="1" ht="17" customHeight="1" spans="1:27">
      <c r="A2284" s="348"/>
      <c r="B2284" s="348" t="s">
        <v>137</v>
      </c>
      <c r="C2284" s="348" t="s">
        <v>861</v>
      </c>
      <c r="D2284" s="352" t="s">
        <v>427</v>
      </c>
      <c r="E2284" s="336">
        <v>43668</v>
      </c>
      <c r="F2284" s="336">
        <v>43666</v>
      </c>
      <c r="G2284" s="336">
        <v>43675</v>
      </c>
      <c r="H2284" s="334" t="s">
        <v>4935</v>
      </c>
      <c r="I2284" s="356">
        <v>13671660954</v>
      </c>
      <c r="J2284" s="361" t="s">
        <v>6147</v>
      </c>
      <c r="K2284" s="356">
        <v>10800</v>
      </c>
      <c r="L2284" s="334">
        <v>10800</v>
      </c>
      <c r="M2284" s="419"/>
      <c r="N2284" s="362">
        <f t="shared" si="80"/>
        <v>10800</v>
      </c>
      <c r="O2284" s="356"/>
      <c r="P2284" s="356"/>
      <c r="Q2284" s="356"/>
      <c r="R2284" s="356"/>
      <c r="S2284" s="356"/>
      <c r="T2284" s="356"/>
      <c r="U2284" s="372"/>
      <c r="V2284" s="372"/>
      <c r="W2284" s="372"/>
      <c r="X2284" s="373"/>
      <c r="Y2284" s="348"/>
      <c r="Z2284" s="348"/>
      <c r="AA2284" s="348"/>
    </row>
    <row r="2285" s="331" customFormat="1" ht="17" customHeight="1" spans="1:27">
      <c r="A2285" s="348">
        <v>2023513</v>
      </c>
      <c r="B2285" s="348" t="s">
        <v>185</v>
      </c>
      <c r="C2285" s="348" t="s">
        <v>886</v>
      </c>
      <c r="D2285" s="352" t="s">
        <v>187</v>
      </c>
      <c r="E2285" s="336">
        <v>43668</v>
      </c>
      <c r="F2285" s="336">
        <v>43668</v>
      </c>
      <c r="G2285" s="336">
        <v>43674</v>
      </c>
      <c r="H2285" s="334" t="s">
        <v>6148</v>
      </c>
      <c r="I2285" s="356">
        <v>18512135588</v>
      </c>
      <c r="J2285" s="361" t="s">
        <v>6149</v>
      </c>
      <c r="K2285" s="356">
        <v>0</v>
      </c>
      <c r="L2285" s="334">
        <v>17020</v>
      </c>
      <c r="M2285" s="419"/>
      <c r="N2285" s="362">
        <f t="shared" ref="N2285:N2300" si="81">L2285+M2285</f>
        <v>17020</v>
      </c>
      <c r="O2285" s="356" t="s">
        <v>52</v>
      </c>
      <c r="P2285" s="356"/>
      <c r="Q2285" s="356"/>
      <c r="R2285" s="356"/>
      <c r="S2285" s="356"/>
      <c r="T2285" s="356"/>
      <c r="U2285" s="372"/>
      <c r="V2285" s="372"/>
      <c r="W2285" s="372"/>
      <c r="X2285" s="373"/>
      <c r="Y2285" s="348"/>
      <c r="Z2285" s="348"/>
      <c r="AA2285" s="348"/>
    </row>
    <row r="2286" s="331" customFormat="1" ht="17" customHeight="1" spans="1:27">
      <c r="A2286" s="550" t="s">
        <v>6150</v>
      </c>
      <c r="B2286" s="348" t="s">
        <v>35</v>
      </c>
      <c r="C2286" s="348" t="s">
        <v>392</v>
      </c>
      <c r="D2286" s="352" t="s">
        <v>37</v>
      </c>
      <c r="E2286" s="336">
        <v>43668</v>
      </c>
      <c r="F2286" s="336">
        <v>43668</v>
      </c>
      <c r="G2286" s="336">
        <v>43671</v>
      </c>
      <c r="H2286" s="334" t="s">
        <v>6151</v>
      </c>
      <c r="I2286" s="356">
        <v>18616339155</v>
      </c>
      <c r="J2286" s="361" t="s">
        <v>6152</v>
      </c>
      <c r="K2286" s="356">
        <v>1998</v>
      </c>
      <c r="L2286" s="334">
        <v>9296</v>
      </c>
      <c r="M2286" s="419"/>
      <c r="N2286" s="362">
        <f t="shared" si="81"/>
        <v>9296</v>
      </c>
      <c r="O2286" s="356"/>
      <c r="P2286" s="356"/>
      <c r="Q2286" s="356"/>
      <c r="R2286" s="356"/>
      <c r="S2286" s="356"/>
      <c r="T2286" s="356"/>
      <c r="U2286" s="372"/>
      <c r="V2286" s="372"/>
      <c r="W2286" s="372"/>
      <c r="X2286" s="373"/>
      <c r="Y2286" s="348"/>
      <c r="Z2286" s="348"/>
      <c r="AA2286" s="348"/>
    </row>
    <row r="2287" s="331" customFormat="1" ht="17" customHeight="1" spans="1:27">
      <c r="A2287" s="550" t="s">
        <v>6153</v>
      </c>
      <c r="B2287" s="348" t="s">
        <v>137</v>
      </c>
      <c r="C2287" s="348" t="s">
        <v>861</v>
      </c>
      <c r="D2287" s="349" t="s">
        <v>139</v>
      </c>
      <c r="E2287" s="336">
        <v>43668</v>
      </c>
      <c r="F2287" s="336">
        <v>43666</v>
      </c>
      <c r="G2287" s="336">
        <v>43675</v>
      </c>
      <c r="H2287" s="334" t="s">
        <v>6154</v>
      </c>
      <c r="I2287" s="356">
        <v>13564961215</v>
      </c>
      <c r="J2287" s="361" t="s">
        <v>6155</v>
      </c>
      <c r="K2287" s="356">
        <v>4950</v>
      </c>
      <c r="L2287" s="334">
        <v>4874</v>
      </c>
      <c r="M2287" s="419"/>
      <c r="N2287" s="362">
        <f t="shared" si="81"/>
        <v>4874</v>
      </c>
      <c r="O2287" s="356"/>
      <c r="P2287" s="356"/>
      <c r="Q2287" s="356"/>
      <c r="R2287" s="356"/>
      <c r="S2287" s="356"/>
      <c r="T2287" s="356"/>
      <c r="U2287" s="372"/>
      <c r="V2287" s="372"/>
      <c r="W2287" s="372"/>
      <c r="X2287" s="373"/>
      <c r="Y2287" s="348"/>
      <c r="Z2287" s="348"/>
      <c r="AA2287" s="348"/>
    </row>
    <row r="2288" s="331" customFormat="1" ht="17" customHeight="1" spans="1:27">
      <c r="A2288" s="550" t="s">
        <v>6156</v>
      </c>
      <c r="B2288" s="348" t="s">
        <v>137</v>
      </c>
      <c r="C2288" s="348" t="s">
        <v>861</v>
      </c>
      <c r="D2288" s="349" t="s">
        <v>171</v>
      </c>
      <c r="E2288" s="336">
        <v>43668</v>
      </c>
      <c r="F2288" s="336">
        <v>43666</v>
      </c>
      <c r="G2288" s="336">
        <v>43672</v>
      </c>
      <c r="H2288" s="334" t="s">
        <v>6157</v>
      </c>
      <c r="I2288" s="356">
        <v>18918228166</v>
      </c>
      <c r="J2288" s="361" t="s">
        <v>6158</v>
      </c>
      <c r="K2288" s="356">
        <v>7200</v>
      </c>
      <c r="L2288" s="334">
        <v>7444</v>
      </c>
      <c r="M2288" s="334">
        <v>536</v>
      </c>
      <c r="N2288" s="362">
        <f t="shared" si="81"/>
        <v>7980</v>
      </c>
      <c r="O2288" s="356"/>
      <c r="P2288" s="356"/>
      <c r="Q2288" s="356"/>
      <c r="R2288" s="356"/>
      <c r="S2288" s="356"/>
      <c r="T2288" s="356"/>
      <c r="U2288" s="372"/>
      <c r="V2288" s="372"/>
      <c r="W2288" s="372"/>
      <c r="X2288" s="373"/>
      <c r="Y2288" s="348"/>
      <c r="Z2288" s="348"/>
      <c r="AA2288" s="348"/>
    </row>
    <row r="2289" s="331" customFormat="1" ht="17" customHeight="1" spans="1:27">
      <c r="A2289" s="550" t="s">
        <v>6159</v>
      </c>
      <c r="B2289" s="348" t="s">
        <v>137</v>
      </c>
      <c r="C2289" s="348" t="s">
        <v>861</v>
      </c>
      <c r="D2289" s="352" t="s">
        <v>427</v>
      </c>
      <c r="E2289" s="336">
        <v>43668</v>
      </c>
      <c r="F2289" s="336">
        <v>43667</v>
      </c>
      <c r="G2289" s="336">
        <v>43675</v>
      </c>
      <c r="H2289" s="334" t="s">
        <v>6160</v>
      </c>
      <c r="I2289" s="356" t="s">
        <v>6161</v>
      </c>
      <c r="J2289" s="361" t="s">
        <v>6162</v>
      </c>
      <c r="K2289" s="356">
        <v>5400</v>
      </c>
      <c r="L2289" s="334">
        <v>5400</v>
      </c>
      <c r="M2289" s="419"/>
      <c r="N2289" s="362">
        <f t="shared" si="81"/>
        <v>5400</v>
      </c>
      <c r="O2289" s="356"/>
      <c r="P2289" s="356"/>
      <c r="Q2289" s="356"/>
      <c r="R2289" s="356"/>
      <c r="S2289" s="356"/>
      <c r="T2289" s="356"/>
      <c r="U2289" s="372"/>
      <c r="V2289" s="372"/>
      <c r="W2289" s="372"/>
      <c r="X2289" s="373"/>
      <c r="Y2289" s="348"/>
      <c r="Z2289" s="348"/>
      <c r="AA2289" s="348"/>
    </row>
    <row r="2290" s="331" customFormat="1" ht="17" customHeight="1" spans="1:27">
      <c r="A2290" s="348"/>
      <c r="B2290" s="348" t="s">
        <v>137</v>
      </c>
      <c r="C2290" s="348" t="s">
        <v>861</v>
      </c>
      <c r="D2290" s="349" t="s">
        <v>139</v>
      </c>
      <c r="E2290" s="336">
        <v>43702</v>
      </c>
      <c r="F2290" s="336">
        <v>43667</v>
      </c>
      <c r="G2290" s="336">
        <v>43701</v>
      </c>
      <c r="H2290" s="334" t="s">
        <v>6163</v>
      </c>
      <c r="I2290" s="356">
        <v>13818343665</v>
      </c>
      <c r="J2290" s="361" t="s">
        <v>6164</v>
      </c>
      <c r="K2290" s="356">
        <v>1000</v>
      </c>
      <c r="L2290" s="334">
        <v>11841</v>
      </c>
      <c r="M2290" s="334">
        <v>2208</v>
      </c>
      <c r="N2290" s="362">
        <f t="shared" si="81"/>
        <v>14049</v>
      </c>
      <c r="O2290" s="356"/>
      <c r="P2290" s="356"/>
      <c r="Q2290" s="356"/>
      <c r="R2290" s="356">
        <v>1</v>
      </c>
      <c r="S2290" s="356"/>
      <c r="T2290" s="356"/>
      <c r="U2290" s="372"/>
      <c r="V2290" s="372"/>
      <c r="W2290" s="372"/>
      <c r="X2290" s="373"/>
      <c r="Y2290" s="348"/>
      <c r="Z2290" s="348"/>
      <c r="AA2290" s="348"/>
    </row>
    <row r="2291" s="331" customFormat="1" ht="17" customHeight="1" spans="1:27">
      <c r="A2291" s="348">
        <v>2023514</v>
      </c>
      <c r="B2291" s="348" t="s">
        <v>185</v>
      </c>
      <c r="C2291" s="348" t="s">
        <v>1620</v>
      </c>
      <c r="D2291" s="352" t="s">
        <v>44</v>
      </c>
      <c r="E2291" s="336">
        <v>43707</v>
      </c>
      <c r="F2291" s="336">
        <v>43668</v>
      </c>
      <c r="G2291" s="336">
        <v>43707</v>
      </c>
      <c r="H2291" s="334" t="s">
        <v>6165</v>
      </c>
      <c r="I2291" s="356">
        <v>13761532826</v>
      </c>
      <c r="J2291" s="361" t="s">
        <v>6166</v>
      </c>
      <c r="K2291" s="356">
        <v>10000</v>
      </c>
      <c r="L2291" s="334">
        <v>10000</v>
      </c>
      <c r="M2291" s="419"/>
      <c r="N2291" s="362">
        <f t="shared" si="81"/>
        <v>10000</v>
      </c>
      <c r="O2291" s="356"/>
      <c r="P2291" s="356"/>
      <c r="Q2291" s="356"/>
      <c r="R2291" s="356" t="s">
        <v>52</v>
      </c>
      <c r="S2291" s="356"/>
      <c r="T2291" s="356"/>
      <c r="U2291" s="372"/>
      <c r="V2291" s="372"/>
      <c r="W2291" s="372"/>
      <c r="X2291" s="373"/>
      <c r="Y2291" s="348"/>
      <c r="Z2291" s="348"/>
      <c r="AA2291" s="348"/>
    </row>
    <row r="2292" s="331" customFormat="1" ht="17" customHeight="1" spans="1:27">
      <c r="A2292" s="550" t="s">
        <v>6167</v>
      </c>
      <c r="B2292" s="348" t="s">
        <v>31</v>
      </c>
      <c r="C2292" s="348" t="s">
        <v>3186</v>
      </c>
      <c r="D2292" s="349" t="s">
        <v>171</v>
      </c>
      <c r="E2292" s="336">
        <v>43668</v>
      </c>
      <c r="F2292" s="336">
        <v>43668</v>
      </c>
      <c r="G2292" s="336">
        <v>43676</v>
      </c>
      <c r="H2292" s="334" t="s">
        <v>6168</v>
      </c>
      <c r="I2292" s="356">
        <v>13761200200</v>
      </c>
      <c r="J2292" s="361" t="s">
        <v>6169</v>
      </c>
      <c r="K2292" s="356">
        <v>1000</v>
      </c>
      <c r="L2292" s="334">
        <v>11500</v>
      </c>
      <c r="M2292" s="419"/>
      <c r="N2292" s="362">
        <f t="shared" si="81"/>
        <v>11500</v>
      </c>
      <c r="O2292" s="356"/>
      <c r="P2292" s="356"/>
      <c r="Q2292" s="356"/>
      <c r="R2292" s="356"/>
      <c r="S2292" s="356"/>
      <c r="T2292" s="356"/>
      <c r="U2292" s="372"/>
      <c r="V2292" s="372"/>
      <c r="W2292" s="372"/>
      <c r="X2292" s="373"/>
      <c r="Y2292" s="348"/>
      <c r="Z2292" s="348"/>
      <c r="AA2292" s="348"/>
    </row>
    <row r="2293" s="331" customFormat="1" ht="17" customHeight="1" spans="1:27">
      <c r="A2293" s="550" t="s">
        <v>6170</v>
      </c>
      <c r="B2293" s="348" t="s">
        <v>31</v>
      </c>
      <c r="C2293" s="348" t="s">
        <v>32</v>
      </c>
      <c r="D2293" s="352" t="s">
        <v>33</v>
      </c>
      <c r="E2293" s="336">
        <v>43668</v>
      </c>
      <c r="F2293" s="336">
        <v>43668</v>
      </c>
      <c r="G2293" s="350"/>
      <c r="H2293" s="334" t="s">
        <v>6171</v>
      </c>
      <c r="I2293" s="356">
        <v>18516335077</v>
      </c>
      <c r="J2293" s="361" t="s">
        <v>6172</v>
      </c>
      <c r="K2293" s="356">
        <v>1000</v>
      </c>
      <c r="L2293" s="419"/>
      <c r="M2293" s="419"/>
      <c r="N2293" s="362">
        <f t="shared" si="81"/>
        <v>0</v>
      </c>
      <c r="O2293" s="356"/>
      <c r="P2293" s="356"/>
      <c r="Q2293" s="356"/>
      <c r="R2293" s="356"/>
      <c r="S2293" s="356"/>
      <c r="T2293" s="356"/>
      <c r="U2293" s="372"/>
      <c r="V2293" s="372"/>
      <c r="W2293" s="372"/>
      <c r="X2293" s="373"/>
      <c r="Y2293" s="348"/>
      <c r="Z2293" s="348"/>
      <c r="AA2293" s="348"/>
    </row>
    <row r="2294" s="331" customFormat="1" ht="17" customHeight="1" spans="1:27">
      <c r="A2294" s="348"/>
      <c r="B2294" s="348" t="s">
        <v>35</v>
      </c>
      <c r="C2294" s="348" t="s">
        <v>392</v>
      </c>
      <c r="D2294" s="352" t="s">
        <v>37</v>
      </c>
      <c r="E2294" s="336">
        <v>43668</v>
      </c>
      <c r="F2294" s="336">
        <v>43666</v>
      </c>
      <c r="G2294" s="336">
        <v>43666</v>
      </c>
      <c r="H2294" s="334" t="s">
        <v>6173</v>
      </c>
      <c r="I2294" s="356">
        <v>18019313287</v>
      </c>
      <c r="J2294" s="361" t="s">
        <v>6174</v>
      </c>
      <c r="K2294" s="356">
        <v>13000</v>
      </c>
      <c r="L2294" s="334">
        <v>12274</v>
      </c>
      <c r="M2294" s="334">
        <v>1104</v>
      </c>
      <c r="N2294" s="362">
        <f t="shared" si="81"/>
        <v>13378</v>
      </c>
      <c r="O2294" s="356"/>
      <c r="P2294" s="356"/>
      <c r="Q2294" s="356"/>
      <c r="R2294" s="356"/>
      <c r="S2294" s="356"/>
      <c r="T2294" s="356"/>
      <c r="U2294" s="372"/>
      <c r="V2294" s="372"/>
      <c r="W2294" s="372"/>
      <c r="X2294" s="373"/>
      <c r="Y2294" s="348"/>
      <c r="Z2294" s="348"/>
      <c r="AA2294" s="348"/>
    </row>
    <row r="2295" s="331" customFormat="1" ht="17" customHeight="1" spans="1:27">
      <c r="A2295" s="348"/>
      <c r="B2295" s="348" t="s">
        <v>2625</v>
      </c>
      <c r="C2295" s="348" t="s">
        <v>2626</v>
      </c>
      <c r="D2295" s="334" t="s">
        <v>44</v>
      </c>
      <c r="E2295" s="336">
        <v>43704</v>
      </c>
      <c r="F2295" s="336">
        <v>43668</v>
      </c>
      <c r="G2295" s="336">
        <v>43701</v>
      </c>
      <c r="H2295" s="334" t="s">
        <v>6175</v>
      </c>
      <c r="I2295" s="356">
        <v>13795305674</v>
      </c>
      <c r="J2295" s="361" t="s">
        <v>6176</v>
      </c>
      <c r="K2295" s="356">
        <v>1000</v>
      </c>
      <c r="L2295" s="334">
        <f>6288-760</f>
        <v>5528</v>
      </c>
      <c r="M2295" s="334">
        <v>760</v>
      </c>
      <c r="N2295" s="362">
        <f t="shared" si="81"/>
        <v>6288</v>
      </c>
      <c r="O2295" s="356"/>
      <c r="P2295" s="356"/>
      <c r="Q2295" s="356"/>
      <c r="R2295" s="356"/>
      <c r="S2295" s="356"/>
      <c r="T2295" s="356"/>
      <c r="U2295" s="372"/>
      <c r="V2295" s="372"/>
      <c r="W2295" s="387">
        <v>43700</v>
      </c>
      <c r="X2295" s="422"/>
      <c r="Y2295" s="348"/>
      <c r="Z2295" s="348"/>
      <c r="AA2295" s="348"/>
    </row>
    <row r="2296" s="331" customFormat="1" ht="17" customHeight="1" spans="1:27">
      <c r="A2296" s="348">
        <v>2066981</v>
      </c>
      <c r="B2296" s="348" t="s">
        <v>66</v>
      </c>
      <c r="C2296" s="348" t="s">
        <v>505</v>
      </c>
      <c r="D2296" s="352" t="s">
        <v>68</v>
      </c>
      <c r="E2296" s="336">
        <v>43668</v>
      </c>
      <c r="F2296" s="336">
        <v>43668</v>
      </c>
      <c r="G2296" s="336">
        <v>43671</v>
      </c>
      <c r="H2296" s="334" t="s">
        <v>6177</v>
      </c>
      <c r="I2296" s="356">
        <v>13916192561</v>
      </c>
      <c r="J2296" s="361" t="s">
        <v>6178</v>
      </c>
      <c r="K2296" s="356">
        <v>10262</v>
      </c>
      <c r="L2296" s="334">
        <v>9870</v>
      </c>
      <c r="M2296" s="334">
        <v>536</v>
      </c>
      <c r="N2296" s="362">
        <f t="shared" si="81"/>
        <v>10406</v>
      </c>
      <c r="O2296" s="356"/>
      <c r="P2296" s="356"/>
      <c r="Q2296" s="356"/>
      <c r="R2296" s="356"/>
      <c r="S2296" s="356"/>
      <c r="T2296" s="356"/>
      <c r="U2296" s="372"/>
      <c r="V2296" s="372"/>
      <c r="W2296" s="372"/>
      <c r="X2296" s="373"/>
      <c r="Y2296" s="348"/>
      <c r="Z2296" s="348"/>
      <c r="AA2296" s="348"/>
    </row>
    <row r="2297" s="331" customFormat="1" ht="17" customHeight="1" spans="1:27">
      <c r="A2297" s="348">
        <v>2067378</v>
      </c>
      <c r="B2297" s="348" t="s">
        <v>405</v>
      </c>
      <c r="C2297" s="348" t="s">
        <v>1234</v>
      </c>
      <c r="D2297" s="352" t="s">
        <v>407</v>
      </c>
      <c r="E2297" s="336">
        <v>43668</v>
      </c>
      <c r="F2297" s="336">
        <v>43668</v>
      </c>
      <c r="G2297" s="336">
        <v>43675</v>
      </c>
      <c r="H2297" s="334" t="s">
        <v>5912</v>
      </c>
      <c r="I2297" s="356">
        <v>13816958990</v>
      </c>
      <c r="J2297" s="361" t="s">
        <v>6179</v>
      </c>
      <c r="K2297" s="356">
        <v>20000</v>
      </c>
      <c r="L2297" s="334">
        <v>74500</v>
      </c>
      <c r="M2297" s="419"/>
      <c r="N2297" s="362">
        <f t="shared" si="81"/>
        <v>74500</v>
      </c>
      <c r="O2297" s="356"/>
      <c r="P2297" s="356"/>
      <c r="Q2297" s="356"/>
      <c r="R2297" s="356"/>
      <c r="S2297" s="356"/>
      <c r="T2297" s="356"/>
      <c r="U2297" s="372"/>
      <c r="V2297" s="372"/>
      <c r="W2297" s="372"/>
      <c r="X2297" s="373"/>
      <c r="Y2297" s="348"/>
      <c r="Z2297" s="348"/>
      <c r="AA2297" s="348"/>
    </row>
    <row r="2298" s="331" customFormat="1" ht="17" customHeight="1" spans="1:27">
      <c r="A2298" s="348"/>
      <c r="B2298" s="348" t="s">
        <v>243</v>
      </c>
      <c r="C2298" s="334" t="s">
        <v>244</v>
      </c>
      <c r="D2298" s="334" t="s">
        <v>1422</v>
      </c>
      <c r="E2298" s="336">
        <v>43668</v>
      </c>
      <c r="F2298" s="336"/>
      <c r="G2298" s="336">
        <v>43660</v>
      </c>
      <c r="H2298" s="269" t="s">
        <v>6180</v>
      </c>
      <c r="I2298" s="356">
        <v>18717882985</v>
      </c>
      <c r="J2298" s="361" t="s">
        <v>6181</v>
      </c>
      <c r="K2298" s="356"/>
      <c r="L2298" s="334">
        <v>9166</v>
      </c>
      <c r="M2298" s="419"/>
      <c r="N2298" s="362">
        <f t="shared" si="81"/>
        <v>9166</v>
      </c>
      <c r="O2298" s="356"/>
      <c r="P2298" s="356"/>
      <c r="Q2298" s="356"/>
      <c r="R2298" s="356"/>
      <c r="S2298" s="356"/>
      <c r="T2298" s="356"/>
      <c r="U2298" s="372"/>
      <c r="V2298" s="372"/>
      <c r="W2298" s="372"/>
      <c r="X2298" s="373"/>
      <c r="Y2298" s="348"/>
      <c r="Z2298" s="348"/>
      <c r="AA2298" s="348"/>
    </row>
    <row r="2299" s="331" customFormat="1" ht="17" customHeight="1" spans="1:27">
      <c r="A2299" s="348"/>
      <c r="B2299" s="348" t="s">
        <v>153</v>
      </c>
      <c r="C2299" s="348" t="s">
        <v>154</v>
      </c>
      <c r="D2299" s="349" t="s">
        <v>155</v>
      </c>
      <c r="E2299" s="336">
        <v>43668</v>
      </c>
      <c r="F2299" s="336"/>
      <c r="G2299" s="336">
        <v>43667</v>
      </c>
      <c r="H2299" s="334" t="s">
        <v>6182</v>
      </c>
      <c r="I2299" s="356">
        <v>18016398996</v>
      </c>
      <c r="J2299" s="361" t="s">
        <v>5880</v>
      </c>
      <c r="K2299" s="356"/>
      <c r="L2299" s="334">
        <v>9403</v>
      </c>
      <c r="M2299" s="419"/>
      <c r="N2299" s="362">
        <f t="shared" si="81"/>
        <v>9403</v>
      </c>
      <c r="O2299" s="356"/>
      <c r="P2299" s="356"/>
      <c r="Q2299" s="356"/>
      <c r="R2299" s="356"/>
      <c r="S2299" s="356"/>
      <c r="T2299" s="356"/>
      <c r="U2299" s="372"/>
      <c r="V2299" s="372"/>
      <c r="W2299" s="372"/>
      <c r="X2299" s="373"/>
      <c r="Y2299" s="348"/>
      <c r="Z2299" s="348"/>
      <c r="AA2299" s="348"/>
    </row>
    <row r="2300" s="331" customFormat="1" ht="17" customHeight="1" spans="1:27">
      <c r="A2300" s="348"/>
      <c r="B2300" s="348" t="s">
        <v>137</v>
      </c>
      <c r="C2300" s="334" t="s">
        <v>411</v>
      </c>
      <c r="D2300" s="349" t="s">
        <v>427</v>
      </c>
      <c r="E2300" s="336">
        <v>43668</v>
      </c>
      <c r="F2300" s="336"/>
      <c r="G2300" s="336">
        <v>43666</v>
      </c>
      <c r="H2300" s="334" t="s">
        <v>6183</v>
      </c>
      <c r="I2300" s="431">
        <v>18616565801</v>
      </c>
      <c r="J2300" s="432" t="s">
        <v>6184</v>
      </c>
      <c r="K2300" s="356"/>
      <c r="L2300" s="334">
        <v>24660</v>
      </c>
      <c r="M2300" s="419"/>
      <c r="N2300" s="362">
        <f t="shared" si="81"/>
        <v>24660</v>
      </c>
      <c r="O2300" s="356"/>
      <c r="P2300" s="356"/>
      <c r="Q2300" s="356"/>
      <c r="R2300" s="356"/>
      <c r="S2300" s="356"/>
      <c r="T2300" s="356"/>
      <c r="U2300" s="372"/>
      <c r="V2300" s="372"/>
      <c r="W2300" s="372"/>
      <c r="X2300" s="373"/>
      <c r="Y2300" s="348"/>
      <c r="Z2300" s="348"/>
      <c r="AA2300" s="348"/>
    </row>
    <row r="2301" s="331" customFormat="1" ht="17" customHeight="1" spans="1:27">
      <c r="A2301" s="348"/>
      <c r="B2301" s="348" t="s">
        <v>281</v>
      </c>
      <c r="C2301" s="334" t="s">
        <v>517</v>
      </c>
      <c r="D2301" s="349" t="s">
        <v>518</v>
      </c>
      <c r="E2301" s="336">
        <v>43668</v>
      </c>
      <c r="F2301" s="336"/>
      <c r="G2301" s="336">
        <v>43661</v>
      </c>
      <c r="H2301" s="334" t="s">
        <v>5110</v>
      </c>
      <c r="I2301" s="356">
        <v>13918819818</v>
      </c>
      <c r="J2301" s="361" t="s">
        <v>6185</v>
      </c>
      <c r="K2301" s="356"/>
      <c r="L2301" s="334">
        <v>9440</v>
      </c>
      <c r="M2301" s="419"/>
      <c r="N2301" s="362">
        <f t="shared" ref="N2301:N2311" si="82">L2301+M2301</f>
        <v>9440</v>
      </c>
      <c r="O2301" s="356"/>
      <c r="P2301" s="356"/>
      <c r="Q2301" s="356"/>
      <c r="R2301" s="356"/>
      <c r="S2301" s="356"/>
      <c r="T2301" s="356"/>
      <c r="U2301" s="372"/>
      <c r="V2301" s="372"/>
      <c r="W2301" s="372"/>
      <c r="X2301" s="373"/>
      <c r="Y2301" s="348"/>
      <c r="Z2301" s="348"/>
      <c r="AA2301" s="348"/>
    </row>
    <row r="2302" s="331" customFormat="1" ht="17" customHeight="1" spans="1:27">
      <c r="A2302" s="348"/>
      <c r="B2302" s="348" t="s">
        <v>315</v>
      </c>
      <c r="C2302" s="348" t="s">
        <v>161</v>
      </c>
      <c r="D2302" s="349" t="s">
        <v>162</v>
      </c>
      <c r="E2302" s="336">
        <v>43668</v>
      </c>
      <c r="F2302" s="336"/>
      <c r="G2302" s="336">
        <v>43666</v>
      </c>
      <c r="H2302" s="334" t="s">
        <v>6186</v>
      </c>
      <c r="I2302" s="356">
        <v>13918004504</v>
      </c>
      <c r="J2302" s="361" t="s">
        <v>6187</v>
      </c>
      <c r="K2302" s="356"/>
      <c r="L2302" s="334">
        <v>3360</v>
      </c>
      <c r="M2302" s="334">
        <v>736</v>
      </c>
      <c r="N2302" s="362">
        <f t="shared" si="82"/>
        <v>4096</v>
      </c>
      <c r="O2302" s="356"/>
      <c r="P2302" s="356"/>
      <c r="Q2302" s="356"/>
      <c r="R2302" s="356"/>
      <c r="S2302" s="356"/>
      <c r="T2302" s="356"/>
      <c r="U2302" s="372"/>
      <c r="V2302" s="372"/>
      <c r="W2302" s="372"/>
      <c r="X2302" s="373"/>
      <c r="Y2302" s="348"/>
      <c r="Z2302" s="348"/>
      <c r="AA2302" s="348"/>
    </row>
    <row r="2303" s="331" customFormat="1" ht="17" customHeight="1" spans="1:27">
      <c r="A2303" s="348"/>
      <c r="B2303" s="348" t="s">
        <v>35</v>
      </c>
      <c r="C2303" s="348" t="s">
        <v>392</v>
      </c>
      <c r="D2303" s="349" t="s">
        <v>37</v>
      </c>
      <c r="E2303" s="336">
        <v>43668</v>
      </c>
      <c r="F2303" s="336" t="s">
        <v>800</v>
      </c>
      <c r="G2303" s="336">
        <v>43666</v>
      </c>
      <c r="H2303" s="334" t="s">
        <v>6188</v>
      </c>
      <c r="I2303" s="356">
        <v>15061543258</v>
      </c>
      <c r="J2303" s="361" t="s">
        <v>6189</v>
      </c>
      <c r="K2303" s="356"/>
      <c r="L2303" s="419"/>
      <c r="M2303" s="334">
        <v>3776</v>
      </c>
      <c r="N2303" s="362">
        <f t="shared" si="82"/>
        <v>3776</v>
      </c>
      <c r="O2303" s="356"/>
      <c r="P2303" s="356"/>
      <c r="Q2303" s="356"/>
      <c r="R2303" s="356"/>
      <c r="S2303" s="356"/>
      <c r="T2303" s="356"/>
      <c r="U2303" s="372"/>
      <c r="V2303" s="372"/>
      <c r="W2303" s="372"/>
      <c r="X2303" s="373"/>
      <c r="Y2303" s="348"/>
      <c r="Z2303" s="348"/>
      <c r="AA2303" s="348"/>
    </row>
    <row r="2304" s="331" customFormat="1" ht="17" customHeight="1" spans="1:27">
      <c r="A2304" s="348"/>
      <c r="B2304" s="348" t="s">
        <v>73</v>
      </c>
      <c r="C2304" s="348" t="s">
        <v>74</v>
      </c>
      <c r="D2304" s="349" t="s">
        <v>717</v>
      </c>
      <c r="E2304" s="336">
        <v>43668</v>
      </c>
      <c r="F2304" s="336" t="s">
        <v>800</v>
      </c>
      <c r="G2304" s="336">
        <v>43667</v>
      </c>
      <c r="H2304" s="334" t="s">
        <v>6190</v>
      </c>
      <c r="I2304" s="356">
        <v>13916434656</v>
      </c>
      <c r="J2304" s="361" t="s">
        <v>6191</v>
      </c>
      <c r="K2304" s="356"/>
      <c r="L2304" s="419"/>
      <c r="M2304" s="334">
        <v>175</v>
      </c>
      <c r="N2304" s="362">
        <f t="shared" si="82"/>
        <v>175</v>
      </c>
      <c r="O2304" s="356"/>
      <c r="P2304" s="356"/>
      <c r="Q2304" s="356"/>
      <c r="R2304" s="356"/>
      <c r="S2304" s="356"/>
      <c r="T2304" s="356"/>
      <c r="U2304" s="372"/>
      <c r="V2304" s="372"/>
      <c r="W2304" s="372"/>
      <c r="X2304" s="373"/>
      <c r="Y2304" s="348"/>
      <c r="Z2304" s="348"/>
      <c r="AA2304" s="348"/>
    </row>
    <row r="2305" s="331" customFormat="1" ht="17" customHeight="1" spans="1:27">
      <c r="A2305" s="348"/>
      <c r="B2305" s="334" t="s">
        <v>35</v>
      </c>
      <c r="C2305" s="348" t="s">
        <v>392</v>
      </c>
      <c r="D2305" s="349" t="s">
        <v>37</v>
      </c>
      <c r="E2305" s="336">
        <v>43668</v>
      </c>
      <c r="F2305" s="336" t="s">
        <v>800</v>
      </c>
      <c r="G2305" s="336">
        <v>43668</v>
      </c>
      <c r="H2305" s="334" t="s">
        <v>6192</v>
      </c>
      <c r="I2305" s="363">
        <v>15316628836</v>
      </c>
      <c r="J2305" s="364" t="s">
        <v>6193</v>
      </c>
      <c r="K2305" s="356"/>
      <c r="L2305" s="419"/>
      <c r="M2305" s="334">
        <v>640</v>
      </c>
      <c r="N2305" s="362">
        <f t="shared" si="82"/>
        <v>640</v>
      </c>
      <c r="O2305" s="356"/>
      <c r="P2305" s="356"/>
      <c r="Q2305" s="356"/>
      <c r="R2305" s="356"/>
      <c r="S2305" s="356"/>
      <c r="T2305" s="356"/>
      <c r="U2305" s="372"/>
      <c r="V2305" s="372"/>
      <c r="W2305" s="372"/>
      <c r="X2305" s="373"/>
      <c r="Y2305" s="348"/>
      <c r="Z2305" s="348"/>
      <c r="AA2305" s="348"/>
    </row>
    <row r="2306" s="331" customFormat="1" ht="17" customHeight="1" spans="1:27">
      <c r="A2306" s="348"/>
      <c r="B2306" s="348" t="s">
        <v>73</v>
      </c>
      <c r="C2306" s="348" t="s">
        <v>74</v>
      </c>
      <c r="D2306" s="349" t="s">
        <v>44</v>
      </c>
      <c r="E2306" s="336">
        <v>43668</v>
      </c>
      <c r="F2306" s="336" t="s">
        <v>800</v>
      </c>
      <c r="G2306" s="336">
        <v>43667</v>
      </c>
      <c r="H2306" s="334" t="s">
        <v>6194</v>
      </c>
      <c r="I2306" s="356">
        <v>13918257508</v>
      </c>
      <c r="J2306" s="361" t="s">
        <v>6195</v>
      </c>
      <c r="K2306" s="356"/>
      <c r="L2306" s="419"/>
      <c r="M2306" s="334">
        <v>438</v>
      </c>
      <c r="N2306" s="362">
        <f t="shared" si="82"/>
        <v>438</v>
      </c>
      <c r="O2306" s="356"/>
      <c r="P2306" s="356"/>
      <c r="Q2306" s="356"/>
      <c r="R2306" s="356"/>
      <c r="S2306" s="356"/>
      <c r="T2306" s="356"/>
      <c r="U2306" s="372"/>
      <c r="V2306" s="372"/>
      <c r="W2306" s="372"/>
      <c r="X2306" s="373"/>
      <c r="Y2306" s="348"/>
      <c r="Z2306" s="348"/>
      <c r="AA2306" s="348"/>
    </row>
    <row r="2307" s="331" customFormat="1" ht="17" customHeight="1" spans="1:27">
      <c r="A2307" s="348"/>
      <c r="B2307" s="348" t="s">
        <v>137</v>
      </c>
      <c r="C2307" s="348" t="s">
        <v>861</v>
      </c>
      <c r="D2307" s="349" t="s">
        <v>717</v>
      </c>
      <c r="E2307" s="336">
        <v>43668</v>
      </c>
      <c r="F2307" s="336" t="s">
        <v>800</v>
      </c>
      <c r="G2307" s="336">
        <v>43666</v>
      </c>
      <c r="H2307" s="351" t="s">
        <v>6196</v>
      </c>
      <c r="I2307" s="356">
        <v>13817152730</v>
      </c>
      <c r="J2307" s="361" t="s">
        <v>6197</v>
      </c>
      <c r="K2307" s="356"/>
      <c r="L2307" s="419"/>
      <c r="M2307" s="334">
        <v>8900</v>
      </c>
      <c r="N2307" s="362">
        <f t="shared" si="82"/>
        <v>8900</v>
      </c>
      <c r="O2307" s="356"/>
      <c r="P2307" s="356"/>
      <c r="Q2307" s="356"/>
      <c r="R2307" s="356"/>
      <c r="S2307" s="356"/>
      <c r="T2307" s="356"/>
      <c r="U2307" s="372"/>
      <c r="V2307" s="372"/>
      <c r="W2307" s="372"/>
      <c r="X2307" s="373"/>
      <c r="Y2307" s="348"/>
      <c r="Z2307" s="348"/>
      <c r="AA2307" s="348"/>
    </row>
    <row r="2308" s="331" customFormat="1" ht="17" customHeight="1" spans="1:27">
      <c r="A2308" s="348"/>
      <c r="B2308" s="348" t="s">
        <v>315</v>
      </c>
      <c r="C2308" s="348" t="s">
        <v>275</v>
      </c>
      <c r="D2308" s="349" t="s">
        <v>162</v>
      </c>
      <c r="E2308" s="336">
        <v>43668</v>
      </c>
      <c r="F2308" s="336" t="s">
        <v>800</v>
      </c>
      <c r="G2308" s="336">
        <v>43668</v>
      </c>
      <c r="H2308" s="334" t="s">
        <v>6198</v>
      </c>
      <c r="I2308" s="356">
        <v>13934532999</v>
      </c>
      <c r="J2308" s="361" t="s">
        <v>6199</v>
      </c>
      <c r="K2308" s="356"/>
      <c r="L2308" s="419"/>
      <c r="M2308" s="334">
        <v>-2880.57</v>
      </c>
      <c r="N2308" s="362">
        <f t="shared" si="82"/>
        <v>-2880.57</v>
      </c>
      <c r="O2308" s="356"/>
      <c r="P2308" s="356"/>
      <c r="Q2308" s="356"/>
      <c r="R2308" s="356"/>
      <c r="S2308" s="356"/>
      <c r="T2308" s="356"/>
      <c r="U2308" s="372"/>
      <c r="V2308" s="372"/>
      <c r="W2308" s="372"/>
      <c r="X2308" s="373"/>
      <c r="Y2308" s="348"/>
      <c r="Z2308" s="348"/>
      <c r="AA2308" s="348"/>
    </row>
    <row r="2309" s="331" customFormat="1" ht="17" customHeight="1" spans="1:27">
      <c r="A2309" s="348"/>
      <c r="B2309" s="348" t="s">
        <v>405</v>
      </c>
      <c r="C2309" s="334" t="s">
        <v>1234</v>
      </c>
      <c r="D2309" s="349" t="s">
        <v>407</v>
      </c>
      <c r="E2309" s="336">
        <v>43668</v>
      </c>
      <c r="F2309" s="336" t="s">
        <v>800</v>
      </c>
      <c r="G2309" s="336">
        <v>43668</v>
      </c>
      <c r="H2309" s="334" t="s">
        <v>6200</v>
      </c>
      <c r="I2309" s="356">
        <v>13761087137</v>
      </c>
      <c r="J2309" s="361" t="s">
        <v>6201</v>
      </c>
      <c r="K2309" s="356"/>
      <c r="L2309" s="419"/>
      <c r="M2309" s="334">
        <v>6532</v>
      </c>
      <c r="N2309" s="362">
        <f t="shared" si="82"/>
        <v>6532</v>
      </c>
      <c r="O2309" s="356"/>
      <c r="P2309" s="356"/>
      <c r="Q2309" s="356"/>
      <c r="R2309" s="356"/>
      <c r="S2309" s="356"/>
      <c r="T2309" s="356"/>
      <c r="U2309" s="372"/>
      <c r="V2309" s="372"/>
      <c r="W2309" s="372"/>
      <c r="X2309" s="373"/>
      <c r="Y2309" s="348"/>
      <c r="Z2309" s="348"/>
      <c r="AA2309" s="348"/>
    </row>
    <row r="2310" s="331" customFormat="1" ht="17" customHeight="1" spans="1:27">
      <c r="A2310" s="348"/>
      <c r="B2310" s="348" t="s">
        <v>354</v>
      </c>
      <c r="C2310" s="334" t="s">
        <v>36</v>
      </c>
      <c r="D2310" s="349" t="s">
        <v>187</v>
      </c>
      <c r="E2310" s="336">
        <v>43668</v>
      </c>
      <c r="F2310" s="336" t="s">
        <v>800</v>
      </c>
      <c r="G2310" s="336">
        <v>43663</v>
      </c>
      <c r="H2310" s="334" t="s">
        <v>6202</v>
      </c>
      <c r="I2310" s="433">
        <v>18721806951</v>
      </c>
      <c r="J2310" s="434" t="s">
        <v>6203</v>
      </c>
      <c r="K2310" s="356"/>
      <c r="L2310" s="419"/>
      <c r="M2310" s="334">
        <f>31759-30000</f>
        <v>1759</v>
      </c>
      <c r="N2310" s="362">
        <f t="shared" si="82"/>
        <v>1759</v>
      </c>
      <c r="O2310" s="356"/>
      <c r="P2310" s="356"/>
      <c r="Q2310" s="356"/>
      <c r="R2310" s="356"/>
      <c r="S2310" s="356"/>
      <c r="T2310" s="356"/>
      <c r="U2310" s="372"/>
      <c r="V2310" s="372"/>
      <c r="W2310" s="372"/>
      <c r="X2310" s="373"/>
      <c r="Y2310" s="348"/>
      <c r="Z2310" s="348"/>
      <c r="AA2310" s="348"/>
    </row>
    <row r="2311" s="331" customFormat="1" ht="17" customHeight="1" spans="1:27">
      <c r="A2311" s="348"/>
      <c r="B2311" s="334" t="s">
        <v>66</v>
      </c>
      <c r="C2311" s="334" t="s">
        <v>505</v>
      </c>
      <c r="D2311" s="349" t="s">
        <v>68</v>
      </c>
      <c r="E2311" s="336">
        <v>43668</v>
      </c>
      <c r="F2311" s="336" t="s">
        <v>800</v>
      </c>
      <c r="G2311" s="336">
        <v>43667</v>
      </c>
      <c r="H2311" s="334" t="s">
        <v>6204</v>
      </c>
      <c r="I2311" s="553" t="s">
        <v>6205</v>
      </c>
      <c r="J2311" s="364" t="s">
        <v>6206</v>
      </c>
      <c r="K2311" s="356"/>
      <c r="L2311" s="419"/>
      <c r="M2311" s="334">
        <v>6284</v>
      </c>
      <c r="N2311" s="362">
        <f t="shared" si="82"/>
        <v>6284</v>
      </c>
      <c r="O2311" s="356"/>
      <c r="P2311" s="356"/>
      <c r="Q2311" s="356"/>
      <c r="R2311" s="356"/>
      <c r="S2311" s="356"/>
      <c r="T2311" s="356"/>
      <c r="U2311" s="372"/>
      <c r="V2311" s="372"/>
      <c r="W2311" s="372"/>
      <c r="X2311" s="373"/>
      <c r="Y2311" s="348"/>
      <c r="Z2311" s="348"/>
      <c r="AA2311" s="348"/>
    </row>
    <row r="2312" s="331" customFormat="1" ht="17" customHeight="1" spans="1:27">
      <c r="A2312" s="348"/>
      <c r="B2312" s="348" t="s">
        <v>58</v>
      </c>
      <c r="C2312" s="348" t="s">
        <v>342</v>
      </c>
      <c r="D2312" s="349" t="s">
        <v>110</v>
      </c>
      <c r="E2312" s="336">
        <v>43669</v>
      </c>
      <c r="F2312" s="336">
        <v>43646</v>
      </c>
      <c r="G2312" s="350">
        <v>43669</v>
      </c>
      <c r="H2312" s="334" t="s">
        <v>6207</v>
      </c>
      <c r="I2312" s="356">
        <v>18863303688</v>
      </c>
      <c r="J2312" s="361" t="s">
        <v>6208</v>
      </c>
      <c r="K2312" s="356">
        <v>1367</v>
      </c>
      <c r="L2312" s="334">
        <v>4765</v>
      </c>
      <c r="M2312" s="419"/>
      <c r="N2312" s="362">
        <f t="shared" ref="N2312:N2348" si="83">L2312+M2312</f>
        <v>4765</v>
      </c>
      <c r="O2312" s="356"/>
      <c r="P2312" s="356"/>
      <c r="Q2312" s="356"/>
      <c r="R2312" s="356"/>
      <c r="S2312" s="356"/>
      <c r="T2312" s="356"/>
      <c r="U2312" s="372"/>
      <c r="V2312" s="372"/>
      <c r="W2312" s="372"/>
      <c r="X2312" s="373"/>
      <c r="Y2312" s="348"/>
      <c r="Z2312" s="348"/>
      <c r="AA2312" s="348"/>
    </row>
    <row r="2313" s="331" customFormat="1" ht="17" customHeight="1" spans="1:27">
      <c r="A2313" s="550" t="s">
        <v>6209</v>
      </c>
      <c r="B2313" s="348" t="s">
        <v>73</v>
      </c>
      <c r="C2313" s="348" t="s">
        <v>178</v>
      </c>
      <c r="D2313" s="349" t="s">
        <v>717</v>
      </c>
      <c r="E2313" s="336">
        <v>43669</v>
      </c>
      <c r="F2313" s="336">
        <v>43652</v>
      </c>
      <c r="G2313" s="350">
        <v>43667</v>
      </c>
      <c r="H2313" s="334" t="s">
        <v>6210</v>
      </c>
      <c r="I2313" s="356">
        <v>18930830889</v>
      </c>
      <c r="J2313" s="361" t="s">
        <v>6211</v>
      </c>
      <c r="K2313" s="356">
        <v>0</v>
      </c>
      <c r="L2313" s="334">
        <v>34232</v>
      </c>
      <c r="M2313" s="419"/>
      <c r="N2313" s="362">
        <f t="shared" si="83"/>
        <v>34232</v>
      </c>
      <c r="O2313" s="356"/>
      <c r="P2313" s="356"/>
      <c r="Q2313" s="356"/>
      <c r="R2313" s="356"/>
      <c r="S2313" s="356"/>
      <c r="T2313" s="356"/>
      <c r="U2313" s="372"/>
      <c r="V2313" s="372"/>
      <c r="W2313" s="372"/>
      <c r="X2313" s="373"/>
      <c r="Y2313" s="348"/>
      <c r="Z2313" s="348"/>
      <c r="AA2313" s="348"/>
    </row>
    <row r="2314" s="331" customFormat="1" ht="17" customHeight="1" spans="1:27">
      <c r="A2314" s="550" t="s">
        <v>1828</v>
      </c>
      <c r="B2314" s="348" t="s">
        <v>726</v>
      </c>
      <c r="C2314" s="348" t="s">
        <v>727</v>
      </c>
      <c r="D2314" s="349" t="s">
        <v>271</v>
      </c>
      <c r="E2314" s="336">
        <v>43669</v>
      </c>
      <c r="F2314" s="336">
        <v>43660</v>
      </c>
      <c r="G2314" s="336">
        <v>43677</v>
      </c>
      <c r="H2314" s="334" t="s">
        <v>6212</v>
      </c>
      <c r="I2314" s="356">
        <v>13901799569</v>
      </c>
      <c r="J2314" s="361" t="s">
        <v>6213</v>
      </c>
      <c r="K2314" s="356">
        <v>8878</v>
      </c>
      <c r="L2314" s="334">
        <v>8878</v>
      </c>
      <c r="M2314" s="419"/>
      <c r="N2314" s="362">
        <f t="shared" si="83"/>
        <v>8878</v>
      </c>
      <c r="O2314" s="356"/>
      <c r="P2314" s="356"/>
      <c r="Q2314" s="356"/>
      <c r="R2314" s="356"/>
      <c r="S2314" s="356"/>
      <c r="T2314" s="356"/>
      <c r="U2314" s="372"/>
      <c r="V2314" s="372"/>
      <c r="W2314" s="372" t="s">
        <v>4770</v>
      </c>
      <c r="X2314" s="373"/>
      <c r="Y2314" s="348"/>
      <c r="Z2314" s="348"/>
      <c r="AA2314" s="348"/>
    </row>
    <row r="2315" s="331" customFormat="1" ht="17" customHeight="1" spans="1:27">
      <c r="A2315" s="348">
        <v>2066943</v>
      </c>
      <c r="B2315" s="348" t="s">
        <v>335</v>
      </c>
      <c r="C2315" s="348" t="s">
        <v>399</v>
      </c>
      <c r="D2315" s="349" t="s">
        <v>337</v>
      </c>
      <c r="E2315" s="336">
        <v>43669</v>
      </c>
      <c r="F2315" s="336">
        <v>43661</v>
      </c>
      <c r="G2315" s="350">
        <v>43663</v>
      </c>
      <c r="H2315" s="269" t="s">
        <v>6214</v>
      </c>
      <c r="I2315" s="356">
        <v>15050755696</v>
      </c>
      <c r="J2315" s="361" t="s">
        <v>6215</v>
      </c>
      <c r="K2315" s="356">
        <v>10995</v>
      </c>
      <c r="L2315" s="334">
        <v>11603</v>
      </c>
      <c r="M2315" s="419"/>
      <c r="N2315" s="362">
        <f t="shared" si="83"/>
        <v>11603</v>
      </c>
      <c r="O2315" s="356"/>
      <c r="P2315" s="356"/>
      <c r="Q2315" s="356"/>
      <c r="R2315" s="356"/>
      <c r="S2315" s="356"/>
      <c r="T2315" s="356"/>
      <c r="U2315" s="372"/>
      <c r="V2315" s="372"/>
      <c r="W2315" s="372"/>
      <c r="X2315" s="373"/>
      <c r="Y2315" s="348"/>
      <c r="Z2315" s="348"/>
      <c r="AA2315" s="348"/>
    </row>
    <row r="2316" s="331" customFormat="1" ht="15" customHeight="1" spans="1:27">
      <c r="A2316" s="550" t="s">
        <v>6216</v>
      </c>
      <c r="B2316" s="348" t="s">
        <v>58</v>
      </c>
      <c r="C2316" s="348" t="s">
        <v>347</v>
      </c>
      <c r="D2316" s="352" t="s">
        <v>343</v>
      </c>
      <c r="E2316" s="336">
        <v>43723</v>
      </c>
      <c r="F2316" s="336">
        <v>43667</v>
      </c>
      <c r="G2316" s="336">
        <v>43722</v>
      </c>
      <c r="H2316" s="334" t="s">
        <v>6217</v>
      </c>
      <c r="I2316" s="356">
        <v>13818719811</v>
      </c>
      <c r="J2316" s="361" t="s">
        <v>6218</v>
      </c>
      <c r="K2316" s="356">
        <v>1998</v>
      </c>
      <c r="L2316" s="334">
        <v>9930</v>
      </c>
      <c r="M2316" s="419"/>
      <c r="N2316" s="362">
        <f t="shared" si="83"/>
        <v>9930</v>
      </c>
      <c r="O2316" s="356"/>
      <c r="P2316" s="366" t="s">
        <v>52</v>
      </c>
      <c r="Q2316" s="356"/>
      <c r="R2316" s="356"/>
      <c r="S2316" s="356"/>
      <c r="T2316" s="356"/>
      <c r="U2316" s="372"/>
      <c r="V2316" s="372"/>
      <c r="W2316" s="372"/>
      <c r="X2316" s="373"/>
      <c r="Y2316" s="348"/>
      <c r="Z2316" s="348"/>
      <c r="AA2316" s="348"/>
    </row>
    <row r="2317" s="331" customFormat="1" ht="17" customHeight="1" spans="1:27">
      <c r="A2317" s="348">
        <v>2068588</v>
      </c>
      <c r="B2317" s="348" t="s">
        <v>87</v>
      </c>
      <c r="C2317" s="348" t="s">
        <v>466</v>
      </c>
      <c r="D2317" s="352" t="s">
        <v>89</v>
      </c>
      <c r="E2317" s="336">
        <v>43669</v>
      </c>
      <c r="F2317" s="336">
        <v>43668</v>
      </c>
      <c r="G2317" s="350"/>
      <c r="H2317" s="334" t="s">
        <v>6219</v>
      </c>
      <c r="I2317" s="356">
        <v>18049647270</v>
      </c>
      <c r="J2317" s="361" t="s">
        <v>6220</v>
      </c>
      <c r="K2317" s="356">
        <v>1000</v>
      </c>
      <c r="L2317" s="419"/>
      <c r="M2317" s="419"/>
      <c r="N2317" s="362">
        <f t="shared" si="83"/>
        <v>0</v>
      </c>
      <c r="O2317" s="411" t="s">
        <v>52</v>
      </c>
      <c r="P2317" s="411"/>
      <c r="Q2317" s="356"/>
      <c r="R2317" s="356"/>
      <c r="S2317" s="356"/>
      <c r="T2317" s="356"/>
      <c r="U2317" s="415" t="s">
        <v>40</v>
      </c>
      <c r="V2317" s="372"/>
      <c r="W2317" s="372"/>
      <c r="X2317" s="373"/>
      <c r="Y2317" s="348"/>
      <c r="Z2317" s="348"/>
      <c r="AA2317" s="348"/>
    </row>
    <row r="2318" s="331" customFormat="1" ht="17" customHeight="1" spans="1:27">
      <c r="A2318" s="550" t="s">
        <v>6221</v>
      </c>
      <c r="B2318" s="348" t="s">
        <v>315</v>
      </c>
      <c r="C2318" s="348" t="s">
        <v>181</v>
      </c>
      <c r="D2318" s="334" t="s">
        <v>237</v>
      </c>
      <c r="E2318" s="336">
        <v>43746</v>
      </c>
      <c r="F2318" s="336">
        <v>43667</v>
      </c>
      <c r="G2318" s="336">
        <v>43746</v>
      </c>
      <c r="H2318" s="334" t="s">
        <v>6222</v>
      </c>
      <c r="I2318" s="356">
        <v>13788990235</v>
      </c>
      <c r="J2318" s="361" t="s">
        <v>6223</v>
      </c>
      <c r="K2318" s="356">
        <v>1000</v>
      </c>
      <c r="L2318" s="334">
        <v>11724</v>
      </c>
      <c r="M2318" s="334">
        <v>2226</v>
      </c>
      <c r="N2318" s="362">
        <f t="shared" si="83"/>
        <v>13950</v>
      </c>
      <c r="O2318" s="356"/>
      <c r="P2318" s="356"/>
      <c r="Q2318" s="356">
        <v>1</v>
      </c>
      <c r="R2318" s="356"/>
      <c r="S2318" s="356"/>
      <c r="T2318" s="356"/>
      <c r="U2318" s="372"/>
      <c r="V2318" s="372"/>
      <c r="W2318" s="372"/>
      <c r="X2318" s="373"/>
      <c r="Y2318" s="348"/>
      <c r="Z2318" s="348"/>
      <c r="AA2318" s="348"/>
    </row>
    <row r="2319" s="331" customFormat="1" ht="17" customHeight="1" spans="1:27">
      <c r="A2319" s="348"/>
      <c r="B2319" s="348" t="s">
        <v>335</v>
      </c>
      <c r="C2319" s="348" t="s">
        <v>399</v>
      </c>
      <c r="D2319" s="349" t="s">
        <v>139</v>
      </c>
      <c r="E2319" s="336">
        <v>43669</v>
      </c>
      <c r="F2319" s="336">
        <v>43667</v>
      </c>
      <c r="G2319" s="336">
        <v>43667</v>
      </c>
      <c r="H2319" s="334" t="s">
        <v>6224</v>
      </c>
      <c r="I2319" s="356">
        <v>17317388737</v>
      </c>
      <c r="J2319" s="361" t="s">
        <v>6225</v>
      </c>
      <c r="K2319" s="356">
        <v>8900</v>
      </c>
      <c r="L2319" s="334">
        <v>8392</v>
      </c>
      <c r="M2319" s="334">
        <v>1072</v>
      </c>
      <c r="N2319" s="362">
        <f t="shared" si="83"/>
        <v>9464</v>
      </c>
      <c r="O2319" s="356"/>
      <c r="P2319" s="356"/>
      <c r="Q2319" s="356"/>
      <c r="R2319" s="356"/>
      <c r="S2319" s="356"/>
      <c r="T2319" s="356"/>
      <c r="U2319" s="372"/>
      <c r="V2319" s="372"/>
      <c r="W2319" s="372"/>
      <c r="X2319" s="373"/>
      <c r="Y2319" s="348"/>
      <c r="Z2319" s="348"/>
      <c r="AA2319" s="348"/>
    </row>
    <row r="2320" s="331" customFormat="1" ht="17" customHeight="1" spans="1:27">
      <c r="A2320" s="348"/>
      <c r="B2320" s="348" t="s">
        <v>66</v>
      </c>
      <c r="C2320" s="348" t="s">
        <v>119</v>
      </c>
      <c r="D2320" s="334" t="s">
        <v>2302</v>
      </c>
      <c r="E2320" s="336">
        <v>43768</v>
      </c>
      <c r="F2320" s="336">
        <v>43669</v>
      </c>
      <c r="G2320" s="336">
        <v>43767</v>
      </c>
      <c r="H2320" s="334" t="s">
        <v>6226</v>
      </c>
      <c r="I2320" s="356">
        <v>13818093886</v>
      </c>
      <c r="J2320" s="361" t="s">
        <v>6227</v>
      </c>
      <c r="K2320" s="356">
        <v>1000</v>
      </c>
      <c r="L2320" s="334">
        <f>10824-196.48</f>
        <v>10627.52</v>
      </c>
      <c r="M2320" s="419"/>
      <c r="N2320" s="362">
        <f t="shared" si="83"/>
        <v>10627.52</v>
      </c>
      <c r="O2320" s="356"/>
      <c r="P2320" s="356" t="s">
        <v>1526</v>
      </c>
      <c r="Q2320" s="356"/>
      <c r="R2320" s="356"/>
      <c r="S2320" s="356"/>
      <c r="T2320" s="356"/>
      <c r="U2320" s="372"/>
      <c r="V2320" s="372"/>
      <c r="W2320" s="372"/>
      <c r="X2320" s="373"/>
      <c r="Y2320" s="348"/>
      <c r="Z2320" s="348"/>
      <c r="AA2320" s="348"/>
    </row>
    <row r="2321" s="331" customFormat="1" ht="17" customHeight="1" spans="1:27">
      <c r="A2321" s="348"/>
      <c r="B2321" s="348" t="s">
        <v>137</v>
      </c>
      <c r="C2321" s="348" t="s">
        <v>2705</v>
      </c>
      <c r="D2321" s="349" t="s">
        <v>171</v>
      </c>
      <c r="E2321" s="336">
        <v>43669</v>
      </c>
      <c r="F2321" s="336">
        <v>43667</v>
      </c>
      <c r="G2321" s="336">
        <v>43673</v>
      </c>
      <c r="H2321" s="334" t="s">
        <v>6228</v>
      </c>
      <c r="I2321" s="356">
        <v>13636349699</v>
      </c>
      <c r="J2321" s="361" t="s">
        <v>6229</v>
      </c>
      <c r="K2321" s="356">
        <v>25000</v>
      </c>
      <c r="L2321" s="334">
        <v>24514</v>
      </c>
      <c r="M2321" s="419"/>
      <c r="N2321" s="362">
        <f t="shared" si="83"/>
        <v>24514</v>
      </c>
      <c r="O2321" s="356"/>
      <c r="P2321" s="356"/>
      <c r="Q2321" s="356"/>
      <c r="R2321" s="356"/>
      <c r="S2321" s="356"/>
      <c r="T2321" s="356"/>
      <c r="U2321" s="372"/>
      <c r="V2321" s="372"/>
      <c r="W2321" s="372"/>
      <c r="X2321" s="373"/>
      <c r="Y2321" s="348"/>
      <c r="Z2321" s="348"/>
      <c r="AA2321" s="348"/>
    </row>
    <row r="2322" s="331" customFormat="1" ht="17" customHeight="1" spans="1:27">
      <c r="A2322" s="348"/>
      <c r="B2322" s="348" t="s">
        <v>137</v>
      </c>
      <c r="C2322" s="348" t="s">
        <v>2705</v>
      </c>
      <c r="D2322" s="352" t="s">
        <v>60</v>
      </c>
      <c r="E2322" s="336">
        <v>43669</v>
      </c>
      <c r="F2322" s="336">
        <v>43666</v>
      </c>
      <c r="G2322" s="336">
        <v>43670</v>
      </c>
      <c r="H2322" s="334" t="s">
        <v>6230</v>
      </c>
      <c r="I2322" s="356">
        <v>18616256662</v>
      </c>
      <c r="J2322" s="361" t="s">
        <v>6231</v>
      </c>
      <c r="K2322" s="356">
        <v>13445</v>
      </c>
      <c r="L2322" s="334">
        <v>8767</v>
      </c>
      <c r="M2322" s="419"/>
      <c r="N2322" s="362">
        <f t="shared" si="83"/>
        <v>8767</v>
      </c>
      <c r="O2322" s="356"/>
      <c r="P2322" s="356"/>
      <c r="Q2322" s="356"/>
      <c r="R2322" s="356"/>
      <c r="S2322" s="356"/>
      <c r="T2322" s="356"/>
      <c r="U2322" s="372"/>
      <c r="V2322" s="372"/>
      <c r="W2322" s="372"/>
      <c r="X2322" s="373"/>
      <c r="Y2322" s="348"/>
      <c r="Z2322" s="348"/>
      <c r="AA2322" s="348"/>
    </row>
    <row r="2323" s="331" customFormat="1" ht="17" customHeight="1" spans="1:27">
      <c r="A2323" s="348">
        <v>2067379</v>
      </c>
      <c r="B2323" s="348" t="s">
        <v>405</v>
      </c>
      <c r="C2323" s="348" t="s">
        <v>1234</v>
      </c>
      <c r="D2323" s="352" t="s">
        <v>407</v>
      </c>
      <c r="E2323" s="336">
        <v>43703</v>
      </c>
      <c r="F2323" s="336">
        <v>43668</v>
      </c>
      <c r="G2323" s="336">
        <v>43698</v>
      </c>
      <c r="H2323" s="334" t="s">
        <v>6232</v>
      </c>
      <c r="I2323" s="356">
        <v>18516688093</v>
      </c>
      <c r="J2323" s="361" t="s">
        <v>6233</v>
      </c>
      <c r="K2323" s="356">
        <v>2000</v>
      </c>
      <c r="L2323" s="334">
        <v>7118</v>
      </c>
      <c r="M2323" s="419"/>
      <c r="N2323" s="362">
        <f t="shared" si="83"/>
        <v>7118</v>
      </c>
      <c r="O2323" s="356"/>
      <c r="P2323" s="356"/>
      <c r="Q2323" s="356"/>
      <c r="R2323" s="356" t="s">
        <v>52</v>
      </c>
      <c r="S2323" s="356"/>
      <c r="T2323" s="356"/>
      <c r="U2323" s="372"/>
      <c r="V2323" s="372"/>
      <c r="W2323" s="372"/>
      <c r="X2323" s="373"/>
      <c r="Y2323" s="348"/>
      <c r="Z2323" s="348"/>
      <c r="AA2323" s="348"/>
    </row>
    <row r="2324" s="331" customFormat="1" ht="17" customHeight="1" spans="1:27">
      <c r="A2324" s="550" t="s">
        <v>6234</v>
      </c>
      <c r="B2324" s="348" t="s">
        <v>205</v>
      </c>
      <c r="C2324" s="348" t="s">
        <v>1467</v>
      </c>
      <c r="D2324" s="352" t="s">
        <v>407</v>
      </c>
      <c r="E2324" s="336">
        <v>43669</v>
      </c>
      <c r="F2324" s="336">
        <v>43669</v>
      </c>
      <c r="G2324" s="336">
        <v>43671</v>
      </c>
      <c r="H2324" s="334" t="s">
        <v>6235</v>
      </c>
      <c r="I2324" s="356">
        <v>15317565589</v>
      </c>
      <c r="J2324" s="361" t="s">
        <v>6236</v>
      </c>
      <c r="K2324" s="356">
        <v>5494</v>
      </c>
      <c r="L2324" s="334">
        <v>4690</v>
      </c>
      <c r="M2324" s="334">
        <f>268+536</f>
        <v>804</v>
      </c>
      <c r="N2324" s="362">
        <f t="shared" si="83"/>
        <v>5494</v>
      </c>
      <c r="O2324" s="356"/>
      <c r="P2324" s="356"/>
      <c r="Q2324" s="356"/>
      <c r="R2324" s="356"/>
      <c r="S2324" s="356"/>
      <c r="T2324" s="356"/>
      <c r="U2324" s="372"/>
      <c r="V2324" s="372"/>
      <c r="W2324" s="372"/>
      <c r="X2324" s="373"/>
      <c r="Y2324" s="348"/>
      <c r="Z2324" s="348"/>
      <c r="AA2324" s="348"/>
    </row>
    <row r="2325" s="331" customFormat="1" ht="17" customHeight="1" spans="1:27">
      <c r="A2325" s="550" t="s">
        <v>6237</v>
      </c>
      <c r="B2325" s="348" t="s">
        <v>35</v>
      </c>
      <c r="C2325" s="348" t="s">
        <v>36</v>
      </c>
      <c r="D2325" s="349" t="s">
        <v>187</v>
      </c>
      <c r="E2325" s="336">
        <v>43669</v>
      </c>
      <c r="F2325" s="336">
        <v>43668</v>
      </c>
      <c r="G2325" s="336">
        <v>43670</v>
      </c>
      <c r="H2325" s="334" t="s">
        <v>6238</v>
      </c>
      <c r="I2325" s="356">
        <v>15821086909</v>
      </c>
      <c r="J2325" s="361" t="s">
        <v>6239</v>
      </c>
      <c r="K2325" s="356">
        <v>1000</v>
      </c>
      <c r="L2325" s="334">
        <v>14335</v>
      </c>
      <c r="M2325" s="419"/>
      <c r="N2325" s="362">
        <f t="shared" si="83"/>
        <v>14335</v>
      </c>
      <c r="O2325" s="356"/>
      <c r="P2325" s="356"/>
      <c r="Q2325" s="356"/>
      <c r="R2325" s="356"/>
      <c r="S2325" s="356"/>
      <c r="T2325" s="356"/>
      <c r="U2325" s="372"/>
      <c r="V2325" s="372"/>
      <c r="W2325" s="372"/>
      <c r="X2325" s="373"/>
      <c r="Y2325" s="348"/>
      <c r="Z2325" s="348"/>
      <c r="AA2325" s="348"/>
    </row>
    <row r="2326" s="331" customFormat="1" ht="15" customHeight="1" spans="1:27">
      <c r="A2326" s="550" t="s">
        <v>6240</v>
      </c>
      <c r="B2326" s="348" t="s">
        <v>58</v>
      </c>
      <c r="C2326" s="348" t="s">
        <v>347</v>
      </c>
      <c r="D2326" s="352" t="s">
        <v>343</v>
      </c>
      <c r="E2326" s="336">
        <v>43669</v>
      </c>
      <c r="F2326" s="336">
        <v>43669</v>
      </c>
      <c r="G2326" s="350"/>
      <c r="H2326" s="334" t="s">
        <v>6241</v>
      </c>
      <c r="I2326" s="356">
        <v>18616028660</v>
      </c>
      <c r="J2326" s="361" t="s">
        <v>6242</v>
      </c>
      <c r="K2326" s="356">
        <v>5000</v>
      </c>
      <c r="L2326" s="419"/>
      <c r="M2326" s="419"/>
      <c r="N2326" s="362">
        <f t="shared" si="83"/>
        <v>0</v>
      </c>
      <c r="O2326" s="356"/>
      <c r="P2326" s="366" t="s">
        <v>52</v>
      </c>
      <c r="Q2326" s="356"/>
      <c r="R2326" s="356"/>
      <c r="S2326" s="356"/>
      <c r="T2326" s="356"/>
      <c r="U2326" s="372">
        <v>9.3</v>
      </c>
      <c r="V2326" s="372"/>
      <c r="W2326" s="372"/>
      <c r="X2326" s="373"/>
      <c r="Y2326" s="348"/>
      <c r="Z2326" s="348"/>
      <c r="AA2326" s="348"/>
    </row>
    <row r="2327" s="331" customFormat="1" ht="17" customHeight="1" spans="1:27">
      <c r="A2327" s="348"/>
      <c r="B2327" s="348" t="s">
        <v>137</v>
      </c>
      <c r="C2327" s="348" t="s">
        <v>411</v>
      </c>
      <c r="D2327" s="334" t="s">
        <v>139</v>
      </c>
      <c r="E2327" s="336">
        <v>43769</v>
      </c>
      <c r="F2327" s="336">
        <v>43669</v>
      </c>
      <c r="G2327" s="336">
        <v>43769</v>
      </c>
      <c r="H2327" s="334" t="s">
        <v>6243</v>
      </c>
      <c r="I2327" s="356">
        <v>13661789987</v>
      </c>
      <c r="J2327" s="361" t="s">
        <v>6244</v>
      </c>
      <c r="K2327" s="356">
        <v>1000</v>
      </c>
      <c r="L2327" s="334">
        <v>10590</v>
      </c>
      <c r="M2327" s="419"/>
      <c r="N2327" s="362">
        <f t="shared" si="83"/>
        <v>10590</v>
      </c>
      <c r="O2327" s="356"/>
      <c r="P2327" s="356"/>
      <c r="Q2327" s="356"/>
      <c r="R2327" s="356">
        <v>1</v>
      </c>
      <c r="S2327" s="356"/>
      <c r="T2327" s="356"/>
      <c r="U2327" s="372"/>
      <c r="V2327" s="372"/>
      <c r="W2327" s="372"/>
      <c r="X2327" s="373"/>
      <c r="Y2327" s="348"/>
      <c r="Z2327" s="348"/>
      <c r="AA2327" s="348"/>
    </row>
    <row r="2328" s="331" customFormat="1" ht="17" customHeight="1" spans="1:27">
      <c r="A2328" s="348"/>
      <c r="B2328" s="348" t="s">
        <v>66</v>
      </c>
      <c r="C2328" s="334" t="s">
        <v>951</v>
      </c>
      <c r="D2328" s="349" t="s">
        <v>68</v>
      </c>
      <c r="E2328" s="336">
        <v>43669</v>
      </c>
      <c r="F2328" s="336"/>
      <c r="G2328" s="336">
        <v>43662</v>
      </c>
      <c r="H2328" s="334" t="s">
        <v>6245</v>
      </c>
      <c r="I2328" s="356">
        <v>13681620855</v>
      </c>
      <c r="J2328" s="361" t="s">
        <v>6246</v>
      </c>
      <c r="K2328" s="356"/>
      <c r="L2328" s="334">
        <v>11683</v>
      </c>
      <c r="M2328" s="419"/>
      <c r="N2328" s="362">
        <f t="shared" si="83"/>
        <v>11683</v>
      </c>
      <c r="O2328" s="356"/>
      <c r="P2328" s="356"/>
      <c r="Q2328" s="356"/>
      <c r="R2328" s="356"/>
      <c r="S2328" s="356"/>
      <c r="T2328" s="356"/>
      <c r="U2328" s="372"/>
      <c r="V2328" s="372"/>
      <c r="W2328" s="372"/>
      <c r="X2328" s="373"/>
      <c r="Y2328" s="348"/>
      <c r="Z2328" s="348"/>
      <c r="AA2328" s="348"/>
    </row>
    <row r="2329" s="331" customFormat="1" ht="17" customHeight="1" spans="1:27">
      <c r="A2329" s="348"/>
      <c r="B2329" s="348" t="s">
        <v>94</v>
      </c>
      <c r="C2329" s="334" t="s">
        <v>101</v>
      </c>
      <c r="D2329" s="349" t="s">
        <v>125</v>
      </c>
      <c r="E2329" s="336">
        <v>43669</v>
      </c>
      <c r="F2329" s="336"/>
      <c r="G2329" s="336">
        <v>43669</v>
      </c>
      <c r="H2329" s="334" t="s">
        <v>6247</v>
      </c>
      <c r="I2329" s="356">
        <v>13301870707</v>
      </c>
      <c r="J2329" s="361" t="s">
        <v>6248</v>
      </c>
      <c r="K2329" s="356"/>
      <c r="L2329" s="334">
        <v>58200</v>
      </c>
      <c r="M2329" s="334">
        <v>500</v>
      </c>
      <c r="N2329" s="362">
        <f t="shared" si="83"/>
        <v>58700</v>
      </c>
      <c r="O2329" s="356"/>
      <c r="P2329" s="356"/>
      <c r="Q2329" s="356"/>
      <c r="R2329" s="356"/>
      <c r="S2329" s="356"/>
      <c r="T2329" s="356"/>
      <c r="U2329" s="372"/>
      <c r="V2329" s="372"/>
      <c r="W2329" s="372"/>
      <c r="X2329" s="373"/>
      <c r="Y2329" s="348"/>
      <c r="Z2329" s="348"/>
      <c r="AA2329" s="348"/>
    </row>
    <row r="2330" s="331" customFormat="1" ht="17" customHeight="1" spans="1:27">
      <c r="A2330" s="348"/>
      <c r="B2330" s="348" t="s">
        <v>315</v>
      </c>
      <c r="C2330" s="334" t="s">
        <v>258</v>
      </c>
      <c r="D2330" s="349" t="s">
        <v>182</v>
      </c>
      <c r="E2330" s="336">
        <v>43669</v>
      </c>
      <c r="F2330" s="336" t="s">
        <v>800</v>
      </c>
      <c r="G2330" s="336">
        <v>43667</v>
      </c>
      <c r="H2330" s="334" t="s">
        <v>6249</v>
      </c>
      <c r="I2330" s="356">
        <v>13501985268</v>
      </c>
      <c r="J2330" s="361" t="s">
        <v>6250</v>
      </c>
      <c r="K2330" s="356"/>
      <c r="L2330" s="419"/>
      <c r="M2330" s="419">
        <f>63981</f>
        <v>63981</v>
      </c>
      <c r="N2330" s="362">
        <f t="shared" si="83"/>
        <v>63981</v>
      </c>
      <c r="O2330" s="356"/>
      <c r="P2330" s="356"/>
      <c r="Q2330" s="356"/>
      <c r="R2330" s="356"/>
      <c r="S2330" s="356"/>
      <c r="T2330" s="356"/>
      <c r="U2330" s="372"/>
      <c r="V2330" s="372"/>
      <c r="W2330" s="372"/>
      <c r="X2330" s="373"/>
      <c r="Y2330" s="348"/>
      <c r="Z2330" s="348"/>
      <c r="AA2330" s="348"/>
    </row>
    <row r="2331" s="331" customFormat="1" ht="17" customHeight="1" spans="1:27">
      <c r="A2331" s="348"/>
      <c r="B2331" s="348" t="s">
        <v>236</v>
      </c>
      <c r="C2331" s="334" t="s">
        <v>703</v>
      </c>
      <c r="D2331" s="349" t="s">
        <v>37</v>
      </c>
      <c r="E2331" s="336">
        <v>43669</v>
      </c>
      <c r="F2331" s="336" t="s">
        <v>800</v>
      </c>
      <c r="G2331" s="336">
        <v>43647</v>
      </c>
      <c r="H2331" s="269" t="s">
        <v>6251</v>
      </c>
      <c r="I2331" s="356">
        <v>18961326635</v>
      </c>
      <c r="J2331" s="361" t="s">
        <v>6252</v>
      </c>
      <c r="K2331" s="356"/>
      <c r="L2331" s="419"/>
      <c r="M2331" s="334">
        <v>4340</v>
      </c>
      <c r="N2331" s="362">
        <f t="shared" si="83"/>
        <v>4340</v>
      </c>
      <c r="O2331" s="356"/>
      <c r="P2331" s="356"/>
      <c r="Q2331" s="356"/>
      <c r="R2331" s="356"/>
      <c r="S2331" s="356"/>
      <c r="T2331" s="356"/>
      <c r="U2331" s="372"/>
      <c r="V2331" s="372"/>
      <c r="W2331" s="372"/>
      <c r="X2331" s="373"/>
      <c r="Y2331" s="348"/>
      <c r="Z2331" s="348"/>
      <c r="AA2331" s="348"/>
    </row>
    <row r="2332" s="331" customFormat="1" ht="17" customHeight="1" spans="1:27">
      <c r="A2332" s="348"/>
      <c r="B2332" s="348" t="s">
        <v>315</v>
      </c>
      <c r="C2332" s="334" t="s">
        <v>722</v>
      </c>
      <c r="D2332" s="349" t="s">
        <v>149</v>
      </c>
      <c r="E2332" s="336">
        <v>43669</v>
      </c>
      <c r="F2332" s="336" t="s">
        <v>800</v>
      </c>
      <c r="G2332" s="336">
        <v>43668</v>
      </c>
      <c r="H2332" s="334" t="s">
        <v>6253</v>
      </c>
      <c r="I2332" s="356">
        <v>13003223389</v>
      </c>
      <c r="J2332" s="361" t="s">
        <v>6254</v>
      </c>
      <c r="K2332" s="356"/>
      <c r="L2332" s="419"/>
      <c r="M2332" s="334">
        <v>359</v>
      </c>
      <c r="N2332" s="362">
        <f t="shared" si="83"/>
        <v>359</v>
      </c>
      <c r="O2332" s="356"/>
      <c r="P2332" s="356"/>
      <c r="Q2332" s="356"/>
      <c r="R2332" s="356"/>
      <c r="S2332" s="356"/>
      <c r="T2332" s="356"/>
      <c r="U2332" s="372"/>
      <c r="V2332" s="372"/>
      <c r="W2332" s="372"/>
      <c r="X2332" s="373"/>
      <c r="Y2332" s="348"/>
      <c r="Z2332" s="348"/>
      <c r="AA2332" s="348"/>
    </row>
    <row r="2333" s="331" customFormat="1" ht="17" customHeight="1" spans="1:27">
      <c r="A2333" s="348"/>
      <c r="B2333" s="348" t="s">
        <v>315</v>
      </c>
      <c r="C2333" s="334" t="s">
        <v>181</v>
      </c>
      <c r="D2333" s="349" t="s">
        <v>5695</v>
      </c>
      <c r="E2333" s="336">
        <v>43669</v>
      </c>
      <c r="F2333" s="336" t="s">
        <v>800</v>
      </c>
      <c r="G2333" s="336">
        <v>43668</v>
      </c>
      <c r="H2333" s="334" t="s">
        <v>6255</v>
      </c>
      <c r="I2333" s="356">
        <v>18616203532</v>
      </c>
      <c r="J2333" s="361" t="s">
        <v>6256</v>
      </c>
      <c r="K2333" s="356"/>
      <c r="L2333" s="419"/>
      <c r="M2333" s="334">
        <v>3460</v>
      </c>
      <c r="N2333" s="362">
        <f t="shared" si="83"/>
        <v>3460</v>
      </c>
      <c r="O2333" s="356"/>
      <c r="P2333" s="356"/>
      <c r="Q2333" s="356"/>
      <c r="R2333" s="356"/>
      <c r="S2333" s="356"/>
      <c r="T2333" s="356"/>
      <c r="U2333" s="372"/>
      <c r="V2333" s="372"/>
      <c r="W2333" s="372"/>
      <c r="X2333" s="373"/>
      <c r="Y2333" s="348"/>
      <c r="Z2333" s="348"/>
      <c r="AA2333" s="348"/>
    </row>
    <row r="2334" s="331" customFormat="1" ht="17" customHeight="1" spans="1:27">
      <c r="A2334" s="348"/>
      <c r="B2334" s="348" t="s">
        <v>137</v>
      </c>
      <c r="C2334" s="348" t="s">
        <v>138</v>
      </c>
      <c r="D2334" s="349" t="s">
        <v>717</v>
      </c>
      <c r="E2334" s="336">
        <v>43669</v>
      </c>
      <c r="F2334" s="336" t="s">
        <v>800</v>
      </c>
      <c r="G2334" s="336">
        <v>43668</v>
      </c>
      <c r="H2334" s="334" t="s">
        <v>6257</v>
      </c>
      <c r="I2334" s="356">
        <v>15921365741</v>
      </c>
      <c r="J2334" s="361" t="s">
        <v>6258</v>
      </c>
      <c r="K2334" s="356"/>
      <c r="L2334" s="419"/>
      <c r="M2334" s="334">
        <v>2082</v>
      </c>
      <c r="N2334" s="362">
        <f t="shared" si="83"/>
        <v>2082</v>
      </c>
      <c r="O2334" s="356"/>
      <c r="P2334" s="356"/>
      <c r="Q2334" s="356"/>
      <c r="R2334" s="356"/>
      <c r="S2334" s="356"/>
      <c r="T2334" s="356"/>
      <c r="U2334" s="372"/>
      <c r="V2334" s="372"/>
      <c r="W2334" s="372"/>
      <c r="X2334" s="373"/>
      <c r="Y2334" s="348"/>
      <c r="Z2334" s="348"/>
      <c r="AA2334" s="348"/>
    </row>
    <row r="2335" s="331" customFormat="1" ht="17" customHeight="1" spans="1:27">
      <c r="A2335" s="348"/>
      <c r="B2335" s="348" t="s">
        <v>58</v>
      </c>
      <c r="C2335" s="334" t="s">
        <v>347</v>
      </c>
      <c r="D2335" s="349" t="s">
        <v>343</v>
      </c>
      <c r="E2335" s="336">
        <v>43669</v>
      </c>
      <c r="F2335" s="336" t="s">
        <v>800</v>
      </c>
      <c r="G2335" s="336">
        <v>43664</v>
      </c>
      <c r="H2335" s="334" t="s">
        <v>6259</v>
      </c>
      <c r="I2335" s="356">
        <v>13916161809</v>
      </c>
      <c r="J2335" s="361" t="s">
        <v>6260</v>
      </c>
      <c r="K2335" s="356"/>
      <c r="L2335" s="419"/>
      <c r="M2335" s="334">
        <v>2138</v>
      </c>
      <c r="N2335" s="362">
        <f t="shared" si="83"/>
        <v>2138</v>
      </c>
      <c r="O2335" s="356"/>
      <c r="P2335" s="356"/>
      <c r="Q2335" s="356"/>
      <c r="R2335" s="356"/>
      <c r="S2335" s="356"/>
      <c r="T2335" s="356"/>
      <c r="U2335" s="372"/>
      <c r="V2335" s="372"/>
      <c r="W2335" s="372"/>
      <c r="X2335" s="373"/>
      <c r="Y2335" s="348"/>
      <c r="Z2335" s="348"/>
      <c r="AA2335" s="348"/>
    </row>
    <row r="2336" s="331" customFormat="1" ht="17" customHeight="1" spans="1:27">
      <c r="A2336" s="348"/>
      <c r="B2336" s="348" t="s">
        <v>73</v>
      </c>
      <c r="C2336" s="334" t="s">
        <v>178</v>
      </c>
      <c r="D2336" s="349" t="s">
        <v>143</v>
      </c>
      <c r="E2336" s="336">
        <v>43669</v>
      </c>
      <c r="F2336" s="336" t="s">
        <v>800</v>
      </c>
      <c r="G2336" s="336">
        <v>43669</v>
      </c>
      <c r="H2336" s="334" t="s">
        <v>6261</v>
      </c>
      <c r="I2336" s="356">
        <v>13801728684</v>
      </c>
      <c r="J2336" s="361" t="s">
        <v>6262</v>
      </c>
      <c r="K2336" s="356"/>
      <c r="L2336" s="419"/>
      <c r="M2336" s="334">
        <v>606</v>
      </c>
      <c r="N2336" s="362">
        <f t="shared" si="83"/>
        <v>606</v>
      </c>
      <c r="O2336" s="356"/>
      <c r="P2336" s="356"/>
      <c r="Q2336" s="356"/>
      <c r="R2336" s="356"/>
      <c r="S2336" s="356"/>
      <c r="T2336" s="356"/>
      <c r="U2336" s="372"/>
      <c r="V2336" s="372"/>
      <c r="W2336" s="372"/>
      <c r="X2336" s="373"/>
      <c r="Y2336" s="348"/>
      <c r="Z2336" s="348"/>
      <c r="AA2336" s="348"/>
    </row>
    <row r="2337" s="331" customFormat="1" ht="17" customHeight="1" spans="1:27">
      <c r="A2337" s="348"/>
      <c r="B2337" s="348" t="s">
        <v>169</v>
      </c>
      <c r="C2337" s="334" t="s">
        <v>634</v>
      </c>
      <c r="D2337" s="349" t="s">
        <v>635</v>
      </c>
      <c r="E2337" s="336">
        <v>43669</v>
      </c>
      <c r="F2337" s="336" t="s">
        <v>800</v>
      </c>
      <c r="G2337" s="336">
        <v>43669</v>
      </c>
      <c r="H2337" s="334" t="s">
        <v>6263</v>
      </c>
      <c r="I2337" s="356">
        <v>13816766881</v>
      </c>
      <c r="J2337" s="361" t="s">
        <v>6264</v>
      </c>
      <c r="K2337" s="356"/>
      <c r="L2337" s="419"/>
      <c r="M2337" s="334">
        <v>5696</v>
      </c>
      <c r="N2337" s="362">
        <f t="shared" si="83"/>
        <v>5696</v>
      </c>
      <c r="O2337" s="356"/>
      <c r="P2337" s="356"/>
      <c r="Q2337" s="356"/>
      <c r="R2337" s="356"/>
      <c r="S2337" s="356"/>
      <c r="T2337" s="356"/>
      <c r="U2337" s="372"/>
      <c r="V2337" s="372"/>
      <c r="W2337" s="372"/>
      <c r="X2337" s="373"/>
      <c r="Y2337" s="348"/>
      <c r="Z2337" s="348"/>
      <c r="AA2337" s="348"/>
    </row>
    <row r="2338" s="331" customFormat="1" ht="17" customHeight="1" spans="1:27">
      <c r="A2338" s="348"/>
      <c r="B2338" s="348" t="s">
        <v>66</v>
      </c>
      <c r="C2338" s="334" t="s">
        <v>67</v>
      </c>
      <c r="D2338" s="352" t="s">
        <v>143</v>
      </c>
      <c r="E2338" s="336">
        <v>43669</v>
      </c>
      <c r="F2338" s="336" t="s">
        <v>800</v>
      </c>
      <c r="G2338" s="336">
        <v>43669</v>
      </c>
      <c r="H2338" s="334" t="s">
        <v>6265</v>
      </c>
      <c r="I2338" s="356">
        <v>13918581717</v>
      </c>
      <c r="J2338" s="361" t="s">
        <v>6266</v>
      </c>
      <c r="K2338" s="356"/>
      <c r="L2338" s="419"/>
      <c r="M2338" s="334">
        <f>813+60</f>
        <v>873</v>
      </c>
      <c r="N2338" s="362">
        <f t="shared" si="83"/>
        <v>873</v>
      </c>
      <c r="O2338" s="356"/>
      <c r="P2338" s="356"/>
      <c r="Q2338" s="356"/>
      <c r="R2338" s="356"/>
      <c r="S2338" s="356"/>
      <c r="T2338" s="356"/>
      <c r="U2338" s="372"/>
      <c r="V2338" s="372"/>
      <c r="W2338" s="372"/>
      <c r="X2338" s="373"/>
      <c r="Y2338" s="348"/>
      <c r="Z2338" s="348"/>
      <c r="AA2338" s="348"/>
    </row>
    <row r="2339" s="331" customFormat="1" ht="17" customHeight="1" spans="1:27">
      <c r="A2339" s="348"/>
      <c r="B2339" s="348" t="s">
        <v>185</v>
      </c>
      <c r="C2339" s="334" t="s">
        <v>1204</v>
      </c>
      <c r="D2339" s="349" t="s">
        <v>44</v>
      </c>
      <c r="E2339" s="336">
        <v>43669</v>
      </c>
      <c r="F2339" s="336" t="s">
        <v>800</v>
      </c>
      <c r="G2339" s="336">
        <v>43669</v>
      </c>
      <c r="H2339" s="334" t="s">
        <v>6267</v>
      </c>
      <c r="I2339" s="356">
        <v>13885123718</v>
      </c>
      <c r="J2339" s="361" t="s">
        <v>6268</v>
      </c>
      <c r="K2339" s="356"/>
      <c r="L2339" s="419"/>
      <c r="M2339" s="334">
        <v>150</v>
      </c>
      <c r="N2339" s="362">
        <f t="shared" si="83"/>
        <v>150</v>
      </c>
      <c r="O2339" s="356"/>
      <c r="P2339" s="356"/>
      <c r="Q2339" s="356"/>
      <c r="R2339" s="356"/>
      <c r="S2339" s="356"/>
      <c r="T2339" s="356"/>
      <c r="U2339" s="372"/>
      <c r="V2339" s="372"/>
      <c r="W2339" s="372"/>
      <c r="X2339" s="373"/>
      <c r="Y2339" s="348"/>
      <c r="Z2339" s="348"/>
      <c r="AA2339" s="348"/>
    </row>
    <row r="2340" s="331" customFormat="1" ht="17" customHeight="1" spans="1:27">
      <c r="A2340" s="348"/>
      <c r="B2340" s="348" t="s">
        <v>315</v>
      </c>
      <c r="C2340" s="334" t="s">
        <v>258</v>
      </c>
      <c r="D2340" s="349" t="s">
        <v>5695</v>
      </c>
      <c r="E2340" s="336">
        <v>43669</v>
      </c>
      <c r="F2340" s="336" t="s">
        <v>800</v>
      </c>
      <c r="G2340" s="336">
        <v>43668</v>
      </c>
      <c r="H2340" s="334" t="s">
        <v>6269</v>
      </c>
      <c r="I2340" s="356">
        <v>15000435093</v>
      </c>
      <c r="J2340" s="361" t="s">
        <v>6270</v>
      </c>
      <c r="K2340" s="356"/>
      <c r="L2340" s="419"/>
      <c r="M2340" s="334">
        <v>890</v>
      </c>
      <c r="N2340" s="362">
        <f t="shared" si="83"/>
        <v>890</v>
      </c>
      <c r="O2340" s="356"/>
      <c r="P2340" s="356"/>
      <c r="Q2340" s="356"/>
      <c r="R2340" s="356"/>
      <c r="S2340" s="356"/>
      <c r="T2340" s="356"/>
      <c r="U2340" s="372"/>
      <c r="V2340" s="372"/>
      <c r="W2340" s="372"/>
      <c r="X2340" s="373"/>
      <c r="Y2340" s="348"/>
      <c r="Z2340" s="348"/>
      <c r="AA2340" s="348"/>
    </row>
    <row r="2341" s="331" customFormat="1" ht="17" customHeight="1" spans="1:27">
      <c r="A2341" s="348"/>
      <c r="B2341" s="348" t="s">
        <v>58</v>
      </c>
      <c r="C2341" s="334" t="s">
        <v>271</v>
      </c>
      <c r="D2341" s="349" t="s">
        <v>271</v>
      </c>
      <c r="E2341" s="336">
        <v>43669</v>
      </c>
      <c r="F2341" s="336" t="s">
        <v>800</v>
      </c>
      <c r="G2341" s="336">
        <v>43667</v>
      </c>
      <c r="H2341" s="334" t="s">
        <v>6271</v>
      </c>
      <c r="I2341" s="356">
        <v>13917833837</v>
      </c>
      <c r="J2341" s="361" t="s">
        <v>6272</v>
      </c>
      <c r="K2341" s="356"/>
      <c r="L2341" s="419"/>
      <c r="M2341" s="419">
        <f>-586+736</f>
        <v>150</v>
      </c>
      <c r="N2341" s="362">
        <f t="shared" si="83"/>
        <v>150</v>
      </c>
      <c r="O2341" s="356"/>
      <c r="P2341" s="356"/>
      <c r="Q2341" s="356"/>
      <c r="R2341" s="356"/>
      <c r="S2341" s="356"/>
      <c r="T2341" s="356"/>
      <c r="U2341" s="372"/>
      <c r="V2341" s="372"/>
      <c r="W2341" s="372"/>
      <c r="X2341" s="373"/>
      <c r="Y2341" s="348"/>
      <c r="Z2341" s="348"/>
      <c r="AA2341" s="348"/>
    </row>
    <row r="2342" s="331" customFormat="1" ht="17" customHeight="1" spans="1:27">
      <c r="A2342" s="348"/>
      <c r="B2342" s="348" t="s">
        <v>73</v>
      </c>
      <c r="C2342" s="334" t="s">
        <v>74</v>
      </c>
      <c r="D2342" s="349" t="s">
        <v>143</v>
      </c>
      <c r="E2342" s="336">
        <v>43669</v>
      </c>
      <c r="F2342" s="336" t="s">
        <v>800</v>
      </c>
      <c r="G2342" s="336">
        <v>43669</v>
      </c>
      <c r="H2342" s="334" t="s">
        <v>6273</v>
      </c>
      <c r="I2342" s="356">
        <v>18916185179</v>
      </c>
      <c r="J2342" s="361" t="s">
        <v>6274</v>
      </c>
      <c r="K2342" s="356"/>
      <c r="L2342" s="419"/>
      <c r="M2342" s="334">
        <v>117119</v>
      </c>
      <c r="N2342" s="362">
        <f t="shared" si="83"/>
        <v>117119</v>
      </c>
      <c r="O2342" s="356"/>
      <c r="P2342" s="356"/>
      <c r="Q2342" s="356"/>
      <c r="R2342" s="356"/>
      <c r="S2342" s="356"/>
      <c r="T2342" s="356"/>
      <c r="U2342" s="372"/>
      <c r="V2342" s="372"/>
      <c r="W2342" s="372"/>
      <c r="X2342" s="373"/>
      <c r="Y2342" s="348"/>
      <c r="Z2342" s="348"/>
      <c r="AA2342" s="348"/>
    </row>
    <row r="2343" s="331" customFormat="1" ht="17" customHeight="1" spans="1:27">
      <c r="A2343" s="348"/>
      <c r="B2343" s="348" t="s">
        <v>185</v>
      </c>
      <c r="C2343" s="348" t="s">
        <v>886</v>
      </c>
      <c r="D2343" s="349" t="s">
        <v>187</v>
      </c>
      <c r="E2343" s="336">
        <v>43669</v>
      </c>
      <c r="F2343" s="336" t="s">
        <v>800</v>
      </c>
      <c r="G2343" s="336">
        <v>43668</v>
      </c>
      <c r="H2343" s="334" t="s">
        <v>6275</v>
      </c>
      <c r="I2343" s="356">
        <v>18019233853</v>
      </c>
      <c r="J2343" s="361" t="s">
        <v>6276</v>
      </c>
      <c r="K2343" s="356"/>
      <c r="L2343" s="419"/>
      <c r="M2343" s="334">
        <f>3349-3835</f>
        <v>-486</v>
      </c>
      <c r="N2343" s="362">
        <f t="shared" si="83"/>
        <v>-486</v>
      </c>
      <c r="O2343" s="356"/>
      <c r="P2343" s="356"/>
      <c r="Q2343" s="356"/>
      <c r="R2343" s="356"/>
      <c r="S2343" s="356"/>
      <c r="T2343" s="356"/>
      <c r="U2343" s="372"/>
      <c r="V2343" s="372"/>
      <c r="W2343" s="372"/>
      <c r="X2343" s="373"/>
      <c r="Y2343" s="348"/>
      <c r="Z2343" s="348"/>
      <c r="AA2343" s="348"/>
    </row>
    <row r="2344" s="331" customFormat="1" ht="17" customHeight="1" spans="1:27">
      <c r="A2344" s="348"/>
      <c r="B2344" s="348" t="s">
        <v>726</v>
      </c>
      <c r="C2344" s="348" t="s">
        <v>727</v>
      </c>
      <c r="D2344" s="349" t="s">
        <v>356</v>
      </c>
      <c r="E2344" s="336">
        <v>43669</v>
      </c>
      <c r="F2344" s="336" t="s">
        <v>800</v>
      </c>
      <c r="G2344" s="336">
        <v>43669</v>
      </c>
      <c r="H2344" s="334" t="s">
        <v>6277</v>
      </c>
      <c r="I2344" s="356">
        <v>13701889423</v>
      </c>
      <c r="J2344" s="361" t="s">
        <v>6278</v>
      </c>
      <c r="K2344" s="356"/>
      <c r="L2344" s="419"/>
      <c r="M2344" s="334">
        <v>-8106</v>
      </c>
      <c r="N2344" s="362">
        <f t="shared" si="83"/>
        <v>-8106</v>
      </c>
      <c r="O2344" s="356"/>
      <c r="P2344" s="356"/>
      <c r="Q2344" s="356"/>
      <c r="R2344" s="356"/>
      <c r="S2344" s="356"/>
      <c r="T2344" s="356"/>
      <c r="U2344" s="372"/>
      <c r="V2344" s="372"/>
      <c r="W2344" s="372"/>
      <c r="X2344" s="373"/>
      <c r="Y2344" s="348"/>
      <c r="Z2344" s="348"/>
      <c r="AA2344" s="348"/>
    </row>
    <row r="2345" s="331" customFormat="1" ht="17" customHeight="1" spans="1:27">
      <c r="A2345" s="348"/>
      <c r="B2345" s="348" t="s">
        <v>137</v>
      </c>
      <c r="C2345" s="334" t="s">
        <v>406</v>
      </c>
      <c r="D2345" s="349" t="s">
        <v>60</v>
      </c>
      <c r="E2345" s="336">
        <v>43669</v>
      </c>
      <c r="F2345" s="336" t="s">
        <v>800</v>
      </c>
      <c r="G2345" s="336">
        <v>43669</v>
      </c>
      <c r="H2345" s="334" t="s">
        <v>6279</v>
      </c>
      <c r="I2345" s="356">
        <v>18964718917</v>
      </c>
      <c r="J2345" s="361" t="s">
        <v>6280</v>
      </c>
      <c r="K2345" s="356"/>
      <c r="L2345" s="419"/>
      <c r="M2345" s="334">
        <v>75</v>
      </c>
      <c r="N2345" s="362">
        <f t="shared" si="83"/>
        <v>75</v>
      </c>
      <c r="O2345" s="356"/>
      <c r="P2345" s="356"/>
      <c r="Q2345" s="356"/>
      <c r="R2345" s="356"/>
      <c r="S2345" s="356"/>
      <c r="T2345" s="356"/>
      <c r="U2345" s="372"/>
      <c r="V2345" s="372"/>
      <c r="W2345" s="372"/>
      <c r="X2345" s="373"/>
      <c r="Y2345" s="348"/>
      <c r="Z2345" s="348"/>
      <c r="AA2345" s="348"/>
    </row>
    <row r="2346" s="331" customFormat="1" ht="17" customHeight="1" spans="1:27">
      <c r="A2346" s="348"/>
      <c r="B2346" s="348" t="s">
        <v>73</v>
      </c>
      <c r="C2346" s="334" t="s">
        <v>74</v>
      </c>
      <c r="D2346" s="349" t="s">
        <v>143</v>
      </c>
      <c r="E2346" s="336">
        <v>43669</v>
      </c>
      <c r="F2346" s="336" t="s">
        <v>800</v>
      </c>
      <c r="G2346" s="336">
        <v>43669</v>
      </c>
      <c r="H2346" s="334" t="s">
        <v>6281</v>
      </c>
      <c r="I2346" s="356">
        <v>13817513158</v>
      </c>
      <c r="J2346" s="361" t="s">
        <v>6282</v>
      </c>
      <c r="K2346" s="356"/>
      <c r="L2346" s="419"/>
      <c r="M2346" s="334">
        <f>4462-4462</f>
        <v>0</v>
      </c>
      <c r="N2346" s="362">
        <f t="shared" si="83"/>
        <v>0</v>
      </c>
      <c r="O2346" s="356"/>
      <c r="P2346" s="356"/>
      <c r="Q2346" s="356"/>
      <c r="R2346" s="356"/>
      <c r="S2346" s="356"/>
      <c r="T2346" s="356"/>
      <c r="U2346" s="367" t="s">
        <v>12</v>
      </c>
      <c r="V2346" s="372"/>
      <c r="W2346" s="372"/>
      <c r="X2346" s="373"/>
      <c r="Y2346" s="348"/>
      <c r="Z2346" s="348"/>
      <c r="AA2346" s="348"/>
    </row>
    <row r="2347" s="331" customFormat="1" ht="17" customHeight="1" spans="1:27">
      <c r="A2347" s="348">
        <v>2001913</v>
      </c>
      <c r="B2347" s="348" t="s">
        <v>147</v>
      </c>
      <c r="C2347" s="348" t="s">
        <v>148</v>
      </c>
      <c r="D2347" s="349" t="s">
        <v>635</v>
      </c>
      <c r="E2347" s="336">
        <v>43670</v>
      </c>
      <c r="F2347" s="336">
        <v>43646</v>
      </c>
      <c r="G2347" s="350">
        <v>43670</v>
      </c>
      <c r="H2347" s="334" t="s">
        <v>6283</v>
      </c>
      <c r="I2347" s="356">
        <v>13398843210</v>
      </c>
      <c r="J2347" s="361" t="s">
        <v>6284</v>
      </c>
      <c r="K2347" s="356">
        <v>0</v>
      </c>
      <c r="L2347" s="334">
        <v>9961</v>
      </c>
      <c r="M2347" s="419"/>
      <c r="N2347" s="362">
        <f t="shared" si="83"/>
        <v>9961</v>
      </c>
      <c r="O2347" s="356"/>
      <c r="P2347" s="356"/>
      <c r="Q2347" s="356"/>
      <c r="R2347" s="356"/>
      <c r="S2347" s="356"/>
      <c r="T2347" s="356"/>
      <c r="U2347" s="372"/>
      <c r="V2347" s="372"/>
      <c r="W2347" s="372"/>
      <c r="X2347" s="373"/>
      <c r="Y2347" s="348"/>
      <c r="Z2347" s="348"/>
      <c r="AA2347" s="348"/>
    </row>
    <row r="2348" s="331" customFormat="1" ht="17" customHeight="1" spans="1:27">
      <c r="A2348" s="550" t="s">
        <v>6285</v>
      </c>
      <c r="B2348" s="348" t="s">
        <v>315</v>
      </c>
      <c r="C2348" s="348" t="s">
        <v>181</v>
      </c>
      <c r="D2348" s="349" t="s">
        <v>89</v>
      </c>
      <c r="E2348" s="336">
        <v>43670</v>
      </c>
      <c r="F2348" s="336">
        <v>43669</v>
      </c>
      <c r="G2348" s="336">
        <v>43669</v>
      </c>
      <c r="H2348" s="334" t="s">
        <v>6286</v>
      </c>
      <c r="I2348" s="356">
        <v>13816390689</v>
      </c>
      <c r="J2348" s="361" t="s">
        <v>6287</v>
      </c>
      <c r="K2348" s="356">
        <v>9476</v>
      </c>
      <c r="L2348" s="334">
        <v>8427</v>
      </c>
      <c r="M2348" s="334">
        <v>1049</v>
      </c>
      <c r="N2348" s="362">
        <f t="shared" si="83"/>
        <v>9476</v>
      </c>
      <c r="O2348" s="356"/>
      <c r="P2348" s="356"/>
      <c r="Q2348" s="356"/>
      <c r="R2348" s="356"/>
      <c r="S2348" s="356"/>
      <c r="T2348" s="356"/>
      <c r="U2348" s="372"/>
      <c r="V2348" s="372"/>
      <c r="W2348" s="372"/>
      <c r="X2348" s="373"/>
      <c r="Y2348" s="348"/>
      <c r="Z2348" s="348"/>
      <c r="AA2348" s="348"/>
    </row>
    <row r="2349" s="331" customFormat="1" ht="17" customHeight="1" spans="1:27">
      <c r="A2349" s="550" t="s">
        <v>6288</v>
      </c>
      <c r="B2349" s="348" t="s">
        <v>94</v>
      </c>
      <c r="C2349" s="348" t="s">
        <v>101</v>
      </c>
      <c r="D2349" s="352" t="s">
        <v>49</v>
      </c>
      <c r="E2349" s="336">
        <v>43670</v>
      </c>
      <c r="F2349" s="336">
        <v>43669</v>
      </c>
      <c r="G2349" s="350"/>
      <c r="H2349" s="334" t="s">
        <v>6289</v>
      </c>
      <c r="I2349" s="356">
        <v>18621951884</v>
      </c>
      <c r="J2349" s="361" t="s">
        <v>6290</v>
      </c>
      <c r="K2349" s="356">
        <v>1000</v>
      </c>
      <c r="L2349" s="419"/>
      <c r="M2349" s="419"/>
      <c r="N2349" s="362">
        <f t="shared" ref="N2349:N2359" si="84">L2349+M2349</f>
        <v>0</v>
      </c>
      <c r="O2349" s="366" t="s">
        <v>52</v>
      </c>
      <c r="P2349" s="356"/>
      <c r="Q2349" s="356"/>
      <c r="R2349" s="356"/>
      <c r="S2349" s="356"/>
      <c r="T2349" s="356"/>
      <c r="U2349" s="372"/>
      <c r="V2349" s="372"/>
      <c r="W2349" s="372"/>
      <c r="X2349" s="373"/>
      <c r="Y2349" s="348"/>
      <c r="Z2349" s="348"/>
      <c r="AA2349" s="348"/>
    </row>
    <row r="2350" s="331" customFormat="1" ht="17" customHeight="1" spans="1:27">
      <c r="A2350" s="348"/>
      <c r="B2350" s="348" t="s">
        <v>315</v>
      </c>
      <c r="C2350" s="348" t="s">
        <v>722</v>
      </c>
      <c r="D2350" s="349" t="s">
        <v>132</v>
      </c>
      <c r="E2350" s="336">
        <v>43670</v>
      </c>
      <c r="F2350" s="336">
        <v>43670</v>
      </c>
      <c r="G2350" s="350" t="s">
        <v>231</v>
      </c>
      <c r="H2350" s="334" t="s">
        <v>561</v>
      </c>
      <c r="I2350" s="356">
        <v>18616025011</v>
      </c>
      <c r="J2350" s="361" t="s">
        <v>6291</v>
      </c>
      <c r="K2350" s="356">
        <v>1000</v>
      </c>
      <c r="L2350" s="419"/>
      <c r="M2350" s="419"/>
      <c r="N2350" s="362">
        <f t="shared" si="84"/>
        <v>0</v>
      </c>
      <c r="O2350" s="356"/>
      <c r="P2350" s="356"/>
      <c r="Q2350" s="356"/>
      <c r="R2350" s="356"/>
      <c r="S2350" s="356">
        <v>1</v>
      </c>
      <c r="T2350" s="356"/>
      <c r="U2350" s="372"/>
      <c r="V2350" s="372"/>
      <c r="W2350" s="372"/>
      <c r="X2350" s="373"/>
      <c r="Y2350" s="348"/>
      <c r="Z2350" s="348"/>
      <c r="AA2350" s="348"/>
    </row>
    <row r="2351" s="331" customFormat="1" ht="17" customHeight="1" spans="1:27">
      <c r="A2351" s="348"/>
      <c r="B2351" s="348" t="s">
        <v>137</v>
      </c>
      <c r="C2351" s="348" t="s">
        <v>480</v>
      </c>
      <c r="D2351" s="349" t="s">
        <v>110</v>
      </c>
      <c r="E2351" s="336">
        <v>43670</v>
      </c>
      <c r="F2351" s="336">
        <v>43670</v>
      </c>
      <c r="G2351" s="336">
        <v>43671</v>
      </c>
      <c r="H2351" s="334" t="s">
        <v>6292</v>
      </c>
      <c r="I2351" s="356">
        <v>13501765957</v>
      </c>
      <c r="J2351" s="361" t="s">
        <v>6293</v>
      </c>
      <c r="K2351" s="356">
        <v>2741</v>
      </c>
      <c r="L2351" s="334">
        <v>3241</v>
      </c>
      <c r="M2351" s="419"/>
      <c r="N2351" s="362">
        <f t="shared" si="84"/>
        <v>3241</v>
      </c>
      <c r="O2351" s="356"/>
      <c r="P2351" s="356"/>
      <c r="Q2351" s="356"/>
      <c r="R2351" s="356"/>
      <c r="S2351" s="356"/>
      <c r="T2351" s="356"/>
      <c r="U2351" s="372"/>
      <c r="V2351" s="372"/>
      <c r="W2351" s="372"/>
      <c r="X2351" s="373"/>
      <c r="Y2351" s="348"/>
      <c r="Z2351" s="348"/>
      <c r="AA2351" s="348"/>
    </row>
    <row r="2352" s="331" customFormat="1" ht="17" customHeight="1" spans="1:27">
      <c r="A2352" s="550" t="s">
        <v>6294</v>
      </c>
      <c r="B2352" s="348" t="s">
        <v>31</v>
      </c>
      <c r="C2352" s="348" t="s">
        <v>32</v>
      </c>
      <c r="D2352" s="352" t="s">
        <v>33</v>
      </c>
      <c r="E2352" s="336">
        <v>43670</v>
      </c>
      <c r="F2352" s="336">
        <v>43670</v>
      </c>
      <c r="G2352" s="336">
        <v>43676</v>
      </c>
      <c r="H2352" s="334" t="s">
        <v>6295</v>
      </c>
      <c r="I2352" s="356">
        <v>13916875641</v>
      </c>
      <c r="J2352" s="361" t="s">
        <v>6296</v>
      </c>
      <c r="K2352" s="356">
        <v>40000</v>
      </c>
      <c r="L2352" s="334">
        <v>39751</v>
      </c>
      <c r="M2352" s="419"/>
      <c r="N2352" s="362">
        <f t="shared" si="84"/>
        <v>39751</v>
      </c>
      <c r="O2352" s="356"/>
      <c r="P2352" s="356"/>
      <c r="Q2352" s="356"/>
      <c r="R2352" s="356"/>
      <c r="S2352" s="356"/>
      <c r="T2352" s="356"/>
      <c r="U2352" s="372"/>
      <c r="V2352" s="372"/>
      <c r="W2352" s="372"/>
      <c r="X2352" s="373"/>
      <c r="Y2352" s="348"/>
      <c r="Z2352" s="348"/>
      <c r="AA2352" s="348"/>
    </row>
    <row r="2353" s="331" customFormat="1" ht="17" customHeight="1" spans="1:27">
      <c r="A2353" s="348">
        <v>2023515</v>
      </c>
      <c r="B2353" s="348" t="s">
        <v>185</v>
      </c>
      <c r="C2353" s="334" t="s">
        <v>1620</v>
      </c>
      <c r="D2353" s="349" t="s">
        <v>44</v>
      </c>
      <c r="E2353" s="336">
        <v>43670</v>
      </c>
      <c r="F2353" s="336">
        <v>43670</v>
      </c>
      <c r="G2353" s="336">
        <v>43670</v>
      </c>
      <c r="H2353" s="334" t="s">
        <v>3904</v>
      </c>
      <c r="I2353" s="356">
        <v>17621154155</v>
      </c>
      <c r="J2353" s="361" t="s">
        <v>6297</v>
      </c>
      <c r="K2353" s="356">
        <v>10000</v>
      </c>
      <c r="L2353" s="334">
        <v>10000</v>
      </c>
      <c r="M2353" s="419"/>
      <c r="N2353" s="362">
        <f t="shared" si="84"/>
        <v>10000</v>
      </c>
      <c r="O2353" s="356"/>
      <c r="P2353" s="356"/>
      <c r="Q2353" s="356"/>
      <c r="R2353" s="356"/>
      <c r="S2353" s="356"/>
      <c r="T2353" s="356"/>
      <c r="U2353" s="372"/>
      <c r="V2353" s="372"/>
      <c r="W2353" s="372"/>
      <c r="X2353" s="373"/>
      <c r="Y2353" s="348"/>
      <c r="Z2353" s="348"/>
      <c r="AA2353" s="348"/>
    </row>
    <row r="2354" s="331" customFormat="1" ht="17" customHeight="1" spans="1:27">
      <c r="A2354" s="348"/>
      <c r="B2354" s="348" t="s">
        <v>47</v>
      </c>
      <c r="C2354" s="334" t="s">
        <v>53</v>
      </c>
      <c r="D2354" s="352" t="s">
        <v>49</v>
      </c>
      <c r="E2354" s="336">
        <v>43670</v>
      </c>
      <c r="F2354" s="336"/>
      <c r="G2354" s="336">
        <v>43670</v>
      </c>
      <c r="H2354" s="334" t="s">
        <v>6298</v>
      </c>
      <c r="I2354" s="356">
        <v>18221893989</v>
      </c>
      <c r="J2354" s="361" t="s">
        <v>6299</v>
      </c>
      <c r="K2354" s="356"/>
      <c r="L2354" s="334">
        <v>5051</v>
      </c>
      <c r="M2354" s="419"/>
      <c r="N2354" s="362">
        <f t="shared" si="84"/>
        <v>5051</v>
      </c>
      <c r="O2354" s="356"/>
      <c r="P2354" s="356"/>
      <c r="Q2354" s="356"/>
      <c r="R2354" s="356"/>
      <c r="S2354" s="356"/>
      <c r="T2354" s="356"/>
      <c r="U2354" s="372"/>
      <c r="V2354" s="372"/>
      <c r="W2354" s="372"/>
      <c r="X2354" s="373"/>
      <c r="Y2354" s="348"/>
      <c r="Z2354" s="348"/>
      <c r="AA2354" s="348"/>
    </row>
    <row r="2355" s="331" customFormat="1" ht="17" customHeight="1" spans="1:27">
      <c r="A2355" s="348"/>
      <c r="B2355" s="348" t="s">
        <v>153</v>
      </c>
      <c r="C2355" s="348" t="s">
        <v>302</v>
      </c>
      <c r="D2355" s="349" t="s">
        <v>155</v>
      </c>
      <c r="E2355" s="336">
        <v>43670</v>
      </c>
      <c r="F2355" s="336" t="s">
        <v>800</v>
      </c>
      <c r="G2355" s="336">
        <v>43670</v>
      </c>
      <c r="H2355" s="334" t="s">
        <v>6300</v>
      </c>
      <c r="I2355" s="356">
        <v>15921410632</v>
      </c>
      <c r="J2355" s="361" t="s">
        <v>6301</v>
      </c>
      <c r="K2355" s="356"/>
      <c r="L2355" s="419"/>
      <c r="M2355" s="334">
        <v>1750</v>
      </c>
      <c r="N2355" s="362">
        <f t="shared" si="84"/>
        <v>1750</v>
      </c>
      <c r="O2355" s="356"/>
      <c r="P2355" s="356"/>
      <c r="Q2355" s="356"/>
      <c r="R2355" s="356"/>
      <c r="S2355" s="356"/>
      <c r="T2355" s="356"/>
      <c r="U2355" s="372"/>
      <c r="V2355" s="372"/>
      <c r="W2355" s="372"/>
      <c r="X2355" s="373"/>
      <c r="Y2355" s="348"/>
      <c r="Z2355" s="348"/>
      <c r="AA2355" s="348"/>
    </row>
    <row r="2356" s="331" customFormat="1" ht="17" customHeight="1" spans="1:27">
      <c r="A2356" s="348"/>
      <c r="B2356" s="348" t="s">
        <v>315</v>
      </c>
      <c r="C2356" s="334" t="s">
        <v>275</v>
      </c>
      <c r="D2356" s="349" t="s">
        <v>162</v>
      </c>
      <c r="E2356" s="336">
        <v>43670</v>
      </c>
      <c r="F2356" s="336" t="s">
        <v>800</v>
      </c>
      <c r="G2356" s="336">
        <v>43670</v>
      </c>
      <c r="H2356" s="334" t="s">
        <v>6302</v>
      </c>
      <c r="I2356" s="356">
        <v>15121150771</v>
      </c>
      <c r="J2356" s="361" t="s">
        <v>6303</v>
      </c>
      <c r="K2356" s="356"/>
      <c r="L2356" s="419"/>
      <c r="M2356" s="334">
        <v>88</v>
      </c>
      <c r="N2356" s="362">
        <f t="shared" si="84"/>
        <v>88</v>
      </c>
      <c r="O2356" s="356"/>
      <c r="P2356" s="356"/>
      <c r="Q2356" s="356"/>
      <c r="R2356" s="356"/>
      <c r="S2356" s="356"/>
      <c r="T2356" s="356"/>
      <c r="U2356" s="372"/>
      <c r="V2356" s="372"/>
      <c r="W2356" s="372"/>
      <c r="X2356" s="373"/>
      <c r="Y2356" s="348"/>
      <c r="Z2356" s="348"/>
      <c r="AA2356" s="348"/>
    </row>
    <row r="2357" s="331" customFormat="1" ht="17" customHeight="1" spans="1:27">
      <c r="A2357" s="348"/>
      <c r="B2357" s="348" t="s">
        <v>236</v>
      </c>
      <c r="C2357" s="334" t="s">
        <v>195</v>
      </c>
      <c r="D2357" s="349" t="s">
        <v>125</v>
      </c>
      <c r="E2357" s="336">
        <v>43670</v>
      </c>
      <c r="F2357" s="336" t="s">
        <v>800</v>
      </c>
      <c r="G2357" s="336">
        <v>43667</v>
      </c>
      <c r="H2357" s="334" t="s">
        <v>6304</v>
      </c>
      <c r="I2357" s="356">
        <v>18621698768</v>
      </c>
      <c r="J2357" s="361" t="s">
        <v>6305</v>
      </c>
      <c r="K2357" s="356"/>
      <c r="L2357" s="419"/>
      <c r="M2357" s="334">
        <v>-1892</v>
      </c>
      <c r="N2357" s="362">
        <f t="shared" si="84"/>
        <v>-1892</v>
      </c>
      <c r="O2357" s="356"/>
      <c r="P2357" s="356"/>
      <c r="Q2357" s="356"/>
      <c r="R2357" s="356"/>
      <c r="S2357" s="356"/>
      <c r="T2357" s="356"/>
      <c r="U2357" s="372"/>
      <c r="V2357" s="372"/>
      <c r="W2357" s="372"/>
      <c r="X2357" s="373"/>
      <c r="Y2357" s="348"/>
      <c r="Z2357" s="348"/>
      <c r="AA2357" s="348"/>
    </row>
    <row r="2358" s="331" customFormat="1" ht="17" customHeight="1" spans="1:27">
      <c r="A2358" s="348"/>
      <c r="B2358" s="348" t="s">
        <v>137</v>
      </c>
      <c r="C2358" s="334" t="s">
        <v>480</v>
      </c>
      <c r="D2358" s="349" t="s">
        <v>171</v>
      </c>
      <c r="E2358" s="336">
        <v>43670</v>
      </c>
      <c r="F2358" s="336" t="s">
        <v>800</v>
      </c>
      <c r="G2358" s="336">
        <v>43670</v>
      </c>
      <c r="H2358" s="334" t="s">
        <v>6306</v>
      </c>
      <c r="I2358" s="356">
        <v>15801796262</v>
      </c>
      <c r="J2358" s="361" t="s">
        <v>6307</v>
      </c>
      <c r="K2358" s="356"/>
      <c r="L2358" s="419"/>
      <c r="M2358" s="334">
        <v>1608</v>
      </c>
      <c r="N2358" s="362">
        <f t="shared" si="84"/>
        <v>1608</v>
      </c>
      <c r="O2358" s="356"/>
      <c r="P2358" s="356"/>
      <c r="Q2358" s="356"/>
      <c r="R2358" s="356"/>
      <c r="S2358" s="356"/>
      <c r="T2358" s="356"/>
      <c r="U2358" s="372"/>
      <c r="V2358" s="372"/>
      <c r="W2358" s="372"/>
      <c r="X2358" s="373"/>
      <c r="Y2358" s="348"/>
      <c r="Z2358" s="348"/>
      <c r="AA2358" s="348"/>
    </row>
    <row r="2359" s="331" customFormat="1" ht="17" customHeight="1" spans="1:27">
      <c r="A2359" s="348"/>
      <c r="B2359" s="348" t="s">
        <v>335</v>
      </c>
      <c r="C2359" s="334" t="s">
        <v>399</v>
      </c>
      <c r="D2359" s="349" t="s">
        <v>337</v>
      </c>
      <c r="E2359" s="336">
        <v>43670</v>
      </c>
      <c r="F2359" s="336" t="s">
        <v>800</v>
      </c>
      <c r="G2359" s="336">
        <v>43669</v>
      </c>
      <c r="H2359" s="334" t="s">
        <v>6308</v>
      </c>
      <c r="I2359" s="356">
        <v>18964195095</v>
      </c>
      <c r="J2359" s="361" t="s">
        <v>6309</v>
      </c>
      <c r="K2359" s="356"/>
      <c r="L2359" s="419"/>
      <c r="M2359" s="334">
        <v>125</v>
      </c>
      <c r="N2359" s="362">
        <f t="shared" si="84"/>
        <v>125</v>
      </c>
      <c r="O2359" s="356"/>
      <c r="P2359" s="356"/>
      <c r="Q2359" s="356"/>
      <c r="R2359" s="356"/>
      <c r="S2359" s="356"/>
      <c r="T2359" s="356"/>
      <c r="U2359" s="372"/>
      <c r="V2359" s="372"/>
      <c r="W2359" s="372"/>
      <c r="X2359" s="373"/>
      <c r="Y2359" s="348"/>
      <c r="Z2359" s="348"/>
      <c r="AA2359" s="348"/>
    </row>
    <row r="2360" s="331" customFormat="1" ht="17" customHeight="1" spans="1:27">
      <c r="A2360" s="550" t="s">
        <v>6310</v>
      </c>
      <c r="B2360" s="348" t="s">
        <v>354</v>
      </c>
      <c r="C2360" s="348" t="s">
        <v>355</v>
      </c>
      <c r="D2360" s="349" t="s">
        <v>343</v>
      </c>
      <c r="E2360" s="336">
        <v>43671</v>
      </c>
      <c r="F2360" s="336">
        <v>43665</v>
      </c>
      <c r="G2360" s="336">
        <v>43673</v>
      </c>
      <c r="H2360" s="334" t="s">
        <v>6311</v>
      </c>
      <c r="I2360" s="356">
        <v>13817316617</v>
      </c>
      <c r="J2360" s="361" t="s">
        <v>6312</v>
      </c>
      <c r="K2360" s="356">
        <v>10000</v>
      </c>
      <c r="L2360" s="334">
        <v>9891</v>
      </c>
      <c r="M2360" s="419"/>
      <c r="N2360" s="362">
        <f t="shared" ref="N2360:N2404" si="85">L2360+M2360</f>
        <v>9891</v>
      </c>
      <c r="O2360" s="356"/>
      <c r="P2360" s="356"/>
      <c r="Q2360" s="356"/>
      <c r="R2360" s="356"/>
      <c r="S2360" s="356"/>
      <c r="T2360" s="356"/>
      <c r="U2360" s="372"/>
      <c r="V2360" s="372"/>
      <c r="W2360" s="372"/>
      <c r="X2360" s="373"/>
      <c r="Y2360" s="348"/>
      <c r="Z2360" s="348"/>
      <c r="AA2360" s="348"/>
    </row>
    <row r="2361" s="331" customFormat="1" ht="17" customHeight="1" spans="1:27">
      <c r="A2361" s="348"/>
      <c r="B2361" s="348" t="s">
        <v>6313</v>
      </c>
      <c r="C2361" s="334" t="s">
        <v>6314</v>
      </c>
      <c r="D2361" s="349" t="s">
        <v>132</v>
      </c>
      <c r="E2361" s="336">
        <v>43671</v>
      </c>
      <c r="F2361" s="336">
        <v>43667</v>
      </c>
      <c r="G2361" s="336">
        <v>43667</v>
      </c>
      <c r="H2361" s="334" t="s">
        <v>6315</v>
      </c>
      <c r="I2361" s="356">
        <v>13918209208</v>
      </c>
      <c r="J2361" s="361" t="s">
        <v>6316</v>
      </c>
      <c r="K2361" s="356">
        <v>0</v>
      </c>
      <c r="L2361" s="334">
        <v>56000</v>
      </c>
      <c r="M2361" s="419"/>
      <c r="N2361" s="362">
        <f t="shared" si="85"/>
        <v>56000</v>
      </c>
      <c r="O2361" s="356"/>
      <c r="P2361" s="356"/>
      <c r="Q2361" s="356"/>
      <c r="R2361" s="356"/>
      <c r="S2361" s="356"/>
      <c r="T2361" s="356"/>
      <c r="U2361" s="372"/>
      <c r="V2361" s="372"/>
      <c r="W2361" s="372"/>
      <c r="X2361" s="373"/>
      <c r="Y2361" s="348"/>
      <c r="Z2361" s="348"/>
      <c r="AA2361" s="348"/>
    </row>
    <row r="2362" s="331" customFormat="1" ht="17" customHeight="1" spans="1:27">
      <c r="A2362" s="348"/>
      <c r="B2362" s="348" t="s">
        <v>66</v>
      </c>
      <c r="C2362" s="348" t="s">
        <v>119</v>
      </c>
      <c r="D2362" s="352" t="s">
        <v>143</v>
      </c>
      <c r="E2362" s="336">
        <v>43671</v>
      </c>
      <c r="F2362" s="336">
        <v>43671</v>
      </c>
      <c r="G2362" s="336">
        <v>43669</v>
      </c>
      <c r="H2362" s="334" t="s">
        <v>6317</v>
      </c>
      <c r="I2362" s="356">
        <v>18621974488</v>
      </c>
      <c r="J2362" s="361" t="s">
        <v>6318</v>
      </c>
      <c r="K2362" s="356">
        <v>19842</v>
      </c>
      <c r="L2362" s="334">
        <v>19842</v>
      </c>
      <c r="M2362" s="419"/>
      <c r="N2362" s="362">
        <f t="shared" si="85"/>
        <v>19842</v>
      </c>
      <c r="O2362" s="356"/>
      <c r="P2362" s="356"/>
      <c r="Q2362" s="356"/>
      <c r="R2362" s="356"/>
      <c r="S2362" s="356"/>
      <c r="T2362" s="356"/>
      <c r="U2362" s="372"/>
      <c r="V2362" s="372"/>
      <c r="W2362" s="372"/>
      <c r="X2362" s="373"/>
      <c r="Y2362" s="348"/>
      <c r="Z2362" s="348"/>
      <c r="AA2362" s="348"/>
    </row>
    <row r="2363" s="331" customFormat="1" ht="17" customHeight="1" spans="1:27">
      <c r="A2363" s="550" t="s">
        <v>6319</v>
      </c>
      <c r="B2363" s="348" t="s">
        <v>137</v>
      </c>
      <c r="C2363" s="348" t="s">
        <v>480</v>
      </c>
      <c r="D2363" s="349" t="s">
        <v>139</v>
      </c>
      <c r="E2363" s="336">
        <v>43671</v>
      </c>
      <c r="F2363" s="336">
        <v>43671</v>
      </c>
      <c r="G2363" s="350">
        <v>43671</v>
      </c>
      <c r="H2363" s="334" t="s">
        <v>6320</v>
      </c>
      <c r="I2363" s="356">
        <v>18916889883</v>
      </c>
      <c r="J2363" s="361" t="s">
        <v>6321</v>
      </c>
      <c r="K2363" s="356">
        <v>0</v>
      </c>
      <c r="L2363" s="334">
        <v>2781</v>
      </c>
      <c r="M2363" s="419"/>
      <c r="N2363" s="362">
        <f t="shared" si="85"/>
        <v>2781</v>
      </c>
      <c r="O2363" s="356"/>
      <c r="P2363" s="356"/>
      <c r="Q2363" s="356"/>
      <c r="R2363" s="356"/>
      <c r="S2363" s="356"/>
      <c r="T2363" s="356"/>
      <c r="U2363" s="372"/>
      <c r="V2363" s="372"/>
      <c r="W2363" s="372"/>
      <c r="X2363" s="373"/>
      <c r="Y2363" s="348"/>
      <c r="Z2363" s="348"/>
      <c r="AA2363" s="348"/>
    </row>
    <row r="2364" s="331" customFormat="1" ht="17" customHeight="1" spans="1:27">
      <c r="A2364" s="550" t="s">
        <v>6322</v>
      </c>
      <c r="B2364" s="348" t="s">
        <v>315</v>
      </c>
      <c r="C2364" s="348" t="s">
        <v>161</v>
      </c>
      <c r="D2364" s="352" t="s">
        <v>162</v>
      </c>
      <c r="E2364" s="336">
        <v>43671</v>
      </c>
      <c r="F2364" s="336">
        <v>43661</v>
      </c>
      <c r="G2364" s="336">
        <v>43677</v>
      </c>
      <c r="H2364" s="334" t="s">
        <v>6323</v>
      </c>
      <c r="I2364" s="356">
        <v>13601762306</v>
      </c>
      <c r="J2364" s="361" t="s">
        <v>6324</v>
      </c>
      <c r="K2364" s="356">
        <v>1000</v>
      </c>
      <c r="L2364" s="334">
        <v>6000</v>
      </c>
      <c r="M2364" s="419"/>
      <c r="N2364" s="362">
        <f t="shared" si="85"/>
        <v>6000</v>
      </c>
      <c r="O2364" s="356"/>
      <c r="P2364" s="356">
        <v>1</v>
      </c>
      <c r="Q2364" s="356"/>
      <c r="R2364" s="356"/>
      <c r="S2364" s="356"/>
      <c r="T2364" s="356"/>
      <c r="U2364" s="372"/>
      <c r="V2364" s="372"/>
      <c r="W2364" s="372"/>
      <c r="X2364" s="373"/>
      <c r="Y2364" s="348"/>
      <c r="Z2364" s="348"/>
      <c r="AA2364" s="348"/>
    </row>
    <row r="2365" s="331" customFormat="1" ht="17" customHeight="1" spans="1:27">
      <c r="A2365" s="550" t="s">
        <v>6325</v>
      </c>
      <c r="B2365" s="348" t="s">
        <v>315</v>
      </c>
      <c r="C2365" s="348" t="s">
        <v>161</v>
      </c>
      <c r="D2365" s="352" t="s">
        <v>162</v>
      </c>
      <c r="E2365" s="336">
        <v>43671</v>
      </c>
      <c r="F2365" s="336">
        <v>43662</v>
      </c>
      <c r="G2365" s="350">
        <v>43666</v>
      </c>
      <c r="H2365" s="334" t="s">
        <v>6186</v>
      </c>
      <c r="I2365" s="356">
        <v>13918004504</v>
      </c>
      <c r="J2365" s="361" t="s">
        <v>6326</v>
      </c>
      <c r="K2365" s="356">
        <v>1000</v>
      </c>
      <c r="L2365" s="419"/>
      <c r="M2365" s="419"/>
      <c r="N2365" s="362">
        <f t="shared" si="85"/>
        <v>0</v>
      </c>
      <c r="O2365" s="356"/>
      <c r="P2365" s="356"/>
      <c r="Q2365" s="356"/>
      <c r="R2365" s="356"/>
      <c r="S2365" s="356"/>
      <c r="T2365" s="356"/>
      <c r="U2365" s="372"/>
      <c r="V2365" s="372"/>
      <c r="W2365" s="372"/>
      <c r="X2365" s="373"/>
      <c r="Y2365" s="348"/>
      <c r="Z2365" s="348"/>
      <c r="AA2365" s="348"/>
    </row>
    <row r="2366" s="331" customFormat="1" ht="17" customHeight="1" spans="1:27">
      <c r="A2366" s="550" t="s">
        <v>6327</v>
      </c>
      <c r="B2366" s="348" t="s">
        <v>31</v>
      </c>
      <c r="C2366" s="348" t="s">
        <v>251</v>
      </c>
      <c r="D2366" s="349" t="s">
        <v>221</v>
      </c>
      <c r="E2366" s="336">
        <v>43671</v>
      </c>
      <c r="F2366" s="336">
        <v>43671</v>
      </c>
      <c r="G2366" s="336">
        <v>43677</v>
      </c>
      <c r="H2366" s="334" t="s">
        <v>2909</v>
      </c>
      <c r="I2366" s="356">
        <v>13817610993</v>
      </c>
      <c r="J2366" s="361" t="s">
        <v>6328</v>
      </c>
      <c r="K2366" s="356">
        <v>10000</v>
      </c>
      <c r="L2366" s="334">
        <v>16189</v>
      </c>
      <c r="M2366" s="419"/>
      <c r="N2366" s="362">
        <f t="shared" si="85"/>
        <v>16189</v>
      </c>
      <c r="O2366" s="356"/>
      <c r="P2366" s="356"/>
      <c r="Q2366" s="356"/>
      <c r="R2366" s="356"/>
      <c r="S2366" s="356"/>
      <c r="T2366" s="356"/>
      <c r="U2366" s="372"/>
      <c r="V2366" s="372"/>
      <c r="W2366" s="372"/>
      <c r="X2366" s="373"/>
      <c r="Y2366" s="348"/>
      <c r="Z2366" s="348"/>
      <c r="AA2366" s="348"/>
    </row>
    <row r="2367" s="331" customFormat="1" ht="17" customHeight="1" spans="1:27">
      <c r="A2367" s="550" t="s">
        <v>6329</v>
      </c>
      <c r="B2367" s="348" t="s">
        <v>315</v>
      </c>
      <c r="C2367" s="334" t="s">
        <v>161</v>
      </c>
      <c r="D2367" s="349" t="s">
        <v>132</v>
      </c>
      <c r="E2367" s="336">
        <v>43683</v>
      </c>
      <c r="F2367" s="336">
        <v>43670</v>
      </c>
      <c r="G2367" s="336">
        <v>43683</v>
      </c>
      <c r="H2367" s="334" t="s">
        <v>6330</v>
      </c>
      <c r="I2367" s="356">
        <v>13777999101</v>
      </c>
      <c r="J2367" s="361" t="s">
        <v>6331</v>
      </c>
      <c r="K2367" s="356">
        <v>1000</v>
      </c>
      <c r="L2367" s="334">
        <v>18500</v>
      </c>
      <c r="M2367" s="419"/>
      <c r="N2367" s="362">
        <f t="shared" si="85"/>
        <v>18500</v>
      </c>
      <c r="O2367" s="356"/>
      <c r="P2367" s="356"/>
      <c r="Q2367" s="356"/>
      <c r="R2367" s="356"/>
      <c r="S2367" s="356">
        <v>1</v>
      </c>
      <c r="T2367" s="356"/>
      <c r="U2367" s="372"/>
      <c r="V2367" s="372"/>
      <c r="W2367" s="372"/>
      <c r="X2367" s="373"/>
      <c r="Y2367" s="348"/>
      <c r="Z2367" s="348"/>
      <c r="AA2367" s="348"/>
    </row>
    <row r="2368" s="331" customFormat="1" ht="17" customHeight="1" spans="1:27">
      <c r="A2368" s="550" t="s">
        <v>6332</v>
      </c>
      <c r="B2368" s="348" t="s">
        <v>315</v>
      </c>
      <c r="C2368" s="348" t="s">
        <v>366</v>
      </c>
      <c r="D2368" s="349" t="s">
        <v>132</v>
      </c>
      <c r="E2368" s="336">
        <v>43671</v>
      </c>
      <c r="F2368" s="336">
        <v>43666</v>
      </c>
      <c r="G2368" s="336">
        <v>43670</v>
      </c>
      <c r="H2368" s="334" t="s">
        <v>6333</v>
      </c>
      <c r="I2368" s="356">
        <v>13917577582</v>
      </c>
      <c r="J2368" s="361" t="s">
        <v>6334</v>
      </c>
      <c r="K2368" s="356">
        <v>1000</v>
      </c>
      <c r="L2368" s="356">
        <v>6709</v>
      </c>
      <c r="M2368" s="334">
        <v>1104</v>
      </c>
      <c r="N2368" s="362">
        <f t="shared" si="85"/>
        <v>7813</v>
      </c>
      <c r="O2368" s="356"/>
      <c r="P2368" s="356"/>
      <c r="Q2368" s="356"/>
      <c r="R2368" s="356"/>
      <c r="S2368" s="356"/>
      <c r="T2368" s="356"/>
      <c r="U2368" s="372"/>
      <c r="V2368" s="372"/>
      <c r="W2368" s="372"/>
      <c r="X2368" s="373"/>
      <c r="Y2368" s="348"/>
      <c r="Z2368" s="348"/>
      <c r="AA2368" s="348"/>
    </row>
    <row r="2369" s="331" customFormat="1" ht="17" customHeight="1" spans="1:27">
      <c r="A2369" s="348">
        <v>2022262</v>
      </c>
      <c r="B2369" s="348" t="s">
        <v>243</v>
      </c>
      <c r="C2369" s="348" t="s">
        <v>309</v>
      </c>
      <c r="D2369" s="352" t="s">
        <v>49</v>
      </c>
      <c r="E2369" s="336">
        <v>43709</v>
      </c>
      <c r="F2369" s="336">
        <v>43671</v>
      </c>
      <c r="G2369" s="336">
        <v>43709</v>
      </c>
      <c r="H2369" s="334" t="s">
        <v>6335</v>
      </c>
      <c r="I2369" s="356">
        <v>13818535742</v>
      </c>
      <c r="J2369" s="361" t="s">
        <v>6336</v>
      </c>
      <c r="K2369" s="356">
        <v>5000</v>
      </c>
      <c r="L2369" s="334">
        <f>25915-1840</f>
        <v>24075</v>
      </c>
      <c r="M2369" s="334">
        <v>1840</v>
      </c>
      <c r="N2369" s="362">
        <f t="shared" si="85"/>
        <v>25915</v>
      </c>
      <c r="O2369" s="356"/>
      <c r="P2369" s="356"/>
      <c r="Q2369" s="356" t="s">
        <v>52</v>
      </c>
      <c r="R2369" s="356"/>
      <c r="S2369" s="356"/>
      <c r="T2369" s="356"/>
      <c r="U2369" s="372"/>
      <c r="V2369" s="372"/>
      <c r="W2369" s="372"/>
      <c r="X2369" s="373"/>
      <c r="Y2369" s="348"/>
      <c r="Z2369" s="348"/>
      <c r="AA2369" s="348"/>
    </row>
    <row r="2370" s="331" customFormat="1" ht="17" customHeight="1" spans="1:27">
      <c r="A2370" s="348">
        <v>2066946</v>
      </c>
      <c r="B2370" s="348" t="s">
        <v>335</v>
      </c>
      <c r="C2370" s="348" t="s">
        <v>615</v>
      </c>
      <c r="D2370" s="352" t="s">
        <v>337</v>
      </c>
      <c r="E2370" s="336">
        <v>43671</v>
      </c>
      <c r="F2370" s="336">
        <v>43667</v>
      </c>
      <c r="G2370" s="336">
        <v>43677</v>
      </c>
      <c r="H2370" s="334" t="s">
        <v>6337</v>
      </c>
      <c r="I2370" s="356" t="s">
        <v>6338</v>
      </c>
      <c r="J2370" s="361" t="s">
        <v>6339</v>
      </c>
      <c r="K2370" s="356">
        <v>1000</v>
      </c>
      <c r="L2370" s="334">
        <v>13400</v>
      </c>
      <c r="M2370" s="419"/>
      <c r="N2370" s="362">
        <f t="shared" si="85"/>
        <v>13400</v>
      </c>
      <c r="O2370" s="356"/>
      <c r="P2370" s="356"/>
      <c r="Q2370" s="356"/>
      <c r="R2370" s="356"/>
      <c r="S2370" s="356"/>
      <c r="T2370" s="356"/>
      <c r="U2370" s="372"/>
      <c r="V2370" s="372"/>
      <c r="W2370" s="376" t="s">
        <v>403</v>
      </c>
      <c r="X2370" s="373"/>
      <c r="Y2370" s="348"/>
      <c r="Z2370" s="348"/>
      <c r="AA2370" s="348"/>
    </row>
    <row r="2371" s="331" customFormat="1" ht="17" customHeight="1" spans="1:27">
      <c r="A2371" s="550" t="s">
        <v>6340</v>
      </c>
      <c r="B2371" s="348" t="s">
        <v>31</v>
      </c>
      <c r="C2371" s="334" t="s">
        <v>251</v>
      </c>
      <c r="D2371" s="349" t="s">
        <v>33</v>
      </c>
      <c r="E2371" s="336">
        <v>43671</v>
      </c>
      <c r="F2371" s="336">
        <v>43671</v>
      </c>
      <c r="G2371" s="350">
        <v>43671</v>
      </c>
      <c r="H2371" s="334" t="s">
        <v>6341</v>
      </c>
      <c r="I2371" s="356">
        <v>13482325959</v>
      </c>
      <c r="J2371" s="361" t="s">
        <v>6342</v>
      </c>
      <c r="K2371" s="356">
        <v>2765</v>
      </c>
      <c r="L2371" s="334">
        <v>2497</v>
      </c>
      <c r="M2371" s="334">
        <v>268</v>
      </c>
      <c r="N2371" s="362">
        <f t="shared" si="85"/>
        <v>2765</v>
      </c>
      <c r="O2371" s="356"/>
      <c r="P2371" s="356"/>
      <c r="Q2371" s="356"/>
      <c r="R2371" s="356"/>
      <c r="S2371" s="356"/>
      <c r="T2371" s="356"/>
      <c r="U2371" s="372"/>
      <c r="V2371" s="372"/>
      <c r="W2371" s="372"/>
      <c r="X2371" s="373"/>
      <c r="Y2371" s="348"/>
      <c r="Z2371" s="348"/>
      <c r="AA2371" s="348"/>
    </row>
    <row r="2372" s="331" customFormat="1" ht="17" customHeight="1" spans="1:27">
      <c r="A2372" s="348"/>
      <c r="B2372" s="348" t="s">
        <v>58</v>
      </c>
      <c r="C2372" s="334" t="s">
        <v>347</v>
      </c>
      <c r="D2372" s="349" t="s">
        <v>343</v>
      </c>
      <c r="E2372" s="336">
        <v>43671</v>
      </c>
      <c r="F2372" s="336"/>
      <c r="G2372" s="336">
        <v>43667</v>
      </c>
      <c r="H2372" s="334" t="s">
        <v>6343</v>
      </c>
      <c r="I2372" s="356">
        <v>13661917243</v>
      </c>
      <c r="J2372" s="361" t="s">
        <v>6344</v>
      </c>
      <c r="K2372" s="356"/>
      <c r="L2372" s="334">
        <v>12845</v>
      </c>
      <c r="M2372" s="419"/>
      <c r="N2372" s="362">
        <f t="shared" si="85"/>
        <v>12845</v>
      </c>
      <c r="O2372" s="356"/>
      <c r="P2372" s="356"/>
      <c r="Q2372" s="356"/>
      <c r="R2372" s="356"/>
      <c r="S2372" s="356"/>
      <c r="T2372" s="356"/>
      <c r="U2372" s="372"/>
      <c r="V2372" s="372"/>
      <c r="W2372" s="372"/>
      <c r="X2372" s="373"/>
      <c r="Y2372" s="348"/>
      <c r="Z2372" s="348"/>
      <c r="AA2372" s="348"/>
    </row>
    <row r="2373" s="331" customFormat="1" ht="17" customHeight="1" spans="1:27">
      <c r="A2373" s="348"/>
      <c r="B2373" s="348" t="s">
        <v>153</v>
      </c>
      <c r="C2373" s="334" t="s">
        <v>302</v>
      </c>
      <c r="D2373" s="349" t="s">
        <v>155</v>
      </c>
      <c r="E2373" s="336">
        <v>43671</v>
      </c>
      <c r="F2373" s="336"/>
      <c r="G2373" s="336">
        <v>43668</v>
      </c>
      <c r="H2373" s="334" t="s">
        <v>6345</v>
      </c>
      <c r="I2373" s="356">
        <v>13934135762</v>
      </c>
      <c r="J2373" s="361" t="s">
        <v>6346</v>
      </c>
      <c r="K2373" s="356"/>
      <c r="L2373" s="334">
        <v>22520</v>
      </c>
      <c r="M2373" s="419"/>
      <c r="N2373" s="362">
        <f t="shared" si="85"/>
        <v>22520</v>
      </c>
      <c r="O2373" s="356"/>
      <c r="P2373" s="356"/>
      <c r="Q2373" s="356"/>
      <c r="R2373" s="356"/>
      <c r="S2373" s="356"/>
      <c r="T2373" s="356"/>
      <c r="U2373" s="372"/>
      <c r="V2373" s="372"/>
      <c r="W2373" s="372"/>
      <c r="X2373" s="373"/>
      <c r="Y2373" s="348"/>
      <c r="Z2373" s="348"/>
      <c r="AA2373" s="348"/>
    </row>
    <row r="2374" s="331" customFormat="1" ht="17" customHeight="1" spans="1:27">
      <c r="A2374" s="348"/>
      <c r="B2374" s="348" t="s">
        <v>137</v>
      </c>
      <c r="C2374" s="348" t="s">
        <v>861</v>
      </c>
      <c r="D2374" s="349" t="s">
        <v>139</v>
      </c>
      <c r="E2374" s="336">
        <v>43671</v>
      </c>
      <c r="F2374" s="336" t="s">
        <v>800</v>
      </c>
      <c r="G2374" s="336">
        <v>43667</v>
      </c>
      <c r="H2374" s="269" t="s">
        <v>6347</v>
      </c>
      <c r="I2374" s="356">
        <v>18101810845</v>
      </c>
      <c r="J2374" s="361" t="s">
        <v>6348</v>
      </c>
      <c r="K2374" s="356"/>
      <c r="L2374" s="419"/>
      <c r="M2374" s="334">
        <v>5860</v>
      </c>
      <c r="N2374" s="362">
        <f t="shared" si="85"/>
        <v>5860</v>
      </c>
      <c r="O2374" s="356"/>
      <c r="P2374" s="356"/>
      <c r="Q2374" s="356"/>
      <c r="R2374" s="356"/>
      <c r="S2374" s="356"/>
      <c r="T2374" s="356"/>
      <c r="U2374" s="372"/>
      <c r="V2374" s="372"/>
      <c r="W2374" s="372"/>
      <c r="X2374" s="373"/>
      <c r="Y2374" s="348"/>
      <c r="Z2374" s="348"/>
      <c r="AA2374" s="348"/>
    </row>
    <row r="2375" s="331" customFormat="1" ht="17" customHeight="1" spans="1:27">
      <c r="A2375" s="348"/>
      <c r="B2375" s="348" t="s">
        <v>31</v>
      </c>
      <c r="C2375" s="334" t="s">
        <v>220</v>
      </c>
      <c r="D2375" s="349" t="s">
        <v>33</v>
      </c>
      <c r="E2375" s="336">
        <v>43671</v>
      </c>
      <c r="F2375" s="336" t="s">
        <v>800</v>
      </c>
      <c r="G2375" s="336">
        <v>43662</v>
      </c>
      <c r="H2375" s="269" t="s">
        <v>1177</v>
      </c>
      <c r="I2375" s="356">
        <v>13122023576</v>
      </c>
      <c r="J2375" s="361" t="s">
        <v>1178</v>
      </c>
      <c r="K2375" s="356"/>
      <c r="L2375" s="419"/>
      <c r="M2375" s="334">
        <v>1289</v>
      </c>
      <c r="N2375" s="362">
        <f t="shared" si="85"/>
        <v>1289</v>
      </c>
      <c r="O2375" s="356"/>
      <c r="P2375" s="356"/>
      <c r="Q2375" s="356"/>
      <c r="R2375" s="356"/>
      <c r="S2375" s="356"/>
      <c r="T2375" s="356"/>
      <c r="U2375" s="372"/>
      <c r="V2375" s="372"/>
      <c r="W2375" s="372"/>
      <c r="X2375" s="373"/>
      <c r="Y2375" s="348"/>
      <c r="Z2375" s="348"/>
      <c r="AA2375" s="348"/>
    </row>
    <row r="2376" s="331" customFormat="1" ht="17" customHeight="1" spans="1:27">
      <c r="A2376" s="348"/>
      <c r="B2376" s="348" t="s">
        <v>73</v>
      </c>
      <c r="C2376" s="334" t="s">
        <v>178</v>
      </c>
      <c r="D2376" s="352" t="s">
        <v>143</v>
      </c>
      <c r="E2376" s="336">
        <v>43671</v>
      </c>
      <c r="F2376" s="336" t="s">
        <v>800</v>
      </c>
      <c r="G2376" s="336">
        <v>43647</v>
      </c>
      <c r="H2376" s="334" t="s">
        <v>6349</v>
      </c>
      <c r="I2376" s="356">
        <v>13916470521</v>
      </c>
      <c r="J2376" s="361" t="s">
        <v>6350</v>
      </c>
      <c r="K2376" s="356"/>
      <c r="L2376" s="419"/>
      <c r="M2376" s="334">
        <v>-238</v>
      </c>
      <c r="N2376" s="362">
        <f t="shared" si="85"/>
        <v>-238</v>
      </c>
      <c r="O2376" s="356"/>
      <c r="P2376" s="356"/>
      <c r="Q2376" s="356"/>
      <c r="R2376" s="356"/>
      <c r="S2376" s="356"/>
      <c r="T2376" s="356"/>
      <c r="U2376" s="372"/>
      <c r="V2376" s="372"/>
      <c r="W2376" s="372"/>
      <c r="X2376" s="373"/>
      <c r="Y2376" s="348"/>
      <c r="Z2376" s="348"/>
      <c r="AA2376" s="348"/>
    </row>
    <row r="2377" s="331" customFormat="1" ht="17" customHeight="1" spans="1:27">
      <c r="A2377" s="348"/>
      <c r="B2377" s="348" t="s">
        <v>281</v>
      </c>
      <c r="C2377" s="334" t="s">
        <v>587</v>
      </c>
      <c r="D2377" s="349" t="s">
        <v>518</v>
      </c>
      <c r="E2377" s="336">
        <v>43671</v>
      </c>
      <c r="F2377" s="336" t="s">
        <v>800</v>
      </c>
      <c r="G2377" s="336">
        <v>43665</v>
      </c>
      <c r="H2377" s="334" t="s">
        <v>6351</v>
      </c>
      <c r="I2377" s="356">
        <v>13818561232</v>
      </c>
      <c r="J2377" s="361" t="s">
        <v>6352</v>
      </c>
      <c r="K2377" s="356"/>
      <c r="L2377" s="419"/>
      <c r="M2377" s="334">
        <v>0</v>
      </c>
      <c r="N2377" s="362">
        <f t="shared" si="85"/>
        <v>0</v>
      </c>
      <c r="O2377" s="356"/>
      <c r="P2377" s="356"/>
      <c r="Q2377" s="356"/>
      <c r="R2377" s="356"/>
      <c r="S2377" s="356"/>
      <c r="T2377" s="356"/>
      <c r="U2377" s="372"/>
      <c r="V2377" s="372"/>
      <c r="W2377" s="372"/>
      <c r="X2377" s="373"/>
      <c r="Y2377" s="348"/>
      <c r="Z2377" s="348"/>
      <c r="AA2377" s="348"/>
    </row>
    <row r="2378" s="331" customFormat="1" ht="17" customHeight="1" spans="1:27">
      <c r="A2378" s="348"/>
      <c r="B2378" s="348" t="s">
        <v>281</v>
      </c>
      <c r="C2378" s="334" t="s">
        <v>587</v>
      </c>
      <c r="D2378" s="349" t="s">
        <v>518</v>
      </c>
      <c r="E2378" s="336">
        <v>43671</v>
      </c>
      <c r="F2378" s="336" t="s">
        <v>800</v>
      </c>
      <c r="G2378" s="336">
        <v>43671</v>
      </c>
      <c r="H2378" s="334" t="s">
        <v>6353</v>
      </c>
      <c r="I2378" s="356">
        <v>13916785778</v>
      </c>
      <c r="J2378" s="361" t="s">
        <v>6354</v>
      </c>
      <c r="K2378" s="356"/>
      <c r="L2378" s="419"/>
      <c r="M2378" s="334">
        <v>0</v>
      </c>
      <c r="N2378" s="362">
        <f t="shared" si="85"/>
        <v>0</v>
      </c>
      <c r="O2378" s="356"/>
      <c r="P2378" s="356"/>
      <c r="Q2378" s="356"/>
      <c r="R2378" s="356"/>
      <c r="S2378" s="356"/>
      <c r="T2378" s="356"/>
      <c r="U2378" s="372"/>
      <c r="V2378" s="372"/>
      <c r="W2378" s="372"/>
      <c r="X2378" s="373"/>
      <c r="Y2378" s="348"/>
      <c r="Z2378" s="348"/>
      <c r="AA2378" s="348"/>
    </row>
    <row r="2379" s="331" customFormat="1" ht="17" customHeight="1" spans="1:27">
      <c r="A2379" s="348"/>
      <c r="B2379" s="348" t="s">
        <v>73</v>
      </c>
      <c r="C2379" s="334" t="s">
        <v>74</v>
      </c>
      <c r="D2379" s="349" t="s">
        <v>143</v>
      </c>
      <c r="E2379" s="336">
        <v>43671</v>
      </c>
      <c r="F2379" s="336" t="s">
        <v>800</v>
      </c>
      <c r="G2379" s="336">
        <v>43670</v>
      </c>
      <c r="H2379" s="334" t="s">
        <v>6355</v>
      </c>
      <c r="I2379" s="356">
        <v>18621636522</v>
      </c>
      <c r="J2379" s="361" t="s">
        <v>6356</v>
      </c>
      <c r="K2379" s="356"/>
      <c r="L2379" s="419"/>
      <c r="M2379" s="334">
        <v>974</v>
      </c>
      <c r="N2379" s="362">
        <f t="shared" si="85"/>
        <v>974</v>
      </c>
      <c r="O2379" s="356"/>
      <c r="P2379" s="356"/>
      <c r="Q2379" s="356"/>
      <c r="R2379" s="356"/>
      <c r="S2379" s="356"/>
      <c r="T2379" s="356"/>
      <c r="U2379" s="372"/>
      <c r="V2379" s="372"/>
      <c r="W2379" s="372"/>
      <c r="X2379" s="373"/>
      <c r="Y2379" s="348"/>
      <c r="Z2379" s="348"/>
      <c r="AA2379" s="348"/>
    </row>
    <row r="2380" s="331" customFormat="1" ht="17" customHeight="1" spans="1:27">
      <c r="A2380" s="348"/>
      <c r="B2380" s="348" t="s">
        <v>47</v>
      </c>
      <c r="C2380" s="334" t="s">
        <v>53</v>
      </c>
      <c r="D2380" s="352" t="s">
        <v>49</v>
      </c>
      <c r="E2380" s="336">
        <v>43695</v>
      </c>
      <c r="F2380" s="336" t="s">
        <v>800</v>
      </c>
      <c r="G2380" s="336">
        <v>43695</v>
      </c>
      <c r="H2380" s="334" t="s">
        <v>6357</v>
      </c>
      <c r="I2380" s="356">
        <v>18116282816</v>
      </c>
      <c r="J2380" s="361" t="s">
        <v>6358</v>
      </c>
      <c r="K2380" s="356"/>
      <c r="L2380" s="419"/>
      <c r="M2380" s="334">
        <v>2356</v>
      </c>
      <c r="N2380" s="362">
        <f t="shared" si="85"/>
        <v>2356</v>
      </c>
      <c r="O2380" s="356"/>
      <c r="P2380" s="356"/>
      <c r="Q2380" s="356"/>
      <c r="R2380" s="356"/>
      <c r="S2380" s="356"/>
      <c r="T2380" s="356"/>
      <c r="U2380" s="372"/>
      <c r="V2380" s="372"/>
      <c r="W2380" s="372"/>
      <c r="X2380" s="373"/>
      <c r="Y2380" s="348"/>
      <c r="Z2380" s="348"/>
      <c r="AA2380" s="348"/>
    </row>
    <row r="2381" s="331" customFormat="1" ht="17" customHeight="1" spans="1:27">
      <c r="A2381" s="348"/>
      <c r="B2381" s="348" t="s">
        <v>315</v>
      </c>
      <c r="C2381" s="334" t="s">
        <v>161</v>
      </c>
      <c r="D2381" s="349" t="s">
        <v>162</v>
      </c>
      <c r="E2381" s="336">
        <v>43671</v>
      </c>
      <c r="F2381" s="336" t="s">
        <v>800</v>
      </c>
      <c r="G2381" s="336">
        <v>43671</v>
      </c>
      <c r="H2381" s="334" t="s">
        <v>6359</v>
      </c>
      <c r="I2381" s="356">
        <v>17612159519</v>
      </c>
      <c r="J2381" s="361" t="s">
        <v>6360</v>
      </c>
      <c r="K2381" s="356"/>
      <c r="L2381" s="419"/>
      <c r="M2381" s="419">
        <f>112+736</f>
        <v>848</v>
      </c>
      <c r="N2381" s="362">
        <f t="shared" si="85"/>
        <v>848</v>
      </c>
      <c r="O2381" s="356"/>
      <c r="P2381" s="356"/>
      <c r="Q2381" s="356"/>
      <c r="R2381" s="356"/>
      <c r="S2381" s="356"/>
      <c r="T2381" s="356"/>
      <c r="U2381" s="372"/>
      <c r="V2381" s="372"/>
      <c r="W2381" s="372"/>
      <c r="X2381" s="373"/>
      <c r="Y2381" s="348"/>
      <c r="Z2381" s="348"/>
      <c r="AA2381" s="348"/>
    </row>
    <row r="2382" s="331" customFormat="1" ht="17" customHeight="1" spans="1:27">
      <c r="A2382" s="348"/>
      <c r="B2382" s="348" t="s">
        <v>31</v>
      </c>
      <c r="C2382" s="348" t="s">
        <v>419</v>
      </c>
      <c r="D2382" s="349" t="s">
        <v>221</v>
      </c>
      <c r="E2382" s="336">
        <v>43671</v>
      </c>
      <c r="F2382" s="336" t="s">
        <v>800</v>
      </c>
      <c r="G2382" s="336">
        <v>43671</v>
      </c>
      <c r="H2382" s="334" t="s">
        <v>5868</v>
      </c>
      <c r="I2382" s="356">
        <v>15800989818</v>
      </c>
      <c r="J2382" s="361" t="s">
        <v>5869</v>
      </c>
      <c r="K2382" s="356"/>
      <c r="L2382" s="419"/>
      <c r="M2382" s="334">
        <v>4845</v>
      </c>
      <c r="N2382" s="362">
        <f t="shared" si="85"/>
        <v>4845</v>
      </c>
      <c r="O2382" s="356"/>
      <c r="P2382" s="356"/>
      <c r="Q2382" s="356"/>
      <c r="R2382" s="356"/>
      <c r="S2382" s="356"/>
      <c r="T2382" s="356"/>
      <c r="U2382" s="372"/>
      <c r="V2382" s="372"/>
      <c r="W2382" s="372"/>
      <c r="X2382" s="373"/>
      <c r="Y2382" s="348"/>
      <c r="Z2382" s="348"/>
      <c r="AA2382" s="348"/>
    </row>
    <row r="2383" s="331" customFormat="1" ht="17" customHeight="1" spans="1:27">
      <c r="A2383" s="348"/>
      <c r="B2383" s="348" t="s">
        <v>137</v>
      </c>
      <c r="C2383" s="334" t="s">
        <v>406</v>
      </c>
      <c r="D2383" s="349" t="s">
        <v>427</v>
      </c>
      <c r="E2383" s="336">
        <v>43671</v>
      </c>
      <c r="F2383" s="336" t="s">
        <v>800</v>
      </c>
      <c r="G2383" s="336">
        <v>43669</v>
      </c>
      <c r="H2383" s="334" t="s">
        <v>5644</v>
      </c>
      <c r="I2383" s="356">
        <v>13817905643</v>
      </c>
      <c r="J2383" s="361" t="s">
        <v>5645</v>
      </c>
      <c r="K2383" s="356"/>
      <c r="L2383" s="419"/>
      <c r="M2383" s="334">
        <v>-1663</v>
      </c>
      <c r="N2383" s="362">
        <f t="shared" si="85"/>
        <v>-1663</v>
      </c>
      <c r="O2383" s="356"/>
      <c r="P2383" s="356"/>
      <c r="Q2383" s="356"/>
      <c r="R2383" s="356"/>
      <c r="S2383" s="356"/>
      <c r="T2383" s="356"/>
      <c r="U2383" s="372"/>
      <c r="V2383" s="372"/>
      <c r="W2383" s="372"/>
      <c r="X2383" s="373"/>
      <c r="Y2383" s="348"/>
      <c r="Z2383" s="348"/>
      <c r="AA2383" s="348"/>
    </row>
    <row r="2384" s="331" customFormat="1" ht="17" customHeight="1" spans="1:27">
      <c r="A2384" s="348"/>
      <c r="B2384" s="348" t="s">
        <v>137</v>
      </c>
      <c r="C2384" s="348" t="s">
        <v>411</v>
      </c>
      <c r="D2384" s="349" t="s">
        <v>139</v>
      </c>
      <c r="E2384" s="336">
        <v>43671</v>
      </c>
      <c r="F2384" s="336" t="s">
        <v>800</v>
      </c>
      <c r="G2384" s="336">
        <v>43669</v>
      </c>
      <c r="H2384" s="334" t="s">
        <v>4520</v>
      </c>
      <c r="I2384" s="356">
        <v>13655115000</v>
      </c>
      <c r="J2384" s="361" t="s">
        <v>6361</v>
      </c>
      <c r="K2384" s="356"/>
      <c r="L2384" s="419"/>
      <c r="M2384" s="334">
        <v>1559</v>
      </c>
      <c r="N2384" s="362">
        <f t="shared" si="85"/>
        <v>1559</v>
      </c>
      <c r="O2384" s="356"/>
      <c r="P2384" s="356"/>
      <c r="Q2384" s="356"/>
      <c r="R2384" s="356"/>
      <c r="S2384" s="356"/>
      <c r="T2384" s="356"/>
      <c r="U2384" s="372"/>
      <c r="V2384" s="372"/>
      <c r="W2384" s="372"/>
      <c r="X2384" s="373"/>
      <c r="Y2384" s="348"/>
      <c r="Z2384" s="348"/>
      <c r="AA2384" s="348"/>
    </row>
    <row r="2385" s="331" customFormat="1" ht="17" customHeight="1" spans="1:27">
      <c r="A2385" s="348"/>
      <c r="B2385" s="348" t="s">
        <v>123</v>
      </c>
      <c r="C2385" s="348" t="s">
        <v>124</v>
      </c>
      <c r="D2385" s="349" t="s">
        <v>125</v>
      </c>
      <c r="E2385" s="336">
        <v>43671</v>
      </c>
      <c r="F2385" s="336" t="s">
        <v>800</v>
      </c>
      <c r="G2385" s="336">
        <v>43671</v>
      </c>
      <c r="H2385" s="334" t="s">
        <v>4740</v>
      </c>
      <c r="I2385" s="356">
        <v>13564801933</v>
      </c>
      <c r="J2385" s="361" t="s">
        <v>4741</v>
      </c>
      <c r="K2385" s="356"/>
      <c r="L2385" s="419"/>
      <c r="M2385" s="334">
        <v>600</v>
      </c>
      <c r="N2385" s="362">
        <f t="shared" si="85"/>
        <v>600</v>
      </c>
      <c r="O2385" s="356"/>
      <c r="P2385" s="356"/>
      <c r="Q2385" s="356"/>
      <c r="R2385" s="356"/>
      <c r="S2385" s="356"/>
      <c r="T2385" s="356"/>
      <c r="U2385" s="372"/>
      <c r="V2385" s="372"/>
      <c r="W2385" s="372"/>
      <c r="X2385" s="373"/>
      <c r="Y2385" s="348"/>
      <c r="Z2385" s="348"/>
      <c r="AA2385" s="348"/>
    </row>
    <row r="2386" s="331" customFormat="1" ht="17" customHeight="1" spans="1:27">
      <c r="A2386" s="348"/>
      <c r="B2386" s="348" t="s">
        <v>58</v>
      </c>
      <c r="C2386" s="348" t="s">
        <v>451</v>
      </c>
      <c r="D2386" s="349" t="s">
        <v>343</v>
      </c>
      <c r="E2386" s="336">
        <v>43671</v>
      </c>
      <c r="F2386" s="336" t="s">
        <v>800</v>
      </c>
      <c r="G2386" s="336">
        <v>43671</v>
      </c>
      <c r="H2386" s="334" t="s">
        <v>1745</v>
      </c>
      <c r="I2386" s="356">
        <v>18621930775</v>
      </c>
      <c r="J2386" s="361" t="s">
        <v>1746</v>
      </c>
      <c r="K2386" s="356"/>
      <c r="L2386" s="419"/>
      <c r="M2386" s="334">
        <v>1818</v>
      </c>
      <c r="N2386" s="362">
        <f t="shared" si="85"/>
        <v>1818</v>
      </c>
      <c r="O2386" s="356"/>
      <c r="P2386" s="356"/>
      <c r="Q2386" s="356"/>
      <c r="R2386" s="356"/>
      <c r="S2386" s="356"/>
      <c r="T2386" s="356"/>
      <c r="U2386" s="372"/>
      <c r="V2386" s="372"/>
      <c r="W2386" s="372"/>
      <c r="X2386" s="373"/>
      <c r="Y2386" s="348"/>
      <c r="Z2386" s="348"/>
      <c r="AA2386" s="348"/>
    </row>
    <row r="2387" s="331" customFormat="1" ht="17" customHeight="1" spans="1:27">
      <c r="A2387" s="348"/>
      <c r="B2387" s="348" t="s">
        <v>185</v>
      </c>
      <c r="C2387" s="348" t="s">
        <v>1620</v>
      </c>
      <c r="D2387" s="349" t="s">
        <v>44</v>
      </c>
      <c r="E2387" s="336">
        <v>43669</v>
      </c>
      <c r="F2387" s="336" t="s">
        <v>800</v>
      </c>
      <c r="G2387" s="336">
        <v>43665</v>
      </c>
      <c r="H2387" s="334" t="s">
        <v>2184</v>
      </c>
      <c r="I2387" s="356">
        <v>13818257441</v>
      </c>
      <c r="J2387" s="361" t="s">
        <v>6362</v>
      </c>
      <c r="K2387" s="356"/>
      <c r="L2387" s="419"/>
      <c r="M2387" s="334">
        <v>2308</v>
      </c>
      <c r="N2387" s="362">
        <f t="shared" si="85"/>
        <v>2308</v>
      </c>
      <c r="O2387" s="356"/>
      <c r="P2387" s="356"/>
      <c r="Q2387" s="356"/>
      <c r="R2387" s="356"/>
      <c r="S2387" s="356"/>
      <c r="T2387" s="356"/>
      <c r="U2387" s="372"/>
      <c r="V2387" s="372"/>
      <c r="W2387" s="372"/>
      <c r="X2387" s="373"/>
      <c r="Y2387" s="348"/>
      <c r="Z2387" s="348"/>
      <c r="AA2387" s="348"/>
    </row>
    <row r="2388" s="331" customFormat="1" ht="17" customHeight="1" spans="1:27">
      <c r="A2388" s="348"/>
      <c r="B2388" s="348" t="s">
        <v>185</v>
      </c>
      <c r="C2388" s="348" t="s">
        <v>886</v>
      </c>
      <c r="D2388" s="349" t="s">
        <v>187</v>
      </c>
      <c r="E2388" s="336">
        <v>43669</v>
      </c>
      <c r="F2388" s="336" t="s">
        <v>800</v>
      </c>
      <c r="G2388" s="336">
        <v>43668</v>
      </c>
      <c r="H2388" s="334" t="s">
        <v>3828</v>
      </c>
      <c r="I2388" s="356" t="s">
        <v>3829</v>
      </c>
      <c r="J2388" s="361" t="s">
        <v>3830</v>
      </c>
      <c r="K2388" s="356"/>
      <c r="L2388" s="419"/>
      <c r="M2388" s="334">
        <v>1000</v>
      </c>
      <c r="N2388" s="362">
        <f t="shared" si="85"/>
        <v>1000</v>
      </c>
      <c r="O2388" s="356"/>
      <c r="P2388" s="356"/>
      <c r="Q2388" s="356"/>
      <c r="R2388" s="356"/>
      <c r="S2388" s="356"/>
      <c r="T2388" s="356"/>
      <c r="U2388" s="372"/>
      <c r="V2388" s="372"/>
      <c r="W2388" s="372"/>
      <c r="X2388" s="373"/>
      <c r="Y2388" s="348"/>
      <c r="Z2388" s="348"/>
      <c r="AA2388" s="348"/>
    </row>
    <row r="2389" s="331" customFormat="1" ht="17" customHeight="1" spans="1:27">
      <c r="A2389" s="348"/>
      <c r="B2389" s="348" t="s">
        <v>66</v>
      </c>
      <c r="C2389" s="334" t="s">
        <v>119</v>
      </c>
      <c r="D2389" s="349" t="s">
        <v>143</v>
      </c>
      <c r="E2389" s="336">
        <v>43669</v>
      </c>
      <c r="F2389" s="336" t="s">
        <v>800</v>
      </c>
      <c r="G2389" s="336">
        <v>43669</v>
      </c>
      <c r="H2389" s="334" t="s">
        <v>5550</v>
      </c>
      <c r="I2389" s="356">
        <v>15800926683</v>
      </c>
      <c r="J2389" s="361" t="s">
        <v>5551</v>
      </c>
      <c r="K2389" s="356"/>
      <c r="L2389" s="419"/>
      <c r="M2389" s="419">
        <v>959</v>
      </c>
      <c r="N2389" s="362">
        <f t="shared" si="85"/>
        <v>959</v>
      </c>
      <c r="O2389" s="356"/>
      <c r="P2389" s="356"/>
      <c r="Q2389" s="356"/>
      <c r="R2389" s="356"/>
      <c r="S2389" s="356"/>
      <c r="T2389" s="356"/>
      <c r="U2389" s="372"/>
      <c r="V2389" s="372"/>
      <c r="W2389" s="372"/>
      <c r="X2389" s="373"/>
      <c r="Y2389" s="348"/>
      <c r="Z2389" s="348"/>
      <c r="AA2389" s="348"/>
    </row>
    <row r="2390" s="331" customFormat="1" ht="17" customHeight="1" spans="1:27">
      <c r="A2390" s="348"/>
      <c r="B2390" s="348" t="s">
        <v>137</v>
      </c>
      <c r="C2390" s="348" t="s">
        <v>138</v>
      </c>
      <c r="D2390" s="349" t="s">
        <v>68</v>
      </c>
      <c r="E2390" s="336">
        <v>43668</v>
      </c>
      <c r="F2390" s="336" t="s">
        <v>800</v>
      </c>
      <c r="G2390" s="336">
        <v>43667</v>
      </c>
      <c r="H2390" s="334" t="s">
        <v>1973</v>
      </c>
      <c r="I2390" s="356">
        <v>13818393293</v>
      </c>
      <c r="J2390" s="361" t="s">
        <v>1974</v>
      </c>
      <c r="K2390" s="356"/>
      <c r="L2390" s="419"/>
      <c r="M2390" s="419">
        <v>5519</v>
      </c>
      <c r="N2390" s="362">
        <f t="shared" si="85"/>
        <v>5519</v>
      </c>
      <c r="O2390" s="356"/>
      <c r="P2390" s="356"/>
      <c r="Q2390" s="356"/>
      <c r="R2390" s="356"/>
      <c r="S2390" s="356"/>
      <c r="T2390" s="356"/>
      <c r="U2390" s="372"/>
      <c r="V2390" s="372"/>
      <c r="W2390" s="372"/>
      <c r="X2390" s="373"/>
      <c r="Y2390" s="348"/>
      <c r="Z2390" s="348"/>
      <c r="AA2390" s="348"/>
    </row>
    <row r="2391" s="331" customFormat="1" ht="17" customHeight="1" spans="1:27">
      <c r="A2391" s="348"/>
      <c r="B2391" s="348" t="s">
        <v>42</v>
      </c>
      <c r="C2391" s="348" t="s">
        <v>43</v>
      </c>
      <c r="D2391" s="349" t="s">
        <v>182</v>
      </c>
      <c r="E2391" s="336">
        <v>43667</v>
      </c>
      <c r="F2391" s="336" t="s">
        <v>800</v>
      </c>
      <c r="G2391" s="336">
        <v>43666</v>
      </c>
      <c r="H2391" s="334" t="s">
        <v>2937</v>
      </c>
      <c r="I2391" s="356">
        <v>15201851393</v>
      </c>
      <c r="J2391" s="361" t="s">
        <v>2938</v>
      </c>
      <c r="K2391" s="356"/>
      <c r="L2391" s="419"/>
      <c r="M2391" s="334">
        <v>1924</v>
      </c>
      <c r="N2391" s="362">
        <f t="shared" si="85"/>
        <v>1924</v>
      </c>
      <c r="O2391" s="356"/>
      <c r="P2391" s="356"/>
      <c r="Q2391" s="356"/>
      <c r="R2391" s="356"/>
      <c r="S2391" s="356"/>
      <c r="T2391" s="356"/>
      <c r="U2391" s="372"/>
      <c r="V2391" s="372"/>
      <c r="W2391" s="372"/>
      <c r="X2391" s="373"/>
      <c r="Y2391" s="348"/>
      <c r="Z2391" s="348"/>
      <c r="AA2391" s="348"/>
    </row>
    <row r="2392" s="331" customFormat="1" ht="17" customHeight="1" spans="1:27">
      <c r="A2392" s="348"/>
      <c r="B2392" s="348" t="s">
        <v>205</v>
      </c>
      <c r="C2392" s="348" t="s">
        <v>1467</v>
      </c>
      <c r="D2392" s="349" t="s">
        <v>60</v>
      </c>
      <c r="E2392" s="336">
        <v>43667</v>
      </c>
      <c r="F2392" s="336" t="s">
        <v>800</v>
      </c>
      <c r="G2392" s="336">
        <v>43667</v>
      </c>
      <c r="H2392" s="334" t="s">
        <v>1883</v>
      </c>
      <c r="I2392" s="356">
        <v>18930062808</v>
      </c>
      <c r="J2392" s="361" t="s">
        <v>1884</v>
      </c>
      <c r="K2392" s="356"/>
      <c r="L2392" s="419"/>
      <c r="M2392" s="334">
        <v>1067</v>
      </c>
      <c r="N2392" s="362">
        <f t="shared" si="85"/>
        <v>1067</v>
      </c>
      <c r="O2392" s="356"/>
      <c r="P2392" s="356"/>
      <c r="Q2392" s="356"/>
      <c r="R2392" s="356"/>
      <c r="S2392" s="356"/>
      <c r="T2392" s="356"/>
      <c r="U2392" s="372"/>
      <c r="V2392" s="372"/>
      <c r="W2392" s="372"/>
      <c r="X2392" s="373"/>
      <c r="Y2392" s="348"/>
      <c r="Z2392" s="348"/>
      <c r="AA2392" s="348"/>
    </row>
    <row r="2393" s="331" customFormat="1" ht="17" customHeight="1" spans="1:27">
      <c r="A2393" s="348"/>
      <c r="B2393" s="348" t="s">
        <v>185</v>
      </c>
      <c r="C2393" s="348" t="s">
        <v>886</v>
      </c>
      <c r="D2393" s="349" t="s">
        <v>187</v>
      </c>
      <c r="E2393" s="336">
        <v>43667</v>
      </c>
      <c r="F2393" s="336" t="s">
        <v>800</v>
      </c>
      <c r="G2393" s="336">
        <v>43667</v>
      </c>
      <c r="H2393" s="334" t="s">
        <v>3280</v>
      </c>
      <c r="I2393" s="356">
        <v>13818784781</v>
      </c>
      <c r="J2393" s="361" t="s">
        <v>6363</v>
      </c>
      <c r="K2393" s="356"/>
      <c r="L2393" s="419"/>
      <c r="M2393" s="419">
        <v>6657</v>
      </c>
      <c r="N2393" s="362">
        <f t="shared" si="85"/>
        <v>6657</v>
      </c>
      <c r="O2393" s="356"/>
      <c r="P2393" s="356"/>
      <c r="Q2393" s="356"/>
      <c r="R2393" s="356"/>
      <c r="S2393" s="356"/>
      <c r="T2393" s="356"/>
      <c r="U2393" s="372"/>
      <c r="V2393" s="372"/>
      <c r="W2393" s="372"/>
      <c r="X2393" s="373"/>
      <c r="Y2393" s="348"/>
      <c r="Z2393" s="348"/>
      <c r="AA2393" s="348"/>
    </row>
    <row r="2394" s="331" customFormat="1" ht="17" customHeight="1" spans="1:27">
      <c r="A2394" s="348"/>
      <c r="B2394" s="348" t="s">
        <v>66</v>
      </c>
      <c r="C2394" s="334" t="s">
        <v>119</v>
      </c>
      <c r="D2394" s="349" t="s">
        <v>68</v>
      </c>
      <c r="E2394" s="336">
        <v>43665</v>
      </c>
      <c r="F2394" s="336" t="s">
        <v>800</v>
      </c>
      <c r="G2394" s="336">
        <v>43664</v>
      </c>
      <c r="H2394" s="334" t="s">
        <v>5642</v>
      </c>
      <c r="I2394" s="356">
        <v>18601662233</v>
      </c>
      <c r="J2394" s="361" t="s">
        <v>5643</v>
      </c>
      <c r="K2394" s="356"/>
      <c r="L2394" s="419"/>
      <c r="M2394" s="334">
        <v>2925</v>
      </c>
      <c r="N2394" s="362">
        <f t="shared" si="85"/>
        <v>2925</v>
      </c>
      <c r="O2394" s="356"/>
      <c r="P2394" s="356"/>
      <c r="Q2394" s="356"/>
      <c r="R2394" s="356"/>
      <c r="S2394" s="356"/>
      <c r="T2394" s="356"/>
      <c r="U2394" s="372"/>
      <c r="V2394" s="372"/>
      <c r="W2394" s="372"/>
      <c r="X2394" s="373"/>
      <c r="Y2394" s="348"/>
      <c r="Z2394" s="348"/>
      <c r="AA2394" s="348"/>
    </row>
    <row r="2395" s="331" customFormat="1" ht="17" customHeight="1" spans="1:27">
      <c r="A2395" s="348"/>
      <c r="B2395" s="348" t="s">
        <v>160</v>
      </c>
      <c r="C2395" s="348" t="s">
        <v>275</v>
      </c>
      <c r="D2395" s="349" t="s">
        <v>162</v>
      </c>
      <c r="E2395" s="336">
        <v>43665</v>
      </c>
      <c r="F2395" s="336" t="s">
        <v>800</v>
      </c>
      <c r="G2395" s="336">
        <v>43664</v>
      </c>
      <c r="H2395" s="334" t="s">
        <v>937</v>
      </c>
      <c r="I2395" s="356">
        <v>13301763703</v>
      </c>
      <c r="J2395" s="361" t="s">
        <v>938</v>
      </c>
      <c r="K2395" s="356"/>
      <c r="L2395" s="419"/>
      <c r="M2395" s="334">
        <v>611</v>
      </c>
      <c r="N2395" s="362">
        <f t="shared" si="85"/>
        <v>611</v>
      </c>
      <c r="O2395" s="356"/>
      <c r="P2395" s="356"/>
      <c r="Q2395" s="356"/>
      <c r="R2395" s="356"/>
      <c r="S2395" s="356"/>
      <c r="T2395" s="356"/>
      <c r="U2395" s="372"/>
      <c r="V2395" s="372"/>
      <c r="W2395" s="372"/>
      <c r="X2395" s="373"/>
      <c r="Y2395" s="348"/>
      <c r="Z2395" s="348"/>
      <c r="AA2395" s="348"/>
    </row>
    <row r="2396" s="331" customFormat="1" ht="17" customHeight="1" spans="1:27">
      <c r="A2396" s="348"/>
      <c r="B2396" s="348" t="s">
        <v>31</v>
      </c>
      <c r="C2396" s="348" t="s">
        <v>419</v>
      </c>
      <c r="D2396" s="349" t="s">
        <v>33</v>
      </c>
      <c r="E2396" s="336">
        <v>43664</v>
      </c>
      <c r="F2396" s="336" t="s">
        <v>800</v>
      </c>
      <c r="G2396" s="336">
        <v>43664</v>
      </c>
      <c r="H2396" s="334" t="s">
        <v>2481</v>
      </c>
      <c r="I2396" s="356">
        <v>13651869098</v>
      </c>
      <c r="J2396" s="361" t="s">
        <v>2482</v>
      </c>
      <c r="K2396" s="356"/>
      <c r="L2396" s="419"/>
      <c r="M2396" s="334">
        <v>1561</v>
      </c>
      <c r="N2396" s="362">
        <f t="shared" si="85"/>
        <v>1561</v>
      </c>
      <c r="O2396" s="356"/>
      <c r="P2396" s="356"/>
      <c r="Q2396" s="356"/>
      <c r="R2396" s="356"/>
      <c r="S2396" s="356"/>
      <c r="T2396" s="356"/>
      <c r="U2396" s="372"/>
      <c r="V2396" s="372"/>
      <c r="W2396" s="372"/>
      <c r="X2396" s="373"/>
      <c r="Y2396" s="348"/>
      <c r="Z2396" s="348"/>
      <c r="AA2396" s="348"/>
    </row>
    <row r="2397" s="331" customFormat="1" ht="17" customHeight="1" spans="1:27">
      <c r="A2397" s="348"/>
      <c r="B2397" s="348" t="s">
        <v>185</v>
      </c>
      <c r="C2397" s="334" t="s">
        <v>4146</v>
      </c>
      <c r="D2397" s="349" t="s">
        <v>44</v>
      </c>
      <c r="E2397" s="336">
        <v>43664</v>
      </c>
      <c r="F2397" s="336" t="s">
        <v>800</v>
      </c>
      <c r="G2397" s="336">
        <v>43664</v>
      </c>
      <c r="H2397" s="334" t="s">
        <v>4926</v>
      </c>
      <c r="I2397" s="356">
        <v>13122449015</v>
      </c>
      <c r="J2397" s="361" t="s">
        <v>4927</v>
      </c>
      <c r="K2397" s="356"/>
      <c r="L2397" s="419"/>
      <c r="M2397" s="334">
        <v>3632</v>
      </c>
      <c r="N2397" s="362">
        <f t="shared" si="85"/>
        <v>3632</v>
      </c>
      <c r="O2397" s="356"/>
      <c r="P2397" s="356"/>
      <c r="Q2397" s="356"/>
      <c r="R2397" s="356"/>
      <c r="S2397" s="356"/>
      <c r="T2397" s="356"/>
      <c r="U2397" s="372"/>
      <c r="V2397" s="372"/>
      <c r="W2397" s="372"/>
      <c r="X2397" s="373"/>
      <c r="Y2397" s="348"/>
      <c r="Z2397" s="348"/>
      <c r="AA2397" s="348"/>
    </row>
    <row r="2398" s="331" customFormat="1" ht="17" customHeight="1" spans="1:27">
      <c r="A2398" s="348"/>
      <c r="B2398" s="348" t="s">
        <v>315</v>
      </c>
      <c r="C2398" s="348" t="s">
        <v>181</v>
      </c>
      <c r="D2398" s="349" t="s">
        <v>182</v>
      </c>
      <c r="E2398" s="336">
        <v>43663</v>
      </c>
      <c r="F2398" s="336" t="s">
        <v>800</v>
      </c>
      <c r="G2398" s="336">
        <v>43662</v>
      </c>
      <c r="H2398" s="269" t="s">
        <v>4281</v>
      </c>
      <c r="I2398" s="356">
        <v>18721102835</v>
      </c>
      <c r="J2398" s="361" t="s">
        <v>6364</v>
      </c>
      <c r="K2398" s="356"/>
      <c r="L2398" s="419"/>
      <c r="M2398" s="334">
        <v>1600</v>
      </c>
      <c r="N2398" s="362">
        <f t="shared" si="85"/>
        <v>1600</v>
      </c>
      <c r="O2398" s="356"/>
      <c r="P2398" s="356"/>
      <c r="Q2398" s="356"/>
      <c r="R2398" s="356"/>
      <c r="S2398" s="356"/>
      <c r="T2398" s="356"/>
      <c r="U2398" s="372"/>
      <c r="V2398" s="372"/>
      <c r="W2398" s="372"/>
      <c r="X2398" s="373"/>
      <c r="Y2398" s="348"/>
      <c r="Z2398" s="348"/>
      <c r="AA2398" s="348"/>
    </row>
    <row r="2399" s="331" customFormat="1" ht="17" customHeight="1" spans="1:27">
      <c r="A2399" s="348"/>
      <c r="B2399" s="348" t="s">
        <v>31</v>
      </c>
      <c r="C2399" s="348" t="s">
        <v>32</v>
      </c>
      <c r="D2399" s="349" t="s">
        <v>33</v>
      </c>
      <c r="E2399" s="336">
        <v>43662</v>
      </c>
      <c r="F2399" s="336" t="s">
        <v>800</v>
      </c>
      <c r="G2399" s="336">
        <v>43662</v>
      </c>
      <c r="H2399" s="334" t="s">
        <v>2697</v>
      </c>
      <c r="I2399" s="356">
        <v>18621542828</v>
      </c>
      <c r="J2399" s="361" t="s">
        <v>2698</v>
      </c>
      <c r="K2399" s="356"/>
      <c r="L2399" s="419"/>
      <c r="M2399" s="334">
        <v>1854</v>
      </c>
      <c r="N2399" s="362">
        <f t="shared" si="85"/>
        <v>1854</v>
      </c>
      <c r="O2399" s="356"/>
      <c r="P2399" s="356"/>
      <c r="Q2399" s="356"/>
      <c r="R2399" s="356"/>
      <c r="S2399" s="356"/>
      <c r="T2399" s="356"/>
      <c r="U2399" s="372"/>
      <c r="V2399" s="372"/>
      <c r="W2399" s="372"/>
      <c r="X2399" s="373"/>
      <c r="Y2399" s="348"/>
      <c r="Z2399" s="348"/>
      <c r="AA2399" s="348"/>
    </row>
    <row r="2400" s="331" customFormat="1" ht="17" customHeight="1" spans="1:27">
      <c r="A2400" s="348"/>
      <c r="B2400" s="348" t="s">
        <v>137</v>
      </c>
      <c r="C2400" s="334" t="s">
        <v>138</v>
      </c>
      <c r="D2400" s="349" t="s">
        <v>68</v>
      </c>
      <c r="E2400" s="336">
        <v>43662</v>
      </c>
      <c r="F2400" s="336" t="s">
        <v>800</v>
      </c>
      <c r="G2400" s="336">
        <v>43662</v>
      </c>
      <c r="H2400" s="334" t="s">
        <v>1973</v>
      </c>
      <c r="I2400" s="356">
        <v>13818393293</v>
      </c>
      <c r="J2400" s="361" t="s">
        <v>1974</v>
      </c>
      <c r="K2400" s="356"/>
      <c r="L2400" s="419"/>
      <c r="M2400" s="334">
        <v>1836</v>
      </c>
      <c r="N2400" s="362">
        <f t="shared" si="85"/>
        <v>1836</v>
      </c>
      <c r="O2400" s="356"/>
      <c r="P2400" s="356"/>
      <c r="Q2400" s="356"/>
      <c r="R2400" s="356"/>
      <c r="S2400" s="356"/>
      <c r="T2400" s="356"/>
      <c r="U2400" s="372"/>
      <c r="V2400" s="372"/>
      <c r="W2400" s="372"/>
      <c r="X2400" s="373"/>
      <c r="Y2400" s="348"/>
      <c r="Z2400" s="348"/>
      <c r="AA2400" s="348"/>
    </row>
    <row r="2401" s="331" customFormat="1" ht="17" customHeight="1" spans="1:27">
      <c r="A2401" s="348"/>
      <c r="B2401" s="348" t="s">
        <v>236</v>
      </c>
      <c r="C2401" s="348" t="s">
        <v>703</v>
      </c>
      <c r="D2401" s="349" t="s">
        <v>37</v>
      </c>
      <c r="E2401" s="336">
        <v>43659</v>
      </c>
      <c r="F2401" s="336" t="s">
        <v>800</v>
      </c>
      <c r="G2401" s="336">
        <v>43659</v>
      </c>
      <c r="H2401" s="334" t="s">
        <v>3329</v>
      </c>
      <c r="I2401" s="356">
        <v>13774437640</v>
      </c>
      <c r="J2401" s="361" t="s">
        <v>6365</v>
      </c>
      <c r="K2401" s="356"/>
      <c r="L2401" s="419"/>
      <c r="M2401" s="334">
        <v>1265</v>
      </c>
      <c r="N2401" s="362">
        <f t="shared" si="85"/>
        <v>1265</v>
      </c>
      <c r="O2401" s="356"/>
      <c r="P2401" s="356"/>
      <c r="Q2401" s="356"/>
      <c r="R2401" s="356"/>
      <c r="S2401" s="356"/>
      <c r="T2401" s="356"/>
      <c r="U2401" s="372"/>
      <c r="V2401" s="372"/>
      <c r="W2401" s="372"/>
      <c r="X2401" s="373"/>
      <c r="Y2401" s="348"/>
      <c r="Z2401" s="348"/>
      <c r="AA2401" s="348"/>
    </row>
    <row r="2402" s="331" customFormat="1" ht="17" customHeight="1" spans="1:27">
      <c r="A2402" s="348"/>
      <c r="B2402" s="348" t="s">
        <v>185</v>
      </c>
      <c r="C2402" s="348" t="s">
        <v>886</v>
      </c>
      <c r="D2402" s="349" t="s">
        <v>187</v>
      </c>
      <c r="E2402" s="336">
        <v>43656</v>
      </c>
      <c r="F2402" s="336" t="s">
        <v>800</v>
      </c>
      <c r="G2402" s="336">
        <v>43655</v>
      </c>
      <c r="H2402" s="334" t="s">
        <v>3280</v>
      </c>
      <c r="I2402" s="356">
        <v>13818784781</v>
      </c>
      <c r="J2402" s="361" t="s">
        <v>6363</v>
      </c>
      <c r="K2402" s="356"/>
      <c r="L2402" s="419"/>
      <c r="M2402" s="334">
        <f>6328</f>
        <v>6328</v>
      </c>
      <c r="N2402" s="362">
        <f t="shared" si="85"/>
        <v>6328</v>
      </c>
      <c r="O2402" s="356"/>
      <c r="P2402" s="356"/>
      <c r="Q2402" s="356"/>
      <c r="R2402" s="356"/>
      <c r="S2402" s="356"/>
      <c r="T2402" s="356"/>
      <c r="U2402" s="372"/>
      <c r="V2402" s="372"/>
      <c r="W2402" s="372"/>
      <c r="X2402" s="373"/>
      <c r="Y2402" s="348"/>
      <c r="Z2402" s="348"/>
      <c r="AA2402" s="348"/>
    </row>
    <row r="2403" s="331" customFormat="1" ht="17" customHeight="1" spans="1:27">
      <c r="A2403" s="348"/>
      <c r="B2403" s="348" t="s">
        <v>58</v>
      </c>
      <c r="C2403" s="348" t="s">
        <v>109</v>
      </c>
      <c r="D2403" s="352" t="s">
        <v>110</v>
      </c>
      <c r="E2403" s="336">
        <v>43656</v>
      </c>
      <c r="F2403" s="336" t="s">
        <v>800</v>
      </c>
      <c r="G2403" s="336">
        <v>43656</v>
      </c>
      <c r="H2403" s="334" t="s">
        <v>4441</v>
      </c>
      <c r="I2403" s="356">
        <v>13816955850</v>
      </c>
      <c r="J2403" s="361" t="s">
        <v>4442</v>
      </c>
      <c r="K2403" s="356"/>
      <c r="L2403" s="419"/>
      <c r="M2403" s="334">
        <v>949</v>
      </c>
      <c r="N2403" s="362">
        <f t="shared" si="85"/>
        <v>949</v>
      </c>
      <c r="O2403" s="356"/>
      <c r="P2403" s="356"/>
      <c r="Q2403" s="356"/>
      <c r="R2403" s="356"/>
      <c r="S2403" s="356"/>
      <c r="T2403" s="356"/>
      <c r="U2403" s="372"/>
      <c r="V2403" s="372"/>
      <c r="W2403" s="372"/>
      <c r="X2403" s="373"/>
      <c r="Y2403" s="348"/>
      <c r="Z2403" s="348"/>
      <c r="AA2403" s="348"/>
    </row>
    <row r="2404" s="331" customFormat="1" ht="17" customHeight="1" spans="1:27">
      <c r="A2404" s="348"/>
      <c r="B2404" s="348" t="s">
        <v>87</v>
      </c>
      <c r="C2404" s="348" t="s">
        <v>466</v>
      </c>
      <c r="D2404" s="349" t="s">
        <v>1170</v>
      </c>
      <c r="E2404" s="336">
        <v>43654</v>
      </c>
      <c r="F2404" s="336" t="s">
        <v>800</v>
      </c>
      <c r="G2404" s="336">
        <v>43654</v>
      </c>
      <c r="H2404" s="334" t="s">
        <v>3087</v>
      </c>
      <c r="I2404" s="356">
        <v>18640038007</v>
      </c>
      <c r="J2404" s="361" t="s">
        <v>6366</v>
      </c>
      <c r="K2404" s="356"/>
      <c r="L2404" s="419"/>
      <c r="M2404" s="334">
        <v>2284</v>
      </c>
      <c r="N2404" s="362">
        <f t="shared" si="85"/>
        <v>2284</v>
      </c>
      <c r="O2404" s="356"/>
      <c r="P2404" s="356"/>
      <c r="Q2404" s="356"/>
      <c r="R2404" s="356"/>
      <c r="S2404" s="356"/>
      <c r="T2404" s="356"/>
      <c r="U2404" s="372"/>
      <c r="V2404" s="372"/>
      <c r="W2404" s="372"/>
      <c r="X2404" s="373"/>
      <c r="Y2404" s="348"/>
      <c r="Z2404" s="348"/>
      <c r="AA2404" s="348"/>
    </row>
    <row r="2405" s="331" customFormat="1" ht="17" customHeight="1" spans="1:27">
      <c r="A2405" s="348"/>
      <c r="B2405" s="348" t="s">
        <v>66</v>
      </c>
      <c r="C2405" s="348" t="s">
        <v>1749</v>
      </c>
      <c r="D2405" s="349" t="s">
        <v>68</v>
      </c>
      <c r="E2405" s="336">
        <v>43672</v>
      </c>
      <c r="F2405" s="336">
        <v>43664</v>
      </c>
      <c r="G2405" s="336">
        <v>43671</v>
      </c>
      <c r="H2405" s="334" t="s">
        <v>6367</v>
      </c>
      <c r="I2405" s="356">
        <v>13636336653</v>
      </c>
      <c r="J2405" s="361" t="s">
        <v>6368</v>
      </c>
      <c r="K2405" s="356">
        <v>500</v>
      </c>
      <c r="L2405" s="334">
        <v>6899</v>
      </c>
      <c r="M2405" s="419"/>
      <c r="N2405" s="362">
        <f t="shared" ref="N2405:N2419" si="86">L2405+M2405</f>
        <v>6899</v>
      </c>
      <c r="O2405" s="356"/>
      <c r="P2405" s="356"/>
      <c r="Q2405" s="356"/>
      <c r="R2405" s="356"/>
      <c r="S2405" s="356"/>
      <c r="T2405" s="356"/>
      <c r="U2405" s="372"/>
      <c r="V2405" s="372"/>
      <c r="W2405" s="372"/>
      <c r="X2405" s="373"/>
      <c r="Y2405" s="348"/>
      <c r="Z2405" s="348"/>
      <c r="AA2405" s="348"/>
    </row>
    <row r="2406" s="331" customFormat="1" ht="17" customHeight="1" spans="1:27">
      <c r="A2406" s="348">
        <v>2067498</v>
      </c>
      <c r="B2406" s="348" t="s">
        <v>137</v>
      </c>
      <c r="C2406" s="348" t="s">
        <v>411</v>
      </c>
      <c r="D2406" s="349" t="s">
        <v>635</v>
      </c>
      <c r="E2406" s="336">
        <v>43672</v>
      </c>
      <c r="F2406" s="336" t="s">
        <v>800</v>
      </c>
      <c r="G2406" s="336">
        <v>43647</v>
      </c>
      <c r="H2406" s="334" t="s">
        <v>6369</v>
      </c>
      <c r="I2406" s="356">
        <v>13774359812</v>
      </c>
      <c r="J2406" s="361" t="s">
        <v>6370</v>
      </c>
      <c r="K2406" s="356">
        <v>4800</v>
      </c>
      <c r="L2406" s="419"/>
      <c r="M2406" s="334">
        <v>-5000</v>
      </c>
      <c r="N2406" s="362">
        <f t="shared" si="86"/>
        <v>-5000</v>
      </c>
      <c r="O2406" s="356"/>
      <c r="P2406" s="356"/>
      <c r="Q2406" s="356"/>
      <c r="R2406" s="356"/>
      <c r="S2406" s="356"/>
      <c r="T2406" s="356"/>
      <c r="U2406" s="367" t="s">
        <v>5517</v>
      </c>
      <c r="V2406" s="372"/>
      <c r="W2406" s="372"/>
      <c r="X2406" s="373"/>
      <c r="Y2406" s="348"/>
      <c r="Z2406" s="348"/>
      <c r="AA2406" s="348"/>
    </row>
    <row r="2407" s="331" customFormat="1" ht="17" customHeight="1" spans="1:27">
      <c r="A2407" s="348"/>
      <c r="B2407" s="348" t="s">
        <v>405</v>
      </c>
      <c r="C2407" s="348" t="s">
        <v>1234</v>
      </c>
      <c r="D2407" s="349" t="s">
        <v>407</v>
      </c>
      <c r="E2407" s="336">
        <v>43672</v>
      </c>
      <c r="F2407" s="336">
        <v>43666</v>
      </c>
      <c r="G2407" s="350">
        <v>43669</v>
      </c>
      <c r="H2407" s="334" t="s">
        <v>6371</v>
      </c>
      <c r="I2407" s="356">
        <v>13621733184</v>
      </c>
      <c r="J2407" s="361" t="s">
        <v>6372</v>
      </c>
      <c r="K2407" s="356">
        <v>4581</v>
      </c>
      <c r="L2407" s="334">
        <v>4581</v>
      </c>
      <c r="M2407" s="419"/>
      <c r="N2407" s="362">
        <f t="shared" si="86"/>
        <v>4581</v>
      </c>
      <c r="O2407" s="356"/>
      <c r="P2407" s="356"/>
      <c r="Q2407" s="356"/>
      <c r="R2407" s="356"/>
      <c r="S2407" s="356"/>
      <c r="T2407" s="356"/>
      <c r="U2407" s="372"/>
      <c r="V2407" s="372"/>
      <c r="W2407" s="372"/>
      <c r="X2407" s="373"/>
      <c r="Y2407" s="348"/>
      <c r="Z2407" s="348"/>
      <c r="AA2407" s="348"/>
    </row>
    <row r="2408" s="331" customFormat="1" ht="17" customHeight="1" spans="1:27">
      <c r="A2408" s="550" t="s">
        <v>6373</v>
      </c>
      <c r="B2408" s="348" t="s">
        <v>281</v>
      </c>
      <c r="C2408" s="348" t="s">
        <v>517</v>
      </c>
      <c r="D2408" s="352" t="s">
        <v>49</v>
      </c>
      <c r="E2408" s="336">
        <v>43672</v>
      </c>
      <c r="F2408" s="336">
        <v>43672</v>
      </c>
      <c r="G2408" s="350"/>
      <c r="H2408" s="334" t="s">
        <v>6374</v>
      </c>
      <c r="I2408" s="356"/>
      <c r="J2408" s="361" t="s">
        <v>6375</v>
      </c>
      <c r="K2408" s="356">
        <v>1000</v>
      </c>
      <c r="L2408" s="419"/>
      <c r="M2408" s="419"/>
      <c r="N2408" s="362">
        <f t="shared" si="86"/>
        <v>0</v>
      </c>
      <c r="O2408" s="356"/>
      <c r="P2408" s="356"/>
      <c r="Q2408" s="356" t="s">
        <v>52</v>
      </c>
      <c r="R2408" s="356"/>
      <c r="S2408" s="356"/>
      <c r="T2408" s="356"/>
      <c r="U2408" s="372"/>
      <c r="V2408" s="372"/>
      <c r="W2408" s="372"/>
      <c r="X2408" s="373"/>
      <c r="Y2408" s="348"/>
      <c r="Z2408" s="348"/>
      <c r="AA2408" s="348"/>
    </row>
    <row r="2409" s="331" customFormat="1" ht="17" customHeight="1" spans="1:27">
      <c r="A2409" s="550" t="s">
        <v>6376</v>
      </c>
      <c r="B2409" s="348" t="s">
        <v>42</v>
      </c>
      <c r="C2409" s="348" t="s">
        <v>1728</v>
      </c>
      <c r="D2409" s="349" t="s">
        <v>44</v>
      </c>
      <c r="E2409" s="336">
        <v>43672</v>
      </c>
      <c r="F2409" s="336">
        <v>43671</v>
      </c>
      <c r="G2409" s="356" t="s">
        <v>3654</v>
      </c>
      <c r="H2409" s="334" t="s">
        <v>6377</v>
      </c>
      <c r="I2409" s="356">
        <v>13761397308</v>
      </c>
      <c r="J2409" s="361" t="s">
        <v>6378</v>
      </c>
      <c r="K2409" s="356">
        <v>10000</v>
      </c>
      <c r="L2409" s="419"/>
      <c r="M2409" s="419"/>
      <c r="N2409" s="362">
        <f t="shared" si="86"/>
        <v>0</v>
      </c>
      <c r="O2409" s="356" t="s">
        <v>19</v>
      </c>
      <c r="P2409" s="356"/>
      <c r="Q2409" s="356"/>
      <c r="R2409" s="356"/>
      <c r="S2409" s="356"/>
      <c r="T2409" s="356"/>
      <c r="U2409" s="372"/>
      <c r="V2409" s="372"/>
      <c r="W2409" s="372"/>
      <c r="X2409" s="373"/>
      <c r="Y2409" s="348"/>
      <c r="Z2409" s="348"/>
      <c r="AA2409" s="348"/>
    </row>
    <row r="2410" s="331" customFormat="1" ht="17" customHeight="1" spans="1:27">
      <c r="A2410" s="348"/>
      <c r="B2410" s="348" t="s">
        <v>31</v>
      </c>
      <c r="C2410" s="348" t="s">
        <v>2716</v>
      </c>
      <c r="D2410" s="352" t="s">
        <v>33</v>
      </c>
      <c r="E2410" s="336">
        <v>43672</v>
      </c>
      <c r="F2410" s="336">
        <v>43671</v>
      </c>
      <c r="G2410" s="336">
        <v>43674</v>
      </c>
      <c r="H2410" s="334" t="s">
        <v>6379</v>
      </c>
      <c r="I2410" s="356">
        <v>13020243177</v>
      </c>
      <c r="J2410" s="361" t="s">
        <v>6380</v>
      </c>
      <c r="K2410" s="356">
        <v>1000</v>
      </c>
      <c r="L2410" s="334">
        <v>1940</v>
      </c>
      <c r="M2410" s="419"/>
      <c r="N2410" s="362">
        <f t="shared" si="86"/>
        <v>1940</v>
      </c>
      <c r="O2410" s="356"/>
      <c r="P2410" s="356"/>
      <c r="Q2410" s="356"/>
      <c r="R2410" s="356"/>
      <c r="S2410" s="356"/>
      <c r="T2410" s="356"/>
      <c r="U2410" s="372"/>
      <c r="V2410" s="372"/>
      <c r="W2410" s="372"/>
      <c r="X2410" s="373"/>
      <c r="Y2410" s="348"/>
      <c r="Z2410" s="348"/>
      <c r="AA2410" s="348"/>
    </row>
    <row r="2411" s="331" customFormat="1" ht="17" customHeight="1" spans="1:27">
      <c r="A2411" s="550" t="s">
        <v>6381</v>
      </c>
      <c r="B2411" s="348" t="s">
        <v>153</v>
      </c>
      <c r="C2411" s="348" t="s">
        <v>302</v>
      </c>
      <c r="D2411" s="352" t="s">
        <v>155</v>
      </c>
      <c r="E2411" s="336">
        <v>43704</v>
      </c>
      <c r="F2411" s="336">
        <v>43671</v>
      </c>
      <c r="G2411" s="336">
        <v>43703</v>
      </c>
      <c r="H2411" s="334" t="s">
        <v>6382</v>
      </c>
      <c r="I2411" s="356">
        <v>13762672979</v>
      </c>
      <c r="J2411" s="361" t="s">
        <v>6383</v>
      </c>
      <c r="K2411" s="356">
        <v>1998</v>
      </c>
      <c r="L2411" s="334">
        <f>4628-536</f>
        <v>4092</v>
      </c>
      <c r="M2411" s="334">
        <v>536</v>
      </c>
      <c r="N2411" s="362">
        <f t="shared" si="86"/>
        <v>4628</v>
      </c>
      <c r="O2411" s="356"/>
      <c r="P2411" s="356"/>
      <c r="Q2411" s="356" t="s">
        <v>52</v>
      </c>
      <c r="R2411" s="356"/>
      <c r="S2411" s="356"/>
      <c r="T2411" s="356"/>
      <c r="U2411" s="372"/>
      <c r="V2411" s="372" t="s">
        <v>1481</v>
      </c>
      <c r="W2411" s="372"/>
      <c r="X2411" s="373"/>
      <c r="Y2411" s="348"/>
      <c r="Z2411" s="348"/>
      <c r="AA2411" s="348"/>
    </row>
    <row r="2412" s="331" customFormat="1" ht="17" customHeight="1" spans="1:27">
      <c r="A2412" s="550" t="s">
        <v>6384</v>
      </c>
      <c r="B2412" s="348" t="s">
        <v>281</v>
      </c>
      <c r="C2412" s="348" t="s">
        <v>491</v>
      </c>
      <c r="D2412" s="349" t="s">
        <v>518</v>
      </c>
      <c r="E2412" s="336">
        <v>43672</v>
      </c>
      <c r="F2412" s="336">
        <v>43672</v>
      </c>
      <c r="G2412" s="336">
        <v>43673</v>
      </c>
      <c r="H2412" s="334" t="s">
        <v>6385</v>
      </c>
      <c r="I2412" s="356">
        <v>18918963768</v>
      </c>
      <c r="J2412" s="361" t="s">
        <v>6386</v>
      </c>
      <c r="K2412" s="356">
        <v>5000</v>
      </c>
      <c r="L2412" s="334">
        <v>16800</v>
      </c>
      <c r="M2412" s="334">
        <v>1439</v>
      </c>
      <c r="N2412" s="362">
        <f t="shared" si="86"/>
        <v>18239</v>
      </c>
      <c r="O2412" s="356"/>
      <c r="P2412" s="356"/>
      <c r="Q2412" s="356"/>
      <c r="R2412" s="356"/>
      <c r="S2412" s="356"/>
      <c r="T2412" s="356"/>
      <c r="U2412" s="372"/>
      <c r="V2412" s="372"/>
      <c r="W2412" s="372"/>
      <c r="X2412" s="373"/>
      <c r="Y2412" s="348"/>
      <c r="Z2412" s="348"/>
      <c r="AA2412" s="348"/>
    </row>
    <row r="2413" s="331" customFormat="1" ht="17" customHeight="1" spans="1:27">
      <c r="A2413" s="550" t="s">
        <v>6387</v>
      </c>
      <c r="B2413" s="348" t="s">
        <v>31</v>
      </c>
      <c r="C2413" s="348" t="s">
        <v>3186</v>
      </c>
      <c r="D2413" s="349" t="s">
        <v>33</v>
      </c>
      <c r="E2413" s="336">
        <v>43697</v>
      </c>
      <c r="F2413" s="336">
        <v>43672</v>
      </c>
      <c r="G2413" s="336">
        <v>43696</v>
      </c>
      <c r="H2413" s="334" t="s">
        <v>6388</v>
      </c>
      <c r="I2413" s="356">
        <v>13003269779</v>
      </c>
      <c r="J2413" s="361" t="s">
        <v>6389</v>
      </c>
      <c r="K2413" s="356">
        <v>1000</v>
      </c>
      <c r="L2413" s="334">
        <f>18163-1340</f>
        <v>16823</v>
      </c>
      <c r="M2413" s="334">
        <v>1340</v>
      </c>
      <c r="N2413" s="362">
        <f t="shared" si="86"/>
        <v>18163</v>
      </c>
      <c r="O2413" s="366"/>
      <c r="P2413" s="356"/>
      <c r="Q2413" s="356"/>
      <c r="R2413" s="356"/>
      <c r="S2413" s="356"/>
      <c r="T2413" s="356"/>
      <c r="U2413" s="372"/>
      <c r="V2413" s="372"/>
      <c r="W2413" s="372">
        <v>8.18</v>
      </c>
      <c r="X2413" s="373"/>
      <c r="Y2413" s="348"/>
      <c r="Z2413" s="348"/>
      <c r="AA2413" s="348"/>
    </row>
    <row r="2414" s="331" customFormat="1" ht="15" customHeight="1" spans="1:27">
      <c r="A2414" s="550" t="s">
        <v>6390</v>
      </c>
      <c r="B2414" s="348" t="s">
        <v>58</v>
      </c>
      <c r="C2414" s="348" t="s">
        <v>59</v>
      </c>
      <c r="D2414" s="349" t="s">
        <v>271</v>
      </c>
      <c r="E2414" s="336">
        <v>43672</v>
      </c>
      <c r="F2414" s="336">
        <v>43665</v>
      </c>
      <c r="G2414" s="355">
        <v>43697</v>
      </c>
      <c r="H2414" s="334" t="s">
        <v>1179</v>
      </c>
      <c r="I2414" s="356">
        <v>13761947802</v>
      </c>
      <c r="J2414" s="361" t="s">
        <v>5824</v>
      </c>
      <c r="K2414" s="356">
        <v>18363</v>
      </c>
      <c r="L2414" s="419"/>
      <c r="M2414" s="419"/>
      <c r="N2414" s="362">
        <f t="shared" si="86"/>
        <v>0</v>
      </c>
      <c r="O2414" s="356"/>
      <c r="P2414" s="356"/>
      <c r="Q2414" s="356"/>
      <c r="R2414" s="356"/>
      <c r="S2414" s="366" t="s">
        <v>52</v>
      </c>
      <c r="T2414" s="356"/>
      <c r="U2414" s="372"/>
      <c r="V2414" s="372"/>
      <c r="W2414" s="372"/>
      <c r="X2414" s="373"/>
      <c r="Y2414" s="348"/>
      <c r="Z2414" s="348"/>
      <c r="AA2414" s="348"/>
    </row>
    <row r="2415" s="331" customFormat="1" ht="17" customHeight="1" spans="1:27">
      <c r="A2415" s="348"/>
      <c r="B2415" s="348" t="s">
        <v>31</v>
      </c>
      <c r="C2415" s="348" t="s">
        <v>220</v>
      </c>
      <c r="D2415" s="334" t="s">
        <v>182</v>
      </c>
      <c r="E2415" s="336">
        <v>43709</v>
      </c>
      <c r="F2415" s="336">
        <v>43672</v>
      </c>
      <c r="G2415" s="336">
        <v>43709</v>
      </c>
      <c r="H2415" s="334" t="s">
        <v>6391</v>
      </c>
      <c r="I2415" s="356">
        <v>13701765797</v>
      </c>
      <c r="J2415" s="361" t="s">
        <v>6392</v>
      </c>
      <c r="K2415" s="356">
        <v>1000</v>
      </c>
      <c r="L2415" s="334">
        <f>5023-536</f>
        <v>4487</v>
      </c>
      <c r="M2415" s="334">
        <v>536</v>
      </c>
      <c r="N2415" s="362">
        <f t="shared" si="86"/>
        <v>5023</v>
      </c>
      <c r="O2415" s="356"/>
      <c r="P2415" s="356"/>
      <c r="Q2415" s="366" t="s">
        <v>52</v>
      </c>
      <c r="R2415" s="356"/>
      <c r="S2415" s="356"/>
      <c r="T2415" s="356"/>
      <c r="U2415" s="372"/>
      <c r="V2415" s="372"/>
      <c r="W2415" s="372"/>
      <c r="X2415" s="373"/>
      <c r="Y2415" s="348"/>
      <c r="Z2415" s="348"/>
      <c r="AA2415" s="348"/>
    </row>
    <row r="2416" s="331" customFormat="1" ht="17" customHeight="1" spans="1:27">
      <c r="A2416" s="550" t="s">
        <v>6393</v>
      </c>
      <c r="B2416" s="348" t="s">
        <v>31</v>
      </c>
      <c r="C2416" s="348" t="s">
        <v>2716</v>
      </c>
      <c r="D2416" s="352" t="s">
        <v>33</v>
      </c>
      <c r="E2416" s="336">
        <v>43687</v>
      </c>
      <c r="F2416" s="336">
        <v>43672</v>
      </c>
      <c r="G2416" s="336">
        <v>43680</v>
      </c>
      <c r="H2416" s="334" t="s">
        <v>6394</v>
      </c>
      <c r="I2416" s="356">
        <v>13918653023</v>
      </c>
      <c r="J2416" s="361" t="s">
        <v>6395</v>
      </c>
      <c r="K2416" s="356">
        <v>1000</v>
      </c>
      <c r="L2416" s="334">
        <v>4499</v>
      </c>
      <c r="M2416" s="334">
        <v>536</v>
      </c>
      <c r="N2416" s="362">
        <f t="shared" si="86"/>
        <v>5035</v>
      </c>
      <c r="O2416" s="356"/>
      <c r="P2416" s="356"/>
      <c r="Q2416" s="356"/>
      <c r="R2416" s="356"/>
      <c r="S2416" s="356"/>
      <c r="T2416" s="356"/>
      <c r="U2416" s="372"/>
      <c r="V2416" s="372"/>
      <c r="W2416" s="372"/>
      <c r="X2416" s="373"/>
      <c r="Y2416" s="348"/>
      <c r="Z2416" s="348"/>
      <c r="AA2416" s="348"/>
    </row>
    <row r="2417" s="331" customFormat="1" ht="17" customHeight="1" spans="1:27">
      <c r="A2417" s="550" t="s">
        <v>6396</v>
      </c>
      <c r="B2417" s="348" t="s">
        <v>58</v>
      </c>
      <c r="C2417" s="348" t="s">
        <v>109</v>
      </c>
      <c r="D2417" s="352" t="s">
        <v>110</v>
      </c>
      <c r="E2417" s="336">
        <v>43692</v>
      </c>
      <c r="F2417" s="336">
        <v>43672</v>
      </c>
      <c r="G2417" s="336">
        <v>43691</v>
      </c>
      <c r="H2417" s="334" t="s">
        <v>6397</v>
      </c>
      <c r="I2417" s="356">
        <v>13917364817</v>
      </c>
      <c r="J2417" s="361" t="s">
        <v>6398</v>
      </c>
      <c r="K2417" s="356">
        <v>5000</v>
      </c>
      <c r="L2417" s="334">
        <f>10561-804</f>
        <v>9757</v>
      </c>
      <c r="M2417" s="334">
        <v>804</v>
      </c>
      <c r="N2417" s="362">
        <f t="shared" si="86"/>
        <v>10561</v>
      </c>
      <c r="O2417" s="356"/>
      <c r="P2417" s="366" t="s">
        <v>52</v>
      </c>
      <c r="Q2417" s="356"/>
      <c r="R2417" s="356"/>
      <c r="S2417" s="356"/>
      <c r="T2417" s="356"/>
      <c r="U2417" s="372"/>
      <c r="V2417" s="372"/>
      <c r="W2417" s="372"/>
      <c r="X2417" s="373"/>
      <c r="Y2417" s="348"/>
      <c r="Z2417" s="348"/>
      <c r="AA2417" s="348"/>
    </row>
    <row r="2418" s="331" customFormat="1" ht="17" customHeight="1" spans="1:27">
      <c r="A2418" s="348"/>
      <c r="B2418" s="348" t="s">
        <v>31</v>
      </c>
      <c r="C2418" s="348" t="s">
        <v>220</v>
      </c>
      <c r="D2418" s="352" t="s">
        <v>221</v>
      </c>
      <c r="E2418" s="336">
        <v>43672</v>
      </c>
      <c r="F2418" s="336">
        <v>43672</v>
      </c>
      <c r="G2418" s="373" t="s">
        <v>1140</v>
      </c>
      <c r="H2418" s="334" t="s">
        <v>6399</v>
      </c>
      <c r="I2418" s="356">
        <v>13004119671</v>
      </c>
      <c r="J2418" s="361" t="s">
        <v>6400</v>
      </c>
      <c r="K2418" s="356">
        <v>1000</v>
      </c>
      <c r="L2418" s="419"/>
      <c r="M2418" s="419"/>
      <c r="N2418" s="362">
        <f t="shared" si="86"/>
        <v>0</v>
      </c>
      <c r="O2418" s="356"/>
      <c r="P2418" s="356"/>
      <c r="Q2418" s="366" t="s">
        <v>52</v>
      </c>
      <c r="R2418" s="356"/>
      <c r="S2418" s="356"/>
      <c r="T2418" s="356"/>
      <c r="U2418" s="372"/>
      <c r="V2418" s="372"/>
      <c r="W2418" s="372"/>
      <c r="X2418" s="373"/>
      <c r="Y2418" s="348"/>
      <c r="Z2418" s="348"/>
      <c r="AA2418" s="348"/>
    </row>
    <row r="2419" s="331" customFormat="1" ht="17" customHeight="1" spans="1:27">
      <c r="A2419" s="348"/>
      <c r="B2419" s="348" t="s">
        <v>4009</v>
      </c>
      <c r="C2419" s="334" t="s">
        <v>6401</v>
      </c>
      <c r="D2419" s="349" t="s">
        <v>75</v>
      </c>
      <c r="E2419" s="336">
        <v>43672</v>
      </c>
      <c r="F2419" s="336"/>
      <c r="G2419" s="336">
        <v>43647</v>
      </c>
      <c r="H2419" s="334" t="s">
        <v>6402</v>
      </c>
      <c r="I2419" s="356">
        <v>13701522826</v>
      </c>
      <c r="J2419" s="361" t="s">
        <v>6403</v>
      </c>
      <c r="K2419" s="356"/>
      <c r="L2419" s="334">
        <v>20000</v>
      </c>
      <c r="M2419" s="419"/>
      <c r="N2419" s="362">
        <f t="shared" si="86"/>
        <v>20000</v>
      </c>
      <c r="O2419" s="356"/>
      <c r="P2419" s="356"/>
      <c r="Q2419" s="356"/>
      <c r="R2419" s="356"/>
      <c r="S2419" s="356"/>
      <c r="T2419" s="356"/>
      <c r="U2419" s="372"/>
      <c r="V2419" s="372"/>
      <c r="W2419" s="372"/>
      <c r="X2419" s="373"/>
      <c r="Y2419" s="348"/>
      <c r="Z2419" s="348"/>
      <c r="AA2419" s="348"/>
    </row>
    <row r="2420" s="331" customFormat="1" ht="17" customHeight="1" spans="1:27">
      <c r="A2420" s="348"/>
      <c r="B2420" s="348" t="s">
        <v>35</v>
      </c>
      <c r="C2420" s="334" t="s">
        <v>392</v>
      </c>
      <c r="D2420" s="349" t="s">
        <v>37</v>
      </c>
      <c r="E2420" s="336">
        <v>43672</v>
      </c>
      <c r="F2420" s="336"/>
      <c r="G2420" s="336">
        <v>43671</v>
      </c>
      <c r="H2420" s="334" t="s">
        <v>6404</v>
      </c>
      <c r="I2420" s="356">
        <v>13817596570</v>
      </c>
      <c r="J2420" s="361" t="s">
        <v>6405</v>
      </c>
      <c r="K2420" s="356"/>
      <c r="L2420" s="334">
        <v>4461</v>
      </c>
      <c r="M2420" s="419"/>
      <c r="N2420" s="362">
        <f t="shared" ref="N2420:N2429" si="87">L2420+M2420</f>
        <v>4461</v>
      </c>
      <c r="O2420" s="356"/>
      <c r="P2420" s="356"/>
      <c r="Q2420" s="356"/>
      <c r="R2420" s="356"/>
      <c r="S2420" s="356"/>
      <c r="T2420" s="356"/>
      <c r="U2420" s="372"/>
      <c r="V2420" s="372"/>
      <c r="W2420" s="372"/>
      <c r="X2420" s="373"/>
      <c r="Y2420" s="348"/>
      <c r="Z2420" s="348"/>
      <c r="AA2420" s="348"/>
    </row>
    <row r="2421" s="331" customFormat="1" ht="17" customHeight="1" spans="1:27">
      <c r="A2421" s="348"/>
      <c r="B2421" s="348" t="s">
        <v>35</v>
      </c>
      <c r="C2421" s="334" t="s">
        <v>392</v>
      </c>
      <c r="D2421" s="349" t="s">
        <v>187</v>
      </c>
      <c r="E2421" s="336">
        <v>43672</v>
      </c>
      <c r="F2421" s="336"/>
      <c r="G2421" s="336">
        <v>43671</v>
      </c>
      <c r="H2421" s="334" t="s">
        <v>6406</v>
      </c>
      <c r="I2421" s="356">
        <v>18101067467</v>
      </c>
      <c r="J2421" s="361" t="s">
        <v>6407</v>
      </c>
      <c r="K2421" s="356"/>
      <c r="L2421" s="334">
        <v>45904</v>
      </c>
      <c r="M2421" s="334">
        <v>8096</v>
      </c>
      <c r="N2421" s="362">
        <f t="shared" si="87"/>
        <v>54000</v>
      </c>
      <c r="O2421" s="356"/>
      <c r="P2421" s="356"/>
      <c r="Q2421" s="356"/>
      <c r="R2421" s="356"/>
      <c r="S2421" s="356"/>
      <c r="T2421" s="356"/>
      <c r="U2421" s="372"/>
      <c r="V2421" s="372"/>
      <c r="W2421" s="372"/>
      <c r="X2421" s="373"/>
      <c r="Y2421" s="348"/>
      <c r="Z2421" s="348"/>
      <c r="AA2421" s="348"/>
    </row>
    <row r="2422" s="331" customFormat="1" ht="17" customHeight="1" spans="1:27">
      <c r="A2422" s="348"/>
      <c r="B2422" s="348" t="s">
        <v>147</v>
      </c>
      <c r="C2422" s="334" t="s">
        <v>148</v>
      </c>
      <c r="D2422" s="349" t="s">
        <v>337</v>
      </c>
      <c r="E2422" s="336">
        <v>43672</v>
      </c>
      <c r="F2422" s="336" t="s">
        <v>800</v>
      </c>
      <c r="G2422" s="336">
        <v>43649</v>
      </c>
      <c r="H2422" s="269" t="s">
        <v>6408</v>
      </c>
      <c r="I2422" s="356">
        <v>13918851319</v>
      </c>
      <c r="J2422" s="361" t="s">
        <v>6409</v>
      </c>
      <c r="K2422" s="356"/>
      <c r="L2422" s="419"/>
      <c r="M2422" s="334">
        <v>2899</v>
      </c>
      <c r="N2422" s="362">
        <f t="shared" si="87"/>
        <v>2899</v>
      </c>
      <c r="O2422" s="356"/>
      <c r="P2422" s="356"/>
      <c r="Q2422" s="356"/>
      <c r="R2422" s="356"/>
      <c r="S2422" s="356"/>
      <c r="T2422" s="356"/>
      <c r="U2422" s="372"/>
      <c r="V2422" s="372"/>
      <c r="W2422" s="372"/>
      <c r="X2422" s="373"/>
      <c r="Y2422" s="348"/>
      <c r="Z2422" s="348"/>
      <c r="AA2422" s="348"/>
    </row>
    <row r="2423" s="331" customFormat="1" ht="17" customHeight="1" spans="1:27">
      <c r="A2423" s="348"/>
      <c r="B2423" s="348" t="s">
        <v>87</v>
      </c>
      <c r="C2423" s="334" t="s">
        <v>199</v>
      </c>
      <c r="D2423" s="349" t="s">
        <v>89</v>
      </c>
      <c r="E2423" s="336">
        <v>43672</v>
      </c>
      <c r="F2423" s="336" t="s">
        <v>800</v>
      </c>
      <c r="G2423" s="336">
        <v>43671</v>
      </c>
      <c r="H2423" s="336" t="s">
        <v>6410</v>
      </c>
      <c r="I2423" s="356">
        <v>13801621618</v>
      </c>
      <c r="J2423" s="361" t="s">
        <v>6411</v>
      </c>
      <c r="K2423" s="356"/>
      <c r="L2423" s="419"/>
      <c r="M2423" s="334">
        <v>2057</v>
      </c>
      <c r="N2423" s="362">
        <f t="shared" si="87"/>
        <v>2057</v>
      </c>
      <c r="O2423" s="356"/>
      <c r="P2423" s="356"/>
      <c r="Q2423" s="356"/>
      <c r="R2423" s="356"/>
      <c r="S2423" s="356"/>
      <c r="T2423" s="356"/>
      <c r="U2423" s="372"/>
      <c r="V2423" s="372"/>
      <c r="W2423" s="372"/>
      <c r="X2423" s="373"/>
      <c r="Y2423" s="348"/>
      <c r="Z2423" s="348"/>
      <c r="AA2423" s="348"/>
    </row>
    <row r="2424" s="331" customFormat="1" ht="17" customHeight="1" spans="1:27">
      <c r="A2424" s="348"/>
      <c r="B2424" s="348" t="s">
        <v>35</v>
      </c>
      <c r="C2424" s="334" t="s">
        <v>36</v>
      </c>
      <c r="D2424" s="349" t="s">
        <v>37</v>
      </c>
      <c r="E2424" s="336">
        <v>43672</v>
      </c>
      <c r="F2424" s="336" t="s">
        <v>800</v>
      </c>
      <c r="G2424" s="336">
        <v>43672</v>
      </c>
      <c r="H2424" s="334" t="s">
        <v>6412</v>
      </c>
      <c r="I2424" s="356">
        <v>13816700045</v>
      </c>
      <c r="J2424" s="361" t="s">
        <v>6413</v>
      </c>
      <c r="K2424" s="356"/>
      <c r="L2424" s="419"/>
      <c r="M2424" s="334">
        <v>562</v>
      </c>
      <c r="N2424" s="362">
        <f t="shared" si="87"/>
        <v>562</v>
      </c>
      <c r="O2424" s="356"/>
      <c r="P2424" s="356"/>
      <c r="Q2424" s="356"/>
      <c r="R2424" s="356"/>
      <c r="S2424" s="356"/>
      <c r="T2424" s="356"/>
      <c r="U2424" s="372"/>
      <c r="V2424" s="372"/>
      <c r="W2424" s="372"/>
      <c r="X2424" s="373"/>
      <c r="Y2424" s="348"/>
      <c r="Z2424" s="348"/>
      <c r="AA2424" s="348"/>
    </row>
    <row r="2425" s="331" customFormat="1" ht="17" customHeight="1" spans="1:27">
      <c r="A2425" s="348"/>
      <c r="B2425" s="348" t="s">
        <v>726</v>
      </c>
      <c r="C2425" s="348" t="s">
        <v>727</v>
      </c>
      <c r="D2425" s="349" t="s">
        <v>717</v>
      </c>
      <c r="E2425" s="336">
        <v>43672</v>
      </c>
      <c r="F2425" s="336" t="s">
        <v>800</v>
      </c>
      <c r="G2425" s="336">
        <v>43669</v>
      </c>
      <c r="H2425" s="334" t="s">
        <v>6414</v>
      </c>
      <c r="I2425" s="356">
        <v>18601662021</v>
      </c>
      <c r="J2425" s="361" t="s">
        <v>6415</v>
      </c>
      <c r="K2425" s="356"/>
      <c r="L2425" s="419"/>
      <c r="M2425" s="334">
        <v>-17425</v>
      </c>
      <c r="N2425" s="362">
        <f t="shared" si="87"/>
        <v>-17425</v>
      </c>
      <c r="O2425" s="356"/>
      <c r="P2425" s="356"/>
      <c r="Q2425" s="356"/>
      <c r="R2425" s="356"/>
      <c r="S2425" s="356"/>
      <c r="T2425" s="356"/>
      <c r="U2425" s="372"/>
      <c r="V2425" s="372"/>
      <c r="W2425" s="372"/>
      <c r="X2425" s="373"/>
      <c r="Y2425" s="348"/>
      <c r="Z2425" s="348"/>
      <c r="AA2425" s="348"/>
    </row>
    <row r="2426" s="331" customFormat="1" ht="17" customHeight="1" spans="1:27">
      <c r="A2426" s="348"/>
      <c r="B2426" s="348" t="s">
        <v>726</v>
      </c>
      <c r="C2426" s="348" t="s">
        <v>727</v>
      </c>
      <c r="D2426" s="349" t="s">
        <v>271</v>
      </c>
      <c r="E2426" s="336">
        <v>43672</v>
      </c>
      <c r="F2426" s="336" t="s">
        <v>800</v>
      </c>
      <c r="G2426" s="336">
        <v>43669</v>
      </c>
      <c r="H2426" s="334" t="s">
        <v>6414</v>
      </c>
      <c r="I2426" s="356">
        <v>18601662021</v>
      </c>
      <c r="J2426" s="361" t="s">
        <v>6415</v>
      </c>
      <c r="K2426" s="356"/>
      <c r="L2426" s="419"/>
      <c r="M2426" s="334">
        <v>26475</v>
      </c>
      <c r="N2426" s="362">
        <f t="shared" si="87"/>
        <v>26475</v>
      </c>
      <c r="O2426" s="356"/>
      <c r="P2426" s="356"/>
      <c r="Q2426" s="356"/>
      <c r="R2426" s="356"/>
      <c r="S2426" s="356"/>
      <c r="T2426" s="356"/>
      <c r="U2426" s="372"/>
      <c r="V2426" s="372"/>
      <c r="W2426" s="372"/>
      <c r="X2426" s="373"/>
      <c r="Y2426" s="348"/>
      <c r="Z2426" s="348"/>
      <c r="AA2426" s="348"/>
    </row>
    <row r="2427" s="331" customFormat="1" ht="17" customHeight="1" spans="1:27">
      <c r="A2427" s="348"/>
      <c r="B2427" s="348" t="s">
        <v>31</v>
      </c>
      <c r="C2427" s="334" t="s">
        <v>32</v>
      </c>
      <c r="D2427" s="349" t="s">
        <v>182</v>
      </c>
      <c r="E2427" s="336">
        <v>43672</v>
      </c>
      <c r="F2427" s="336" t="s">
        <v>800</v>
      </c>
      <c r="G2427" s="336">
        <v>43672</v>
      </c>
      <c r="H2427" s="334" t="s">
        <v>6416</v>
      </c>
      <c r="I2427" s="356" t="s">
        <v>6417</v>
      </c>
      <c r="J2427" s="361" t="s">
        <v>6418</v>
      </c>
      <c r="K2427" s="356"/>
      <c r="L2427" s="419"/>
      <c r="M2427" s="334">
        <v>878</v>
      </c>
      <c r="N2427" s="362">
        <f t="shared" si="87"/>
        <v>878</v>
      </c>
      <c r="O2427" s="356"/>
      <c r="P2427" s="356"/>
      <c r="Q2427" s="356"/>
      <c r="R2427" s="356"/>
      <c r="S2427" s="356"/>
      <c r="T2427" s="356"/>
      <c r="U2427" s="372"/>
      <c r="V2427" s="372"/>
      <c r="W2427" s="372"/>
      <c r="X2427" s="373"/>
      <c r="Y2427" s="348"/>
      <c r="Z2427" s="348"/>
      <c r="AA2427" s="348"/>
    </row>
    <row r="2428" s="331" customFormat="1" ht="17" customHeight="1" spans="1:27">
      <c r="A2428" s="348"/>
      <c r="B2428" s="348" t="s">
        <v>805</v>
      </c>
      <c r="C2428" s="334" t="s">
        <v>1458</v>
      </c>
      <c r="D2428" s="349" t="s">
        <v>139</v>
      </c>
      <c r="E2428" s="336">
        <v>43672</v>
      </c>
      <c r="F2428" s="336" t="s">
        <v>800</v>
      </c>
      <c r="G2428" s="336">
        <v>43606</v>
      </c>
      <c r="H2428" s="334" t="s">
        <v>6419</v>
      </c>
      <c r="I2428" s="356">
        <v>13127880925</v>
      </c>
      <c r="J2428" s="361" t="s">
        <v>6420</v>
      </c>
      <c r="K2428" s="356"/>
      <c r="L2428" s="419"/>
      <c r="M2428" s="334">
        <v>1300</v>
      </c>
      <c r="N2428" s="362">
        <f t="shared" si="87"/>
        <v>1300</v>
      </c>
      <c r="O2428" s="356"/>
      <c r="P2428" s="356"/>
      <c r="Q2428" s="356"/>
      <c r="R2428" s="356"/>
      <c r="S2428" s="356"/>
      <c r="T2428" s="356"/>
      <c r="U2428" s="372"/>
      <c r="V2428" s="372"/>
      <c r="W2428" s="372"/>
      <c r="X2428" s="373"/>
      <c r="Y2428" s="348"/>
      <c r="Z2428" s="348"/>
      <c r="AA2428" s="348"/>
    </row>
    <row r="2429" s="331" customFormat="1" ht="17" customHeight="1" spans="1:27">
      <c r="A2429" s="348"/>
      <c r="B2429" s="348" t="s">
        <v>87</v>
      </c>
      <c r="C2429" s="334" t="s">
        <v>466</v>
      </c>
      <c r="D2429" s="349" t="s">
        <v>75</v>
      </c>
      <c r="E2429" s="336">
        <v>43672</v>
      </c>
      <c r="F2429" s="336" t="s">
        <v>800</v>
      </c>
      <c r="G2429" s="336">
        <v>43661</v>
      </c>
      <c r="H2429" s="269" t="s">
        <v>5461</v>
      </c>
      <c r="I2429" s="356">
        <v>18118036666</v>
      </c>
      <c r="J2429" s="361" t="s">
        <v>5462</v>
      </c>
      <c r="K2429" s="356"/>
      <c r="L2429" s="419"/>
      <c r="M2429" s="334">
        <v>6200</v>
      </c>
      <c r="N2429" s="362">
        <f t="shared" si="87"/>
        <v>6200</v>
      </c>
      <c r="O2429" s="356"/>
      <c r="P2429" s="356"/>
      <c r="Q2429" s="356"/>
      <c r="R2429" s="356"/>
      <c r="S2429" s="356"/>
      <c r="T2429" s="356"/>
      <c r="U2429" s="372"/>
      <c r="V2429" s="372"/>
      <c r="W2429" s="372"/>
      <c r="X2429" s="373"/>
      <c r="Y2429" s="348"/>
      <c r="Z2429" s="348"/>
      <c r="AA2429" s="348"/>
    </row>
    <row r="2430" s="331" customFormat="1" ht="17" customHeight="1" spans="1:27">
      <c r="A2430" s="550" t="s">
        <v>6421</v>
      </c>
      <c r="B2430" s="348" t="s">
        <v>2625</v>
      </c>
      <c r="C2430" s="348" t="s">
        <v>2626</v>
      </c>
      <c r="D2430" s="349" t="s">
        <v>337</v>
      </c>
      <c r="E2430" s="336">
        <v>43673</v>
      </c>
      <c r="F2430" s="336">
        <v>43672</v>
      </c>
      <c r="G2430" s="336">
        <v>43674</v>
      </c>
      <c r="H2430" s="334" t="s">
        <v>6422</v>
      </c>
      <c r="I2430" s="356">
        <v>15692113400</v>
      </c>
      <c r="J2430" s="361" t="s">
        <v>6423</v>
      </c>
      <c r="K2430" s="356">
        <v>1000</v>
      </c>
      <c r="L2430" s="334">
        <v>4398</v>
      </c>
      <c r="M2430" s="419"/>
      <c r="N2430" s="362">
        <f t="shared" ref="N2430:N2462" si="88">L2430+M2430</f>
        <v>4398</v>
      </c>
      <c r="O2430" s="356"/>
      <c r="P2430" s="356"/>
      <c r="Q2430" s="356"/>
      <c r="R2430" s="356"/>
      <c r="S2430" s="356"/>
      <c r="T2430" s="356"/>
      <c r="U2430" s="372"/>
      <c r="V2430" s="372"/>
      <c r="W2430" s="372"/>
      <c r="X2430" s="373"/>
      <c r="Y2430" s="348"/>
      <c r="Z2430" s="348"/>
      <c r="AA2430" s="348"/>
    </row>
    <row r="2431" s="331" customFormat="1" ht="17" customHeight="1" spans="1:27">
      <c r="A2431" s="550" t="s">
        <v>6424</v>
      </c>
      <c r="B2431" s="348" t="s">
        <v>47</v>
      </c>
      <c r="C2431" s="348" t="s">
        <v>80</v>
      </c>
      <c r="D2431" s="352" t="s">
        <v>49</v>
      </c>
      <c r="E2431" s="336">
        <v>43673</v>
      </c>
      <c r="F2431" s="336">
        <v>43673</v>
      </c>
      <c r="G2431" s="336">
        <v>43675</v>
      </c>
      <c r="H2431" s="334" t="s">
        <v>6425</v>
      </c>
      <c r="I2431" s="356">
        <v>13524973119</v>
      </c>
      <c r="J2431" s="361" t="s">
        <v>6426</v>
      </c>
      <c r="K2431" s="356">
        <v>46000</v>
      </c>
      <c r="L2431" s="334">
        <v>46000</v>
      </c>
      <c r="M2431" s="419"/>
      <c r="N2431" s="362">
        <f t="shared" si="88"/>
        <v>46000</v>
      </c>
      <c r="O2431" s="356"/>
      <c r="P2431" s="356"/>
      <c r="Q2431" s="356"/>
      <c r="R2431" s="356"/>
      <c r="S2431" s="356"/>
      <c r="T2431" s="356"/>
      <c r="U2431" s="372"/>
      <c r="V2431" s="372"/>
      <c r="W2431" s="372"/>
      <c r="X2431" s="373"/>
      <c r="Y2431" s="348"/>
      <c r="Z2431" s="348"/>
      <c r="AA2431" s="348"/>
    </row>
    <row r="2432" s="331" customFormat="1" ht="17" customHeight="1" spans="1:27">
      <c r="A2432" s="550" t="s">
        <v>6427</v>
      </c>
      <c r="B2432" s="348" t="s">
        <v>359</v>
      </c>
      <c r="C2432" s="348" t="s">
        <v>3018</v>
      </c>
      <c r="D2432" s="352" t="s">
        <v>361</v>
      </c>
      <c r="E2432" s="336">
        <v>43701</v>
      </c>
      <c r="F2432" s="336">
        <v>43673</v>
      </c>
      <c r="G2432" s="336">
        <v>43701</v>
      </c>
      <c r="H2432" s="334" t="s">
        <v>6428</v>
      </c>
      <c r="I2432" s="356">
        <v>18302148607</v>
      </c>
      <c r="J2432" s="361" t="s">
        <v>6429</v>
      </c>
      <c r="K2432" s="356">
        <v>2000</v>
      </c>
      <c r="L2432" s="334">
        <f>6366-1140</f>
        <v>5226</v>
      </c>
      <c r="M2432" s="334">
        <v>1140</v>
      </c>
      <c r="N2432" s="362">
        <f t="shared" si="88"/>
        <v>6366</v>
      </c>
      <c r="O2432" s="356"/>
      <c r="P2432" s="356"/>
      <c r="Q2432" s="356" t="s">
        <v>21</v>
      </c>
      <c r="R2432" s="356"/>
      <c r="S2432" s="356"/>
      <c r="T2432" s="356"/>
      <c r="U2432" s="372"/>
      <c r="V2432" s="372"/>
      <c r="W2432" s="372"/>
      <c r="X2432" s="373"/>
      <c r="Y2432" s="348"/>
      <c r="Z2432" s="348"/>
      <c r="AA2432" s="348"/>
    </row>
    <row r="2433" s="331" customFormat="1" ht="17" customHeight="1" spans="1:27">
      <c r="A2433" s="348">
        <v>2023516</v>
      </c>
      <c r="B2433" s="348" t="s">
        <v>185</v>
      </c>
      <c r="C2433" s="348" t="s">
        <v>886</v>
      </c>
      <c r="D2433" s="352" t="s">
        <v>187</v>
      </c>
      <c r="E2433" s="336">
        <v>43673</v>
      </c>
      <c r="F2433" s="336">
        <v>43673</v>
      </c>
      <c r="G2433" s="350"/>
      <c r="H2433" s="334" t="s">
        <v>943</v>
      </c>
      <c r="I2433" s="356">
        <v>13003163909</v>
      </c>
      <c r="J2433" s="361" t="s">
        <v>6430</v>
      </c>
      <c r="K2433" s="356">
        <v>0</v>
      </c>
      <c r="L2433" s="419"/>
      <c r="M2433" s="419"/>
      <c r="N2433" s="362">
        <f t="shared" si="88"/>
        <v>0</v>
      </c>
      <c r="O2433" s="356"/>
      <c r="P2433" s="356"/>
      <c r="Q2433" s="356" t="s">
        <v>52</v>
      </c>
      <c r="R2433" s="356"/>
      <c r="S2433" s="356"/>
      <c r="T2433" s="356"/>
      <c r="U2433" s="372"/>
      <c r="V2433" s="372"/>
      <c r="W2433" s="372"/>
      <c r="X2433" s="373"/>
      <c r="Y2433" s="348"/>
      <c r="Z2433" s="348"/>
      <c r="AA2433" s="348"/>
    </row>
    <row r="2434" s="331" customFormat="1" ht="17" customHeight="1" spans="1:27">
      <c r="A2434" s="550" t="s">
        <v>6431</v>
      </c>
      <c r="B2434" s="348" t="s">
        <v>185</v>
      </c>
      <c r="C2434" s="348" t="s">
        <v>1204</v>
      </c>
      <c r="D2434" s="352" t="s">
        <v>44</v>
      </c>
      <c r="E2434" s="336">
        <v>43673</v>
      </c>
      <c r="F2434" s="336">
        <v>43670</v>
      </c>
      <c r="G2434" s="350"/>
      <c r="H2434" s="334" t="s">
        <v>6432</v>
      </c>
      <c r="I2434" s="356">
        <v>15000056872</v>
      </c>
      <c r="J2434" s="361" t="s">
        <v>6433</v>
      </c>
      <c r="K2434" s="356">
        <v>1000</v>
      </c>
      <c r="L2434" s="419"/>
      <c r="M2434" s="419"/>
      <c r="N2434" s="362">
        <f t="shared" si="88"/>
        <v>0</v>
      </c>
      <c r="O2434" s="356"/>
      <c r="P2434" s="356"/>
      <c r="Q2434" s="436"/>
      <c r="R2434" s="356"/>
      <c r="S2434" s="356"/>
      <c r="T2434" s="356"/>
      <c r="U2434" s="374">
        <v>43666</v>
      </c>
      <c r="V2434" s="372"/>
      <c r="W2434" s="372"/>
      <c r="X2434" s="373"/>
      <c r="Y2434" s="348"/>
      <c r="Z2434" s="348"/>
      <c r="AA2434" s="348"/>
    </row>
    <row r="2435" s="331" customFormat="1" ht="17" customHeight="1" spans="1:27">
      <c r="A2435" s="550" t="s">
        <v>6434</v>
      </c>
      <c r="B2435" s="348" t="s">
        <v>315</v>
      </c>
      <c r="C2435" s="334" t="s">
        <v>161</v>
      </c>
      <c r="D2435" s="352" t="s">
        <v>162</v>
      </c>
      <c r="E2435" s="336">
        <v>43673</v>
      </c>
      <c r="F2435" s="336">
        <v>43673</v>
      </c>
      <c r="G2435" s="336">
        <v>43677</v>
      </c>
      <c r="H2435" s="334" t="s">
        <v>6435</v>
      </c>
      <c r="I2435" s="356">
        <v>1916150625</v>
      </c>
      <c r="J2435" s="361" t="s">
        <v>6436</v>
      </c>
      <c r="K2435" s="356">
        <v>1998</v>
      </c>
      <c r="L2435" s="334">
        <v>3262</v>
      </c>
      <c r="M2435" s="419"/>
      <c r="N2435" s="362">
        <f t="shared" si="88"/>
        <v>3262</v>
      </c>
      <c r="O2435" s="356"/>
      <c r="P2435" s="356">
        <v>1</v>
      </c>
      <c r="Q2435" s="356"/>
      <c r="R2435" s="356"/>
      <c r="S2435" s="356"/>
      <c r="T2435" s="356"/>
      <c r="U2435" s="372"/>
      <c r="V2435" s="372"/>
      <c r="W2435" s="372"/>
      <c r="X2435" s="373"/>
      <c r="Y2435" s="348"/>
      <c r="Z2435" s="348"/>
      <c r="AA2435" s="348"/>
    </row>
    <row r="2436" s="331" customFormat="1" ht="17" customHeight="1" spans="1:27">
      <c r="A2436" s="348"/>
      <c r="B2436" s="348" t="s">
        <v>31</v>
      </c>
      <c r="C2436" s="348" t="s">
        <v>419</v>
      </c>
      <c r="D2436" s="349" t="s">
        <v>33</v>
      </c>
      <c r="E2436" s="336">
        <v>43673</v>
      </c>
      <c r="F2436" s="336">
        <v>43673</v>
      </c>
      <c r="G2436" s="336">
        <v>43674</v>
      </c>
      <c r="H2436" s="334" t="s">
        <v>6437</v>
      </c>
      <c r="I2436" s="356">
        <v>13917989017</v>
      </c>
      <c r="J2436" s="361" t="s">
        <v>6438</v>
      </c>
      <c r="K2436" s="356">
        <v>1000</v>
      </c>
      <c r="L2436" s="334">
        <v>8032</v>
      </c>
      <c r="M2436" s="334">
        <v>268</v>
      </c>
      <c r="N2436" s="362">
        <f t="shared" si="88"/>
        <v>8300</v>
      </c>
      <c r="O2436" s="356"/>
      <c r="P2436" s="356"/>
      <c r="Q2436" s="356"/>
      <c r="R2436" s="356"/>
      <c r="S2436" s="356"/>
      <c r="T2436" s="356"/>
      <c r="U2436" s="372"/>
      <c r="V2436" s="372"/>
      <c r="W2436" s="372"/>
      <c r="X2436" s="373"/>
      <c r="Y2436" s="348"/>
      <c r="Z2436" s="348"/>
      <c r="AA2436" s="348"/>
    </row>
    <row r="2437" s="331" customFormat="1" ht="17" customHeight="1" spans="1:27">
      <c r="A2437" s="348"/>
      <c r="B2437" s="348" t="s">
        <v>66</v>
      </c>
      <c r="C2437" s="348" t="s">
        <v>505</v>
      </c>
      <c r="D2437" s="352" t="s">
        <v>143</v>
      </c>
      <c r="E2437" s="336">
        <v>43673</v>
      </c>
      <c r="F2437" s="336">
        <v>43673</v>
      </c>
      <c r="G2437" s="336">
        <v>43676</v>
      </c>
      <c r="H2437" s="334" t="s">
        <v>6439</v>
      </c>
      <c r="I2437" s="356">
        <v>13917561543</v>
      </c>
      <c r="J2437" s="361" t="s">
        <v>6440</v>
      </c>
      <c r="K2437" s="356">
        <v>28000</v>
      </c>
      <c r="L2437" s="334">
        <v>28068</v>
      </c>
      <c r="M2437" s="419"/>
      <c r="N2437" s="362">
        <f t="shared" si="88"/>
        <v>28068</v>
      </c>
      <c r="O2437" s="356"/>
      <c r="P2437" s="356"/>
      <c r="Q2437" s="356"/>
      <c r="R2437" s="356"/>
      <c r="S2437" s="356"/>
      <c r="T2437" s="356"/>
      <c r="U2437" s="372"/>
      <c r="V2437" s="372" t="s">
        <v>2172</v>
      </c>
      <c r="W2437" s="372"/>
      <c r="X2437" s="373"/>
      <c r="Y2437" s="348"/>
      <c r="Z2437" s="348"/>
      <c r="AA2437" s="348"/>
    </row>
    <row r="2438" s="331" customFormat="1" ht="17" customHeight="1" spans="1:27">
      <c r="A2438" s="348">
        <v>2066983</v>
      </c>
      <c r="B2438" s="348" t="s">
        <v>66</v>
      </c>
      <c r="C2438" s="348" t="s">
        <v>505</v>
      </c>
      <c r="D2438" s="352" t="s">
        <v>68</v>
      </c>
      <c r="E2438" s="336">
        <v>43673</v>
      </c>
      <c r="F2438" s="336">
        <v>43673</v>
      </c>
      <c r="G2438" s="336">
        <v>43677</v>
      </c>
      <c r="H2438" s="334" t="s">
        <v>6441</v>
      </c>
      <c r="I2438" s="356">
        <v>13636516318</v>
      </c>
      <c r="J2438" s="361" t="s">
        <v>6442</v>
      </c>
      <c r="K2438" s="356">
        <v>10000</v>
      </c>
      <c r="L2438" s="334">
        <v>9988</v>
      </c>
      <c r="M2438" s="419"/>
      <c r="N2438" s="362">
        <f t="shared" si="88"/>
        <v>9988</v>
      </c>
      <c r="O2438" s="356" t="s">
        <v>19</v>
      </c>
      <c r="P2438" s="356"/>
      <c r="Q2438" s="356"/>
      <c r="R2438" s="356"/>
      <c r="S2438" s="356"/>
      <c r="T2438" s="356"/>
      <c r="U2438" s="372"/>
      <c r="V2438" s="372"/>
      <c r="W2438" s="372"/>
      <c r="X2438" s="373"/>
      <c r="Y2438" s="348"/>
      <c r="Z2438" s="348"/>
      <c r="AA2438" s="348"/>
    </row>
    <row r="2439" s="331" customFormat="1" ht="17" customHeight="1" spans="1:27">
      <c r="A2439" s="550" t="s">
        <v>6443</v>
      </c>
      <c r="B2439" s="348" t="s">
        <v>35</v>
      </c>
      <c r="C2439" s="348" t="s">
        <v>328</v>
      </c>
      <c r="D2439" s="349" t="s">
        <v>68</v>
      </c>
      <c r="E2439" s="336">
        <v>43684</v>
      </c>
      <c r="F2439" s="336">
        <v>43673</v>
      </c>
      <c r="G2439" s="336">
        <v>43684</v>
      </c>
      <c r="H2439" s="334" t="s">
        <v>6444</v>
      </c>
      <c r="I2439" s="356">
        <v>15858191897</v>
      </c>
      <c r="J2439" s="361" t="s">
        <v>6445</v>
      </c>
      <c r="K2439" s="356">
        <v>1000</v>
      </c>
      <c r="L2439" s="334">
        <v>5417</v>
      </c>
      <c r="M2439" s="419"/>
      <c r="N2439" s="362">
        <f t="shared" si="88"/>
        <v>5417</v>
      </c>
      <c r="O2439" s="356"/>
      <c r="P2439" s="356"/>
      <c r="Q2439" s="356" t="s">
        <v>52</v>
      </c>
      <c r="R2439" s="356"/>
      <c r="S2439" s="356"/>
      <c r="T2439" s="356"/>
      <c r="U2439" s="372"/>
      <c r="V2439" s="372"/>
      <c r="W2439" s="372"/>
      <c r="X2439" s="373"/>
      <c r="Y2439" s="348"/>
      <c r="Z2439" s="348"/>
      <c r="AA2439" s="348"/>
    </row>
    <row r="2440" s="331" customFormat="1" ht="17" customHeight="1" spans="1:27">
      <c r="A2440" s="348"/>
      <c r="B2440" s="348" t="s">
        <v>31</v>
      </c>
      <c r="C2440" s="348" t="s">
        <v>220</v>
      </c>
      <c r="D2440" s="334" t="s">
        <v>33</v>
      </c>
      <c r="E2440" s="336">
        <v>43734</v>
      </c>
      <c r="F2440" s="336">
        <v>43673</v>
      </c>
      <c r="G2440" s="336">
        <v>43733</v>
      </c>
      <c r="H2440" s="334" t="s">
        <v>6446</v>
      </c>
      <c r="I2440" s="356">
        <v>13818288868</v>
      </c>
      <c r="J2440" s="361" t="s">
        <v>6447</v>
      </c>
      <c r="K2440" s="356">
        <v>1000</v>
      </c>
      <c r="L2440" s="334">
        <v>11188</v>
      </c>
      <c r="M2440" s="419"/>
      <c r="N2440" s="362">
        <f t="shared" si="88"/>
        <v>11188</v>
      </c>
      <c r="O2440" s="356"/>
      <c r="P2440" s="356"/>
      <c r="Q2440" s="366" t="s">
        <v>52</v>
      </c>
      <c r="R2440" s="356"/>
      <c r="S2440" s="356"/>
      <c r="T2440" s="356"/>
      <c r="U2440" s="372"/>
      <c r="V2440" s="372"/>
      <c r="W2440" s="372"/>
      <c r="X2440" s="373"/>
      <c r="Y2440" s="348"/>
      <c r="Z2440" s="348"/>
      <c r="AA2440" s="348"/>
    </row>
    <row r="2441" s="331" customFormat="1" ht="17" customHeight="1" spans="1:27">
      <c r="A2441" s="550" t="s">
        <v>6448</v>
      </c>
      <c r="B2441" s="348" t="s">
        <v>35</v>
      </c>
      <c r="C2441" s="348" t="s">
        <v>392</v>
      </c>
      <c r="D2441" s="352" t="s">
        <v>37</v>
      </c>
      <c r="E2441" s="336">
        <v>43700</v>
      </c>
      <c r="F2441" s="336">
        <v>43673</v>
      </c>
      <c r="G2441" s="336">
        <v>43697</v>
      </c>
      <c r="H2441" s="334" t="s">
        <v>6449</v>
      </c>
      <c r="I2441" s="356">
        <v>18702190050</v>
      </c>
      <c r="J2441" s="361" t="s">
        <v>6450</v>
      </c>
      <c r="K2441" s="356">
        <v>1000</v>
      </c>
      <c r="L2441" s="334">
        <f>15206-1472</f>
        <v>13734</v>
      </c>
      <c r="M2441" s="334">
        <v>1472</v>
      </c>
      <c r="N2441" s="362">
        <f t="shared" si="88"/>
        <v>15206</v>
      </c>
      <c r="O2441" s="356"/>
      <c r="P2441" s="356"/>
      <c r="Q2441" s="356" t="s">
        <v>52</v>
      </c>
      <c r="R2441" s="356"/>
      <c r="S2441" s="356"/>
      <c r="T2441" s="356"/>
      <c r="U2441" s="372"/>
      <c r="V2441" s="372"/>
      <c r="W2441" s="372"/>
      <c r="X2441" s="373"/>
      <c r="Y2441" s="348"/>
      <c r="Z2441" s="348"/>
      <c r="AA2441" s="348"/>
    </row>
    <row r="2442" s="331" customFormat="1" ht="17" customHeight="1" spans="1:27">
      <c r="A2442" s="550" t="s">
        <v>6451</v>
      </c>
      <c r="B2442" s="348" t="s">
        <v>315</v>
      </c>
      <c r="C2442" s="348" t="s">
        <v>161</v>
      </c>
      <c r="D2442" s="352" t="s">
        <v>162</v>
      </c>
      <c r="E2442" s="336">
        <v>43673</v>
      </c>
      <c r="F2442" s="336">
        <v>43673</v>
      </c>
      <c r="G2442" s="336">
        <v>43676</v>
      </c>
      <c r="H2442" s="334" t="s">
        <v>6452</v>
      </c>
      <c r="I2442" s="356">
        <v>13301973668</v>
      </c>
      <c r="J2442" s="361" t="s">
        <v>6453</v>
      </c>
      <c r="K2442" s="356">
        <v>1000</v>
      </c>
      <c r="L2442" s="334">
        <v>2900</v>
      </c>
      <c r="M2442" s="419"/>
      <c r="N2442" s="362">
        <f t="shared" si="88"/>
        <v>2900</v>
      </c>
      <c r="O2442" s="356"/>
      <c r="P2442" s="356"/>
      <c r="Q2442" s="356"/>
      <c r="R2442" s="356">
        <v>1</v>
      </c>
      <c r="S2442" s="356"/>
      <c r="T2442" s="356"/>
      <c r="U2442" s="372"/>
      <c r="V2442" s="372"/>
      <c r="W2442" s="372"/>
      <c r="X2442" s="373"/>
      <c r="Y2442" s="348"/>
      <c r="Z2442" s="348"/>
      <c r="AA2442" s="348"/>
    </row>
    <row r="2443" s="331" customFormat="1" ht="17" customHeight="1" spans="1:27">
      <c r="A2443" s="348"/>
      <c r="B2443" s="348" t="s">
        <v>66</v>
      </c>
      <c r="C2443" s="348" t="s">
        <v>67</v>
      </c>
      <c r="D2443" s="334" t="s">
        <v>68</v>
      </c>
      <c r="E2443" s="336">
        <v>43717</v>
      </c>
      <c r="F2443" s="336">
        <v>43673</v>
      </c>
      <c r="G2443" s="336">
        <v>43716</v>
      </c>
      <c r="H2443" s="334" t="s">
        <v>6454</v>
      </c>
      <c r="I2443" s="356">
        <v>13801641616</v>
      </c>
      <c r="J2443" s="361" t="s">
        <v>6455</v>
      </c>
      <c r="K2443" s="356">
        <v>10000</v>
      </c>
      <c r="L2443" s="334">
        <v>10635</v>
      </c>
      <c r="M2443" s="419"/>
      <c r="N2443" s="362">
        <f t="shared" si="88"/>
        <v>10635</v>
      </c>
      <c r="O2443" s="356"/>
      <c r="P2443" s="356"/>
      <c r="Q2443" s="356" t="s">
        <v>52</v>
      </c>
      <c r="R2443" s="356"/>
      <c r="S2443" s="356"/>
      <c r="T2443" s="356"/>
      <c r="U2443" s="372"/>
      <c r="V2443" s="372"/>
      <c r="W2443" s="372"/>
      <c r="X2443" s="373"/>
      <c r="Y2443" s="348"/>
      <c r="Z2443" s="348"/>
      <c r="AA2443" s="348"/>
    </row>
    <row r="2444" s="331" customFormat="1" ht="17" customHeight="1" spans="1:27">
      <c r="A2444" s="348"/>
      <c r="B2444" s="348" t="s">
        <v>315</v>
      </c>
      <c r="C2444" s="348" t="s">
        <v>722</v>
      </c>
      <c r="D2444" s="349" t="s">
        <v>132</v>
      </c>
      <c r="E2444" s="336">
        <v>43673</v>
      </c>
      <c r="F2444" s="336">
        <v>43673</v>
      </c>
      <c r="G2444" s="350" t="s">
        <v>231</v>
      </c>
      <c r="H2444" s="334" t="s">
        <v>6456</v>
      </c>
      <c r="I2444" s="356">
        <v>15618590985</v>
      </c>
      <c r="J2444" s="361" t="s">
        <v>6457</v>
      </c>
      <c r="K2444" s="356">
        <v>1000</v>
      </c>
      <c r="L2444" s="419"/>
      <c r="M2444" s="419"/>
      <c r="N2444" s="362">
        <f t="shared" si="88"/>
        <v>0</v>
      </c>
      <c r="O2444" s="356"/>
      <c r="P2444" s="356"/>
      <c r="Q2444" s="356">
        <v>1</v>
      </c>
      <c r="R2444" s="356"/>
      <c r="S2444" s="356"/>
      <c r="T2444" s="356"/>
      <c r="U2444" s="372"/>
      <c r="V2444" s="372"/>
      <c r="W2444" s="372"/>
      <c r="X2444" s="373"/>
      <c r="Y2444" s="348"/>
      <c r="Z2444" s="348"/>
      <c r="AA2444" s="348"/>
    </row>
    <row r="2445" s="331" customFormat="1" ht="17" customHeight="1" spans="1:27">
      <c r="A2445" s="550" t="s">
        <v>6458</v>
      </c>
      <c r="B2445" s="348" t="s">
        <v>205</v>
      </c>
      <c r="C2445" s="348" t="s">
        <v>1467</v>
      </c>
      <c r="D2445" s="349" t="s">
        <v>407</v>
      </c>
      <c r="E2445" s="336">
        <v>43698</v>
      </c>
      <c r="F2445" s="336">
        <v>43673</v>
      </c>
      <c r="G2445" s="336">
        <v>43674</v>
      </c>
      <c r="H2445" s="334" t="s">
        <v>6459</v>
      </c>
      <c r="I2445" s="356">
        <v>18621144799</v>
      </c>
      <c r="J2445" s="361" t="s">
        <v>6460</v>
      </c>
      <c r="K2445" s="356">
        <v>4979</v>
      </c>
      <c r="L2445" s="334">
        <v>4979</v>
      </c>
      <c r="M2445" s="419"/>
      <c r="N2445" s="362">
        <f t="shared" si="88"/>
        <v>4979</v>
      </c>
      <c r="O2445" s="356"/>
      <c r="P2445" s="356"/>
      <c r="Q2445" s="356"/>
      <c r="R2445" s="356"/>
      <c r="S2445" s="356"/>
      <c r="T2445" s="356"/>
      <c r="U2445" s="372"/>
      <c r="V2445" s="372"/>
      <c r="W2445" s="372"/>
      <c r="X2445" s="373"/>
      <c r="Y2445" s="348"/>
      <c r="Z2445" s="348"/>
      <c r="AA2445" s="348"/>
    </row>
    <row r="2446" s="331" customFormat="1" ht="17" customHeight="1" spans="1:27">
      <c r="A2446" s="550" t="s">
        <v>6461</v>
      </c>
      <c r="B2446" s="348" t="s">
        <v>31</v>
      </c>
      <c r="C2446" s="348" t="s">
        <v>419</v>
      </c>
      <c r="D2446" s="349" t="s">
        <v>33</v>
      </c>
      <c r="E2446" s="336">
        <v>43673</v>
      </c>
      <c r="F2446" s="336">
        <v>43673</v>
      </c>
      <c r="G2446" s="336">
        <v>43673</v>
      </c>
      <c r="H2446" s="334" t="s">
        <v>2403</v>
      </c>
      <c r="I2446" s="356">
        <v>13370065202</v>
      </c>
      <c r="J2446" s="361" t="s">
        <v>6462</v>
      </c>
      <c r="K2446" s="356">
        <v>7731</v>
      </c>
      <c r="L2446" s="334">
        <v>7731</v>
      </c>
      <c r="M2446" s="419"/>
      <c r="N2446" s="362">
        <f t="shared" si="88"/>
        <v>7731</v>
      </c>
      <c r="O2446" s="356"/>
      <c r="P2446" s="356"/>
      <c r="Q2446" s="356"/>
      <c r="R2446" s="356"/>
      <c r="S2446" s="356"/>
      <c r="T2446" s="356"/>
      <c r="U2446" s="372"/>
      <c r="V2446" s="372"/>
      <c r="W2446" s="372"/>
      <c r="X2446" s="373"/>
      <c r="Y2446" s="348"/>
      <c r="Z2446" s="348"/>
      <c r="AA2446" s="348"/>
    </row>
    <row r="2447" s="331" customFormat="1" ht="17" customHeight="1" spans="1:27">
      <c r="A2447" s="550" t="s">
        <v>6463</v>
      </c>
      <c r="B2447" s="348" t="s">
        <v>47</v>
      </c>
      <c r="C2447" s="348" t="s">
        <v>80</v>
      </c>
      <c r="D2447" s="352" t="s">
        <v>49</v>
      </c>
      <c r="E2447" s="336">
        <v>43673</v>
      </c>
      <c r="F2447" s="336">
        <v>43673</v>
      </c>
      <c r="G2447" s="336">
        <v>43677</v>
      </c>
      <c r="H2447" s="334" t="s">
        <v>6464</v>
      </c>
      <c r="I2447" s="356">
        <v>18916366799</v>
      </c>
      <c r="J2447" s="361" t="s">
        <v>6465</v>
      </c>
      <c r="K2447" s="356">
        <v>1000</v>
      </c>
      <c r="L2447" s="334">
        <v>6595</v>
      </c>
      <c r="M2447" s="334">
        <v>1104</v>
      </c>
      <c r="N2447" s="362">
        <f t="shared" si="88"/>
        <v>7699</v>
      </c>
      <c r="O2447" s="356"/>
      <c r="P2447" s="356"/>
      <c r="Q2447" s="356"/>
      <c r="R2447" s="356"/>
      <c r="S2447" s="356"/>
      <c r="T2447" s="356" t="s">
        <v>52</v>
      </c>
      <c r="U2447" s="372"/>
      <c r="V2447" s="372"/>
      <c r="W2447" s="372"/>
      <c r="X2447" s="373"/>
      <c r="Y2447" s="348"/>
      <c r="Z2447" s="348"/>
      <c r="AA2447" s="348"/>
    </row>
    <row r="2448" s="331" customFormat="1" ht="17" customHeight="1" spans="1:27">
      <c r="A2448" s="550" t="s">
        <v>6466</v>
      </c>
      <c r="B2448" s="348" t="s">
        <v>31</v>
      </c>
      <c r="C2448" s="348" t="s">
        <v>419</v>
      </c>
      <c r="D2448" s="352" t="s">
        <v>221</v>
      </c>
      <c r="E2448" s="336">
        <v>43689</v>
      </c>
      <c r="F2448" s="336">
        <v>43673</v>
      </c>
      <c r="G2448" s="336">
        <v>43688</v>
      </c>
      <c r="H2448" s="334" t="s">
        <v>6467</v>
      </c>
      <c r="I2448" s="356">
        <v>13501865760</v>
      </c>
      <c r="J2448" s="361" t="s">
        <v>6468</v>
      </c>
      <c r="K2448" s="356">
        <v>1000</v>
      </c>
      <c r="L2448" s="334">
        <v>11333</v>
      </c>
      <c r="M2448" s="419"/>
      <c r="N2448" s="362">
        <f t="shared" si="88"/>
        <v>11333</v>
      </c>
      <c r="O2448" s="356"/>
      <c r="P2448" s="356"/>
      <c r="Q2448" s="356"/>
      <c r="R2448" s="356"/>
      <c r="S2448" s="356"/>
      <c r="T2448" s="356"/>
      <c r="U2448" s="372"/>
      <c r="V2448" s="372"/>
      <c r="W2448" s="372"/>
      <c r="X2448" s="373"/>
      <c r="Y2448" s="348"/>
      <c r="Z2448" s="348"/>
      <c r="AA2448" s="348"/>
    </row>
    <row r="2449" s="331" customFormat="1" ht="17" customHeight="1" spans="1:27">
      <c r="A2449" s="550" t="s">
        <v>6469</v>
      </c>
      <c r="B2449" s="348" t="s">
        <v>31</v>
      </c>
      <c r="C2449" s="348" t="s">
        <v>419</v>
      </c>
      <c r="D2449" s="352" t="s">
        <v>221</v>
      </c>
      <c r="E2449" s="336">
        <v>43710</v>
      </c>
      <c r="F2449" s="336">
        <v>43673</v>
      </c>
      <c r="G2449" s="336">
        <v>43710</v>
      </c>
      <c r="H2449" s="334" t="s">
        <v>6470</v>
      </c>
      <c r="I2449" s="356">
        <v>13501961828</v>
      </c>
      <c r="J2449" s="361" t="s">
        <v>6471</v>
      </c>
      <c r="K2449" s="356">
        <f>26000+1000</f>
        <v>27000</v>
      </c>
      <c r="L2449" s="334">
        <v>26946</v>
      </c>
      <c r="M2449" s="419"/>
      <c r="N2449" s="362">
        <f t="shared" si="88"/>
        <v>26946</v>
      </c>
      <c r="O2449" s="356"/>
      <c r="P2449" s="356"/>
      <c r="Q2449" s="366" t="s">
        <v>52</v>
      </c>
      <c r="R2449" s="356"/>
      <c r="S2449" s="356"/>
      <c r="T2449" s="356"/>
      <c r="U2449" s="372"/>
      <c r="V2449" s="372"/>
      <c r="W2449" s="372"/>
      <c r="X2449" s="373"/>
      <c r="Y2449" s="348"/>
      <c r="Z2449" s="348"/>
      <c r="AA2449" s="348"/>
    </row>
    <row r="2450" s="331" customFormat="1" ht="17" customHeight="1" spans="1:27">
      <c r="A2450" s="348"/>
      <c r="B2450" s="348" t="s">
        <v>137</v>
      </c>
      <c r="C2450" s="348" t="s">
        <v>480</v>
      </c>
      <c r="D2450" s="349" t="s">
        <v>139</v>
      </c>
      <c r="E2450" s="336">
        <v>43680</v>
      </c>
      <c r="F2450" s="336">
        <v>43673</v>
      </c>
      <c r="G2450" s="336">
        <v>43679</v>
      </c>
      <c r="H2450" s="334" t="s">
        <v>6472</v>
      </c>
      <c r="I2450" s="356">
        <v>18512542426</v>
      </c>
      <c r="J2450" s="361" t="s">
        <v>6473</v>
      </c>
      <c r="K2450" s="356">
        <v>5000</v>
      </c>
      <c r="L2450" s="334">
        <v>6643</v>
      </c>
      <c r="M2450" s="419"/>
      <c r="N2450" s="362">
        <f t="shared" si="88"/>
        <v>6643</v>
      </c>
      <c r="O2450" s="356"/>
      <c r="P2450" s="356"/>
      <c r="Q2450" s="356">
        <v>1</v>
      </c>
      <c r="R2450" s="356"/>
      <c r="S2450" s="356"/>
      <c r="T2450" s="356"/>
      <c r="U2450" s="372"/>
      <c r="V2450" s="372"/>
      <c r="W2450" s="372"/>
      <c r="X2450" s="373"/>
      <c r="Y2450" s="348"/>
      <c r="Z2450" s="348"/>
      <c r="AA2450" s="348"/>
    </row>
    <row r="2451" s="331" customFormat="1" ht="17" customHeight="1" spans="1:27">
      <c r="A2451" s="550" t="s">
        <v>6474</v>
      </c>
      <c r="B2451" s="348" t="s">
        <v>58</v>
      </c>
      <c r="C2451" s="348" t="s">
        <v>794</v>
      </c>
      <c r="D2451" s="349" t="s">
        <v>343</v>
      </c>
      <c r="E2451" s="336">
        <v>43673</v>
      </c>
      <c r="F2451" s="336">
        <v>43673</v>
      </c>
      <c r="G2451" s="336">
        <v>43673</v>
      </c>
      <c r="H2451" s="334" t="s">
        <v>6475</v>
      </c>
      <c r="I2451" s="356">
        <v>13816110202</v>
      </c>
      <c r="J2451" s="361" t="s">
        <v>6476</v>
      </c>
      <c r="K2451" s="356">
        <v>6000</v>
      </c>
      <c r="L2451" s="334">
        <v>6000</v>
      </c>
      <c r="M2451" s="419"/>
      <c r="N2451" s="362">
        <f t="shared" si="88"/>
        <v>6000</v>
      </c>
      <c r="O2451" s="356"/>
      <c r="P2451" s="356"/>
      <c r="Q2451" s="356"/>
      <c r="R2451" s="356"/>
      <c r="S2451" s="356"/>
      <c r="T2451" s="356"/>
      <c r="U2451" s="372"/>
      <c r="V2451" s="372"/>
      <c r="W2451" s="372"/>
      <c r="X2451" s="373"/>
      <c r="Y2451" s="348"/>
      <c r="Z2451" s="348"/>
      <c r="AA2451" s="348"/>
    </row>
    <row r="2452" s="331" customFormat="1" ht="17" customHeight="1" spans="1:27">
      <c r="A2452" s="550" t="s">
        <v>6477</v>
      </c>
      <c r="B2452" s="348" t="s">
        <v>58</v>
      </c>
      <c r="C2452" s="348" t="s">
        <v>794</v>
      </c>
      <c r="D2452" s="349" t="s">
        <v>110</v>
      </c>
      <c r="E2452" s="336">
        <v>43673</v>
      </c>
      <c r="F2452" s="336">
        <v>43673</v>
      </c>
      <c r="G2452" s="336">
        <v>43674</v>
      </c>
      <c r="H2452" s="334" t="s">
        <v>6478</v>
      </c>
      <c r="I2452" s="356">
        <v>18513983908</v>
      </c>
      <c r="J2452" s="361" t="s">
        <v>6479</v>
      </c>
      <c r="K2452" s="356">
        <v>10000</v>
      </c>
      <c r="L2452" s="334">
        <v>9833</v>
      </c>
      <c r="M2452" s="419"/>
      <c r="N2452" s="362">
        <f t="shared" si="88"/>
        <v>9833</v>
      </c>
      <c r="O2452" s="356"/>
      <c r="P2452" s="356"/>
      <c r="Q2452" s="356"/>
      <c r="R2452" s="356"/>
      <c r="S2452" s="356"/>
      <c r="T2452" s="356"/>
      <c r="U2452" s="372"/>
      <c r="V2452" s="372"/>
      <c r="W2452" s="372"/>
      <c r="X2452" s="373"/>
      <c r="Y2452" s="348"/>
      <c r="Z2452" s="348"/>
      <c r="AA2452" s="348"/>
    </row>
    <row r="2453" s="331" customFormat="1" ht="15" customHeight="1" spans="1:27">
      <c r="A2453" s="550" t="s">
        <v>6480</v>
      </c>
      <c r="B2453" s="348" t="s">
        <v>58</v>
      </c>
      <c r="C2453" s="348" t="s">
        <v>794</v>
      </c>
      <c r="D2453" s="334" t="s">
        <v>635</v>
      </c>
      <c r="E2453" s="336">
        <v>43712</v>
      </c>
      <c r="F2453" s="336">
        <v>43673</v>
      </c>
      <c r="G2453" s="336">
        <v>43710</v>
      </c>
      <c r="H2453" s="334" t="s">
        <v>6481</v>
      </c>
      <c r="I2453" s="356">
        <v>13918854021</v>
      </c>
      <c r="J2453" s="361" t="s">
        <v>6482</v>
      </c>
      <c r="K2453" s="356">
        <v>1000</v>
      </c>
      <c r="L2453" s="334">
        <v>16535</v>
      </c>
      <c r="M2453" s="419"/>
      <c r="N2453" s="362">
        <f t="shared" si="88"/>
        <v>16535</v>
      </c>
      <c r="O2453" s="356"/>
      <c r="P2453" s="366" t="s">
        <v>52</v>
      </c>
      <c r="Q2453" s="356"/>
      <c r="R2453" s="356"/>
      <c r="S2453" s="356"/>
      <c r="T2453" s="356"/>
      <c r="U2453" s="372"/>
      <c r="V2453" s="372"/>
      <c r="W2453" s="372"/>
      <c r="X2453" s="373"/>
      <c r="Y2453" s="348"/>
      <c r="Z2453" s="348"/>
      <c r="AA2453" s="348"/>
    </row>
    <row r="2454" s="331" customFormat="1" ht="17" customHeight="1" spans="1:27">
      <c r="A2454" s="348"/>
      <c r="B2454" s="348" t="s">
        <v>2625</v>
      </c>
      <c r="C2454" s="348" t="s">
        <v>2626</v>
      </c>
      <c r="D2454" s="334" t="s">
        <v>2302</v>
      </c>
      <c r="E2454" s="336">
        <v>43717</v>
      </c>
      <c r="F2454" s="336">
        <v>43673</v>
      </c>
      <c r="G2454" s="336">
        <v>43716</v>
      </c>
      <c r="H2454" s="334" t="s">
        <v>4596</v>
      </c>
      <c r="I2454" s="356">
        <v>13761335467</v>
      </c>
      <c r="J2454" s="361" t="s">
        <v>6483</v>
      </c>
      <c r="K2454" s="356">
        <v>3000</v>
      </c>
      <c r="L2454" s="334">
        <v>6293</v>
      </c>
      <c r="M2454" s="419"/>
      <c r="N2454" s="362">
        <f t="shared" si="88"/>
        <v>6293</v>
      </c>
      <c r="O2454" s="356"/>
      <c r="P2454" s="356"/>
      <c r="Q2454" s="356"/>
      <c r="R2454" s="356"/>
      <c r="S2454" s="356"/>
      <c r="T2454" s="356"/>
      <c r="U2454" s="372"/>
      <c r="V2454" s="372"/>
      <c r="W2454" s="374">
        <v>43715</v>
      </c>
      <c r="X2454" s="373"/>
      <c r="Y2454" s="348"/>
      <c r="Z2454" s="348"/>
      <c r="AA2454" s="348"/>
    </row>
    <row r="2455" s="331" customFormat="1" ht="17" customHeight="1" spans="1:27">
      <c r="A2455" s="348"/>
      <c r="B2455" s="348" t="s">
        <v>73</v>
      </c>
      <c r="C2455" s="334" t="s">
        <v>74</v>
      </c>
      <c r="D2455" s="349" t="s">
        <v>717</v>
      </c>
      <c r="E2455" s="336">
        <v>43673</v>
      </c>
      <c r="F2455" s="336"/>
      <c r="G2455" s="336">
        <v>43673</v>
      </c>
      <c r="H2455" s="334" t="s">
        <v>1204</v>
      </c>
      <c r="I2455" s="356">
        <v>18621837588</v>
      </c>
      <c r="J2455" s="361" t="s">
        <v>6484</v>
      </c>
      <c r="K2455" s="356"/>
      <c r="L2455" s="334">
        <v>15985</v>
      </c>
      <c r="M2455" s="419"/>
      <c r="N2455" s="362">
        <f t="shared" si="88"/>
        <v>15985</v>
      </c>
      <c r="O2455" s="356"/>
      <c r="P2455" s="356"/>
      <c r="Q2455" s="356"/>
      <c r="R2455" s="356"/>
      <c r="S2455" s="356"/>
      <c r="T2455" s="356"/>
      <c r="U2455" s="372"/>
      <c r="V2455" s="372"/>
      <c r="W2455" s="372"/>
      <c r="X2455" s="373"/>
      <c r="Y2455" s="348"/>
      <c r="Z2455" s="348"/>
      <c r="AA2455" s="348"/>
    </row>
    <row r="2456" s="331" customFormat="1" ht="17" customHeight="1" spans="1:27">
      <c r="A2456" s="348"/>
      <c r="B2456" s="348" t="s">
        <v>354</v>
      </c>
      <c r="C2456" s="334" t="s">
        <v>355</v>
      </c>
      <c r="D2456" s="349" t="s">
        <v>149</v>
      </c>
      <c r="E2456" s="336">
        <v>43673</v>
      </c>
      <c r="F2456" s="336"/>
      <c r="G2456" s="336">
        <v>43673</v>
      </c>
      <c r="H2456" s="334" t="s">
        <v>6485</v>
      </c>
      <c r="I2456" s="356">
        <v>13916371499</v>
      </c>
      <c r="J2456" s="361" t="s">
        <v>6486</v>
      </c>
      <c r="K2456" s="356"/>
      <c r="L2456" s="334">
        <v>18807</v>
      </c>
      <c r="M2456" s="419"/>
      <c r="N2456" s="362">
        <f t="shared" si="88"/>
        <v>18807</v>
      </c>
      <c r="O2456" s="356"/>
      <c r="P2456" s="356"/>
      <c r="Q2456" s="356"/>
      <c r="R2456" s="356"/>
      <c r="S2456" s="356"/>
      <c r="T2456" s="356"/>
      <c r="U2456" s="372"/>
      <c r="V2456" s="372"/>
      <c r="W2456" s="372"/>
      <c r="X2456" s="373"/>
      <c r="Y2456" s="348"/>
      <c r="Z2456" s="348"/>
      <c r="AA2456" s="348"/>
    </row>
    <row r="2457" s="331" customFormat="1" ht="17" customHeight="1" spans="1:27">
      <c r="A2457" s="348"/>
      <c r="B2457" s="348" t="s">
        <v>73</v>
      </c>
      <c r="C2457" s="334" t="s">
        <v>74</v>
      </c>
      <c r="D2457" s="349" t="s">
        <v>143</v>
      </c>
      <c r="E2457" s="336">
        <v>43673</v>
      </c>
      <c r="F2457" s="336" t="s">
        <v>800</v>
      </c>
      <c r="G2457" s="336">
        <v>43673</v>
      </c>
      <c r="H2457" s="334" t="s">
        <v>6487</v>
      </c>
      <c r="I2457" s="356">
        <v>15006266025</v>
      </c>
      <c r="J2457" s="361" t="s">
        <v>6488</v>
      </c>
      <c r="K2457" s="356"/>
      <c r="L2457" s="419"/>
      <c r="M2457" s="334">
        <v>594</v>
      </c>
      <c r="N2457" s="362">
        <f t="shared" si="88"/>
        <v>594</v>
      </c>
      <c r="O2457" s="356"/>
      <c r="P2457" s="356"/>
      <c r="Q2457" s="356"/>
      <c r="R2457" s="356"/>
      <c r="S2457" s="356"/>
      <c r="T2457" s="356"/>
      <c r="U2457" s="372"/>
      <c r="V2457" s="372"/>
      <c r="W2457" s="372"/>
      <c r="X2457" s="373"/>
      <c r="Y2457" s="348"/>
      <c r="Z2457" s="348"/>
      <c r="AA2457" s="348"/>
    </row>
    <row r="2458" s="331" customFormat="1" ht="17" customHeight="1" spans="1:27">
      <c r="A2458" s="348"/>
      <c r="B2458" s="348" t="s">
        <v>185</v>
      </c>
      <c r="C2458" s="334" t="s">
        <v>1133</v>
      </c>
      <c r="D2458" s="349" t="s">
        <v>44</v>
      </c>
      <c r="E2458" s="336">
        <v>43673</v>
      </c>
      <c r="F2458" s="336" t="s">
        <v>800</v>
      </c>
      <c r="G2458" s="336">
        <v>43671</v>
      </c>
      <c r="H2458" s="334" t="s">
        <v>6489</v>
      </c>
      <c r="I2458" s="356">
        <v>13931632473</v>
      </c>
      <c r="J2458" s="361" t="s">
        <v>6490</v>
      </c>
      <c r="K2458" s="356"/>
      <c r="L2458" s="419"/>
      <c r="M2458" s="334">
        <v>11000</v>
      </c>
      <c r="N2458" s="362">
        <f t="shared" si="88"/>
        <v>11000</v>
      </c>
      <c r="O2458" s="356"/>
      <c r="P2458" s="356"/>
      <c r="Q2458" s="356"/>
      <c r="R2458" s="356"/>
      <c r="S2458" s="356"/>
      <c r="T2458" s="356"/>
      <c r="U2458" s="372"/>
      <c r="V2458" s="372"/>
      <c r="W2458" s="372"/>
      <c r="X2458" s="373"/>
      <c r="Y2458" s="348"/>
      <c r="Z2458" s="348"/>
      <c r="AA2458" s="348"/>
    </row>
    <row r="2459" s="331" customFormat="1" ht="17" customHeight="1" spans="1:27">
      <c r="A2459" s="348"/>
      <c r="B2459" s="348" t="s">
        <v>130</v>
      </c>
      <c r="C2459" s="348" t="s">
        <v>181</v>
      </c>
      <c r="D2459" s="349" t="s">
        <v>89</v>
      </c>
      <c r="E2459" s="336">
        <v>43673</v>
      </c>
      <c r="F2459" s="336" t="s">
        <v>800</v>
      </c>
      <c r="G2459" s="336">
        <v>43673</v>
      </c>
      <c r="H2459" s="334" t="s">
        <v>2584</v>
      </c>
      <c r="I2459" s="356">
        <v>13661472319</v>
      </c>
      <c r="J2459" s="361" t="s">
        <v>2585</v>
      </c>
      <c r="K2459" s="356"/>
      <c r="L2459" s="419"/>
      <c r="M2459" s="334">
        <v>2808</v>
      </c>
      <c r="N2459" s="362">
        <f t="shared" si="88"/>
        <v>2808</v>
      </c>
      <c r="O2459" s="356"/>
      <c r="P2459" s="356"/>
      <c r="Q2459" s="356"/>
      <c r="R2459" s="356"/>
      <c r="S2459" s="356"/>
      <c r="T2459" s="356"/>
      <c r="U2459" s="372"/>
      <c r="V2459" s="372"/>
      <c r="W2459" s="372"/>
      <c r="X2459" s="373"/>
      <c r="Y2459" s="348"/>
      <c r="Z2459" s="348"/>
      <c r="AA2459" s="348"/>
    </row>
    <row r="2460" s="331" customFormat="1" ht="17" customHeight="1" spans="1:27">
      <c r="A2460" s="348"/>
      <c r="B2460" s="348" t="s">
        <v>137</v>
      </c>
      <c r="C2460" s="334" t="s">
        <v>411</v>
      </c>
      <c r="D2460" s="349" t="s">
        <v>427</v>
      </c>
      <c r="E2460" s="336">
        <v>43673</v>
      </c>
      <c r="F2460" s="336" t="s">
        <v>800</v>
      </c>
      <c r="G2460" s="336">
        <v>43673</v>
      </c>
      <c r="H2460" s="334" t="s">
        <v>6491</v>
      </c>
      <c r="I2460" s="356">
        <v>13636683479</v>
      </c>
      <c r="J2460" s="361" t="s">
        <v>6492</v>
      </c>
      <c r="K2460" s="356"/>
      <c r="L2460" s="419"/>
      <c r="M2460" s="334">
        <v>1616</v>
      </c>
      <c r="N2460" s="362">
        <f t="shared" si="88"/>
        <v>1616</v>
      </c>
      <c r="O2460" s="356"/>
      <c r="P2460" s="356"/>
      <c r="Q2460" s="356"/>
      <c r="R2460" s="356"/>
      <c r="S2460" s="356"/>
      <c r="T2460" s="356"/>
      <c r="U2460" s="372"/>
      <c r="V2460" s="372"/>
      <c r="W2460" s="372"/>
      <c r="X2460" s="373"/>
      <c r="Y2460" s="348"/>
      <c r="Z2460" s="348"/>
      <c r="AA2460" s="348"/>
    </row>
    <row r="2461" s="331" customFormat="1" ht="17" customHeight="1" spans="1:27">
      <c r="A2461" s="348"/>
      <c r="B2461" s="348" t="s">
        <v>153</v>
      </c>
      <c r="C2461" s="334" t="s">
        <v>302</v>
      </c>
      <c r="D2461" s="349" t="s">
        <v>155</v>
      </c>
      <c r="E2461" s="336">
        <v>43673</v>
      </c>
      <c r="F2461" s="336" t="s">
        <v>800</v>
      </c>
      <c r="G2461" s="336">
        <v>43673</v>
      </c>
      <c r="H2461" s="334" t="s">
        <v>6493</v>
      </c>
      <c r="I2461" s="356">
        <v>13816608170</v>
      </c>
      <c r="J2461" s="361" t="s">
        <v>6494</v>
      </c>
      <c r="K2461" s="356"/>
      <c r="L2461" s="419"/>
      <c r="M2461" s="334">
        <v>0</v>
      </c>
      <c r="N2461" s="362">
        <f t="shared" si="88"/>
        <v>0</v>
      </c>
      <c r="O2461" s="356"/>
      <c r="P2461" s="356"/>
      <c r="Q2461" s="356"/>
      <c r="R2461" s="356"/>
      <c r="S2461" s="356"/>
      <c r="T2461" s="356"/>
      <c r="U2461" s="372"/>
      <c r="V2461" s="372"/>
      <c r="W2461" s="372"/>
      <c r="X2461" s="373"/>
      <c r="Y2461" s="348"/>
      <c r="Z2461" s="348"/>
      <c r="AA2461" s="348"/>
    </row>
    <row r="2462" s="331" customFormat="1" ht="17" customHeight="1" spans="1:27">
      <c r="A2462" s="348"/>
      <c r="B2462" s="348" t="s">
        <v>137</v>
      </c>
      <c r="C2462" s="348" t="s">
        <v>426</v>
      </c>
      <c r="D2462" s="349" t="s">
        <v>427</v>
      </c>
      <c r="E2462" s="336">
        <v>43673</v>
      </c>
      <c r="F2462" s="336" t="s">
        <v>800</v>
      </c>
      <c r="G2462" s="336">
        <v>43673</v>
      </c>
      <c r="H2462" s="334" t="s">
        <v>6495</v>
      </c>
      <c r="I2462" s="356">
        <v>18017356442</v>
      </c>
      <c r="J2462" s="361" t="s">
        <v>6496</v>
      </c>
      <c r="K2462" s="356"/>
      <c r="L2462" s="419"/>
      <c r="M2462" s="334">
        <v>-4525</v>
      </c>
      <c r="N2462" s="362">
        <f t="shared" si="88"/>
        <v>-4525</v>
      </c>
      <c r="O2462" s="356"/>
      <c r="P2462" s="356"/>
      <c r="Q2462" s="356"/>
      <c r="R2462" s="356"/>
      <c r="S2462" s="356"/>
      <c r="T2462" s="356"/>
      <c r="U2462" s="372"/>
      <c r="V2462" s="372"/>
      <c r="W2462" s="372"/>
      <c r="X2462" s="373"/>
      <c r="Y2462" s="348"/>
      <c r="Z2462" s="348"/>
      <c r="AA2462" s="348"/>
    </row>
    <row r="2463" s="331" customFormat="1" ht="17" customHeight="1" spans="1:27">
      <c r="A2463" s="550" t="s">
        <v>6497</v>
      </c>
      <c r="B2463" s="348" t="s">
        <v>354</v>
      </c>
      <c r="C2463" s="348" t="s">
        <v>355</v>
      </c>
      <c r="D2463" s="349" t="s">
        <v>343</v>
      </c>
      <c r="E2463" s="336">
        <v>43674</v>
      </c>
      <c r="F2463" s="336">
        <v>43632</v>
      </c>
      <c r="G2463" s="350">
        <v>43674</v>
      </c>
      <c r="H2463" s="334" t="s">
        <v>806</v>
      </c>
      <c r="I2463" s="356">
        <v>13916068502</v>
      </c>
      <c r="J2463" s="361" t="s">
        <v>6498</v>
      </c>
      <c r="K2463" s="356">
        <v>500</v>
      </c>
      <c r="L2463" s="334">
        <v>16160</v>
      </c>
      <c r="M2463" s="334">
        <v>1340</v>
      </c>
      <c r="N2463" s="362">
        <f t="shared" ref="N2463:N2494" si="89">L2463+M2463</f>
        <v>17500</v>
      </c>
      <c r="O2463" s="356"/>
      <c r="P2463" s="356"/>
      <c r="Q2463" s="356"/>
      <c r="R2463" s="356"/>
      <c r="S2463" s="356"/>
      <c r="T2463" s="356"/>
      <c r="U2463" s="372"/>
      <c r="V2463" s="372"/>
      <c r="W2463" s="372"/>
      <c r="X2463" s="373"/>
      <c r="Y2463" s="348"/>
      <c r="Z2463" s="348"/>
      <c r="AA2463" s="348"/>
    </row>
    <row r="2464" s="331" customFormat="1" ht="17" customHeight="1" spans="1:27">
      <c r="A2464" s="550" t="s">
        <v>6499</v>
      </c>
      <c r="B2464" s="348" t="s">
        <v>354</v>
      </c>
      <c r="C2464" s="348" t="s">
        <v>355</v>
      </c>
      <c r="D2464" s="352" t="s">
        <v>356</v>
      </c>
      <c r="E2464" s="336">
        <v>43674</v>
      </c>
      <c r="F2464" s="336">
        <v>43666</v>
      </c>
      <c r="G2464" s="350">
        <v>43673</v>
      </c>
      <c r="H2464" s="334" t="s">
        <v>6485</v>
      </c>
      <c r="I2464" s="356">
        <v>13916371499</v>
      </c>
      <c r="J2464" s="361" t="s">
        <v>6486</v>
      </c>
      <c r="K2464" s="356">
        <v>500</v>
      </c>
      <c r="L2464" s="419"/>
      <c r="M2464" s="419"/>
      <c r="N2464" s="362">
        <f t="shared" si="89"/>
        <v>0</v>
      </c>
      <c r="O2464" s="356"/>
      <c r="P2464" s="356"/>
      <c r="Q2464" s="356"/>
      <c r="R2464" s="356"/>
      <c r="S2464" s="356"/>
      <c r="T2464" s="356"/>
      <c r="U2464" s="372"/>
      <c r="V2464" s="372"/>
      <c r="W2464" s="372"/>
      <c r="X2464" s="373"/>
      <c r="Y2464" s="348"/>
      <c r="Z2464" s="348"/>
      <c r="AA2464" s="348"/>
    </row>
    <row r="2465" s="331" customFormat="1" ht="17" customHeight="1" spans="1:27">
      <c r="A2465" s="550" t="s">
        <v>6500</v>
      </c>
      <c r="B2465" s="348" t="s">
        <v>31</v>
      </c>
      <c r="C2465" s="348" t="s">
        <v>251</v>
      </c>
      <c r="D2465" s="349" t="s">
        <v>33</v>
      </c>
      <c r="E2465" s="336">
        <v>43674</v>
      </c>
      <c r="F2465" s="336">
        <v>43672</v>
      </c>
      <c r="G2465" s="336">
        <v>43673</v>
      </c>
      <c r="H2465" s="334" t="s">
        <v>6501</v>
      </c>
      <c r="I2465" s="356">
        <v>13918033316</v>
      </c>
      <c r="J2465" s="361" t="s">
        <v>6502</v>
      </c>
      <c r="K2465" s="356">
        <v>4334</v>
      </c>
      <c r="L2465" s="334">
        <v>12326</v>
      </c>
      <c r="M2465" s="419"/>
      <c r="N2465" s="362">
        <f t="shared" si="89"/>
        <v>12326</v>
      </c>
      <c r="O2465" s="356"/>
      <c r="P2465" s="356"/>
      <c r="Q2465" s="356"/>
      <c r="R2465" s="356"/>
      <c r="S2465" s="356"/>
      <c r="T2465" s="356"/>
      <c r="U2465" s="372"/>
      <c r="V2465" s="372"/>
      <c r="W2465" s="372"/>
      <c r="X2465" s="373"/>
      <c r="Y2465" s="348"/>
      <c r="Z2465" s="348"/>
      <c r="AA2465" s="348"/>
    </row>
    <row r="2466" s="331" customFormat="1" ht="17" customHeight="1" spans="1:27">
      <c r="A2466" s="550" t="s">
        <v>6503</v>
      </c>
      <c r="B2466" s="348" t="s">
        <v>315</v>
      </c>
      <c r="C2466" s="348" t="s">
        <v>161</v>
      </c>
      <c r="D2466" s="352" t="s">
        <v>162</v>
      </c>
      <c r="E2466" s="336">
        <v>43705</v>
      </c>
      <c r="F2466" s="336">
        <v>43673</v>
      </c>
      <c r="G2466" s="336">
        <v>43705</v>
      </c>
      <c r="H2466" s="334" t="s">
        <v>4772</v>
      </c>
      <c r="I2466" s="356">
        <v>18930544072</v>
      </c>
      <c r="J2466" s="361" t="s">
        <v>6504</v>
      </c>
      <c r="K2466" s="356">
        <v>1000</v>
      </c>
      <c r="L2466" s="334">
        <v>11000</v>
      </c>
      <c r="M2466" s="419"/>
      <c r="N2466" s="362">
        <f t="shared" si="89"/>
        <v>11000</v>
      </c>
      <c r="O2466" s="356"/>
      <c r="P2466" s="356"/>
      <c r="Q2466" s="356">
        <v>1</v>
      </c>
      <c r="R2466" s="356"/>
      <c r="S2466" s="356"/>
      <c r="T2466" s="356"/>
      <c r="U2466" s="336" t="s">
        <v>40</v>
      </c>
      <c r="V2466" s="372"/>
      <c r="W2466" s="372"/>
      <c r="X2466" s="373"/>
      <c r="Y2466" s="348"/>
      <c r="Z2466" s="348"/>
      <c r="AA2466" s="348"/>
    </row>
    <row r="2467" s="331" customFormat="1" ht="17" customHeight="1" spans="1:27">
      <c r="A2467" s="348"/>
      <c r="B2467" s="348" t="s">
        <v>42</v>
      </c>
      <c r="C2467" s="348" t="s">
        <v>43</v>
      </c>
      <c r="D2467" s="352" t="s">
        <v>125</v>
      </c>
      <c r="E2467" s="336">
        <v>43674</v>
      </c>
      <c r="F2467" s="336">
        <v>43674</v>
      </c>
      <c r="G2467" s="336">
        <v>43675</v>
      </c>
      <c r="H2467" s="334" t="s">
        <v>6505</v>
      </c>
      <c r="I2467" s="356">
        <v>13901835290</v>
      </c>
      <c r="J2467" s="361" t="s">
        <v>6506</v>
      </c>
      <c r="K2467" s="356">
        <v>13300</v>
      </c>
      <c r="L2467" s="334">
        <v>13300</v>
      </c>
      <c r="M2467" s="419"/>
      <c r="N2467" s="362">
        <f t="shared" si="89"/>
        <v>13300</v>
      </c>
      <c r="O2467" s="356"/>
      <c r="P2467" s="356"/>
      <c r="Q2467" s="356"/>
      <c r="R2467" s="356"/>
      <c r="S2467" s="356"/>
      <c r="T2467" s="356"/>
      <c r="U2467" s="372"/>
      <c r="V2467" s="372"/>
      <c r="W2467" s="372"/>
      <c r="X2467" s="373"/>
      <c r="Y2467" s="348"/>
      <c r="Z2467" s="348"/>
      <c r="AA2467" s="348"/>
    </row>
    <row r="2468" s="331" customFormat="1" ht="17" customHeight="1" spans="1:27">
      <c r="A2468" s="550" t="s">
        <v>6507</v>
      </c>
      <c r="B2468" s="348" t="s">
        <v>58</v>
      </c>
      <c r="C2468" s="348" t="s">
        <v>342</v>
      </c>
      <c r="D2468" s="349" t="s">
        <v>110</v>
      </c>
      <c r="E2468" s="336">
        <v>43674</v>
      </c>
      <c r="F2468" s="336">
        <v>43670</v>
      </c>
      <c r="G2468" s="350">
        <v>43674</v>
      </c>
      <c r="H2468" s="334" t="s">
        <v>6508</v>
      </c>
      <c r="I2468" s="356">
        <v>15820299206</v>
      </c>
      <c r="J2468" s="361" t="s">
        <v>6509</v>
      </c>
      <c r="K2468" s="356">
        <v>1367</v>
      </c>
      <c r="L2468" s="334">
        <v>2767</v>
      </c>
      <c r="M2468" s="419"/>
      <c r="N2468" s="362">
        <f t="shared" si="89"/>
        <v>2767</v>
      </c>
      <c r="O2468" s="356"/>
      <c r="P2468" s="356"/>
      <c r="Q2468" s="356"/>
      <c r="R2468" s="356"/>
      <c r="S2468" s="356"/>
      <c r="T2468" s="356"/>
      <c r="U2468" s="372"/>
      <c r="V2468" s="372"/>
      <c r="W2468" s="372"/>
      <c r="X2468" s="373"/>
      <c r="Y2468" s="348"/>
      <c r="Z2468" s="348"/>
      <c r="AA2468" s="348"/>
    </row>
    <row r="2469" s="331" customFormat="1" ht="17" customHeight="1" spans="1:27">
      <c r="A2469" s="348"/>
      <c r="B2469" s="348" t="s">
        <v>66</v>
      </c>
      <c r="C2469" s="348" t="s">
        <v>119</v>
      </c>
      <c r="D2469" s="352" t="s">
        <v>68</v>
      </c>
      <c r="E2469" s="336">
        <v>43714</v>
      </c>
      <c r="F2469" s="336">
        <v>43674</v>
      </c>
      <c r="G2469" s="336">
        <v>43714</v>
      </c>
      <c r="H2469" s="334" t="s">
        <v>6510</v>
      </c>
      <c r="I2469" s="356">
        <v>13585825139</v>
      </c>
      <c r="J2469" s="361" t="s">
        <v>6511</v>
      </c>
      <c r="K2469" s="356">
        <f>500+10600</f>
        <v>11100</v>
      </c>
      <c r="L2469" s="334">
        <v>11883</v>
      </c>
      <c r="M2469" s="419"/>
      <c r="N2469" s="362">
        <f t="shared" si="89"/>
        <v>11883</v>
      </c>
      <c r="O2469" s="356"/>
      <c r="P2469" s="356"/>
      <c r="Q2469" s="356" t="s">
        <v>21</v>
      </c>
      <c r="R2469" s="356"/>
      <c r="S2469" s="356"/>
      <c r="T2469" s="356"/>
      <c r="U2469" s="372"/>
      <c r="V2469" s="372"/>
      <c r="W2469" s="372"/>
      <c r="X2469" s="373"/>
      <c r="Y2469" s="348"/>
      <c r="Z2469" s="348"/>
      <c r="AA2469" s="348"/>
    </row>
    <row r="2470" s="331" customFormat="1" ht="17" customHeight="1" spans="1:27">
      <c r="A2470" s="348"/>
      <c r="B2470" s="348" t="s">
        <v>137</v>
      </c>
      <c r="C2470" s="348" t="s">
        <v>411</v>
      </c>
      <c r="D2470" s="352" t="s">
        <v>427</v>
      </c>
      <c r="E2470" s="336">
        <v>43757</v>
      </c>
      <c r="F2470" s="336">
        <v>43674</v>
      </c>
      <c r="G2470" s="336">
        <v>43757</v>
      </c>
      <c r="H2470" s="334" t="s">
        <v>6512</v>
      </c>
      <c r="I2470" s="356">
        <v>18018555348</v>
      </c>
      <c r="J2470" s="361" t="s">
        <v>6513</v>
      </c>
      <c r="K2470" s="356">
        <v>1000</v>
      </c>
      <c r="L2470" s="334">
        <f>11351-3960</f>
        <v>7391</v>
      </c>
      <c r="M2470" s="334">
        <v>3960</v>
      </c>
      <c r="N2470" s="362">
        <f t="shared" si="89"/>
        <v>11351</v>
      </c>
      <c r="O2470" s="356"/>
      <c r="P2470" s="356"/>
      <c r="Q2470" s="356">
        <v>1</v>
      </c>
      <c r="R2470" s="356"/>
      <c r="S2470" s="356"/>
      <c r="T2470" s="356"/>
      <c r="U2470" s="372"/>
      <c r="V2470" s="372"/>
      <c r="W2470" s="372"/>
      <c r="X2470" s="373"/>
      <c r="Y2470" s="348"/>
      <c r="Z2470" s="348"/>
      <c r="AA2470" s="348"/>
    </row>
    <row r="2471" s="331" customFormat="1" ht="17" customHeight="1" spans="1:27">
      <c r="A2471" s="550" t="s">
        <v>6514</v>
      </c>
      <c r="B2471" s="348" t="s">
        <v>169</v>
      </c>
      <c r="C2471" s="348" t="s">
        <v>634</v>
      </c>
      <c r="D2471" s="349" t="s">
        <v>171</v>
      </c>
      <c r="E2471" s="336">
        <v>43685</v>
      </c>
      <c r="F2471" s="336">
        <v>43674</v>
      </c>
      <c r="G2471" s="336">
        <v>43685</v>
      </c>
      <c r="H2471" s="334" t="s">
        <v>6515</v>
      </c>
      <c r="I2471" s="356">
        <v>13918091510</v>
      </c>
      <c r="J2471" s="361" t="s">
        <v>6516</v>
      </c>
      <c r="K2471" s="356">
        <v>1799</v>
      </c>
      <c r="L2471" s="334">
        <v>2367</v>
      </c>
      <c r="M2471" s="419"/>
      <c r="N2471" s="362">
        <f t="shared" si="89"/>
        <v>2367</v>
      </c>
      <c r="O2471" s="356"/>
      <c r="P2471" s="356"/>
      <c r="Q2471" s="356"/>
      <c r="R2471" s="356"/>
      <c r="S2471" s="356"/>
      <c r="T2471" s="356"/>
      <c r="U2471" s="372"/>
      <c r="V2471" s="372"/>
      <c r="W2471" s="372"/>
      <c r="X2471" s="373"/>
      <c r="Y2471" s="348"/>
      <c r="Z2471" s="348"/>
      <c r="AA2471" s="348"/>
    </row>
    <row r="2472" s="331" customFormat="1" ht="17" customHeight="1" spans="1:27">
      <c r="A2472" s="348">
        <v>2066625</v>
      </c>
      <c r="B2472" s="348" t="s">
        <v>335</v>
      </c>
      <c r="C2472" s="348" t="s">
        <v>615</v>
      </c>
      <c r="D2472" s="352" t="s">
        <v>337</v>
      </c>
      <c r="E2472" s="336">
        <v>43715</v>
      </c>
      <c r="F2472" s="336">
        <v>43674</v>
      </c>
      <c r="G2472" s="336">
        <v>43714</v>
      </c>
      <c r="H2472" s="334" t="s">
        <v>6517</v>
      </c>
      <c r="I2472" s="356">
        <v>13472464554</v>
      </c>
      <c r="J2472" s="361" t="s">
        <v>6518</v>
      </c>
      <c r="K2472" s="356">
        <v>1000</v>
      </c>
      <c r="L2472" s="334">
        <v>3684</v>
      </c>
      <c r="M2472" s="334">
        <v>736</v>
      </c>
      <c r="N2472" s="362">
        <f t="shared" si="89"/>
        <v>4420</v>
      </c>
      <c r="O2472" s="356"/>
      <c r="P2472" s="356"/>
      <c r="Q2472" s="356"/>
      <c r="R2472" s="356" t="s">
        <v>4631</v>
      </c>
      <c r="S2472" s="356"/>
      <c r="T2472" s="356"/>
      <c r="U2472" s="372"/>
      <c r="V2472" s="372"/>
      <c r="W2472" s="372"/>
      <c r="X2472" s="373"/>
      <c r="Y2472" s="348"/>
      <c r="Z2472" s="348"/>
      <c r="AA2472" s="348"/>
    </row>
    <row r="2473" s="331" customFormat="1" ht="17" customHeight="1" spans="1:27">
      <c r="A2473" s="348"/>
      <c r="B2473" s="348" t="s">
        <v>137</v>
      </c>
      <c r="C2473" s="348" t="s">
        <v>406</v>
      </c>
      <c r="D2473" s="349" t="s">
        <v>139</v>
      </c>
      <c r="E2473" s="336">
        <v>43674</v>
      </c>
      <c r="F2473" s="336">
        <v>43674</v>
      </c>
      <c r="G2473" s="336">
        <v>43677</v>
      </c>
      <c r="H2473" s="334" t="s">
        <v>6519</v>
      </c>
      <c r="I2473" s="356">
        <v>13816051676</v>
      </c>
      <c r="J2473" s="361" t="s">
        <v>6520</v>
      </c>
      <c r="K2473" s="356">
        <v>1000</v>
      </c>
      <c r="L2473" s="334">
        <v>9374</v>
      </c>
      <c r="M2473" s="419"/>
      <c r="N2473" s="362">
        <f t="shared" si="89"/>
        <v>9374</v>
      </c>
      <c r="O2473" s="356"/>
      <c r="P2473" s="356">
        <v>1</v>
      </c>
      <c r="Q2473" s="356"/>
      <c r="R2473" s="356"/>
      <c r="S2473" s="356"/>
      <c r="T2473" s="356"/>
      <c r="U2473" s="372"/>
      <c r="V2473" s="372"/>
      <c r="W2473" s="372"/>
      <c r="X2473" s="373"/>
      <c r="Y2473" s="348"/>
      <c r="Z2473" s="348"/>
      <c r="AA2473" s="348"/>
    </row>
    <row r="2474" s="331" customFormat="1" ht="17" customHeight="1" spans="1:27">
      <c r="A2474" s="550" t="s">
        <v>6521</v>
      </c>
      <c r="B2474" s="348" t="s">
        <v>169</v>
      </c>
      <c r="C2474" s="348" t="s">
        <v>634</v>
      </c>
      <c r="D2474" s="349" t="s">
        <v>443</v>
      </c>
      <c r="E2474" s="336">
        <v>43674</v>
      </c>
      <c r="F2474" s="336">
        <v>43673</v>
      </c>
      <c r="G2474" s="350">
        <v>43674</v>
      </c>
      <c r="H2474" s="334" t="s">
        <v>6522</v>
      </c>
      <c r="I2474" s="356">
        <v>13636693958</v>
      </c>
      <c r="J2474" s="361" t="s">
        <v>6523</v>
      </c>
      <c r="K2474" s="356">
        <v>1000</v>
      </c>
      <c r="L2474" s="334">
        <v>2397</v>
      </c>
      <c r="M2474" s="419"/>
      <c r="N2474" s="362">
        <f t="shared" si="89"/>
        <v>2397</v>
      </c>
      <c r="O2474" s="356"/>
      <c r="P2474" s="356"/>
      <c r="Q2474" s="356"/>
      <c r="R2474" s="356"/>
      <c r="S2474" s="356"/>
      <c r="T2474" s="356"/>
      <c r="U2474" s="372"/>
      <c r="V2474" s="372"/>
      <c r="W2474" s="372"/>
      <c r="X2474" s="373"/>
      <c r="Y2474" s="348"/>
      <c r="Z2474" s="348"/>
      <c r="AA2474" s="348"/>
    </row>
    <row r="2475" s="331" customFormat="1" ht="17" customHeight="1" spans="1:27">
      <c r="A2475" s="550" t="s">
        <v>6524</v>
      </c>
      <c r="B2475" s="348" t="s">
        <v>58</v>
      </c>
      <c r="C2475" s="348" t="s">
        <v>109</v>
      </c>
      <c r="D2475" s="349" t="s">
        <v>110</v>
      </c>
      <c r="E2475" s="336">
        <v>43674</v>
      </c>
      <c r="F2475" s="336">
        <v>43674</v>
      </c>
      <c r="G2475" s="350">
        <v>43674</v>
      </c>
      <c r="H2475" s="334" t="s">
        <v>6525</v>
      </c>
      <c r="I2475" s="356" t="s">
        <v>6526</v>
      </c>
      <c r="J2475" s="361" t="s">
        <v>6527</v>
      </c>
      <c r="K2475" s="356">
        <v>5926</v>
      </c>
      <c r="L2475" s="356">
        <v>5926</v>
      </c>
      <c r="M2475" s="419"/>
      <c r="N2475" s="362">
        <f t="shared" si="89"/>
        <v>5926</v>
      </c>
      <c r="O2475" s="356"/>
      <c r="P2475" s="356"/>
      <c r="Q2475" s="356"/>
      <c r="R2475" s="356"/>
      <c r="S2475" s="356"/>
      <c r="T2475" s="356"/>
      <c r="U2475" s="372"/>
      <c r="V2475" s="372"/>
      <c r="W2475" s="372"/>
      <c r="X2475" s="373"/>
      <c r="Y2475" s="348"/>
      <c r="Z2475" s="348"/>
      <c r="AA2475" s="348"/>
    </row>
    <row r="2476" s="331" customFormat="1" ht="17" customHeight="1" spans="1:27">
      <c r="A2476" s="550" t="s">
        <v>6528</v>
      </c>
      <c r="B2476" s="348" t="s">
        <v>354</v>
      </c>
      <c r="C2476" s="348" t="s">
        <v>355</v>
      </c>
      <c r="D2476" s="349" t="s">
        <v>149</v>
      </c>
      <c r="E2476" s="336">
        <v>43674</v>
      </c>
      <c r="F2476" s="336">
        <v>43674</v>
      </c>
      <c r="G2476" s="350"/>
      <c r="H2476" s="334" t="s">
        <v>6529</v>
      </c>
      <c r="I2476" s="356">
        <v>13916496696</v>
      </c>
      <c r="J2476" s="361" t="s">
        <v>6530</v>
      </c>
      <c r="K2476" s="356">
        <v>6500</v>
      </c>
      <c r="L2476" s="419"/>
      <c r="M2476" s="419"/>
      <c r="N2476" s="362">
        <f t="shared" si="89"/>
        <v>0</v>
      </c>
      <c r="O2476" s="356" t="s">
        <v>52</v>
      </c>
      <c r="P2476" s="356"/>
      <c r="Q2476" s="356"/>
      <c r="R2476" s="356"/>
      <c r="S2476" s="356"/>
      <c r="T2476" s="356"/>
      <c r="U2476" s="372"/>
      <c r="V2476" s="372"/>
      <c r="W2476" s="372"/>
      <c r="X2476" s="373"/>
      <c r="Y2476" s="348"/>
      <c r="Z2476" s="348"/>
      <c r="AA2476" s="348"/>
    </row>
    <row r="2477" s="331" customFormat="1" ht="17" customHeight="1" spans="1:27">
      <c r="A2477" s="550" t="s">
        <v>6531</v>
      </c>
      <c r="B2477" s="348" t="s">
        <v>335</v>
      </c>
      <c r="C2477" s="348" t="s">
        <v>615</v>
      </c>
      <c r="D2477" s="352" t="s">
        <v>337</v>
      </c>
      <c r="E2477" s="336">
        <v>43769</v>
      </c>
      <c r="F2477" s="336">
        <v>43674</v>
      </c>
      <c r="G2477" s="336">
        <v>43722</v>
      </c>
      <c r="H2477" s="334" t="s">
        <v>6532</v>
      </c>
      <c r="I2477" s="356" t="s">
        <v>6533</v>
      </c>
      <c r="J2477" s="361" t="s">
        <v>6534</v>
      </c>
      <c r="K2477" s="356">
        <v>1000</v>
      </c>
      <c r="L2477" s="334">
        <v>13963</v>
      </c>
      <c r="M2477" s="419"/>
      <c r="N2477" s="362">
        <f t="shared" si="89"/>
        <v>13963</v>
      </c>
      <c r="O2477" s="356"/>
      <c r="P2477" s="356" t="s">
        <v>1526</v>
      </c>
      <c r="Q2477" s="356"/>
      <c r="R2477" s="356"/>
      <c r="S2477" s="356"/>
      <c r="T2477" s="356"/>
      <c r="U2477" s="372"/>
      <c r="V2477" s="372"/>
      <c r="W2477" s="372"/>
      <c r="X2477" s="373"/>
      <c r="Y2477" s="348"/>
      <c r="Z2477" s="348"/>
      <c r="AA2477" s="348"/>
    </row>
    <row r="2478" s="331" customFormat="1" ht="17" customHeight="1" spans="1:27">
      <c r="A2478" s="550" t="s">
        <v>6535</v>
      </c>
      <c r="B2478" s="348" t="s">
        <v>185</v>
      </c>
      <c r="C2478" s="348" t="s">
        <v>886</v>
      </c>
      <c r="D2478" s="352" t="s">
        <v>187</v>
      </c>
      <c r="E2478" s="336">
        <v>43688</v>
      </c>
      <c r="F2478" s="336">
        <v>43673</v>
      </c>
      <c r="G2478" s="336">
        <v>43687</v>
      </c>
      <c r="H2478" s="334" t="s">
        <v>6536</v>
      </c>
      <c r="I2478" s="356">
        <v>18062017700</v>
      </c>
      <c r="J2478" s="361" t="s">
        <v>6537</v>
      </c>
      <c r="K2478" s="356">
        <v>1000</v>
      </c>
      <c r="L2478" s="334">
        <v>21423</v>
      </c>
      <c r="M2478" s="419">
        <f>736+1472</f>
        <v>2208</v>
      </c>
      <c r="N2478" s="362">
        <f t="shared" si="89"/>
        <v>23631</v>
      </c>
      <c r="O2478" s="356"/>
      <c r="P2478" s="356"/>
      <c r="Q2478" s="436" t="s">
        <v>52</v>
      </c>
      <c r="R2478" s="356"/>
      <c r="S2478" s="356"/>
      <c r="T2478" s="356"/>
      <c r="U2478" s="372"/>
      <c r="V2478" s="372"/>
      <c r="W2478" s="372"/>
      <c r="X2478" s="373"/>
      <c r="Y2478" s="348"/>
      <c r="Z2478" s="348"/>
      <c r="AA2478" s="348"/>
    </row>
    <row r="2479" s="331" customFormat="1" ht="17" customHeight="1" spans="1:27">
      <c r="A2479" s="550" t="s">
        <v>6538</v>
      </c>
      <c r="B2479" s="348" t="s">
        <v>58</v>
      </c>
      <c r="C2479" s="348" t="s">
        <v>794</v>
      </c>
      <c r="D2479" s="352" t="s">
        <v>110</v>
      </c>
      <c r="E2479" s="336">
        <v>43674</v>
      </c>
      <c r="F2479" s="336">
        <v>43674</v>
      </c>
      <c r="G2479" s="336">
        <v>43676</v>
      </c>
      <c r="H2479" s="334" t="s">
        <v>6539</v>
      </c>
      <c r="I2479" s="356">
        <v>13564848948</v>
      </c>
      <c r="J2479" s="361" t="s">
        <v>6540</v>
      </c>
      <c r="K2479" s="356">
        <v>1999</v>
      </c>
      <c r="L2479" s="334">
        <v>2436</v>
      </c>
      <c r="M2479" s="334">
        <v>368</v>
      </c>
      <c r="N2479" s="362">
        <f t="shared" si="89"/>
        <v>2804</v>
      </c>
      <c r="O2479" s="356"/>
      <c r="P2479" s="356"/>
      <c r="Q2479" s="366" t="s">
        <v>52</v>
      </c>
      <c r="R2479" s="356"/>
      <c r="S2479" s="356"/>
      <c r="T2479" s="356"/>
      <c r="U2479" s="372"/>
      <c r="V2479" s="372"/>
      <c r="W2479" s="372"/>
      <c r="X2479" s="373"/>
      <c r="Y2479" s="348"/>
      <c r="Z2479" s="348"/>
      <c r="AA2479" s="348"/>
    </row>
    <row r="2480" s="331" customFormat="1" ht="15" customHeight="1" spans="1:27">
      <c r="A2480" s="550" t="s">
        <v>6541</v>
      </c>
      <c r="B2480" s="348" t="s">
        <v>58</v>
      </c>
      <c r="C2480" s="348" t="s">
        <v>347</v>
      </c>
      <c r="D2480" s="352" t="s">
        <v>343</v>
      </c>
      <c r="E2480" s="336">
        <v>43750</v>
      </c>
      <c r="F2480" s="336">
        <v>43673</v>
      </c>
      <c r="G2480" s="336">
        <v>43749</v>
      </c>
      <c r="H2480" s="334" t="s">
        <v>6542</v>
      </c>
      <c r="I2480" s="356">
        <v>13564595828</v>
      </c>
      <c r="J2480" s="361" t="s">
        <v>6543</v>
      </c>
      <c r="K2480" s="356">
        <v>4920</v>
      </c>
      <c r="L2480" s="334">
        <v>6399</v>
      </c>
      <c r="M2480" s="419"/>
      <c r="N2480" s="362">
        <f t="shared" si="89"/>
        <v>6399</v>
      </c>
      <c r="O2480" s="356"/>
      <c r="P2480" s="366" t="s">
        <v>52</v>
      </c>
      <c r="Q2480" s="356"/>
      <c r="R2480" s="356"/>
      <c r="S2480" s="356"/>
      <c r="T2480" s="356"/>
      <c r="U2480" s="372"/>
      <c r="V2480" s="372"/>
      <c r="W2480" s="372"/>
      <c r="X2480" s="373"/>
      <c r="Y2480" s="348"/>
      <c r="Z2480" s="348"/>
      <c r="AA2480" s="348"/>
    </row>
    <row r="2481" s="331" customFormat="1" ht="17" customHeight="1" spans="1:27">
      <c r="A2481" s="550" t="s">
        <v>6544</v>
      </c>
      <c r="B2481" s="348" t="s">
        <v>73</v>
      </c>
      <c r="C2481" s="348" t="s">
        <v>178</v>
      </c>
      <c r="D2481" s="334" t="s">
        <v>139</v>
      </c>
      <c r="E2481" s="336">
        <v>43785</v>
      </c>
      <c r="F2481" s="336">
        <v>43673</v>
      </c>
      <c r="G2481" s="336">
        <v>43784</v>
      </c>
      <c r="H2481" s="351" t="s">
        <v>6002</v>
      </c>
      <c r="I2481" s="356">
        <v>13918599027</v>
      </c>
      <c r="J2481" s="361" t="s">
        <v>6545</v>
      </c>
      <c r="K2481" s="356">
        <v>1000</v>
      </c>
      <c r="L2481" s="334">
        <v>12953</v>
      </c>
      <c r="M2481" s="419"/>
      <c r="N2481" s="362">
        <f t="shared" si="89"/>
        <v>12953</v>
      </c>
      <c r="O2481" s="366" t="s">
        <v>52</v>
      </c>
      <c r="P2481" s="356"/>
      <c r="Q2481" s="356"/>
      <c r="R2481" s="356"/>
      <c r="S2481" s="356"/>
      <c r="T2481" s="356"/>
      <c r="U2481" s="372"/>
      <c r="V2481" s="372"/>
      <c r="W2481" s="372"/>
      <c r="X2481" s="373"/>
      <c r="Y2481" s="348"/>
      <c r="Z2481" s="348"/>
      <c r="AA2481" s="348"/>
    </row>
    <row r="2482" s="331" customFormat="1" ht="17" customHeight="1" spans="1:27">
      <c r="A2482" s="550" t="s">
        <v>6546</v>
      </c>
      <c r="B2482" s="348" t="s">
        <v>73</v>
      </c>
      <c r="C2482" s="348" t="s">
        <v>178</v>
      </c>
      <c r="D2482" s="352" t="s">
        <v>75</v>
      </c>
      <c r="E2482" s="336">
        <v>43674</v>
      </c>
      <c r="F2482" s="336">
        <v>43673</v>
      </c>
      <c r="G2482" s="350"/>
      <c r="H2482" s="334" t="s">
        <v>6547</v>
      </c>
      <c r="I2482" s="356">
        <v>18602184078</v>
      </c>
      <c r="J2482" s="361" t="s">
        <v>6548</v>
      </c>
      <c r="K2482" s="356">
        <v>1000</v>
      </c>
      <c r="L2482" s="419"/>
      <c r="M2482" s="419"/>
      <c r="N2482" s="362">
        <f t="shared" si="89"/>
        <v>0</v>
      </c>
      <c r="O2482" s="356"/>
      <c r="P2482" s="356"/>
      <c r="Q2482" s="366" t="s">
        <v>52</v>
      </c>
      <c r="R2482" s="356"/>
      <c r="S2482" s="356"/>
      <c r="T2482" s="356"/>
      <c r="U2482" s="372"/>
      <c r="V2482" s="372"/>
      <c r="W2482" s="372"/>
      <c r="X2482" s="373"/>
      <c r="Y2482" s="348"/>
      <c r="Z2482" s="348"/>
      <c r="AA2482" s="348"/>
    </row>
    <row r="2483" s="331" customFormat="1" ht="17" customHeight="1" spans="1:27">
      <c r="A2483" s="550" t="s">
        <v>6549</v>
      </c>
      <c r="B2483" s="348" t="s">
        <v>315</v>
      </c>
      <c r="C2483" s="348" t="s">
        <v>275</v>
      </c>
      <c r="D2483" s="352" t="s">
        <v>162</v>
      </c>
      <c r="E2483" s="336">
        <v>43706</v>
      </c>
      <c r="F2483" s="336">
        <v>43673</v>
      </c>
      <c r="G2483" s="336">
        <v>43706</v>
      </c>
      <c r="H2483" s="334" t="s">
        <v>6550</v>
      </c>
      <c r="I2483" s="356">
        <v>18117055237</v>
      </c>
      <c r="J2483" s="361" t="s">
        <v>6551</v>
      </c>
      <c r="K2483" s="356">
        <v>1000</v>
      </c>
      <c r="L2483" s="334">
        <v>11000</v>
      </c>
      <c r="M2483" s="419"/>
      <c r="N2483" s="362">
        <f t="shared" si="89"/>
        <v>11000</v>
      </c>
      <c r="O2483" s="356"/>
      <c r="P2483" s="356">
        <v>1</v>
      </c>
      <c r="Q2483" s="356"/>
      <c r="R2483" s="356"/>
      <c r="S2483" s="356"/>
      <c r="T2483" s="356"/>
      <c r="U2483" s="372"/>
      <c r="V2483" s="372"/>
      <c r="W2483" s="372"/>
      <c r="X2483" s="373"/>
      <c r="Y2483" s="348"/>
      <c r="Z2483" s="348"/>
      <c r="AA2483" s="348"/>
    </row>
    <row r="2484" s="331" customFormat="1" ht="15" customHeight="1" spans="1:27">
      <c r="A2484" s="550" t="s">
        <v>6552</v>
      </c>
      <c r="B2484" s="348" t="s">
        <v>58</v>
      </c>
      <c r="C2484" s="348" t="s">
        <v>59</v>
      </c>
      <c r="D2484" s="349" t="s">
        <v>271</v>
      </c>
      <c r="E2484" s="336">
        <v>43738</v>
      </c>
      <c r="F2484" s="336">
        <v>43673</v>
      </c>
      <c r="G2484" s="336">
        <v>43738</v>
      </c>
      <c r="H2484" s="334" t="s">
        <v>6553</v>
      </c>
      <c r="I2484" s="356">
        <v>13916926266</v>
      </c>
      <c r="J2484" s="361" t="s">
        <v>6554</v>
      </c>
      <c r="K2484" s="356">
        <v>1000</v>
      </c>
      <c r="L2484" s="334">
        <v>11317</v>
      </c>
      <c r="M2484" s="419"/>
      <c r="N2484" s="362">
        <f t="shared" si="89"/>
        <v>11317</v>
      </c>
      <c r="O2484" s="366" t="s">
        <v>52</v>
      </c>
      <c r="P2484" s="356"/>
      <c r="Q2484" s="356"/>
      <c r="R2484" s="356"/>
      <c r="S2484" s="356"/>
      <c r="T2484" s="356"/>
      <c r="U2484" s="372"/>
      <c r="V2484" s="372"/>
      <c r="W2484" s="372"/>
      <c r="X2484" s="373"/>
      <c r="Y2484" s="348"/>
      <c r="Z2484" s="348"/>
      <c r="AA2484" s="348"/>
    </row>
    <row r="2485" s="331" customFormat="1" ht="17" customHeight="1" spans="1:27">
      <c r="A2485" s="550" t="s">
        <v>6555</v>
      </c>
      <c r="B2485" s="348" t="s">
        <v>58</v>
      </c>
      <c r="C2485" s="348" t="s">
        <v>59</v>
      </c>
      <c r="D2485" s="349" t="s">
        <v>271</v>
      </c>
      <c r="E2485" s="336">
        <v>43674</v>
      </c>
      <c r="F2485" s="336">
        <v>43673</v>
      </c>
      <c r="G2485" s="336">
        <v>43677</v>
      </c>
      <c r="H2485" s="334" t="s">
        <v>6556</v>
      </c>
      <c r="I2485" s="356">
        <v>13636500566</v>
      </c>
      <c r="J2485" s="361" t="s">
        <v>6557</v>
      </c>
      <c r="K2485" s="356">
        <v>5000</v>
      </c>
      <c r="L2485" s="334">
        <v>4837</v>
      </c>
      <c r="M2485" s="419"/>
      <c r="N2485" s="362">
        <f t="shared" si="89"/>
        <v>4837</v>
      </c>
      <c r="O2485" s="356"/>
      <c r="P2485" s="356"/>
      <c r="Q2485" s="356"/>
      <c r="R2485" s="356"/>
      <c r="S2485" s="356"/>
      <c r="T2485" s="356"/>
      <c r="U2485" s="372"/>
      <c r="V2485" s="372"/>
      <c r="W2485" s="372"/>
      <c r="X2485" s="373"/>
      <c r="Y2485" s="348"/>
      <c r="Z2485" s="348"/>
      <c r="AA2485" s="348"/>
    </row>
    <row r="2486" s="331" customFormat="1" ht="17" customHeight="1" spans="1:27">
      <c r="A2486" s="550" t="s">
        <v>6558</v>
      </c>
      <c r="B2486" s="348" t="s">
        <v>205</v>
      </c>
      <c r="C2486" s="348" t="s">
        <v>1467</v>
      </c>
      <c r="D2486" s="334" t="s">
        <v>407</v>
      </c>
      <c r="E2486" s="336">
        <v>43728</v>
      </c>
      <c r="F2486" s="336">
        <v>43673</v>
      </c>
      <c r="G2486" s="336">
        <v>43727</v>
      </c>
      <c r="H2486" s="334" t="s">
        <v>6559</v>
      </c>
      <c r="I2486" s="356">
        <v>18621698901</v>
      </c>
      <c r="J2486" s="361" t="s">
        <v>6560</v>
      </c>
      <c r="K2486" s="356">
        <v>11000</v>
      </c>
      <c r="L2486" s="334">
        <v>14275</v>
      </c>
      <c r="M2486" s="419"/>
      <c r="N2486" s="362">
        <f t="shared" si="89"/>
        <v>14275</v>
      </c>
      <c r="O2486" s="356"/>
      <c r="P2486" s="356" t="s">
        <v>1526</v>
      </c>
      <c r="Q2486" s="356"/>
      <c r="R2486" s="356"/>
      <c r="S2486" s="356"/>
      <c r="T2486" s="356"/>
      <c r="U2486" s="372"/>
      <c r="V2486" s="372"/>
      <c r="W2486" s="372"/>
      <c r="X2486" s="373"/>
      <c r="Y2486" s="348"/>
      <c r="Z2486" s="348"/>
      <c r="AA2486" s="348"/>
    </row>
    <row r="2487" s="331" customFormat="1" ht="17" customHeight="1" spans="1:27">
      <c r="A2487" s="348">
        <v>2023517</v>
      </c>
      <c r="B2487" s="348" t="s">
        <v>185</v>
      </c>
      <c r="C2487" s="348" t="s">
        <v>1133</v>
      </c>
      <c r="D2487" s="352" t="s">
        <v>44</v>
      </c>
      <c r="E2487" s="336">
        <v>43674</v>
      </c>
      <c r="F2487" s="336">
        <v>43673</v>
      </c>
      <c r="G2487" s="350"/>
      <c r="H2487" s="334" t="s">
        <v>6561</v>
      </c>
      <c r="I2487" s="356">
        <v>18916212080</v>
      </c>
      <c r="J2487" s="361" t="s">
        <v>6562</v>
      </c>
      <c r="K2487" s="356">
        <v>1000</v>
      </c>
      <c r="L2487" s="419"/>
      <c r="M2487" s="419"/>
      <c r="N2487" s="362">
        <f t="shared" si="89"/>
        <v>0</v>
      </c>
      <c r="O2487" s="356" t="s">
        <v>52</v>
      </c>
      <c r="P2487" s="356"/>
      <c r="Q2487" s="356"/>
      <c r="R2487" s="356"/>
      <c r="S2487" s="356"/>
      <c r="T2487" s="356"/>
      <c r="U2487" s="374">
        <v>43683</v>
      </c>
      <c r="V2487" s="372"/>
      <c r="W2487" s="372"/>
      <c r="X2487" s="373"/>
      <c r="Y2487" s="348"/>
      <c r="Z2487" s="348"/>
      <c r="AA2487" s="348"/>
    </row>
    <row r="2488" s="331" customFormat="1" ht="17" customHeight="1" spans="1:27">
      <c r="A2488" s="348">
        <v>2066868</v>
      </c>
      <c r="B2488" s="348" t="s">
        <v>726</v>
      </c>
      <c r="C2488" s="348" t="s">
        <v>727</v>
      </c>
      <c r="D2488" s="349" t="s">
        <v>271</v>
      </c>
      <c r="E2488" s="336">
        <v>43694</v>
      </c>
      <c r="F2488" s="336">
        <v>43673</v>
      </c>
      <c r="G2488" s="336">
        <v>43694</v>
      </c>
      <c r="H2488" s="334" t="s">
        <v>5349</v>
      </c>
      <c r="I2488" s="356">
        <v>18121041156</v>
      </c>
      <c r="J2488" s="361" t="s">
        <v>6563</v>
      </c>
      <c r="K2488" s="356">
        <v>4900</v>
      </c>
      <c r="L2488" s="334">
        <v>4911</v>
      </c>
      <c r="M2488" s="419"/>
      <c r="N2488" s="362">
        <f t="shared" si="89"/>
        <v>4911</v>
      </c>
      <c r="O2488" s="356" t="s">
        <v>19</v>
      </c>
      <c r="P2488" s="356"/>
      <c r="Q2488" s="356"/>
      <c r="R2488" s="356"/>
      <c r="S2488" s="356"/>
      <c r="T2488" s="356"/>
      <c r="U2488" s="372"/>
      <c r="V2488" s="372"/>
      <c r="W2488" s="372"/>
      <c r="X2488" s="373"/>
      <c r="Y2488" s="348"/>
      <c r="Z2488" s="348"/>
      <c r="AA2488" s="348"/>
    </row>
    <row r="2489" s="331" customFormat="1" ht="17" customHeight="1" spans="1:27">
      <c r="A2489" s="550" t="s">
        <v>6564</v>
      </c>
      <c r="B2489" s="348" t="s">
        <v>42</v>
      </c>
      <c r="C2489" s="348" t="s">
        <v>43</v>
      </c>
      <c r="D2489" s="349" t="s">
        <v>125</v>
      </c>
      <c r="E2489" s="336">
        <v>43674</v>
      </c>
      <c r="F2489" s="336">
        <v>43674</v>
      </c>
      <c r="G2489" s="350">
        <v>43674</v>
      </c>
      <c r="H2489" s="334" t="s">
        <v>6565</v>
      </c>
      <c r="I2489" s="356">
        <v>13818506443</v>
      </c>
      <c r="J2489" s="361" t="s">
        <v>6566</v>
      </c>
      <c r="K2489" s="356">
        <v>15000</v>
      </c>
      <c r="L2489" s="334">
        <v>13646</v>
      </c>
      <c r="M2489" s="334">
        <v>1340</v>
      </c>
      <c r="N2489" s="362">
        <f t="shared" si="89"/>
        <v>14986</v>
      </c>
      <c r="O2489" s="356"/>
      <c r="P2489" s="356"/>
      <c r="Q2489" s="356"/>
      <c r="R2489" s="356"/>
      <c r="S2489" s="356"/>
      <c r="T2489" s="356"/>
      <c r="U2489" s="372"/>
      <c r="V2489" s="372"/>
      <c r="W2489" s="372"/>
      <c r="X2489" s="373"/>
      <c r="Y2489" s="348"/>
      <c r="Z2489" s="348"/>
      <c r="AA2489" s="348"/>
    </row>
    <row r="2490" s="331" customFormat="1" ht="17" customHeight="1" spans="1:27">
      <c r="A2490" s="550" t="s">
        <v>6567</v>
      </c>
      <c r="B2490" s="348" t="s">
        <v>58</v>
      </c>
      <c r="C2490" s="348" t="s">
        <v>109</v>
      </c>
      <c r="D2490" s="352" t="s">
        <v>110</v>
      </c>
      <c r="E2490" s="336">
        <v>43700</v>
      </c>
      <c r="F2490" s="336">
        <v>43673</v>
      </c>
      <c r="G2490" s="336">
        <v>43699</v>
      </c>
      <c r="H2490" s="334" t="s">
        <v>6568</v>
      </c>
      <c r="I2490" s="334">
        <v>13621644625</v>
      </c>
      <c r="J2490" s="361" t="s">
        <v>6569</v>
      </c>
      <c r="K2490" s="356">
        <v>1000</v>
      </c>
      <c r="L2490" s="334">
        <v>9542</v>
      </c>
      <c r="M2490" s="419"/>
      <c r="N2490" s="362">
        <f t="shared" si="89"/>
        <v>9542</v>
      </c>
      <c r="O2490" s="356"/>
      <c r="P2490" s="366" t="s">
        <v>52</v>
      </c>
      <c r="Q2490" s="356"/>
      <c r="R2490" s="356"/>
      <c r="S2490" s="356"/>
      <c r="T2490" s="356"/>
      <c r="U2490" s="372"/>
      <c r="V2490" s="372"/>
      <c r="W2490" s="372"/>
      <c r="X2490" s="373"/>
      <c r="Y2490" s="348"/>
      <c r="Z2490" s="348"/>
      <c r="AA2490" s="348"/>
    </row>
    <row r="2491" s="331" customFormat="1" ht="17" customHeight="1" spans="1:27">
      <c r="A2491" s="550" t="s">
        <v>6570</v>
      </c>
      <c r="B2491" s="348" t="s">
        <v>205</v>
      </c>
      <c r="C2491" s="348" t="s">
        <v>1467</v>
      </c>
      <c r="D2491" s="334" t="s">
        <v>207</v>
      </c>
      <c r="E2491" s="336">
        <v>43739</v>
      </c>
      <c r="F2491" s="336">
        <v>43673</v>
      </c>
      <c r="G2491" s="336">
        <v>43738</v>
      </c>
      <c r="H2491" s="348" t="s">
        <v>6571</v>
      </c>
      <c r="I2491" s="356">
        <v>18918117687</v>
      </c>
      <c r="J2491" s="361" t="s">
        <v>6572</v>
      </c>
      <c r="K2491" s="356">
        <v>4800</v>
      </c>
      <c r="L2491" s="334">
        <v>4800</v>
      </c>
      <c r="M2491" s="419"/>
      <c r="N2491" s="362">
        <f t="shared" si="89"/>
        <v>4800</v>
      </c>
      <c r="O2491" s="356"/>
      <c r="P2491" s="356"/>
      <c r="Q2491" s="356" t="s">
        <v>21</v>
      </c>
      <c r="R2491" s="356"/>
      <c r="S2491" s="356"/>
      <c r="T2491" s="356"/>
      <c r="U2491" s="372"/>
      <c r="V2491" s="372"/>
      <c r="W2491" s="372"/>
      <c r="X2491" s="373"/>
      <c r="Y2491" s="348"/>
      <c r="Z2491" s="348"/>
      <c r="AA2491" s="348"/>
    </row>
    <row r="2492" s="331" customFormat="1" ht="17" customHeight="1" spans="1:27">
      <c r="A2492" s="550" t="s">
        <v>6573</v>
      </c>
      <c r="B2492" s="348" t="s">
        <v>205</v>
      </c>
      <c r="C2492" s="348" t="s">
        <v>1467</v>
      </c>
      <c r="D2492" s="352" t="s">
        <v>407</v>
      </c>
      <c r="E2492" s="336">
        <v>43674</v>
      </c>
      <c r="F2492" s="336">
        <v>43673</v>
      </c>
      <c r="G2492" s="336">
        <v>43674</v>
      </c>
      <c r="H2492" s="348" t="s">
        <v>6574</v>
      </c>
      <c r="I2492" s="356">
        <v>15618368320</v>
      </c>
      <c r="J2492" s="361" t="s">
        <v>6575</v>
      </c>
      <c r="K2492" s="356">
        <v>10000</v>
      </c>
      <c r="L2492" s="334">
        <v>9961</v>
      </c>
      <c r="M2492" s="419"/>
      <c r="N2492" s="362">
        <f t="shared" si="89"/>
        <v>9961</v>
      </c>
      <c r="O2492" s="356"/>
      <c r="P2492" s="356"/>
      <c r="Q2492" s="356"/>
      <c r="R2492" s="356"/>
      <c r="S2492" s="356"/>
      <c r="T2492" s="356"/>
      <c r="U2492" s="372"/>
      <c r="V2492" s="372"/>
      <c r="W2492" s="372"/>
      <c r="X2492" s="373"/>
      <c r="Y2492" s="348"/>
      <c r="Z2492" s="348"/>
      <c r="AA2492" s="348"/>
    </row>
    <row r="2493" s="331" customFormat="1" ht="17" customHeight="1" spans="1:27">
      <c r="A2493" s="348">
        <v>2022593</v>
      </c>
      <c r="B2493" s="348" t="s">
        <v>73</v>
      </c>
      <c r="C2493" s="348" t="s">
        <v>74</v>
      </c>
      <c r="D2493" s="349" t="s">
        <v>44</v>
      </c>
      <c r="E2493" s="336">
        <v>43688</v>
      </c>
      <c r="F2493" s="336">
        <v>43673</v>
      </c>
      <c r="G2493" s="336">
        <v>43688</v>
      </c>
      <c r="H2493" s="334" t="s">
        <v>6576</v>
      </c>
      <c r="I2493" s="356">
        <v>13916254647</v>
      </c>
      <c r="J2493" s="361" t="s">
        <v>6577</v>
      </c>
      <c r="K2493" s="356">
        <v>1000</v>
      </c>
      <c r="L2493" s="334">
        <v>27240</v>
      </c>
      <c r="M2493" s="419"/>
      <c r="N2493" s="362">
        <f t="shared" si="89"/>
        <v>27240</v>
      </c>
      <c r="O2493" s="366" t="s">
        <v>52</v>
      </c>
      <c r="P2493" s="356"/>
      <c r="Q2493" s="356"/>
      <c r="R2493" s="356"/>
      <c r="S2493" s="356"/>
      <c r="T2493" s="356"/>
      <c r="U2493" s="372"/>
      <c r="V2493" s="372"/>
      <c r="W2493" s="372"/>
      <c r="X2493" s="373"/>
      <c r="Y2493" s="348"/>
      <c r="Z2493" s="348"/>
      <c r="AA2493" s="348"/>
    </row>
    <row r="2494" s="331" customFormat="1" ht="15" customHeight="1" spans="1:27">
      <c r="A2494" s="550" t="s">
        <v>6578</v>
      </c>
      <c r="B2494" s="348" t="s">
        <v>58</v>
      </c>
      <c r="C2494" s="348" t="s">
        <v>59</v>
      </c>
      <c r="D2494" s="352" t="s">
        <v>343</v>
      </c>
      <c r="E2494" s="336">
        <v>43674</v>
      </c>
      <c r="F2494" s="336">
        <v>43660</v>
      </c>
      <c r="G2494" s="372" t="s">
        <v>69</v>
      </c>
      <c r="H2494" s="334" t="s">
        <v>5362</v>
      </c>
      <c r="I2494" s="356">
        <v>13816867128</v>
      </c>
      <c r="J2494" s="361" t="s">
        <v>6579</v>
      </c>
      <c r="K2494" s="356">
        <v>5000</v>
      </c>
      <c r="L2494" s="419"/>
      <c r="M2494" s="419"/>
      <c r="N2494" s="362">
        <f t="shared" si="89"/>
        <v>0</v>
      </c>
      <c r="O2494" s="366"/>
      <c r="P2494" s="356"/>
      <c r="Q2494" s="356"/>
      <c r="R2494" s="356"/>
      <c r="S2494" s="356"/>
      <c r="T2494" s="356"/>
      <c r="U2494" s="372"/>
      <c r="V2494" s="372"/>
      <c r="W2494" s="372"/>
      <c r="X2494" s="373"/>
      <c r="Y2494" s="348"/>
      <c r="Z2494" s="348"/>
      <c r="AA2494" s="348"/>
    </row>
    <row r="2495" s="331" customFormat="1" ht="17" customHeight="1" spans="1:27">
      <c r="A2495" s="348">
        <v>2022598</v>
      </c>
      <c r="B2495" s="348" t="s">
        <v>73</v>
      </c>
      <c r="C2495" s="348" t="s">
        <v>74</v>
      </c>
      <c r="D2495" s="352" t="s">
        <v>75</v>
      </c>
      <c r="E2495" s="336">
        <v>43738</v>
      </c>
      <c r="F2495" s="336">
        <v>43674</v>
      </c>
      <c r="G2495" s="336">
        <v>43738</v>
      </c>
      <c r="H2495" s="334" t="s">
        <v>6580</v>
      </c>
      <c r="I2495" s="334">
        <v>13817898105</v>
      </c>
      <c r="J2495" s="361" t="s">
        <v>6581</v>
      </c>
      <c r="K2495" s="356">
        <v>0</v>
      </c>
      <c r="L2495" s="334">
        <v>59986</v>
      </c>
      <c r="M2495" s="419"/>
      <c r="N2495" s="362">
        <f t="shared" ref="N2495:N2545" si="90">L2495+M2495</f>
        <v>59986</v>
      </c>
      <c r="O2495" s="366" t="s">
        <v>52</v>
      </c>
      <c r="P2495" s="356"/>
      <c r="Q2495" s="356"/>
      <c r="R2495" s="356"/>
      <c r="S2495" s="356"/>
      <c r="T2495" s="356"/>
      <c r="U2495" s="372"/>
      <c r="V2495" s="372"/>
      <c r="W2495" s="372"/>
      <c r="X2495" s="373"/>
      <c r="Y2495" s="348"/>
      <c r="Z2495" s="348"/>
      <c r="AA2495" s="348"/>
    </row>
    <row r="2496" s="331" customFormat="1" ht="17" customHeight="1" spans="1:27">
      <c r="A2496" s="348"/>
      <c r="B2496" s="348" t="s">
        <v>73</v>
      </c>
      <c r="C2496" s="348" t="s">
        <v>178</v>
      </c>
      <c r="D2496" s="352" t="s">
        <v>75</v>
      </c>
      <c r="E2496" s="336">
        <v>43769</v>
      </c>
      <c r="F2496" s="336">
        <v>43673</v>
      </c>
      <c r="G2496" s="336">
        <v>43769</v>
      </c>
      <c r="H2496" s="334" t="s">
        <v>6582</v>
      </c>
      <c r="I2496" s="356">
        <v>13761586318</v>
      </c>
      <c r="J2496" s="361" t="s">
        <v>6583</v>
      </c>
      <c r="K2496" s="356">
        <v>1000</v>
      </c>
      <c r="L2496" s="334">
        <v>44765</v>
      </c>
      <c r="M2496" s="419"/>
      <c r="N2496" s="362">
        <f t="shared" si="90"/>
        <v>44765</v>
      </c>
      <c r="O2496" s="366" t="s">
        <v>52</v>
      </c>
      <c r="P2496" s="356"/>
      <c r="Q2496" s="356"/>
      <c r="R2496" s="356"/>
      <c r="S2496" s="356"/>
      <c r="T2496" s="356"/>
      <c r="U2496" s="372"/>
      <c r="V2496" s="372"/>
      <c r="W2496" s="372"/>
      <c r="X2496" s="373"/>
      <c r="Y2496" s="348"/>
      <c r="Z2496" s="348"/>
      <c r="AA2496" s="348"/>
    </row>
    <row r="2497" s="331" customFormat="1" ht="17" customHeight="1" spans="1:27">
      <c r="A2497" s="348">
        <v>2068582</v>
      </c>
      <c r="B2497" s="348" t="s">
        <v>87</v>
      </c>
      <c r="C2497" s="348" t="s">
        <v>466</v>
      </c>
      <c r="D2497" s="352" t="s">
        <v>89</v>
      </c>
      <c r="E2497" s="336">
        <v>43674</v>
      </c>
      <c r="F2497" s="336">
        <v>43673</v>
      </c>
      <c r="G2497" s="336">
        <v>43676</v>
      </c>
      <c r="H2497" s="334" t="s">
        <v>6584</v>
      </c>
      <c r="I2497" s="356">
        <v>15618049932</v>
      </c>
      <c r="J2497" s="361" t="s">
        <v>6585</v>
      </c>
      <c r="K2497" s="356">
        <v>2067</v>
      </c>
      <c r="L2497" s="334">
        <v>2367</v>
      </c>
      <c r="M2497" s="419"/>
      <c r="N2497" s="362">
        <f t="shared" si="90"/>
        <v>2367</v>
      </c>
      <c r="O2497" s="356"/>
      <c r="P2497" s="411" t="s">
        <v>52</v>
      </c>
      <c r="Q2497" s="356"/>
      <c r="R2497" s="356"/>
      <c r="S2497" s="356"/>
      <c r="T2497" s="356"/>
      <c r="U2497" s="372"/>
      <c r="V2497" s="411" t="s">
        <v>98</v>
      </c>
      <c r="W2497" s="372"/>
      <c r="X2497" s="373"/>
      <c r="Y2497" s="348"/>
      <c r="Z2497" s="348"/>
      <c r="AA2497" s="348"/>
    </row>
    <row r="2498" s="331" customFormat="1" ht="17" customHeight="1" spans="1:27">
      <c r="A2498" s="348">
        <v>2068583</v>
      </c>
      <c r="B2498" s="348" t="s">
        <v>87</v>
      </c>
      <c r="C2498" s="348" t="s">
        <v>466</v>
      </c>
      <c r="D2498" s="352" t="s">
        <v>89</v>
      </c>
      <c r="E2498" s="336">
        <v>43674</v>
      </c>
      <c r="F2498" s="336">
        <v>43673</v>
      </c>
      <c r="G2498" s="350"/>
      <c r="H2498" s="334" t="s">
        <v>5241</v>
      </c>
      <c r="I2498" s="356">
        <v>13818688252</v>
      </c>
      <c r="J2498" s="361" t="s">
        <v>6586</v>
      </c>
      <c r="K2498" s="356">
        <v>1000</v>
      </c>
      <c r="L2498" s="419"/>
      <c r="M2498" s="419"/>
      <c r="N2498" s="362">
        <f t="shared" si="90"/>
        <v>0</v>
      </c>
      <c r="O2498" s="356"/>
      <c r="P2498" s="411" t="s">
        <v>52</v>
      </c>
      <c r="Q2498" s="356"/>
      <c r="R2498" s="356"/>
      <c r="S2498" s="356"/>
      <c r="T2498" s="356"/>
      <c r="U2498" s="372" t="s">
        <v>12</v>
      </c>
      <c r="V2498" s="372"/>
      <c r="W2498" s="372"/>
      <c r="X2498" s="373"/>
      <c r="Y2498" s="348"/>
      <c r="Z2498" s="348"/>
      <c r="AA2498" s="348"/>
    </row>
    <row r="2499" s="331" customFormat="1" ht="17" customHeight="1" spans="1:27">
      <c r="A2499" s="348">
        <v>2022597</v>
      </c>
      <c r="B2499" s="348" t="s">
        <v>73</v>
      </c>
      <c r="C2499" s="348" t="s">
        <v>74</v>
      </c>
      <c r="D2499" s="349" t="s">
        <v>132</v>
      </c>
      <c r="E2499" s="336">
        <v>43674</v>
      </c>
      <c r="F2499" s="336">
        <v>43673</v>
      </c>
      <c r="G2499" s="336">
        <v>43673</v>
      </c>
      <c r="H2499" s="334" t="s">
        <v>6587</v>
      </c>
      <c r="I2499" s="356">
        <v>18917139422</v>
      </c>
      <c r="J2499" s="361" t="s">
        <v>6588</v>
      </c>
      <c r="K2499" s="356">
        <v>5044</v>
      </c>
      <c r="L2499" s="334">
        <v>5044</v>
      </c>
      <c r="M2499" s="419"/>
      <c r="N2499" s="362">
        <f t="shared" si="90"/>
        <v>5044</v>
      </c>
      <c r="O2499" s="356"/>
      <c r="P2499" s="356"/>
      <c r="Q2499" s="356"/>
      <c r="R2499" s="356"/>
      <c r="S2499" s="356"/>
      <c r="T2499" s="356"/>
      <c r="U2499" s="372"/>
      <c r="V2499" s="372"/>
      <c r="W2499" s="372"/>
      <c r="X2499" s="373"/>
      <c r="Y2499" s="348"/>
      <c r="Z2499" s="348"/>
      <c r="AA2499" s="348"/>
    </row>
    <row r="2500" s="331" customFormat="1" ht="17" customHeight="1" spans="1:27">
      <c r="A2500" s="550" t="s">
        <v>6589</v>
      </c>
      <c r="B2500" s="348" t="s">
        <v>73</v>
      </c>
      <c r="C2500" s="348" t="s">
        <v>74</v>
      </c>
      <c r="D2500" s="352" t="s">
        <v>75</v>
      </c>
      <c r="E2500" s="336">
        <v>43674</v>
      </c>
      <c r="F2500" s="336">
        <v>43673</v>
      </c>
      <c r="G2500" s="350"/>
      <c r="H2500" s="334" t="s">
        <v>6590</v>
      </c>
      <c r="I2500" s="356">
        <v>13701910806</v>
      </c>
      <c r="J2500" s="361" t="s">
        <v>6591</v>
      </c>
      <c r="K2500" s="356">
        <v>1000</v>
      </c>
      <c r="L2500" s="419"/>
      <c r="M2500" s="419"/>
      <c r="N2500" s="362">
        <f t="shared" si="90"/>
        <v>0</v>
      </c>
      <c r="O2500" s="366" t="s">
        <v>52</v>
      </c>
      <c r="P2500" s="356"/>
      <c r="Q2500" s="356"/>
      <c r="R2500" s="356"/>
      <c r="S2500" s="356"/>
      <c r="T2500" s="356"/>
      <c r="U2500" s="372"/>
      <c r="V2500" s="372"/>
      <c r="W2500" s="372"/>
      <c r="X2500" s="373"/>
      <c r="Y2500" s="348"/>
      <c r="Z2500" s="348"/>
      <c r="AA2500" s="348"/>
    </row>
    <row r="2501" s="331" customFormat="1" ht="17" customHeight="1" spans="1:27">
      <c r="A2501" s="348">
        <v>2022594</v>
      </c>
      <c r="B2501" s="348" t="s">
        <v>73</v>
      </c>
      <c r="C2501" s="348" t="s">
        <v>74</v>
      </c>
      <c r="D2501" s="334" t="s">
        <v>187</v>
      </c>
      <c r="E2501" s="336">
        <v>43782</v>
      </c>
      <c r="F2501" s="336">
        <v>43673</v>
      </c>
      <c r="G2501" s="336">
        <v>43782</v>
      </c>
      <c r="H2501" s="334" t="s">
        <v>6592</v>
      </c>
      <c r="I2501" s="356">
        <v>18901690690</v>
      </c>
      <c r="J2501" s="361" t="s">
        <v>6593</v>
      </c>
      <c r="K2501" s="356">
        <v>1000</v>
      </c>
      <c r="L2501" s="334">
        <v>36457</v>
      </c>
      <c r="M2501" s="419"/>
      <c r="N2501" s="362">
        <f t="shared" si="90"/>
        <v>36457</v>
      </c>
      <c r="O2501" s="366"/>
      <c r="P2501" s="356"/>
      <c r="Q2501" s="366" t="s">
        <v>52</v>
      </c>
      <c r="R2501" s="356"/>
      <c r="S2501" s="356"/>
      <c r="T2501" s="356"/>
      <c r="U2501" s="372"/>
      <c r="V2501" s="372"/>
      <c r="W2501" s="372"/>
      <c r="X2501" s="373"/>
      <c r="Y2501" s="348"/>
      <c r="Z2501" s="348"/>
      <c r="AA2501" s="348"/>
    </row>
    <row r="2502" s="331" customFormat="1" ht="17" customHeight="1" spans="1:27">
      <c r="A2502" s="550" t="s">
        <v>6594</v>
      </c>
      <c r="B2502" s="348" t="s">
        <v>73</v>
      </c>
      <c r="C2502" s="348" t="s">
        <v>178</v>
      </c>
      <c r="D2502" s="352" t="s">
        <v>75</v>
      </c>
      <c r="E2502" s="336">
        <v>43684</v>
      </c>
      <c r="F2502" s="336">
        <v>43684</v>
      </c>
      <c r="G2502" s="350"/>
      <c r="H2502" s="334" t="s">
        <v>6595</v>
      </c>
      <c r="I2502" s="356">
        <v>13636541632</v>
      </c>
      <c r="J2502" s="361" t="s">
        <v>6596</v>
      </c>
      <c r="K2502" s="356">
        <v>1000</v>
      </c>
      <c r="L2502" s="419"/>
      <c r="M2502" s="419"/>
      <c r="N2502" s="362">
        <f t="shared" si="90"/>
        <v>0</v>
      </c>
      <c r="O2502" s="366" t="s">
        <v>52</v>
      </c>
      <c r="P2502" s="356"/>
      <c r="Q2502" s="356"/>
      <c r="R2502" s="356"/>
      <c r="S2502" s="356"/>
      <c r="T2502" s="356"/>
      <c r="U2502" s="372"/>
      <c r="V2502" s="372"/>
      <c r="W2502" s="372"/>
      <c r="X2502" s="373"/>
      <c r="Y2502" s="348"/>
      <c r="Z2502" s="348"/>
      <c r="AA2502" s="348"/>
    </row>
    <row r="2503" s="331" customFormat="1" ht="17" customHeight="1" spans="1:27">
      <c r="A2503" s="550" t="s">
        <v>6597</v>
      </c>
      <c r="B2503" s="348" t="s">
        <v>726</v>
      </c>
      <c r="C2503" s="348" t="s">
        <v>727</v>
      </c>
      <c r="D2503" s="349" t="s">
        <v>271</v>
      </c>
      <c r="E2503" s="336">
        <v>43674</v>
      </c>
      <c r="F2503" s="336">
        <v>43673</v>
      </c>
      <c r="G2503" s="336">
        <v>43677</v>
      </c>
      <c r="H2503" s="334" t="s">
        <v>6598</v>
      </c>
      <c r="I2503" s="356">
        <v>13795285510</v>
      </c>
      <c r="J2503" s="361" t="s">
        <v>6599</v>
      </c>
      <c r="K2503" s="356">
        <v>10000</v>
      </c>
      <c r="L2503" s="334">
        <v>10000</v>
      </c>
      <c r="M2503" s="419"/>
      <c r="N2503" s="362">
        <f t="shared" si="90"/>
        <v>10000</v>
      </c>
      <c r="O2503" s="356" t="s">
        <v>19</v>
      </c>
      <c r="P2503" s="356"/>
      <c r="Q2503" s="356"/>
      <c r="R2503" s="356"/>
      <c r="S2503" s="356"/>
      <c r="T2503" s="356"/>
      <c r="U2503" s="372"/>
      <c r="V2503" s="372"/>
      <c r="W2503" s="372"/>
      <c r="X2503" s="373"/>
      <c r="Y2503" s="348"/>
      <c r="Z2503" s="348"/>
      <c r="AA2503" s="348"/>
    </row>
    <row r="2504" s="331" customFormat="1" ht="17" customHeight="1" spans="1:27">
      <c r="A2504" s="550" t="s">
        <v>6600</v>
      </c>
      <c r="B2504" s="348" t="s">
        <v>315</v>
      </c>
      <c r="C2504" s="348" t="s">
        <v>230</v>
      </c>
      <c r="D2504" s="349" t="s">
        <v>155</v>
      </c>
      <c r="E2504" s="336">
        <v>43690</v>
      </c>
      <c r="F2504" s="336">
        <v>43673</v>
      </c>
      <c r="G2504" s="336">
        <v>43690</v>
      </c>
      <c r="H2504" s="334" t="s">
        <v>6273</v>
      </c>
      <c r="I2504" s="356">
        <v>13611938570</v>
      </c>
      <c r="J2504" s="361" t="s">
        <v>6601</v>
      </c>
      <c r="K2504" s="356">
        <v>1000</v>
      </c>
      <c r="L2504" s="334">
        <v>4696</v>
      </c>
      <c r="M2504" s="419"/>
      <c r="N2504" s="362">
        <f t="shared" si="90"/>
        <v>4696</v>
      </c>
      <c r="O2504" s="356"/>
      <c r="P2504" s="356">
        <v>1</v>
      </c>
      <c r="Q2504" s="356"/>
      <c r="R2504" s="356"/>
      <c r="S2504" s="356"/>
      <c r="T2504" s="356"/>
      <c r="U2504" s="372"/>
      <c r="V2504" s="372"/>
      <c r="W2504" s="372"/>
      <c r="X2504" s="373"/>
      <c r="Y2504" s="348"/>
      <c r="Z2504" s="348"/>
      <c r="AA2504" s="348"/>
    </row>
    <row r="2505" s="331" customFormat="1" ht="17" customHeight="1" spans="1:27">
      <c r="A2505" s="348">
        <v>2023527</v>
      </c>
      <c r="B2505" s="348" t="s">
        <v>185</v>
      </c>
      <c r="C2505" s="348" t="s">
        <v>886</v>
      </c>
      <c r="D2505" s="352" t="s">
        <v>187</v>
      </c>
      <c r="E2505" s="336">
        <v>43700</v>
      </c>
      <c r="F2505" s="336">
        <v>43674</v>
      </c>
      <c r="G2505" s="336">
        <v>43697</v>
      </c>
      <c r="H2505" s="334" t="s">
        <v>6602</v>
      </c>
      <c r="I2505" s="356">
        <v>13817824569</v>
      </c>
      <c r="J2505" s="361" t="s">
        <v>6603</v>
      </c>
      <c r="K2505" s="356">
        <v>0</v>
      </c>
      <c r="L2505" s="334">
        <v>14968</v>
      </c>
      <c r="M2505" s="419"/>
      <c r="N2505" s="362">
        <f t="shared" si="90"/>
        <v>14968</v>
      </c>
      <c r="O2505" s="356"/>
      <c r="P2505" s="436"/>
      <c r="Q2505" s="356"/>
      <c r="R2505" s="356"/>
      <c r="S2505" s="356"/>
      <c r="T2505" s="356"/>
      <c r="U2505" s="372"/>
      <c r="V2505" s="372"/>
      <c r="W2505" s="374">
        <v>43691</v>
      </c>
      <c r="X2505" s="373"/>
      <c r="Y2505" s="348"/>
      <c r="Z2505" s="348"/>
      <c r="AA2505" s="348"/>
    </row>
    <row r="2506" s="331" customFormat="1" ht="17" customHeight="1" spans="1:27">
      <c r="A2506" s="348">
        <v>2023524</v>
      </c>
      <c r="B2506" s="348" t="s">
        <v>185</v>
      </c>
      <c r="C2506" s="348" t="s">
        <v>886</v>
      </c>
      <c r="D2506" s="349" t="s">
        <v>44</v>
      </c>
      <c r="E2506" s="336">
        <v>43693</v>
      </c>
      <c r="F2506" s="336">
        <v>43674</v>
      </c>
      <c r="G2506" s="336">
        <v>43690</v>
      </c>
      <c r="H2506" s="334" t="s">
        <v>6604</v>
      </c>
      <c r="I2506" s="356">
        <v>13524208889</v>
      </c>
      <c r="J2506" s="361" t="s">
        <v>6605</v>
      </c>
      <c r="K2506" s="356">
        <v>0</v>
      </c>
      <c r="L2506" s="334">
        <f>18484+11742</f>
        <v>30226</v>
      </c>
      <c r="M2506" s="419"/>
      <c r="N2506" s="362">
        <f t="shared" si="90"/>
        <v>30226</v>
      </c>
      <c r="O2506" s="436"/>
      <c r="P2506" s="356"/>
      <c r="Q2506" s="356"/>
      <c r="R2506" s="356"/>
      <c r="S2506" s="356"/>
      <c r="T2506" s="356"/>
      <c r="U2506" s="372"/>
      <c r="V2506" s="372"/>
      <c r="W2506" s="374">
        <v>43688</v>
      </c>
      <c r="X2506" s="373"/>
      <c r="Y2506" s="348"/>
      <c r="Z2506" s="348"/>
      <c r="AA2506" s="348"/>
    </row>
    <row r="2507" s="331" customFormat="1" ht="17" customHeight="1" spans="1:27">
      <c r="A2507" s="348">
        <v>2023526</v>
      </c>
      <c r="B2507" s="348" t="s">
        <v>185</v>
      </c>
      <c r="C2507" s="348" t="s">
        <v>4146</v>
      </c>
      <c r="D2507" s="352" t="s">
        <v>187</v>
      </c>
      <c r="E2507" s="336">
        <v>43735</v>
      </c>
      <c r="F2507" s="336">
        <v>43674</v>
      </c>
      <c r="G2507" s="336">
        <v>43731</v>
      </c>
      <c r="H2507" s="334" t="s">
        <v>6606</v>
      </c>
      <c r="I2507" s="356">
        <v>18301929379</v>
      </c>
      <c r="J2507" s="361" t="s">
        <v>6607</v>
      </c>
      <c r="K2507" s="356">
        <v>1000</v>
      </c>
      <c r="L2507" s="334">
        <f>12800-1472</f>
        <v>11328</v>
      </c>
      <c r="M2507" s="334">
        <v>1472</v>
      </c>
      <c r="N2507" s="362">
        <f t="shared" si="90"/>
        <v>12800</v>
      </c>
      <c r="O2507" s="356"/>
      <c r="P2507" s="366" t="s">
        <v>52</v>
      </c>
      <c r="Q2507" s="356"/>
      <c r="R2507" s="356"/>
      <c r="S2507" s="356"/>
      <c r="T2507" s="356"/>
      <c r="U2507" s="372"/>
      <c r="V2507" s="372"/>
      <c r="W2507" s="374"/>
      <c r="X2507" s="373"/>
      <c r="Y2507" s="348"/>
      <c r="Z2507" s="348"/>
      <c r="AA2507" s="348"/>
    </row>
    <row r="2508" s="331" customFormat="1" ht="17" customHeight="1" spans="1:27">
      <c r="A2508" s="348">
        <v>2023525</v>
      </c>
      <c r="B2508" s="348" t="s">
        <v>185</v>
      </c>
      <c r="C2508" s="348" t="s">
        <v>886</v>
      </c>
      <c r="D2508" s="352" t="s">
        <v>187</v>
      </c>
      <c r="E2508" s="336">
        <v>43674</v>
      </c>
      <c r="F2508" s="336">
        <v>43674</v>
      </c>
      <c r="G2508" s="350" t="s">
        <v>231</v>
      </c>
      <c r="H2508" s="334" t="s">
        <v>6608</v>
      </c>
      <c r="I2508" s="356">
        <v>13701534818</v>
      </c>
      <c r="J2508" s="361" t="s">
        <v>6609</v>
      </c>
      <c r="K2508" s="356">
        <v>0</v>
      </c>
      <c r="L2508" s="419"/>
      <c r="M2508" s="419"/>
      <c r="N2508" s="362">
        <f t="shared" si="90"/>
        <v>0</v>
      </c>
      <c r="O2508" s="356" t="s">
        <v>52</v>
      </c>
      <c r="P2508" s="356"/>
      <c r="Q2508" s="436"/>
      <c r="R2508" s="356"/>
      <c r="S2508" s="356"/>
      <c r="T2508" s="356"/>
      <c r="U2508" s="372"/>
      <c r="V2508" s="372"/>
      <c r="W2508" s="374">
        <v>43688</v>
      </c>
      <c r="X2508" s="373"/>
      <c r="Y2508" s="348"/>
      <c r="Z2508" s="348"/>
      <c r="AA2508" s="348"/>
    </row>
    <row r="2509" s="331" customFormat="1" ht="17" customHeight="1" spans="1:27">
      <c r="A2509" s="348"/>
      <c r="B2509" s="348" t="s">
        <v>31</v>
      </c>
      <c r="C2509" s="348" t="s">
        <v>220</v>
      </c>
      <c r="D2509" s="352" t="s">
        <v>221</v>
      </c>
      <c r="E2509" s="336">
        <v>43674</v>
      </c>
      <c r="F2509" s="336">
        <v>43674</v>
      </c>
      <c r="G2509" s="336">
        <v>43674</v>
      </c>
      <c r="H2509" s="334" t="s">
        <v>6610</v>
      </c>
      <c r="I2509" s="356">
        <v>18901661767</v>
      </c>
      <c r="J2509" s="361" t="s">
        <v>6611</v>
      </c>
      <c r="K2509" s="356">
        <v>1967</v>
      </c>
      <c r="L2509" s="334">
        <v>1967</v>
      </c>
      <c r="M2509" s="419"/>
      <c r="N2509" s="362">
        <f t="shared" si="90"/>
        <v>1967</v>
      </c>
      <c r="O2509" s="356"/>
      <c r="P2509" s="356"/>
      <c r="Q2509" s="356"/>
      <c r="R2509" s="356"/>
      <c r="S2509" s="356"/>
      <c r="T2509" s="356"/>
      <c r="U2509" s="372"/>
      <c r="V2509" s="372"/>
      <c r="W2509" s="372"/>
      <c r="X2509" s="373"/>
      <c r="Y2509" s="348"/>
      <c r="Z2509" s="348"/>
      <c r="AA2509" s="348"/>
    </row>
    <row r="2510" s="331" customFormat="1" ht="17" customHeight="1" spans="1:27">
      <c r="A2510" s="348">
        <v>2066624</v>
      </c>
      <c r="B2510" s="348" t="s">
        <v>335</v>
      </c>
      <c r="C2510" s="348" t="s">
        <v>399</v>
      </c>
      <c r="D2510" s="352" t="s">
        <v>337</v>
      </c>
      <c r="E2510" s="336">
        <v>43674</v>
      </c>
      <c r="F2510" s="336">
        <v>43673</v>
      </c>
      <c r="G2510" s="336">
        <v>43673</v>
      </c>
      <c r="H2510" s="334" t="s">
        <v>6612</v>
      </c>
      <c r="I2510" s="356">
        <v>13816133757</v>
      </c>
      <c r="J2510" s="361" t="s">
        <v>6613</v>
      </c>
      <c r="K2510" s="356">
        <v>8496</v>
      </c>
      <c r="L2510" s="334">
        <v>7692</v>
      </c>
      <c r="M2510" s="334">
        <v>804</v>
      </c>
      <c r="N2510" s="362">
        <f t="shared" si="90"/>
        <v>8496</v>
      </c>
      <c r="O2510" s="356"/>
      <c r="P2510" s="356"/>
      <c r="Q2510" s="356"/>
      <c r="R2510" s="356"/>
      <c r="S2510" s="356"/>
      <c r="T2510" s="356"/>
      <c r="U2510" s="372"/>
      <c r="V2510" s="372"/>
      <c r="W2510" s="372"/>
      <c r="X2510" s="373"/>
      <c r="Y2510" s="348"/>
      <c r="Z2510" s="348"/>
      <c r="AA2510" s="348"/>
    </row>
    <row r="2511" s="331" customFormat="1" ht="17" customHeight="1" spans="1:27">
      <c r="A2511" s="348">
        <v>2066984</v>
      </c>
      <c r="B2511" s="348" t="s">
        <v>66</v>
      </c>
      <c r="C2511" s="348" t="s">
        <v>505</v>
      </c>
      <c r="D2511" s="352" t="s">
        <v>68</v>
      </c>
      <c r="E2511" s="336">
        <v>43704</v>
      </c>
      <c r="F2511" s="336">
        <v>43674</v>
      </c>
      <c r="G2511" s="336">
        <v>43703</v>
      </c>
      <c r="H2511" s="334" t="s">
        <v>6614</v>
      </c>
      <c r="I2511" s="356">
        <v>13661997779</v>
      </c>
      <c r="J2511" s="361" t="s">
        <v>6615</v>
      </c>
      <c r="K2511" s="356">
        <v>2000</v>
      </c>
      <c r="L2511" s="334">
        <f>10060-1104</f>
        <v>8956</v>
      </c>
      <c r="M2511" s="334">
        <v>1104</v>
      </c>
      <c r="N2511" s="362">
        <f t="shared" si="90"/>
        <v>10060</v>
      </c>
      <c r="O2511" s="356"/>
      <c r="P2511" s="356" t="s">
        <v>1526</v>
      </c>
      <c r="Q2511" s="356"/>
      <c r="R2511" s="356"/>
      <c r="S2511" s="356"/>
      <c r="T2511" s="356"/>
      <c r="U2511" s="372"/>
      <c r="V2511" s="372"/>
      <c r="W2511" s="372"/>
      <c r="X2511" s="373"/>
      <c r="Y2511" s="348"/>
      <c r="Z2511" s="348"/>
      <c r="AA2511" s="348"/>
    </row>
    <row r="2512" s="331" customFormat="1" ht="17" customHeight="1" spans="1:27">
      <c r="A2512" s="550" t="s">
        <v>6616</v>
      </c>
      <c r="B2512" s="348" t="s">
        <v>47</v>
      </c>
      <c r="C2512" s="348" t="s">
        <v>2399</v>
      </c>
      <c r="D2512" s="352" t="s">
        <v>49</v>
      </c>
      <c r="E2512" s="336">
        <v>43674</v>
      </c>
      <c r="F2512" s="336">
        <v>43674</v>
      </c>
      <c r="G2512" s="336">
        <v>43677</v>
      </c>
      <c r="H2512" s="334" t="s">
        <v>6617</v>
      </c>
      <c r="I2512" s="348">
        <v>18939809623</v>
      </c>
      <c r="J2512" s="361" t="s">
        <v>6618</v>
      </c>
      <c r="K2512" s="356">
        <v>10000</v>
      </c>
      <c r="L2512" s="334">
        <v>15728</v>
      </c>
      <c r="M2512" s="334">
        <v>1472</v>
      </c>
      <c r="N2512" s="362">
        <f t="shared" si="90"/>
        <v>17200</v>
      </c>
      <c r="O2512" s="356"/>
      <c r="P2512" s="356"/>
      <c r="Q2512" s="356"/>
      <c r="R2512" s="356" t="s">
        <v>52</v>
      </c>
      <c r="S2512" s="356"/>
      <c r="T2512" s="356"/>
      <c r="U2512" s="372"/>
      <c r="V2512" s="372"/>
      <c r="W2512" s="372"/>
      <c r="X2512" s="373"/>
      <c r="Y2512" s="348"/>
      <c r="Z2512" s="348"/>
      <c r="AA2512" s="348"/>
    </row>
    <row r="2513" s="331" customFormat="1" ht="17" customHeight="1" spans="1:27">
      <c r="A2513" s="550" t="s">
        <v>1021</v>
      </c>
      <c r="B2513" s="348" t="s">
        <v>281</v>
      </c>
      <c r="C2513" s="348" t="s">
        <v>491</v>
      </c>
      <c r="D2513" s="334" t="s">
        <v>518</v>
      </c>
      <c r="E2513" s="336">
        <v>43708</v>
      </c>
      <c r="F2513" s="336">
        <v>43674</v>
      </c>
      <c r="G2513" s="336">
        <v>43707</v>
      </c>
      <c r="H2513" s="334" t="s">
        <v>6619</v>
      </c>
      <c r="I2513" s="356">
        <v>18621798005</v>
      </c>
      <c r="J2513" s="361" t="s">
        <v>6620</v>
      </c>
      <c r="K2513" s="356">
        <v>1000</v>
      </c>
      <c r="L2513" s="334">
        <v>12445</v>
      </c>
      <c r="M2513" s="419"/>
      <c r="N2513" s="362">
        <f t="shared" si="90"/>
        <v>12445</v>
      </c>
      <c r="O2513" s="356"/>
      <c r="P2513" s="356"/>
      <c r="Q2513" s="356"/>
      <c r="R2513" s="356" t="s">
        <v>52</v>
      </c>
      <c r="S2513" s="356"/>
      <c r="T2513" s="356"/>
      <c r="U2513" s="372"/>
      <c r="V2513" s="372"/>
      <c r="W2513" s="372"/>
      <c r="X2513" s="373"/>
      <c r="Y2513" s="348"/>
      <c r="Z2513" s="348"/>
      <c r="AA2513" s="348"/>
    </row>
    <row r="2514" s="331" customFormat="1" ht="17" customHeight="1" spans="1:27">
      <c r="A2514" s="348"/>
      <c r="B2514" s="348" t="s">
        <v>805</v>
      </c>
      <c r="C2514" s="348" t="s">
        <v>4935</v>
      </c>
      <c r="D2514" s="352" t="s">
        <v>171</v>
      </c>
      <c r="E2514" s="336">
        <v>43674</v>
      </c>
      <c r="F2514" s="336">
        <v>43673</v>
      </c>
      <c r="G2514" s="350"/>
      <c r="H2514" s="334" t="s">
        <v>6621</v>
      </c>
      <c r="I2514" s="356">
        <v>18302159930</v>
      </c>
      <c r="J2514" s="361" t="s">
        <v>6622</v>
      </c>
      <c r="K2514" s="356">
        <v>3000</v>
      </c>
      <c r="L2514" s="419"/>
      <c r="M2514" s="419"/>
      <c r="N2514" s="362">
        <f t="shared" si="90"/>
        <v>0</v>
      </c>
      <c r="O2514" s="356"/>
      <c r="P2514" s="356"/>
      <c r="Q2514" s="430" t="s">
        <v>52</v>
      </c>
      <c r="R2514" s="356"/>
      <c r="S2514" s="356"/>
      <c r="T2514" s="356"/>
      <c r="U2514" s="372"/>
      <c r="V2514" s="375">
        <v>7.29</v>
      </c>
      <c r="W2514" s="372"/>
      <c r="X2514" s="373"/>
      <c r="Y2514" s="348"/>
      <c r="Z2514" s="348"/>
      <c r="AA2514" s="348"/>
    </row>
    <row r="2515" s="331" customFormat="1" ht="17" customHeight="1" spans="1:27">
      <c r="A2515" s="348"/>
      <c r="B2515" s="348" t="s">
        <v>243</v>
      </c>
      <c r="C2515" s="348" t="s">
        <v>304</v>
      </c>
      <c r="D2515" s="352" t="s">
        <v>49</v>
      </c>
      <c r="E2515" s="336">
        <v>43774</v>
      </c>
      <c r="F2515" s="336">
        <v>43674</v>
      </c>
      <c r="G2515" s="336">
        <v>43773</v>
      </c>
      <c r="H2515" s="334" t="s">
        <v>6623</v>
      </c>
      <c r="I2515" s="356">
        <v>13801823658</v>
      </c>
      <c r="J2515" s="361" t="s">
        <v>6624</v>
      </c>
      <c r="K2515" s="356">
        <v>10000</v>
      </c>
      <c r="L2515" s="334">
        <v>12253</v>
      </c>
      <c r="M2515" s="419"/>
      <c r="N2515" s="362">
        <f t="shared" si="90"/>
        <v>12253</v>
      </c>
      <c r="O2515" s="356"/>
      <c r="P2515" s="356" t="s">
        <v>52</v>
      </c>
      <c r="Q2515" s="356"/>
      <c r="R2515" s="356"/>
      <c r="S2515" s="356"/>
      <c r="T2515" s="356"/>
      <c r="U2515" s="372"/>
      <c r="V2515" s="372"/>
      <c r="W2515" s="372"/>
      <c r="X2515" s="373"/>
      <c r="Y2515" s="348"/>
      <c r="Z2515" s="348"/>
      <c r="AA2515" s="348"/>
    </row>
    <row r="2516" s="331" customFormat="1" ht="17" customHeight="1" spans="1:27">
      <c r="A2516" s="550" t="s">
        <v>6625</v>
      </c>
      <c r="B2516" s="348" t="s">
        <v>94</v>
      </c>
      <c r="C2516" s="348" t="s">
        <v>101</v>
      </c>
      <c r="D2516" s="352" t="s">
        <v>49</v>
      </c>
      <c r="E2516" s="336">
        <v>43674</v>
      </c>
      <c r="F2516" s="336">
        <v>43674</v>
      </c>
      <c r="G2516" s="350"/>
      <c r="H2516" s="334" t="s">
        <v>6626</v>
      </c>
      <c r="I2516" s="356">
        <v>18621719527</v>
      </c>
      <c r="J2516" s="361" t="s">
        <v>6627</v>
      </c>
      <c r="K2516" s="356">
        <v>1000</v>
      </c>
      <c r="L2516" s="419"/>
      <c r="M2516" s="419"/>
      <c r="N2516" s="362">
        <f t="shared" si="90"/>
        <v>0</v>
      </c>
      <c r="O2516" s="366" t="s">
        <v>52</v>
      </c>
      <c r="P2516" s="356"/>
      <c r="Q2516" s="356"/>
      <c r="R2516" s="356"/>
      <c r="S2516" s="356"/>
      <c r="T2516" s="356"/>
      <c r="U2516" s="372"/>
      <c r="V2516" s="372"/>
      <c r="W2516" s="372"/>
      <c r="X2516" s="373"/>
      <c r="Y2516" s="348"/>
      <c r="Z2516" s="348"/>
      <c r="AA2516" s="348"/>
    </row>
    <row r="2517" s="331" customFormat="1" ht="17" customHeight="1" spans="1:27">
      <c r="A2517" s="348">
        <v>2023307</v>
      </c>
      <c r="B2517" s="348" t="s">
        <v>243</v>
      </c>
      <c r="C2517" s="348" t="s">
        <v>244</v>
      </c>
      <c r="D2517" s="352" t="s">
        <v>49</v>
      </c>
      <c r="E2517" s="336">
        <v>43674</v>
      </c>
      <c r="F2517" s="336">
        <v>43674</v>
      </c>
      <c r="G2517" s="350"/>
      <c r="H2517" s="334" t="s">
        <v>6628</v>
      </c>
      <c r="I2517" s="356">
        <v>18917855928</v>
      </c>
      <c r="J2517" s="361" t="s">
        <v>6629</v>
      </c>
      <c r="K2517" s="356">
        <v>1000</v>
      </c>
      <c r="L2517" s="419"/>
      <c r="M2517" s="419"/>
      <c r="N2517" s="362">
        <f t="shared" si="90"/>
        <v>0</v>
      </c>
      <c r="O2517" s="356"/>
      <c r="P2517" s="356"/>
      <c r="Q2517" s="356"/>
      <c r="R2517" s="356" t="s">
        <v>52</v>
      </c>
      <c r="S2517" s="356"/>
      <c r="T2517" s="356"/>
      <c r="U2517" s="372" t="s">
        <v>6630</v>
      </c>
      <c r="V2517" s="372"/>
      <c r="W2517" s="372"/>
      <c r="X2517" s="373"/>
      <c r="Y2517" s="348"/>
      <c r="Z2517" s="348"/>
      <c r="AA2517" s="348"/>
    </row>
    <row r="2518" s="331" customFormat="1" ht="17" customHeight="1" spans="1:27">
      <c r="A2518" s="348"/>
      <c r="B2518" s="348" t="s">
        <v>243</v>
      </c>
      <c r="C2518" s="348" t="s">
        <v>304</v>
      </c>
      <c r="D2518" s="352" t="s">
        <v>49</v>
      </c>
      <c r="E2518" s="336">
        <v>43796</v>
      </c>
      <c r="F2518" s="336">
        <v>43674</v>
      </c>
      <c r="G2518" s="336">
        <v>43786</v>
      </c>
      <c r="H2518" s="334" t="s">
        <v>6631</v>
      </c>
      <c r="I2518" s="356">
        <v>17717458929</v>
      </c>
      <c r="J2518" s="361" t="s">
        <v>6632</v>
      </c>
      <c r="K2518" s="356">
        <v>1000</v>
      </c>
      <c r="L2518" s="334">
        <v>23000</v>
      </c>
      <c r="M2518" s="419"/>
      <c r="N2518" s="362">
        <f t="shared" si="90"/>
        <v>23000</v>
      </c>
      <c r="O2518" s="356"/>
      <c r="P2518" s="356" t="s">
        <v>52</v>
      </c>
      <c r="Q2518" s="356"/>
      <c r="R2518" s="356"/>
      <c r="S2518" s="356"/>
      <c r="T2518" s="356"/>
      <c r="U2518" s="372"/>
      <c r="V2518" s="372"/>
      <c r="W2518" s="372"/>
      <c r="X2518" s="373"/>
      <c r="Y2518" s="348"/>
      <c r="Z2518" s="348"/>
      <c r="AA2518" s="348"/>
    </row>
    <row r="2519" s="331" customFormat="1" ht="17" customHeight="1" spans="1:27">
      <c r="A2519" s="348"/>
      <c r="B2519" s="348" t="s">
        <v>2625</v>
      </c>
      <c r="C2519" s="348" t="s">
        <v>2626</v>
      </c>
      <c r="D2519" s="334" t="s">
        <v>337</v>
      </c>
      <c r="E2519" s="336">
        <v>43764</v>
      </c>
      <c r="F2519" s="336">
        <v>43674</v>
      </c>
      <c r="G2519" s="336">
        <v>43764</v>
      </c>
      <c r="H2519" s="334" t="s">
        <v>6633</v>
      </c>
      <c r="I2519" s="356">
        <v>15902192262</v>
      </c>
      <c r="J2519" s="361" t="s">
        <v>6634</v>
      </c>
      <c r="K2519" s="356">
        <v>1000</v>
      </c>
      <c r="L2519" s="334">
        <v>8560</v>
      </c>
      <c r="M2519" s="419"/>
      <c r="N2519" s="362">
        <f t="shared" si="90"/>
        <v>8560</v>
      </c>
      <c r="O2519" s="356"/>
      <c r="P2519" s="356"/>
      <c r="Q2519" s="356" t="s">
        <v>3660</v>
      </c>
      <c r="R2519" s="356"/>
      <c r="S2519" s="356"/>
      <c r="T2519" s="356"/>
      <c r="U2519" s="372"/>
      <c r="V2519" s="372"/>
      <c r="W2519" s="372"/>
      <c r="X2519" s="373"/>
      <c r="Y2519" s="348"/>
      <c r="Z2519" s="348"/>
      <c r="AA2519" s="348"/>
    </row>
    <row r="2520" s="331" customFormat="1" ht="17" customHeight="1" spans="1:27">
      <c r="A2520" s="550" t="s">
        <v>6635</v>
      </c>
      <c r="B2520" s="348" t="s">
        <v>153</v>
      </c>
      <c r="C2520" s="348" t="s">
        <v>154</v>
      </c>
      <c r="D2520" s="352" t="s">
        <v>155</v>
      </c>
      <c r="E2520" s="336">
        <v>43674</v>
      </c>
      <c r="F2520" s="336">
        <v>43674</v>
      </c>
      <c r="G2520" s="336">
        <v>43676</v>
      </c>
      <c r="H2520" s="334" t="s">
        <v>6636</v>
      </c>
      <c r="I2520" s="356">
        <v>13701759827</v>
      </c>
      <c r="J2520" s="361" t="s">
        <v>6637</v>
      </c>
      <c r="K2520" s="356">
        <v>9000</v>
      </c>
      <c r="L2520" s="334">
        <v>9915</v>
      </c>
      <c r="M2520" s="419"/>
      <c r="N2520" s="362">
        <f t="shared" si="90"/>
        <v>9915</v>
      </c>
      <c r="O2520" s="356"/>
      <c r="P2520" s="356"/>
      <c r="Q2520" s="356"/>
      <c r="R2520" s="356"/>
      <c r="S2520" s="356"/>
      <c r="T2520" s="356"/>
      <c r="U2520" s="372"/>
      <c r="V2520" s="372"/>
      <c r="W2520" s="372"/>
      <c r="X2520" s="373"/>
      <c r="Y2520" s="348"/>
      <c r="Z2520" s="348"/>
      <c r="AA2520" s="348"/>
    </row>
    <row r="2521" s="331" customFormat="1" ht="17" customHeight="1" spans="1:27">
      <c r="A2521" s="550" t="s">
        <v>6638</v>
      </c>
      <c r="B2521" s="348" t="s">
        <v>354</v>
      </c>
      <c r="C2521" s="348" t="s">
        <v>355</v>
      </c>
      <c r="D2521" s="334" t="s">
        <v>717</v>
      </c>
      <c r="E2521" s="336">
        <v>43737</v>
      </c>
      <c r="F2521" s="336">
        <v>43673</v>
      </c>
      <c r="G2521" s="336">
        <v>43736</v>
      </c>
      <c r="H2521" s="334" t="s">
        <v>6639</v>
      </c>
      <c r="I2521" s="356">
        <v>13774212791</v>
      </c>
      <c r="J2521" s="361" t="s">
        <v>6640</v>
      </c>
      <c r="K2521" s="356">
        <v>6997</v>
      </c>
      <c r="L2521" s="334">
        <f>20055-1103</f>
        <v>18952</v>
      </c>
      <c r="M2521" s="334">
        <v>1103</v>
      </c>
      <c r="N2521" s="362">
        <f t="shared" si="90"/>
        <v>20055</v>
      </c>
      <c r="O2521" s="356" t="s">
        <v>52</v>
      </c>
      <c r="P2521" s="356"/>
      <c r="Q2521" s="356"/>
      <c r="R2521" s="356"/>
      <c r="S2521" s="356"/>
      <c r="T2521" s="356"/>
      <c r="U2521" s="372"/>
      <c r="V2521" s="372"/>
      <c r="W2521" s="372"/>
      <c r="X2521" s="373"/>
      <c r="Y2521" s="348"/>
      <c r="Z2521" s="348"/>
      <c r="AA2521" s="348"/>
    </row>
    <row r="2522" s="331" customFormat="1" ht="17" customHeight="1" spans="1:27">
      <c r="A2522" s="348">
        <v>2022595</v>
      </c>
      <c r="B2522" s="348" t="s">
        <v>73</v>
      </c>
      <c r="C2522" s="348" t="s">
        <v>74</v>
      </c>
      <c r="D2522" s="349" t="s">
        <v>132</v>
      </c>
      <c r="E2522" s="336">
        <v>43690</v>
      </c>
      <c r="F2522" s="336">
        <v>43673</v>
      </c>
      <c r="G2522" s="336">
        <v>43690</v>
      </c>
      <c r="H2522" s="334" t="s">
        <v>6641</v>
      </c>
      <c r="I2522" s="356">
        <v>13601617825</v>
      </c>
      <c r="J2522" s="361" t="s">
        <v>6642</v>
      </c>
      <c r="K2522" s="356">
        <v>1000</v>
      </c>
      <c r="L2522" s="334">
        <v>12207</v>
      </c>
      <c r="M2522" s="419"/>
      <c r="N2522" s="362">
        <f t="shared" si="90"/>
        <v>12207</v>
      </c>
      <c r="O2522" s="366" t="s">
        <v>52</v>
      </c>
      <c r="P2522" s="356"/>
      <c r="Q2522" s="356"/>
      <c r="R2522" s="356"/>
      <c r="S2522" s="356"/>
      <c r="T2522" s="356"/>
      <c r="U2522" s="372"/>
      <c r="V2522" s="372"/>
      <c r="W2522" s="372"/>
      <c r="X2522" s="373"/>
      <c r="Y2522" s="348"/>
      <c r="Z2522" s="348"/>
      <c r="AA2522" s="348"/>
    </row>
    <row r="2523" s="331" customFormat="1" ht="17" customHeight="1" spans="1:27">
      <c r="A2523" s="550" t="s">
        <v>6643</v>
      </c>
      <c r="B2523" s="348" t="s">
        <v>73</v>
      </c>
      <c r="C2523" s="348" t="s">
        <v>74</v>
      </c>
      <c r="D2523" s="349" t="s">
        <v>132</v>
      </c>
      <c r="E2523" s="336">
        <v>43674</v>
      </c>
      <c r="F2523" s="336">
        <v>43674</v>
      </c>
      <c r="G2523" s="336">
        <v>43677</v>
      </c>
      <c r="H2523" s="334" t="s">
        <v>6644</v>
      </c>
      <c r="I2523" s="356">
        <v>13621861965</v>
      </c>
      <c r="J2523" s="361" t="s">
        <v>6645</v>
      </c>
      <c r="K2523" s="356">
        <v>1000</v>
      </c>
      <c r="L2523" s="334">
        <v>20909</v>
      </c>
      <c r="M2523" s="419"/>
      <c r="N2523" s="362">
        <f t="shared" si="90"/>
        <v>20909</v>
      </c>
      <c r="O2523" s="366" t="s">
        <v>52</v>
      </c>
      <c r="P2523" s="356"/>
      <c r="Q2523" s="356"/>
      <c r="R2523" s="356"/>
      <c r="S2523" s="356"/>
      <c r="T2523" s="356"/>
      <c r="U2523" s="372"/>
      <c r="V2523" s="372"/>
      <c r="W2523" s="372"/>
      <c r="X2523" s="373"/>
      <c r="Y2523" s="348"/>
      <c r="Z2523" s="348"/>
      <c r="AA2523" s="348"/>
    </row>
    <row r="2524" s="331" customFormat="1" ht="17" customHeight="1" spans="1:27">
      <c r="A2524" s="348"/>
      <c r="B2524" s="348" t="s">
        <v>405</v>
      </c>
      <c r="C2524" s="348" t="s">
        <v>1234</v>
      </c>
      <c r="D2524" s="352" t="s">
        <v>407</v>
      </c>
      <c r="E2524" s="336">
        <v>43674</v>
      </c>
      <c r="F2524" s="336">
        <v>43674</v>
      </c>
      <c r="G2524" s="336">
        <v>43674</v>
      </c>
      <c r="H2524" s="334" t="s">
        <v>6646</v>
      </c>
      <c r="I2524" s="356">
        <v>13611802862</v>
      </c>
      <c r="J2524" s="361" t="s">
        <v>6647</v>
      </c>
      <c r="K2524" s="356">
        <v>12424</v>
      </c>
      <c r="L2524" s="334">
        <v>12424</v>
      </c>
      <c r="M2524" s="419"/>
      <c r="N2524" s="362">
        <f t="shared" si="90"/>
        <v>12424</v>
      </c>
      <c r="O2524" s="356"/>
      <c r="P2524" s="356"/>
      <c r="Q2524" s="356"/>
      <c r="R2524" s="356"/>
      <c r="S2524" s="356"/>
      <c r="T2524" s="356"/>
      <c r="U2524" s="372"/>
      <c r="V2524" s="372"/>
      <c r="W2524" s="372"/>
      <c r="X2524" s="373"/>
      <c r="Y2524" s="348"/>
      <c r="Z2524" s="348"/>
      <c r="AA2524" s="348"/>
    </row>
    <row r="2525" s="331" customFormat="1" ht="17" customHeight="1" spans="1:27">
      <c r="A2525" s="550" t="s">
        <v>6648</v>
      </c>
      <c r="B2525" s="348" t="s">
        <v>73</v>
      </c>
      <c r="C2525" s="348" t="s">
        <v>74</v>
      </c>
      <c r="D2525" s="334" t="s">
        <v>717</v>
      </c>
      <c r="E2525" s="336">
        <v>43738</v>
      </c>
      <c r="F2525" s="336">
        <v>43674</v>
      </c>
      <c r="G2525" s="336">
        <v>43738</v>
      </c>
      <c r="H2525" s="334" t="s">
        <v>6649</v>
      </c>
      <c r="I2525" s="356">
        <v>18116211512</v>
      </c>
      <c r="J2525" s="361" t="s">
        <v>6650</v>
      </c>
      <c r="K2525" s="356">
        <v>10000</v>
      </c>
      <c r="L2525" s="334">
        <v>36335</v>
      </c>
      <c r="M2525" s="419"/>
      <c r="N2525" s="362">
        <f t="shared" si="90"/>
        <v>36335</v>
      </c>
      <c r="O2525" s="366"/>
      <c r="P2525" s="356"/>
      <c r="Q2525" s="356"/>
      <c r="R2525" s="366" t="s">
        <v>52</v>
      </c>
      <c r="S2525" s="356"/>
      <c r="T2525" s="356"/>
      <c r="U2525" s="372"/>
      <c r="V2525" s="372"/>
      <c r="W2525" s="372"/>
      <c r="X2525" s="373"/>
      <c r="Y2525" s="348"/>
      <c r="Z2525" s="348"/>
      <c r="AA2525" s="348"/>
    </row>
    <row r="2526" s="331" customFormat="1" ht="17" customHeight="1" spans="1:27">
      <c r="A2526" s="348"/>
      <c r="B2526" s="348" t="s">
        <v>137</v>
      </c>
      <c r="C2526" s="334" t="s">
        <v>480</v>
      </c>
      <c r="D2526" s="349" t="s">
        <v>139</v>
      </c>
      <c r="E2526" s="336">
        <v>43674</v>
      </c>
      <c r="F2526" s="336"/>
      <c r="G2526" s="336">
        <v>43672</v>
      </c>
      <c r="H2526" s="334" t="s">
        <v>6651</v>
      </c>
      <c r="I2526" s="356">
        <v>17821427725</v>
      </c>
      <c r="J2526" s="361" t="s">
        <v>6652</v>
      </c>
      <c r="K2526" s="356"/>
      <c r="L2526" s="334">
        <v>7383</v>
      </c>
      <c r="M2526" s="419"/>
      <c r="N2526" s="362">
        <f t="shared" si="90"/>
        <v>7383</v>
      </c>
      <c r="O2526" s="356"/>
      <c r="P2526" s="356"/>
      <c r="Q2526" s="356"/>
      <c r="R2526" s="356"/>
      <c r="S2526" s="356"/>
      <c r="T2526" s="356"/>
      <c r="U2526" s="372"/>
      <c r="V2526" s="372"/>
      <c r="W2526" s="372"/>
      <c r="X2526" s="373"/>
      <c r="Y2526" s="348"/>
      <c r="Z2526" s="348"/>
      <c r="AA2526" s="348"/>
    </row>
    <row r="2527" s="331" customFormat="1" ht="17" customHeight="1" spans="1:27">
      <c r="A2527" s="348"/>
      <c r="B2527" s="348" t="s">
        <v>805</v>
      </c>
      <c r="C2527" s="334" t="s">
        <v>806</v>
      </c>
      <c r="D2527" s="349" t="s">
        <v>171</v>
      </c>
      <c r="E2527" s="336">
        <v>43674</v>
      </c>
      <c r="F2527" s="336"/>
      <c r="G2527" s="336">
        <v>43673</v>
      </c>
      <c r="H2527" s="334" t="s">
        <v>6653</v>
      </c>
      <c r="I2527" s="356">
        <v>18621691690</v>
      </c>
      <c r="J2527" s="361" t="s">
        <v>6654</v>
      </c>
      <c r="K2527" s="356"/>
      <c r="L2527" s="334">
        <v>14344</v>
      </c>
      <c r="M2527" s="419"/>
      <c r="N2527" s="362">
        <f t="shared" si="90"/>
        <v>14344</v>
      </c>
      <c r="O2527" s="356"/>
      <c r="P2527" s="356"/>
      <c r="Q2527" s="356"/>
      <c r="R2527" s="356"/>
      <c r="S2527" s="356"/>
      <c r="T2527" s="356"/>
      <c r="U2527" s="372"/>
      <c r="V2527" s="372"/>
      <c r="W2527" s="372"/>
      <c r="X2527" s="373"/>
      <c r="Y2527" s="348"/>
      <c r="Z2527" s="348"/>
      <c r="AA2527" s="348"/>
    </row>
    <row r="2528" s="331" customFormat="1" ht="17" customHeight="1" spans="1:27">
      <c r="A2528" s="348"/>
      <c r="B2528" s="348" t="s">
        <v>169</v>
      </c>
      <c r="C2528" s="348" t="s">
        <v>542</v>
      </c>
      <c r="D2528" s="349" t="s">
        <v>171</v>
      </c>
      <c r="E2528" s="336">
        <v>43674</v>
      </c>
      <c r="F2528" s="336" t="s">
        <v>800</v>
      </c>
      <c r="G2528" s="336">
        <v>43674</v>
      </c>
      <c r="H2528" s="334" t="s">
        <v>6655</v>
      </c>
      <c r="I2528" s="356">
        <v>18621163393</v>
      </c>
      <c r="J2528" s="361" t="s">
        <v>6656</v>
      </c>
      <c r="K2528" s="356"/>
      <c r="L2528" s="419"/>
      <c r="M2528" s="334">
        <v>247</v>
      </c>
      <c r="N2528" s="362">
        <f t="shared" si="90"/>
        <v>247</v>
      </c>
      <c r="O2528" s="356"/>
      <c r="P2528" s="356"/>
      <c r="Q2528" s="356"/>
      <c r="R2528" s="356"/>
      <c r="S2528" s="356"/>
      <c r="T2528" s="356"/>
      <c r="U2528" s="372"/>
      <c r="V2528" s="372"/>
      <c r="W2528" s="372"/>
      <c r="X2528" s="373"/>
      <c r="Y2528" s="348"/>
      <c r="Z2528" s="348"/>
      <c r="AA2528" s="348"/>
    </row>
    <row r="2529" s="331" customFormat="1" ht="17" customHeight="1" spans="1:27">
      <c r="A2529" s="348"/>
      <c r="B2529" s="348" t="s">
        <v>137</v>
      </c>
      <c r="C2529" s="348" t="s">
        <v>861</v>
      </c>
      <c r="D2529" s="349" t="s">
        <v>427</v>
      </c>
      <c r="E2529" s="336">
        <v>43674</v>
      </c>
      <c r="F2529" s="336" t="s">
        <v>800</v>
      </c>
      <c r="G2529" s="336">
        <v>43673</v>
      </c>
      <c r="H2529" s="334" t="s">
        <v>6657</v>
      </c>
      <c r="I2529" s="356">
        <v>13757516587</v>
      </c>
      <c r="J2529" s="361" t="s">
        <v>6658</v>
      </c>
      <c r="K2529" s="356"/>
      <c r="L2529" s="419"/>
      <c r="M2529" s="334">
        <v>-10000</v>
      </c>
      <c r="N2529" s="362">
        <f t="shared" si="90"/>
        <v>-10000</v>
      </c>
      <c r="O2529" s="356"/>
      <c r="P2529" s="356"/>
      <c r="Q2529" s="356"/>
      <c r="R2529" s="356"/>
      <c r="S2529" s="356"/>
      <c r="T2529" s="356"/>
      <c r="U2529" s="372"/>
      <c r="V2529" s="372"/>
      <c r="W2529" s="372"/>
      <c r="X2529" s="373"/>
      <c r="Y2529" s="348"/>
      <c r="Z2529" s="348"/>
      <c r="AA2529" s="348"/>
    </row>
    <row r="2530" s="331" customFormat="1" ht="17" customHeight="1" spans="1:27">
      <c r="A2530" s="348"/>
      <c r="B2530" s="348" t="s">
        <v>137</v>
      </c>
      <c r="C2530" s="348" t="s">
        <v>861</v>
      </c>
      <c r="D2530" s="349" t="s">
        <v>171</v>
      </c>
      <c r="E2530" s="336">
        <v>43674</v>
      </c>
      <c r="F2530" s="336" t="s">
        <v>800</v>
      </c>
      <c r="G2530" s="336">
        <v>43673</v>
      </c>
      <c r="H2530" s="334" t="s">
        <v>6657</v>
      </c>
      <c r="I2530" s="356">
        <v>13757516587</v>
      </c>
      <c r="J2530" s="361" t="s">
        <v>6658</v>
      </c>
      <c r="K2530" s="356"/>
      <c r="L2530" s="419"/>
      <c r="M2530" s="334">
        <v>14178</v>
      </c>
      <c r="N2530" s="362">
        <f t="shared" si="90"/>
        <v>14178</v>
      </c>
      <c r="O2530" s="356"/>
      <c r="P2530" s="356"/>
      <c r="Q2530" s="356"/>
      <c r="R2530" s="356"/>
      <c r="S2530" s="356"/>
      <c r="T2530" s="356"/>
      <c r="U2530" s="372"/>
      <c r="V2530" s="372"/>
      <c r="W2530" s="372"/>
      <c r="X2530" s="373"/>
      <c r="Y2530" s="348"/>
      <c r="Z2530" s="348"/>
      <c r="AA2530" s="348"/>
    </row>
    <row r="2531" s="331" customFormat="1" ht="17" customHeight="1" spans="1:27">
      <c r="A2531" s="348"/>
      <c r="B2531" s="334" t="s">
        <v>73</v>
      </c>
      <c r="C2531" s="334" t="s">
        <v>74</v>
      </c>
      <c r="D2531" s="352" t="s">
        <v>143</v>
      </c>
      <c r="E2531" s="336">
        <v>43674</v>
      </c>
      <c r="F2531" s="336" t="s">
        <v>800</v>
      </c>
      <c r="G2531" s="336">
        <v>43674</v>
      </c>
      <c r="H2531" s="351" t="s">
        <v>6659</v>
      </c>
      <c r="I2531" s="337">
        <v>13621823329</v>
      </c>
      <c r="J2531" s="367" t="s">
        <v>6660</v>
      </c>
      <c r="K2531" s="356"/>
      <c r="L2531" s="419"/>
      <c r="M2531" s="334">
        <v>247</v>
      </c>
      <c r="N2531" s="362">
        <f t="shared" si="90"/>
        <v>247</v>
      </c>
      <c r="O2531" s="356"/>
      <c r="P2531" s="356"/>
      <c r="Q2531" s="356"/>
      <c r="R2531" s="356"/>
      <c r="S2531" s="356"/>
      <c r="T2531" s="356"/>
      <c r="U2531" s="372"/>
      <c r="V2531" s="372"/>
      <c r="W2531" s="372"/>
      <c r="X2531" s="373"/>
      <c r="Y2531" s="348"/>
      <c r="Z2531" s="348"/>
      <c r="AA2531" s="348"/>
    </row>
    <row r="2532" s="331" customFormat="1" ht="17" customHeight="1" spans="1:27">
      <c r="A2532" s="348"/>
      <c r="B2532" s="348" t="s">
        <v>169</v>
      </c>
      <c r="C2532" s="334" t="s">
        <v>542</v>
      </c>
      <c r="D2532" s="349" t="s">
        <v>171</v>
      </c>
      <c r="E2532" s="336">
        <v>43674</v>
      </c>
      <c r="F2532" s="336" t="s">
        <v>800</v>
      </c>
      <c r="G2532" s="336">
        <v>43674</v>
      </c>
      <c r="H2532" s="334" t="s">
        <v>6661</v>
      </c>
      <c r="I2532" s="356">
        <v>13871701877</v>
      </c>
      <c r="J2532" s="361" t="s">
        <v>6662</v>
      </c>
      <c r="K2532" s="356"/>
      <c r="L2532" s="419"/>
      <c r="M2532" s="419">
        <f>1975-616</f>
        <v>1359</v>
      </c>
      <c r="N2532" s="362">
        <f t="shared" si="90"/>
        <v>1359</v>
      </c>
      <c r="O2532" s="356"/>
      <c r="P2532" s="356"/>
      <c r="Q2532" s="356"/>
      <c r="R2532" s="356"/>
      <c r="S2532" s="356"/>
      <c r="T2532" s="356"/>
      <c r="U2532" s="372"/>
      <c r="V2532" s="372"/>
      <c r="W2532" s="372"/>
      <c r="X2532" s="373"/>
      <c r="Y2532" s="348"/>
      <c r="Z2532" s="348"/>
      <c r="AA2532" s="348"/>
    </row>
    <row r="2533" s="331" customFormat="1" ht="17" customHeight="1" spans="1:27">
      <c r="A2533" s="348"/>
      <c r="B2533" s="348" t="s">
        <v>87</v>
      </c>
      <c r="C2533" s="348" t="s">
        <v>466</v>
      </c>
      <c r="D2533" s="352" t="s">
        <v>143</v>
      </c>
      <c r="E2533" s="336">
        <v>43674</v>
      </c>
      <c r="F2533" s="336" t="s">
        <v>800</v>
      </c>
      <c r="G2533" s="336">
        <v>43674</v>
      </c>
      <c r="H2533" s="428" t="s">
        <v>6663</v>
      </c>
      <c r="I2533" s="356">
        <v>18964685681</v>
      </c>
      <c r="J2533" s="361" t="s">
        <v>6664</v>
      </c>
      <c r="K2533" s="356"/>
      <c r="L2533" s="419"/>
      <c r="M2533" s="334">
        <v>743</v>
      </c>
      <c r="N2533" s="362">
        <f t="shared" si="90"/>
        <v>743</v>
      </c>
      <c r="O2533" s="356"/>
      <c r="P2533" s="356"/>
      <c r="Q2533" s="356"/>
      <c r="R2533" s="356"/>
      <c r="S2533" s="356"/>
      <c r="T2533" s="356"/>
      <c r="U2533" s="372"/>
      <c r="V2533" s="372"/>
      <c r="W2533" s="372"/>
      <c r="X2533" s="373"/>
      <c r="Y2533" s="348"/>
      <c r="Z2533" s="348"/>
      <c r="AA2533" s="348"/>
    </row>
    <row r="2534" s="331" customFormat="1" ht="17" customHeight="1" spans="1:27">
      <c r="A2534" s="348"/>
      <c r="B2534" s="348" t="s">
        <v>315</v>
      </c>
      <c r="C2534" s="334" t="s">
        <v>161</v>
      </c>
      <c r="D2534" s="349" t="s">
        <v>162</v>
      </c>
      <c r="E2534" s="336">
        <v>43674</v>
      </c>
      <c r="F2534" s="336" t="s">
        <v>800</v>
      </c>
      <c r="G2534" s="336">
        <v>43674</v>
      </c>
      <c r="H2534" s="334" t="s">
        <v>5475</v>
      </c>
      <c r="I2534" s="356">
        <v>13120600428</v>
      </c>
      <c r="J2534" s="361" t="s">
        <v>5476</v>
      </c>
      <c r="K2534" s="356"/>
      <c r="L2534" s="419"/>
      <c r="M2534" s="334">
        <v>1551</v>
      </c>
      <c r="N2534" s="362">
        <f t="shared" si="90"/>
        <v>1551</v>
      </c>
      <c r="O2534" s="356"/>
      <c r="P2534" s="356"/>
      <c r="Q2534" s="356"/>
      <c r="R2534" s="356"/>
      <c r="S2534" s="356"/>
      <c r="T2534" s="356"/>
      <c r="U2534" s="372"/>
      <c r="V2534" s="372"/>
      <c r="W2534" s="372"/>
      <c r="X2534" s="373"/>
      <c r="Y2534" s="348"/>
      <c r="Z2534" s="348"/>
      <c r="AA2534" s="348"/>
    </row>
    <row r="2535" s="331" customFormat="1" ht="17" customHeight="1" spans="1:27">
      <c r="A2535" s="348"/>
      <c r="B2535" s="348" t="s">
        <v>58</v>
      </c>
      <c r="C2535" s="348" t="s">
        <v>109</v>
      </c>
      <c r="D2535" s="349" t="s">
        <v>110</v>
      </c>
      <c r="E2535" s="336">
        <v>43674</v>
      </c>
      <c r="F2535" s="336" t="s">
        <v>800</v>
      </c>
      <c r="G2535" s="336">
        <v>43674</v>
      </c>
      <c r="H2535" s="334" t="s">
        <v>3297</v>
      </c>
      <c r="I2535" s="337">
        <v>15692136021</v>
      </c>
      <c r="J2535" s="367" t="s">
        <v>6665</v>
      </c>
      <c r="K2535" s="356"/>
      <c r="L2535" s="419"/>
      <c r="M2535" s="334">
        <v>3703</v>
      </c>
      <c r="N2535" s="362">
        <f t="shared" si="90"/>
        <v>3703</v>
      </c>
      <c r="O2535" s="356"/>
      <c r="P2535" s="356"/>
      <c r="Q2535" s="356"/>
      <c r="R2535" s="356"/>
      <c r="S2535" s="356"/>
      <c r="T2535" s="356"/>
      <c r="U2535" s="372"/>
      <c r="V2535" s="372"/>
      <c r="W2535" s="372"/>
      <c r="X2535" s="373"/>
      <c r="Y2535" s="348"/>
      <c r="Z2535" s="348"/>
      <c r="AA2535" s="348"/>
    </row>
    <row r="2536" s="331" customFormat="1" ht="17" customHeight="1" spans="1:27">
      <c r="A2536" s="348"/>
      <c r="B2536" s="334" t="s">
        <v>335</v>
      </c>
      <c r="C2536" s="334" t="s">
        <v>615</v>
      </c>
      <c r="D2536" s="349" t="s">
        <v>337</v>
      </c>
      <c r="E2536" s="336">
        <v>43674</v>
      </c>
      <c r="F2536" s="336" t="s">
        <v>800</v>
      </c>
      <c r="G2536" s="336">
        <v>43674</v>
      </c>
      <c r="H2536" s="334" t="s">
        <v>5409</v>
      </c>
      <c r="I2536" s="337">
        <v>18930877372</v>
      </c>
      <c r="J2536" s="367" t="s">
        <v>5410</v>
      </c>
      <c r="K2536" s="356"/>
      <c r="L2536" s="419"/>
      <c r="M2536" s="334">
        <v>2077</v>
      </c>
      <c r="N2536" s="362">
        <f t="shared" si="90"/>
        <v>2077</v>
      </c>
      <c r="O2536" s="356"/>
      <c r="P2536" s="356"/>
      <c r="Q2536" s="356"/>
      <c r="R2536" s="356"/>
      <c r="S2536" s="356"/>
      <c r="T2536" s="356"/>
      <c r="U2536" s="372"/>
      <c r="V2536" s="372"/>
      <c r="W2536" s="372"/>
      <c r="X2536" s="373"/>
      <c r="Y2536" s="348"/>
      <c r="Z2536" s="348"/>
      <c r="AA2536" s="348"/>
    </row>
    <row r="2537" s="331" customFormat="1" ht="17" customHeight="1" spans="1:27">
      <c r="A2537" s="348"/>
      <c r="B2537" s="348" t="s">
        <v>137</v>
      </c>
      <c r="C2537" s="334" t="s">
        <v>406</v>
      </c>
      <c r="D2537" s="349" t="s">
        <v>139</v>
      </c>
      <c r="E2537" s="336">
        <v>43674</v>
      </c>
      <c r="F2537" s="336" t="s">
        <v>800</v>
      </c>
      <c r="G2537" s="336">
        <v>43673</v>
      </c>
      <c r="H2537" s="334" t="s">
        <v>6666</v>
      </c>
      <c r="I2537" s="356">
        <v>13482375826</v>
      </c>
      <c r="J2537" s="361" t="s">
        <v>6667</v>
      </c>
      <c r="K2537" s="356"/>
      <c r="L2537" s="419"/>
      <c r="M2537" s="334">
        <v>498</v>
      </c>
      <c r="N2537" s="362">
        <f t="shared" si="90"/>
        <v>498</v>
      </c>
      <c r="O2537" s="356"/>
      <c r="P2537" s="356"/>
      <c r="Q2537" s="356"/>
      <c r="R2537" s="356"/>
      <c r="S2537" s="356"/>
      <c r="T2537" s="356"/>
      <c r="U2537" s="372"/>
      <c r="V2537" s="372"/>
      <c r="W2537" s="372"/>
      <c r="X2537" s="373"/>
      <c r="Y2537" s="348"/>
      <c r="Z2537" s="348"/>
      <c r="AA2537" s="348"/>
    </row>
    <row r="2538" s="331" customFormat="1" ht="17" customHeight="1" spans="1:27">
      <c r="A2538" s="348"/>
      <c r="B2538" s="348" t="s">
        <v>137</v>
      </c>
      <c r="C2538" s="334" t="s">
        <v>406</v>
      </c>
      <c r="D2538" s="349" t="s">
        <v>139</v>
      </c>
      <c r="E2538" s="336">
        <v>43674</v>
      </c>
      <c r="F2538" s="336" t="s">
        <v>800</v>
      </c>
      <c r="G2538" s="336">
        <v>43671</v>
      </c>
      <c r="H2538" s="334" t="s">
        <v>6668</v>
      </c>
      <c r="I2538" s="356">
        <v>18021006350</v>
      </c>
      <c r="J2538" s="361" t="s">
        <v>6669</v>
      </c>
      <c r="K2538" s="356"/>
      <c r="L2538" s="419"/>
      <c r="M2538" s="334">
        <v>2699</v>
      </c>
      <c r="N2538" s="362">
        <f t="shared" si="90"/>
        <v>2699</v>
      </c>
      <c r="O2538" s="356"/>
      <c r="P2538" s="356"/>
      <c r="Q2538" s="356"/>
      <c r="R2538" s="356"/>
      <c r="S2538" s="356"/>
      <c r="T2538" s="356"/>
      <c r="U2538" s="372"/>
      <c r="V2538" s="372"/>
      <c r="W2538" s="372"/>
      <c r="X2538" s="373"/>
      <c r="Y2538" s="348"/>
      <c r="Z2538" s="348"/>
      <c r="AA2538" s="348"/>
    </row>
    <row r="2539" s="331" customFormat="1" ht="17" customHeight="1" spans="1:27">
      <c r="A2539" s="348"/>
      <c r="B2539" s="348" t="s">
        <v>58</v>
      </c>
      <c r="C2539" s="334" t="s">
        <v>59</v>
      </c>
      <c r="D2539" s="349" t="s">
        <v>343</v>
      </c>
      <c r="E2539" s="336">
        <v>43674</v>
      </c>
      <c r="F2539" s="336" t="s">
        <v>800</v>
      </c>
      <c r="G2539" s="336">
        <v>43672</v>
      </c>
      <c r="H2539" s="334" t="s">
        <v>6670</v>
      </c>
      <c r="I2539" s="356">
        <v>13636471825</v>
      </c>
      <c r="J2539" s="361" t="s">
        <v>6671</v>
      </c>
      <c r="K2539" s="356"/>
      <c r="L2539" s="419"/>
      <c r="M2539" s="334">
        <v>2354</v>
      </c>
      <c r="N2539" s="362">
        <f t="shared" si="90"/>
        <v>2354</v>
      </c>
      <c r="O2539" s="356"/>
      <c r="P2539" s="356"/>
      <c r="Q2539" s="356"/>
      <c r="R2539" s="356"/>
      <c r="S2539" s="356"/>
      <c r="T2539" s="356"/>
      <c r="U2539" s="372"/>
      <c r="V2539" s="372"/>
      <c r="W2539" s="372"/>
      <c r="X2539" s="373"/>
      <c r="Y2539" s="348"/>
      <c r="Z2539" s="348"/>
      <c r="AA2539" s="348"/>
    </row>
    <row r="2540" s="331" customFormat="1" ht="17" customHeight="1" spans="1:27">
      <c r="A2540" s="348"/>
      <c r="B2540" s="348" t="s">
        <v>73</v>
      </c>
      <c r="C2540" s="334" t="s">
        <v>178</v>
      </c>
      <c r="D2540" s="349" t="s">
        <v>143</v>
      </c>
      <c r="E2540" s="336">
        <v>43674</v>
      </c>
      <c r="F2540" s="336" t="s">
        <v>800</v>
      </c>
      <c r="G2540" s="336">
        <v>43674</v>
      </c>
      <c r="H2540" s="334" t="s">
        <v>6672</v>
      </c>
      <c r="I2540" s="356">
        <v>13524686896</v>
      </c>
      <c r="J2540" s="361" t="s">
        <v>6673</v>
      </c>
      <c r="K2540" s="356"/>
      <c r="L2540" s="419"/>
      <c r="M2540" s="334">
        <v>1017</v>
      </c>
      <c r="N2540" s="362">
        <f t="shared" si="90"/>
        <v>1017</v>
      </c>
      <c r="O2540" s="356"/>
      <c r="P2540" s="356"/>
      <c r="Q2540" s="356"/>
      <c r="R2540" s="356"/>
      <c r="S2540" s="356"/>
      <c r="T2540" s="356"/>
      <c r="U2540" s="372"/>
      <c r="V2540" s="372"/>
      <c r="W2540" s="372"/>
      <c r="X2540" s="373"/>
      <c r="Y2540" s="348"/>
      <c r="Z2540" s="348"/>
      <c r="AA2540" s="348"/>
    </row>
    <row r="2541" s="331" customFormat="1" ht="17" customHeight="1" spans="1:27">
      <c r="A2541" s="348"/>
      <c r="B2541" s="348" t="s">
        <v>47</v>
      </c>
      <c r="C2541" s="334" t="s">
        <v>80</v>
      </c>
      <c r="D2541" s="352" t="s">
        <v>49</v>
      </c>
      <c r="E2541" s="336">
        <v>43674</v>
      </c>
      <c r="F2541" s="336" t="s">
        <v>800</v>
      </c>
      <c r="G2541" s="336">
        <v>43673</v>
      </c>
      <c r="H2541" s="334" t="s">
        <v>6674</v>
      </c>
      <c r="I2541" s="356">
        <v>13601919158</v>
      </c>
      <c r="J2541" s="361" t="s">
        <v>6675</v>
      </c>
      <c r="K2541" s="356"/>
      <c r="L2541" s="419"/>
      <c r="M2541" s="334">
        <v>0</v>
      </c>
      <c r="N2541" s="362">
        <f t="shared" si="90"/>
        <v>0</v>
      </c>
      <c r="O2541" s="356"/>
      <c r="P2541" s="356"/>
      <c r="Q2541" s="356"/>
      <c r="R2541" s="356"/>
      <c r="S2541" s="356"/>
      <c r="T2541" s="356"/>
      <c r="U2541" s="372"/>
      <c r="V2541" s="372"/>
      <c r="W2541" s="372"/>
      <c r="X2541" s="373"/>
      <c r="Y2541" s="348"/>
      <c r="Z2541" s="348"/>
      <c r="AA2541" s="348"/>
    </row>
    <row r="2542" s="331" customFormat="1" ht="17" customHeight="1" spans="1:27">
      <c r="A2542" s="550" t="s">
        <v>6676</v>
      </c>
      <c r="B2542" s="348" t="s">
        <v>66</v>
      </c>
      <c r="C2542" s="348" t="s">
        <v>1749</v>
      </c>
      <c r="D2542" s="349" t="s">
        <v>68</v>
      </c>
      <c r="E2542" s="336">
        <v>43675</v>
      </c>
      <c r="F2542" s="336">
        <v>43648</v>
      </c>
      <c r="G2542" s="350">
        <v>43674</v>
      </c>
      <c r="H2542" s="334" t="s">
        <v>6677</v>
      </c>
      <c r="I2542" s="356">
        <v>18801763411</v>
      </c>
      <c r="J2542" s="361" t="s">
        <v>6678</v>
      </c>
      <c r="K2542" s="356">
        <v>500</v>
      </c>
      <c r="L2542" s="334">
        <v>23924</v>
      </c>
      <c r="M2542" s="334">
        <v>1764</v>
      </c>
      <c r="N2542" s="362">
        <f t="shared" si="90"/>
        <v>25688</v>
      </c>
      <c r="O2542" s="356"/>
      <c r="P2542" s="356"/>
      <c r="Q2542" s="356"/>
      <c r="R2542" s="356"/>
      <c r="S2542" s="356"/>
      <c r="T2542" s="356"/>
      <c r="U2542" s="372"/>
      <c r="V2542" s="372"/>
      <c r="W2542" s="372"/>
      <c r="X2542" s="373"/>
      <c r="Y2542" s="348"/>
      <c r="Z2542" s="348"/>
      <c r="AA2542" s="348"/>
    </row>
    <row r="2543" s="331" customFormat="1" ht="17" customHeight="1" spans="1:27">
      <c r="A2543" s="348">
        <v>2022771</v>
      </c>
      <c r="B2543" s="348" t="s">
        <v>243</v>
      </c>
      <c r="C2543" s="348" t="s">
        <v>304</v>
      </c>
      <c r="D2543" s="352" t="s">
        <v>49</v>
      </c>
      <c r="E2543" s="336">
        <v>43675</v>
      </c>
      <c r="F2543" s="336">
        <v>43652</v>
      </c>
      <c r="G2543" s="350" t="s">
        <v>1140</v>
      </c>
      <c r="H2543" s="334" t="s">
        <v>6679</v>
      </c>
      <c r="I2543" s="356">
        <v>13818002457</v>
      </c>
      <c r="J2543" s="361" t="s">
        <v>6680</v>
      </c>
      <c r="K2543" s="356">
        <v>5000</v>
      </c>
      <c r="L2543" s="419"/>
      <c r="M2543" s="419"/>
      <c r="N2543" s="362">
        <f t="shared" si="90"/>
        <v>0</v>
      </c>
      <c r="O2543" s="356" t="s">
        <v>52</v>
      </c>
      <c r="P2543" s="356"/>
      <c r="Q2543" s="356"/>
      <c r="R2543" s="356"/>
      <c r="S2543" s="356"/>
      <c r="T2543" s="356"/>
      <c r="U2543" s="372"/>
      <c r="V2543" s="372"/>
      <c r="W2543" s="372"/>
      <c r="X2543" s="373"/>
      <c r="Y2543" s="348"/>
      <c r="Z2543" s="348"/>
      <c r="AA2543" s="348"/>
    </row>
    <row r="2544" s="331" customFormat="1" ht="17" customHeight="1" spans="1:27">
      <c r="A2544" s="348">
        <v>2022710</v>
      </c>
      <c r="B2544" s="348" t="s">
        <v>243</v>
      </c>
      <c r="C2544" s="348" t="s">
        <v>309</v>
      </c>
      <c r="D2544" s="334" t="s">
        <v>1422</v>
      </c>
      <c r="E2544" s="336">
        <v>43715</v>
      </c>
      <c r="F2544" s="336">
        <v>43653</v>
      </c>
      <c r="G2544" s="336">
        <v>43715</v>
      </c>
      <c r="H2544" s="334" t="s">
        <v>6681</v>
      </c>
      <c r="I2544" s="356">
        <v>13817296175</v>
      </c>
      <c r="J2544" s="361" t="s">
        <v>6682</v>
      </c>
      <c r="K2544" s="356">
        <v>5000</v>
      </c>
      <c r="L2544" s="334">
        <v>12085</v>
      </c>
      <c r="M2544" s="334">
        <v>1472</v>
      </c>
      <c r="N2544" s="362">
        <f t="shared" si="90"/>
        <v>13557</v>
      </c>
      <c r="O2544" s="356"/>
      <c r="P2544" s="356"/>
      <c r="Q2544" s="356" t="s">
        <v>52</v>
      </c>
      <c r="R2544" s="356"/>
      <c r="S2544" s="356"/>
      <c r="T2544" s="356"/>
      <c r="U2544" s="372"/>
      <c r="V2544" s="372"/>
      <c r="W2544" s="372"/>
      <c r="X2544" s="373"/>
      <c r="Y2544" s="348"/>
      <c r="Z2544" s="348"/>
      <c r="AA2544" s="348"/>
    </row>
    <row r="2545" s="331" customFormat="1" ht="17" customHeight="1" spans="1:27">
      <c r="A2545" s="348">
        <v>2022252</v>
      </c>
      <c r="B2545" s="348" t="s">
        <v>243</v>
      </c>
      <c r="C2545" s="348" t="s">
        <v>309</v>
      </c>
      <c r="D2545" s="352" t="s">
        <v>49</v>
      </c>
      <c r="E2545" s="336">
        <v>43675</v>
      </c>
      <c r="F2545" s="336">
        <v>43659</v>
      </c>
      <c r="G2545" s="350">
        <v>43660</v>
      </c>
      <c r="H2545" s="334" t="s">
        <v>5334</v>
      </c>
      <c r="I2545" s="356">
        <v>18989022282</v>
      </c>
      <c r="J2545" s="361" t="s">
        <v>5335</v>
      </c>
      <c r="K2545" s="356">
        <v>2699</v>
      </c>
      <c r="L2545" s="419"/>
      <c r="M2545" s="419"/>
      <c r="N2545" s="362">
        <f t="shared" si="90"/>
        <v>0</v>
      </c>
      <c r="O2545" s="356"/>
      <c r="P2545" s="356"/>
      <c r="Q2545" s="356"/>
      <c r="R2545" s="356"/>
      <c r="S2545" s="356"/>
      <c r="T2545" s="356"/>
      <c r="U2545" s="372"/>
      <c r="V2545" s="372"/>
      <c r="W2545" s="372"/>
      <c r="X2545" s="373"/>
      <c r="Y2545" s="348"/>
      <c r="Z2545" s="348"/>
      <c r="AA2545" s="348"/>
    </row>
    <row r="2546" s="331" customFormat="1" ht="17" customHeight="1" spans="1:27">
      <c r="A2546" s="348">
        <v>2066618</v>
      </c>
      <c r="B2546" s="348" t="s">
        <v>335</v>
      </c>
      <c r="C2546" s="348" t="s">
        <v>615</v>
      </c>
      <c r="D2546" s="352" t="s">
        <v>337</v>
      </c>
      <c r="E2546" s="336">
        <v>43784</v>
      </c>
      <c r="F2546" s="336">
        <v>43660</v>
      </c>
      <c r="G2546" s="336">
        <v>43782</v>
      </c>
      <c r="H2546" s="334" t="s">
        <v>6683</v>
      </c>
      <c r="I2546" s="356">
        <v>13774358570</v>
      </c>
      <c r="J2546" s="361" t="s">
        <v>6684</v>
      </c>
      <c r="K2546" s="356">
        <v>2430</v>
      </c>
      <c r="L2546" s="334">
        <v>18042</v>
      </c>
      <c r="M2546" s="419"/>
      <c r="N2546" s="362">
        <f t="shared" ref="N2546:N2572" si="91">L2546+M2546</f>
        <v>18042</v>
      </c>
      <c r="O2546" s="356"/>
      <c r="P2546" s="356"/>
      <c r="Q2546" s="356"/>
      <c r="R2546" s="356"/>
      <c r="S2546" s="356"/>
      <c r="T2546" s="356"/>
      <c r="U2546" s="372"/>
      <c r="V2546" s="372"/>
      <c r="W2546" s="372"/>
      <c r="X2546" s="373"/>
      <c r="Y2546" s="348"/>
      <c r="Z2546" s="348"/>
      <c r="AA2546" s="348"/>
    </row>
    <row r="2547" s="331" customFormat="1" ht="17" customHeight="1" spans="1:27">
      <c r="A2547" s="550" t="s">
        <v>6685</v>
      </c>
      <c r="B2547" s="348" t="s">
        <v>726</v>
      </c>
      <c r="C2547" s="348" t="s">
        <v>727</v>
      </c>
      <c r="D2547" s="349" t="s">
        <v>356</v>
      </c>
      <c r="E2547" s="336">
        <v>43675</v>
      </c>
      <c r="F2547" s="336">
        <v>43664</v>
      </c>
      <c r="G2547" s="350">
        <v>43675</v>
      </c>
      <c r="H2547" s="334" t="s">
        <v>1470</v>
      </c>
      <c r="I2547" s="356">
        <v>13681918881</v>
      </c>
      <c r="J2547" s="361" t="s">
        <v>6686</v>
      </c>
      <c r="K2547" s="356">
        <v>500</v>
      </c>
      <c r="L2547" s="334">
        <v>12973</v>
      </c>
      <c r="M2547" s="419"/>
      <c r="N2547" s="362">
        <f t="shared" si="91"/>
        <v>12973</v>
      </c>
      <c r="O2547" s="356"/>
      <c r="P2547" s="356"/>
      <c r="Q2547" s="356"/>
      <c r="R2547" s="356"/>
      <c r="S2547" s="356"/>
      <c r="T2547" s="356"/>
      <c r="U2547" s="372"/>
      <c r="V2547" s="372"/>
      <c r="W2547" s="372"/>
      <c r="X2547" s="373"/>
      <c r="Y2547" s="348"/>
      <c r="Z2547" s="348"/>
      <c r="AA2547" s="348"/>
    </row>
    <row r="2548" s="331" customFormat="1" ht="17" customHeight="1" spans="1:27">
      <c r="A2548" s="348">
        <v>2023306</v>
      </c>
      <c r="B2548" s="348" t="s">
        <v>243</v>
      </c>
      <c r="C2548" s="348" t="s">
        <v>309</v>
      </c>
      <c r="D2548" s="352" t="s">
        <v>49</v>
      </c>
      <c r="E2548" s="336">
        <v>43675</v>
      </c>
      <c r="F2548" s="336">
        <v>43666</v>
      </c>
      <c r="G2548" s="350"/>
      <c r="H2548" s="334" t="s">
        <v>6687</v>
      </c>
      <c r="I2548" s="356">
        <v>18016265838</v>
      </c>
      <c r="J2548" s="361" t="s">
        <v>6688</v>
      </c>
      <c r="K2548" s="356">
        <v>1000</v>
      </c>
      <c r="L2548" s="419"/>
      <c r="M2548" s="419"/>
      <c r="N2548" s="362">
        <f t="shared" si="91"/>
        <v>0</v>
      </c>
      <c r="O2548" s="356"/>
      <c r="P2548" s="356"/>
      <c r="Q2548" s="356"/>
      <c r="R2548" s="356"/>
      <c r="S2548" s="356"/>
      <c r="T2548" s="356"/>
      <c r="U2548" s="372" t="s">
        <v>6689</v>
      </c>
      <c r="V2548" s="372"/>
      <c r="W2548" s="372"/>
      <c r="X2548" s="373"/>
      <c r="Y2548" s="348"/>
      <c r="Z2548" s="348"/>
      <c r="AA2548" s="348"/>
    </row>
    <row r="2549" s="331" customFormat="1" ht="17" customHeight="1" spans="1:27">
      <c r="A2549" s="348"/>
      <c r="B2549" s="348" t="s">
        <v>66</v>
      </c>
      <c r="C2549" s="348" t="s">
        <v>1749</v>
      </c>
      <c r="D2549" s="349" t="s">
        <v>68</v>
      </c>
      <c r="E2549" s="336">
        <v>43675</v>
      </c>
      <c r="F2549" s="336">
        <v>43667</v>
      </c>
      <c r="G2549" s="350">
        <v>43674</v>
      </c>
      <c r="H2549" s="334" t="s">
        <v>6690</v>
      </c>
      <c r="I2549" s="356">
        <v>18721468139</v>
      </c>
      <c r="J2549" s="361" t="s">
        <v>6691</v>
      </c>
      <c r="K2549" s="356">
        <v>500</v>
      </c>
      <c r="L2549" s="334">
        <v>8940</v>
      </c>
      <c r="M2549" s="334">
        <v>1840</v>
      </c>
      <c r="N2549" s="362">
        <f t="shared" si="91"/>
        <v>10780</v>
      </c>
      <c r="O2549" s="356"/>
      <c r="P2549" s="356"/>
      <c r="Q2549" s="356"/>
      <c r="R2549" s="356"/>
      <c r="S2549" s="356"/>
      <c r="T2549" s="356"/>
      <c r="U2549" s="372"/>
      <c r="V2549" s="372"/>
      <c r="W2549" s="372"/>
      <c r="X2549" s="373"/>
      <c r="Y2549" s="348"/>
      <c r="Z2549" s="348"/>
      <c r="AA2549" s="348"/>
    </row>
    <row r="2550" s="331" customFormat="1" ht="17" customHeight="1" spans="1:27">
      <c r="A2550" s="550" t="s">
        <v>6692</v>
      </c>
      <c r="B2550" s="348" t="s">
        <v>94</v>
      </c>
      <c r="C2550" s="348" t="s">
        <v>101</v>
      </c>
      <c r="D2550" s="352" t="s">
        <v>49</v>
      </c>
      <c r="E2550" s="336">
        <v>43675</v>
      </c>
      <c r="F2550" s="336">
        <v>43669</v>
      </c>
      <c r="G2550" s="336">
        <v>43674</v>
      </c>
      <c r="H2550" s="334" t="s">
        <v>6693</v>
      </c>
      <c r="I2550" s="356">
        <v>13918263162</v>
      </c>
      <c r="J2550" s="361" t="s">
        <v>6694</v>
      </c>
      <c r="K2550" s="356">
        <v>1000</v>
      </c>
      <c r="L2550" s="334">
        <v>17947</v>
      </c>
      <c r="M2550" s="334">
        <v>1104</v>
      </c>
      <c r="N2550" s="362">
        <f t="shared" si="91"/>
        <v>19051</v>
      </c>
      <c r="O2550" s="356"/>
      <c r="P2550" s="356"/>
      <c r="Q2550" s="356"/>
      <c r="R2550" s="356"/>
      <c r="S2550" s="356"/>
      <c r="T2550" s="356"/>
      <c r="U2550" s="372"/>
      <c r="V2550" s="372"/>
      <c r="W2550" s="372"/>
      <c r="X2550" s="373"/>
      <c r="Y2550" s="348"/>
      <c r="Z2550" s="348"/>
      <c r="AA2550" s="348"/>
    </row>
    <row r="2551" s="331" customFormat="1" ht="17" customHeight="1" spans="1:27">
      <c r="A2551" s="550" t="s">
        <v>6695</v>
      </c>
      <c r="B2551" s="348" t="s">
        <v>315</v>
      </c>
      <c r="C2551" s="348" t="s">
        <v>161</v>
      </c>
      <c r="D2551" s="352" t="s">
        <v>162</v>
      </c>
      <c r="E2551" s="336">
        <v>43675</v>
      </c>
      <c r="F2551" s="336">
        <v>43671</v>
      </c>
      <c r="G2551" s="336">
        <v>43676</v>
      </c>
      <c r="H2551" s="334" t="s">
        <v>6696</v>
      </c>
      <c r="I2551" s="356">
        <v>15902156756</v>
      </c>
      <c r="J2551" s="361" t="s">
        <v>6697</v>
      </c>
      <c r="K2551" s="356">
        <v>1680</v>
      </c>
      <c r="L2551" s="334">
        <v>4090</v>
      </c>
      <c r="M2551" s="334">
        <v>736</v>
      </c>
      <c r="N2551" s="362">
        <f t="shared" si="91"/>
        <v>4826</v>
      </c>
      <c r="O2551" s="356"/>
      <c r="P2551" s="356"/>
      <c r="Q2551" s="356"/>
      <c r="R2551" s="356"/>
      <c r="S2551" s="356"/>
      <c r="T2551" s="356"/>
      <c r="U2551" s="372"/>
      <c r="V2551" s="372"/>
      <c r="W2551" s="372"/>
      <c r="X2551" s="373"/>
      <c r="Y2551" s="348"/>
      <c r="Z2551" s="348"/>
      <c r="AA2551" s="348"/>
    </row>
    <row r="2552" s="331" customFormat="1" ht="17" customHeight="1" spans="1:27">
      <c r="A2552" s="348"/>
      <c r="B2552" s="348" t="s">
        <v>31</v>
      </c>
      <c r="C2552" s="348" t="s">
        <v>220</v>
      </c>
      <c r="D2552" s="349" t="s">
        <v>221</v>
      </c>
      <c r="E2552" s="336">
        <v>43675</v>
      </c>
      <c r="F2552" s="336">
        <v>43672</v>
      </c>
      <c r="G2552" s="350">
        <v>43675</v>
      </c>
      <c r="H2552" s="334" t="s">
        <v>919</v>
      </c>
      <c r="I2552" s="356">
        <v>18917642386</v>
      </c>
      <c r="J2552" s="361" t="s">
        <v>6698</v>
      </c>
      <c r="K2552" s="356">
        <v>0</v>
      </c>
      <c r="L2552" s="334">
        <v>2052</v>
      </c>
      <c r="M2552" s="419"/>
      <c r="N2552" s="362">
        <f t="shared" si="91"/>
        <v>2052</v>
      </c>
      <c r="O2552" s="356"/>
      <c r="P2552" s="356"/>
      <c r="Q2552" s="356"/>
      <c r="R2552" s="356"/>
      <c r="S2552" s="356"/>
      <c r="T2552" s="356"/>
      <c r="U2552" s="372"/>
      <c r="V2552" s="372"/>
      <c r="W2552" s="372"/>
      <c r="X2552" s="373"/>
      <c r="Y2552" s="348"/>
      <c r="Z2552" s="348"/>
      <c r="AA2552" s="348"/>
    </row>
    <row r="2553" s="331" customFormat="1" ht="17" customHeight="1" spans="1:27">
      <c r="A2553" s="348">
        <v>2066950</v>
      </c>
      <c r="B2553" s="348" t="s">
        <v>335</v>
      </c>
      <c r="C2553" s="348" t="s">
        <v>399</v>
      </c>
      <c r="D2553" s="349" t="s">
        <v>337</v>
      </c>
      <c r="E2553" s="336">
        <v>43675</v>
      </c>
      <c r="F2553" s="336">
        <v>43671</v>
      </c>
      <c r="G2553" s="336">
        <v>43672</v>
      </c>
      <c r="H2553" s="334" t="s">
        <v>6699</v>
      </c>
      <c r="I2553" s="356">
        <v>13916564195</v>
      </c>
      <c r="J2553" s="361" t="s">
        <v>6700</v>
      </c>
      <c r="K2553" s="356">
        <v>15773</v>
      </c>
      <c r="L2553" s="334">
        <v>15773</v>
      </c>
      <c r="M2553" s="419"/>
      <c r="N2553" s="362">
        <f t="shared" si="91"/>
        <v>15773</v>
      </c>
      <c r="O2553" s="356"/>
      <c r="P2553" s="356"/>
      <c r="Q2553" s="356"/>
      <c r="R2553" s="356"/>
      <c r="S2553" s="356"/>
      <c r="T2553" s="356"/>
      <c r="U2553" s="372"/>
      <c r="V2553" s="372"/>
      <c r="W2553" s="372"/>
      <c r="X2553" s="373"/>
      <c r="Y2553" s="348"/>
      <c r="Z2553" s="348"/>
      <c r="AA2553" s="348"/>
    </row>
    <row r="2554" s="331" customFormat="1" ht="17" customHeight="1" spans="1:27">
      <c r="A2554" s="348"/>
      <c r="B2554" s="348" t="s">
        <v>137</v>
      </c>
      <c r="C2554" s="348" t="s">
        <v>411</v>
      </c>
      <c r="D2554" s="352" t="s">
        <v>427</v>
      </c>
      <c r="E2554" s="336">
        <v>43683</v>
      </c>
      <c r="F2554" s="336">
        <v>43673</v>
      </c>
      <c r="G2554" s="336">
        <v>43683</v>
      </c>
      <c r="H2554" s="334" t="s">
        <v>6701</v>
      </c>
      <c r="I2554" s="356">
        <v>18917116701</v>
      </c>
      <c r="J2554" s="361" t="s">
        <v>6702</v>
      </c>
      <c r="K2554" s="356">
        <v>1000</v>
      </c>
      <c r="L2554" s="334">
        <v>6998</v>
      </c>
      <c r="M2554" s="419"/>
      <c r="N2554" s="362">
        <f t="shared" si="91"/>
        <v>6998</v>
      </c>
      <c r="O2554" s="356"/>
      <c r="P2554" s="356"/>
      <c r="Q2554" s="356"/>
      <c r="R2554" s="356"/>
      <c r="S2554" s="356"/>
      <c r="T2554" s="356"/>
      <c r="U2554" s="372"/>
      <c r="V2554" s="372"/>
      <c r="W2554" s="372"/>
      <c r="X2554" s="373"/>
      <c r="Y2554" s="348"/>
      <c r="Z2554" s="348"/>
      <c r="AA2554" s="348"/>
    </row>
    <row r="2555" s="331" customFormat="1" ht="17" customHeight="1" spans="1:27">
      <c r="A2555" s="550" t="s">
        <v>6703</v>
      </c>
      <c r="B2555" s="348" t="s">
        <v>153</v>
      </c>
      <c r="C2555" s="348" t="s">
        <v>302</v>
      </c>
      <c r="D2555" s="352" t="s">
        <v>155</v>
      </c>
      <c r="E2555" s="336">
        <v>43708</v>
      </c>
      <c r="F2555" s="336">
        <v>43674</v>
      </c>
      <c r="G2555" s="336">
        <v>43707</v>
      </c>
      <c r="H2555" s="334" t="s">
        <v>6704</v>
      </c>
      <c r="I2555" s="356">
        <v>17717257779</v>
      </c>
      <c r="J2555" s="361" t="s">
        <v>6705</v>
      </c>
      <c r="K2555" s="356">
        <v>1000</v>
      </c>
      <c r="L2555" s="334">
        <v>6943</v>
      </c>
      <c r="M2555" s="419"/>
      <c r="N2555" s="362">
        <f t="shared" si="91"/>
        <v>6943</v>
      </c>
      <c r="O2555" s="356"/>
      <c r="P2555" s="356"/>
      <c r="Q2555" s="356"/>
      <c r="R2555" s="356"/>
      <c r="S2555" s="356"/>
      <c r="T2555" s="356"/>
      <c r="U2555" s="372"/>
      <c r="V2555" s="372" t="s">
        <v>1481</v>
      </c>
      <c r="W2555" s="372"/>
      <c r="X2555" s="373"/>
      <c r="Y2555" s="348"/>
      <c r="Z2555" s="348"/>
      <c r="AA2555" s="348"/>
    </row>
    <row r="2556" s="331" customFormat="1" ht="17" customHeight="1" spans="1:27">
      <c r="A2556" s="550" t="s">
        <v>6706</v>
      </c>
      <c r="B2556" s="348" t="s">
        <v>205</v>
      </c>
      <c r="C2556" s="348" t="s">
        <v>1467</v>
      </c>
      <c r="D2556" s="349" t="s">
        <v>407</v>
      </c>
      <c r="E2556" s="336">
        <v>43675</v>
      </c>
      <c r="F2556" s="336">
        <v>43674</v>
      </c>
      <c r="G2556" s="336">
        <v>43674</v>
      </c>
      <c r="H2556" s="334" t="s">
        <v>6707</v>
      </c>
      <c r="I2556" s="356">
        <v>18652290358</v>
      </c>
      <c r="J2556" s="361" t="s">
        <v>6708</v>
      </c>
      <c r="K2556" s="356">
        <v>19377</v>
      </c>
      <c r="L2556" s="334">
        <v>19377</v>
      </c>
      <c r="M2556" s="419"/>
      <c r="N2556" s="362">
        <f t="shared" si="91"/>
        <v>19377</v>
      </c>
      <c r="O2556" s="356"/>
      <c r="P2556" s="356"/>
      <c r="Q2556" s="356"/>
      <c r="R2556" s="356"/>
      <c r="S2556" s="356"/>
      <c r="T2556" s="356"/>
      <c r="U2556" s="372"/>
      <c r="V2556" s="372"/>
      <c r="W2556" s="372"/>
      <c r="X2556" s="373"/>
      <c r="Y2556" s="348"/>
      <c r="Z2556" s="348"/>
      <c r="AA2556" s="348"/>
    </row>
    <row r="2557" s="331" customFormat="1" ht="17" customHeight="1" spans="1:27">
      <c r="A2557" s="550" t="s">
        <v>6709</v>
      </c>
      <c r="B2557" s="348" t="s">
        <v>726</v>
      </c>
      <c r="C2557" s="348" t="s">
        <v>727</v>
      </c>
      <c r="D2557" s="334" t="s">
        <v>271</v>
      </c>
      <c r="E2557" s="336">
        <v>43731</v>
      </c>
      <c r="F2557" s="336">
        <v>43674</v>
      </c>
      <c r="G2557" s="336">
        <v>43730</v>
      </c>
      <c r="H2557" s="334" t="s">
        <v>5779</v>
      </c>
      <c r="I2557" s="356">
        <v>18019062369</v>
      </c>
      <c r="J2557" s="361" t="s">
        <v>6710</v>
      </c>
      <c r="K2557" s="356">
        <v>30884</v>
      </c>
      <c r="L2557" s="334">
        <v>30354</v>
      </c>
      <c r="M2557" s="419"/>
      <c r="N2557" s="362">
        <f t="shared" si="91"/>
        <v>30354</v>
      </c>
      <c r="O2557" s="356" t="s">
        <v>19</v>
      </c>
      <c r="P2557" s="356"/>
      <c r="Q2557" s="356"/>
      <c r="R2557" s="356"/>
      <c r="S2557" s="356"/>
      <c r="T2557" s="356"/>
      <c r="U2557" s="372"/>
      <c r="V2557" s="372"/>
      <c r="W2557" s="372"/>
      <c r="X2557" s="373"/>
      <c r="Y2557" s="348"/>
      <c r="Z2557" s="348"/>
      <c r="AA2557" s="348"/>
    </row>
    <row r="2558" s="331" customFormat="1" ht="17" customHeight="1" spans="1:27">
      <c r="A2558" s="550" t="s">
        <v>6711</v>
      </c>
      <c r="B2558" s="348" t="s">
        <v>123</v>
      </c>
      <c r="C2558" s="348" t="s">
        <v>902</v>
      </c>
      <c r="D2558" s="352" t="s">
        <v>125</v>
      </c>
      <c r="E2558" s="336">
        <v>43675</v>
      </c>
      <c r="F2558" s="336">
        <v>43674</v>
      </c>
      <c r="G2558" s="350"/>
      <c r="H2558" s="334" t="s">
        <v>6712</v>
      </c>
      <c r="I2558" s="356">
        <v>13601616119</v>
      </c>
      <c r="J2558" s="361" t="s">
        <v>6713</v>
      </c>
      <c r="K2558" s="356">
        <v>1000</v>
      </c>
      <c r="L2558" s="419"/>
      <c r="M2558" s="419"/>
      <c r="N2558" s="362">
        <f t="shared" si="91"/>
        <v>0</v>
      </c>
      <c r="O2558" s="372" t="s">
        <v>1608</v>
      </c>
      <c r="P2558" s="356"/>
      <c r="Q2558" s="356"/>
      <c r="R2558" s="356"/>
      <c r="S2558" s="356"/>
      <c r="T2558" s="356"/>
      <c r="U2558" s="372"/>
      <c r="V2558" s="372"/>
      <c r="W2558" s="372"/>
      <c r="X2558" s="373"/>
      <c r="Y2558" s="348"/>
      <c r="Z2558" s="348"/>
      <c r="AA2558" s="348"/>
    </row>
    <row r="2559" s="331" customFormat="1" ht="17" customHeight="1" spans="1:27">
      <c r="A2559" s="348"/>
      <c r="B2559" s="348" t="s">
        <v>137</v>
      </c>
      <c r="C2559" s="334" t="s">
        <v>138</v>
      </c>
      <c r="D2559" s="349" t="s">
        <v>139</v>
      </c>
      <c r="E2559" s="336">
        <v>43675</v>
      </c>
      <c r="F2559" s="336">
        <v>43674</v>
      </c>
      <c r="G2559" s="336">
        <v>43675</v>
      </c>
      <c r="H2559" s="334" t="s">
        <v>6714</v>
      </c>
      <c r="I2559" s="356">
        <v>18101812189</v>
      </c>
      <c r="J2559" s="361" t="s">
        <v>6715</v>
      </c>
      <c r="K2559" s="356">
        <v>4124</v>
      </c>
      <c r="L2559" s="334">
        <v>4124</v>
      </c>
      <c r="M2559" s="419"/>
      <c r="N2559" s="362">
        <f t="shared" si="91"/>
        <v>4124</v>
      </c>
      <c r="O2559" s="356"/>
      <c r="P2559" s="356"/>
      <c r="Q2559" s="356"/>
      <c r="R2559" s="356"/>
      <c r="S2559" s="356"/>
      <c r="T2559" s="356"/>
      <c r="U2559" s="372"/>
      <c r="V2559" s="372"/>
      <c r="W2559" s="372"/>
      <c r="X2559" s="373"/>
      <c r="Y2559" s="348"/>
      <c r="Z2559" s="348"/>
      <c r="AA2559" s="348"/>
    </row>
    <row r="2560" s="331" customFormat="1" ht="17" customHeight="1" spans="1:27">
      <c r="A2560" s="348">
        <v>2023528</v>
      </c>
      <c r="B2560" s="348" t="s">
        <v>185</v>
      </c>
      <c r="C2560" s="348" t="s">
        <v>886</v>
      </c>
      <c r="D2560" s="352" t="s">
        <v>187</v>
      </c>
      <c r="E2560" s="336">
        <v>43675</v>
      </c>
      <c r="F2560" s="336">
        <v>43674</v>
      </c>
      <c r="G2560" s="350"/>
      <c r="H2560" s="334" t="s">
        <v>6716</v>
      </c>
      <c r="I2560" s="356">
        <v>15900629849</v>
      </c>
      <c r="J2560" s="361" t="s">
        <v>6717</v>
      </c>
      <c r="K2560" s="356">
        <v>1000</v>
      </c>
      <c r="L2560" s="419"/>
      <c r="M2560" s="419"/>
      <c r="N2560" s="362">
        <f t="shared" si="91"/>
        <v>0</v>
      </c>
      <c r="O2560" s="356" t="s">
        <v>52</v>
      </c>
      <c r="P2560" s="366"/>
      <c r="Q2560" s="356"/>
      <c r="R2560" s="356"/>
      <c r="S2560" s="356"/>
      <c r="T2560" s="356"/>
      <c r="U2560" s="372" t="s">
        <v>889</v>
      </c>
      <c r="V2560" s="372"/>
      <c r="W2560" s="374">
        <v>43688</v>
      </c>
      <c r="X2560" s="373"/>
      <c r="Y2560" s="348"/>
      <c r="Z2560" s="348"/>
      <c r="AA2560" s="348"/>
    </row>
    <row r="2561" s="331" customFormat="1" ht="17" customHeight="1" spans="1:27">
      <c r="A2561" s="550" t="s">
        <v>772</v>
      </c>
      <c r="B2561" s="348" t="s">
        <v>42</v>
      </c>
      <c r="C2561" s="348" t="s">
        <v>43</v>
      </c>
      <c r="D2561" s="349" t="s">
        <v>44</v>
      </c>
      <c r="E2561" s="336">
        <v>43684</v>
      </c>
      <c r="F2561" s="336">
        <v>43675</v>
      </c>
      <c r="G2561" s="336">
        <v>43684</v>
      </c>
      <c r="H2561" s="334" t="s">
        <v>6718</v>
      </c>
      <c r="I2561" s="356">
        <v>13918376883</v>
      </c>
      <c r="J2561" s="361" t="s">
        <v>6719</v>
      </c>
      <c r="K2561" s="356">
        <v>4407</v>
      </c>
      <c r="L2561" s="334">
        <v>5643</v>
      </c>
      <c r="M2561" s="419"/>
      <c r="N2561" s="362">
        <f t="shared" si="91"/>
        <v>5643</v>
      </c>
      <c r="O2561" s="356"/>
      <c r="P2561" s="356"/>
      <c r="Q2561" s="356"/>
      <c r="R2561" s="356"/>
      <c r="S2561" s="356"/>
      <c r="T2561" s="356"/>
      <c r="U2561" s="372"/>
      <c r="V2561" s="372">
        <v>8.6</v>
      </c>
      <c r="W2561" s="372"/>
      <c r="X2561" s="373"/>
      <c r="Y2561" s="348"/>
      <c r="Z2561" s="348"/>
      <c r="AA2561" s="348"/>
    </row>
    <row r="2562" s="331" customFormat="1" ht="17" customHeight="1" spans="1:27">
      <c r="A2562" s="348">
        <v>2067596</v>
      </c>
      <c r="B2562" s="348" t="s">
        <v>243</v>
      </c>
      <c r="C2562" s="348" t="s">
        <v>244</v>
      </c>
      <c r="D2562" s="352" t="s">
        <v>49</v>
      </c>
      <c r="E2562" s="336">
        <v>43680</v>
      </c>
      <c r="F2562" s="336">
        <v>43674</v>
      </c>
      <c r="G2562" s="336">
        <v>43680</v>
      </c>
      <c r="H2562" s="334" t="s">
        <v>6720</v>
      </c>
      <c r="I2562" s="356">
        <v>13564085684</v>
      </c>
      <c r="J2562" s="361" t="s">
        <v>6721</v>
      </c>
      <c r="K2562" s="356">
        <v>1000</v>
      </c>
      <c r="L2562" s="334">
        <v>11847</v>
      </c>
      <c r="M2562" s="334">
        <v>1840</v>
      </c>
      <c r="N2562" s="362">
        <f t="shared" si="91"/>
        <v>13687</v>
      </c>
      <c r="O2562" s="356"/>
      <c r="P2562" s="356"/>
      <c r="Q2562" s="356"/>
      <c r="R2562" s="356"/>
      <c r="S2562" s="356"/>
      <c r="T2562" s="356"/>
      <c r="U2562" s="372"/>
      <c r="V2562" s="372"/>
      <c r="W2562" s="372"/>
      <c r="X2562" s="373"/>
      <c r="Y2562" s="348"/>
      <c r="Z2562" s="348"/>
      <c r="AA2562" s="348"/>
    </row>
    <row r="2563" s="331" customFormat="1" ht="17" customHeight="1" spans="1:27">
      <c r="A2563" s="550" t="s">
        <v>2497</v>
      </c>
      <c r="B2563" s="348" t="s">
        <v>73</v>
      </c>
      <c r="C2563" s="348" t="s">
        <v>178</v>
      </c>
      <c r="D2563" s="349" t="s">
        <v>37</v>
      </c>
      <c r="E2563" s="336">
        <v>43689</v>
      </c>
      <c r="F2563" s="336">
        <v>43674</v>
      </c>
      <c r="G2563" s="336">
        <v>43689</v>
      </c>
      <c r="H2563" s="334" t="s">
        <v>6722</v>
      </c>
      <c r="I2563" s="356">
        <v>18621009146</v>
      </c>
      <c r="J2563" s="361" t="s">
        <v>6723</v>
      </c>
      <c r="K2563" s="356">
        <v>1000</v>
      </c>
      <c r="L2563" s="334">
        <v>16856</v>
      </c>
      <c r="M2563" s="419"/>
      <c r="N2563" s="362">
        <f t="shared" si="91"/>
        <v>16856</v>
      </c>
      <c r="O2563" s="356"/>
      <c r="P2563" s="356"/>
      <c r="Q2563" s="356"/>
      <c r="R2563" s="366" t="s">
        <v>52</v>
      </c>
      <c r="S2563" s="356"/>
      <c r="T2563" s="356"/>
      <c r="U2563" s="372"/>
      <c r="V2563" s="372"/>
      <c r="W2563" s="372"/>
      <c r="X2563" s="373"/>
      <c r="Y2563" s="348"/>
      <c r="Z2563" s="348"/>
      <c r="AA2563" s="348"/>
    </row>
    <row r="2564" s="331" customFormat="1" ht="17" customHeight="1" spans="1:27">
      <c r="A2564" s="550" t="s">
        <v>3958</v>
      </c>
      <c r="B2564" s="348" t="s">
        <v>73</v>
      </c>
      <c r="C2564" s="348" t="s">
        <v>178</v>
      </c>
      <c r="D2564" s="334" t="s">
        <v>44</v>
      </c>
      <c r="E2564" s="336">
        <v>43799</v>
      </c>
      <c r="F2564" s="336">
        <v>43674</v>
      </c>
      <c r="G2564" s="336">
        <v>43798</v>
      </c>
      <c r="H2564" s="334" t="s">
        <v>2565</v>
      </c>
      <c r="I2564" s="356">
        <v>13301827577</v>
      </c>
      <c r="J2564" s="361" t="s">
        <v>6724</v>
      </c>
      <c r="K2564" s="356">
        <v>1000</v>
      </c>
      <c r="L2564" s="334">
        <v>11426</v>
      </c>
      <c r="M2564" s="419"/>
      <c r="N2564" s="362">
        <f t="shared" si="91"/>
        <v>11426</v>
      </c>
      <c r="O2564" s="366" t="s">
        <v>52</v>
      </c>
      <c r="P2564" s="356"/>
      <c r="Q2564" s="356"/>
      <c r="R2564" s="356"/>
      <c r="S2564" s="356"/>
      <c r="T2564" s="356"/>
      <c r="U2564" s="372"/>
      <c r="V2564" s="372"/>
      <c r="W2564" s="372"/>
      <c r="X2564" s="373"/>
      <c r="Y2564" s="348"/>
      <c r="Z2564" s="348"/>
      <c r="AA2564" s="348"/>
    </row>
    <row r="2565" s="331" customFormat="1" ht="17" customHeight="1" spans="1:27">
      <c r="A2565" s="550" t="s">
        <v>3903</v>
      </c>
      <c r="B2565" s="348" t="s">
        <v>73</v>
      </c>
      <c r="C2565" s="348" t="s">
        <v>74</v>
      </c>
      <c r="D2565" s="334" t="s">
        <v>717</v>
      </c>
      <c r="E2565" s="336">
        <v>43737</v>
      </c>
      <c r="F2565" s="336">
        <v>43674</v>
      </c>
      <c r="G2565" s="336">
        <v>43737</v>
      </c>
      <c r="H2565" s="334" t="s">
        <v>6074</v>
      </c>
      <c r="I2565" s="356">
        <v>18917901261</v>
      </c>
      <c r="J2565" s="361" t="s">
        <v>6725</v>
      </c>
      <c r="K2565" s="356">
        <v>1000</v>
      </c>
      <c r="L2565" s="334">
        <f>15897-1104</f>
        <v>14793</v>
      </c>
      <c r="M2565" s="334">
        <v>1104</v>
      </c>
      <c r="N2565" s="362">
        <f t="shared" si="91"/>
        <v>15897</v>
      </c>
      <c r="O2565" s="366" t="s">
        <v>52</v>
      </c>
      <c r="P2565" s="356"/>
      <c r="Q2565" s="356"/>
      <c r="R2565" s="356"/>
      <c r="S2565" s="356"/>
      <c r="T2565" s="356"/>
      <c r="U2565" s="372"/>
      <c r="V2565" s="372"/>
      <c r="W2565" s="372"/>
      <c r="X2565" s="373"/>
      <c r="Y2565" s="348"/>
      <c r="Z2565" s="348"/>
      <c r="AA2565" s="348"/>
    </row>
    <row r="2566" s="331" customFormat="1" ht="17" customHeight="1" spans="1:27">
      <c r="A2566" s="550" t="s">
        <v>6726</v>
      </c>
      <c r="B2566" s="348" t="s">
        <v>73</v>
      </c>
      <c r="C2566" s="348" t="s">
        <v>74</v>
      </c>
      <c r="D2566" s="334" t="s">
        <v>44</v>
      </c>
      <c r="E2566" s="336">
        <v>43766</v>
      </c>
      <c r="F2566" s="336">
        <v>43674</v>
      </c>
      <c r="G2566" s="336">
        <v>43765</v>
      </c>
      <c r="H2566" s="334" t="s">
        <v>6727</v>
      </c>
      <c r="I2566" s="356">
        <v>18616865851</v>
      </c>
      <c r="J2566" s="361" t="s">
        <v>6728</v>
      </c>
      <c r="K2566" s="356">
        <v>1000</v>
      </c>
      <c r="L2566" s="334">
        <v>19330</v>
      </c>
      <c r="M2566" s="419"/>
      <c r="N2566" s="362">
        <f t="shared" si="91"/>
        <v>19330</v>
      </c>
      <c r="O2566" s="356"/>
      <c r="P2566" s="366" t="s">
        <v>52</v>
      </c>
      <c r="Q2566" s="356"/>
      <c r="R2566" s="356"/>
      <c r="S2566" s="356"/>
      <c r="T2566" s="356"/>
      <c r="U2566" s="372"/>
      <c r="V2566" s="372"/>
      <c r="W2566" s="372"/>
      <c r="X2566" s="373"/>
      <c r="Y2566" s="348"/>
      <c r="Z2566" s="348"/>
      <c r="AA2566" s="348"/>
    </row>
    <row r="2567" s="331" customFormat="1" ht="17" customHeight="1" spans="1:27">
      <c r="A2567" s="550" t="s">
        <v>6729</v>
      </c>
      <c r="B2567" s="348" t="s">
        <v>73</v>
      </c>
      <c r="C2567" s="348" t="s">
        <v>74</v>
      </c>
      <c r="D2567" s="352" t="s">
        <v>75</v>
      </c>
      <c r="E2567" s="336">
        <v>43708</v>
      </c>
      <c r="F2567" s="336">
        <v>43674</v>
      </c>
      <c r="G2567" s="336">
        <v>43708</v>
      </c>
      <c r="H2567" s="334" t="s">
        <v>6730</v>
      </c>
      <c r="I2567" s="356">
        <v>13761201101</v>
      </c>
      <c r="J2567" s="361" t="s">
        <v>6731</v>
      </c>
      <c r="K2567" s="356">
        <v>1000</v>
      </c>
      <c r="L2567" s="334">
        <v>14998</v>
      </c>
      <c r="M2567" s="419"/>
      <c r="N2567" s="362">
        <f t="shared" si="91"/>
        <v>14998</v>
      </c>
      <c r="O2567" s="356"/>
      <c r="P2567" s="366" t="s">
        <v>52</v>
      </c>
      <c r="Q2567" s="356"/>
      <c r="R2567" s="356"/>
      <c r="S2567" s="356"/>
      <c r="T2567" s="356"/>
      <c r="U2567" s="372"/>
      <c r="V2567" s="372"/>
      <c r="W2567" s="372"/>
      <c r="X2567" s="373"/>
      <c r="Y2567" s="348"/>
      <c r="Z2567" s="348"/>
      <c r="AA2567" s="348"/>
    </row>
    <row r="2568" s="331" customFormat="1" ht="15" customHeight="1" spans="1:27">
      <c r="A2568" s="348"/>
      <c r="B2568" s="348" t="s">
        <v>405</v>
      </c>
      <c r="C2568" s="348" t="s">
        <v>1234</v>
      </c>
      <c r="D2568" s="352" t="s">
        <v>407</v>
      </c>
      <c r="E2568" s="336">
        <v>43734</v>
      </c>
      <c r="F2568" s="336">
        <v>43675</v>
      </c>
      <c r="G2568" s="336">
        <v>43733</v>
      </c>
      <c r="H2568" s="334" t="s">
        <v>6732</v>
      </c>
      <c r="I2568" s="356">
        <v>13585763457</v>
      </c>
      <c r="J2568" s="361" t="s">
        <v>6733</v>
      </c>
      <c r="K2568" s="356">
        <v>1000</v>
      </c>
      <c r="L2568" s="334">
        <v>14595</v>
      </c>
      <c r="M2568" s="419"/>
      <c r="N2568" s="362">
        <f t="shared" si="91"/>
        <v>14595</v>
      </c>
      <c r="O2568" s="356" t="s">
        <v>52</v>
      </c>
      <c r="P2568" s="356"/>
      <c r="Q2568" s="356"/>
      <c r="R2568" s="356"/>
      <c r="S2568" s="356"/>
      <c r="T2568" s="356"/>
      <c r="U2568" s="372"/>
      <c r="V2568" s="372"/>
      <c r="W2568" s="372"/>
      <c r="X2568" s="373"/>
      <c r="Y2568" s="348"/>
      <c r="Z2568" s="348"/>
      <c r="AA2568" s="348"/>
    </row>
    <row r="2569" s="331" customFormat="1" ht="17" customHeight="1" spans="1:27">
      <c r="A2569" s="550" t="s">
        <v>6734</v>
      </c>
      <c r="B2569" s="348" t="s">
        <v>87</v>
      </c>
      <c r="C2569" s="348" t="s">
        <v>466</v>
      </c>
      <c r="D2569" s="352" t="s">
        <v>89</v>
      </c>
      <c r="E2569" s="336">
        <v>43675</v>
      </c>
      <c r="F2569" s="336">
        <v>43673</v>
      </c>
      <c r="G2569" s="336">
        <v>43677</v>
      </c>
      <c r="H2569" s="334" t="s">
        <v>6735</v>
      </c>
      <c r="I2569" s="356">
        <v>15821597916</v>
      </c>
      <c r="J2569" s="361" t="s">
        <v>6736</v>
      </c>
      <c r="K2569" s="356">
        <v>3000</v>
      </c>
      <c r="L2569" s="334">
        <v>5000</v>
      </c>
      <c r="M2569" s="419"/>
      <c r="N2569" s="362">
        <f t="shared" si="91"/>
        <v>5000</v>
      </c>
      <c r="O2569" s="356"/>
      <c r="P2569" s="356"/>
      <c r="Q2569" s="356"/>
      <c r="R2569" s="356"/>
      <c r="S2569" s="356"/>
      <c r="T2569" s="356"/>
      <c r="U2569" s="372"/>
      <c r="V2569" s="372"/>
      <c r="W2569" s="372"/>
      <c r="X2569" s="373"/>
      <c r="Y2569" s="348"/>
      <c r="Z2569" s="348"/>
      <c r="AA2569" s="348"/>
    </row>
    <row r="2570" s="331" customFormat="1" ht="17" customHeight="1" spans="1:27">
      <c r="A2570" s="550" t="s">
        <v>6737</v>
      </c>
      <c r="B2570" s="348" t="s">
        <v>335</v>
      </c>
      <c r="C2570" s="348" t="s">
        <v>615</v>
      </c>
      <c r="D2570" s="352" t="s">
        <v>337</v>
      </c>
      <c r="E2570" s="336">
        <v>43734</v>
      </c>
      <c r="F2570" s="336">
        <v>43675</v>
      </c>
      <c r="G2570" s="336">
        <v>43732</v>
      </c>
      <c r="H2570" s="334" t="s">
        <v>6738</v>
      </c>
      <c r="I2570" s="356">
        <v>13671806645</v>
      </c>
      <c r="J2570" s="361" t="s">
        <v>6739</v>
      </c>
      <c r="K2570" s="356">
        <v>1000</v>
      </c>
      <c r="L2570" s="334">
        <f>4700-760</f>
        <v>3940</v>
      </c>
      <c r="M2570" s="334">
        <v>760</v>
      </c>
      <c r="N2570" s="362">
        <f t="shared" si="91"/>
        <v>4700</v>
      </c>
      <c r="O2570" s="356"/>
      <c r="P2570" s="356"/>
      <c r="Q2570" s="356"/>
      <c r="R2570" s="356" t="s">
        <v>22</v>
      </c>
      <c r="S2570" s="356"/>
      <c r="T2570" s="356"/>
      <c r="U2570" s="372"/>
      <c r="V2570" s="372"/>
      <c r="W2570" s="372"/>
      <c r="X2570" s="373"/>
      <c r="Y2570" s="348"/>
      <c r="Z2570" s="348"/>
      <c r="AA2570" s="348"/>
    </row>
    <row r="2571" s="331" customFormat="1" ht="17" customHeight="1" spans="1:27">
      <c r="A2571" s="550" t="s">
        <v>6740</v>
      </c>
      <c r="B2571" s="348" t="s">
        <v>42</v>
      </c>
      <c r="C2571" s="348" t="s">
        <v>43</v>
      </c>
      <c r="D2571" s="352" t="s">
        <v>125</v>
      </c>
      <c r="E2571" s="336">
        <v>43675</v>
      </c>
      <c r="F2571" s="336">
        <v>43675</v>
      </c>
      <c r="G2571" s="336">
        <v>43675</v>
      </c>
      <c r="H2571" s="334" t="s">
        <v>6741</v>
      </c>
      <c r="I2571" s="356">
        <v>13564590801</v>
      </c>
      <c r="J2571" s="361" t="s">
        <v>6742</v>
      </c>
      <c r="K2571" s="356">
        <v>12200</v>
      </c>
      <c r="L2571" s="334">
        <v>12176</v>
      </c>
      <c r="M2571" s="419"/>
      <c r="N2571" s="362">
        <f t="shared" si="91"/>
        <v>12176</v>
      </c>
      <c r="O2571" s="356"/>
      <c r="P2571" s="356"/>
      <c r="Q2571" s="356"/>
      <c r="R2571" s="356"/>
      <c r="S2571" s="356"/>
      <c r="T2571" s="356"/>
      <c r="U2571" s="372"/>
      <c r="V2571" s="372"/>
      <c r="W2571" s="372"/>
      <c r="X2571" s="373"/>
      <c r="Y2571" s="348"/>
      <c r="Z2571" s="348"/>
      <c r="AA2571" s="348"/>
    </row>
    <row r="2572" s="331" customFormat="1" ht="15" customHeight="1" spans="1:27">
      <c r="A2572" s="550" t="s">
        <v>6743</v>
      </c>
      <c r="B2572" s="348" t="s">
        <v>58</v>
      </c>
      <c r="C2572" s="348" t="s">
        <v>342</v>
      </c>
      <c r="D2572" s="352" t="s">
        <v>343</v>
      </c>
      <c r="E2572" s="336">
        <v>43737</v>
      </c>
      <c r="F2572" s="336">
        <v>43674</v>
      </c>
      <c r="G2572" s="336">
        <v>43736</v>
      </c>
      <c r="H2572" s="334" t="s">
        <v>6744</v>
      </c>
      <c r="I2572" s="356">
        <v>13595597320</v>
      </c>
      <c r="J2572" s="361" t="s">
        <v>6745</v>
      </c>
      <c r="K2572" s="356">
        <v>1000</v>
      </c>
      <c r="L2572" s="334">
        <v>4578</v>
      </c>
      <c r="M2572" s="419"/>
      <c r="N2572" s="362">
        <f t="shared" ref="N2572:N2606" si="92">L2572+M2572</f>
        <v>4578</v>
      </c>
      <c r="O2572" s="366" t="s">
        <v>52</v>
      </c>
      <c r="P2572" s="356"/>
      <c r="Q2572" s="356"/>
      <c r="R2572" s="356"/>
      <c r="S2572" s="356"/>
      <c r="T2572" s="356"/>
      <c r="U2572" s="372"/>
      <c r="V2572" s="372"/>
      <c r="W2572" s="372"/>
      <c r="X2572" s="373"/>
      <c r="Y2572" s="348"/>
      <c r="Z2572" s="348"/>
      <c r="AA2572" s="348"/>
    </row>
    <row r="2573" s="331" customFormat="1" ht="15" customHeight="1" spans="1:27">
      <c r="A2573" s="550" t="s">
        <v>6746</v>
      </c>
      <c r="B2573" s="348" t="s">
        <v>58</v>
      </c>
      <c r="C2573" s="348" t="s">
        <v>109</v>
      </c>
      <c r="D2573" s="352" t="s">
        <v>110</v>
      </c>
      <c r="E2573" s="336">
        <v>43735</v>
      </c>
      <c r="F2573" s="336">
        <v>43674</v>
      </c>
      <c r="G2573" s="336">
        <v>43735</v>
      </c>
      <c r="H2573" s="334" t="s">
        <v>6747</v>
      </c>
      <c r="I2573" s="356">
        <v>18616757259</v>
      </c>
      <c r="J2573" s="361" t="s">
        <v>6748</v>
      </c>
      <c r="K2573" s="356">
        <v>10000</v>
      </c>
      <c r="L2573" s="334">
        <v>27716</v>
      </c>
      <c r="M2573" s="419"/>
      <c r="N2573" s="362">
        <f t="shared" si="92"/>
        <v>27716</v>
      </c>
      <c r="O2573" s="366" t="s">
        <v>52</v>
      </c>
      <c r="P2573" s="356"/>
      <c r="Q2573" s="356"/>
      <c r="R2573" s="356"/>
      <c r="S2573" s="356"/>
      <c r="T2573" s="356"/>
      <c r="U2573" s="372"/>
      <c r="V2573" s="372"/>
      <c r="W2573" s="372"/>
      <c r="X2573" s="373"/>
      <c r="Y2573" s="348"/>
      <c r="Z2573" s="348"/>
      <c r="AA2573" s="348"/>
    </row>
    <row r="2574" s="331" customFormat="1" ht="17" customHeight="1" spans="1:27">
      <c r="A2574" s="348"/>
      <c r="B2574" s="348" t="s">
        <v>315</v>
      </c>
      <c r="C2574" s="348" t="s">
        <v>722</v>
      </c>
      <c r="D2574" s="334" t="s">
        <v>149</v>
      </c>
      <c r="E2574" s="336">
        <v>43768</v>
      </c>
      <c r="F2574" s="336">
        <v>43675</v>
      </c>
      <c r="G2574" s="336">
        <v>43767</v>
      </c>
      <c r="H2574" s="334" t="s">
        <v>6749</v>
      </c>
      <c r="I2574" s="356">
        <v>13816033573</v>
      </c>
      <c r="J2574" s="361" t="s">
        <v>6750</v>
      </c>
      <c r="K2574" s="356">
        <v>1000</v>
      </c>
      <c r="L2574" s="334">
        <v>15000</v>
      </c>
      <c r="M2574" s="419"/>
      <c r="N2574" s="362">
        <f t="shared" si="92"/>
        <v>15000</v>
      </c>
      <c r="O2574" s="356">
        <v>1</v>
      </c>
      <c r="P2574" s="356"/>
      <c r="Q2574" s="356"/>
      <c r="R2574" s="356"/>
      <c r="S2574" s="356"/>
      <c r="T2574" s="356"/>
      <c r="U2574" s="372"/>
      <c r="V2574" s="372"/>
      <c r="W2574" s="372"/>
      <c r="X2574" s="373"/>
      <c r="Y2574" s="348"/>
      <c r="Z2574" s="348"/>
      <c r="AA2574" s="348"/>
    </row>
    <row r="2575" s="331" customFormat="1" ht="17" customHeight="1" spans="1:27">
      <c r="A2575" s="348"/>
      <c r="B2575" s="348" t="s">
        <v>236</v>
      </c>
      <c r="C2575" s="348" t="s">
        <v>195</v>
      </c>
      <c r="D2575" s="349" t="s">
        <v>149</v>
      </c>
      <c r="E2575" s="336">
        <v>43675</v>
      </c>
      <c r="F2575" s="336">
        <v>43671</v>
      </c>
      <c r="G2575" s="336">
        <v>43670</v>
      </c>
      <c r="H2575" s="334" t="s">
        <v>6751</v>
      </c>
      <c r="I2575" s="356">
        <v>18516041855</v>
      </c>
      <c r="J2575" s="361" t="s">
        <v>6752</v>
      </c>
      <c r="K2575" s="356">
        <v>11623</v>
      </c>
      <c r="L2575" s="334">
        <v>11623</v>
      </c>
      <c r="M2575" s="419"/>
      <c r="N2575" s="362">
        <f t="shared" si="92"/>
        <v>11623</v>
      </c>
      <c r="O2575" s="356"/>
      <c r="P2575" s="356"/>
      <c r="Q2575" s="356"/>
      <c r="R2575" s="356"/>
      <c r="S2575" s="356"/>
      <c r="T2575" s="356"/>
      <c r="U2575" s="372"/>
      <c r="V2575" s="372"/>
      <c r="W2575" s="372"/>
      <c r="X2575" s="373"/>
      <c r="Y2575" s="348"/>
      <c r="Z2575" s="348"/>
      <c r="AA2575" s="348"/>
    </row>
    <row r="2576" s="331" customFormat="1" ht="17" customHeight="1" spans="1:27">
      <c r="A2576" s="348"/>
      <c r="B2576" s="348" t="s">
        <v>236</v>
      </c>
      <c r="C2576" s="348" t="s">
        <v>195</v>
      </c>
      <c r="D2576" s="349" t="s">
        <v>37</v>
      </c>
      <c r="E2576" s="336">
        <v>43675</v>
      </c>
      <c r="F2576" s="336">
        <v>43671</v>
      </c>
      <c r="G2576" s="350">
        <v>43675</v>
      </c>
      <c r="H2576" s="334" t="s">
        <v>887</v>
      </c>
      <c r="I2576" s="356">
        <v>17717433805</v>
      </c>
      <c r="J2576" s="361" t="s">
        <v>6753</v>
      </c>
      <c r="K2576" s="356">
        <v>1000</v>
      </c>
      <c r="L2576" s="334">
        <v>2757</v>
      </c>
      <c r="M2576" s="419"/>
      <c r="N2576" s="362">
        <f t="shared" si="92"/>
        <v>2757</v>
      </c>
      <c r="O2576" s="356"/>
      <c r="P2576" s="356"/>
      <c r="Q2576" s="356"/>
      <c r="R2576" s="356"/>
      <c r="S2576" s="356"/>
      <c r="T2576" s="356"/>
      <c r="U2576" s="372"/>
      <c r="V2576" s="372"/>
      <c r="W2576" s="372"/>
      <c r="X2576" s="373"/>
      <c r="Y2576" s="348"/>
      <c r="Z2576" s="348"/>
      <c r="AA2576" s="348"/>
    </row>
    <row r="2577" s="331" customFormat="1" ht="17" customHeight="1" spans="1:27">
      <c r="A2577" s="348"/>
      <c r="B2577" s="348" t="s">
        <v>236</v>
      </c>
      <c r="C2577" s="348" t="s">
        <v>195</v>
      </c>
      <c r="D2577" s="334" t="s">
        <v>37</v>
      </c>
      <c r="E2577" s="336">
        <v>43704</v>
      </c>
      <c r="F2577" s="336">
        <v>43673</v>
      </c>
      <c r="G2577" s="336">
        <v>43702</v>
      </c>
      <c r="H2577" s="334" t="s">
        <v>6754</v>
      </c>
      <c r="I2577" s="356">
        <v>18801962547</v>
      </c>
      <c r="J2577" s="361" t="s">
        <v>6755</v>
      </c>
      <c r="K2577" s="356">
        <v>1000</v>
      </c>
      <c r="L2577" s="334">
        <f>18524-1104</f>
        <v>17420</v>
      </c>
      <c r="M2577" s="334">
        <v>1104</v>
      </c>
      <c r="N2577" s="362">
        <f t="shared" si="92"/>
        <v>18524</v>
      </c>
      <c r="O2577" s="356"/>
      <c r="P2577" s="356"/>
      <c r="Q2577" s="356"/>
      <c r="R2577" s="356"/>
      <c r="S2577" s="356"/>
      <c r="T2577" s="356"/>
      <c r="U2577" s="372"/>
      <c r="V2577" s="372"/>
      <c r="W2577" s="372"/>
      <c r="X2577" s="373"/>
      <c r="Y2577" s="348"/>
      <c r="Z2577" s="348"/>
      <c r="AA2577" s="348"/>
    </row>
    <row r="2578" s="331" customFormat="1" ht="17" customHeight="1" spans="1:27">
      <c r="A2578" s="348">
        <v>2068067</v>
      </c>
      <c r="B2578" s="348" t="s">
        <v>87</v>
      </c>
      <c r="C2578" s="348" t="s">
        <v>1757</v>
      </c>
      <c r="D2578" s="352" t="s">
        <v>89</v>
      </c>
      <c r="E2578" s="336">
        <v>43675</v>
      </c>
      <c r="F2578" s="336">
        <v>43673</v>
      </c>
      <c r="G2578" s="350"/>
      <c r="H2578" s="334" t="s">
        <v>6756</v>
      </c>
      <c r="I2578" s="356">
        <v>13661589445</v>
      </c>
      <c r="J2578" s="361" t="s">
        <v>6757</v>
      </c>
      <c r="K2578" s="356">
        <v>1000</v>
      </c>
      <c r="L2578" s="419"/>
      <c r="M2578" s="419"/>
      <c r="N2578" s="362">
        <f t="shared" si="92"/>
        <v>0</v>
      </c>
      <c r="O2578" s="356"/>
      <c r="P2578" s="411" t="s">
        <v>52</v>
      </c>
      <c r="Q2578" s="356"/>
      <c r="R2578" s="356"/>
      <c r="S2578" s="356"/>
      <c r="T2578" s="356"/>
      <c r="U2578" s="372" t="s">
        <v>12</v>
      </c>
      <c r="V2578" s="372"/>
      <c r="W2578" s="372"/>
      <c r="X2578" s="373"/>
      <c r="Y2578" s="348"/>
      <c r="Z2578" s="348"/>
      <c r="AA2578" s="348"/>
    </row>
    <row r="2579" s="331" customFormat="1" ht="17" customHeight="1" spans="1:27">
      <c r="A2579" s="348">
        <v>2068066</v>
      </c>
      <c r="B2579" s="348" t="s">
        <v>87</v>
      </c>
      <c r="C2579" s="348" t="s">
        <v>1757</v>
      </c>
      <c r="D2579" s="349" t="s">
        <v>89</v>
      </c>
      <c r="E2579" s="336">
        <v>43675</v>
      </c>
      <c r="F2579" s="336">
        <v>43673</v>
      </c>
      <c r="G2579" s="350">
        <v>43675</v>
      </c>
      <c r="H2579" s="334" t="s">
        <v>6758</v>
      </c>
      <c r="I2579" s="356">
        <v>18939931465</v>
      </c>
      <c r="J2579" s="361" t="s">
        <v>6759</v>
      </c>
      <c r="K2579" s="356">
        <v>3000</v>
      </c>
      <c r="L2579" s="334">
        <v>7409</v>
      </c>
      <c r="M2579" s="419"/>
      <c r="N2579" s="362">
        <f t="shared" si="92"/>
        <v>7409</v>
      </c>
      <c r="O2579" s="356"/>
      <c r="P2579" s="356"/>
      <c r="Q2579" s="356"/>
      <c r="R2579" s="356"/>
      <c r="S2579" s="356"/>
      <c r="T2579" s="356"/>
      <c r="U2579" s="372"/>
      <c r="V2579" s="372"/>
      <c r="W2579" s="372"/>
      <c r="X2579" s="373"/>
      <c r="Y2579" s="348"/>
      <c r="Z2579" s="348"/>
      <c r="AA2579" s="348"/>
    </row>
    <row r="2580" s="331" customFormat="1" ht="17" customHeight="1" spans="1:27">
      <c r="A2580" s="348">
        <v>2023523</v>
      </c>
      <c r="B2580" s="348" t="s">
        <v>185</v>
      </c>
      <c r="C2580" s="348" t="s">
        <v>1620</v>
      </c>
      <c r="D2580" s="352" t="s">
        <v>44</v>
      </c>
      <c r="E2580" s="336">
        <v>43684</v>
      </c>
      <c r="F2580" s="336">
        <v>43674</v>
      </c>
      <c r="G2580" s="336">
        <v>43682</v>
      </c>
      <c r="H2580" s="334" t="s">
        <v>6760</v>
      </c>
      <c r="I2580" s="356">
        <v>13636481245</v>
      </c>
      <c r="J2580" s="361" t="s">
        <v>6761</v>
      </c>
      <c r="K2580" s="356">
        <v>1000</v>
      </c>
      <c r="L2580" s="334">
        <v>17239</v>
      </c>
      <c r="M2580" s="419"/>
      <c r="N2580" s="362">
        <f t="shared" si="92"/>
        <v>17239</v>
      </c>
      <c r="O2580" s="356"/>
      <c r="P2580" s="356"/>
      <c r="Q2580" s="366" t="s">
        <v>52</v>
      </c>
      <c r="R2580" s="356"/>
      <c r="S2580" s="356"/>
      <c r="T2580" s="356"/>
      <c r="U2580" s="372"/>
      <c r="V2580" s="372"/>
      <c r="W2580" s="372"/>
      <c r="X2580" s="373"/>
      <c r="Y2580" s="348"/>
      <c r="Z2580" s="348"/>
      <c r="AA2580" s="348"/>
    </row>
    <row r="2581" s="331" customFormat="1" ht="17" customHeight="1" spans="1:27">
      <c r="A2581" s="348"/>
      <c r="B2581" s="348" t="s">
        <v>236</v>
      </c>
      <c r="C2581" s="348" t="s">
        <v>703</v>
      </c>
      <c r="D2581" s="349" t="s">
        <v>37</v>
      </c>
      <c r="E2581" s="336">
        <v>43675</v>
      </c>
      <c r="F2581" s="336">
        <v>43674</v>
      </c>
      <c r="G2581" s="336">
        <v>43677</v>
      </c>
      <c r="H2581" s="334" t="s">
        <v>6762</v>
      </c>
      <c r="I2581" s="356">
        <v>13901981529</v>
      </c>
      <c r="J2581" s="361" t="s">
        <v>6763</v>
      </c>
      <c r="K2581" s="356">
        <v>6438</v>
      </c>
      <c r="L2581" s="334">
        <v>6438</v>
      </c>
      <c r="M2581" s="419"/>
      <c r="N2581" s="362">
        <f t="shared" si="92"/>
        <v>6438</v>
      </c>
      <c r="O2581" s="356"/>
      <c r="P2581" s="356"/>
      <c r="Q2581" s="356"/>
      <c r="R2581" s="356"/>
      <c r="S2581" s="356"/>
      <c r="T2581" s="356"/>
      <c r="U2581" s="372"/>
      <c r="V2581" s="372"/>
      <c r="W2581" s="372"/>
      <c r="X2581" s="373"/>
      <c r="Y2581" s="348"/>
      <c r="Z2581" s="348"/>
      <c r="AA2581" s="348"/>
    </row>
    <row r="2582" s="331" customFormat="1" ht="17" customHeight="1" spans="1:27">
      <c r="A2582" s="550" t="s">
        <v>6764</v>
      </c>
      <c r="B2582" s="348" t="s">
        <v>236</v>
      </c>
      <c r="C2582" s="348" t="s">
        <v>703</v>
      </c>
      <c r="D2582" s="352" t="s">
        <v>125</v>
      </c>
      <c r="E2582" s="336">
        <v>43738</v>
      </c>
      <c r="F2582" s="336">
        <v>43674</v>
      </c>
      <c r="G2582" s="336">
        <v>43736</v>
      </c>
      <c r="H2582" s="334" t="s">
        <v>4307</v>
      </c>
      <c r="I2582" s="356">
        <v>13817849700</v>
      </c>
      <c r="J2582" s="361" t="s">
        <v>6765</v>
      </c>
      <c r="K2582" s="356">
        <v>1000</v>
      </c>
      <c r="L2582" s="334">
        <v>14200</v>
      </c>
      <c r="M2582" s="419"/>
      <c r="N2582" s="362">
        <f t="shared" si="92"/>
        <v>14200</v>
      </c>
      <c r="O2582" s="356"/>
      <c r="P2582" s="356" t="s">
        <v>3729</v>
      </c>
      <c r="Q2582" s="356"/>
      <c r="R2582" s="356"/>
      <c r="S2582" s="356"/>
      <c r="T2582" s="356"/>
      <c r="U2582" s="372"/>
      <c r="V2582" s="372"/>
      <c r="W2582" s="372"/>
      <c r="X2582" s="373"/>
      <c r="Y2582" s="348"/>
      <c r="Z2582" s="348"/>
      <c r="AA2582" s="348"/>
    </row>
    <row r="2583" s="331" customFormat="1" ht="17" customHeight="1" spans="1:27">
      <c r="A2583" s="348"/>
      <c r="B2583" s="348" t="s">
        <v>236</v>
      </c>
      <c r="C2583" s="348" t="s">
        <v>703</v>
      </c>
      <c r="D2583" s="349" t="s">
        <v>44</v>
      </c>
      <c r="E2583" s="336">
        <v>43675</v>
      </c>
      <c r="F2583" s="336">
        <v>43674</v>
      </c>
      <c r="G2583" s="350">
        <v>43674</v>
      </c>
      <c r="H2583" s="334" t="s">
        <v>6766</v>
      </c>
      <c r="I2583" s="356">
        <v>18964020901</v>
      </c>
      <c r="J2583" s="361" t="s">
        <v>6767</v>
      </c>
      <c r="K2583" s="356">
        <v>14900</v>
      </c>
      <c r="L2583" s="334">
        <v>12429</v>
      </c>
      <c r="M2583" s="334">
        <v>2471</v>
      </c>
      <c r="N2583" s="362">
        <f t="shared" si="92"/>
        <v>14900</v>
      </c>
      <c r="O2583" s="356"/>
      <c r="P2583" s="356"/>
      <c r="Q2583" s="356"/>
      <c r="R2583" s="356"/>
      <c r="S2583" s="356"/>
      <c r="T2583" s="356"/>
      <c r="U2583" s="372"/>
      <c r="V2583" s="372"/>
      <c r="W2583" s="372"/>
      <c r="X2583" s="373"/>
      <c r="Y2583" s="348"/>
      <c r="Z2583" s="348"/>
      <c r="AA2583" s="348"/>
    </row>
    <row r="2584" s="331" customFormat="1" ht="17" customHeight="1" spans="1:27">
      <c r="A2584" s="348"/>
      <c r="B2584" s="348" t="s">
        <v>236</v>
      </c>
      <c r="C2584" s="348" t="s">
        <v>195</v>
      </c>
      <c r="D2584" s="349" t="s">
        <v>37</v>
      </c>
      <c r="E2584" s="336">
        <v>43675</v>
      </c>
      <c r="F2584" s="336">
        <v>43674</v>
      </c>
      <c r="G2584" s="336">
        <v>43677</v>
      </c>
      <c r="H2584" s="334" t="s">
        <v>6768</v>
      </c>
      <c r="I2584" s="356">
        <v>18017761231</v>
      </c>
      <c r="J2584" s="361" t="s">
        <v>6769</v>
      </c>
      <c r="K2584" s="356">
        <v>12178</v>
      </c>
      <c r="L2584" s="334">
        <v>12178</v>
      </c>
      <c r="M2584" s="419"/>
      <c r="N2584" s="362">
        <f t="shared" si="92"/>
        <v>12178</v>
      </c>
      <c r="O2584" s="356"/>
      <c r="P2584" s="356"/>
      <c r="Q2584" s="356"/>
      <c r="R2584" s="356"/>
      <c r="S2584" s="356"/>
      <c r="T2584" s="356"/>
      <c r="U2584" s="372"/>
      <c r="V2584" s="372"/>
      <c r="W2584" s="372"/>
      <c r="X2584" s="373"/>
      <c r="Y2584" s="348"/>
      <c r="Z2584" s="348"/>
      <c r="AA2584" s="348"/>
    </row>
    <row r="2585" s="331" customFormat="1" ht="17" customHeight="1" spans="1:27">
      <c r="A2585" s="550" t="s">
        <v>6770</v>
      </c>
      <c r="B2585" s="348" t="s">
        <v>42</v>
      </c>
      <c r="C2585" s="348" t="s">
        <v>1728</v>
      </c>
      <c r="D2585" s="349" t="s">
        <v>162</v>
      </c>
      <c r="E2585" s="336">
        <v>43675</v>
      </c>
      <c r="F2585" s="336">
        <v>43674</v>
      </c>
      <c r="G2585" s="336">
        <v>43677</v>
      </c>
      <c r="H2585" s="334" t="s">
        <v>6771</v>
      </c>
      <c r="I2585" s="356">
        <v>18376555228</v>
      </c>
      <c r="J2585" s="361" t="s">
        <v>6772</v>
      </c>
      <c r="K2585" s="356">
        <v>9937</v>
      </c>
      <c r="L2585" s="334">
        <v>9937</v>
      </c>
      <c r="M2585" s="419"/>
      <c r="N2585" s="362">
        <f t="shared" si="92"/>
        <v>9937</v>
      </c>
      <c r="O2585" s="356"/>
      <c r="P2585" s="356"/>
      <c r="Q2585" s="356"/>
      <c r="R2585" s="356"/>
      <c r="S2585" s="356"/>
      <c r="T2585" s="356"/>
      <c r="U2585" s="372"/>
      <c r="V2585" s="372"/>
      <c r="W2585" s="372"/>
      <c r="X2585" s="373"/>
      <c r="Y2585" s="348"/>
      <c r="Z2585" s="348"/>
      <c r="AA2585" s="348"/>
    </row>
    <row r="2586" s="331" customFormat="1" ht="17" customHeight="1" spans="1:27">
      <c r="A2586" s="550" t="s">
        <v>6773</v>
      </c>
      <c r="B2586" s="348" t="s">
        <v>42</v>
      </c>
      <c r="C2586" s="348" t="s">
        <v>1728</v>
      </c>
      <c r="D2586" s="349" t="s">
        <v>44</v>
      </c>
      <c r="E2586" s="336">
        <v>43675</v>
      </c>
      <c r="F2586" s="336">
        <v>43674</v>
      </c>
      <c r="G2586" s="356" t="s">
        <v>6774</v>
      </c>
      <c r="H2586" s="334" t="s">
        <v>6775</v>
      </c>
      <c r="I2586" s="356">
        <v>15221838683</v>
      </c>
      <c r="J2586" s="361" t="s">
        <v>6776</v>
      </c>
      <c r="K2586" s="356">
        <v>4134</v>
      </c>
      <c r="L2586" s="419"/>
      <c r="M2586" s="419"/>
      <c r="N2586" s="362">
        <f t="shared" si="92"/>
        <v>0</v>
      </c>
      <c r="O2586" s="356"/>
      <c r="P2586" s="356"/>
      <c r="Q2586" s="356"/>
      <c r="R2586" s="356"/>
      <c r="S2586" s="356"/>
      <c r="T2586" s="356"/>
      <c r="U2586" s="372"/>
      <c r="V2586" s="372"/>
      <c r="W2586" s="372"/>
      <c r="X2586" s="373"/>
      <c r="Y2586" s="348"/>
      <c r="Z2586" s="348"/>
      <c r="AA2586" s="348"/>
    </row>
    <row r="2587" s="331" customFormat="1" ht="17" customHeight="1" spans="1:27">
      <c r="A2587" s="550" t="s">
        <v>6777</v>
      </c>
      <c r="B2587" s="348" t="s">
        <v>87</v>
      </c>
      <c r="C2587" s="348" t="s">
        <v>466</v>
      </c>
      <c r="D2587" s="349" t="s">
        <v>89</v>
      </c>
      <c r="E2587" s="336">
        <v>43675</v>
      </c>
      <c r="F2587" s="336">
        <v>43674</v>
      </c>
      <c r="G2587" s="350">
        <v>43674</v>
      </c>
      <c r="H2587" s="334" t="s">
        <v>6778</v>
      </c>
      <c r="I2587" s="356">
        <v>18321973779</v>
      </c>
      <c r="J2587" s="361" t="s">
        <v>6779</v>
      </c>
      <c r="K2587" s="356">
        <v>11556</v>
      </c>
      <c r="L2587" s="334">
        <v>10416</v>
      </c>
      <c r="M2587" s="334">
        <v>1140</v>
      </c>
      <c r="N2587" s="362">
        <f t="shared" si="92"/>
        <v>11556</v>
      </c>
      <c r="O2587" s="356"/>
      <c r="P2587" s="356"/>
      <c r="Q2587" s="356"/>
      <c r="R2587" s="356"/>
      <c r="S2587" s="356"/>
      <c r="T2587" s="356"/>
      <c r="U2587" s="372"/>
      <c r="V2587" s="372"/>
      <c r="W2587" s="372"/>
      <c r="X2587" s="373"/>
      <c r="Y2587" s="348"/>
      <c r="Z2587" s="348"/>
      <c r="AA2587" s="348"/>
    </row>
    <row r="2588" s="331" customFormat="1" ht="17" customHeight="1" spans="1:27">
      <c r="A2588" s="348"/>
      <c r="B2588" s="348" t="s">
        <v>236</v>
      </c>
      <c r="C2588" s="348" t="s">
        <v>703</v>
      </c>
      <c r="D2588" s="352" t="s">
        <v>125</v>
      </c>
      <c r="E2588" s="336">
        <v>43681</v>
      </c>
      <c r="F2588" s="336">
        <v>43673</v>
      </c>
      <c r="G2588" s="336">
        <v>43681</v>
      </c>
      <c r="H2588" s="334" t="s">
        <v>6780</v>
      </c>
      <c r="I2588" s="356">
        <v>13564070995</v>
      </c>
      <c r="J2588" s="361" t="s">
        <v>6781</v>
      </c>
      <c r="K2588" s="356">
        <v>3679</v>
      </c>
      <c r="L2588" s="334">
        <v>4134</v>
      </c>
      <c r="M2588" s="419"/>
      <c r="N2588" s="362">
        <f t="shared" si="92"/>
        <v>4134</v>
      </c>
      <c r="O2588" s="356"/>
      <c r="P2588" s="356"/>
      <c r="Q2588" s="356"/>
      <c r="R2588" s="356"/>
      <c r="S2588" s="356"/>
      <c r="T2588" s="356"/>
      <c r="U2588" s="372"/>
      <c r="V2588" s="372"/>
      <c r="W2588" s="372"/>
      <c r="X2588" s="373"/>
      <c r="Y2588" s="348"/>
      <c r="Z2588" s="348"/>
      <c r="AA2588" s="348"/>
    </row>
    <row r="2589" s="331" customFormat="1" ht="17" customHeight="1" spans="1:27">
      <c r="A2589" s="348"/>
      <c r="B2589" s="348" t="s">
        <v>31</v>
      </c>
      <c r="C2589" s="348" t="s">
        <v>377</v>
      </c>
      <c r="D2589" s="349" t="s">
        <v>33</v>
      </c>
      <c r="E2589" s="336">
        <v>43675</v>
      </c>
      <c r="F2589" s="336">
        <v>43674</v>
      </c>
      <c r="G2589" s="350">
        <v>43674</v>
      </c>
      <c r="H2589" s="334" t="s">
        <v>6782</v>
      </c>
      <c r="I2589" s="356">
        <v>18916666141</v>
      </c>
      <c r="J2589" s="361" t="s">
        <v>6783</v>
      </c>
      <c r="K2589" s="356">
        <v>6669</v>
      </c>
      <c r="L2589" s="334">
        <v>6669</v>
      </c>
      <c r="M2589" s="419"/>
      <c r="N2589" s="362">
        <f t="shared" si="92"/>
        <v>6669</v>
      </c>
      <c r="O2589" s="356"/>
      <c r="P2589" s="356"/>
      <c r="Q2589" s="356"/>
      <c r="R2589" s="356"/>
      <c r="S2589" s="356"/>
      <c r="T2589" s="356"/>
      <c r="U2589" s="372"/>
      <c r="V2589" s="372"/>
      <c r="W2589" s="372"/>
      <c r="X2589" s="373"/>
      <c r="Y2589" s="348"/>
      <c r="Z2589" s="348"/>
      <c r="AA2589" s="348"/>
    </row>
    <row r="2590" s="331" customFormat="1" ht="17" customHeight="1" spans="1:27">
      <c r="A2590" s="550" t="s">
        <v>6784</v>
      </c>
      <c r="B2590" s="348" t="s">
        <v>35</v>
      </c>
      <c r="C2590" s="348" t="s">
        <v>36</v>
      </c>
      <c r="D2590" s="352" t="s">
        <v>37</v>
      </c>
      <c r="E2590" s="336">
        <v>43708</v>
      </c>
      <c r="F2590" s="336">
        <v>43674</v>
      </c>
      <c r="G2590" s="336">
        <v>43708</v>
      </c>
      <c r="H2590" s="334" t="s">
        <v>6785</v>
      </c>
      <c r="I2590" s="356">
        <v>13524777177</v>
      </c>
      <c r="J2590" s="361" t="s">
        <v>6786</v>
      </c>
      <c r="K2590" s="356">
        <f>5000+10000</f>
        <v>15000</v>
      </c>
      <c r="L2590" s="334">
        <v>15500</v>
      </c>
      <c r="M2590" s="419"/>
      <c r="N2590" s="362">
        <f t="shared" si="92"/>
        <v>15500</v>
      </c>
      <c r="O2590" s="356" t="s">
        <v>52</v>
      </c>
      <c r="P2590" s="356"/>
      <c r="Q2590" s="356"/>
      <c r="R2590" s="356"/>
      <c r="S2590" s="356"/>
      <c r="T2590" s="356"/>
      <c r="U2590" s="372"/>
      <c r="V2590" s="372"/>
      <c r="W2590" s="372"/>
      <c r="X2590" s="373"/>
      <c r="Y2590" s="348"/>
      <c r="Z2590" s="348"/>
      <c r="AA2590" s="348"/>
    </row>
    <row r="2591" s="331" customFormat="1" ht="17" customHeight="1" spans="1:27">
      <c r="A2591" s="348"/>
      <c r="B2591" s="348" t="s">
        <v>2625</v>
      </c>
      <c r="C2591" s="348" t="s">
        <v>2626</v>
      </c>
      <c r="D2591" s="349" t="s">
        <v>635</v>
      </c>
      <c r="E2591" s="336">
        <v>43680</v>
      </c>
      <c r="F2591" s="336">
        <v>43674</v>
      </c>
      <c r="G2591" s="336">
        <v>43677</v>
      </c>
      <c r="H2591" s="334" t="s">
        <v>6787</v>
      </c>
      <c r="I2591" s="356">
        <v>13816100281</v>
      </c>
      <c r="J2591" s="361" t="s">
        <v>6788</v>
      </c>
      <c r="K2591" s="356">
        <v>1000</v>
      </c>
      <c r="L2591" s="334">
        <v>11427</v>
      </c>
      <c r="M2591" s="419"/>
      <c r="N2591" s="362">
        <f t="shared" si="92"/>
        <v>11427</v>
      </c>
      <c r="O2591" s="356"/>
      <c r="P2591" s="356"/>
      <c r="Q2591" s="356"/>
      <c r="R2591" s="356"/>
      <c r="S2591" s="356"/>
      <c r="T2591" s="356"/>
      <c r="U2591" s="372"/>
      <c r="V2591" s="372"/>
      <c r="W2591" s="372"/>
      <c r="X2591" s="373"/>
      <c r="Y2591" s="348"/>
      <c r="Z2591" s="348"/>
      <c r="AA2591" s="348"/>
    </row>
    <row r="2592" s="331" customFormat="1" ht="17" customHeight="1" spans="1:27">
      <c r="A2592" s="348"/>
      <c r="B2592" s="348" t="s">
        <v>31</v>
      </c>
      <c r="C2592" s="348" t="s">
        <v>377</v>
      </c>
      <c r="D2592" s="352" t="s">
        <v>221</v>
      </c>
      <c r="E2592" s="336">
        <v>43675</v>
      </c>
      <c r="F2592" s="336">
        <v>43675</v>
      </c>
      <c r="G2592" s="350"/>
      <c r="H2592" s="334" t="s">
        <v>447</v>
      </c>
      <c r="I2592" s="356">
        <v>13301782915</v>
      </c>
      <c r="J2592" s="361" t="s">
        <v>6789</v>
      </c>
      <c r="K2592" s="356">
        <v>1000</v>
      </c>
      <c r="L2592" s="419"/>
      <c r="M2592" s="419"/>
      <c r="N2592" s="362">
        <f t="shared" si="92"/>
        <v>0</v>
      </c>
      <c r="O2592" s="366" t="s">
        <v>52</v>
      </c>
      <c r="P2592" s="356"/>
      <c r="Q2592" s="356"/>
      <c r="R2592" s="356"/>
      <c r="S2592" s="356"/>
      <c r="T2592" s="356"/>
      <c r="U2592" s="372"/>
      <c r="V2592" s="372"/>
      <c r="W2592" s="372"/>
      <c r="X2592" s="373"/>
      <c r="Y2592" s="348"/>
      <c r="Z2592" s="348"/>
      <c r="AA2592" s="348"/>
    </row>
    <row r="2593" s="331" customFormat="1" ht="17" customHeight="1" spans="1:27">
      <c r="A2593" s="550" t="s">
        <v>6790</v>
      </c>
      <c r="B2593" s="348" t="s">
        <v>58</v>
      </c>
      <c r="C2593" s="348" t="s">
        <v>794</v>
      </c>
      <c r="D2593" s="352" t="s">
        <v>110</v>
      </c>
      <c r="E2593" s="336">
        <v>43690</v>
      </c>
      <c r="F2593" s="336">
        <v>43668</v>
      </c>
      <c r="G2593" s="336">
        <v>43689</v>
      </c>
      <c r="H2593" s="334" t="s">
        <v>6791</v>
      </c>
      <c r="I2593" s="356">
        <v>13585816185</v>
      </c>
      <c r="J2593" s="361" t="s">
        <v>6792</v>
      </c>
      <c r="K2593" s="356">
        <v>1000</v>
      </c>
      <c r="L2593" s="334">
        <v>11029</v>
      </c>
      <c r="M2593" s="419"/>
      <c r="N2593" s="362">
        <f t="shared" si="92"/>
        <v>11029</v>
      </c>
      <c r="O2593" s="366"/>
      <c r="P2593" s="356"/>
      <c r="Q2593" s="366" t="s">
        <v>52</v>
      </c>
      <c r="R2593" s="356"/>
      <c r="S2593" s="356"/>
      <c r="T2593" s="356"/>
      <c r="U2593" s="372"/>
      <c r="V2593" s="372"/>
      <c r="W2593" s="372"/>
      <c r="X2593" s="373"/>
      <c r="Y2593" s="348"/>
      <c r="Z2593" s="348"/>
      <c r="AA2593" s="348"/>
    </row>
    <row r="2594" s="331" customFormat="1" ht="17" customHeight="1" spans="1:27">
      <c r="A2594" s="348"/>
      <c r="B2594" s="348" t="s">
        <v>31</v>
      </c>
      <c r="C2594" s="348" t="s">
        <v>251</v>
      </c>
      <c r="D2594" s="349" t="s">
        <v>162</v>
      </c>
      <c r="E2594" s="336">
        <v>43675</v>
      </c>
      <c r="F2594" s="336">
        <v>43674</v>
      </c>
      <c r="G2594" s="336">
        <v>43674</v>
      </c>
      <c r="H2594" s="334" t="s">
        <v>6793</v>
      </c>
      <c r="I2594" s="356">
        <v>18019195542</v>
      </c>
      <c r="J2594" s="361" t="s">
        <v>6794</v>
      </c>
      <c r="K2594" s="356">
        <v>1000</v>
      </c>
      <c r="L2594" s="334">
        <v>6265</v>
      </c>
      <c r="M2594" s="419"/>
      <c r="N2594" s="362">
        <f t="shared" si="92"/>
        <v>6265</v>
      </c>
      <c r="O2594" s="356"/>
      <c r="P2594" s="356"/>
      <c r="Q2594" s="356"/>
      <c r="R2594" s="356"/>
      <c r="S2594" s="356"/>
      <c r="T2594" s="356"/>
      <c r="U2594" s="372"/>
      <c r="V2594" s="372"/>
      <c r="W2594" s="372"/>
      <c r="X2594" s="373"/>
      <c r="Y2594" s="348"/>
      <c r="Z2594" s="348"/>
      <c r="AA2594" s="348"/>
    </row>
    <row r="2595" s="331" customFormat="1" ht="17" customHeight="1" spans="1:27">
      <c r="A2595" s="550" t="s">
        <v>6795</v>
      </c>
      <c r="B2595" s="348" t="s">
        <v>354</v>
      </c>
      <c r="C2595" s="348" t="s">
        <v>355</v>
      </c>
      <c r="D2595" s="349" t="s">
        <v>343</v>
      </c>
      <c r="E2595" s="336">
        <v>43675</v>
      </c>
      <c r="F2595" s="336">
        <v>43673</v>
      </c>
      <c r="G2595" s="336">
        <v>43677</v>
      </c>
      <c r="H2595" s="334" t="s">
        <v>6796</v>
      </c>
      <c r="I2595" s="356">
        <v>13391099863</v>
      </c>
      <c r="J2595" s="361" t="s">
        <v>6797</v>
      </c>
      <c r="K2595" s="356">
        <v>21305</v>
      </c>
      <c r="L2595" s="334">
        <v>21305</v>
      </c>
      <c r="M2595" s="419"/>
      <c r="N2595" s="362">
        <f t="shared" si="92"/>
        <v>21305</v>
      </c>
      <c r="O2595" s="356"/>
      <c r="P2595" s="356"/>
      <c r="Q2595" s="356"/>
      <c r="R2595" s="356"/>
      <c r="S2595" s="356"/>
      <c r="T2595" s="356"/>
      <c r="U2595" s="372"/>
      <c r="V2595" s="372"/>
      <c r="W2595" s="372"/>
      <c r="X2595" s="373"/>
      <c r="Y2595" s="348"/>
      <c r="Z2595" s="348"/>
      <c r="AA2595" s="348"/>
    </row>
    <row r="2596" s="331" customFormat="1" ht="17" customHeight="1" spans="1:27">
      <c r="A2596" s="550" t="s">
        <v>5011</v>
      </c>
      <c r="B2596" s="348" t="s">
        <v>147</v>
      </c>
      <c r="C2596" s="334" t="s">
        <v>148</v>
      </c>
      <c r="D2596" s="349" t="s">
        <v>132</v>
      </c>
      <c r="E2596" s="336">
        <v>43675</v>
      </c>
      <c r="F2596" s="336">
        <v>43673</v>
      </c>
      <c r="G2596" s="350">
        <v>43675</v>
      </c>
      <c r="H2596" s="334" t="s">
        <v>6798</v>
      </c>
      <c r="I2596" s="356">
        <v>13917202353</v>
      </c>
      <c r="J2596" s="361" t="s">
        <v>6799</v>
      </c>
      <c r="K2596" s="356">
        <v>14411</v>
      </c>
      <c r="L2596" s="334">
        <v>14411</v>
      </c>
      <c r="M2596" s="419"/>
      <c r="N2596" s="362">
        <f t="shared" si="92"/>
        <v>14411</v>
      </c>
      <c r="O2596" s="356"/>
      <c r="P2596" s="356"/>
      <c r="Q2596" s="356"/>
      <c r="R2596" s="356"/>
      <c r="S2596" s="356"/>
      <c r="T2596" s="356"/>
      <c r="U2596" s="372"/>
      <c r="V2596" s="372"/>
      <c r="W2596" s="372"/>
      <c r="X2596" s="373"/>
      <c r="Y2596" s="348"/>
      <c r="Z2596" s="348"/>
      <c r="AA2596" s="348"/>
    </row>
    <row r="2597" s="331" customFormat="1" ht="17" customHeight="1" spans="1:27">
      <c r="A2597" s="550" t="s">
        <v>6800</v>
      </c>
      <c r="B2597" s="348" t="s">
        <v>73</v>
      </c>
      <c r="C2597" s="348" t="s">
        <v>178</v>
      </c>
      <c r="D2597" s="334" t="s">
        <v>75</v>
      </c>
      <c r="E2597" s="336">
        <v>43791</v>
      </c>
      <c r="F2597" s="336">
        <v>43675</v>
      </c>
      <c r="G2597" s="336">
        <v>43790</v>
      </c>
      <c r="H2597" s="334" t="s">
        <v>6801</v>
      </c>
      <c r="I2597" s="356">
        <v>15901830525</v>
      </c>
      <c r="J2597" s="361" t="s">
        <v>6802</v>
      </c>
      <c r="K2597" s="356">
        <v>1000</v>
      </c>
      <c r="L2597" s="334">
        <v>38019</v>
      </c>
      <c r="M2597" s="419"/>
      <c r="N2597" s="362">
        <f t="shared" si="92"/>
        <v>38019</v>
      </c>
      <c r="O2597" s="356"/>
      <c r="P2597" s="366" t="s">
        <v>52</v>
      </c>
      <c r="Q2597" s="356"/>
      <c r="R2597" s="356"/>
      <c r="S2597" s="356"/>
      <c r="T2597" s="356"/>
      <c r="U2597" s="372"/>
      <c r="V2597" s="372"/>
      <c r="W2597" s="372"/>
      <c r="X2597" s="373"/>
      <c r="Y2597" s="348"/>
      <c r="Z2597" s="348"/>
      <c r="AA2597" s="348"/>
    </row>
    <row r="2598" s="331" customFormat="1" ht="17" customHeight="1" spans="1:27">
      <c r="A2598" s="348"/>
      <c r="B2598" s="348" t="s">
        <v>147</v>
      </c>
      <c r="C2598" s="348" t="s">
        <v>148</v>
      </c>
      <c r="D2598" s="352" t="s">
        <v>149</v>
      </c>
      <c r="E2598" s="336">
        <v>43720</v>
      </c>
      <c r="F2598" s="336">
        <v>43674</v>
      </c>
      <c r="G2598" s="336">
        <v>43715</v>
      </c>
      <c r="H2598" s="334" t="s">
        <v>6803</v>
      </c>
      <c r="I2598" s="356">
        <v>18116340907</v>
      </c>
      <c r="J2598" s="361" t="s">
        <v>6804</v>
      </c>
      <c r="K2598" s="356">
        <v>1000</v>
      </c>
      <c r="L2598" s="334">
        <v>12206</v>
      </c>
      <c r="M2598" s="419"/>
      <c r="N2598" s="362">
        <f t="shared" si="92"/>
        <v>12206</v>
      </c>
      <c r="O2598" s="356"/>
      <c r="P2598" s="356"/>
      <c r="Q2598" s="356"/>
      <c r="R2598" s="356"/>
      <c r="S2598" s="356" t="s">
        <v>6805</v>
      </c>
      <c r="T2598" s="356"/>
      <c r="U2598" s="372"/>
      <c r="V2598" s="372"/>
      <c r="W2598" s="372"/>
      <c r="X2598" s="373"/>
      <c r="Y2598" s="348"/>
      <c r="Z2598" s="348"/>
      <c r="AA2598" s="348"/>
    </row>
    <row r="2599" s="331" customFormat="1" ht="17" customHeight="1" spans="1:27">
      <c r="A2599" s="550" t="s">
        <v>4971</v>
      </c>
      <c r="B2599" s="348" t="s">
        <v>147</v>
      </c>
      <c r="C2599" s="348" t="s">
        <v>148</v>
      </c>
      <c r="D2599" s="334" t="s">
        <v>207</v>
      </c>
      <c r="E2599" s="336">
        <v>43738</v>
      </c>
      <c r="F2599" s="336">
        <v>43674</v>
      </c>
      <c r="G2599" s="336">
        <v>43738</v>
      </c>
      <c r="H2599" s="334" t="s">
        <v>6806</v>
      </c>
      <c r="I2599" s="356">
        <v>13817284839</v>
      </c>
      <c r="J2599" s="361" t="s">
        <v>6807</v>
      </c>
      <c r="K2599" s="356">
        <v>4089</v>
      </c>
      <c r="L2599" s="334">
        <v>4089</v>
      </c>
      <c r="M2599" s="419"/>
      <c r="N2599" s="362">
        <f t="shared" si="92"/>
        <v>4089</v>
      </c>
      <c r="O2599" s="356"/>
      <c r="P2599" s="356"/>
      <c r="Q2599" s="356"/>
      <c r="R2599" s="356"/>
      <c r="S2599" s="391" t="s">
        <v>6808</v>
      </c>
      <c r="T2599" s="356"/>
      <c r="U2599" s="372"/>
      <c r="V2599" s="372"/>
      <c r="W2599" s="372"/>
      <c r="X2599" s="373"/>
      <c r="Y2599" s="348"/>
      <c r="Z2599" s="348"/>
      <c r="AA2599" s="348"/>
    </row>
    <row r="2600" s="331" customFormat="1" ht="17" customHeight="1" spans="1:27">
      <c r="A2600" s="348"/>
      <c r="B2600" s="348" t="s">
        <v>147</v>
      </c>
      <c r="C2600" s="348" t="s">
        <v>148</v>
      </c>
      <c r="D2600" s="334" t="s">
        <v>1170</v>
      </c>
      <c r="E2600" s="336">
        <v>43708</v>
      </c>
      <c r="F2600" s="336">
        <v>43667</v>
      </c>
      <c r="G2600" s="336">
        <v>43705</v>
      </c>
      <c r="H2600" s="334" t="s">
        <v>6809</v>
      </c>
      <c r="I2600" s="356">
        <v>13764392558</v>
      </c>
      <c r="J2600" s="361" t="s">
        <v>6810</v>
      </c>
      <c r="K2600" s="356">
        <v>1000</v>
      </c>
      <c r="L2600" s="334">
        <f>5668-536</f>
        <v>5132</v>
      </c>
      <c r="M2600" s="334">
        <v>536</v>
      </c>
      <c r="N2600" s="362">
        <f t="shared" si="92"/>
        <v>5668</v>
      </c>
      <c r="O2600" s="356"/>
      <c r="P2600" s="356" t="s">
        <v>6811</v>
      </c>
      <c r="Q2600" s="356"/>
      <c r="R2600" s="356"/>
      <c r="S2600" s="356"/>
      <c r="T2600" s="356"/>
      <c r="U2600" s="372"/>
      <c r="V2600" s="372"/>
      <c r="W2600" s="372"/>
      <c r="X2600" s="373"/>
      <c r="Y2600" s="348"/>
      <c r="Z2600" s="348"/>
      <c r="AA2600" s="348"/>
    </row>
    <row r="2601" s="331" customFormat="1" ht="17" customHeight="1" spans="1:27">
      <c r="A2601" s="348"/>
      <c r="B2601" s="348" t="s">
        <v>335</v>
      </c>
      <c r="C2601" s="334" t="s">
        <v>399</v>
      </c>
      <c r="D2601" s="349" t="s">
        <v>337</v>
      </c>
      <c r="E2601" s="336">
        <v>43675</v>
      </c>
      <c r="F2601" s="336"/>
      <c r="G2601" s="336">
        <v>43666</v>
      </c>
      <c r="H2601" s="334" t="s">
        <v>6812</v>
      </c>
      <c r="I2601" s="356">
        <v>13162966079</v>
      </c>
      <c r="J2601" s="361" t="s">
        <v>6813</v>
      </c>
      <c r="K2601" s="356"/>
      <c r="L2601" s="334">
        <v>6730</v>
      </c>
      <c r="M2601" s="419"/>
      <c r="N2601" s="362">
        <f t="shared" si="92"/>
        <v>6730</v>
      </c>
      <c r="O2601" s="356"/>
      <c r="P2601" s="356"/>
      <c r="Q2601" s="356"/>
      <c r="R2601" s="356"/>
      <c r="S2601" s="356"/>
      <c r="T2601" s="356"/>
      <c r="U2601" s="372"/>
      <c r="V2601" s="372"/>
      <c r="W2601" s="372"/>
      <c r="X2601" s="373"/>
      <c r="Y2601" s="348"/>
      <c r="Z2601" s="348"/>
      <c r="AA2601" s="348"/>
    </row>
    <row r="2602" s="331" customFormat="1" ht="17" customHeight="1" spans="1:27">
      <c r="A2602" s="348"/>
      <c r="B2602" s="348" t="s">
        <v>123</v>
      </c>
      <c r="C2602" s="348" t="s">
        <v>902</v>
      </c>
      <c r="D2602" s="352" t="s">
        <v>125</v>
      </c>
      <c r="E2602" s="336">
        <v>43675</v>
      </c>
      <c r="F2602" s="336"/>
      <c r="G2602" s="336">
        <v>43674</v>
      </c>
      <c r="H2602" s="334" t="s">
        <v>6814</v>
      </c>
      <c r="I2602" s="356">
        <v>13761267089</v>
      </c>
      <c r="J2602" s="361" t="s">
        <v>6815</v>
      </c>
      <c r="K2602" s="356"/>
      <c r="L2602" s="334">
        <v>8486</v>
      </c>
      <c r="M2602" s="419"/>
      <c r="N2602" s="362">
        <f t="shared" si="92"/>
        <v>8486</v>
      </c>
      <c r="O2602" s="356"/>
      <c r="P2602" s="356"/>
      <c r="Q2602" s="356"/>
      <c r="R2602" s="356"/>
      <c r="S2602" s="356"/>
      <c r="T2602" s="356"/>
      <c r="U2602" s="372"/>
      <c r="V2602" s="372"/>
      <c r="W2602" s="372"/>
      <c r="X2602" s="373"/>
      <c r="Y2602" s="348"/>
      <c r="Z2602" s="348"/>
      <c r="AA2602" s="348"/>
    </row>
    <row r="2603" s="331" customFormat="1" ht="17" customHeight="1" spans="1:27">
      <c r="A2603" s="348"/>
      <c r="B2603" s="348" t="s">
        <v>137</v>
      </c>
      <c r="C2603" s="334" t="s">
        <v>480</v>
      </c>
      <c r="D2603" s="349" t="s">
        <v>171</v>
      </c>
      <c r="E2603" s="336">
        <v>43675</v>
      </c>
      <c r="F2603" s="336"/>
      <c r="G2603" s="336">
        <v>43675</v>
      </c>
      <c r="H2603" s="334" t="s">
        <v>6816</v>
      </c>
      <c r="I2603" s="356">
        <v>13611993884</v>
      </c>
      <c r="J2603" s="361" t="s">
        <v>6817</v>
      </c>
      <c r="K2603" s="356"/>
      <c r="L2603" s="334">
        <v>16200</v>
      </c>
      <c r="M2603" s="419"/>
      <c r="N2603" s="362">
        <f t="shared" si="92"/>
        <v>16200</v>
      </c>
      <c r="O2603" s="356"/>
      <c r="P2603" s="356"/>
      <c r="Q2603" s="356"/>
      <c r="R2603" s="356"/>
      <c r="S2603" s="356"/>
      <c r="T2603" s="356"/>
      <c r="U2603" s="372"/>
      <c r="V2603" s="372"/>
      <c r="W2603" s="372"/>
      <c r="X2603" s="373"/>
      <c r="Y2603" s="348"/>
      <c r="Z2603" s="348"/>
      <c r="AA2603" s="348"/>
    </row>
    <row r="2604" s="331" customFormat="1" ht="17" customHeight="1" spans="1:27">
      <c r="A2604" s="348"/>
      <c r="B2604" s="348" t="s">
        <v>137</v>
      </c>
      <c r="C2604" s="334" t="s">
        <v>480</v>
      </c>
      <c r="D2604" s="349" t="s">
        <v>139</v>
      </c>
      <c r="E2604" s="336">
        <v>43675</v>
      </c>
      <c r="F2604" s="336"/>
      <c r="G2604" s="336">
        <v>43675</v>
      </c>
      <c r="H2604" s="334" t="s">
        <v>6818</v>
      </c>
      <c r="I2604" s="356">
        <v>13524655107</v>
      </c>
      <c r="J2604" s="361" t="s">
        <v>6819</v>
      </c>
      <c r="K2604" s="356"/>
      <c r="L2604" s="334">
        <v>9786</v>
      </c>
      <c r="M2604" s="419"/>
      <c r="N2604" s="362">
        <f t="shared" si="92"/>
        <v>9786</v>
      </c>
      <c r="O2604" s="356"/>
      <c r="P2604" s="356"/>
      <c r="Q2604" s="356"/>
      <c r="R2604" s="356"/>
      <c r="S2604" s="356"/>
      <c r="T2604" s="356"/>
      <c r="U2604" s="372"/>
      <c r="V2604" s="372"/>
      <c r="W2604" s="372"/>
      <c r="X2604" s="373"/>
      <c r="Y2604" s="348"/>
      <c r="Z2604" s="348"/>
      <c r="AA2604" s="348"/>
    </row>
    <row r="2605" s="331" customFormat="1" ht="17" customHeight="1" spans="1:27">
      <c r="A2605" s="348"/>
      <c r="B2605" s="348" t="s">
        <v>94</v>
      </c>
      <c r="C2605" s="334" t="s">
        <v>101</v>
      </c>
      <c r="D2605" s="352" t="s">
        <v>49</v>
      </c>
      <c r="E2605" s="336">
        <v>43675</v>
      </c>
      <c r="F2605" s="336"/>
      <c r="G2605" s="336">
        <v>43672</v>
      </c>
      <c r="H2605" s="334" t="s">
        <v>6820</v>
      </c>
      <c r="I2605" s="356">
        <v>18616772076</v>
      </c>
      <c r="J2605" s="361" t="s">
        <v>6821</v>
      </c>
      <c r="K2605" s="356"/>
      <c r="L2605" s="334">
        <v>31300</v>
      </c>
      <c r="M2605" s="419"/>
      <c r="N2605" s="362">
        <f t="shared" si="92"/>
        <v>31300</v>
      </c>
      <c r="O2605" s="356"/>
      <c r="P2605" s="356"/>
      <c r="Q2605" s="356"/>
      <c r="R2605" s="356"/>
      <c r="S2605" s="356"/>
      <c r="T2605" s="356"/>
      <c r="U2605" s="372"/>
      <c r="V2605" s="372"/>
      <c r="W2605" s="372"/>
      <c r="X2605" s="373"/>
      <c r="Y2605" s="348"/>
      <c r="Z2605" s="348"/>
      <c r="AA2605" s="348"/>
    </row>
    <row r="2606" s="331" customFormat="1" ht="17" customHeight="1" spans="1:27">
      <c r="A2606" s="348"/>
      <c r="B2606" s="348" t="s">
        <v>58</v>
      </c>
      <c r="C2606" s="348" t="s">
        <v>347</v>
      </c>
      <c r="D2606" s="349" t="s">
        <v>717</v>
      </c>
      <c r="E2606" s="336">
        <v>43675</v>
      </c>
      <c r="F2606" s="336"/>
      <c r="G2606" s="336">
        <v>43674</v>
      </c>
      <c r="H2606" s="334" t="s">
        <v>6822</v>
      </c>
      <c r="I2606" s="356">
        <v>13501782798</v>
      </c>
      <c r="J2606" s="361" t="s">
        <v>6823</v>
      </c>
      <c r="K2606" s="356"/>
      <c r="L2606" s="334">
        <v>77888</v>
      </c>
      <c r="M2606" s="334"/>
      <c r="N2606" s="362">
        <f t="shared" si="92"/>
        <v>77888</v>
      </c>
      <c r="O2606" s="356"/>
      <c r="P2606" s="356"/>
      <c r="Q2606" s="356"/>
      <c r="R2606" s="356"/>
      <c r="S2606" s="356"/>
      <c r="T2606" s="356"/>
      <c r="U2606" s="372"/>
      <c r="V2606" s="372"/>
      <c r="W2606" s="372"/>
      <c r="X2606" s="373"/>
      <c r="Y2606" s="348"/>
      <c r="Z2606" s="348"/>
      <c r="AA2606" s="348"/>
    </row>
    <row r="2607" s="331" customFormat="1" ht="17" customHeight="1" spans="1:27">
      <c r="A2607" s="348"/>
      <c r="B2607" s="348" t="s">
        <v>137</v>
      </c>
      <c r="C2607" s="334" t="s">
        <v>861</v>
      </c>
      <c r="D2607" s="349" t="s">
        <v>75</v>
      </c>
      <c r="E2607" s="336">
        <v>43675</v>
      </c>
      <c r="F2607" s="336" t="s">
        <v>800</v>
      </c>
      <c r="G2607" s="336">
        <v>43667</v>
      </c>
      <c r="H2607" s="269" t="s">
        <v>6824</v>
      </c>
      <c r="I2607" s="356">
        <v>13761631672</v>
      </c>
      <c r="J2607" s="361" t="s">
        <v>6825</v>
      </c>
      <c r="K2607" s="356"/>
      <c r="L2607" s="419"/>
      <c r="M2607" s="334">
        <v>11456</v>
      </c>
      <c r="N2607" s="362">
        <f t="shared" ref="N2607:N2634" si="93">L2607+M2607</f>
        <v>11456</v>
      </c>
      <c r="O2607" s="356"/>
      <c r="P2607" s="356"/>
      <c r="Q2607" s="356"/>
      <c r="R2607" s="356"/>
      <c r="S2607" s="356"/>
      <c r="T2607" s="356"/>
      <c r="U2607" s="372"/>
      <c r="V2607" s="372"/>
      <c r="W2607" s="372"/>
      <c r="X2607" s="373"/>
      <c r="Y2607" s="348"/>
      <c r="Z2607" s="348"/>
      <c r="AA2607" s="348"/>
    </row>
    <row r="2608" s="331" customFormat="1" ht="17" customHeight="1" spans="1:27">
      <c r="A2608" s="348"/>
      <c r="B2608" s="348" t="s">
        <v>169</v>
      </c>
      <c r="C2608" s="334" t="s">
        <v>634</v>
      </c>
      <c r="D2608" s="349" t="s">
        <v>171</v>
      </c>
      <c r="E2608" s="336">
        <v>43675</v>
      </c>
      <c r="F2608" s="336" t="s">
        <v>800</v>
      </c>
      <c r="G2608" s="336">
        <v>43671</v>
      </c>
      <c r="H2608" s="334" t="s">
        <v>6826</v>
      </c>
      <c r="I2608" s="356">
        <v>15900595187</v>
      </c>
      <c r="J2608" s="361" t="s">
        <v>6827</v>
      </c>
      <c r="K2608" s="356"/>
      <c r="L2608" s="419"/>
      <c r="M2608" s="334">
        <v>8336</v>
      </c>
      <c r="N2608" s="362">
        <f t="shared" si="93"/>
        <v>8336</v>
      </c>
      <c r="O2608" s="356"/>
      <c r="P2608" s="356"/>
      <c r="Q2608" s="356"/>
      <c r="R2608" s="356"/>
      <c r="S2608" s="356"/>
      <c r="T2608" s="356"/>
      <c r="U2608" s="372"/>
      <c r="V2608" s="372"/>
      <c r="W2608" s="372"/>
      <c r="X2608" s="373"/>
      <c r="Y2608" s="348"/>
      <c r="Z2608" s="348"/>
      <c r="AA2608" s="348"/>
    </row>
    <row r="2609" s="331" customFormat="1" ht="17" customHeight="1" spans="1:27">
      <c r="A2609" s="348"/>
      <c r="B2609" s="348" t="s">
        <v>31</v>
      </c>
      <c r="C2609" s="334" t="s">
        <v>220</v>
      </c>
      <c r="D2609" s="349" t="s">
        <v>221</v>
      </c>
      <c r="E2609" s="336">
        <v>43675</v>
      </c>
      <c r="F2609" s="336" t="s">
        <v>800</v>
      </c>
      <c r="G2609" s="336">
        <v>43670</v>
      </c>
      <c r="H2609" s="334" t="s">
        <v>6828</v>
      </c>
      <c r="I2609" s="356">
        <v>18930556001</v>
      </c>
      <c r="J2609" s="361" t="s">
        <v>6829</v>
      </c>
      <c r="K2609" s="356"/>
      <c r="L2609" s="419"/>
      <c r="M2609" s="334">
        <v>28502</v>
      </c>
      <c r="N2609" s="362">
        <f t="shared" si="93"/>
        <v>28502</v>
      </c>
      <c r="O2609" s="356"/>
      <c r="P2609" s="356"/>
      <c r="Q2609" s="356"/>
      <c r="R2609" s="356"/>
      <c r="S2609" s="356"/>
      <c r="T2609" s="356"/>
      <c r="U2609" s="372"/>
      <c r="V2609" s="372"/>
      <c r="W2609" s="372"/>
      <c r="X2609" s="373"/>
      <c r="Y2609" s="348"/>
      <c r="Z2609" s="348"/>
      <c r="AA2609" s="348"/>
    </row>
    <row r="2610" s="331" customFormat="1" ht="17" customHeight="1" spans="1:27">
      <c r="A2610" s="348"/>
      <c r="B2610" s="348" t="s">
        <v>315</v>
      </c>
      <c r="C2610" s="334" t="s">
        <v>275</v>
      </c>
      <c r="D2610" s="349" t="s">
        <v>162</v>
      </c>
      <c r="E2610" s="336">
        <v>43675</v>
      </c>
      <c r="F2610" s="336" t="s">
        <v>800</v>
      </c>
      <c r="G2610" s="336">
        <v>43675</v>
      </c>
      <c r="H2610" s="334" t="s">
        <v>6830</v>
      </c>
      <c r="I2610" s="356">
        <v>13916732983</v>
      </c>
      <c r="J2610" s="361" t="s">
        <v>6831</v>
      </c>
      <c r="K2610" s="356"/>
      <c r="L2610" s="419"/>
      <c r="M2610" s="334">
        <f>1104+736+4770</f>
        <v>6610</v>
      </c>
      <c r="N2610" s="362">
        <f t="shared" si="93"/>
        <v>6610</v>
      </c>
      <c r="O2610" s="356"/>
      <c r="P2610" s="356"/>
      <c r="Q2610" s="356"/>
      <c r="R2610" s="356"/>
      <c r="S2610" s="356"/>
      <c r="T2610" s="356"/>
      <c r="U2610" s="372"/>
      <c r="V2610" s="372"/>
      <c r="W2610" s="372"/>
      <c r="X2610" s="373"/>
      <c r="Y2610" s="348"/>
      <c r="Z2610" s="348"/>
      <c r="AA2610" s="348"/>
    </row>
    <row r="2611" s="331" customFormat="1" ht="17" customHeight="1" spans="1:27">
      <c r="A2611" s="348"/>
      <c r="B2611" s="348" t="s">
        <v>281</v>
      </c>
      <c r="C2611" s="334" t="s">
        <v>587</v>
      </c>
      <c r="D2611" s="352" t="s">
        <v>49</v>
      </c>
      <c r="E2611" s="336">
        <v>43675</v>
      </c>
      <c r="F2611" s="336" t="s">
        <v>800</v>
      </c>
      <c r="G2611" s="336">
        <v>43647</v>
      </c>
      <c r="H2611" s="334" t="s">
        <v>6832</v>
      </c>
      <c r="I2611" s="334">
        <v>17717609288</v>
      </c>
      <c r="J2611" s="367" t="s">
        <v>6833</v>
      </c>
      <c r="K2611" s="356"/>
      <c r="L2611" s="419"/>
      <c r="M2611" s="334">
        <v>-1470</v>
      </c>
      <c r="N2611" s="362">
        <f t="shared" si="93"/>
        <v>-1470</v>
      </c>
      <c r="O2611" s="356"/>
      <c r="P2611" s="356"/>
      <c r="Q2611" s="356"/>
      <c r="R2611" s="356"/>
      <c r="S2611" s="356"/>
      <c r="T2611" s="356"/>
      <c r="U2611" s="367" t="s">
        <v>12</v>
      </c>
      <c r="V2611" s="372"/>
      <c r="W2611" s="372"/>
      <c r="X2611" s="373"/>
      <c r="Y2611" s="348"/>
      <c r="Z2611" s="348"/>
      <c r="AA2611" s="348"/>
    </row>
    <row r="2612" s="331" customFormat="1" ht="17" customHeight="1" spans="1:27">
      <c r="A2612" s="348"/>
      <c r="B2612" s="348" t="s">
        <v>185</v>
      </c>
      <c r="C2612" s="348" t="s">
        <v>186</v>
      </c>
      <c r="D2612" s="349" t="s">
        <v>44</v>
      </c>
      <c r="E2612" s="336">
        <v>43675</v>
      </c>
      <c r="F2612" s="336" t="s">
        <v>800</v>
      </c>
      <c r="G2612" s="336">
        <v>43675</v>
      </c>
      <c r="H2612" s="351" t="s">
        <v>6834</v>
      </c>
      <c r="I2612" s="356">
        <v>1370194816</v>
      </c>
      <c r="J2612" s="361" t="s">
        <v>6835</v>
      </c>
      <c r="K2612" s="356"/>
      <c r="L2612" s="419"/>
      <c r="M2612" s="334">
        <v>-10000</v>
      </c>
      <c r="N2612" s="362">
        <f t="shared" si="93"/>
        <v>-10000</v>
      </c>
      <c r="O2612" s="356"/>
      <c r="P2612" s="356"/>
      <c r="Q2612" s="356"/>
      <c r="R2612" s="356"/>
      <c r="S2612" s="356"/>
      <c r="T2612" s="356"/>
      <c r="U2612" s="367" t="s">
        <v>5517</v>
      </c>
      <c r="V2612" s="372"/>
      <c r="W2612" s="372"/>
      <c r="X2612" s="373"/>
      <c r="Y2612" s="348"/>
      <c r="Z2612" s="348"/>
      <c r="AA2612" s="348"/>
    </row>
    <row r="2613" s="331" customFormat="1" ht="17" customHeight="1" spans="1:27">
      <c r="A2613" s="348"/>
      <c r="B2613" s="348" t="s">
        <v>31</v>
      </c>
      <c r="C2613" s="348" t="s">
        <v>419</v>
      </c>
      <c r="D2613" s="349" t="s">
        <v>33</v>
      </c>
      <c r="E2613" s="336">
        <v>43675</v>
      </c>
      <c r="F2613" s="336" t="s">
        <v>800</v>
      </c>
      <c r="G2613" s="336">
        <v>43675</v>
      </c>
      <c r="H2613" s="334" t="s">
        <v>2403</v>
      </c>
      <c r="I2613" s="356">
        <v>13370065202</v>
      </c>
      <c r="J2613" s="361" t="s">
        <v>6462</v>
      </c>
      <c r="K2613" s="356"/>
      <c r="L2613" s="419"/>
      <c r="M2613" s="334">
        <v>494</v>
      </c>
      <c r="N2613" s="362">
        <f t="shared" si="93"/>
        <v>494</v>
      </c>
      <c r="O2613" s="356"/>
      <c r="P2613" s="356"/>
      <c r="Q2613" s="356"/>
      <c r="R2613" s="356"/>
      <c r="S2613" s="356"/>
      <c r="T2613" s="356"/>
      <c r="U2613" s="372"/>
      <c r="V2613" s="372"/>
      <c r="W2613" s="372"/>
      <c r="X2613" s="373"/>
      <c r="Y2613" s="348"/>
      <c r="Z2613" s="348"/>
      <c r="AA2613" s="348"/>
    </row>
    <row r="2614" s="331" customFormat="1" ht="17" customHeight="1" spans="1:27">
      <c r="A2614" s="348"/>
      <c r="B2614" s="334" t="s">
        <v>153</v>
      </c>
      <c r="C2614" s="334" t="s">
        <v>302</v>
      </c>
      <c r="D2614" s="352" t="s">
        <v>155</v>
      </c>
      <c r="E2614" s="336">
        <v>43675</v>
      </c>
      <c r="F2614" s="336" t="s">
        <v>800</v>
      </c>
      <c r="G2614" s="336">
        <v>43657</v>
      </c>
      <c r="H2614" s="334" t="s">
        <v>6529</v>
      </c>
      <c r="I2614" s="337">
        <v>13816129708</v>
      </c>
      <c r="J2614" s="367" t="s">
        <v>6836</v>
      </c>
      <c r="K2614" s="356"/>
      <c r="L2614" s="419"/>
      <c r="M2614" s="334">
        <v>112</v>
      </c>
      <c r="N2614" s="362">
        <f t="shared" si="93"/>
        <v>112</v>
      </c>
      <c r="O2614" s="356"/>
      <c r="P2614" s="356"/>
      <c r="Q2614" s="356"/>
      <c r="R2614" s="356"/>
      <c r="S2614" s="356"/>
      <c r="T2614" s="356"/>
      <c r="U2614" s="372"/>
      <c r="V2614" s="372"/>
      <c r="W2614" s="372"/>
      <c r="X2614" s="373"/>
      <c r="Y2614" s="348"/>
      <c r="Z2614" s="348"/>
      <c r="AA2614" s="348"/>
    </row>
    <row r="2615" s="331" customFormat="1" ht="17" customHeight="1" spans="1:27">
      <c r="A2615" s="348"/>
      <c r="B2615" s="348" t="s">
        <v>137</v>
      </c>
      <c r="C2615" s="334" t="s">
        <v>138</v>
      </c>
      <c r="D2615" s="349" t="s">
        <v>139</v>
      </c>
      <c r="E2615" s="336">
        <v>43675</v>
      </c>
      <c r="F2615" s="336" t="s">
        <v>800</v>
      </c>
      <c r="G2615" s="336">
        <v>43674</v>
      </c>
      <c r="H2615" s="334" t="s">
        <v>6837</v>
      </c>
      <c r="I2615" s="356">
        <v>15000903141</v>
      </c>
      <c r="J2615" s="361" t="s">
        <v>6838</v>
      </c>
      <c r="K2615" s="356"/>
      <c r="L2615" s="419"/>
      <c r="M2615" s="334">
        <v>-9000</v>
      </c>
      <c r="N2615" s="362">
        <f t="shared" si="93"/>
        <v>-9000</v>
      </c>
      <c r="O2615" s="356"/>
      <c r="P2615" s="356"/>
      <c r="Q2615" s="356"/>
      <c r="R2615" s="356"/>
      <c r="S2615" s="356"/>
      <c r="T2615" s="356"/>
      <c r="U2615" s="372"/>
      <c r="V2615" s="372"/>
      <c r="W2615" s="372"/>
      <c r="X2615" s="373"/>
      <c r="Y2615" s="348"/>
      <c r="Z2615" s="348"/>
      <c r="AA2615" s="348"/>
    </row>
    <row r="2616" s="331" customFormat="1" ht="17" customHeight="1" spans="1:27">
      <c r="A2616" s="348"/>
      <c r="B2616" s="348" t="s">
        <v>137</v>
      </c>
      <c r="C2616" s="334" t="s">
        <v>138</v>
      </c>
      <c r="D2616" s="349" t="s">
        <v>717</v>
      </c>
      <c r="E2616" s="336">
        <v>43675</v>
      </c>
      <c r="F2616" s="336" t="s">
        <v>800</v>
      </c>
      <c r="G2616" s="336">
        <v>43674</v>
      </c>
      <c r="H2616" s="334" t="s">
        <v>6837</v>
      </c>
      <c r="I2616" s="356">
        <v>15000903141</v>
      </c>
      <c r="J2616" s="361" t="s">
        <v>6838</v>
      </c>
      <c r="K2616" s="356"/>
      <c r="L2616" s="419"/>
      <c r="M2616" s="334">
        <v>33560</v>
      </c>
      <c r="N2616" s="362">
        <f t="shared" si="93"/>
        <v>33560</v>
      </c>
      <c r="O2616" s="356"/>
      <c r="P2616" s="356"/>
      <c r="Q2616" s="356"/>
      <c r="R2616" s="356"/>
      <c r="S2616" s="356"/>
      <c r="T2616" s="356"/>
      <c r="U2616" s="372"/>
      <c r="V2616" s="372"/>
      <c r="W2616" s="372"/>
      <c r="X2616" s="373"/>
      <c r="Y2616" s="348"/>
      <c r="Z2616" s="348"/>
      <c r="AA2616" s="348"/>
    </row>
    <row r="2617" s="331" customFormat="1" ht="17" customHeight="1" spans="1:27">
      <c r="A2617" s="348"/>
      <c r="B2617" s="348" t="s">
        <v>66</v>
      </c>
      <c r="C2617" s="334" t="s">
        <v>1749</v>
      </c>
      <c r="D2617" s="349" t="s">
        <v>68</v>
      </c>
      <c r="E2617" s="336">
        <v>43675</v>
      </c>
      <c r="F2617" s="336" t="s">
        <v>800</v>
      </c>
      <c r="G2617" s="336">
        <v>43674</v>
      </c>
      <c r="H2617" s="334" t="s">
        <v>6839</v>
      </c>
      <c r="I2617" s="356">
        <v>13761052640</v>
      </c>
      <c r="J2617" s="361" t="s">
        <v>6840</v>
      </c>
      <c r="K2617" s="356"/>
      <c r="L2617" s="419"/>
      <c r="M2617" s="334">
        <v>6419</v>
      </c>
      <c r="N2617" s="362">
        <f t="shared" si="93"/>
        <v>6419</v>
      </c>
      <c r="O2617" s="356"/>
      <c r="P2617" s="356"/>
      <c r="Q2617" s="356"/>
      <c r="R2617" s="356"/>
      <c r="S2617" s="356"/>
      <c r="T2617" s="356"/>
      <c r="U2617" s="372"/>
      <c r="V2617" s="372"/>
      <c r="W2617" s="372"/>
      <c r="X2617" s="373"/>
      <c r="Y2617" s="348"/>
      <c r="Z2617" s="348"/>
      <c r="AA2617" s="348"/>
    </row>
    <row r="2618" s="331" customFormat="1" ht="17" customHeight="1" spans="1:27">
      <c r="A2618" s="348"/>
      <c r="B2618" s="348" t="s">
        <v>185</v>
      </c>
      <c r="C2618" s="334" t="s">
        <v>1530</v>
      </c>
      <c r="D2618" s="349" t="s">
        <v>44</v>
      </c>
      <c r="E2618" s="336">
        <v>43675</v>
      </c>
      <c r="F2618" s="336" t="s">
        <v>800</v>
      </c>
      <c r="G2618" s="336">
        <v>43675</v>
      </c>
      <c r="H2618" s="334" t="s">
        <v>6841</v>
      </c>
      <c r="I2618" s="356">
        <v>13910651889</v>
      </c>
      <c r="J2618" s="367" t="s">
        <v>6842</v>
      </c>
      <c r="K2618" s="356"/>
      <c r="L2618" s="419"/>
      <c r="M2618" s="334">
        <v>111</v>
      </c>
      <c r="N2618" s="362">
        <f t="shared" si="93"/>
        <v>111</v>
      </c>
      <c r="O2618" s="356"/>
      <c r="P2618" s="356"/>
      <c r="Q2618" s="356"/>
      <c r="R2618" s="356"/>
      <c r="S2618" s="356"/>
      <c r="T2618" s="356"/>
      <c r="U2618" s="372"/>
      <c r="V2618" s="372"/>
      <c r="W2618" s="372"/>
      <c r="X2618" s="373"/>
      <c r="Y2618" s="348"/>
      <c r="Z2618" s="348"/>
      <c r="AA2618" s="348"/>
    </row>
    <row r="2619" s="331" customFormat="1" ht="17" customHeight="1" spans="1:27">
      <c r="A2619" s="348"/>
      <c r="B2619" s="348" t="s">
        <v>153</v>
      </c>
      <c r="C2619" s="334" t="s">
        <v>154</v>
      </c>
      <c r="D2619" s="349" t="s">
        <v>155</v>
      </c>
      <c r="E2619" s="336">
        <v>43675</v>
      </c>
      <c r="F2619" s="336" t="s">
        <v>800</v>
      </c>
      <c r="G2619" s="336">
        <v>43675</v>
      </c>
      <c r="H2619" s="334" t="s">
        <v>6843</v>
      </c>
      <c r="I2619" s="356">
        <v>13501992293</v>
      </c>
      <c r="J2619" s="361" t="s">
        <v>6844</v>
      </c>
      <c r="K2619" s="356"/>
      <c r="L2619" s="419"/>
      <c r="M2619" s="334">
        <v>1584</v>
      </c>
      <c r="N2619" s="362">
        <f t="shared" si="93"/>
        <v>1584</v>
      </c>
      <c r="O2619" s="356"/>
      <c r="P2619" s="356"/>
      <c r="Q2619" s="356"/>
      <c r="R2619" s="356"/>
      <c r="S2619" s="356"/>
      <c r="T2619" s="356"/>
      <c r="U2619" s="372"/>
      <c r="V2619" s="372"/>
      <c r="W2619" s="372"/>
      <c r="X2619" s="373"/>
      <c r="Y2619" s="348"/>
      <c r="Z2619" s="348"/>
      <c r="AA2619" s="348"/>
    </row>
    <row r="2620" s="331" customFormat="1" ht="17" customHeight="1" spans="1:27">
      <c r="A2620" s="348"/>
      <c r="B2620" s="348" t="s">
        <v>123</v>
      </c>
      <c r="C2620" s="334" t="s">
        <v>124</v>
      </c>
      <c r="D2620" s="349" t="s">
        <v>125</v>
      </c>
      <c r="E2620" s="336">
        <v>43675</v>
      </c>
      <c r="F2620" s="336" t="s">
        <v>800</v>
      </c>
      <c r="G2620" s="336">
        <v>43675</v>
      </c>
      <c r="H2620" s="334" t="s">
        <v>5679</v>
      </c>
      <c r="I2620" s="356">
        <v>13482331982</v>
      </c>
      <c r="J2620" s="361" t="s">
        <v>5680</v>
      </c>
      <c r="K2620" s="356"/>
      <c r="L2620" s="419"/>
      <c r="M2620" s="334">
        <v>244</v>
      </c>
      <c r="N2620" s="362">
        <f t="shared" si="93"/>
        <v>244</v>
      </c>
      <c r="O2620" s="356"/>
      <c r="P2620" s="356"/>
      <c r="Q2620" s="356"/>
      <c r="R2620" s="356"/>
      <c r="S2620" s="356"/>
      <c r="T2620" s="356"/>
      <c r="U2620" s="372"/>
      <c r="V2620" s="372"/>
      <c r="W2620" s="372"/>
      <c r="X2620" s="373"/>
      <c r="Y2620" s="348"/>
      <c r="Z2620" s="348"/>
      <c r="AA2620" s="348"/>
    </row>
    <row r="2621" s="331" customFormat="1" ht="17" customHeight="1" spans="1:27">
      <c r="A2621" s="550" t="s">
        <v>6845</v>
      </c>
      <c r="B2621" s="348" t="s">
        <v>147</v>
      </c>
      <c r="C2621" s="348" t="s">
        <v>148</v>
      </c>
      <c r="D2621" s="349" t="s">
        <v>187</v>
      </c>
      <c r="E2621" s="336">
        <v>43676</v>
      </c>
      <c r="F2621" s="336">
        <v>43632</v>
      </c>
      <c r="G2621" s="350">
        <v>43675</v>
      </c>
      <c r="H2621" s="334" t="s">
        <v>6846</v>
      </c>
      <c r="I2621" s="356">
        <v>13758555719</v>
      </c>
      <c r="J2621" s="361" t="s">
        <v>6847</v>
      </c>
      <c r="K2621" s="356">
        <v>0</v>
      </c>
      <c r="L2621" s="334">
        <v>18762</v>
      </c>
      <c r="M2621" s="419"/>
      <c r="N2621" s="362">
        <f t="shared" si="93"/>
        <v>18762</v>
      </c>
      <c r="O2621" s="356"/>
      <c r="P2621" s="356"/>
      <c r="Q2621" s="356"/>
      <c r="R2621" s="356"/>
      <c r="S2621" s="356"/>
      <c r="T2621" s="356"/>
      <c r="U2621" s="372"/>
      <c r="V2621" s="372" t="s">
        <v>3490</v>
      </c>
      <c r="W2621" s="372" t="s">
        <v>4536</v>
      </c>
      <c r="X2621" s="373"/>
      <c r="Y2621" s="348"/>
      <c r="Z2621" s="348"/>
      <c r="AA2621" s="348"/>
    </row>
    <row r="2622" s="331" customFormat="1" ht="17" customHeight="1" spans="1:27">
      <c r="A2622" s="348"/>
      <c r="B2622" s="348" t="s">
        <v>66</v>
      </c>
      <c r="C2622" s="348" t="s">
        <v>115</v>
      </c>
      <c r="D2622" s="349" t="s">
        <v>115</v>
      </c>
      <c r="E2622" s="336">
        <v>43676</v>
      </c>
      <c r="F2622" s="336">
        <v>43637</v>
      </c>
      <c r="G2622" s="350">
        <v>43676</v>
      </c>
      <c r="H2622" s="334" t="s">
        <v>6848</v>
      </c>
      <c r="I2622" s="356">
        <v>13917915101</v>
      </c>
      <c r="J2622" s="361" t="s">
        <v>6849</v>
      </c>
      <c r="K2622" s="356">
        <v>999</v>
      </c>
      <c r="L2622" s="334">
        <v>2608</v>
      </c>
      <c r="M2622" s="419"/>
      <c r="N2622" s="362">
        <f t="shared" si="93"/>
        <v>2608</v>
      </c>
      <c r="O2622" s="356"/>
      <c r="P2622" s="356"/>
      <c r="Q2622" s="356"/>
      <c r="R2622" s="356"/>
      <c r="S2622" s="356"/>
      <c r="T2622" s="356"/>
      <c r="U2622" s="372"/>
      <c r="V2622" s="372"/>
      <c r="W2622" s="372"/>
      <c r="X2622" s="373"/>
      <c r="Y2622" s="348"/>
      <c r="Z2622" s="348"/>
      <c r="AA2622" s="348"/>
    </row>
    <row r="2623" s="331" customFormat="1" ht="17" customHeight="1" spans="1:27">
      <c r="A2623" s="348"/>
      <c r="B2623" s="348" t="s">
        <v>35</v>
      </c>
      <c r="C2623" s="348" t="s">
        <v>392</v>
      </c>
      <c r="D2623" s="352" t="s">
        <v>37</v>
      </c>
      <c r="E2623" s="336">
        <v>43676</v>
      </c>
      <c r="F2623" s="336">
        <v>43638</v>
      </c>
      <c r="G2623" s="350">
        <v>43660</v>
      </c>
      <c r="H2623" s="334" t="s">
        <v>3610</v>
      </c>
      <c r="I2623" s="356">
        <v>17811892590</v>
      </c>
      <c r="J2623" s="361" t="s">
        <v>3611</v>
      </c>
      <c r="K2623" s="356">
        <v>2798</v>
      </c>
      <c r="L2623" s="419"/>
      <c r="M2623" s="419"/>
      <c r="N2623" s="362">
        <f t="shared" si="93"/>
        <v>0</v>
      </c>
      <c r="O2623" s="356"/>
      <c r="P2623" s="356"/>
      <c r="Q2623" s="356"/>
      <c r="R2623" s="356"/>
      <c r="S2623" s="356"/>
      <c r="T2623" s="356"/>
      <c r="U2623" s="372"/>
      <c r="V2623" s="372"/>
      <c r="W2623" s="372"/>
      <c r="X2623" s="373"/>
      <c r="Y2623" s="348"/>
      <c r="Z2623" s="348"/>
      <c r="AA2623" s="348"/>
    </row>
    <row r="2624" s="331" customFormat="1" ht="17" customHeight="1" spans="1:27">
      <c r="A2624" s="550" t="s">
        <v>4591</v>
      </c>
      <c r="B2624" s="348" t="s">
        <v>66</v>
      </c>
      <c r="C2624" s="348" t="s">
        <v>1749</v>
      </c>
      <c r="D2624" s="352" t="s">
        <v>68</v>
      </c>
      <c r="E2624" s="336">
        <v>43676</v>
      </c>
      <c r="F2624" s="336">
        <v>43661</v>
      </c>
      <c r="G2624" s="350"/>
      <c r="H2624" s="334" t="s">
        <v>6850</v>
      </c>
      <c r="I2624" s="356">
        <v>15021863646</v>
      </c>
      <c r="J2624" s="361" t="s">
        <v>6851</v>
      </c>
      <c r="K2624" s="356">
        <v>999</v>
      </c>
      <c r="L2624" s="419"/>
      <c r="M2624" s="419"/>
      <c r="N2624" s="362">
        <f t="shared" si="93"/>
        <v>0</v>
      </c>
      <c r="O2624" s="356"/>
      <c r="P2624" s="356"/>
      <c r="Q2624" s="356"/>
      <c r="R2624" s="366" t="s">
        <v>52</v>
      </c>
      <c r="S2624" s="356"/>
      <c r="T2624" s="356"/>
      <c r="U2624" s="372" t="s">
        <v>12</v>
      </c>
      <c r="V2624" s="372"/>
      <c r="W2624" s="372"/>
      <c r="X2624" s="373"/>
      <c r="Y2624" s="348"/>
      <c r="Z2624" s="348"/>
      <c r="AA2624" s="348"/>
    </row>
    <row r="2625" s="331" customFormat="1" ht="17" customHeight="1" spans="1:27">
      <c r="A2625" s="348"/>
      <c r="B2625" s="348" t="s">
        <v>31</v>
      </c>
      <c r="C2625" s="348" t="s">
        <v>377</v>
      </c>
      <c r="D2625" s="352" t="s">
        <v>221</v>
      </c>
      <c r="E2625" s="336">
        <v>43676</v>
      </c>
      <c r="F2625" s="336">
        <v>43674</v>
      </c>
      <c r="G2625" s="336">
        <v>43676</v>
      </c>
      <c r="H2625" s="334" t="s">
        <v>6852</v>
      </c>
      <c r="I2625" s="356">
        <v>13651963838</v>
      </c>
      <c r="J2625" s="361" t="s">
        <v>6853</v>
      </c>
      <c r="K2625" s="356">
        <v>10000</v>
      </c>
      <c r="L2625" s="334">
        <v>9999</v>
      </c>
      <c r="M2625" s="419"/>
      <c r="N2625" s="362">
        <f t="shared" si="93"/>
        <v>9999</v>
      </c>
      <c r="O2625" s="356"/>
      <c r="P2625" s="356"/>
      <c r="Q2625" s="356"/>
      <c r="R2625" s="356"/>
      <c r="S2625" s="356"/>
      <c r="T2625" s="356"/>
      <c r="U2625" s="372"/>
      <c r="V2625" s="372"/>
      <c r="W2625" s="372"/>
      <c r="X2625" s="373"/>
      <c r="Y2625" s="348"/>
      <c r="Z2625" s="348"/>
      <c r="AA2625" s="348"/>
    </row>
    <row r="2626" s="331" customFormat="1" ht="17" customHeight="1" spans="1:27">
      <c r="A2626" s="550" t="s">
        <v>6854</v>
      </c>
      <c r="B2626" s="348" t="s">
        <v>31</v>
      </c>
      <c r="C2626" s="334" t="s">
        <v>2716</v>
      </c>
      <c r="D2626" s="349" t="s">
        <v>221</v>
      </c>
      <c r="E2626" s="336">
        <v>43676</v>
      </c>
      <c r="F2626" s="336">
        <v>43676</v>
      </c>
      <c r="G2626" s="350">
        <v>43676</v>
      </c>
      <c r="H2626" s="334" t="s">
        <v>6855</v>
      </c>
      <c r="I2626" s="356">
        <v>13501735969</v>
      </c>
      <c r="J2626" s="361" t="s">
        <v>6856</v>
      </c>
      <c r="K2626" s="356">
        <v>0</v>
      </c>
      <c r="L2626" s="334">
        <v>22299</v>
      </c>
      <c r="M2626" s="334">
        <v>1472</v>
      </c>
      <c r="N2626" s="362">
        <f t="shared" si="93"/>
        <v>23771</v>
      </c>
      <c r="O2626" s="356"/>
      <c r="P2626" s="356"/>
      <c r="Q2626" s="356"/>
      <c r="R2626" s="356"/>
      <c r="S2626" s="356"/>
      <c r="T2626" s="356"/>
      <c r="U2626" s="372"/>
      <c r="V2626" s="372"/>
      <c r="W2626" s="372"/>
      <c r="X2626" s="373"/>
      <c r="Y2626" s="348"/>
      <c r="Z2626" s="348"/>
      <c r="AA2626" s="348"/>
    </row>
    <row r="2627" s="331" customFormat="1" ht="17" customHeight="1" spans="1:27">
      <c r="A2627" s="348"/>
      <c r="B2627" s="348" t="s">
        <v>169</v>
      </c>
      <c r="C2627" s="348" t="s">
        <v>634</v>
      </c>
      <c r="D2627" s="352" t="s">
        <v>635</v>
      </c>
      <c r="E2627" s="336">
        <v>43692</v>
      </c>
      <c r="F2627" s="336">
        <v>43676</v>
      </c>
      <c r="G2627" s="336">
        <v>43692</v>
      </c>
      <c r="H2627" s="334" t="s">
        <v>6857</v>
      </c>
      <c r="I2627" s="552" t="s">
        <v>6858</v>
      </c>
      <c r="J2627" s="361" t="s">
        <v>6859</v>
      </c>
      <c r="K2627" s="356">
        <v>1000</v>
      </c>
      <c r="L2627" s="334">
        <f>8417-736</f>
        <v>7681</v>
      </c>
      <c r="M2627" s="334">
        <v>736</v>
      </c>
      <c r="N2627" s="362">
        <f t="shared" si="93"/>
        <v>8417</v>
      </c>
      <c r="O2627" s="356"/>
      <c r="P2627" s="356"/>
      <c r="Q2627" s="356"/>
      <c r="R2627" s="356" t="s">
        <v>22</v>
      </c>
      <c r="S2627" s="356"/>
      <c r="T2627" s="356"/>
      <c r="U2627" s="372"/>
      <c r="V2627" s="372"/>
      <c r="W2627" s="372"/>
      <c r="X2627" s="373"/>
      <c r="Y2627" s="348"/>
      <c r="Z2627" s="348"/>
      <c r="AA2627" s="348"/>
    </row>
    <row r="2628" s="331" customFormat="1" ht="17" customHeight="1" spans="1:27">
      <c r="A2628" s="348">
        <v>2023531</v>
      </c>
      <c r="B2628" s="348" t="s">
        <v>185</v>
      </c>
      <c r="C2628" s="348" t="s">
        <v>886</v>
      </c>
      <c r="D2628" s="352" t="s">
        <v>187</v>
      </c>
      <c r="E2628" s="336">
        <v>43676</v>
      </c>
      <c r="F2628" s="336">
        <v>43676</v>
      </c>
      <c r="G2628" s="350"/>
      <c r="H2628" s="334" t="s">
        <v>6860</v>
      </c>
      <c r="I2628" s="356">
        <v>15221857794</v>
      </c>
      <c r="J2628" s="361" t="s">
        <v>6861</v>
      </c>
      <c r="K2628" s="356">
        <v>2966</v>
      </c>
      <c r="L2628" s="419"/>
      <c r="M2628" s="419"/>
      <c r="N2628" s="362">
        <f t="shared" si="93"/>
        <v>0</v>
      </c>
      <c r="O2628" s="366"/>
      <c r="P2628" s="356" t="s">
        <v>52</v>
      </c>
      <c r="Q2628" s="356"/>
      <c r="R2628" s="356"/>
      <c r="S2628" s="356"/>
      <c r="T2628" s="356"/>
      <c r="U2628" s="372"/>
      <c r="V2628" s="372"/>
      <c r="W2628" s="372"/>
      <c r="X2628" s="373"/>
      <c r="Y2628" s="348"/>
      <c r="Z2628" s="348"/>
      <c r="AA2628" s="348"/>
    </row>
    <row r="2629" s="331" customFormat="1" ht="17" customHeight="1" spans="1:27">
      <c r="A2629" s="550" t="s">
        <v>6862</v>
      </c>
      <c r="B2629" s="348" t="s">
        <v>315</v>
      </c>
      <c r="C2629" s="348" t="s">
        <v>161</v>
      </c>
      <c r="D2629" s="352" t="s">
        <v>162</v>
      </c>
      <c r="E2629" s="336">
        <v>43680</v>
      </c>
      <c r="F2629" s="336">
        <v>43676</v>
      </c>
      <c r="G2629" s="336">
        <v>43680</v>
      </c>
      <c r="H2629" s="334" t="s">
        <v>6863</v>
      </c>
      <c r="I2629" s="356">
        <v>13524824309</v>
      </c>
      <c r="J2629" s="361" t="s">
        <v>6864</v>
      </c>
      <c r="K2629" s="356">
        <v>1267</v>
      </c>
      <c r="L2629" s="334">
        <v>1857</v>
      </c>
      <c r="M2629" s="419"/>
      <c r="N2629" s="362">
        <f t="shared" si="93"/>
        <v>1857</v>
      </c>
      <c r="O2629" s="356"/>
      <c r="P2629" s="356"/>
      <c r="Q2629" s="356"/>
      <c r="R2629" s="356"/>
      <c r="S2629" s="356"/>
      <c r="T2629" s="356"/>
      <c r="U2629" s="372"/>
      <c r="V2629" s="372"/>
      <c r="W2629" s="372"/>
      <c r="X2629" s="373"/>
      <c r="Y2629" s="348"/>
      <c r="Z2629" s="348"/>
      <c r="AA2629" s="348"/>
    </row>
    <row r="2630" s="331" customFormat="1" ht="17" customHeight="1" spans="1:27">
      <c r="A2630" s="550" t="s">
        <v>6865</v>
      </c>
      <c r="B2630" s="348" t="s">
        <v>315</v>
      </c>
      <c r="C2630" s="348" t="s">
        <v>275</v>
      </c>
      <c r="D2630" s="352" t="s">
        <v>162</v>
      </c>
      <c r="E2630" s="336">
        <v>43698</v>
      </c>
      <c r="F2630" s="336">
        <v>43676</v>
      </c>
      <c r="G2630" s="336">
        <v>43698</v>
      </c>
      <c r="H2630" s="334" t="s">
        <v>6866</v>
      </c>
      <c r="I2630" s="356">
        <v>18917909831</v>
      </c>
      <c r="J2630" s="361" t="s">
        <v>6867</v>
      </c>
      <c r="K2630" s="356">
        <v>1680</v>
      </c>
      <c r="L2630" s="334">
        <v>1967</v>
      </c>
      <c r="M2630" s="419"/>
      <c r="N2630" s="362">
        <f t="shared" si="93"/>
        <v>1967</v>
      </c>
      <c r="O2630" s="356"/>
      <c r="P2630" s="356"/>
      <c r="Q2630" s="356"/>
      <c r="R2630" s="356"/>
      <c r="S2630" s="356"/>
      <c r="T2630" s="356"/>
      <c r="U2630" s="372"/>
      <c r="V2630" s="372"/>
      <c r="W2630" s="372"/>
      <c r="X2630" s="373"/>
      <c r="Y2630" s="348"/>
      <c r="Z2630" s="348"/>
      <c r="AA2630" s="348"/>
    </row>
    <row r="2631" s="331" customFormat="1" ht="17" customHeight="1" spans="1:27">
      <c r="A2631" s="550" t="s">
        <v>5071</v>
      </c>
      <c r="B2631" s="348" t="s">
        <v>147</v>
      </c>
      <c r="C2631" s="348" t="s">
        <v>148</v>
      </c>
      <c r="D2631" s="334" t="s">
        <v>271</v>
      </c>
      <c r="E2631" s="336">
        <v>43716</v>
      </c>
      <c r="F2631" s="336">
        <v>43674</v>
      </c>
      <c r="G2631" s="336">
        <v>43694</v>
      </c>
      <c r="H2631" s="334" t="s">
        <v>6868</v>
      </c>
      <c r="I2631" s="356">
        <v>13564009636</v>
      </c>
      <c r="J2631" s="361" t="s">
        <v>6869</v>
      </c>
      <c r="K2631" s="356">
        <v>10000</v>
      </c>
      <c r="L2631" s="334">
        <f>15846-1072</f>
        <v>14774</v>
      </c>
      <c r="M2631" s="334">
        <v>1072</v>
      </c>
      <c r="N2631" s="362">
        <f t="shared" si="93"/>
        <v>15846</v>
      </c>
      <c r="O2631" s="356"/>
      <c r="P2631" s="356"/>
      <c r="Q2631" s="356"/>
      <c r="R2631" s="356"/>
      <c r="S2631" s="356"/>
      <c r="T2631" s="356"/>
      <c r="U2631" s="372"/>
      <c r="V2631" s="372"/>
      <c r="W2631" s="372"/>
      <c r="X2631" s="373"/>
      <c r="Y2631" s="348"/>
      <c r="Z2631" s="348"/>
      <c r="AA2631" s="348"/>
    </row>
    <row r="2632" s="331" customFormat="1" ht="17" customHeight="1" spans="1:27">
      <c r="A2632" s="348"/>
      <c r="B2632" s="348" t="s">
        <v>243</v>
      </c>
      <c r="C2632" s="348" t="s">
        <v>309</v>
      </c>
      <c r="D2632" s="352" t="s">
        <v>49</v>
      </c>
      <c r="E2632" s="336">
        <v>43774</v>
      </c>
      <c r="F2632" s="336">
        <v>43674</v>
      </c>
      <c r="G2632" s="336">
        <v>43772</v>
      </c>
      <c r="H2632" s="334" t="s">
        <v>6870</v>
      </c>
      <c r="I2632" s="356">
        <v>15821843435</v>
      </c>
      <c r="J2632" s="361" t="s">
        <v>6871</v>
      </c>
      <c r="K2632" s="356">
        <v>1000</v>
      </c>
      <c r="L2632" s="334">
        <v>8415</v>
      </c>
      <c r="M2632" s="419"/>
      <c r="N2632" s="362">
        <f t="shared" si="93"/>
        <v>8415</v>
      </c>
      <c r="O2632" s="356" t="s">
        <v>52</v>
      </c>
      <c r="P2632" s="356"/>
      <c r="Q2632" s="356"/>
      <c r="R2632" s="356"/>
      <c r="S2632" s="356"/>
      <c r="T2632" s="356"/>
      <c r="U2632" s="372"/>
      <c r="V2632" s="372"/>
      <c r="W2632" s="372"/>
      <c r="X2632" s="373"/>
      <c r="Y2632" s="348"/>
      <c r="Z2632" s="348"/>
      <c r="AA2632" s="348"/>
    </row>
    <row r="2633" s="331" customFormat="1" ht="17" customHeight="1" spans="1:27">
      <c r="A2633" s="550" t="s">
        <v>6872</v>
      </c>
      <c r="B2633" s="348" t="s">
        <v>315</v>
      </c>
      <c r="C2633" s="348" t="s">
        <v>161</v>
      </c>
      <c r="D2633" s="352" t="s">
        <v>162</v>
      </c>
      <c r="E2633" s="336">
        <v>43676</v>
      </c>
      <c r="F2633" s="336">
        <v>43675</v>
      </c>
      <c r="G2633" s="350"/>
      <c r="H2633" s="334" t="s">
        <v>6873</v>
      </c>
      <c r="I2633" s="356">
        <v>18964659497</v>
      </c>
      <c r="J2633" s="361" t="s">
        <v>6874</v>
      </c>
      <c r="K2633" s="356">
        <v>1000</v>
      </c>
      <c r="L2633" s="419"/>
      <c r="M2633" s="419"/>
      <c r="N2633" s="362">
        <f t="shared" si="93"/>
        <v>0</v>
      </c>
      <c r="O2633" s="356">
        <v>1</v>
      </c>
      <c r="P2633" s="356"/>
      <c r="Q2633" s="356"/>
      <c r="R2633" s="356"/>
      <c r="S2633" s="356"/>
      <c r="T2633" s="356"/>
      <c r="U2633" s="372"/>
      <c r="V2633" s="372"/>
      <c r="W2633" s="372"/>
      <c r="X2633" s="373"/>
      <c r="Y2633" s="348"/>
      <c r="Z2633" s="348"/>
      <c r="AA2633" s="348"/>
    </row>
    <row r="2634" s="331" customFormat="1" ht="17" customHeight="1" spans="1:27">
      <c r="A2634" s="348"/>
      <c r="B2634" s="348" t="s">
        <v>31</v>
      </c>
      <c r="C2634" s="334" t="s">
        <v>220</v>
      </c>
      <c r="D2634" s="349" t="s">
        <v>33</v>
      </c>
      <c r="E2634" s="336">
        <v>43676</v>
      </c>
      <c r="F2634" s="336">
        <v>43675</v>
      </c>
      <c r="G2634" s="336">
        <v>43675</v>
      </c>
      <c r="H2634" s="334" t="s">
        <v>6875</v>
      </c>
      <c r="I2634" s="356">
        <v>13916167067</v>
      </c>
      <c r="J2634" s="361" t="s">
        <v>6876</v>
      </c>
      <c r="K2634" s="356">
        <v>8788</v>
      </c>
      <c r="L2634" s="334">
        <v>8788</v>
      </c>
      <c r="M2634" s="334">
        <v>-436</v>
      </c>
      <c r="N2634" s="362">
        <f t="shared" si="93"/>
        <v>8352</v>
      </c>
      <c r="O2634" s="356"/>
      <c r="P2634" s="356"/>
      <c r="Q2634" s="356"/>
      <c r="R2634" s="356"/>
      <c r="S2634" s="356"/>
      <c r="T2634" s="356"/>
      <c r="U2634" s="372"/>
      <c r="V2634" s="372"/>
      <c r="W2634" s="372"/>
      <c r="X2634" s="373"/>
      <c r="Y2634" s="348"/>
      <c r="Z2634" s="348"/>
      <c r="AA2634" s="348"/>
    </row>
    <row r="2635" s="331" customFormat="1" ht="17" customHeight="1" spans="1:27">
      <c r="A2635" s="550" t="s">
        <v>6877</v>
      </c>
      <c r="B2635" s="348" t="s">
        <v>31</v>
      </c>
      <c r="C2635" s="348" t="s">
        <v>32</v>
      </c>
      <c r="D2635" s="352" t="s">
        <v>33</v>
      </c>
      <c r="E2635" s="336">
        <v>43687</v>
      </c>
      <c r="F2635" s="336">
        <v>43653</v>
      </c>
      <c r="G2635" s="336">
        <v>43687</v>
      </c>
      <c r="H2635" s="334" t="s">
        <v>6878</v>
      </c>
      <c r="I2635" s="356">
        <v>13817979288</v>
      </c>
      <c r="J2635" s="361" t="s">
        <v>6879</v>
      </c>
      <c r="K2635" s="356">
        <v>1000</v>
      </c>
      <c r="L2635" s="334">
        <v>9981</v>
      </c>
      <c r="M2635" s="419"/>
      <c r="N2635" s="362">
        <f t="shared" ref="N2635:N2656" si="94">L2635+M2635</f>
        <v>9981</v>
      </c>
      <c r="O2635" s="356"/>
      <c r="P2635" s="356"/>
      <c r="Q2635" s="356"/>
      <c r="R2635" s="356"/>
      <c r="S2635" s="356"/>
      <c r="T2635" s="356"/>
      <c r="U2635" s="372"/>
      <c r="V2635" s="372"/>
      <c r="W2635" s="372"/>
      <c r="X2635" s="373"/>
      <c r="Y2635" s="348"/>
      <c r="Z2635" s="348"/>
      <c r="AA2635" s="348"/>
    </row>
    <row r="2636" s="331" customFormat="1" ht="17" customHeight="1" spans="1:27">
      <c r="A2636" s="348">
        <v>2066869</v>
      </c>
      <c r="B2636" s="348" t="s">
        <v>726</v>
      </c>
      <c r="C2636" s="348" t="s">
        <v>727</v>
      </c>
      <c r="D2636" s="334" t="s">
        <v>271</v>
      </c>
      <c r="E2636" s="336">
        <v>43722</v>
      </c>
      <c r="F2636" s="336">
        <v>43676</v>
      </c>
      <c r="G2636" s="336">
        <v>43721</v>
      </c>
      <c r="H2636" s="334" t="s">
        <v>6880</v>
      </c>
      <c r="I2636" s="356">
        <v>13611826534</v>
      </c>
      <c r="J2636" s="361" t="s">
        <v>6881</v>
      </c>
      <c r="K2636" s="356">
        <v>4557</v>
      </c>
      <c r="L2636" s="334">
        <v>4401</v>
      </c>
      <c r="M2636" s="419"/>
      <c r="N2636" s="362">
        <f t="shared" si="94"/>
        <v>4401</v>
      </c>
      <c r="O2636" s="356"/>
      <c r="P2636" s="356"/>
      <c r="Q2636" s="356" t="s">
        <v>21</v>
      </c>
      <c r="R2636" s="356"/>
      <c r="S2636" s="356"/>
      <c r="T2636" s="356"/>
      <c r="U2636" s="372"/>
      <c r="V2636" s="372"/>
      <c r="W2636" s="372"/>
      <c r="X2636" s="373"/>
      <c r="Y2636" s="348"/>
      <c r="Z2636" s="348"/>
      <c r="AA2636" s="348"/>
    </row>
    <row r="2637" s="331" customFormat="1" ht="17" customHeight="1" spans="1:27">
      <c r="A2637" s="348"/>
      <c r="B2637" s="348" t="s">
        <v>31</v>
      </c>
      <c r="C2637" s="348" t="s">
        <v>3186</v>
      </c>
      <c r="D2637" s="334" t="s">
        <v>33</v>
      </c>
      <c r="E2637" s="336">
        <v>43729</v>
      </c>
      <c r="F2637" s="336">
        <v>43674</v>
      </c>
      <c r="G2637" s="336">
        <v>43729</v>
      </c>
      <c r="H2637" s="334" t="s">
        <v>3590</v>
      </c>
      <c r="I2637" s="356">
        <v>13761029680</v>
      </c>
      <c r="J2637" s="361" t="s">
        <v>6882</v>
      </c>
      <c r="K2637" s="356">
        <v>5000</v>
      </c>
      <c r="L2637" s="334">
        <v>23999</v>
      </c>
      <c r="M2637" s="419"/>
      <c r="N2637" s="362">
        <f t="shared" si="94"/>
        <v>23999</v>
      </c>
      <c r="O2637" s="356"/>
      <c r="P2637" s="356"/>
      <c r="Q2637" s="366" t="s">
        <v>52</v>
      </c>
      <c r="R2637" s="356"/>
      <c r="S2637" s="356"/>
      <c r="T2637" s="356"/>
      <c r="U2637" s="372"/>
      <c r="V2637" s="372"/>
      <c r="W2637" s="372"/>
      <c r="X2637" s="373"/>
      <c r="Y2637" s="348"/>
      <c r="Z2637" s="348"/>
      <c r="AA2637" s="348"/>
    </row>
    <row r="2638" s="331" customFormat="1" ht="17" customHeight="1" spans="1:27">
      <c r="A2638" s="348"/>
      <c r="B2638" s="348" t="s">
        <v>31</v>
      </c>
      <c r="C2638" s="348" t="s">
        <v>3186</v>
      </c>
      <c r="D2638" s="334" t="s">
        <v>33</v>
      </c>
      <c r="E2638" s="336">
        <v>43727</v>
      </c>
      <c r="F2638" s="336">
        <v>43674</v>
      </c>
      <c r="G2638" s="336">
        <v>43726</v>
      </c>
      <c r="H2638" s="348" t="s">
        <v>6883</v>
      </c>
      <c r="I2638" s="356">
        <v>13761153551</v>
      </c>
      <c r="J2638" s="361" t="s">
        <v>6884</v>
      </c>
      <c r="K2638" s="356">
        <v>1000</v>
      </c>
      <c r="L2638" s="334">
        <v>5855</v>
      </c>
      <c r="M2638" s="419"/>
      <c r="N2638" s="362">
        <f t="shared" si="94"/>
        <v>5855</v>
      </c>
      <c r="O2638" s="356"/>
      <c r="P2638" s="366" t="s">
        <v>52</v>
      </c>
      <c r="Q2638" s="356"/>
      <c r="R2638" s="356"/>
      <c r="S2638" s="356"/>
      <c r="T2638" s="356"/>
      <c r="U2638" s="372"/>
      <c r="V2638" s="372"/>
      <c r="W2638" s="372"/>
      <c r="X2638" s="373"/>
      <c r="Y2638" s="348"/>
      <c r="Z2638" s="348"/>
      <c r="AA2638" s="348"/>
    </row>
    <row r="2639" s="331" customFormat="1" ht="17" customHeight="1" spans="1:27">
      <c r="A2639" s="348">
        <v>2022264</v>
      </c>
      <c r="B2639" s="348" t="s">
        <v>243</v>
      </c>
      <c r="C2639" s="348" t="s">
        <v>244</v>
      </c>
      <c r="D2639" s="352" t="s">
        <v>49</v>
      </c>
      <c r="E2639" s="336">
        <v>43676</v>
      </c>
      <c r="F2639" s="336">
        <v>43676</v>
      </c>
      <c r="G2639" s="350"/>
      <c r="H2639" s="336" t="s">
        <v>6885</v>
      </c>
      <c r="I2639" s="356">
        <v>13301909893</v>
      </c>
      <c r="J2639" s="361" t="s">
        <v>6886</v>
      </c>
      <c r="K2639" s="356">
        <v>1000</v>
      </c>
      <c r="L2639" s="419"/>
      <c r="M2639" s="419"/>
      <c r="N2639" s="362">
        <f t="shared" si="94"/>
        <v>0</v>
      </c>
      <c r="O2639" s="356"/>
      <c r="P2639" s="356"/>
      <c r="Q2639" s="356" t="s">
        <v>52</v>
      </c>
      <c r="R2639" s="356"/>
      <c r="S2639" s="356"/>
      <c r="T2639" s="356"/>
      <c r="U2639" s="372"/>
      <c r="V2639" s="372"/>
      <c r="W2639" s="372"/>
      <c r="X2639" s="373"/>
      <c r="Y2639" s="348"/>
      <c r="Z2639" s="348"/>
      <c r="AA2639" s="348"/>
    </row>
    <row r="2640" s="331" customFormat="1" ht="17" customHeight="1" spans="1:27">
      <c r="A2640" s="550" t="s">
        <v>6887</v>
      </c>
      <c r="B2640" s="348" t="s">
        <v>169</v>
      </c>
      <c r="C2640" s="348" t="s">
        <v>634</v>
      </c>
      <c r="D2640" s="352" t="s">
        <v>635</v>
      </c>
      <c r="E2640" s="336">
        <v>43688</v>
      </c>
      <c r="F2640" s="336">
        <v>43676</v>
      </c>
      <c r="G2640" s="336">
        <v>43685</v>
      </c>
      <c r="H2640" s="334" t="s">
        <v>6888</v>
      </c>
      <c r="I2640" s="356">
        <v>13917252732</v>
      </c>
      <c r="J2640" s="361" t="s">
        <v>6889</v>
      </c>
      <c r="K2640" s="356">
        <v>1000</v>
      </c>
      <c r="L2640" s="334">
        <v>16801</v>
      </c>
      <c r="M2640" s="419"/>
      <c r="N2640" s="362">
        <f t="shared" si="94"/>
        <v>16801</v>
      </c>
      <c r="O2640" s="356"/>
      <c r="P2640" s="356"/>
      <c r="Q2640" s="356"/>
      <c r="R2640" s="356"/>
      <c r="S2640" s="356"/>
      <c r="T2640" s="356"/>
      <c r="U2640" s="372"/>
      <c r="V2640" s="372"/>
      <c r="W2640" s="372"/>
      <c r="X2640" s="373"/>
      <c r="Y2640" s="348"/>
      <c r="Z2640" s="348"/>
      <c r="AA2640" s="348"/>
    </row>
    <row r="2641" s="331" customFormat="1" ht="17" customHeight="1" spans="1:27">
      <c r="A2641" s="348"/>
      <c r="B2641" s="348" t="s">
        <v>31</v>
      </c>
      <c r="C2641" s="334" t="s">
        <v>377</v>
      </c>
      <c r="D2641" s="349" t="s">
        <v>221</v>
      </c>
      <c r="E2641" s="336">
        <v>43676</v>
      </c>
      <c r="F2641" s="336"/>
      <c r="G2641" s="336">
        <v>43676</v>
      </c>
      <c r="H2641" s="334" t="s">
        <v>943</v>
      </c>
      <c r="I2641" s="356">
        <v>18101979342</v>
      </c>
      <c r="J2641" s="361" t="s">
        <v>6890</v>
      </c>
      <c r="K2641" s="356"/>
      <c r="L2641" s="334">
        <v>5000</v>
      </c>
      <c r="M2641" s="419"/>
      <c r="N2641" s="362">
        <f t="shared" si="94"/>
        <v>5000</v>
      </c>
      <c r="O2641" s="356"/>
      <c r="P2641" s="356"/>
      <c r="Q2641" s="356"/>
      <c r="R2641" s="356"/>
      <c r="S2641" s="356"/>
      <c r="T2641" s="356"/>
      <c r="U2641" s="372"/>
      <c r="V2641" s="372"/>
      <c r="W2641" s="372"/>
      <c r="X2641" s="373"/>
      <c r="Y2641" s="348"/>
      <c r="Z2641" s="348"/>
      <c r="AA2641" s="348"/>
    </row>
    <row r="2642" s="331" customFormat="1" ht="17" customHeight="1" spans="1:27">
      <c r="A2642" s="348"/>
      <c r="B2642" s="348" t="s">
        <v>147</v>
      </c>
      <c r="C2642" s="334" t="s">
        <v>148</v>
      </c>
      <c r="D2642" s="349" t="s">
        <v>717</v>
      </c>
      <c r="E2642" s="336">
        <v>43676</v>
      </c>
      <c r="F2642" s="336"/>
      <c r="G2642" s="336">
        <v>43676</v>
      </c>
      <c r="H2642" s="334" t="s">
        <v>6891</v>
      </c>
      <c r="I2642" s="356">
        <v>19921044999</v>
      </c>
      <c r="J2642" s="361" t="s">
        <v>6892</v>
      </c>
      <c r="K2642" s="356"/>
      <c r="L2642" s="334">
        <v>13469</v>
      </c>
      <c r="M2642" s="419"/>
      <c r="N2642" s="362">
        <f t="shared" si="94"/>
        <v>13469</v>
      </c>
      <c r="O2642" s="356"/>
      <c r="P2642" s="356"/>
      <c r="Q2642" s="356"/>
      <c r="R2642" s="356"/>
      <c r="S2642" s="356"/>
      <c r="T2642" s="356"/>
      <c r="U2642" s="372"/>
      <c r="V2642" s="372"/>
      <c r="W2642" s="372"/>
      <c r="X2642" s="373"/>
      <c r="Y2642" s="348"/>
      <c r="Z2642" s="348"/>
      <c r="AA2642" s="348"/>
    </row>
    <row r="2643" s="331" customFormat="1" ht="17" customHeight="1" spans="1:27">
      <c r="A2643" s="348"/>
      <c r="B2643" s="348" t="s">
        <v>147</v>
      </c>
      <c r="C2643" s="334" t="s">
        <v>148</v>
      </c>
      <c r="D2643" s="349" t="s">
        <v>717</v>
      </c>
      <c r="E2643" s="336">
        <v>43676</v>
      </c>
      <c r="F2643" s="336"/>
      <c r="G2643" s="336">
        <v>43676</v>
      </c>
      <c r="H2643" s="334" t="s">
        <v>6891</v>
      </c>
      <c r="I2643" s="356">
        <v>19921044999</v>
      </c>
      <c r="J2643" s="361" t="s">
        <v>6893</v>
      </c>
      <c r="K2643" s="356"/>
      <c r="L2643" s="334">
        <v>45756</v>
      </c>
      <c r="M2643" s="419"/>
      <c r="N2643" s="362">
        <f t="shared" si="94"/>
        <v>45756</v>
      </c>
      <c r="O2643" s="356"/>
      <c r="P2643" s="356"/>
      <c r="Q2643" s="356"/>
      <c r="R2643" s="356"/>
      <c r="S2643" s="356"/>
      <c r="T2643" s="356"/>
      <c r="U2643" s="372"/>
      <c r="V2643" s="372"/>
      <c r="W2643" s="372"/>
      <c r="X2643" s="373"/>
      <c r="Y2643" s="348"/>
      <c r="Z2643" s="348"/>
      <c r="AA2643" s="348"/>
    </row>
    <row r="2644" s="331" customFormat="1" ht="17" customHeight="1" spans="1:27">
      <c r="A2644" s="348"/>
      <c r="B2644" s="348" t="s">
        <v>137</v>
      </c>
      <c r="C2644" s="334" t="s">
        <v>861</v>
      </c>
      <c r="D2644" s="352" t="s">
        <v>427</v>
      </c>
      <c r="E2644" s="336">
        <v>43676</v>
      </c>
      <c r="F2644" s="336" t="s">
        <v>800</v>
      </c>
      <c r="G2644" s="336">
        <v>43665</v>
      </c>
      <c r="H2644" s="269" t="s">
        <v>6894</v>
      </c>
      <c r="I2644" s="356">
        <v>13482816527</v>
      </c>
      <c r="J2644" s="361" t="s">
        <v>6895</v>
      </c>
      <c r="K2644" s="356"/>
      <c r="L2644" s="419"/>
      <c r="M2644" s="334">
        <v>200</v>
      </c>
      <c r="N2644" s="362">
        <f t="shared" si="94"/>
        <v>200</v>
      </c>
      <c r="O2644" s="356"/>
      <c r="P2644" s="356"/>
      <c r="Q2644" s="356"/>
      <c r="R2644" s="356"/>
      <c r="S2644" s="356"/>
      <c r="T2644" s="356"/>
      <c r="U2644" s="372"/>
      <c r="V2644" s="372"/>
      <c r="W2644" s="372"/>
      <c r="X2644" s="373"/>
      <c r="Y2644" s="348"/>
      <c r="Z2644" s="348"/>
      <c r="AA2644" s="348"/>
    </row>
    <row r="2645" s="331" customFormat="1" ht="17" customHeight="1" spans="1:27">
      <c r="A2645" s="348"/>
      <c r="B2645" s="348" t="s">
        <v>73</v>
      </c>
      <c r="C2645" s="348" t="s">
        <v>74</v>
      </c>
      <c r="D2645" s="352" t="s">
        <v>143</v>
      </c>
      <c r="E2645" s="336">
        <v>43676</v>
      </c>
      <c r="F2645" s="336" t="s">
        <v>800</v>
      </c>
      <c r="G2645" s="336">
        <v>43676</v>
      </c>
      <c r="H2645" s="269" t="s">
        <v>6896</v>
      </c>
      <c r="I2645" s="356">
        <v>18918926863</v>
      </c>
      <c r="J2645" s="361" t="s">
        <v>6897</v>
      </c>
      <c r="K2645" s="356"/>
      <c r="L2645" s="419"/>
      <c r="M2645" s="334">
        <v>6313</v>
      </c>
      <c r="N2645" s="362">
        <f t="shared" si="94"/>
        <v>6313</v>
      </c>
      <c r="O2645" s="356"/>
      <c r="P2645" s="356"/>
      <c r="Q2645" s="356"/>
      <c r="R2645" s="356"/>
      <c r="S2645" s="356"/>
      <c r="T2645" s="356"/>
      <c r="U2645" s="372"/>
      <c r="V2645" s="372"/>
      <c r="W2645" s="372"/>
      <c r="X2645" s="373"/>
      <c r="Y2645" s="348"/>
      <c r="Z2645" s="348"/>
      <c r="AA2645" s="348"/>
    </row>
    <row r="2646" s="331" customFormat="1" ht="17" customHeight="1" spans="1:27">
      <c r="A2646" s="348"/>
      <c r="B2646" s="348" t="s">
        <v>315</v>
      </c>
      <c r="C2646" s="348" t="s">
        <v>161</v>
      </c>
      <c r="D2646" s="349" t="s">
        <v>162</v>
      </c>
      <c r="E2646" s="336">
        <v>43676</v>
      </c>
      <c r="F2646" s="336" t="s">
        <v>800</v>
      </c>
      <c r="G2646" s="336">
        <v>43676</v>
      </c>
      <c r="H2646" s="334" t="s">
        <v>6898</v>
      </c>
      <c r="I2646" s="356">
        <v>13501991692</v>
      </c>
      <c r="J2646" s="361" t="s">
        <v>6899</v>
      </c>
      <c r="K2646" s="356"/>
      <c r="L2646" s="419"/>
      <c r="M2646" s="334">
        <v>4643</v>
      </c>
      <c r="N2646" s="362">
        <f t="shared" si="94"/>
        <v>4643</v>
      </c>
      <c r="O2646" s="356"/>
      <c r="P2646" s="356"/>
      <c r="Q2646" s="356"/>
      <c r="R2646" s="356"/>
      <c r="S2646" s="356"/>
      <c r="T2646" s="356"/>
      <c r="U2646" s="372"/>
      <c r="V2646" s="372"/>
      <c r="W2646" s="372"/>
      <c r="X2646" s="373"/>
      <c r="Y2646" s="348"/>
      <c r="Z2646" s="348"/>
      <c r="AA2646" s="348"/>
    </row>
    <row r="2647" s="331" customFormat="1" ht="17" customHeight="1" spans="1:27">
      <c r="A2647" s="348"/>
      <c r="B2647" s="348" t="s">
        <v>236</v>
      </c>
      <c r="C2647" s="334" t="s">
        <v>703</v>
      </c>
      <c r="D2647" s="349" t="s">
        <v>187</v>
      </c>
      <c r="E2647" s="336">
        <v>43676</v>
      </c>
      <c r="F2647" s="336" t="s">
        <v>800</v>
      </c>
      <c r="G2647" s="336">
        <v>43666</v>
      </c>
      <c r="H2647" s="334" t="s">
        <v>6900</v>
      </c>
      <c r="I2647" s="356">
        <v>13472793450</v>
      </c>
      <c r="J2647" s="361" t="s">
        <v>6901</v>
      </c>
      <c r="K2647" s="356"/>
      <c r="L2647" s="419"/>
      <c r="M2647" s="334">
        <v>618</v>
      </c>
      <c r="N2647" s="362">
        <f t="shared" si="94"/>
        <v>618</v>
      </c>
      <c r="O2647" s="356"/>
      <c r="P2647" s="356"/>
      <c r="Q2647" s="356"/>
      <c r="R2647" s="356"/>
      <c r="S2647" s="356"/>
      <c r="T2647" s="356"/>
      <c r="U2647" s="372"/>
      <c r="V2647" s="372"/>
      <c r="W2647" s="372"/>
      <c r="X2647" s="373"/>
      <c r="Y2647" s="348"/>
      <c r="Z2647" s="348"/>
      <c r="AA2647" s="348"/>
    </row>
    <row r="2648" s="331" customFormat="1" ht="17" customHeight="1" spans="1:27">
      <c r="A2648" s="348"/>
      <c r="B2648" s="348" t="s">
        <v>137</v>
      </c>
      <c r="C2648" s="334" t="s">
        <v>426</v>
      </c>
      <c r="D2648" s="349" t="s">
        <v>427</v>
      </c>
      <c r="E2648" s="336">
        <v>43676</v>
      </c>
      <c r="F2648" s="336" t="s">
        <v>800</v>
      </c>
      <c r="G2648" s="336">
        <v>43676</v>
      </c>
      <c r="H2648" s="334" t="s">
        <v>428</v>
      </c>
      <c r="I2648" s="356">
        <v>13636598580</v>
      </c>
      <c r="J2648" s="361" t="s">
        <v>6902</v>
      </c>
      <c r="K2648" s="356"/>
      <c r="L2648" s="419"/>
      <c r="M2648" s="334">
        <v>-700</v>
      </c>
      <c r="N2648" s="362">
        <f t="shared" si="94"/>
        <v>-700</v>
      </c>
      <c r="O2648" s="356"/>
      <c r="P2648" s="356"/>
      <c r="Q2648" s="356"/>
      <c r="R2648" s="356"/>
      <c r="S2648" s="356"/>
      <c r="T2648" s="356"/>
      <c r="U2648" s="372"/>
      <c r="V2648" s="372"/>
      <c r="W2648" s="372"/>
      <c r="X2648" s="373"/>
      <c r="Y2648" s="348"/>
      <c r="Z2648" s="348"/>
      <c r="AA2648" s="348"/>
    </row>
    <row r="2649" s="331" customFormat="1" ht="17" customHeight="1" spans="1:27">
      <c r="A2649" s="348"/>
      <c r="B2649" s="348" t="s">
        <v>153</v>
      </c>
      <c r="C2649" s="334" t="s">
        <v>302</v>
      </c>
      <c r="D2649" s="349" t="s">
        <v>155</v>
      </c>
      <c r="E2649" s="336">
        <v>43676</v>
      </c>
      <c r="F2649" s="336" t="s">
        <v>800</v>
      </c>
      <c r="G2649" s="336">
        <v>43676</v>
      </c>
      <c r="H2649" s="334" t="s">
        <v>6903</v>
      </c>
      <c r="I2649" s="356">
        <v>13917750775</v>
      </c>
      <c r="J2649" s="361" t="s">
        <v>6904</v>
      </c>
      <c r="K2649" s="356"/>
      <c r="L2649" s="419"/>
      <c r="M2649" s="334">
        <v>471</v>
      </c>
      <c r="N2649" s="362">
        <f t="shared" si="94"/>
        <v>471</v>
      </c>
      <c r="O2649" s="356"/>
      <c r="P2649" s="356"/>
      <c r="Q2649" s="356"/>
      <c r="R2649" s="356"/>
      <c r="S2649" s="356"/>
      <c r="T2649" s="356"/>
      <c r="U2649" s="372"/>
      <c r="V2649" s="372"/>
      <c r="W2649" s="372"/>
      <c r="X2649" s="373"/>
      <c r="Y2649" s="348"/>
      <c r="Z2649" s="348"/>
      <c r="AA2649" s="348"/>
    </row>
    <row r="2650" s="331" customFormat="1" ht="17" customHeight="1" spans="1:27">
      <c r="A2650" s="348"/>
      <c r="B2650" s="348" t="s">
        <v>243</v>
      </c>
      <c r="C2650" s="334" t="s">
        <v>304</v>
      </c>
      <c r="D2650" s="352" t="s">
        <v>49</v>
      </c>
      <c r="E2650" s="336">
        <v>43676</v>
      </c>
      <c r="F2650" s="336" t="s">
        <v>800</v>
      </c>
      <c r="G2650" s="336">
        <v>43675</v>
      </c>
      <c r="H2650" s="334" t="s">
        <v>6905</v>
      </c>
      <c r="I2650" s="356">
        <v>13585513238</v>
      </c>
      <c r="J2650" s="361" t="s">
        <v>6906</v>
      </c>
      <c r="K2650" s="356"/>
      <c r="L2650" s="419"/>
      <c r="M2650" s="334">
        <f>536+9159</f>
        <v>9695</v>
      </c>
      <c r="N2650" s="362">
        <f t="shared" si="94"/>
        <v>9695</v>
      </c>
      <c r="O2650" s="356"/>
      <c r="P2650" s="356"/>
      <c r="Q2650" s="356"/>
      <c r="R2650" s="356"/>
      <c r="S2650" s="356"/>
      <c r="T2650" s="356"/>
      <c r="U2650" s="372"/>
      <c r="V2650" s="372"/>
      <c r="W2650" s="372"/>
      <c r="X2650" s="373"/>
      <c r="Y2650" s="348"/>
      <c r="Z2650" s="348"/>
      <c r="AA2650" s="348"/>
    </row>
    <row r="2651" s="331" customFormat="1" ht="17" customHeight="1" spans="1:27">
      <c r="A2651" s="348"/>
      <c r="B2651" s="348" t="s">
        <v>315</v>
      </c>
      <c r="C2651" s="334" t="s">
        <v>161</v>
      </c>
      <c r="D2651" s="349" t="s">
        <v>162</v>
      </c>
      <c r="E2651" s="336">
        <v>43676</v>
      </c>
      <c r="F2651" s="336" t="s">
        <v>800</v>
      </c>
      <c r="G2651" s="336">
        <v>43676</v>
      </c>
      <c r="H2651" s="334" t="s">
        <v>6907</v>
      </c>
      <c r="I2651" s="356">
        <v>18621307690</v>
      </c>
      <c r="J2651" s="361" t="s">
        <v>6908</v>
      </c>
      <c r="K2651" s="356"/>
      <c r="L2651" s="419"/>
      <c r="M2651" s="334">
        <v>9500</v>
      </c>
      <c r="N2651" s="362">
        <f t="shared" si="94"/>
        <v>9500</v>
      </c>
      <c r="O2651" s="356"/>
      <c r="P2651" s="356"/>
      <c r="Q2651" s="356"/>
      <c r="R2651" s="356"/>
      <c r="S2651" s="356"/>
      <c r="T2651" s="356"/>
      <c r="U2651" s="372"/>
      <c r="V2651" s="372"/>
      <c r="W2651" s="372"/>
      <c r="X2651" s="373"/>
      <c r="Y2651" s="348"/>
      <c r="Z2651" s="348"/>
      <c r="AA2651" s="348"/>
    </row>
    <row r="2652" s="331" customFormat="1" ht="17" customHeight="1" spans="1:27">
      <c r="A2652" s="348"/>
      <c r="B2652" s="348" t="s">
        <v>73</v>
      </c>
      <c r="C2652" s="334" t="s">
        <v>74</v>
      </c>
      <c r="D2652" s="349" t="s">
        <v>717</v>
      </c>
      <c r="E2652" s="336">
        <v>43676</v>
      </c>
      <c r="F2652" s="336" t="s">
        <v>800</v>
      </c>
      <c r="G2652" s="336">
        <v>43676</v>
      </c>
      <c r="H2652" s="334" t="s">
        <v>6909</v>
      </c>
      <c r="I2652" s="356">
        <v>13817237131</v>
      </c>
      <c r="J2652" s="361" t="s">
        <v>6910</v>
      </c>
      <c r="K2652" s="356"/>
      <c r="L2652" s="419"/>
      <c r="M2652" s="334">
        <v>124</v>
      </c>
      <c r="N2652" s="362">
        <f t="shared" si="94"/>
        <v>124</v>
      </c>
      <c r="O2652" s="356"/>
      <c r="P2652" s="356"/>
      <c r="Q2652" s="356"/>
      <c r="R2652" s="356"/>
      <c r="S2652" s="356"/>
      <c r="T2652" s="356"/>
      <c r="U2652" s="372"/>
      <c r="V2652" s="372"/>
      <c r="W2652" s="372"/>
      <c r="X2652" s="373"/>
      <c r="Y2652" s="348"/>
      <c r="Z2652" s="348"/>
      <c r="AA2652" s="348"/>
    </row>
    <row r="2653" s="331" customFormat="1" ht="17" customHeight="1" spans="1:27">
      <c r="A2653" s="348"/>
      <c r="B2653" s="348" t="s">
        <v>73</v>
      </c>
      <c r="C2653" s="334" t="s">
        <v>178</v>
      </c>
      <c r="D2653" s="349" t="s">
        <v>143</v>
      </c>
      <c r="E2653" s="336">
        <v>43676</v>
      </c>
      <c r="F2653" s="336" t="s">
        <v>800</v>
      </c>
      <c r="G2653" s="336">
        <v>43676</v>
      </c>
      <c r="H2653" s="334" t="s">
        <v>6911</v>
      </c>
      <c r="I2653" s="356">
        <v>15238502222</v>
      </c>
      <c r="J2653" s="361" t="s">
        <v>6912</v>
      </c>
      <c r="K2653" s="356"/>
      <c r="L2653" s="419"/>
      <c r="M2653" s="334">
        <v>-15122</v>
      </c>
      <c r="N2653" s="362">
        <f t="shared" si="94"/>
        <v>-15122</v>
      </c>
      <c r="O2653" s="356"/>
      <c r="P2653" s="356"/>
      <c r="Q2653" s="356"/>
      <c r="R2653" s="356"/>
      <c r="S2653" s="356"/>
      <c r="T2653" s="356"/>
      <c r="U2653" s="372"/>
      <c r="V2653" s="372"/>
      <c r="W2653" s="372"/>
      <c r="X2653" s="373"/>
      <c r="Y2653" s="348"/>
      <c r="Z2653" s="348"/>
      <c r="AA2653" s="348"/>
    </row>
    <row r="2654" s="331" customFormat="1" ht="17" customHeight="1" spans="1:27">
      <c r="A2654" s="348"/>
      <c r="B2654" s="348" t="s">
        <v>66</v>
      </c>
      <c r="C2654" s="334" t="s">
        <v>119</v>
      </c>
      <c r="D2654" s="349" t="s">
        <v>68</v>
      </c>
      <c r="E2654" s="336">
        <v>43676</v>
      </c>
      <c r="F2654" s="336" t="s">
        <v>800</v>
      </c>
      <c r="G2654" s="336">
        <v>43676</v>
      </c>
      <c r="H2654" s="334" t="s">
        <v>6913</v>
      </c>
      <c r="I2654" s="356">
        <v>17321353367</v>
      </c>
      <c r="J2654" s="361" t="s">
        <v>6914</v>
      </c>
      <c r="K2654" s="356"/>
      <c r="L2654" s="419"/>
      <c r="M2654" s="334">
        <v>115</v>
      </c>
      <c r="N2654" s="362">
        <f t="shared" si="94"/>
        <v>115</v>
      </c>
      <c r="O2654" s="356"/>
      <c r="P2654" s="356"/>
      <c r="Q2654" s="356"/>
      <c r="R2654" s="356"/>
      <c r="S2654" s="356"/>
      <c r="T2654" s="356"/>
      <c r="U2654" s="372"/>
      <c r="V2654" s="372"/>
      <c r="W2654" s="372"/>
      <c r="X2654" s="373"/>
      <c r="Y2654" s="348"/>
      <c r="Z2654" s="348"/>
      <c r="AA2654" s="348"/>
    </row>
    <row r="2655" s="331" customFormat="1" ht="17" customHeight="1" spans="1:27">
      <c r="A2655" s="348"/>
      <c r="B2655" s="348" t="s">
        <v>31</v>
      </c>
      <c r="C2655" s="334" t="s">
        <v>419</v>
      </c>
      <c r="D2655" s="349" t="s">
        <v>89</v>
      </c>
      <c r="E2655" s="336">
        <v>43676</v>
      </c>
      <c r="F2655" s="336" t="s">
        <v>800</v>
      </c>
      <c r="G2655" s="336">
        <v>43675</v>
      </c>
      <c r="H2655" s="334" t="s">
        <v>6915</v>
      </c>
      <c r="I2655" s="356">
        <v>13918400217</v>
      </c>
      <c r="J2655" s="361" t="s">
        <v>6916</v>
      </c>
      <c r="K2655" s="356"/>
      <c r="L2655" s="419"/>
      <c r="M2655" s="334">
        <v>582</v>
      </c>
      <c r="N2655" s="362">
        <f t="shared" si="94"/>
        <v>582</v>
      </c>
      <c r="O2655" s="356"/>
      <c r="P2655" s="356"/>
      <c r="Q2655" s="356"/>
      <c r="R2655" s="356"/>
      <c r="S2655" s="356"/>
      <c r="T2655" s="356"/>
      <c r="U2655" s="372"/>
      <c r="V2655" s="372"/>
      <c r="W2655" s="372"/>
      <c r="X2655" s="373"/>
      <c r="Y2655" s="348"/>
      <c r="Z2655" s="348"/>
      <c r="AA2655" s="348"/>
    </row>
    <row r="2656" s="331" customFormat="1" ht="17" customHeight="1" spans="1:27">
      <c r="A2656" s="348"/>
      <c r="B2656" s="348" t="s">
        <v>73</v>
      </c>
      <c r="C2656" s="334" t="s">
        <v>74</v>
      </c>
      <c r="D2656" s="349" t="s">
        <v>143</v>
      </c>
      <c r="E2656" s="336">
        <v>43676</v>
      </c>
      <c r="F2656" s="336" t="s">
        <v>800</v>
      </c>
      <c r="G2656" s="336">
        <v>43670</v>
      </c>
      <c r="H2656" s="334" t="s">
        <v>6917</v>
      </c>
      <c r="I2656" s="356">
        <v>13916611357</v>
      </c>
      <c r="J2656" s="364" t="s">
        <v>6918</v>
      </c>
      <c r="K2656" s="356"/>
      <c r="L2656" s="419"/>
      <c r="M2656" s="334">
        <v>495</v>
      </c>
      <c r="N2656" s="362">
        <f t="shared" si="94"/>
        <v>495</v>
      </c>
      <c r="O2656" s="356"/>
      <c r="P2656" s="356"/>
      <c r="Q2656" s="356"/>
      <c r="R2656" s="356"/>
      <c r="S2656" s="356"/>
      <c r="T2656" s="356"/>
      <c r="U2656" s="372"/>
      <c r="V2656" s="372"/>
      <c r="W2656" s="372"/>
      <c r="X2656" s="373"/>
      <c r="Y2656" s="348"/>
      <c r="Z2656" s="348"/>
      <c r="AA2656" s="348"/>
    </row>
    <row r="2657" s="331" customFormat="1" ht="17" customHeight="1" spans="1:27">
      <c r="A2657" s="348">
        <v>2067294</v>
      </c>
      <c r="B2657" s="348" t="s">
        <v>236</v>
      </c>
      <c r="C2657" s="348" t="s">
        <v>195</v>
      </c>
      <c r="D2657" s="349" t="s">
        <v>37</v>
      </c>
      <c r="E2657" s="336">
        <v>43677</v>
      </c>
      <c r="F2657" s="336">
        <v>43632</v>
      </c>
      <c r="G2657" s="350">
        <v>43676</v>
      </c>
      <c r="H2657" s="334" t="s">
        <v>6919</v>
      </c>
      <c r="I2657" s="356">
        <v>18918350059</v>
      </c>
      <c r="J2657" s="361" t="s">
        <v>6920</v>
      </c>
      <c r="K2657" s="356">
        <v>16000</v>
      </c>
      <c r="L2657" s="334">
        <v>16000</v>
      </c>
      <c r="M2657" s="419"/>
      <c r="N2657" s="362">
        <f t="shared" ref="N2657:N2670" si="95">L2657+M2657</f>
        <v>16000</v>
      </c>
      <c r="O2657" s="356"/>
      <c r="P2657" s="356"/>
      <c r="Q2657" s="356"/>
      <c r="R2657" s="356"/>
      <c r="S2657" s="356"/>
      <c r="T2657" s="356"/>
      <c r="U2657" s="372"/>
      <c r="V2657" s="372"/>
      <c r="W2657" s="372"/>
      <c r="X2657" s="373"/>
      <c r="Y2657" s="348"/>
      <c r="Z2657" s="348"/>
      <c r="AA2657" s="348"/>
    </row>
    <row r="2658" s="331" customFormat="1" ht="17" customHeight="1" spans="1:27">
      <c r="A2658" s="348"/>
      <c r="B2658" s="348" t="s">
        <v>35</v>
      </c>
      <c r="C2658" s="348" t="s">
        <v>328</v>
      </c>
      <c r="D2658" s="349" t="s">
        <v>37</v>
      </c>
      <c r="E2658" s="336">
        <v>43677</v>
      </c>
      <c r="F2658" s="336">
        <v>43634</v>
      </c>
      <c r="G2658" s="350">
        <v>43677</v>
      </c>
      <c r="H2658" s="334" t="s">
        <v>6921</v>
      </c>
      <c r="I2658" s="356">
        <v>13061883321</v>
      </c>
      <c r="J2658" s="361" t="s">
        <v>6922</v>
      </c>
      <c r="K2658" s="356">
        <v>5102</v>
      </c>
      <c r="L2658" s="334">
        <v>5102</v>
      </c>
      <c r="M2658" s="419"/>
      <c r="N2658" s="362">
        <f t="shared" si="95"/>
        <v>5102</v>
      </c>
      <c r="O2658" s="356"/>
      <c r="P2658" s="356"/>
      <c r="Q2658" s="356"/>
      <c r="R2658" s="356"/>
      <c r="S2658" s="356"/>
      <c r="T2658" s="356"/>
      <c r="U2658" s="372"/>
      <c r="V2658" s="372"/>
      <c r="W2658" s="372"/>
      <c r="X2658" s="373"/>
      <c r="Y2658" s="348"/>
      <c r="Z2658" s="348"/>
      <c r="AA2658" s="348"/>
    </row>
    <row r="2659" s="331" customFormat="1" ht="17" customHeight="1" spans="1:27">
      <c r="A2659" s="550" t="s">
        <v>6923</v>
      </c>
      <c r="B2659" s="348" t="s">
        <v>147</v>
      </c>
      <c r="C2659" s="348" t="s">
        <v>148</v>
      </c>
      <c r="D2659" s="349" t="s">
        <v>37</v>
      </c>
      <c r="E2659" s="336">
        <v>43677</v>
      </c>
      <c r="F2659" s="336">
        <v>43639</v>
      </c>
      <c r="G2659" s="350">
        <v>43677</v>
      </c>
      <c r="H2659" s="334" t="s">
        <v>6924</v>
      </c>
      <c r="I2659" s="356">
        <v>13917717417</v>
      </c>
      <c r="J2659" s="361" t="s">
        <v>6925</v>
      </c>
      <c r="K2659" s="356">
        <v>0</v>
      </c>
      <c r="L2659" s="334">
        <v>15000</v>
      </c>
      <c r="M2659" s="419"/>
      <c r="N2659" s="362">
        <f t="shared" si="95"/>
        <v>15000</v>
      </c>
      <c r="O2659" s="356"/>
      <c r="P2659" s="356"/>
      <c r="Q2659" s="356"/>
      <c r="R2659" s="356"/>
      <c r="S2659" s="356"/>
      <c r="T2659" s="356"/>
      <c r="U2659" s="372"/>
      <c r="V2659" s="372"/>
      <c r="W2659" s="372"/>
      <c r="X2659" s="373"/>
      <c r="Y2659" s="348"/>
      <c r="Z2659" s="348"/>
      <c r="AA2659" s="348"/>
    </row>
    <row r="2660" s="331" customFormat="1" ht="17" customHeight="1" spans="1:27">
      <c r="A2660" s="550" t="s">
        <v>6926</v>
      </c>
      <c r="B2660" s="348" t="s">
        <v>31</v>
      </c>
      <c r="C2660" s="348" t="s">
        <v>419</v>
      </c>
      <c r="D2660" s="349" t="s">
        <v>187</v>
      </c>
      <c r="E2660" s="336">
        <v>43677</v>
      </c>
      <c r="F2660" s="336">
        <v>43644</v>
      </c>
      <c r="G2660" s="350">
        <v>43677</v>
      </c>
      <c r="H2660" s="334" t="s">
        <v>6927</v>
      </c>
      <c r="I2660" s="356">
        <v>13761224153</v>
      </c>
      <c r="J2660" s="361" t="s">
        <v>6928</v>
      </c>
      <c r="K2660" s="356">
        <v>10000</v>
      </c>
      <c r="L2660" s="334">
        <v>15000</v>
      </c>
      <c r="M2660" s="419"/>
      <c r="N2660" s="362">
        <f t="shared" si="95"/>
        <v>15000</v>
      </c>
      <c r="O2660" s="356"/>
      <c r="P2660" s="356"/>
      <c r="Q2660" s="356"/>
      <c r="R2660" s="356"/>
      <c r="S2660" s="356"/>
      <c r="T2660" s="356"/>
      <c r="U2660" s="372"/>
      <c r="V2660" s="372"/>
      <c r="W2660" s="372"/>
      <c r="X2660" s="373"/>
      <c r="Y2660" s="348"/>
      <c r="Z2660" s="348"/>
      <c r="AA2660" s="348"/>
    </row>
    <row r="2661" s="331" customFormat="1" ht="17" customHeight="1" spans="1:27">
      <c r="A2661" s="550" t="s">
        <v>6929</v>
      </c>
      <c r="B2661" s="348" t="s">
        <v>153</v>
      </c>
      <c r="C2661" s="348" t="s">
        <v>154</v>
      </c>
      <c r="D2661" s="349" t="s">
        <v>155</v>
      </c>
      <c r="E2661" s="336">
        <v>43677</v>
      </c>
      <c r="F2661" s="336">
        <v>43648</v>
      </c>
      <c r="G2661" s="350">
        <v>43677</v>
      </c>
      <c r="H2661" s="334" t="s">
        <v>6930</v>
      </c>
      <c r="I2661" s="356">
        <v>13681655179</v>
      </c>
      <c r="J2661" s="361" t="s">
        <v>6931</v>
      </c>
      <c r="K2661" s="356">
        <v>500</v>
      </c>
      <c r="L2661" s="334">
        <v>4044</v>
      </c>
      <c r="M2661" s="419"/>
      <c r="N2661" s="362">
        <f t="shared" si="95"/>
        <v>4044</v>
      </c>
      <c r="O2661" s="356"/>
      <c r="P2661" s="356"/>
      <c r="Q2661" s="356"/>
      <c r="R2661" s="356"/>
      <c r="S2661" s="356"/>
      <c r="T2661" s="356"/>
      <c r="U2661" s="372"/>
      <c r="V2661" s="372"/>
      <c r="W2661" s="372"/>
      <c r="X2661" s="373"/>
      <c r="Y2661" s="348"/>
      <c r="Z2661" s="348"/>
      <c r="AA2661" s="348"/>
    </row>
    <row r="2662" s="331" customFormat="1" ht="17" customHeight="1" spans="1:27">
      <c r="A2662" s="550" t="s">
        <v>5051</v>
      </c>
      <c r="B2662" s="348" t="s">
        <v>147</v>
      </c>
      <c r="C2662" s="348" t="s">
        <v>148</v>
      </c>
      <c r="D2662" s="349" t="s">
        <v>132</v>
      </c>
      <c r="E2662" s="336">
        <v>43677</v>
      </c>
      <c r="F2662" s="336">
        <v>43652</v>
      </c>
      <c r="G2662" s="350">
        <v>43677</v>
      </c>
      <c r="H2662" s="334" t="s">
        <v>6932</v>
      </c>
      <c r="I2662" s="356">
        <v>18321996807</v>
      </c>
      <c r="J2662" s="361" t="s">
        <v>6933</v>
      </c>
      <c r="K2662" s="356">
        <v>8032</v>
      </c>
      <c r="L2662" s="356">
        <v>8032</v>
      </c>
      <c r="M2662" s="419"/>
      <c r="N2662" s="362">
        <f t="shared" si="95"/>
        <v>8032</v>
      </c>
      <c r="O2662" s="356"/>
      <c r="P2662" s="356"/>
      <c r="Q2662" s="356"/>
      <c r="R2662" s="356"/>
      <c r="S2662" s="356"/>
      <c r="T2662" s="356"/>
      <c r="U2662" s="372"/>
      <c r="V2662" s="372"/>
      <c r="W2662" s="372"/>
      <c r="X2662" s="373"/>
      <c r="Y2662" s="348"/>
      <c r="Z2662" s="348"/>
      <c r="AA2662" s="348"/>
    </row>
    <row r="2663" s="331" customFormat="1" ht="17" customHeight="1" spans="1:27">
      <c r="A2663" s="550" t="s">
        <v>6934</v>
      </c>
      <c r="B2663" s="348" t="s">
        <v>87</v>
      </c>
      <c r="C2663" s="348" t="s">
        <v>466</v>
      </c>
      <c r="D2663" s="349" t="s">
        <v>89</v>
      </c>
      <c r="E2663" s="336">
        <v>43677</v>
      </c>
      <c r="F2663" s="336">
        <v>43670</v>
      </c>
      <c r="G2663" s="350">
        <v>43677</v>
      </c>
      <c r="H2663" s="334" t="s">
        <v>6935</v>
      </c>
      <c r="I2663" s="356">
        <v>13917626918</v>
      </c>
      <c r="J2663" s="361" t="s">
        <v>6936</v>
      </c>
      <c r="K2663" s="356">
        <v>500</v>
      </c>
      <c r="L2663" s="334">
        <v>10000</v>
      </c>
      <c r="M2663" s="419"/>
      <c r="N2663" s="362">
        <f t="shared" si="95"/>
        <v>10000</v>
      </c>
      <c r="O2663" s="356"/>
      <c r="P2663" s="356"/>
      <c r="Q2663" s="356"/>
      <c r="R2663" s="356"/>
      <c r="S2663" s="356"/>
      <c r="T2663" s="356"/>
      <c r="U2663" s="372"/>
      <c r="V2663" s="372"/>
      <c r="W2663" s="372"/>
      <c r="X2663" s="373"/>
      <c r="Y2663" s="348"/>
      <c r="Z2663" s="348"/>
      <c r="AA2663" s="348"/>
    </row>
    <row r="2664" s="331" customFormat="1" ht="17" customHeight="1" spans="1:27">
      <c r="A2664" s="550" t="s">
        <v>6937</v>
      </c>
      <c r="B2664" s="348" t="s">
        <v>31</v>
      </c>
      <c r="C2664" s="348" t="s">
        <v>220</v>
      </c>
      <c r="D2664" s="349" t="s">
        <v>33</v>
      </c>
      <c r="E2664" s="336">
        <v>43696</v>
      </c>
      <c r="F2664" s="336">
        <v>43674</v>
      </c>
      <c r="G2664" s="336">
        <v>43695</v>
      </c>
      <c r="H2664" s="334" t="s">
        <v>6938</v>
      </c>
      <c r="I2664" s="356">
        <v>18616937577</v>
      </c>
      <c r="J2664" s="361" t="s">
        <v>6939</v>
      </c>
      <c r="K2664" s="356">
        <v>1000</v>
      </c>
      <c r="L2664" s="334">
        <v>22058</v>
      </c>
      <c r="M2664" s="334">
        <v>14999</v>
      </c>
      <c r="N2664" s="362">
        <f t="shared" si="95"/>
        <v>37057</v>
      </c>
      <c r="O2664" s="356"/>
      <c r="P2664" s="356"/>
      <c r="Q2664" s="356"/>
      <c r="R2664" s="356"/>
      <c r="S2664" s="356"/>
      <c r="T2664" s="356"/>
      <c r="U2664" s="372"/>
      <c r="V2664" s="372"/>
      <c r="W2664" s="372"/>
      <c r="X2664" s="373"/>
      <c r="Y2664" s="348"/>
      <c r="Z2664" s="348"/>
      <c r="AA2664" s="348"/>
    </row>
    <row r="2665" s="331" customFormat="1" ht="17" customHeight="1" spans="1:27">
      <c r="A2665" s="348"/>
      <c r="B2665" s="348" t="s">
        <v>137</v>
      </c>
      <c r="C2665" s="348" t="s">
        <v>2705</v>
      </c>
      <c r="D2665" s="349" t="s">
        <v>191</v>
      </c>
      <c r="E2665" s="336">
        <v>43677</v>
      </c>
      <c r="F2665" s="336">
        <v>43674</v>
      </c>
      <c r="G2665" s="350">
        <v>43677</v>
      </c>
      <c r="H2665" s="334" t="s">
        <v>6940</v>
      </c>
      <c r="I2665" s="356">
        <v>13699266686</v>
      </c>
      <c r="J2665" s="361" t="s">
        <v>6941</v>
      </c>
      <c r="K2665" s="356">
        <v>4097</v>
      </c>
      <c r="L2665" s="334">
        <v>5312</v>
      </c>
      <c r="M2665" s="419"/>
      <c r="N2665" s="362">
        <f t="shared" si="95"/>
        <v>5312</v>
      </c>
      <c r="O2665" s="356"/>
      <c r="P2665" s="356"/>
      <c r="Q2665" s="356"/>
      <c r="R2665" s="356"/>
      <c r="S2665" s="356"/>
      <c r="T2665" s="356"/>
      <c r="U2665" s="372"/>
      <c r="V2665" s="372"/>
      <c r="W2665" s="372"/>
      <c r="X2665" s="373"/>
      <c r="Y2665" s="348"/>
      <c r="Z2665" s="348"/>
      <c r="AA2665" s="348"/>
    </row>
    <row r="2666" s="331" customFormat="1" ht="17" customHeight="1" spans="1:27">
      <c r="A2666" s="348"/>
      <c r="B2666" s="348" t="s">
        <v>137</v>
      </c>
      <c r="C2666" s="334" t="s">
        <v>861</v>
      </c>
      <c r="D2666" s="349" t="s">
        <v>139</v>
      </c>
      <c r="E2666" s="336">
        <v>43677</v>
      </c>
      <c r="F2666" s="336">
        <v>43667</v>
      </c>
      <c r="G2666" s="350">
        <v>43676</v>
      </c>
      <c r="H2666" s="334" t="s">
        <v>6942</v>
      </c>
      <c r="I2666" s="356">
        <v>13818357233</v>
      </c>
      <c r="J2666" s="361" t="s">
        <v>6943</v>
      </c>
      <c r="K2666" s="356">
        <v>11100</v>
      </c>
      <c r="L2666" s="334">
        <v>11100</v>
      </c>
      <c r="M2666" s="419"/>
      <c r="N2666" s="362">
        <f t="shared" si="95"/>
        <v>11100</v>
      </c>
      <c r="O2666" s="356"/>
      <c r="P2666" s="356"/>
      <c r="Q2666" s="356"/>
      <c r="R2666" s="356"/>
      <c r="S2666" s="356"/>
      <c r="T2666" s="356"/>
      <c r="U2666" s="372"/>
      <c r="V2666" s="372"/>
      <c r="W2666" s="372"/>
      <c r="X2666" s="373"/>
      <c r="Y2666" s="348"/>
      <c r="Z2666" s="348"/>
      <c r="AA2666" s="348"/>
    </row>
    <row r="2667" s="331" customFormat="1" ht="17" customHeight="1" spans="1:27">
      <c r="A2667" s="348"/>
      <c r="B2667" s="348" t="s">
        <v>137</v>
      </c>
      <c r="C2667" s="334" t="s">
        <v>861</v>
      </c>
      <c r="D2667" s="349" t="s">
        <v>427</v>
      </c>
      <c r="E2667" s="336">
        <v>43677</v>
      </c>
      <c r="F2667" s="336">
        <v>43667</v>
      </c>
      <c r="G2667" s="336">
        <v>43675</v>
      </c>
      <c r="H2667" s="334" t="s">
        <v>6944</v>
      </c>
      <c r="I2667" s="356">
        <v>13818973533</v>
      </c>
      <c r="J2667" s="361" t="s">
        <v>6945</v>
      </c>
      <c r="K2667" s="356">
        <v>13500</v>
      </c>
      <c r="L2667" s="334">
        <v>13500</v>
      </c>
      <c r="M2667" s="419"/>
      <c r="N2667" s="362">
        <f t="shared" si="95"/>
        <v>13500</v>
      </c>
      <c r="O2667" s="356"/>
      <c r="P2667" s="356"/>
      <c r="Q2667" s="356"/>
      <c r="R2667" s="356"/>
      <c r="S2667" s="356"/>
      <c r="T2667" s="356"/>
      <c r="U2667" s="372"/>
      <c r="V2667" s="372"/>
      <c r="W2667" s="372"/>
      <c r="X2667" s="373"/>
      <c r="Y2667" s="348"/>
      <c r="Z2667" s="348"/>
      <c r="AA2667" s="348"/>
    </row>
    <row r="2668" s="331" customFormat="1" ht="17" customHeight="1" spans="1:27">
      <c r="A2668" s="550" t="s">
        <v>6946</v>
      </c>
      <c r="B2668" s="348" t="s">
        <v>35</v>
      </c>
      <c r="C2668" s="348" t="s">
        <v>392</v>
      </c>
      <c r="D2668" s="352" t="s">
        <v>37</v>
      </c>
      <c r="E2668" s="336">
        <v>43677</v>
      </c>
      <c r="F2668" s="336">
        <v>43675</v>
      </c>
      <c r="G2668" s="372"/>
      <c r="H2668" s="334" t="s">
        <v>6947</v>
      </c>
      <c r="I2668" s="356">
        <v>13816599505</v>
      </c>
      <c r="J2668" s="361" t="s">
        <v>6948</v>
      </c>
      <c r="K2668" s="356">
        <v>1000</v>
      </c>
      <c r="L2668" s="419"/>
      <c r="M2668" s="419"/>
      <c r="N2668" s="362">
        <f t="shared" si="95"/>
        <v>0</v>
      </c>
      <c r="O2668" s="356"/>
      <c r="P2668" s="356"/>
      <c r="Q2668" s="356"/>
      <c r="R2668" s="356"/>
      <c r="S2668" s="356"/>
      <c r="T2668" s="356"/>
      <c r="U2668" s="393" t="s">
        <v>40</v>
      </c>
      <c r="V2668" s="372"/>
      <c r="W2668" s="372"/>
      <c r="X2668" s="373"/>
      <c r="Y2668" s="348"/>
      <c r="Z2668" s="348"/>
      <c r="AA2668" s="348"/>
    </row>
    <row r="2669" s="331" customFormat="1" ht="17" customHeight="1" spans="1:27">
      <c r="A2669" s="550" t="s">
        <v>6949</v>
      </c>
      <c r="B2669" s="348" t="s">
        <v>35</v>
      </c>
      <c r="C2669" s="348" t="s">
        <v>392</v>
      </c>
      <c r="D2669" s="352" t="s">
        <v>37</v>
      </c>
      <c r="E2669" s="336">
        <v>43677</v>
      </c>
      <c r="F2669" s="336">
        <v>43676</v>
      </c>
      <c r="G2669" s="350"/>
      <c r="H2669" s="334" t="s">
        <v>1179</v>
      </c>
      <c r="I2669" s="356">
        <v>13391105190</v>
      </c>
      <c r="J2669" s="361" t="s">
        <v>6950</v>
      </c>
      <c r="K2669" s="356">
        <v>4201</v>
      </c>
      <c r="L2669" s="419"/>
      <c r="M2669" s="419"/>
      <c r="N2669" s="362">
        <f t="shared" si="95"/>
        <v>0</v>
      </c>
      <c r="O2669" s="356" t="s">
        <v>52</v>
      </c>
      <c r="P2669" s="356"/>
      <c r="Q2669" s="356"/>
      <c r="R2669" s="356"/>
      <c r="S2669" s="356"/>
      <c r="T2669" s="356"/>
      <c r="U2669" s="372" t="s">
        <v>40</v>
      </c>
      <c r="V2669" s="372"/>
      <c r="W2669" s="372"/>
      <c r="X2669" s="373"/>
      <c r="Y2669" s="348"/>
      <c r="Z2669" s="348"/>
      <c r="AA2669" s="348"/>
    </row>
    <row r="2670" s="331" customFormat="1" ht="17" customHeight="1" spans="1:27">
      <c r="A2670" s="550" t="s">
        <v>1834</v>
      </c>
      <c r="B2670" s="348" t="s">
        <v>315</v>
      </c>
      <c r="C2670" s="348" t="s">
        <v>181</v>
      </c>
      <c r="D2670" s="352" t="s">
        <v>182</v>
      </c>
      <c r="E2670" s="336">
        <v>43677</v>
      </c>
      <c r="F2670" s="336">
        <v>43676</v>
      </c>
      <c r="G2670" s="350" t="s">
        <v>231</v>
      </c>
      <c r="H2670" s="351" t="s">
        <v>6951</v>
      </c>
      <c r="I2670" s="356">
        <v>13564063939</v>
      </c>
      <c r="J2670" s="361" t="s">
        <v>6952</v>
      </c>
      <c r="K2670" s="356">
        <v>1000</v>
      </c>
      <c r="L2670" s="419"/>
      <c r="M2670" s="419"/>
      <c r="N2670" s="362">
        <f t="shared" si="95"/>
        <v>0</v>
      </c>
      <c r="O2670" s="356"/>
      <c r="P2670" s="356"/>
      <c r="Q2670" s="356"/>
      <c r="R2670" s="356"/>
      <c r="S2670" s="356"/>
      <c r="T2670" s="356"/>
      <c r="U2670" s="372"/>
      <c r="V2670" s="372"/>
      <c r="W2670" s="372"/>
      <c r="X2670" s="373"/>
      <c r="Y2670" s="348"/>
      <c r="Z2670" s="348"/>
      <c r="AA2670" s="348"/>
    </row>
    <row r="2671" s="331" customFormat="1" ht="17" customHeight="1" spans="1:27">
      <c r="A2671" s="550" t="s">
        <v>6953</v>
      </c>
      <c r="B2671" s="348" t="s">
        <v>58</v>
      </c>
      <c r="C2671" s="348" t="s">
        <v>794</v>
      </c>
      <c r="D2671" s="349" t="s">
        <v>110</v>
      </c>
      <c r="E2671" s="336">
        <v>43677</v>
      </c>
      <c r="F2671" s="336">
        <v>43676</v>
      </c>
      <c r="G2671" s="350">
        <v>43677</v>
      </c>
      <c r="H2671" s="334" t="s">
        <v>6954</v>
      </c>
      <c r="I2671" s="356">
        <v>18930605689</v>
      </c>
      <c r="J2671" s="361" t="s">
        <v>6955</v>
      </c>
      <c r="K2671" s="356">
        <v>500</v>
      </c>
      <c r="L2671" s="334">
        <v>18769</v>
      </c>
      <c r="M2671" s="419">
        <f>736+1104</f>
        <v>1840</v>
      </c>
      <c r="N2671" s="362">
        <f t="shared" ref="N2671:N2692" si="96">L2671+M2671</f>
        <v>20609</v>
      </c>
      <c r="O2671" s="356"/>
      <c r="P2671" s="356"/>
      <c r="Q2671" s="356"/>
      <c r="R2671" s="356"/>
      <c r="S2671" s="356"/>
      <c r="T2671" s="356"/>
      <c r="U2671" s="372"/>
      <c r="V2671" s="372"/>
      <c r="W2671" s="372"/>
      <c r="X2671" s="373"/>
      <c r="Y2671" s="348"/>
      <c r="Z2671" s="348"/>
      <c r="AA2671" s="348"/>
    </row>
    <row r="2672" s="331" customFormat="1" ht="15" customHeight="1" spans="1:27">
      <c r="A2672" s="550" t="s">
        <v>6956</v>
      </c>
      <c r="B2672" s="348" t="s">
        <v>58</v>
      </c>
      <c r="C2672" s="348" t="s">
        <v>794</v>
      </c>
      <c r="D2672" s="352" t="s">
        <v>110</v>
      </c>
      <c r="E2672" s="336">
        <v>43677</v>
      </c>
      <c r="F2672" s="336">
        <v>43676</v>
      </c>
      <c r="G2672" s="350"/>
      <c r="H2672" s="334" t="s">
        <v>6957</v>
      </c>
      <c r="I2672" s="356">
        <v>17682181989</v>
      </c>
      <c r="J2672" s="361" t="s">
        <v>4960</v>
      </c>
      <c r="K2672" s="356">
        <v>500</v>
      </c>
      <c r="L2672" s="419"/>
      <c r="M2672" s="419"/>
      <c r="N2672" s="362">
        <f t="shared" si="96"/>
        <v>0</v>
      </c>
      <c r="O2672" s="366" t="s">
        <v>52</v>
      </c>
      <c r="P2672" s="356"/>
      <c r="Q2672" s="356"/>
      <c r="R2672" s="356"/>
      <c r="S2672" s="356"/>
      <c r="T2672" s="356"/>
      <c r="U2672" s="372"/>
      <c r="V2672" s="372"/>
      <c r="W2672" s="372"/>
      <c r="X2672" s="373"/>
      <c r="Y2672" s="348"/>
      <c r="Z2672" s="348"/>
      <c r="AA2672" s="348"/>
    </row>
    <row r="2673" s="331" customFormat="1" ht="15" customHeight="1" spans="1:27">
      <c r="A2673" s="550" t="s">
        <v>6958</v>
      </c>
      <c r="B2673" s="348" t="s">
        <v>58</v>
      </c>
      <c r="C2673" s="348" t="s">
        <v>794</v>
      </c>
      <c r="D2673" s="352" t="s">
        <v>110</v>
      </c>
      <c r="E2673" s="336">
        <v>43737</v>
      </c>
      <c r="F2673" s="336">
        <v>43676</v>
      </c>
      <c r="G2673" s="336">
        <v>43737</v>
      </c>
      <c r="H2673" s="334" t="s">
        <v>6959</v>
      </c>
      <c r="I2673" s="356">
        <v>18916213575</v>
      </c>
      <c r="J2673" s="361" t="s">
        <v>6960</v>
      </c>
      <c r="K2673" s="356">
        <v>10000</v>
      </c>
      <c r="L2673" s="334">
        <v>29740</v>
      </c>
      <c r="M2673" s="419"/>
      <c r="N2673" s="362">
        <f t="shared" si="96"/>
        <v>29740</v>
      </c>
      <c r="O2673" s="366"/>
      <c r="P2673" s="366" t="s">
        <v>52</v>
      </c>
      <c r="Q2673" s="356"/>
      <c r="R2673" s="356"/>
      <c r="S2673" s="356"/>
      <c r="T2673" s="356"/>
      <c r="U2673" s="372"/>
      <c r="V2673" s="372"/>
      <c r="W2673" s="372"/>
      <c r="X2673" s="373"/>
      <c r="Y2673" s="348"/>
      <c r="Z2673" s="348"/>
      <c r="AA2673" s="348"/>
    </row>
    <row r="2674" s="331" customFormat="1" ht="17" customHeight="1" spans="1:27">
      <c r="A2674" s="550" t="s">
        <v>6961</v>
      </c>
      <c r="B2674" s="348" t="s">
        <v>726</v>
      </c>
      <c r="C2674" s="348" t="s">
        <v>727</v>
      </c>
      <c r="D2674" s="334" t="s">
        <v>271</v>
      </c>
      <c r="E2674" s="336">
        <v>43708</v>
      </c>
      <c r="F2674" s="336">
        <v>43676</v>
      </c>
      <c r="G2674" s="336">
        <v>43708</v>
      </c>
      <c r="H2674" s="334" t="s">
        <v>6962</v>
      </c>
      <c r="I2674" s="356">
        <v>13651629444</v>
      </c>
      <c r="J2674" s="361" t="s">
        <v>6963</v>
      </c>
      <c r="K2674" s="356">
        <v>17955</v>
      </c>
      <c r="L2674" s="334">
        <v>19281</v>
      </c>
      <c r="M2674" s="419"/>
      <c r="N2674" s="362">
        <f t="shared" si="96"/>
        <v>19281</v>
      </c>
      <c r="O2674" s="356" t="s">
        <v>19</v>
      </c>
      <c r="P2674" s="356"/>
      <c r="Q2674" s="356"/>
      <c r="R2674" s="356"/>
      <c r="S2674" s="356"/>
      <c r="T2674" s="356"/>
      <c r="U2674" s="372"/>
      <c r="V2674" s="372"/>
      <c r="W2674" s="372"/>
      <c r="X2674" s="373"/>
      <c r="Y2674" s="348"/>
      <c r="Z2674" s="348"/>
      <c r="AA2674" s="348"/>
    </row>
    <row r="2675" s="331" customFormat="1" ht="17" customHeight="1" spans="1:27">
      <c r="A2675" s="550" t="s">
        <v>6964</v>
      </c>
      <c r="B2675" s="348" t="s">
        <v>726</v>
      </c>
      <c r="C2675" s="348" t="s">
        <v>727</v>
      </c>
      <c r="D2675" s="334" t="s">
        <v>271</v>
      </c>
      <c r="E2675" s="336">
        <v>43729</v>
      </c>
      <c r="F2675" s="336">
        <v>43676</v>
      </c>
      <c r="G2675" s="336">
        <v>43726</v>
      </c>
      <c r="H2675" s="334" t="s">
        <v>6965</v>
      </c>
      <c r="I2675" s="356">
        <v>13801851138</v>
      </c>
      <c r="J2675" s="361" t="s">
        <v>6966</v>
      </c>
      <c r="K2675" s="356">
        <v>21953</v>
      </c>
      <c r="L2675" s="334">
        <v>16619</v>
      </c>
      <c r="M2675" s="419"/>
      <c r="N2675" s="362">
        <f t="shared" si="96"/>
        <v>16619</v>
      </c>
      <c r="O2675" s="356"/>
      <c r="P2675" s="356" t="s">
        <v>1526</v>
      </c>
      <c r="Q2675" s="356"/>
      <c r="R2675" s="356"/>
      <c r="S2675" s="356"/>
      <c r="T2675" s="356"/>
      <c r="U2675" s="372"/>
      <c r="V2675" s="372"/>
      <c r="W2675" s="372"/>
      <c r="X2675" s="373"/>
      <c r="Y2675" s="348"/>
      <c r="Z2675" s="348"/>
      <c r="AA2675" s="348"/>
    </row>
    <row r="2676" s="331" customFormat="1" ht="17" customHeight="1" spans="1:27">
      <c r="A2676" s="550" t="s">
        <v>6967</v>
      </c>
      <c r="B2676" s="348" t="s">
        <v>169</v>
      </c>
      <c r="C2676" s="348" t="s">
        <v>634</v>
      </c>
      <c r="D2676" s="352" t="s">
        <v>635</v>
      </c>
      <c r="E2676" s="336">
        <v>43733</v>
      </c>
      <c r="F2676" s="336">
        <v>43676</v>
      </c>
      <c r="G2676" s="336">
        <v>43731</v>
      </c>
      <c r="H2676" s="334" t="s">
        <v>6968</v>
      </c>
      <c r="I2676" s="356">
        <v>13917670211</v>
      </c>
      <c r="J2676" s="361" t="s">
        <v>6969</v>
      </c>
      <c r="K2676" s="356">
        <v>500</v>
      </c>
      <c r="L2676" s="334">
        <v>5949</v>
      </c>
      <c r="M2676" s="419"/>
      <c r="N2676" s="362">
        <f t="shared" si="96"/>
        <v>5949</v>
      </c>
      <c r="O2676" s="356" t="s">
        <v>19</v>
      </c>
      <c r="P2676" s="356"/>
      <c r="Q2676" s="356"/>
      <c r="R2676" s="356"/>
      <c r="S2676" s="356"/>
      <c r="T2676" s="356"/>
      <c r="U2676" s="372"/>
      <c r="V2676" s="372"/>
      <c r="W2676" s="372"/>
      <c r="X2676" s="373"/>
      <c r="Y2676" s="348"/>
      <c r="Z2676" s="348"/>
      <c r="AA2676" s="348"/>
    </row>
    <row r="2677" s="331" customFormat="1" ht="17" customHeight="1" spans="1:27">
      <c r="A2677" s="550" t="s">
        <v>6970</v>
      </c>
      <c r="B2677" s="348" t="s">
        <v>169</v>
      </c>
      <c r="C2677" s="348" t="s">
        <v>634</v>
      </c>
      <c r="D2677" s="352" t="s">
        <v>635</v>
      </c>
      <c r="E2677" s="336">
        <v>43682</v>
      </c>
      <c r="F2677" s="336">
        <v>43676</v>
      </c>
      <c r="G2677" s="336">
        <v>43682</v>
      </c>
      <c r="H2677" s="334" t="s">
        <v>6971</v>
      </c>
      <c r="I2677" s="356">
        <v>13816140460</v>
      </c>
      <c r="J2677" s="361" t="s">
        <v>6972</v>
      </c>
      <c r="K2677" s="356">
        <v>1000</v>
      </c>
      <c r="L2677" s="334">
        <v>7133</v>
      </c>
      <c r="M2677" s="419"/>
      <c r="N2677" s="362">
        <f t="shared" si="96"/>
        <v>7133</v>
      </c>
      <c r="O2677" s="356"/>
      <c r="P2677" s="356"/>
      <c r="Q2677" s="356"/>
      <c r="R2677" s="356"/>
      <c r="S2677" s="356"/>
      <c r="T2677" s="356"/>
      <c r="U2677" s="372"/>
      <c r="V2677" s="372"/>
      <c r="W2677" s="372"/>
      <c r="X2677" s="373"/>
      <c r="Y2677" s="348"/>
      <c r="Z2677" s="348"/>
      <c r="AA2677" s="348"/>
    </row>
    <row r="2678" s="331" customFormat="1" ht="17" customHeight="1" spans="1:27">
      <c r="A2678" s="550" t="s">
        <v>6973</v>
      </c>
      <c r="B2678" s="348" t="s">
        <v>31</v>
      </c>
      <c r="C2678" s="348" t="s">
        <v>220</v>
      </c>
      <c r="D2678" s="352" t="s">
        <v>221</v>
      </c>
      <c r="E2678" s="336">
        <v>43739</v>
      </c>
      <c r="F2678" s="336">
        <v>43676</v>
      </c>
      <c r="G2678" s="336">
        <v>43739</v>
      </c>
      <c r="H2678" s="334" t="s">
        <v>6974</v>
      </c>
      <c r="I2678" s="356">
        <v>13774205728</v>
      </c>
      <c r="J2678" s="361" t="s">
        <v>6975</v>
      </c>
      <c r="K2678" s="356">
        <v>500</v>
      </c>
      <c r="L2678" s="334">
        <v>10252</v>
      </c>
      <c r="M2678" s="419"/>
      <c r="N2678" s="362">
        <f t="shared" si="96"/>
        <v>10252</v>
      </c>
      <c r="O2678" s="356"/>
      <c r="P2678" s="356"/>
      <c r="Q2678" s="356"/>
      <c r="R2678" s="366" t="s">
        <v>52</v>
      </c>
      <c r="S2678" s="356"/>
      <c r="T2678" s="356"/>
      <c r="U2678" s="372"/>
      <c r="V2678" s="372"/>
      <c r="W2678" s="372"/>
      <c r="X2678" s="373"/>
      <c r="Y2678" s="348"/>
      <c r="Z2678" s="348"/>
      <c r="AA2678" s="348"/>
    </row>
    <row r="2679" s="331" customFormat="1" ht="17" customHeight="1" spans="1:27">
      <c r="A2679" s="550" t="s">
        <v>6976</v>
      </c>
      <c r="B2679" s="348" t="s">
        <v>31</v>
      </c>
      <c r="C2679" s="348" t="s">
        <v>220</v>
      </c>
      <c r="D2679" s="334" t="s">
        <v>33</v>
      </c>
      <c r="E2679" s="336">
        <v>43750</v>
      </c>
      <c r="F2679" s="336">
        <v>43676</v>
      </c>
      <c r="G2679" s="336">
        <v>43749</v>
      </c>
      <c r="H2679" s="334" t="s">
        <v>6977</v>
      </c>
      <c r="I2679" s="356">
        <v>13585661518</v>
      </c>
      <c r="J2679" s="361" t="s">
        <v>6978</v>
      </c>
      <c r="K2679" s="356">
        <v>500</v>
      </c>
      <c r="L2679" s="334">
        <v>6563</v>
      </c>
      <c r="M2679" s="419"/>
      <c r="N2679" s="362">
        <f t="shared" si="96"/>
        <v>6563</v>
      </c>
      <c r="O2679" s="356"/>
      <c r="P2679" s="356"/>
      <c r="Q2679" s="366" t="s">
        <v>52</v>
      </c>
      <c r="R2679" s="356"/>
      <c r="S2679" s="356"/>
      <c r="T2679" s="356"/>
      <c r="U2679" s="372"/>
      <c r="V2679" s="372"/>
      <c r="W2679" s="372"/>
      <c r="X2679" s="373"/>
      <c r="Y2679" s="348"/>
      <c r="Z2679" s="348"/>
      <c r="AA2679" s="348"/>
    </row>
    <row r="2680" s="331" customFormat="1" ht="17" customHeight="1" spans="1:27">
      <c r="A2680" s="348"/>
      <c r="B2680" s="348" t="s">
        <v>31</v>
      </c>
      <c r="C2680" s="348" t="s">
        <v>220</v>
      </c>
      <c r="D2680" s="352" t="s">
        <v>221</v>
      </c>
      <c r="E2680" s="336">
        <v>43737</v>
      </c>
      <c r="F2680" s="336">
        <v>43676</v>
      </c>
      <c r="G2680" s="336">
        <v>43737</v>
      </c>
      <c r="H2680" s="334" t="s">
        <v>6979</v>
      </c>
      <c r="I2680" s="356">
        <v>13386274980</v>
      </c>
      <c r="J2680" s="361" t="s">
        <v>6980</v>
      </c>
      <c r="K2680" s="356">
        <v>500</v>
      </c>
      <c r="L2680" s="334">
        <f>7962-1104</f>
        <v>6858</v>
      </c>
      <c r="M2680" s="334">
        <v>1104</v>
      </c>
      <c r="N2680" s="362">
        <f t="shared" si="96"/>
        <v>7962</v>
      </c>
      <c r="O2680" s="356"/>
      <c r="P2680" s="356"/>
      <c r="Q2680" s="356"/>
      <c r="R2680" s="366" t="s">
        <v>52</v>
      </c>
      <c r="S2680" s="356"/>
      <c r="T2680" s="356"/>
      <c r="U2680" s="372"/>
      <c r="V2680" s="372"/>
      <c r="W2680" s="372"/>
      <c r="X2680" s="373"/>
      <c r="Y2680" s="348"/>
      <c r="Z2680" s="348"/>
      <c r="AA2680" s="348"/>
    </row>
    <row r="2681" s="331" customFormat="1" ht="17" customHeight="1" spans="1:27">
      <c r="A2681" s="550" t="s">
        <v>6981</v>
      </c>
      <c r="B2681" s="348" t="s">
        <v>354</v>
      </c>
      <c r="C2681" s="348" t="s">
        <v>355</v>
      </c>
      <c r="D2681" s="349" t="s">
        <v>149</v>
      </c>
      <c r="E2681" s="336">
        <v>43723</v>
      </c>
      <c r="F2681" s="336">
        <v>43677</v>
      </c>
      <c r="G2681" s="336">
        <v>43723</v>
      </c>
      <c r="H2681" s="334" t="s">
        <v>6982</v>
      </c>
      <c r="I2681" s="356">
        <v>13611655482</v>
      </c>
      <c r="J2681" s="361" t="s">
        <v>6983</v>
      </c>
      <c r="K2681" s="356">
        <v>500</v>
      </c>
      <c r="L2681" s="334">
        <v>5186</v>
      </c>
      <c r="M2681" s="419"/>
      <c r="N2681" s="362">
        <f t="shared" si="96"/>
        <v>5186</v>
      </c>
      <c r="O2681" s="356"/>
      <c r="P2681" s="356" t="s">
        <v>52</v>
      </c>
      <c r="Q2681" s="356"/>
      <c r="R2681" s="356"/>
      <c r="S2681" s="356"/>
      <c r="T2681" s="356"/>
      <c r="U2681" s="372"/>
      <c r="V2681" s="372"/>
      <c r="W2681" s="372"/>
      <c r="X2681" s="373"/>
      <c r="Y2681" s="348"/>
      <c r="Z2681" s="348"/>
      <c r="AA2681" s="348"/>
    </row>
    <row r="2682" s="331" customFormat="1" ht="17" customHeight="1" spans="1:27">
      <c r="A2682" s="348"/>
      <c r="B2682" s="348" t="s">
        <v>137</v>
      </c>
      <c r="C2682" s="348" t="s">
        <v>411</v>
      </c>
      <c r="D2682" s="334" t="s">
        <v>443</v>
      </c>
      <c r="E2682" s="336">
        <v>43757</v>
      </c>
      <c r="F2682" s="336">
        <v>43677</v>
      </c>
      <c r="G2682" s="336">
        <v>43756</v>
      </c>
      <c r="H2682" s="334" t="s">
        <v>6984</v>
      </c>
      <c r="I2682" s="356">
        <v>13701799897</v>
      </c>
      <c r="J2682" s="361" t="s">
        <v>6985</v>
      </c>
      <c r="K2682" s="356">
        <v>500</v>
      </c>
      <c r="L2682" s="334">
        <v>7707</v>
      </c>
      <c r="M2682" s="419"/>
      <c r="N2682" s="362">
        <f t="shared" si="96"/>
        <v>7707</v>
      </c>
      <c r="O2682" s="356"/>
      <c r="P2682" s="356"/>
      <c r="Q2682" s="356"/>
      <c r="R2682" s="356">
        <v>1</v>
      </c>
      <c r="S2682" s="356"/>
      <c r="T2682" s="356"/>
      <c r="U2682" s="372"/>
      <c r="V2682" s="372"/>
      <c r="W2682" s="372"/>
      <c r="X2682" s="373"/>
      <c r="Y2682" s="348"/>
      <c r="Z2682" s="348"/>
      <c r="AA2682" s="348"/>
    </row>
    <row r="2683" s="331" customFormat="1" ht="17" customHeight="1" spans="1:27">
      <c r="A2683" s="348"/>
      <c r="B2683" s="348" t="s">
        <v>137</v>
      </c>
      <c r="C2683" s="348" t="s">
        <v>411</v>
      </c>
      <c r="D2683" s="334" t="s">
        <v>139</v>
      </c>
      <c r="E2683" s="336">
        <v>43765</v>
      </c>
      <c r="F2683" s="336">
        <v>43677</v>
      </c>
      <c r="G2683" s="336">
        <v>43765</v>
      </c>
      <c r="H2683" s="334" t="s">
        <v>6986</v>
      </c>
      <c r="I2683" s="356">
        <v>13501952709</v>
      </c>
      <c r="J2683" s="361" t="s">
        <v>6987</v>
      </c>
      <c r="K2683" s="356">
        <v>500</v>
      </c>
      <c r="L2683" s="334">
        <v>7267</v>
      </c>
      <c r="M2683" s="419"/>
      <c r="N2683" s="362">
        <f t="shared" si="96"/>
        <v>7267</v>
      </c>
      <c r="O2683" s="356"/>
      <c r="P2683" s="356">
        <v>1</v>
      </c>
      <c r="Q2683" s="356"/>
      <c r="R2683" s="356"/>
      <c r="S2683" s="356"/>
      <c r="T2683" s="356"/>
      <c r="U2683" s="372"/>
      <c r="V2683" s="372"/>
      <c r="W2683" s="372"/>
      <c r="X2683" s="373"/>
      <c r="Y2683" s="348"/>
      <c r="Z2683" s="348"/>
      <c r="AA2683" s="348"/>
    </row>
    <row r="2684" s="331" customFormat="1" ht="17" customHeight="1" spans="1:27">
      <c r="A2684" s="348"/>
      <c r="B2684" s="348" t="s">
        <v>315</v>
      </c>
      <c r="C2684" s="348" t="s">
        <v>181</v>
      </c>
      <c r="D2684" s="349" t="s">
        <v>89</v>
      </c>
      <c r="E2684" s="336">
        <v>43685</v>
      </c>
      <c r="F2684" s="336">
        <v>43676</v>
      </c>
      <c r="G2684" s="336">
        <v>43685</v>
      </c>
      <c r="H2684" s="334" t="s">
        <v>676</v>
      </c>
      <c r="I2684" s="356">
        <v>18917612861</v>
      </c>
      <c r="J2684" s="361" t="s">
        <v>6988</v>
      </c>
      <c r="K2684" s="356">
        <v>500</v>
      </c>
      <c r="L2684" s="334">
        <v>7539</v>
      </c>
      <c r="M2684" s="419"/>
      <c r="N2684" s="362">
        <f t="shared" si="96"/>
        <v>7539</v>
      </c>
      <c r="O2684" s="356"/>
      <c r="P2684" s="356"/>
      <c r="Q2684" s="356"/>
      <c r="R2684" s="356"/>
      <c r="S2684" s="356"/>
      <c r="T2684" s="356"/>
      <c r="U2684" s="372"/>
      <c r="V2684" s="372"/>
      <c r="W2684" s="372"/>
      <c r="X2684" s="373"/>
      <c r="Y2684" s="348"/>
      <c r="Z2684" s="348"/>
      <c r="AA2684" s="348"/>
    </row>
    <row r="2685" s="331" customFormat="1" ht="17" customHeight="1" spans="1:27">
      <c r="A2685" s="550" t="s">
        <v>6989</v>
      </c>
      <c r="B2685" s="348" t="s">
        <v>315</v>
      </c>
      <c r="C2685" s="348" t="s">
        <v>181</v>
      </c>
      <c r="D2685" s="352" t="s">
        <v>182</v>
      </c>
      <c r="E2685" s="336">
        <v>43677</v>
      </c>
      <c r="F2685" s="336">
        <v>43676</v>
      </c>
      <c r="G2685" s="350" t="s">
        <v>69</v>
      </c>
      <c r="H2685" s="334" t="s">
        <v>6990</v>
      </c>
      <c r="I2685" s="356">
        <v>17898899202</v>
      </c>
      <c r="J2685" s="361" t="s">
        <v>6991</v>
      </c>
      <c r="K2685" s="356">
        <v>500</v>
      </c>
      <c r="L2685" s="419"/>
      <c r="M2685" s="419"/>
      <c r="N2685" s="362">
        <f t="shared" si="96"/>
        <v>0</v>
      </c>
      <c r="O2685" s="356"/>
      <c r="P2685" s="356"/>
      <c r="Q2685" s="356"/>
      <c r="R2685" s="356"/>
      <c r="S2685" s="356"/>
      <c r="T2685" s="356"/>
      <c r="U2685" s="372"/>
      <c r="V2685" s="372"/>
      <c r="W2685" s="372"/>
      <c r="X2685" s="373"/>
      <c r="Y2685" s="348"/>
      <c r="Z2685" s="348"/>
      <c r="AA2685" s="348"/>
    </row>
    <row r="2686" s="331" customFormat="1" ht="17" customHeight="1" spans="1:27">
      <c r="A2686" s="550" t="s">
        <v>6992</v>
      </c>
      <c r="B2686" s="348" t="s">
        <v>315</v>
      </c>
      <c r="C2686" s="348" t="s">
        <v>181</v>
      </c>
      <c r="D2686" s="352" t="s">
        <v>182</v>
      </c>
      <c r="E2686" s="336">
        <v>43733</v>
      </c>
      <c r="F2686" s="336">
        <v>43676</v>
      </c>
      <c r="G2686" s="336">
        <v>43730</v>
      </c>
      <c r="H2686" s="334" t="s">
        <v>6993</v>
      </c>
      <c r="I2686" s="356">
        <v>13916326332</v>
      </c>
      <c r="J2686" s="361" t="s">
        <v>6994</v>
      </c>
      <c r="K2686" s="356">
        <v>500</v>
      </c>
      <c r="L2686" s="334">
        <f>2648-368</f>
        <v>2280</v>
      </c>
      <c r="M2686" s="334">
        <v>368</v>
      </c>
      <c r="N2686" s="362">
        <f t="shared" si="96"/>
        <v>2648</v>
      </c>
      <c r="O2686" s="356"/>
      <c r="P2686" s="356"/>
      <c r="Q2686" s="356"/>
      <c r="R2686" s="356"/>
      <c r="S2686" s="356"/>
      <c r="T2686" s="356"/>
      <c r="U2686" s="372"/>
      <c r="V2686" s="372"/>
      <c r="W2686" s="372"/>
      <c r="X2686" s="373"/>
      <c r="Y2686" s="348"/>
      <c r="Z2686" s="348"/>
      <c r="AA2686" s="348"/>
    </row>
    <row r="2687" s="331" customFormat="1" ht="17" customHeight="1" spans="1:27">
      <c r="A2687" s="348"/>
      <c r="B2687" s="348" t="s">
        <v>94</v>
      </c>
      <c r="C2687" s="348" t="s">
        <v>498</v>
      </c>
      <c r="D2687" s="352" t="s">
        <v>49</v>
      </c>
      <c r="E2687" s="336">
        <v>43677</v>
      </c>
      <c r="F2687" s="336">
        <v>43673</v>
      </c>
      <c r="G2687" s="350"/>
      <c r="H2687" s="334" t="s">
        <v>6289</v>
      </c>
      <c r="I2687" s="334">
        <v>18621951884</v>
      </c>
      <c r="J2687" s="367" t="s">
        <v>6995</v>
      </c>
      <c r="K2687" s="356">
        <v>1000</v>
      </c>
      <c r="L2687" s="419"/>
      <c r="M2687" s="419"/>
      <c r="N2687" s="362">
        <f t="shared" si="96"/>
        <v>0</v>
      </c>
      <c r="O2687" s="366" t="s">
        <v>52</v>
      </c>
      <c r="P2687" s="356"/>
      <c r="Q2687" s="356"/>
      <c r="R2687" s="356"/>
      <c r="S2687" s="356"/>
      <c r="T2687" s="356"/>
      <c r="U2687" s="372"/>
      <c r="V2687" s="372"/>
      <c r="W2687" s="372"/>
      <c r="X2687" s="373"/>
      <c r="Y2687" s="348"/>
      <c r="Z2687" s="348"/>
      <c r="AA2687" s="348"/>
    </row>
    <row r="2688" s="331" customFormat="1" ht="17" customHeight="1" spans="1:27">
      <c r="A2688" s="348"/>
      <c r="B2688" s="348" t="s">
        <v>94</v>
      </c>
      <c r="C2688" s="348" t="s">
        <v>498</v>
      </c>
      <c r="D2688" s="352" t="s">
        <v>49</v>
      </c>
      <c r="E2688" s="336">
        <v>43677</v>
      </c>
      <c r="F2688" s="336">
        <v>43673</v>
      </c>
      <c r="G2688" s="350"/>
      <c r="H2688" s="334" t="s">
        <v>6996</v>
      </c>
      <c r="I2688" s="334">
        <v>18116420730</v>
      </c>
      <c r="J2688" s="367" t="s">
        <v>6997</v>
      </c>
      <c r="K2688" s="356">
        <v>1000</v>
      </c>
      <c r="L2688" s="419"/>
      <c r="M2688" s="419"/>
      <c r="N2688" s="362">
        <f t="shared" si="96"/>
        <v>0</v>
      </c>
      <c r="O2688" s="366" t="s">
        <v>52</v>
      </c>
      <c r="P2688" s="356"/>
      <c r="Q2688" s="356"/>
      <c r="R2688" s="356"/>
      <c r="S2688" s="356"/>
      <c r="T2688" s="356"/>
      <c r="U2688" s="372"/>
      <c r="V2688" s="372"/>
      <c r="W2688" s="372"/>
      <c r="X2688" s="373"/>
      <c r="Y2688" s="348"/>
      <c r="Z2688" s="348"/>
      <c r="AA2688" s="348"/>
    </row>
    <row r="2689" s="331" customFormat="1" ht="17" customHeight="1" spans="1:27">
      <c r="A2689" s="348"/>
      <c r="B2689" s="348" t="s">
        <v>94</v>
      </c>
      <c r="C2689" s="348" t="s">
        <v>498</v>
      </c>
      <c r="D2689" s="352" t="s">
        <v>49</v>
      </c>
      <c r="E2689" s="336">
        <v>43677</v>
      </c>
      <c r="F2689" s="336">
        <v>43673</v>
      </c>
      <c r="G2689" s="350"/>
      <c r="H2689" s="334" t="s">
        <v>6998</v>
      </c>
      <c r="I2689" s="334">
        <v>15618609868</v>
      </c>
      <c r="J2689" s="367" t="s">
        <v>6999</v>
      </c>
      <c r="K2689" s="356">
        <v>1000</v>
      </c>
      <c r="L2689" s="419"/>
      <c r="M2689" s="419"/>
      <c r="N2689" s="362">
        <f t="shared" si="96"/>
        <v>0</v>
      </c>
      <c r="O2689" s="366" t="s">
        <v>52</v>
      </c>
      <c r="P2689" s="356"/>
      <c r="Q2689" s="356"/>
      <c r="R2689" s="356"/>
      <c r="S2689" s="356"/>
      <c r="T2689" s="356"/>
      <c r="U2689" s="372"/>
      <c r="V2689" s="372"/>
      <c r="W2689" s="372"/>
      <c r="X2689" s="373"/>
      <c r="Y2689" s="348"/>
      <c r="Z2689" s="348"/>
      <c r="AA2689" s="348"/>
    </row>
    <row r="2690" s="331" customFormat="1" ht="17" customHeight="1" spans="1:27">
      <c r="A2690" s="348"/>
      <c r="B2690" s="348" t="s">
        <v>94</v>
      </c>
      <c r="C2690" s="348" t="s">
        <v>498</v>
      </c>
      <c r="D2690" s="352" t="s">
        <v>49</v>
      </c>
      <c r="E2690" s="336">
        <v>43677</v>
      </c>
      <c r="F2690" s="336">
        <v>43673</v>
      </c>
      <c r="G2690" s="350"/>
      <c r="H2690" s="334" t="s">
        <v>7000</v>
      </c>
      <c r="I2690" s="334">
        <v>18321612637</v>
      </c>
      <c r="J2690" s="367" t="s">
        <v>7001</v>
      </c>
      <c r="K2690" s="356">
        <v>1000</v>
      </c>
      <c r="L2690" s="419"/>
      <c r="M2690" s="419"/>
      <c r="N2690" s="362">
        <f t="shared" si="96"/>
        <v>0</v>
      </c>
      <c r="O2690" s="366" t="s">
        <v>52</v>
      </c>
      <c r="P2690" s="356"/>
      <c r="Q2690" s="356"/>
      <c r="R2690" s="356"/>
      <c r="S2690" s="356"/>
      <c r="T2690" s="356"/>
      <c r="U2690" s="372"/>
      <c r="V2690" s="372"/>
      <c r="W2690" s="372"/>
      <c r="X2690" s="373"/>
      <c r="Y2690" s="348"/>
      <c r="Z2690" s="348"/>
      <c r="AA2690" s="348"/>
    </row>
    <row r="2691" s="331" customFormat="1" ht="17" customHeight="1" spans="1:27">
      <c r="A2691" s="348"/>
      <c r="B2691" s="348" t="s">
        <v>94</v>
      </c>
      <c r="C2691" s="348" t="s">
        <v>498</v>
      </c>
      <c r="D2691" s="352" t="s">
        <v>49</v>
      </c>
      <c r="E2691" s="336">
        <v>43677</v>
      </c>
      <c r="F2691" s="336">
        <v>43673</v>
      </c>
      <c r="G2691" s="350"/>
      <c r="H2691" s="334" t="s">
        <v>6529</v>
      </c>
      <c r="I2691" s="334">
        <v>15921587725</v>
      </c>
      <c r="J2691" s="367" t="s">
        <v>7002</v>
      </c>
      <c r="K2691" s="356">
        <v>1000</v>
      </c>
      <c r="L2691" s="419"/>
      <c r="M2691" s="419"/>
      <c r="N2691" s="362">
        <f t="shared" si="96"/>
        <v>0</v>
      </c>
      <c r="O2691" s="366" t="s">
        <v>52</v>
      </c>
      <c r="P2691" s="356"/>
      <c r="Q2691" s="356"/>
      <c r="R2691" s="356"/>
      <c r="S2691" s="356"/>
      <c r="T2691" s="356"/>
      <c r="U2691" s="372"/>
      <c r="V2691" s="372"/>
      <c r="W2691" s="372"/>
      <c r="X2691" s="373"/>
      <c r="Y2691" s="348"/>
      <c r="Z2691" s="348"/>
      <c r="AA2691" s="348"/>
    </row>
    <row r="2692" s="331" customFormat="1" ht="17" customHeight="1" spans="1:27">
      <c r="A2692" s="348"/>
      <c r="B2692" s="334" t="s">
        <v>66</v>
      </c>
      <c r="C2692" s="334" t="s">
        <v>1749</v>
      </c>
      <c r="D2692" s="334" t="s">
        <v>68</v>
      </c>
      <c r="E2692" s="336">
        <v>43828</v>
      </c>
      <c r="F2692" s="336">
        <v>43673</v>
      </c>
      <c r="G2692" s="336">
        <v>43828</v>
      </c>
      <c r="H2692" s="334" t="s">
        <v>7003</v>
      </c>
      <c r="I2692" s="334">
        <v>13761548123</v>
      </c>
      <c r="J2692" s="367" t="s">
        <v>7004</v>
      </c>
      <c r="K2692" s="356">
        <v>1000</v>
      </c>
      <c r="L2692" s="334">
        <v>25920</v>
      </c>
      <c r="M2692" s="419"/>
      <c r="N2692" s="362">
        <f t="shared" si="96"/>
        <v>25920</v>
      </c>
      <c r="O2692" s="366" t="s">
        <v>52</v>
      </c>
      <c r="P2692" s="356"/>
      <c r="Q2692" s="356"/>
      <c r="R2692" s="356"/>
      <c r="S2692" s="356"/>
      <c r="T2692" s="356"/>
      <c r="U2692" s="372"/>
      <c r="V2692" s="372"/>
      <c r="W2692" s="372"/>
      <c r="X2692" s="373"/>
      <c r="Y2692" s="348"/>
      <c r="Z2692" s="348"/>
      <c r="AA2692" s="348"/>
    </row>
    <row r="2693" s="331" customFormat="1" ht="17" customHeight="1" spans="1:27">
      <c r="A2693" s="348"/>
      <c r="B2693" s="348" t="s">
        <v>94</v>
      </c>
      <c r="C2693" s="348" t="s">
        <v>498</v>
      </c>
      <c r="D2693" s="352" t="s">
        <v>49</v>
      </c>
      <c r="E2693" s="336">
        <v>43677</v>
      </c>
      <c r="F2693" s="336">
        <v>43673</v>
      </c>
      <c r="G2693" s="350"/>
      <c r="H2693" s="334" t="s">
        <v>7005</v>
      </c>
      <c r="I2693" s="334">
        <v>18516538315</v>
      </c>
      <c r="J2693" s="367" t="s">
        <v>7006</v>
      </c>
      <c r="K2693" s="356">
        <v>1000</v>
      </c>
      <c r="L2693" s="419"/>
      <c r="M2693" s="419"/>
      <c r="N2693" s="362">
        <f t="shared" ref="N2693:N2703" si="97">L2693+M2693</f>
        <v>0</v>
      </c>
      <c r="O2693" s="366" t="s">
        <v>52</v>
      </c>
      <c r="P2693" s="356"/>
      <c r="Q2693" s="356"/>
      <c r="R2693" s="356"/>
      <c r="S2693" s="356"/>
      <c r="T2693" s="356"/>
      <c r="U2693" s="372"/>
      <c r="V2693" s="372"/>
      <c r="W2693" s="372"/>
      <c r="X2693" s="373"/>
      <c r="Y2693" s="348"/>
      <c r="Z2693" s="348"/>
      <c r="AA2693" s="348"/>
    </row>
    <row r="2694" s="331" customFormat="1" ht="17" customHeight="1" spans="1:27">
      <c r="A2694" s="348"/>
      <c r="B2694" s="348" t="s">
        <v>94</v>
      </c>
      <c r="C2694" s="334" t="s">
        <v>3196</v>
      </c>
      <c r="D2694" s="352" t="s">
        <v>49</v>
      </c>
      <c r="E2694" s="336">
        <v>43829</v>
      </c>
      <c r="F2694" s="336">
        <v>43673</v>
      </c>
      <c r="G2694" s="336">
        <v>43827</v>
      </c>
      <c r="H2694" s="334" t="s">
        <v>7007</v>
      </c>
      <c r="I2694" s="334">
        <v>15801708410</v>
      </c>
      <c r="J2694" s="367" t="s">
        <v>7008</v>
      </c>
      <c r="K2694" s="356">
        <v>1000</v>
      </c>
      <c r="L2694" s="334">
        <v>15384</v>
      </c>
      <c r="M2694" s="419"/>
      <c r="N2694" s="362">
        <f t="shared" si="97"/>
        <v>15384</v>
      </c>
      <c r="O2694" s="366"/>
      <c r="P2694" s="356"/>
      <c r="Q2694" s="356"/>
      <c r="R2694" s="366"/>
      <c r="S2694" s="366" t="s">
        <v>52</v>
      </c>
      <c r="T2694" s="356"/>
      <c r="U2694" s="372"/>
      <c r="V2694" s="372"/>
      <c r="W2694" s="372"/>
      <c r="X2694" s="373"/>
      <c r="Y2694" s="348"/>
      <c r="Z2694" s="348"/>
      <c r="AA2694" s="348"/>
    </row>
    <row r="2695" s="331" customFormat="1" ht="17" customHeight="1" spans="1:27">
      <c r="A2695" s="348"/>
      <c r="B2695" s="348" t="s">
        <v>94</v>
      </c>
      <c r="C2695" s="348" t="s">
        <v>498</v>
      </c>
      <c r="D2695" s="352" t="s">
        <v>49</v>
      </c>
      <c r="E2695" s="336">
        <v>43677</v>
      </c>
      <c r="F2695" s="336">
        <v>43673</v>
      </c>
      <c r="G2695" s="350"/>
      <c r="H2695" s="334" t="s">
        <v>7009</v>
      </c>
      <c r="I2695" s="334">
        <v>17612108119</v>
      </c>
      <c r="J2695" s="367" t="s">
        <v>7010</v>
      </c>
      <c r="K2695" s="356">
        <v>1000</v>
      </c>
      <c r="L2695" s="419"/>
      <c r="M2695" s="419"/>
      <c r="N2695" s="362">
        <f t="shared" si="97"/>
        <v>0</v>
      </c>
      <c r="O2695" s="366" t="s">
        <v>52</v>
      </c>
      <c r="P2695" s="356"/>
      <c r="Q2695" s="356"/>
      <c r="R2695" s="356"/>
      <c r="S2695" s="356"/>
      <c r="T2695" s="356"/>
      <c r="U2695" s="372"/>
      <c r="V2695" s="372"/>
      <c r="W2695" s="372"/>
      <c r="X2695" s="373"/>
      <c r="Y2695" s="348"/>
      <c r="Z2695" s="348"/>
      <c r="AA2695" s="348"/>
    </row>
    <row r="2696" s="331" customFormat="1" ht="17" customHeight="1" spans="1:27">
      <c r="A2696" s="348"/>
      <c r="B2696" s="348" t="s">
        <v>94</v>
      </c>
      <c r="C2696" s="348" t="s">
        <v>498</v>
      </c>
      <c r="D2696" s="352" t="s">
        <v>49</v>
      </c>
      <c r="E2696" s="336">
        <v>43677</v>
      </c>
      <c r="F2696" s="336">
        <v>43673</v>
      </c>
      <c r="G2696" s="350"/>
      <c r="H2696" s="334" t="s">
        <v>7011</v>
      </c>
      <c r="I2696" s="334">
        <v>15900801350</v>
      </c>
      <c r="J2696" s="367" t="s">
        <v>7012</v>
      </c>
      <c r="K2696" s="356">
        <v>1000</v>
      </c>
      <c r="L2696" s="419"/>
      <c r="M2696" s="419"/>
      <c r="N2696" s="362">
        <f t="shared" si="97"/>
        <v>0</v>
      </c>
      <c r="O2696" s="366" t="s">
        <v>52</v>
      </c>
      <c r="P2696" s="356"/>
      <c r="Q2696" s="356"/>
      <c r="R2696" s="356"/>
      <c r="S2696" s="356"/>
      <c r="T2696" s="356"/>
      <c r="U2696" s="372"/>
      <c r="V2696" s="372"/>
      <c r="W2696" s="372"/>
      <c r="X2696" s="373"/>
      <c r="Y2696" s="348"/>
      <c r="Z2696" s="348"/>
      <c r="AA2696" s="348"/>
    </row>
    <row r="2697" s="331" customFormat="1" ht="17" customHeight="1" spans="1:27">
      <c r="A2697" s="348"/>
      <c r="B2697" s="348" t="s">
        <v>94</v>
      </c>
      <c r="C2697" s="334" t="s">
        <v>95</v>
      </c>
      <c r="D2697" s="352" t="s">
        <v>49</v>
      </c>
      <c r="E2697" s="336">
        <v>43825</v>
      </c>
      <c r="F2697" s="336">
        <v>43673</v>
      </c>
      <c r="G2697" s="336">
        <v>43825</v>
      </c>
      <c r="H2697" s="334" t="s">
        <v>7013</v>
      </c>
      <c r="I2697" s="334">
        <v>13818746878</v>
      </c>
      <c r="J2697" s="367" t="s">
        <v>7014</v>
      </c>
      <c r="K2697" s="356">
        <v>1000</v>
      </c>
      <c r="L2697" s="334">
        <v>17751</v>
      </c>
      <c r="M2697" s="419"/>
      <c r="N2697" s="362">
        <f t="shared" si="97"/>
        <v>17751</v>
      </c>
      <c r="O2697" s="366" t="s">
        <v>52</v>
      </c>
      <c r="P2697" s="356"/>
      <c r="Q2697" s="356"/>
      <c r="R2697" s="356"/>
      <c r="S2697" s="356"/>
      <c r="T2697" s="356"/>
      <c r="U2697" s="372"/>
      <c r="V2697" s="372"/>
      <c r="W2697" s="372"/>
      <c r="X2697" s="373"/>
      <c r="Y2697" s="348"/>
      <c r="Z2697" s="348"/>
      <c r="AA2697" s="348"/>
    </row>
    <row r="2698" s="331" customFormat="1" ht="17" customHeight="1" spans="1:27">
      <c r="A2698" s="348"/>
      <c r="B2698" s="348" t="s">
        <v>94</v>
      </c>
      <c r="C2698" s="334" t="s">
        <v>95</v>
      </c>
      <c r="D2698" s="352" t="s">
        <v>49</v>
      </c>
      <c r="E2698" s="336">
        <v>43818</v>
      </c>
      <c r="F2698" s="336">
        <v>43673</v>
      </c>
      <c r="G2698" s="336">
        <v>43817</v>
      </c>
      <c r="H2698" s="334" t="s">
        <v>7015</v>
      </c>
      <c r="I2698" s="334">
        <v>13761606506</v>
      </c>
      <c r="J2698" s="367" t="s">
        <v>7016</v>
      </c>
      <c r="K2698" s="356">
        <v>1000</v>
      </c>
      <c r="L2698" s="334">
        <v>7739</v>
      </c>
      <c r="M2698" s="419"/>
      <c r="N2698" s="362">
        <f t="shared" si="97"/>
        <v>7739</v>
      </c>
      <c r="O2698" s="366" t="s">
        <v>52</v>
      </c>
      <c r="P2698" s="356"/>
      <c r="Q2698" s="356"/>
      <c r="R2698" s="356"/>
      <c r="S2698" s="356"/>
      <c r="T2698" s="356"/>
      <c r="U2698" s="372"/>
      <c r="V2698" s="372"/>
      <c r="W2698" s="372"/>
      <c r="X2698" s="373"/>
      <c r="Y2698" s="348"/>
      <c r="Z2698" s="348"/>
      <c r="AA2698" s="348"/>
    </row>
    <row r="2699" s="331" customFormat="1" ht="17" customHeight="1" spans="1:27">
      <c r="A2699" s="348"/>
      <c r="B2699" s="348" t="s">
        <v>94</v>
      </c>
      <c r="C2699" s="348" t="s">
        <v>498</v>
      </c>
      <c r="D2699" s="352" t="s">
        <v>49</v>
      </c>
      <c r="E2699" s="336">
        <v>43677</v>
      </c>
      <c r="F2699" s="336">
        <v>43673</v>
      </c>
      <c r="G2699" s="350"/>
      <c r="H2699" s="334" t="s">
        <v>7017</v>
      </c>
      <c r="I2699" s="334">
        <v>13218112700</v>
      </c>
      <c r="J2699" s="367" t="s">
        <v>7018</v>
      </c>
      <c r="K2699" s="356">
        <v>1000</v>
      </c>
      <c r="L2699" s="419"/>
      <c r="M2699" s="419"/>
      <c r="N2699" s="362">
        <f t="shared" si="97"/>
        <v>0</v>
      </c>
      <c r="O2699" s="366" t="s">
        <v>52</v>
      </c>
      <c r="P2699" s="356"/>
      <c r="Q2699" s="356"/>
      <c r="R2699" s="356"/>
      <c r="S2699" s="356"/>
      <c r="T2699" s="356"/>
      <c r="U2699" s="372"/>
      <c r="V2699" s="372"/>
      <c r="W2699" s="372"/>
      <c r="X2699" s="373"/>
      <c r="Y2699" s="348"/>
      <c r="Z2699" s="348"/>
      <c r="AA2699" s="348"/>
    </row>
    <row r="2700" s="331" customFormat="1" ht="17" customHeight="1" spans="1:27">
      <c r="A2700" s="348"/>
      <c r="B2700" s="348" t="s">
        <v>94</v>
      </c>
      <c r="C2700" s="348" t="s">
        <v>498</v>
      </c>
      <c r="D2700" s="352" t="s">
        <v>49</v>
      </c>
      <c r="E2700" s="336">
        <v>43677</v>
      </c>
      <c r="F2700" s="336">
        <v>43673</v>
      </c>
      <c r="G2700" s="350"/>
      <c r="H2700" s="334" t="s">
        <v>7019</v>
      </c>
      <c r="I2700" s="334">
        <v>17621724955</v>
      </c>
      <c r="J2700" s="367" t="s">
        <v>7020</v>
      </c>
      <c r="K2700" s="356">
        <v>1000</v>
      </c>
      <c r="L2700" s="419"/>
      <c r="M2700" s="419"/>
      <c r="N2700" s="362">
        <f t="shared" si="97"/>
        <v>0</v>
      </c>
      <c r="O2700" s="366" t="s">
        <v>52</v>
      </c>
      <c r="P2700" s="356"/>
      <c r="Q2700" s="356"/>
      <c r="R2700" s="356"/>
      <c r="S2700" s="356"/>
      <c r="T2700" s="356"/>
      <c r="U2700" s="372"/>
      <c r="V2700" s="372"/>
      <c r="W2700" s="372"/>
      <c r="X2700" s="373"/>
      <c r="Y2700" s="348"/>
      <c r="Z2700" s="348"/>
      <c r="AA2700" s="348"/>
    </row>
    <row r="2701" s="331" customFormat="1" ht="17" customHeight="1" spans="1:27">
      <c r="A2701" s="348"/>
      <c r="B2701" s="348" t="s">
        <v>94</v>
      </c>
      <c r="C2701" s="348" t="s">
        <v>498</v>
      </c>
      <c r="D2701" s="352" t="s">
        <v>49</v>
      </c>
      <c r="E2701" s="336">
        <v>43677</v>
      </c>
      <c r="F2701" s="336">
        <v>43673</v>
      </c>
      <c r="G2701" s="350"/>
      <c r="H2701" s="334" t="s">
        <v>7021</v>
      </c>
      <c r="I2701" s="334">
        <v>18717864136</v>
      </c>
      <c r="J2701" s="367" t="s">
        <v>7022</v>
      </c>
      <c r="K2701" s="356">
        <v>1000</v>
      </c>
      <c r="L2701" s="419"/>
      <c r="M2701" s="419"/>
      <c r="N2701" s="362">
        <f t="shared" si="97"/>
        <v>0</v>
      </c>
      <c r="O2701" s="366"/>
      <c r="P2701" s="356"/>
      <c r="Q2701" s="356"/>
      <c r="R2701" s="356"/>
      <c r="S2701" s="356" t="s">
        <v>52</v>
      </c>
      <c r="T2701" s="356"/>
      <c r="U2701" s="372"/>
      <c r="V2701" s="372"/>
      <c r="W2701" s="372"/>
      <c r="X2701" s="373"/>
      <c r="Y2701" s="348"/>
      <c r="Z2701" s="348"/>
      <c r="AA2701" s="348"/>
    </row>
    <row r="2702" s="331" customFormat="1" ht="17" customHeight="1" spans="1:27">
      <c r="A2702" s="348"/>
      <c r="B2702" s="348" t="s">
        <v>94</v>
      </c>
      <c r="C2702" s="348" t="s">
        <v>498</v>
      </c>
      <c r="D2702" s="352" t="s">
        <v>49</v>
      </c>
      <c r="E2702" s="336">
        <v>43677</v>
      </c>
      <c r="F2702" s="336">
        <v>43673</v>
      </c>
      <c r="G2702" s="350"/>
      <c r="H2702" s="334" t="s">
        <v>7023</v>
      </c>
      <c r="I2702" s="334">
        <v>18602187600</v>
      </c>
      <c r="J2702" s="367" t="s">
        <v>7024</v>
      </c>
      <c r="K2702" s="356">
        <v>1000</v>
      </c>
      <c r="L2702" s="419"/>
      <c r="M2702" s="419"/>
      <c r="N2702" s="362">
        <f t="shared" si="97"/>
        <v>0</v>
      </c>
      <c r="O2702" s="366" t="s">
        <v>52</v>
      </c>
      <c r="P2702" s="356"/>
      <c r="Q2702" s="356"/>
      <c r="R2702" s="356"/>
      <c r="S2702" s="356"/>
      <c r="T2702" s="356"/>
      <c r="U2702" s="372"/>
      <c r="V2702" s="372"/>
      <c r="W2702" s="372"/>
      <c r="X2702" s="373"/>
      <c r="Y2702" s="348"/>
      <c r="Z2702" s="348"/>
      <c r="AA2702" s="348"/>
    </row>
    <row r="2703" s="331" customFormat="1" ht="17" customHeight="1" spans="1:27">
      <c r="A2703" s="348"/>
      <c r="B2703" s="348" t="s">
        <v>94</v>
      </c>
      <c r="C2703" s="334" t="s">
        <v>95</v>
      </c>
      <c r="D2703" s="352" t="s">
        <v>49</v>
      </c>
      <c r="E2703" s="336">
        <v>43794</v>
      </c>
      <c r="F2703" s="336">
        <v>43673</v>
      </c>
      <c r="G2703" s="336">
        <v>43793</v>
      </c>
      <c r="H2703" s="334" t="s">
        <v>7025</v>
      </c>
      <c r="I2703" s="334">
        <v>13761633107</v>
      </c>
      <c r="J2703" s="367" t="s">
        <v>7026</v>
      </c>
      <c r="K2703" s="356">
        <v>1000</v>
      </c>
      <c r="L2703" s="334">
        <v>20725</v>
      </c>
      <c r="M2703" s="419"/>
      <c r="N2703" s="362">
        <f t="shared" si="97"/>
        <v>20725</v>
      </c>
      <c r="O2703" s="366" t="s">
        <v>52</v>
      </c>
      <c r="P2703" s="356"/>
      <c r="Q2703" s="356"/>
      <c r="R2703" s="356"/>
      <c r="S2703" s="356"/>
      <c r="T2703" s="356"/>
      <c r="U2703" s="372"/>
      <c r="V2703" s="372"/>
      <c r="W2703" s="372"/>
      <c r="X2703" s="373"/>
      <c r="Y2703" s="348"/>
      <c r="Z2703" s="348"/>
      <c r="AA2703" s="348"/>
    </row>
    <row r="2704" s="331" customFormat="1" ht="17" customHeight="1" spans="1:27">
      <c r="A2704" s="348"/>
      <c r="B2704" s="348" t="s">
        <v>94</v>
      </c>
      <c r="C2704" s="348" t="s">
        <v>498</v>
      </c>
      <c r="D2704" s="352" t="s">
        <v>49</v>
      </c>
      <c r="E2704" s="336">
        <v>43677</v>
      </c>
      <c r="F2704" s="336">
        <v>43673</v>
      </c>
      <c r="G2704" s="350"/>
      <c r="H2704" s="334" t="s">
        <v>7027</v>
      </c>
      <c r="I2704" s="334">
        <v>15251825261</v>
      </c>
      <c r="J2704" s="367" t="s">
        <v>7028</v>
      </c>
      <c r="K2704" s="356">
        <v>1000</v>
      </c>
      <c r="L2704" s="419"/>
      <c r="M2704" s="419"/>
      <c r="N2704" s="362">
        <f t="shared" ref="N2704:N2723" si="98">L2704+M2704</f>
        <v>0</v>
      </c>
      <c r="O2704" s="366" t="s">
        <v>52</v>
      </c>
      <c r="P2704" s="356"/>
      <c r="Q2704" s="356"/>
      <c r="R2704" s="356"/>
      <c r="S2704" s="356"/>
      <c r="T2704" s="356"/>
      <c r="U2704" s="372"/>
      <c r="V2704" s="372"/>
      <c r="W2704" s="372"/>
      <c r="X2704" s="373"/>
      <c r="Y2704" s="348"/>
      <c r="Z2704" s="348"/>
      <c r="AA2704" s="348"/>
    </row>
    <row r="2705" s="331" customFormat="1" ht="17" customHeight="1" spans="1:27">
      <c r="A2705" s="348"/>
      <c r="B2705" s="334" t="s">
        <v>66</v>
      </c>
      <c r="C2705" s="334" t="s">
        <v>7029</v>
      </c>
      <c r="D2705" s="334" t="s">
        <v>2302</v>
      </c>
      <c r="E2705" s="336">
        <v>43799</v>
      </c>
      <c r="F2705" s="336">
        <v>43673</v>
      </c>
      <c r="G2705" s="336">
        <v>43799</v>
      </c>
      <c r="H2705" s="334" t="s">
        <v>7030</v>
      </c>
      <c r="I2705" s="334">
        <v>13341622809</v>
      </c>
      <c r="J2705" s="367" t="s">
        <v>7031</v>
      </c>
      <c r="K2705" s="356">
        <v>1000</v>
      </c>
      <c r="L2705" s="334">
        <v>10000</v>
      </c>
      <c r="M2705" s="419"/>
      <c r="N2705" s="362">
        <f t="shared" si="98"/>
        <v>10000</v>
      </c>
      <c r="O2705" s="366" t="s">
        <v>52</v>
      </c>
      <c r="P2705" s="356"/>
      <c r="Q2705" s="356"/>
      <c r="R2705" s="356"/>
      <c r="S2705" s="356"/>
      <c r="T2705" s="356"/>
      <c r="U2705" s="372"/>
      <c r="V2705" s="372"/>
      <c r="W2705" s="372"/>
      <c r="X2705" s="373"/>
      <c r="Y2705" s="348"/>
      <c r="Z2705" s="348"/>
      <c r="AA2705" s="348"/>
    </row>
    <row r="2706" s="331" customFormat="1" ht="17" customHeight="1" spans="1:27">
      <c r="A2706" s="348"/>
      <c r="B2706" s="348" t="s">
        <v>94</v>
      </c>
      <c r="C2706" s="348" t="s">
        <v>498</v>
      </c>
      <c r="D2706" s="352" t="s">
        <v>49</v>
      </c>
      <c r="E2706" s="336">
        <v>43677</v>
      </c>
      <c r="F2706" s="336">
        <v>43673</v>
      </c>
      <c r="G2706" s="350"/>
      <c r="H2706" s="334" t="s">
        <v>7032</v>
      </c>
      <c r="I2706" s="334">
        <v>13127595682</v>
      </c>
      <c r="J2706" s="367" t="s">
        <v>7033</v>
      </c>
      <c r="K2706" s="356">
        <v>1000</v>
      </c>
      <c r="L2706" s="419"/>
      <c r="M2706" s="419"/>
      <c r="N2706" s="362">
        <f t="shared" si="98"/>
        <v>0</v>
      </c>
      <c r="O2706" s="366"/>
      <c r="P2706" s="356"/>
      <c r="Q2706" s="366" t="s">
        <v>52</v>
      </c>
      <c r="R2706" s="356"/>
      <c r="S2706" s="356"/>
      <c r="T2706" s="356"/>
      <c r="U2706" s="372"/>
      <c r="V2706" s="372"/>
      <c r="W2706" s="372"/>
      <c r="X2706" s="373"/>
      <c r="Y2706" s="348"/>
      <c r="Z2706" s="348"/>
      <c r="AA2706" s="348"/>
    </row>
    <row r="2707" s="331" customFormat="1" ht="17" customHeight="1" spans="1:27">
      <c r="A2707" s="348"/>
      <c r="B2707" s="348" t="s">
        <v>94</v>
      </c>
      <c r="C2707" s="334" t="s">
        <v>95</v>
      </c>
      <c r="D2707" s="352" t="s">
        <v>49</v>
      </c>
      <c r="E2707" s="336">
        <v>43822</v>
      </c>
      <c r="F2707" s="336">
        <v>43673</v>
      </c>
      <c r="G2707" s="336">
        <v>43820</v>
      </c>
      <c r="H2707" s="334" t="s">
        <v>7034</v>
      </c>
      <c r="I2707" s="334">
        <v>13641820908</v>
      </c>
      <c r="J2707" s="367" t="s">
        <v>7035</v>
      </c>
      <c r="K2707" s="356">
        <v>1000</v>
      </c>
      <c r="L2707" s="334">
        <v>13238</v>
      </c>
      <c r="M2707" s="419"/>
      <c r="N2707" s="362">
        <f t="shared" si="98"/>
        <v>13238</v>
      </c>
      <c r="O2707" s="366" t="s">
        <v>52</v>
      </c>
      <c r="P2707" s="356"/>
      <c r="Q2707" s="356"/>
      <c r="R2707" s="356"/>
      <c r="S2707" s="356"/>
      <c r="T2707" s="356"/>
      <c r="U2707" s="372"/>
      <c r="V2707" s="372"/>
      <c r="W2707" s="372"/>
      <c r="X2707" s="373"/>
      <c r="Y2707" s="348"/>
      <c r="Z2707" s="348"/>
      <c r="AA2707" s="348"/>
    </row>
    <row r="2708" s="331" customFormat="1" ht="17" customHeight="1" spans="1:27">
      <c r="A2708" s="348"/>
      <c r="B2708" s="348" t="s">
        <v>94</v>
      </c>
      <c r="C2708" s="348" t="s">
        <v>498</v>
      </c>
      <c r="D2708" s="352" t="s">
        <v>49</v>
      </c>
      <c r="E2708" s="336">
        <v>43677</v>
      </c>
      <c r="F2708" s="336">
        <v>43673</v>
      </c>
      <c r="G2708" s="350"/>
      <c r="H2708" s="334" t="s">
        <v>7036</v>
      </c>
      <c r="I2708" s="334">
        <v>18516308158</v>
      </c>
      <c r="J2708" s="367" t="s">
        <v>7037</v>
      </c>
      <c r="K2708" s="356">
        <v>1000</v>
      </c>
      <c r="L2708" s="419"/>
      <c r="M2708" s="419"/>
      <c r="N2708" s="362">
        <f t="shared" si="98"/>
        <v>0</v>
      </c>
      <c r="O2708" s="366" t="s">
        <v>52</v>
      </c>
      <c r="P2708" s="356"/>
      <c r="Q2708" s="356"/>
      <c r="R2708" s="356"/>
      <c r="S2708" s="356"/>
      <c r="T2708" s="356"/>
      <c r="U2708" s="372"/>
      <c r="V2708" s="372"/>
      <c r="W2708" s="372"/>
      <c r="X2708" s="373"/>
      <c r="Y2708" s="348"/>
      <c r="Z2708" s="348"/>
      <c r="AA2708" s="348"/>
    </row>
    <row r="2709" s="331" customFormat="1" ht="17" customHeight="1" spans="1:27">
      <c r="A2709" s="348"/>
      <c r="B2709" s="348" t="s">
        <v>94</v>
      </c>
      <c r="C2709" s="348" t="s">
        <v>498</v>
      </c>
      <c r="D2709" s="352" t="s">
        <v>49</v>
      </c>
      <c r="E2709" s="336">
        <v>43677</v>
      </c>
      <c r="F2709" s="336">
        <v>43673</v>
      </c>
      <c r="G2709" s="350"/>
      <c r="H2709" s="334" t="s">
        <v>7038</v>
      </c>
      <c r="I2709" s="334">
        <v>13661824767</v>
      </c>
      <c r="J2709" s="367" t="s">
        <v>7039</v>
      </c>
      <c r="K2709" s="356">
        <v>1000</v>
      </c>
      <c r="L2709" s="419"/>
      <c r="M2709" s="419"/>
      <c r="N2709" s="362">
        <f t="shared" si="98"/>
        <v>0</v>
      </c>
      <c r="O2709" s="366" t="s">
        <v>52</v>
      </c>
      <c r="P2709" s="356"/>
      <c r="Q2709" s="356"/>
      <c r="R2709" s="356"/>
      <c r="S2709" s="356"/>
      <c r="T2709" s="356"/>
      <c r="U2709" s="372"/>
      <c r="V2709" s="372"/>
      <c r="W2709" s="372"/>
      <c r="X2709" s="373"/>
      <c r="Y2709" s="348"/>
      <c r="Z2709" s="348"/>
      <c r="AA2709" s="348"/>
    </row>
    <row r="2710" s="331" customFormat="1" ht="17" customHeight="1" spans="1:27">
      <c r="A2710" s="348"/>
      <c r="B2710" s="348" t="s">
        <v>94</v>
      </c>
      <c r="C2710" s="348" t="s">
        <v>498</v>
      </c>
      <c r="D2710" s="352" t="s">
        <v>49</v>
      </c>
      <c r="E2710" s="336">
        <v>43677</v>
      </c>
      <c r="F2710" s="336">
        <v>43673</v>
      </c>
      <c r="G2710" s="350"/>
      <c r="H2710" s="334" t="s">
        <v>7040</v>
      </c>
      <c r="I2710" s="334">
        <v>18201860392</v>
      </c>
      <c r="J2710" s="367" t="s">
        <v>7041</v>
      </c>
      <c r="K2710" s="356">
        <v>1000</v>
      </c>
      <c r="L2710" s="419"/>
      <c r="M2710" s="419"/>
      <c r="N2710" s="362">
        <f t="shared" si="98"/>
        <v>0</v>
      </c>
      <c r="O2710" s="366" t="s">
        <v>52</v>
      </c>
      <c r="P2710" s="356"/>
      <c r="Q2710" s="356"/>
      <c r="R2710" s="356"/>
      <c r="S2710" s="356"/>
      <c r="T2710" s="356"/>
      <c r="U2710" s="372"/>
      <c r="V2710" s="372"/>
      <c r="W2710" s="372"/>
      <c r="X2710" s="373"/>
      <c r="Y2710" s="348"/>
      <c r="Z2710" s="348"/>
      <c r="AA2710" s="348"/>
    </row>
    <row r="2711" s="331" customFormat="1" ht="17" customHeight="1" spans="1:27">
      <c r="A2711" s="348"/>
      <c r="B2711" s="334" t="s">
        <v>66</v>
      </c>
      <c r="C2711" s="334" t="s">
        <v>1749</v>
      </c>
      <c r="D2711" s="334" t="s">
        <v>68</v>
      </c>
      <c r="E2711" s="336">
        <v>43815</v>
      </c>
      <c r="F2711" s="336">
        <v>43673</v>
      </c>
      <c r="G2711" s="336">
        <v>43815</v>
      </c>
      <c r="H2711" s="334" t="s">
        <v>7042</v>
      </c>
      <c r="I2711" s="334">
        <v>17521267839</v>
      </c>
      <c r="J2711" s="367" t="s">
        <v>7043</v>
      </c>
      <c r="K2711" s="356">
        <v>1000</v>
      </c>
      <c r="L2711" s="334">
        <v>11271</v>
      </c>
      <c r="M2711" s="419"/>
      <c r="N2711" s="362">
        <f t="shared" si="98"/>
        <v>11271</v>
      </c>
      <c r="O2711" s="366" t="s">
        <v>52</v>
      </c>
      <c r="P2711" s="356"/>
      <c r="Q2711" s="356"/>
      <c r="R2711" s="356"/>
      <c r="S2711" s="356"/>
      <c r="T2711" s="356"/>
      <c r="U2711" s="372"/>
      <c r="V2711" s="372"/>
      <c r="W2711" s="372"/>
      <c r="X2711" s="373"/>
      <c r="Y2711" s="348"/>
      <c r="Z2711" s="348"/>
      <c r="AA2711" s="348"/>
    </row>
    <row r="2712" s="331" customFormat="1" ht="17" customHeight="1" spans="1:27">
      <c r="A2712" s="348"/>
      <c r="B2712" s="348" t="s">
        <v>94</v>
      </c>
      <c r="C2712" s="348" t="s">
        <v>498</v>
      </c>
      <c r="D2712" s="352" t="s">
        <v>49</v>
      </c>
      <c r="E2712" s="336">
        <v>43677</v>
      </c>
      <c r="F2712" s="336">
        <v>43673</v>
      </c>
      <c r="G2712" s="350"/>
      <c r="H2712" s="334" t="s">
        <v>7044</v>
      </c>
      <c r="I2712" s="334">
        <v>13817594563</v>
      </c>
      <c r="J2712" s="367" t="s">
        <v>7045</v>
      </c>
      <c r="K2712" s="356">
        <v>1000</v>
      </c>
      <c r="L2712" s="419"/>
      <c r="M2712" s="419"/>
      <c r="N2712" s="362">
        <f t="shared" si="98"/>
        <v>0</v>
      </c>
      <c r="O2712" s="366" t="s">
        <v>52</v>
      </c>
      <c r="P2712" s="356"/>
      <c r="Q2712" s="356"/>
      <c r="R2712" s="356"/>
      <c r="S2712" s="356"/>
      <c r="T2712" s="356"/>
      <c r="U2712" s="372"/>
      <c r="V2712" s="372"/>
      <c r="W2712" s="372"/>
      <c r="X2712" s="373"/>
      <c r="Y2712" s="348"/>
      <c r="Z2712" s="348"/>
      <c r="AA2712" s="348"/>
    </row>
    <row r="2713" s="331" customFormat="1" ht="17" customHeight="1" spans="1:27">
      <c r="A2713" s="348"/>
      <c r="B2713" s="348" t="s">
        <v>94</v>
      </c>
      <c r="C2713" s="334" t="s">
        <v>95</v>
      </c>
      <c r="D2713" s="334" t="s">
        <v>407</v>
      </c>
      <c r="E2713" s="336">
        <v>43808</v>
      </c>
      <c r="F2713" s="336">
        <v>43673</v>
      </c>
      <c r="G2713" s="336">
        <v>43807</v>
      </c>
      <c r="H2713" s="334" t="s">
        <v>7046</v>
      </c>
      <c r="I2713" s="334">
        <v>17321099930</v>
      </c>
      <c r="J2713" s="367" t="s">
        <v>7047</v>
      </c>
      <c r="K2713" s="356">
        <v>1000</v>
      </c>
      <c r="L2713" s="334">
        <v>8694</v>
      </c>
      <c r="M2713" s="419"/>
      <c r="N2713" s="362">
        <f t="shared" si="98"/>
        <v>8694</v>
      </c>
      <c r="O2713" s="366" t="s">
        <v>52</v>
      </c>
      <c r="P2713" s="356"/>
      <c r="Q2713" s="356"/>
      <c r="R2713" s="356"/>
      <c r="S2713" s="356"/>
      <c r="T2713" s="356"/>
      <c r="U2713" s="372"/>
      <c r="V2713" s="372"/>
      <c r="W2713" s="372"/>
      <c r="X2713" s="373"/>
      <c r="Y2713" s="348"/>
      <c r="Z2713" s="348"/>
      <c r="AA2713" s="348"/>
    </row>
    <row r="2714" s="331" customFormat="1" ht="17" customHeight="1" spans="1:27">
      <c r="A2714" s="348"/>
      <c r="B2714" s="348" t="s">
        <v>94</v>
      </c>
      <c r="C2714" s="334" t="s">
        <v>95</v>
      </c>
      <c r="D2714" s="334" t="s">
        <v>44</v>
      </c>
      <c r="E2714" s="336">
        <v>43822</v>
      </c>
      <c r="F2714" s="336">
        <v>43673</v>
      </c>
      <c r="G2714" s="336">
        <v>43813</v>
      </c>
      <c r="H2714" s="334" t="s">
        <v>7048</v>
      </c>
      <c r="I2714" s="334">
        <v>13564207962</v>
      </c>
      <c r="J2714" s="367" t="s">
        <v>7049</v>
      </c>
      <c r="K2714" s="356">
        <v>1000</v>
      </c>
      <c r="L2714" s="334">
        <v>12578</v>
      </c>
      <c r="M2714" s="334">
        <v>12716</v>
      </c>
      <c r="N2714" s="362">
        <f t="shared" si="98"/>
        <v>25294</v>
      </c>
      <c r="O2714" s="366" t="s">
        <v>52</v>
      </c>
      <c r="P2714" s="356"/>
      <c r="Q2714" s="356"/>
      <c r="R2714" s="356"/>
      <c r="S2714" s="356"/>
      <c r="T2714" s="356"/>
      <c r="U2714" s="372"/>
      <c r="V2714" s="372"/>
      <c r="W2714" s="372"/>
      <c r="X2714" s="373"/>
      <c r="Y2714" s="348"/>
      <c r="Z2714" s="348"/>
      <c r="AA2714" s="348"/>
    </row>
    <row r="2715" s="331" customFormat="1" ht="17" customHeight="1" spans="1:27">
      <c r="A2715" s="348"/>
      <c r="B2715" s="348" t="s">
        <v>94</v>
      </c>
      <c r="C2715" s="348" t="s">
        <v>498</v>
      </c>
      <c r="D2715" s="352" t="s">
        <v>49</v>
      </c>
      <c r="E2715" s="336">
        <v>43677</v>
      </c>
      <c r="F2715" s="336">
        <v>43673</v>
      </c>
      <c r="G2715" s="350"/>
      <c r="H2715" s="334" t="s">
        <v>7050</v>
      </c>
      <c r="I2715" s="334">
        <v>13503335601</v>
      </c>
      <c r="J2715" s="367" t="s">
        <v>7051</v>
      </c>
      <c r="K2715" s="356">
        <v>1000</v>
      </c>
      <c r="L2715" s="419"/>
      <c r="M2715" s="419"/>
      <c r="N2715" s="362">
        <f t="shared" si="98"/>
        <v>0</v>
      </c>
      <c r="O2715" s="366" t="s">
        <v>52</v>
      </c>
      <c r="P2715" s="356"/>
      <c r="Q2715" s="356"/>
      <c r="R2715" s="356"/>
      <c r="S2715" s="356"/>
      <c r="T2715" s="356"/>
      <c r="U2715" s="372"/>
      <c r="V2715" s="372"/>
      <c r="W2715" s="372"/>
      <c r="X2715" s="373"/>
      <c r="Y2715" s="348"/>
      <c r="Z2715" s="348"/>
      <c r="AA2715" s="348"/>
    </row>
    <row r="2716" s="331" customFormat="1" ht="17" customHeight="1" spans="1:27">
      <c r="A2716" s="348"/>
      <c r="B2716" s="348" t="s">
        <v>94</v>
      </c>
      <c r="C2716" s="348" t="s">
        <v>498</v>
      </c>
      <c r="D2716" s="352" t="s">
        <v>49</v>
      </c>
      <c r="E2716" s="336">
        <v>43677</v>
      </c>
      <c r="F2716" s="336">
        <v>43673</v>
      </c>
      <c r="G2716" s="350"/>
      <c r="H2716" s="334" t="s">
        <v>1514</v>
      </c>
      <c r="I2716" s="334">
        <v>13564381249</v>
      </c>
      <c r="J2716" s="367" t="s">
        <v>7052</v>
      </c>
      <c r="K2716" s="356">
        <v>1000</v>
      </c>
      <c r="L2716" s="419"/>
      <c r="M2716" s="419"/>
      <c r="N2716" s="362">
        <f t="shared" si="98"/>
        <v>0</v>
      </c>
      <c r="O2716" s="366" t="s">
        <v>52</v>
      </c>
      <c r="P2716" s="356"/>
      <c r="Q2716" s="356"/>
      <c r="R2716" s="356"/>
      <c r="S2716" s="356"/>
      <c r="T2716" s="356"/>
      <c r="U2716" s="372"/>
      <c r="V2716" s="372"/>
      <c r="W2716" s="372"/>
      <c r="X2716" s="373"/>
      <c r="Y2716" s="348"/>
      <c r="Z2716" s="348"/>
      <c r="AA2716" s="348"/>
    </row>
    <row r="2717" s="331" customFormat="1" ht="17" customHeight="1" spans="1:27">
      <c r="A2717" s="348"/>
      <c r="B2717" s="348" t="s">
        <v>94</v>
      </c>
      <c r="C2717" s="348" t="s">
        <v>498</v>
      </c>
      <c r="D2717" s="352" t="s">
        <v>49</v>
      </c>
      <c r="E2717" s="336">
        <v>43677</v>
      </c>
      <c r="F2717" s="336">
        <v>43673</v>
      </c>
      <c r="G2717" s="350"/>
      <c r="H2717" s="334" t="s">
        <v>7053</v>
      </c>
      <c r="I2717" s="334">
        <v>13641837035</v>
      </c>
      <c r="J2717" s="367" t="s">
        <v>7054</v>
      </c>
      <c r="K2717" s="356">
        <v>1000</v>
      </c>
      <c r="L2717" s="419"/>
      <c r="M2717" s="419"/>
      <c r="N2717" s="362">
        <f t="shared" si="98"/>
        <v>0</v>
      </c>
      <c r="O2717" s="366" t="s">
        <v>52</v>
      </c>
      <c r="P2717" s="356"/>
      <c r="Q2717" s="356"/>
      <c r="R2717" s="356"/>
      <c r="S2717" s="356"/>
      <c r="T2717" s="356"/>
      <c r="U2717" s="372"/>
      <c r="V2717" s="372"/>
      <c r="W2717" s="372"/>
      <c r="X2717" s="373"/>
      <c r="Y2717" s="348"/>
      <c r="Z2717" s="348"/>
      <c r="AA2717" s="348"/>
    </row>
    <row r="2718" s="331" customFormat="1" ht="17" customHeight="1" spans="1:27">
      <c r="A2718" s="348"/>
      <c r="B2718" s="348" t="s">
        <v>94</v>
      </c>
      <c r="C2718" s="348" t="s">
        <v>498</v>
      </c>
      <c r="D2718" s="352" t="s">
        <v>49</v>
      </c>
      <c r="E2718" s="336">
        <v>43677</v>
      </c>
      <c r="F2718" s="336">
        <v>43673</v>
      </c>
      <c r="G2718" s="350"/>
      <c r="H2718" s="334" t="s">
        <v>7055</v>
      </c>
      <c r="I2718" s="334">
        <v>18202109862</v>
      </c>
      <c r="J2718" s="367" t="s">
        <v>7056</v>
      </c>
      <c r="K2718" s="356">
        <v>1000</v>
      </c>
      <c r="L2718" s="419"/>
      <c r="M2718" s="419"/>
      <c r="N2718" s="362">
        <f t="shared" si="98"/>
        <v>0</v>
      </c>
      <c r="O2718" s="366" t="s">
        <v>52</v>
      </c>
      <c r="P2718" s="356"/>
      <c r="Q2718" s="356"/>
      <c r="R2718" s="356"/>
      <c r="S2718" s="356"/>
      <c r="T2718" s="356"/>
      <c r="U2718" s="372"/>
      <c r="V2718" s="372"/>
      <c r="W2718" s="372"/>
      <c r="X2718" s="373"/>
      <c r="Y2718" s="348"/>
      <c r="Z2718" s="348"/>
      <c r="AA2718" s="348"/>
    </row>
    <row r="2719" s="331" customFormat="1" ht="17" customHeight="1" spans="1:27">
      <c r="A2719" s="348"/>
      <c r="B2719" s="348" t="s">
        <v>94</v>
      </c>
      <c r="C2719" s="348" t="s">
        <v>498</v>
      </c>
      <c r="D2719" s="352" t="s">
        <v>49</v>
      </c>
      <c r="E2719" s="336">
        <v>43677</v>
      </c>
      <c r="F2719" s="336">
        <v>43673</v>
      </c>
      <c r="G2719" s="350"/>
      <c r="H2719" s="334" t="s">
        <v>7057</v>
      </c>
      <c r="I2719" s="334">
        <v>18217774402</v>
      </c>
      <c r="J2719" s="367" t="s">
        <v>7058</v>
      </c>
      <c r="K2719" s="356">
        <v>1000</v>
      </c>
      <c r="L2719" s="419"/>
      <c r="M2719" s="419"/>
      <c r="N2719" s="362">
        <f t="shared" si="98"/>
        <v>0</v>
      </c>
      <c r="O2719" s="366" t="s">
        <v>52</v>
      </c>
      <c r="P2719" s="356"/>
      <c r="Q2719" s="356"/>
      <c r="R2719" s="356"/>
      <c r="S2719" s="356"/>
      <c r="T2719" s="356"/>
      <c r="U2719" s="372"/>
      <c r="V2719" s="372"/>
      <c r="W2719" s="372"/>
      <c r="X2719" s="373"/>
      <c r="Y2719" s="348"/>
      <c r="Z2719" s="348"/>
      <c r="AA2719" s="348"/>
    </row>
    <row r="2720" s="331" customFormat="1" ht="17" customHeight="1" spans="1:27">
      <c r="A2720" s="348"/>
      <c r="B2720" s="348" t="s">
        <v>94</v>
      </c>
      <c r="C2720" s="348" t="s">
        <v>498</v>
      </c>
      <c r="D2720" s="352" t="s">
        <v>49</v>
      </c>
      <c r="E2720" s="336">
        <v>43677</v>
      </c>
      <c r="F2720" s="336">
        <v>43673</v>
      </c>
      <c r="G2720" s="350"/>
      <c r="H2720" s="334" t="s">
        <v>7059</v>
      </c>
      <c r="I2720" s="334">
        <v>18817557628</v>
      </c>
      <c r="J2720" s="367" t="s">
        <v>7060</v>
      </c>
      <c r="K2720" s="356">
        <v>1000</v>
      </c>
      <c r="L2720" s="419"/>
      <c r="M2720" s="419"/>
      <c r="N2720" s="362">
        <f t="shared" si="98"/>
        <v>0</v>
      </c>
      <c r="O2720" s="366" t="s">
        <v>52</v>
      </c>
      <c r="P2720" s="356"/>
      <c r="Q2720" s="356"/>
      <c r="R2720" s="356"/>
      <c r="S2720" s="356"/>
      <c r="T2720" s="356"/>
      <c r="U2720" s="372"/>
      <c r="V2720" s="372"/>
      <c r="W2720" s="372"/>
      <c r="X2720" s="373"/>
      <c r="Y2720" s="348"/>
      <c r="Z2720" s="348"/>
      <c r="AA2720" s="348"/>
    </row>
    <row r="2721" s="331" customFormat="1" ht="17" customHeight="1" spans="1:27">
      <c r="A2721" s="348"/>
      <c r="B2721" s="348" t="s">
        <v>94</v>
      </c>
      <c r="C2721" s="348" t="s">
        <v>498</v>
      </c>
      <c r="D2721" s="352" t="s">
        <v>49</v>
      </c>
      <c r="E2721" s="336">
        <v>43677</v>
      </c>
      <c r="F2721" s="336">
        <v>43673</v>
      </c>
      <c r="G2721" s="350"/>
      <c r="H2721" s="334" t="s">
        <v>7061</v>
      </c>
      <c r="I2721" s="334">
        <v>13817327195</v>
      </c>
      <c r="J2721" s="367" t="s">
        <v>7062</v>
      </c>
      <c r="K2721" s="356">
        <v>1000</v>
      </c>
      <c r="L2721" s="419"/>
      <c r="M2721" s="419"/>
      <c r="N2721" s="362">
        <f t="shared" si="98"/>
        <v>0</v>
      </c>
      <c r="O2721" s="366" t="s">
        <v>52</v>
      </c>
      <c r="P2721" s="356"/>
      <c r="Q2721" s="356"/>
      <c r="R2721" s="356"/>
      <c r="S2721" s="356"/>
      <c r="T2721" s="356"/>
      <c r="U2721" s="372"/>
      <c r="V2721" s="372"/>
      <c r="W2721" s="372"/>
      <c r="X2721" s="373"/>
      <c r="Y2721" s="348"/>
      <c r="Z2721" s="348"/>
      <c r="AA2721" s="348"/>
    </row>
    <row r="2722" s="331" customFormat="1" ht="17" customHeight="1" spans="1:27">
      <c r="A2722" s="348"/>
      <c r="B2722" s="348" t="s">
        <v>94</v>
      </c>
      <c r="C2722" s="334" t="s">
        <v>95</v>
      </c>
      <c r="D2722" s="352" t="s">
        <v>49</v>
      </c>
      <c r="E2722" s="336">
        <v>43829</v>
      </c>
      <c r="F2722" s="336">
        <v>43673</v>
      </c>
      <c r="G2722" s="336">
        <v>43828</v>
      </c>
      <c r="H2722" s="334" t="s">
        <v>7063</v>
      </c>
      <c r="I2722" s="334">
        <v>17621880652</v>
      </c>
      <c r="J2722" s="367" t="s">
        <v>7064</v>
      </c>
      <c r="K2722" s="356">
        <v>1000</v>
      </c>
      <c r="L2722" s="334">
        <v>11174</v>
      </c>
      <c r="M2722" s="419"/>
      <c r="N2722" s="362">
        <f t="shared" si="98"/>
        <v>11174</v>
      </c>
      <c r="O2722" s="366"/>
      <c r="P2722" s="356"/>
      <c r="Q2722" s="356"/>
      <c r="R2722" s="356"/>
      <c r="S2722" s="366" t="s">
        <v>52</v>
      </c>
      <c r="T2722" s="356"/>
      <c r="U2722" s="372"/>
      <c r="V2722" s="372"/>
      <c r="W2722" s="372"/>
      <c r="X2722" s="373"/>
      <c r="Y2722" s="348"/>
      <c r="Z2722" s="348"/>
      <c r="AA2722" s="348"/>
    </row>
    <row r="2723" s="331" customFormat="1" ht="17" customHeight="1" spans="1:27">
      <c r="A2723" s="348"/>
      <c r="B2723" s="348" t="s">
        <v>94</v>
      </c>
      <c r="C2723" s="348" t="s">
        <v>498</v>
      </c>
      <c r="D2723" s="352" t="s">
        <v>49</v>
      </c>
      <c r="E2723" s="336">
        <v>43677</v>
      </c>
      <c r="F2723" s="336">
        <v>43673</v>
      </c>
      <c r="G2723" s="350"/>
      <c r="H2723" s="334" t="s">
        <v>1045</v>
      </c>
      <c r="I2723" s="334">
        <v>18616737484</v>
      </c>
      <c r="J2723" s="367" t="s">
        <v>7065</v>
      </c>
      <c r="K2723" s="356">
        <v>1000</v>
      </c>
      <c r="L2723" s="419"/>
      <c r="M2723" s="419"/>
      <c r="N2723" s="362">
        <f t="shared" si="98"/>
        <v>0</v>
      </c>
      <c r="O2723" s="366" t="s">
        <v>52</v>
      </c>
      <c r="P2723" s="356"/>
      <c r="Q2723" s="356"/>
      <c r="R2723" s="356"/>
      <c r="S2723" s="356"/>
      <c r="T2723" s="356"/>
      <c r="U2723" s="372"/>
      <c r="V2723" s="372"/>
      <c r="W2723" s="372"/>
      <c r="X2723" s="373"/>
      <c r="Y2723" s="348"/>
      <c r="Z2723" s="348"/>
      <c r="AA2723" s="348"/>
    </row>
    <row r="2724" s="331" customFormat="1" ht="17" customHeight="1" spans="1:27">
      <c r="A2724" s="348"/>
      <c r="B2724" s="348" t="s">
        <v>94</v>
      </c>
      <c r="C2724" s="348" t="s">
        <v>498</v>
      </c>
      <c r="D2724" s="352" t="s">
        <v>49</v>
      </c>
      <c r="E2724" s="336">
        <v>43677</v>
      </c>
      <c r="F2724" s="336">
        <v>43673</v>
      </c>
      <c r="G2724" s="350"/>
      <c r="H2724" s="334" t="s">
        <v>7066</v>
      </c>
      <c r="I2724" s="334">
        <v>15900769928</v>
      </c>
      <c r="J2724" s="367" t="s">
        <v>7067</v>
      </c>
      <c r="K2724" s="356">
        <v>1000</v>
      </c>
      <c r="L2724" s="419"/>
      <c r="M2724" s="419"/>
      <c r="N2724" s="362">
        <f t="shared" ref="N2724:N2741" si="99">L2724+M2724</f>
        <v>0</v>
      </c>
      <c r="O2724" s="366"/>
      <c r="P2724" s="356"/>
      <c r="Q2724" s="356"/>
      <c r="R2724" s="356"/>
      <c r="S2724" s="356"/>
      <c r="T2724" s="356"/>
      <c r="U2724" s="372"/>
      <c r="V2724" s="372">
        <v>1.5</v>
      </c>
      <c r="W2724" s="372"/>
      <c r="X2724" s="373"/>
      <c r="Y2724" s="348"/>
      <c r="Z2724" s="348"/>
      <c r="AA2724" s="348"/>
    </row>
    <row r="2725" s="331" customFormat="1" ht="17" customHeight="1" spans="1:27">
      <c r="A2725" s="348"/>
      <c r="B2725" s="348" t="s">
        <v>94</v>
      </c>
      <c r="C2725" s="348" t="s">
        <v>498</v>
      </c>
      <c r="D2725" s="352" t="s">
        <v>49</v>
      </c>
      <c r="E2725" s="336">
        <v>43677</v>
      </c>
      <c r="F2725" s="336">
        <v>43673</v>
      </c>
      <c r="G2725" s="350"/>
      <c r="H2725" s="334" t="s">
        <v>7068</v>
      </c>
      <c r="I2725" s="334">
        <v>13671889166</v>
      </c>
      <c r="J2725" s="367" t="s">
        <v>7069</v>
      </c>
      <c r="K2725" s="356">
        <v>1000</v>
      </c>
      <c r="L2725" s="419"/>
      <c r="M2725" s="419"/>
      <c r="N2725" s="362">
        <f t="shared" si="99"/>
        <v>0</v>
      </c>
      <c r="O2725" s="366"/>
      <c r="P2725" s="356"/>
      <c r="Q2725" s="356"/>
      <c r="R2725" s="356"/>
      <c r="S2725" s="366" t="s">
        <v>52</v>
      </c>
      <c r="T2725" s="356"/>
      <c r="U2725" s="372"/>
      <c r="V2725" s="372"/>
      <c r="W2725" s="372"/>
      <c r="X2725" s="373"/>
      <c r="Y2725" s="348"/>
      <c r="Z2725" s="348"/>
      <c r="AA2725" s="348"/>
    </row>
    <row r="2726" s="331" customFormat="1" ht="17" customHeight="1" spans="1:27">
      <c r="A2726" s="348"/>
      <c r="B2726" s="348" t="s">
        <v>94</v>
      </c>
      <c r="C2726" s="348" t="s">
        <v>498</v>
      </c>
      <c r="D2726" s="352" t="s">
        <v>49</v>
      </c>
      <c r="E2726" s="336">
        <v>43677</v>
      </c>
      <c r="F2726" s="336">
        <v>43673</v>
      </c>
      <c r="G2726" s="350"/>
      <c r="H2726" s="334" t="s">
        <v>7070</v>
      </c>
      <c r="I2726" s="334">
        <v>15515519812</v>
      </c>
      <c r="J2726" s="367" t="s">
        <v>7071</v>
      </c>
      <c r="K2726" s="356">
        <v>1000</v>
      </c>
      <c r="L2726" s="419"/>
      <c r="M2726" s="419"/>
      <c r="N2726" s="362">
        <f t="shared" si="99"/>
        <v>0</v>
      </c>
      <c r="O2726" s="366" t="s">
        <v>52</v>
      </c>
      <c r="P2726" s="356"/>
      <c r="Q2726" s="356"/>
      <c r="R2726" s="356"/>
      <c r="S2726" s="356"/>
      <c r="T2726" s="356"/>
      <c r="U2726" s="372"/>
      <c r="V2726" s="372"/>
      <c r="W2726" s="372"/>
      <c r="X2726" s="373"/>
      <c r="Y2726" s="348"/>
      <c r="Z2726" s="348"/>
      <c r="AA2726" s="348"/>
    </row>
    <row r="2727" s="331" customFormat="1" ht="17" customHeight="1" spans="1:27">
      <c r="A2727" s="348"/>
      <c r="B2727" s="348" t="s">
        <v>94</v>
      </c>
      <c r="C2727" s="348" t="s">
        <v>498</v>
      </c>
      <c r="D2727" s="352" t="s">
        <v>49</v>
      </c>
      <c r="E2727" s="336">
        <v>43677</v>
      </c>
      <c r="F2727" s="336">
        <v>43673</v>
      </c>
      <c r="G2727" s="350"/>
      <c r="H2727" s="334" t="s">
        <v>7072</v>
      </c>
      <c r="I2727" s="334">
        <v>18721911301</v>
      </c>
      <c r="J2727" s="367" t="s">
        <v>7073</v>
      </c>
      <c r="K2727" s="356">
        <v>1000</v>
      </c>
      <c r="L2727" s="419"/>
      <c r="M2727" s="419"/>
      <c r="N2727" s="362">
        <f t="shared" si="99"/>
        <v>0</v>
      </c>
      <c r="O2727" s="366" t="s">
        <v>52</v>
      </c>
      <c r="P2727" s="356"/>
      <c r="Q2727" s="356"/>
      <c r="R2727" s="356"/>
      <c r="S2727" s="356"/>
      <c r="T2727" s="356"/>
      <c r="U2727" s="372"/>
      <c r="V2727" s="372"/>
      <c r="W2727" s="372"/>
      <c r="X2727" s="373"/>
      <c r="Y2727" s="348"/>
      <c r="Z2727" s="348"/>
      <c r="AA2727" s="348"/>
    </row>
    <row r="2728" s="331" customFormat="1" ht="17" customHeight="1" spans="1:27">
      <c r="A2728" s="348"/>
      <c r="B2728" s="348" t="s">
        <v>94</v>
      </c>
      <c r="C2728" s="334" t="s">
        <v>95</v>
      </c>
      <c r="D2728" s="352" t="s">
        <v>49</v>
      </c>
      <c r="E2728" s="336">
        <v>43830</v>
      </c>
      <c r="F2728" s="336">
        <v>43673</v>
      </c>
      <c r="G2728" s="336">
        <v>43830</v>
      </c>
      <c r="H2728" s="334" t="s">
        <v>7074</v>
      </c>
      <c r="I2728" s="334">
        <v>13661659933</v>
      </c>
      <c r="J2728" s="367" t="s">
        <v>7075</v>
      </c>
      <c r="K2728" s="356">
        <v>1000</v>
      </c>
      <c r="L2728" s="334">
        <v>11274</v>
      </c>
      <c r="M2728" s="419"/>
      <c r="N2728" s="362">
        <f t="shared" si="99"/>
        <v>11274</v>
      </c>
      <c r="O2728" s="366" t="s">
        <v>52</v>
      </c>
      <c r="P2728" s="356"/>
      <c r="Q2728" s="356"/>
      <c r="R2728" s="356"/>
      <c r="S2728" s="356"/>
      <c r="T2728" s="356"/>
      <c r="U2728" s="372"/>
      <c r="V2728" s="372"/>
      <c r="W2728" s="372"/>
      <c r="X2728" s="373"/>
      <c r="Y2728" s="348"/>
      <c r="Z2728" s="348"/>
      <c r="AA2728" s="348"/>
    </row>
    <row r="2729" s="331" customFormat="1" ht="17" customHeight="1" spans="1:27">
      <c r="A2729" s="348"/>
      <c r="B2729" s="348" t="s">
        <v>94</v>
      </c>
      <c r="C2729" s="348" t="s">
        <v>498</v>
      </c>
      <c r="D2729" s="352" t="s">
        <v>49</v>
      </c>
      <c r="E2729" s="336">
        <v>43677</v>
      </c>
      <c r="F2729" s="336">
        <v>43673</v>
      </c>
      <c r="G2729" s="350"/>
      <c r="H2729" s="334" t="s">
        <v>7076</v>
      </c>
      <c r="I2729" s="334">
        <v>18612683908</v>
      </c>
      <c r="J2729" s="367" t="s">
        <v>7077</v>
      </c>
      <c r="K2729" s="356">
        <v>1000</v>
      </c>
      <c r="L2729" s="419"/>
      <c r="M2729" s="419"/>
      <c r="N2729" s="362">
        <f t="shared" si="99"/>
        <v>0</v>
      </c>
      <c r="O2729" s="366" t="s">
        <v>52</v>
      </c>
      <c r="P2729" s="356"/>
      <c r="Q2729" s="356"/>
      <c r="R2729" s="356"/>
      <c r="S2729" s="356"/>
      <c r="T2729" s="356"/>
      <c r="U2729" s="372"/>
      <c r="V2729" s="372"/>
      <c r="W2729" s="372"/>
      <c r="X2729" s="373"/>
      <c r="Y2729" s="348"/>
      <c r="Z2729" s="348"/>
      <c r="AA2729" s="348"/>
    </row>
    <row r="2730" s="331" customFormat="1" ht="17" customHeight="1" spans="1:27">
      <c r="A2730" s="348"/>
      <c r="B2730" s="348" t="s">
        <v>94</v>
      </c>
      <c r="C2730" s="334" t="s">
        <v>95</v>
      </c>
      <c r="D2730" s="352" t="s">
        <v>49</v>
      </c>
      <c r="E2730" s="336">
        <v>43793</v>
      </c>
      <c r="F2730" s="336">
        <v>43673</v>
      </c>
      <c r="G2730" s="336">
        <v>43791</v>
      </c>
      <c r="H2730" s="334" t="s">
        <v>6061</v>
      </c>
      <c r="I2730" s="334">
        <v>13761113716</v>
      </c>
      <c r="J2730" s="367" t="s">
        <v>7078</v>
      </c>
      <c r="K2730" s="356">
        <v>1000</v>
      </c>
      <c r="L2730" s="334">
        <v>9628</v>
      </c>
      <c r="M2730" s="419"/>
      <c r="N2730" s="362">
        <f t="shared" si="99"/>
        <v>9628</v>
      </c>
      <c r="O2730" s="366" t="s">
        <v>52</v>
      </c>
      <c r="P2730" s="356"/>
      <c r="Q2730" s="356"/>
      <c r="R2730" s="356"/>
      <c r="S2730" s="356"/>
      <c r="T2730" s="356"/>
      <c r="U2730" s="372"/>
      <c r="V2730" s="372"/>
      <c r="W2730" s="372"/>
      <c r="X2730" s="373"/>
      <c r="Y2730" s="348"/>
      <c r="Z2730" s="348"/>
      <c r="AA2730" s="348"/>
    </row>
    <row r="2731" s="331" customFormat="1" ht="17" customHeight="1" spans="1:27">
      <c r="A2731" s="348"/>
      <c r="B2731" s="348" t="s">
        <v>94</v>
      </c>
      <c r="C2731" s="348" t="s">
        <v>498</v>
      </c>
      <c r="D2731" s="352" t="s">
        <v>49</v>
      </c>
      <c r="E2731" s="336">
        <v>43677</v>
      </c>
      <c r="F2731" s="336">
        <v>43673</v>
      </c>
      <c r="G2731" s="350"/>
      <c r="H2731" s="334" t="s">
        <v>4508</v>
      </c>
      <c r="I2731" s="334">
        <v>15221662450</v>
      </c>
      <c r="J2731" s="367" t="s">
        <v>7079</v>
      </c>
      <c r="K2731" s="356">
        <v>1000</v>
      </c>
      <c r="L2731" s="419"/>
      <c r="M2731" s="419"/>
      <c r="N2731" s="362">
        <f t="shared" si="99"/>
        <v>0</v>
      </c>
      <c r="O2731" s="366"/>
      <c r="P2731" s="356"/>
      <c r="Q2731" s="356"/>
      <c r="R2731" s="356"/>
      <c r="S2731" s="366" t="s">
        <v>52</v>
      </c>
      <c r="T2731" s="356"/>
      <c r="U2731" s="372"/>
      <c r="V2731" s="372">
        <v>1.8</v>
      </c>
      <c r="W2731" s="372"/>
      <c r="X2731" s="373"/>
      <c r="Y2731" s="348"/>
      <c r="Z2731" s="348"/>
      <c r="AA2731" s="348"/>
    </row>
    <row r="2732" s="331" customFormat="1" ht="17" customHeight="1" spans="1:27">
      <c r="A2732" s="348"/>
      <c r="B2732" s="348" t="s">
        <v>94</v>
      </c>
      <c r="C2732" s="348" t="s">
        <v>498</v>
      </c>
      <c r="D2732" s="352" t="s">
        <v>49</v>
      </c>
      <c r="E2732" s="336">
        <v>43677</v>
      </c>
      <c r="F2732" s="336">
        <v>43673</v>
      </c>
      <c r="G2732" s="350"/>
      <c r="H2732" s="334" t="s">
        <v>7080</v>
      </c>
      <c r="I2732" s="334">
        <v>13917597606</v>
      </c>
      <c r="J2732" s="367" t="s">
        <v>7081</v>
      </c>
      <c r="K2732" s="356">
        <v>1000</v>
      </c>
      <c r="L2732" s="419"/>
      <c r="M2732" s="419"/>
      <c r="N2732" s="362">
        <f t="shared" si="99"/>
        <v>0</v>
      </c>
      <c r="O2732" s="366" t="s">
        <v>52</v>
      </c>
      <c r="P2732" s="356"/>
      <c r="Q2732" s="356"/>
      <c r="R2732" s="356"/>
      <c r="S2732" s="356"/>
      <c r="T2732" s="356"/>
      <c r="U2732" s="372"/>
      <c r="V2732" s="372"/>
      <c r="W2732" s="372"/>
      <c r="X2732" s="373"/>
      <c r="Y2732" s="348"/>
      <c r="Z2732" s="348"/>
      <c r="AA2732" s="348"/>
    </row>
    <row r="2733" s="331" customFormat="1" ht="17" customHeight="1" spans="1:27">
      <c r="A2733" s="348"/>
      <c r="B2733" s="348" t="s">
        <v>94</v>
      </c>
      <c r="C2733" s="348" t="s">
        <v>498</v>
      </c>
      <c r="D2733" s="352" t="s">
        <v>49</v>
      </c>
      <c r="E2733" s="336">
        <v>43677</v>
      </c>
      <c r="F2733" s="336">
        <v>43673</v>
      </c>
      <c r="G2733" s="350"/>
      <c r="H2733" s="334" t="s">
        <v>7082</v>
      </c>
      <c r="I2733" s="334">
        <v>13162861803</v>
      </c>
      <c r="J2733" s="367" t="s">
        <v>7083</v>
      </c>
      <c r="K2733" s="356">
        <v>1000</v>
      </c>
      <c r="L2733" s="419"/>
      <c r="M2733" s="419"/>
      <c r="N2733" s="362">
        <f t="shared" si="99"/>
        <v>0</v>
      </c>
      <c r="O2733" s="366"/>
      <c r="P2733" s="356"/>
      <c r="Q2733" s="356"/>
      <c r="R2733" s="356"/>
      <c r="S2733" s="366" t="s">
        <v>52</v>
      </c>
      <c r="T2733" s="356"/>
      <c r="U2733" s="372"/>
      <c r="V2733" s="372">
        <v>1.4</v>
      </c>
      <c r="W2733" s="372"/>
      <c r="X2733" s="373"/>
      <c r="Y2733" s="348"/>
      <c r="Z2733" s="348"/>
      <c r="AA2733" s="348"/>
    </row>
    <row r="2734" s="331" customFormat="1" ht="17" customHeight="1" spans="1:27">
      <c r="A2734" s="348"/>
      <c r="B2734" s="348" t="s">
        <v>94</v>
      </c>
      <c r="C2734" s="334" t="s">
        <v>95</v>
      </c>
      <c r="D2734" s="352" t="s">
        <v>49</v>
      </c>
      <c r="E2734" s="336">
        <v>43829</v>
      </c>
      <c r="F2734" s="336">
        <v>43673</v>
      </c>
      <c r="G2734" s="336">
        <v>43827</v>
      </c>
      <c r="H2734" s="334" t="s">
        <v>7084</v>
      </c>
      <c r="I2734" s="334">
        <v>15021859244</v>
      </c>
      <c r="J2734" s="367" t="s">
        <v>7085</v>
      </c>
      <c r="K2734" s="356">
        <v>1000</v>
      </c>
      <c r="L2734" s="334">
        <v>6271</v>
      </c>
      <c r="M2734" s="419"/>
      <c r="N2734" s="362">
        <f t="shared" si="99"/>
        <v>6271</v>
      </c>
      <c r="O2734" s="366"/>
      <c r="P2734" s="356"/>
      <c r="Q2734" s="356"/>
      <c r="R2734" s="356"/>
      <c r="S2734" s="366" t="s">
        <v>52</v>
      </c>
      <c r="T2734" s="356"/>
      <c r="U2734" s="372"/>
      <c r="V2734" s="372"/>
      <c r="W2734" s="372"/>
      <c r="X2734" s="373"/>
      <c r="Y2734" s="348"/>
      <c r="Z2734" s="348"/>
      <c r="AA2734" s="348"/>
    </row>
    <row r="2735" s="331" customFormat="1" ht="17" customHeight="1" spans="1:27">
      <c r="A2735" s="348"/>
      <c r="B2735" s="348" t="s">
        <v>94</v>
      </c>
      <c r="C2735" s="348" t="s">
        <v>498</v>
      </c>
      <c r="D2735" s="352" t="s">
        <v>49</v>
      </c>
      <c r="E2735" s="336">
        <v>43677</v>
      </c>
      <c r="F2735" s="336">
        <v>43673</v>
      </c>
      <c r="G2735" s="350"/>
      <c r="H2735" s="334" t="s">
        <v>7086</v>
      </c>
      <c r="I2735" s="334">
        <v>18121217516</v>
      </c>
      <c r="J2735" s="367" t="s">
        <v>7087</v>
      </c>
      <c r="K2735" s="356">
        <v>1000</v>
      </c>
      <c r="L2735" s="419"/>
      <c r="M2735" s="419"/>
      <c r="N2735" s="362">
        <f t="shared" si="99"/>
        <v>0</v>
      </c>
      <c r="O2735" s="366" t="s">
        <v>52</v>
      </c>
      <c r="P2735" s="356"/>
      <c r="Q2735" s="356"/>
      <c r="R2735" s="356"/>
      <c r="S2735" s="356"/>
      <c r="T2735" s="356"/>
      <c r="U2735" s="372"/>
      <c r="V2735" s="372"/>
      <c r="W2735" s="372"/>
      <c r="X2735" s="373"/>
      <c r="Y2735" s="348"/>
      <c r="Z2735" s="348"/>
      <c r="AA2735" s="348"/>
    </row>
    <row r="2736" s="331" customFormat="1" ht="17" customHeight="1" spans="1:27">
      <c r="A2736" s="348"/>
      <c r="B2736" s="348" t="s">
        <v>94</v>
      </c>
      <c r="C2736" s="348" t="s">
        <v>498</v>
      </c>
      <c r="D2736" s="352" t="s">
        <v>49</v>
      </c>
      <c r="E2736" s="336">
        <v>43677</v>
      </c>
      <c r="F2736" s="336">
        <v>43673</v>
      </c>
      <c r="G2736" s="350"/>
      <c r="H2736" s="334" t="s">
        <v>7088</v>
      </c>
      <c r="I2736" s="334">
        <v>13816842683</v>
      </c>
      <c r="J2736" s="367" t="s">
        <v>7089</v>
      </c>
      <c r="K2736" s="356">
        <v>1000</v>
      </c>
      <c r="L2736" s="419"/>
      <c r="M2736" s="419"/>
      <c r="N2736" s="362">
        <f t="shared" si="99"/>
        <v>0</v>
      </c>
      <c r="O2736" s="366" t="s">
        <v>52</v>
      </c>
      <c r="P2736" s="356"/>
      <c r="Q2736" s="356"/>
      <c r="R2736" s="356"/>
      <c r="S2736" s="356"/>
      <c r="T2736" s="356"/>
      <c r="U2736" s="372"/>
      <c r="V2736" s="372"/>
      <c r="W2736" s="372"/>
      <c r="X2736" s="373"/>
      <c r="Y2736" s="348"/>
      <c r="Z2736" s="348"/>
      <c r="AA2736" s="348"/>
    </row>
    <row r="2737" s="331" customFormat="1" ht="17" customHeight="1" spans="1:27">
      <c r="A2737" s="348"/>
      <c r="B2737" s="348" t="s">
        <v>94</v>
      </c>
      <c r="C2737" s="348" t="s">
        <v>498</v>
      </c>
      <c r="D2737" s="352" t="s">
        <v>49</v>
      </c>
      <c r="E2737" s="336">
        <v>43677</v>
      </c>
      <c r="F2737" s="336">
        <v>43673</v>
      </c>
      <c r="G2737" s="350"/>
      <c r="H2737" s="334" t="s">
        <v>7090</v>
      </c>
      <c r="I2737" s="334">
        <v>13564390795</v>
      </c>
      <c r="J2737" s="367" t="s">
        <v>7091</v>
      </c>
      <c r="K2737" s="356">
        <v>1000</v>
      </c>
      <c r="L2737" s="419"/>
      <c r="M2737" s="419"/>
      <c r="N2737" s="362">
        <f t="shared" si="99"/>
        <v>0</v>
      </c>
      <c r="O2737" s="366" t="s">
        <v>52</v>
      </c>
      <c r="P2737" s="356"/>
      <c r="Q2737" s="356"/>
      <c r="R2737" s="356"/>
      <c r="S2737" s="356"/>
      <c r="T2737" s="356"/>
      <c r="U2737" s="372"/>
      <c r="V2737" s="372"/>
      <c r="W2737" s="372"/>
      <c r="X2737" s="373"/>
      <c r="Y2737" s="348"/>
      <c r="Z2737" s="348"/>
      <c r="AA2737" s="348"/>
    </row>
    <row r="2738" s="331" customFormat="1" ht="17" customHeight="1" spans="1:27">
      <c r="A2738" s="348"/>
      <c r="B2738" s="348" t="s">
        <v>94</v>
      </c>
      <c r="C2738" s="334" t="s">
        <v>3196</v>
      </c>
      <c r="D2738" s="352" t="s">
        <v>49</v>
      </c>
      <c r="E2738" s="336">
        <v>43808</v>
      </c>
      <c r="F2738" s="336">
        <v>43673</v>
      </c>
      <c r="G2738" s="336">
        <v>43807</v>
      </c>
      <c r="H2738" s="334" t="s">
        <v>7092</v>
      </c>
      <c r="I2738" s="334">
        <v>15618919009</v>
      </c>
      <c r="J2738" s="367" t="s">
        <v>7093</v>
      </c>
      <c r="K2738" s="356">
        <v>1000</v>
      </c>
      <c r="L2738" s="334">
        <v>16330</v>
      </c>
      <c r="M2738" s="419"/>
      <c r="N2738" s="362">
        <f t="shared" si="99"/>
        <v>16330</v>
      </c>
      <c r="O2738" s="366" t="s">
        <v>52</v>
      </c>
      <c r="P2738" s="356"/>
      <c r="Q2738" s="356"/>
      <c r="R2738" s="356"/>
      <c r="S2738" s="356"/>
      <c r="T2738" s="356"/>
      <c r="U2738" s="372"/>
      <c r="V2738" s="372"/>
      <c r="W2738" s="372"/>
      <c r="X2738" s="373"/>
      <c r="Y2738" s="348"/>
      <c r="Z2738" s="348"/>
      <c r="AA2738" s="348"/>
    </row>
    <row r="2739" s="331" customFormat="1" ht="17" customHeight="1" spans="1:27">
      <c r="A2739" s="348">
        <v>2068597</v>
      </c>
      <c r="B2739" s="348" t="s">
        <v>87</v>
      </c>
      <c r="C2739" s="348" t="s">
        <v>199</v>
      </c>
      <c r="D2739" s="352" t="s">
        <v>89</v>
      </c>
      <c r="E2739" s="336">
        <v>43726</v>
      </c>
      <c r="F2739" s="336">
        <v>43676</v>
      </c>
      <c r="G2739" s="336">
        <v>43724</v>
      </c>
      <c r="H2739" s="334" t="s">
        <v>7094</v>
      </c>
      <c r="I2739" s="356">
        <v>18601733349</v>
      </c>
      <c r="J2739" s="361" t="s">
        <v>7095</v>
      </c>
      <c r="K2739" s="356">
        <v>500</v>
      </c>
      <c r="L2739" s="334">
        <v>11385</v>
      </c>
      <c r="M2739" s="419"/>
      <c r="N2739" s="362">
        <f t="shared" si="99"/>
        <v>11385</v>
      </c>
      <c r="O2739" s="356"/>
      <c r="P2739" s="356"/>
      <c r="Q2739" s="411" t="s">
        <v>52</v>
      </c>
      <c r="R2739" s="356"/>
      <c r="S2739" s="356"/>
      <c r="T2739" s="356"/>
      <c r="U2739" s="372"/>
      <c r="V2739" s="372"/>
      <c r="W2739" s="372"/>
      <c r="X2739" s="373"/>
      <c r="Y2739" s="348"/>
      <c r="Z2739" s="348"/>
      <c r="AA2739" s="348"/>
    </row>
    <row r="2740" s="331" customFormat="1" ht="17" customHeight="1" spans="1:27">
      <c r="A2740" s="550" t="s">
        <v>7096</v>
      </c>
      <c r="B2740" s="348" t="s">
        <v>73</v>
      </c>
      <c r="C2740" s="348" t="s">
        <v>74</v>
      </c>
      <c r="D2740" s="334" t="s">
        <v>75</v>
      </c>
      <c r="E2740" s="336">
        <v>43759</v>
      </c>
      <c r="F2740" s="336">
        <v>43677</v>
      </c>
      <c r="G2740" s="336">
        <v>43758</v>
      </c>
      <c r="H2740" s="334" t="s">
        <v>7097</v>
      </c>
      <c r="I2740" s="356">
        <v>13386031627</v>
      </c>
      <c r="J2740" s="361" t="s">
        <v>7098</v>
      </c>
      <c r="K2740" s="356">
        <v>1000</v>
      </c>
      <c r="L2740" s="334">
        <v>22557</v>
      </c>
      <c r="M2740" s="419"/>
      <c r="N2740" s="362">
        <f t="shared" si="99"/>
        <v>22557</v>
      </c>
      <c r="O2740" s="366" t="s">
        <v>52</v>
      </c>
      <c r="P2740" s="356"/>
      <c r="Q2740" s="356"/>
      <c r="R2740" s="356"/>
      <c r="S2740" s="356"/>
      <c r="T2740" s="356"/>
      <c r="U2740" s="372"/>
      <c r="V2740" s="372"/>
      <c r="W2740" s="372"/>
      <c r="X2740" s="373"/>
      <c r="Y2740" s="348"/>
      <c r="Z2740" s="348"/>
      <c r="AA2740" s="348"/>
    </row>
    <row r="2741" s="331" customFormat="1" ht="17" customHeight="1" spans="1:27">
      <c r="A2741" s="550" t="s">
        <v>7099</v>
      </c>
      <c r="B2741" s="348" t="s">
        <v>726</v>
      </c>
      <c r="C2741" s="348" t="s">
        <v>727</v>
      </c>
      <c r="D2741" s="334" t="s">
        <v>271</v>
      </c>
      <c r="E2741" s="336">
        <v>43766</v>
      </c>
      <c r="F2741" s="336">
        <v>43677</v>
      </c>
      <c r="G2741" s="336">
        <v>43766</v>
      </c>
      <c r="H2741" s="334" t="s">
        <v>7100</v>
      </c>
      <c r="I2741" s="356">
        <v>13162206965</v>
      </c>
      <c r="J2741" s="361" t="s">
        <v>7101</v>
      </c>
      <c r="K2741" s="356">
        <v>500</v>
      </c>
      <c r="L2741" s="334">
        <v>4042</v>
      </c>
      <c r="M2741" s="419"/>
      <c r="N2741" s="362">
        <f t="shared" si="99"/>
        <v>4042</v>
      </c>
      <c r="O2741" s="356" t="s">
        <v>19</v>
      </c>
      <c r="P2741" s="356"/>
      <c r="Q2741" s="356"/>
      <c r="R2741" s="356"/>
      <c r="S2741" s="356"/>
      <c r="T2741" s="356"/>
      <c r="U2741" s="372"/>
      <c r="V2741" s="372"/>
      <c r="W2741" s="372"/>
      <c r="X2741" s="373"/>
      <c r="Y2741" s="348"/>
      <c r="Z2741" s="348"/>
      <c r="AA2741" s="348"/>
    </row>
    <row r="2742" s="331" customFormat="1" ht="17" customHeight="1" spans="1:27">
      <c r="A2742" s="550" t="s">
        <v>5162</v>
      </c>
      <c r="B2742" s="348" t="s">
        <v>147</v>
      </c>
      <c r="C2742" s="348" t="s">
        <v>148</v>
      </c>
      <c r="D2742" s="352" t="s">
        <v>149</v>
      </c>
      <c r="E2742" s="336">
        <v>43677</v>
      </c>
      <c r="F2742" s="336">
        <v>43676</v>
      </c>
      <c r="G2742" s="350"/>
      <c r="H2742" s="334" t="s">
        <v>7102</v>
      </c>
      <c r="I2742" s="356">
        <v>13701870740</v>
      </c>
      <c r="J2742" s="361" t="s">
        <v>7103</v>
      </c>
      <c r="K2742" s="356">
        <v>500</v>
      </c>
      <c r="L2742" s="419"/>
      <c r="M2742" s="419"/>
      <c r="N2742" s="362">
        <f t="shared" ref="N2742:N2759" si="100">L2742+M2742</f>
        <v>0</v>
      </c>
      <c r="O2742" s="356"/>
      <c r="P2742" s="356"/>
      <c r="Q2742" s="356"/>
      <c r="R2742" s="356"/>
      <c r="S2742" s="356"/>
      <c r="T2742" s="356"/>
      <c r="U2742" s="372"/>
      <c r="V2742" s="372"/>
      <c r="W2742" s="372"/>
      <c r="X2742" s="373"/>
      <c r="Y2742" s="348"/>
      <c r="Z2742" s="348"/>
      <c r="AA2742" s="348"/>
    </row>
    <row r="2743" s="331" customFormat="1" ht="17" customHeight="1" spans="1:27">
      <c r="A2743" s="348"/>
      <c r="B2743" s="348" t="s">
        <v>805</v>
      </c>
      <c r="C2743" s="348" t="s">
        <v>806</v>
      </c>
      <c r="D2743" s="349" t="s">
        <v>171</v>
      </c>
      <c r="E2743" s="336">
        <v>43677</v>
      </c>
      <c r="F2743" s="336">
        <v>43654</v>
      </c>
      <c r="G2743" s="350">
        <v>43677</v>
      </c>
      <c r="H2743" s="334" t="s">
        <v>7104</v>
      </c>
      <c r="I2743" s="356">
        <v>13671623856</v>
      </c>
      <c r="J2743" s="361" t="s">
        <v>7105</v>
      </c>
      <c r="K2743" s="356">
        <v>12000</v>
      </c>
      <c r="L2743" s="334">
        <v>12366</v>
      </c>
      <c r="M2743" s="419"/>
      <c r="N2743" s="362">
        <f t="shared" si="100"/>
        <v>12366</v>
      </c>
      <c r="O2743" s="356"/>
      <c r="P2743" s="356"/>
      <c r="Q2743" s="356"/>
      <c r="R2743" s="356"/>
      <c r="S2743" s="356"/>
      <c r="T2743" s="356"/>
      <c r="U2743" s="372"/>
      <c r="V2743" s="372"/>
      <c r="W2743" s="372"/>
      <c r="X2743" s="373"/>
      <c r="Y2743" s="348"/>
      <c r="Z2743" s="348"/>
      <c r="AA2743" s="348"/>
    </row>
    <row r="2744" s="331" customFormat="1" ht="17" customHeight="1" spans="1:27">
      <c r="A2744" s="348">
        <v>2023505</v>
      </c>
      <c r="B2744" s="348" t="s">
        <v>185</v>
      </c>
      <c r="C2744" s="348" t="s">
        <v>886</v>
      </c>
      <c r="D2744" s="352" t="s">
        <v>187</v>
      </c>
      <c r="E2744" s="336">
        <v>43677</v>
      </c>
      <c r="F2744" s="336">
        <v>43666</v>
      </c>
      <c r="G2744" s="350"/>
      <c r="H2744" s="334" t="s">
        <v>7106</v>
      </c>
      <c r="I2744" s="356">
        <v>13701607394</v>
      </c>
      <c r="J2744" s="361" t="s">
        <v>7107</v>
      </c>
      <c r="K2744" s="356">
        <v>1000</v>
      </c>
      <c r="L2744" s="419"/>
      <c r="M2744" s="419"/>
      <c r="N2744" s="362">
        <f t="shared" si="100"/>
        <v>0</v>
      </c>
      <c r="O2744" s="366"/>
      <c r="P2744" s="356" t="s">
        <v>52</v>
      </c>
      <c r="Q2744" s="356"/>
      <c r="R2744" s="356"/>
      <c r="S2744" s="356"/>
      <c r="T2744" s="356"/>
      <c r="U2744" s="372"/>
      <c r="V2744" s="372"/>
      <c r="W2744" s="374">
        <v>43694</v>
      </c>
      <c r="X2744" s="373"/>
      <c r="Y2744" s="348"/>
      <c r="Z2744" s="348"/>
      <c r="AA2744" s="348"/>
    </row>
    <row r="2745" s="331" customFormat="1" ht="17" customHeight="1" spans="1:27">
      <c r="A2745" s="550" t="s">
        <v>7108</v>
      </c>
      <c r="B2745" s="348" t="s">
        <v>73</v>
      </c>
      <c r="C2745" s="348" t="s">
        <v>178</v>
      </c>
      <c r="D2745" s="352" t="s">
        <v>75</v>
      </c>
      <c r="E2745" s="336">
        <v>43704</v>
      </c>
      <c r="F2745" s="336">
        <v>43677</v>
      </c>
      <c r="G2745" s="336">
        <v>43703</v>
      </c>
      <c r="H2745" s="334" t="s">
        <v>7109</v>
      </c>
      <c r="I2745" s="356">
        <v>13621998229</v>
      </c>
      <c r="J2745" s="361" t="s">
        <v>7110</v>
      </c>
      <c r="K2745" s="356">
        <v>1000</v>
      </c>
      <c r="L2745" s="334">
        <f>33962-1472</f>
        <v>32490</v>
      </c>
      <c r="M2745" s="334">
        <v>1472</v>
      </c>
      <c r="N2745" s="362">
        <f t="shared" si="100"/>
        <v>33962</v>
      </c>
      <c r="O2745" s="366" t="s">
        <v>52</v>
      </c>
      <c r="P2745" s="356"/>
      <c r="Q2745" s="356"/>
      <c r="R2745" s="356"/>
      <c r="S2745" s="356"/>
      <c r="T2745" s="356"/>
      <c r="U2745" s="372"/>
      <c r="V2745" s="372"/>
      <c r="W2745" s="372"/>
      <c r="X2745" s="373"/>
      <c r="Y2745" s="348"/>
      <c r="Z2745" s="348"/>
      <c r="AA2745" s="348"/>
    </row>
    <row r="2746" s="331" customFormat="1" ht="17" customHeight="1" spans="1:27">
      <c r="A2746" s="550" t="s">
        <v>7111</v>
      </c>
      <c r="B2746" s="348" t="s">
        <v>147</v>
      </c>
      <c r="C2746" s="348" t="s">
        <v>148</v>
      </c>
      <c r="D2746" s="349" t="s">
        <v>187</v>
      </c>
      <c r="E2746" s="336">
        <v>43677</v>
      </c>
      <c r="F2746" s="336">
        <v>43665</v>
      </c>
      <c r="G2746" s="350">
        <v>43677</v>
      </c>
      <c r="H2746" s="334" t="s">
        <v>7112</v>
      </c>
      <c r="I2746" s="356">
        <v>13621866564</v>
      </c>
      <c r="J2746" s="361" t="s">
        <v>7113</v>
      </c>
      <c r="K2746" s="356">
        <v>14734</v>
      </c>
      <c r="L2746" s="356">
        <v>14734</v>
      </c>
      <c r="M2746" s="419"/>
      <c r="N2746" s="362">
        <f t="shared" si="100"/>
        <v>14734</v>
      </c>
      <c r="O2746" s="356"/>
      <c r="P2746" s="356"/>
      <c r="Q2746" s="356"/>
      <c r="R2746" s="356"/>
      <c r="S2746" s="356"/>
      <c r="T2746" s="356"/>
      <c r="U2746" s="372"/>
      <c r="V2746" s="372"/>
      <c r="W2746" s="372"/>
      <c r="X2746" s="373"/>
      <c r="Y2746" s="348"/>
      <c r="Z2746" s="348"/>
      <c r="AA2746" s="348"/>
    </row>
    <row r="2747" s="331" customFormat="1" ht="17" customHeight="1" spans="1:27">
      <c r="A2747" s="348">
        <v>2068599</v>
      </c>
      <c r="B2747" s="348" t="s">
        <v>87</v>
      </c>
      <c r="C2747" s="348" t="s">
        <v>466</v>
      </c>
      <c r="D2747" s="352" t="s">
        <v>89</v>
      </c>
      <c r="E2747" s="336">
        <v>43677</v>
      </c>
      <c r="F2747" s="336">
        <v>43676</v>
      </c>
      <c r="G2747" s="372" t="s">
        <v>69</v>
      </c>
      <c r="H2747" s="334" t="s">
        <v>6580</v>
      </c>
      <c r="I2747" s="356">
        <v>13817898105</v>
      </c>
      <c r="J2747" s="361" t="s">
        <v>7114</v>
      </c>
      <c r="K2747" s="356">
        <v>1000</v>
      </c>
      <c r="L2747" s="419"/>
      <c r="M2747" s="419"/>
      <c r="N2747" s="362">
        <f t="shared" si="100"/>
        <v>0</v>
      </c>
      <c r="O2747" s="356"/>
      <c r="P2747" s="411" t="s">
        <v>52</v>
      </c>
      <c r="Q2747" s="356"/>
      <c r="R2747" s="356"/>
      <c r="S2747" s="356"/>
      <c r="T2747" s="356"/>
      <c r="U2747" s="372"/>
      <c r="V2747" s="372"/>
      <c r="W2747" s="372"/>
      <c r="X2747" s="373"/>
      <c r="Y2747" s="348"/>
      <c r="Z2747" s="348"/>
      <c r="AA2747" s="348"/>
    </row>
    <row r="2748" s="331" customFormat="1" ht="17" customHeight="1" spans="1:27">
      <c r="A2748" s="348"/>
      <c r="B2748" s="348" t="s">
        <v>2625</v>
      </c>
      <c r="C2748" s="348" t="s">
        <v>2626</v>
      </c>
      <c r="D2748" s="349" t="s">
        <v>44</v>
      </c>
      <c r="E2748" s="336">
        <v>43684</v>
      </c>
      <c r="F2748" s="336">
        <v>43677</v>
      </c>
      <c r="G2748" s="336">
        <v>43684</v>
      </c>
      <c r="H2748" s="334" t="s">
        <v>7115</v>
      </c>
      <c r="I2748" s="356">
        <v>18621976760</v>
      </c>
      <c r="J2748" s="361" t="s">
        <v>7116</v>
      </c>
      <c r="K2748" s="356">
        <v>1000</v>
      </c>
      <c r="L2748" s="334">
        <v>8070</v>
      </c>
      <c r="M2748" s="419"/>
      <c r="N2748" s="362">
        <f t="shared" si="100"/>
        <v>8070</v>
      </c>
      <c r="O2748" s="356"/>
      <c r="P2748" s="356"/>
      <c r="Q2748" s="356"/>
      <c r="R2748" s="356"/>
      <c r="S2748" s="356"/>
      <c r="T2748" s="356"/>
      <c r="U2748" s="372"/>
      <c r="V2748" s="372"/>
      <c r="W2748" s="374">
        <v>43683</v>
      </c>
      <c r="X2748" s="374"/>
      <c r="Y2748" s="348"/>
      <c r="Z2748" s="348"/>
      <c r="AA2748" s="348"/>
    </row>
    <row r="2749" s="331" customFormat="1" ht="17" customHeight="1" spans="1:27">
      <c r="A2749" s="550" t="s">
        <v>7117</v>
      </c>
      <c r="B2749" s="348" t="s">
        <v>236</v>
      </c>
      <c r="C2749" s="348" t="s">
        <v>195</v>
      </c>
      <c r="D2749" s="349" t="s">
        <v>125</v>
      </c>
      <c r="E2749" s="336">
        <v>43677</v>
      </c>
      <c r="F2749" s="336">
        <v>43675</v>
      </c>
      <c r="G2749" s="336">
        <v>43675</v>
      </c>
      <c r="H2749" s="334" t="s">
        <v>6304</v>
      </c>
      <c r="I2749" s="356">
        <v>18621698768</v>
      </c>
      <c r="J2749" s="361" t="s">
        <v>7118</v>
      </c>
      <c r="K2749" s="356">
        <v>8407</v>
      </c>
      <c r="L2749" s="334">
        <v>10299</v>
      </c>
      <c r="M2749" s="419"/>
      <c r="N2749" s="362">
        <f t="shared" si="100"/>
        <v>10299</v>
      </c>
      <c r="O2749" s="356"/>
      <c r="P2749" s="356"/>
      <c r="Q2749" s="356"/>
      <c r="R2749" s="356"/>
      <c r="S2749" s="356"/>
      <c r="T2749" s="356"/>
      <c r="U2749" s="372"/>
      <c r="V2749" s="372"/>
      <c r="W2749" s="372"/>
      <c r="X2749" s="373"/>
      <c r="Y2749" s="348"/>
      <c r="Z2749" s="348"/>
      <c r="AA2749" s="348"/>
    </row>
    <row r="2750" s="331" customFormat="1" ht="17" customHeight="1" spans="1:27">
      <c r="A2750" s="348"/>
      <c r="B2750" s="348" t="s">
        <v>137</v>
      </c>
      <c r="C2750" s="348" t="s">
        <v>2705</v>
      </c>
      <c r="D2750" s="349" t="s">
        <v>191</v>
      </c>
      <c r="E2750" s="336">
        <v>43682</v>
      </c>
      <c r="F2750" s="336">
        <v>43676</v>
      </c>
      <c r="G2750" s="336">
        <v>43682</v>
      </c>
      <c r="H2750" s="334" t="s">
        <v>7119</v>
      </c>
      <c r="I2750" s="356">
        <v>15800751324</v>
      </c>
      <c r="J2750" s="361" t="s">
        <v>7120</v>
      </c>
      <c r="K2750" s="356">
        <v>500</v>
      </c>
      <c r="L2750" s="334">
        <v>5365</v>
      </c>
      <c r="M2750" s="334">
        <v>536</v>
      </c>
      <c r="N2750" s="362">
        <f t="shared" si="100"/>
        <v>5901</v>
      </c>
      <c r="O2750" s="356"/>
      <c r="P2750" s="356"/>
      <c r="Q2750" s="356"/>
      <c r="R2750" s="356"/>
      <c r="S2750" s="356"/>
      <c r="T2750" s="356"/>
      <c r="U2750" s="372"/>
      <c r="V2750" s="372"/>
      <c r="W2750" s="372"/>
      <c r="X2750" s="373"/>
      <c r="Y2750" s="348"/>
      <c r="Z2750" s="348"/>
      <c r="AA2750" s="348"/>
    </row>
    <row r="2751" s="331" customFormat="1" ht="17" customHeight="1" spans="1:27">
      <c r="A2751" s="348">
        <v>2066989</v>
      </c>
      <c r="B2751" s="348" t="s">
        <v>66</v>
      </c>
      <c r="C2751" s="348" t="s">
        <v>1749</v>
      </c>
      <c r="D2751" s="352" t="s">
        <v>68</v>
      </c>
      <c r="E2751" s="336">
        <v>43677</v>
      </c>
      <c r="F2751" s="336">
        <v>43676</v>
      </c>
      <c r="G2751" s="350"/>
      <c r="H2751" s="334" t="s">
        <v>7121</v>
      </c>
      <c r="I2751" s="356">
        <v>18721119373</v>
      </c>
      <c r="J2751" s="361" t="s">
        <v>7122</v>
      </c>
      <c r="K2751" s="356">
        <v>500</v>
      </c>
      <c r="L2751" s="419"/>
      <c r="M2751" s="419"/>
      <c r="N2751" s="362">
        <f t="shared" si="100"/>
        <v>0</v>
      </c>
      <c r="O2751" s="356"/>
      <c r="P2751" s="356"/>
      <c r="Q2751" s="366" t="s">
        <v>52</v>
      </c>
      <c r="R2751" s="356"/>
      <c r="S2751" s="356"/>
      <c r="T2751" s="356"/>
      <c r="U2751" s="372" t="s">
        <v>12</v>
      </c>
      <c r="V2751" s="372"/>
      <c r="W2751" s="372"/>
      <c r="X2751" s="373"/>
      <c r="Y2751" s="348"/>
      <c r="Z2751" s="348"/>
      <c r="AA2751" s="348"/>
    </row>
    <row r="2752" s="331" customFormat="1" ht="17" customHeight="1" spans="1:27">
      <c r="A2752" s="348">
        <v>2066990</v>
      </c>
      <c r="B2752" s="348" t="s">
        <v>66</v>
      </c>
      <c r="C2752" s="348" t="s">
        <v>1749</v>
      </c>
      <c r="D2752" s="352" t="s">
        <v>68</v>
      </c>
      <c r="E2752" s="336">
        <v>43687</v>
      </c>
      <c r="F2752" s="336">
        <v>43676</v>
      </c>
      <c r="G2752" s="336">
        <v>43687</v>
      </c>
      <c r="H2752" s="334" t="s">
        <v>7123</v>
      </c>
      <c r="I2752" s="356">
        <v>13817395500</v>
      </c>
      <c r="J2752" s="361" t="s">
        <v>7124</v>
      </c>
      <c r="K2752" s="356">
        <v>500</v>
      </c>
      <c r="L2752" s="334">
        <v>6986</v>
      </c>
      <c r="M2752" s="419"/>
      <c r="N2752" s="362">
        <f t="shared" si="100"/>
        <v>6986</v>
      </c>
      <c r="O2752" s="356"/>
      <c r="P2752" s="356" t="s">
        <v>20</v>
      </c>
      <c r="Q2752" s="356"/>
      <c r="R2752" s="356"/>
      <c r="S2752" s="356"/>
      <c r="T2752" s="356"/>
      <c r="U2752" s="372"/>
      <c r="V2752" s="372"/>
      <c r="W2752" s="372"/>
      <c r="X2752" s="373"/>
      <c r="Y2752" s="348"/>
      <c r="Z2752" s="348"/>
      <c r="AA2752" s="348"/>
    </row>
    <row r="2753" s="331" customFormat="1" ht="17" customHeight="1" spans="1:27">
      <c r="A2753" s="550" t="s">
        <v>7125</v>
      </c>
      <c r="B2753" s="348" t="s">
        <v>123</v>
      </c>
      <c r="C2753" s="348" t="s">
        <v>2301</v>
      </c>
      <c r="D2753" s="352" t="s">
        <v>125</v>
      </c>
      <c r="E2753" s="336">
        <v>43699</v>
      </c>
      <c r="F2753" s="336">
        <v>43676</v>
      </c>
      <c r="G2753" s="336">
        <v>43696</v>
      </c>
      <c r="H2753" s="334" t="s">
        <v>7126</v>
      </c>
      <c r="I2753" s="356">
        <v>13817847028</v>
      </c>
      <c r="J2753" s="361" t="s">
        <v>7127</v>
      </c>
      <c r="K2753" s="356">
        <v>500</v>
      </c>
      <c r="L2753" s="334">
        <v>25152</v>
      </c>
      <c r="M2753" s="419"/>
      <c r="N2753" s="362">
        <f t="shared" si="100"/>
        <v>25152</v>
      </c>
      <c r="O2753" s="356"/>
      <c r="P2753" s="356"/>
      <c r="Q2753" s="356"/>
      <c r="R2753" s="356"/>
      <c r="S2753" s="356"/>
      <c r="T2753" s="356"/>
      <c r="U2753" s="372"/>
      <c r="V2753" s="372" t="s">
        <v>289</v>
      </c>
      <c r="W2753" s="372"/>
      <c r="X2753" s="373"/>
      <c r="Y2753" s="348"/>
      <c r="Z2753" s="348"/>
      <c r="AA2753" s="348"/>
    </row>
    <row r="2754" s="331" customFormat="1" ht="15" customHeight="1" spans="1:27">
      <c r="A2754" s="550" t="s">
        <v>7128</v>
      </c>
      <c r="B2754" s="348" t="s">
        <v>58</v>
      </c>
      <c r="C2754" s="348" t="s">
        <v>59</v>
      </c>
      <c r="D2754" s="349" t="s">
        <v>271</v>
      </c>
      <c r="E2754" s="336">
        <v>43677</v>
      </c>
      <c r="F2754" s="336">
        <v>43676</v>
      </c>
      <c r="G2754" s="350"/>
      <c r="H2754" s="334" t="s">
        <v>7129</v>
      </c>
      <c r="I2754" s="356">
        <v>13616418392</v>
      </c>
      <c r="J2754" s="361" t="s">
        <v>7130</v>
      </c>
      <c r="K2754" s="356">
        <v>500</v>
      </c>
      <c r="L2754" s="419"/>
      <c r="M2754" s="419"/>
      <c r="N2754" s="362">
        <f t="shared" si="100"/>
        <v>0</v>
      </c>
      <c r="O2754" s="356"/>
      <c r="P2754" s="356"/>
      <c r="Q2754" s="366" t="s">
        <v>52</v>
      </c>
      <c r="R2754" s="356"/>
      <c r="S2754" s="356"/>
      <c r="T2754" s="356"/>
      <c r="U2754" s="400" t="s">
        <v>1595</v>
      </c>
      <c r="V2754" s="372"/>
      <c r="W2754" s="372"/>
      <c r="X2754" s="373"/>
      <c r="Y2754" s="348"/>
      <c r="Z2754" s="348"/>
      <c r="AA2754" s="348"/>
    </row>
    <row r="2755" s="331" customFormat="1" ht="17" customHeight="1" spans="1:27">
      <c r="A2755" s="348">
        <v>2066988</v>
      </c>
      <c r="B2755" s="348" t="s">
        <v>66</v>
      </c>
      <c r="C2755" s="348" t="s">
        <v>505</v>
      </c>
      <c r="D2755" s="334" t="s">
        <v>2302</v>
      </c>
      <c r="E2755" s="336">
        <v>43745</v>
      </c>
      <c r="F2755" s="336">
        <v>43676</v>
      </c>
      <c r="G2755" s="336">
        <v>43745</v>
      </c>
      <c r="H2755" s="334" t="s">
        <v>7131</v>
      </c>
      <c r="I2755" s="356">
        <v>15921094320</v>
      </c>
      <c r="J2755" s="361" t="s">
        <v>7132</v>
      </c>
      <c r="K2755" s="356">
        <v>500</v>
      </c>
      <c r="L2755" s="334">
        <v>10827</v>
      </c>
      <c r="M2755" s="419"/>
      <c r="N2755" s="362">
        <f t="shared" si="100"/>
        <v>10827</v>
      </c>
      <c r="O2755" s="356"/>
      <c r="P2755" s="356"/>
      <c r="Q2755" s="356" t="s">
        <v>21</v>
      </c>
      <c r="R2755" s="356"/>
      <c r="S2755" s="356"/>
      <c r="T2755" s="356"/>
      <c r="U2755" s="372"/>
      <c r="V2755" s="372"/>
      <c r="W2755" s="372"/>
      <c r="X2755" s="373"/>
      <c r="Y2755" s="348"/>
      <c r="Z2755" s="348"/>
      <c r="AA2755" s="348"/>
    </row>
    <row r="2756" s="331" customFormat="1" ht="17" customHeight="1" spans="1:27">
      <c r="A2756" s="550" t="s">
        <v>7133</v>
      </c>
      <c r="B2756" s="348" t="s">
        <v>58</v>
      </c>
      <c r="C2756" s="348" t="s">
        <v>59</v>
      </c>
      <c r="D2756" s="334" t="s">
        <v>271</v>
      </c>
      <c r="E2756" s="336">
        <v>43707</v>
      </c>
      <c r="F2756" s="336">
        <v>43676</v>
      </c>
      <c r="G2756" s="336">
        <v>43706</v>
      </c>
      <c r="H2756" s="334" t="s">
        <v>7134</v>
      </c>
      <c r="I2756" s="356">
        <v>13661996115</v>
      </c>
      <c r="J2756" s="361" t="s">
        <v>7135</v>
      </c>
      <c r="K2756" s="356">
        <f>19500+500</f>
        <v>20000</v>
      </c>
      <c r="L2756" s="334">
        <f>19864-736</f>
        <v>19128</v>
      </c>
      <c r="M2756" s="334">
        <v>736</v>
      </c>
      <c r="N2756" s="362">
        <f t="shared" si="100"/>
        <v>19864</v>
      </c>
      <c r="O2756" s="356"/>
      <c r="P2756" s="356"/>
      <c r="Q2756" s="366" t="s">
        <v>52</v>
      </c>
      <c r="R2756" s="356"/>
      <c r="S2756" s="356"/>
      <c r="T2756" s="356"/>
      <c r="U2756" s="372"/>
      <c r="V2756" s="372"/>
      <c r="W2756" s="372"/>
      <c r="X2756" s="373"/>
      <c r="Y2756" s="348"/>
      <c r="Z2756" s="348"/>
      <c r="AA2756" s="348"/>
    </row>
    <row r="2757" s="331" customFormat="1" ht="17" customHeight="1" spans="1:27">
      <c r="A2757" s="348">
        <v>2066986</v>
      </c>
      <c r="B2757" s="348" t="s">
        <v>66</v>
      </c>
      <c r="C2757" s="348" t="s">
        <v>951</v>
      </c>
      <c r="D2757" s="352" t="s">
        <v>68</v>
      </c>
      <c r="E2757" s="336">
        <v>43786</v>
      </c>
      <c r="F2757" s="336">
        <v>43676</v>
      </c>
      <c r="G2757" s="336">
        <v>43786</v>
      </c>
      <c r="H2757" s="334" t="s">
        <v>7136</v>
      </c>
      <c r="I2757" s="356">
        <v>17717305997</v>
      </c>
      <c r="J2757" s="361" t="s">
        <v>7137</v>
      </c>
      <c r="K2757" s="356">
        <v>500</v>
      </c>
      <c r="L2757" s="334">
        <v>4016</v>
      </c>
      <c r="M2757" s="419"/>
      <c r="N2757" s="362">
        <f t="shared" si="100"/>
        <v>4016</v>
      </c>
      <c r="O2757" s="356"/>
      <c r="P2757" s="356" t="s">
        <v>1526</v>
      </c>
      <c r="Q2757" s="356"/>
      <c r="R2757" s="356"/>
      <c r="S2757" s="356"/>
      <c r="T2757" s="356"/>
      <c r="U2757" s="372"/>
      <c r="V2757" s="372"/>
      <c r="W2757" s="372"/>
      <c r="X2757" s="373"/>
      <c r="Y2757" s="348"/>
      <c r="Z2757" s="348"/>
      <c r="AA2757" s="348"/>
    </row>
    <row r="2758" s="331" customFormat="1" ht="17" customHeight="1" spans="1:27">
      <c r="A2758" s="348">
        <v>2066987</v>
      </c>
      <c r="B2758" s="348" t="s">
        <v>66</v>
      </c>
      <c r="C2758" s="348" t="s">
        <v>951</v>
      </c>
      <c r="D2758" s="352" t="s">
        <v>68</v>
      </c>
      <c r="E2758" s="336">
        <v>43677</v>
      </c>
      <c r="F2758" s="336">
        <v>43676</v>
      </c>
      <c r="G2758" s="350"/>
      <c r="H2758" s="334" t="s">
        <v>7138</v>
      </c>
      <c r="I2758" s="356">
        <v>17621632053</v>
      </c>
      <c r="J2758" s="361" t="s">
        <v>7139</v>
      </c>
      <c r="K2758" s="356">
        <v>500</v>
      </c>
      <c r="L2758" s="419"/>
      <c r="M2758" s="419"/>
      <c r="N2758" s="362">
        <f t="shared" si="100"/>
        <v>0</v>
      </c>
      <c r="O2758" s="356" t="s">
        <v>7140</v>
      </c>
      <c r="P2758" s="356"/>
      <c r="Q2758" s="356"/>
      <c r="R2758" s="356"/>
      <c r="S2758" s="356"/>
      <c r="T2758" s="356"/>
      <c r="U2758" s="372"/>
      <c r="V2758" s="372"/>
      <c r="W2758" s="372"/>
      <c r="X2758" s="373"/>
      <c r="Y2758" s="348"/>
      <c r="Z2758" s="348"/>
      <c r="AA2758" s="348"/>
    </row>
    <row r="2759" s="331" customFormat="1" ht="17" customHeight="1" spans="1:27">
      <c r="A2759" s="550" t="s">
        <v>7141</v>
      </c>
      <c r="B2759" s="348" t="s">
        <v>58</v>
      </c>
      <c r="C2759" s="348" t="s">
        <v>59</v>
      </c>
      <c r="D2759" s="349" t="s">
        <v>75</v>
      </c>
      <c r="E2759" s="336">
        <v>43677</v>
      </c>
      <c r="F2759" s="336">
        <v>43676</v>
      </c>
      <c r="G2759" s="350">
        <v>43677</v>
      </c>
      <c r="H2759" s="334" t="s">
        <v>7142</v>
      </c>
      <c r="I2759" s="356">
        <v>13386108608</v>
      </c>
      <c r="J2759" s="361" t="s">
        <v>7143</v>
      </c>
      <c r="K2759" s="356">
        <v>22000</v>
      </c>
      <c r="L2759" s="334">
        <v>22000</v>
      </c>
      <c r="M2759" s="419"/>
      <c r="N2759" s="362">
        <f t="shared" si="100"/>
        <v>22000</v>
      </c>
      <c r="O2759" s="356"/>
      <c r="P2759" s="356"/>
      <c r="Q2759" s="356"/>
      <c r="R2759" s="356"/>
      <c r="S2759" s="356"/>
      <c r="T2759" s="356"/>
      <c r="U2759" s="372"/>
      <c r="V2759" s="372"/>
      <c r="W2759" s="372"/>
      <c r="X2759" s="373"/>
      <c r="Y2759" s="348"/>
      <c r="Z2759" s="348"/>
      <c r="AA2759" s="348"/>
    </row>
    <row r="2760" s="331" customFormat="1" ht="17" customHeight="1" spans="1:27">
      <c r="A2760" s="550" t="s">
        <v>7144</v>
      </c>
      <c r="B2760" s="348" t="s">
        <v>58</v>
      </c>
      <c r="C2760" s="348" t="s">
        <v>59</v>
      </c>
      <c r="D2760" s="349" t="s">
        <v>271</v>
      </c>
      <c r="E2760" s="336">
        <v>43693</v>
      </c>
      <c r="F2760" s="336">
        <v>43676</v>
      </c>
      <c r="G2760" s="336">
        <v>43688</v>
      </c>
      <c r="H2760" s="334" t="s">
        <v>7145</v>
      </c>
      <c r="I2760" s="356">
        <v>13764065935</v>
      </c>
      <c r="J2760" s="361" t="s">
        <v>7146</v>
      </c>
      <c r="K2760" s="356">
        <v>1000</v>
      </c>
      <c r="L2760" s="334">
        <f>13627-1104</f>
        <v>12523</v>
      </c>
      <c r="M2760" s="334">
        <v>1104</v>
      </c>
      <c r="N2760" s="362">
        <f t="shared" ref="N2760:N2779" si="101">L2760+M2760</f>
        <v>13627</v>
      </c>
      <c r="O2760" s="356"/>
      <c r="P2760" s="366" t="s">
        <v>52</v>
      </c>
      <c r="Q2760" s="356"/>
      <c r="R2760" s="356"/>
      <c r="S2760" s="356"/>
      <c r="T2760" s="356"/>
      <c r="U2760" s="372"/>
      <c r="V2760" s="372"/>
      <c r="W2760" s="372"/>
      <c r="X2760" s="373"/>
      <c r="Y2760" s="348"/>
      <c r="Z2760" s="348"/>
      <c r="AA2760" s="348"/>
    </row>
    <row r="2761" s="331" customFormat="1" ht="17" customHeight="1" spans="1:27">
      <c r="A2761" s="348"/>
      <c r="B2761" s="348" t="s">
        <v>137</v>
      </c>
      <c r="C2761" s="348" t="s">
        <v>406</v>
      </c>
      <c r="D2761" s="349" t="s">
        <v>443</v>
      </c>
      <c r="E2761" s="336">
        <v>43677</v>
      </c>
      <c r="F2761" s="336">
        <v>43676</v>
      </c>
      <c r="G2761" s="350"/>
      <c r="H2761" s="334" t="s">
        <v>7147</v>
      </c>
      <c r="I2761" s="356">
        <v>15021286583</v>
      </c>
      <c r="J2761" s="361" t="s">
        <v>7148</v>
      </c>
      <c r="K2761" s="356">
        <v>500</v>
      </c>
      <c r="L2761" s="419"/>
      <c r="M2761" s="419"/>
      <c r="N2761" s="362">
        <f t="shared" si="101"/>
        <v>0</v>
      </c>
      <c r="O2761" s="356"/>
      <c r="P2761" s="356"/>
      <c r="Q2761" s="356">
        <v>1</v>
      </c>
      <c r="R2761" s="356"/>
      <c r="S2761" s="356"/>
      <c r="T2761" s="356"/>
      <c r="U2761" s="400" t="s">
        <v>7149</v>
      </c>
      <c r="V2761" s="372"/>
      <c r="W2761" s="372"/>
      <c r="X2761" s="373"/>
      <c r="Y2761" s="348"/>
      <c r="Z2761" s="348"/>
      <c r="AA2761" s="348"/>
    </row>
    <row r="2762" s="331" customFormat="1" ht="17" customHeight="1" spans="1:27">
      <c r="A2762" s="550" t="s">
        <v>7150</v>
      </c>
      <c r="B2762" s="348" t="s">
        <v>58</v>
      </c>
      <c r="C2762" s="348" t="s">
        <v>59</v>
      </c>
      <c r="D2762" s="349" t="s">
        <v>271</v>
      </c>
      <c r="E2762" s="336">
        <v>43703</v>
      </c>
      <c r="F2762" s="336">
        <v>43676</v>
      </c>
      <c r="G2762" s="336">
        <v>43700</v>
      </c>
      <c r="H2762" s="334" t="s">
        <v>7151</v>
      </c>
      <c r="I2762" s="356">
        <v>15800868842</v>
      </c>
      <c r="J2762" s="361" t="s">
        <v>7152</v>
      </c>
      <c r="K2762" s="356">
        <f>15000+500</f>
        <v>15500</v>
      </c>
      <c r="L2762" s="334">
        <v>19470</v>
      </c>
      <c r="M2762" s="419"/>
      <c r="N2762" s="362">
        <f t="shared" si="101"/>
        <v>19470</v>
      </c>
      <c r="O2762" s="356"/>
      <c r="P2762" s="366" t="s">
        <v>52</v>
      </c>
      <c r="Q2762" s="356"/>
      <c r="R2762" s="356"/>
      <c r="S2762" s="356"/>
      <c r="T2762" s="356"/>
      <c r="U2762" s="372"/>
      <c r="V2762" s="372"/>
      <c r="W2762" s="372"/>
      <c r="X2762" s="373"/>
      <c r="Y2762" s="348"/>
      <c r="Z2762" s="348"/>
      <c r="AA2762" s="348"/>
    </row>
    <row r="2763" s="331" customFormat="1" ht="17" customHeight="1" spans="1:27">
      <c r="A2763" s="348">
        <v>2066985</v>
      </c>
      <c r="B2763" s="348" t="s">
        <v>66</v>
      </c>
      <c r="C2763" s="348" t="s">
        <v>119</v>
      </c>
      <c r="D2763" s="352" t="s">
        <v>68</v>
      </c>
      <c r="E2763" s="336">
        <v>43677</v>
      </c>
      <c r="F2763" s="336">
        <v>43676</v>
      </c>
      <c r="G2763" s="350"/>
      <c r="H2763" s="334" t="s">
        <v>7153</v>
      </c>
      <c r="I2763" s="356">
        <v>13818693639</v>
      </c>
      <c r="J2763" s="361" t="s">
        <v>7154</v>
      </c>
      <c r="K2763" s="356">
        <v>500</v>
      </c>
      <c r="L2763" s="419"/>
      <c r="M2763" s="419"/>
      <c r="N2763" s="362">
        <f t="shared" si="101"/>
        <v>0</v>
      </c>
      <c r="O2763" s="356"/>
      <c r="P2763" s="356"/>
      <c r="Q2763" s="356" t="s">
        <v>21</v>
      </c>
      <c r="R2763" s="356"/>
      <c r="S2763" s="356"/>
      <c r="T2763" s="356"/>
      <c r="U2763" s="356" t="s">
        <v>12</v>
      </c>
      <c r="V2763" s="372"/>
      <c r="W2763" s="372"/>
      <c r="X2763" s="373"/>
      <c r="Y2763" s="348"/>
      <c r="Z2763" s="348"/>
      <c r="AA2763" s="348"/>
    </row>
    <row r="2764" s="331" customFormat="1" ht="17" customHeight="1" spans="1:27">
      <c r="A2764" s="550" t="s">
        <v>7155</v>
      </c>
      <c r="B2764" s="348" t="s">
        <v>236</v>
      </c>
      <c r="C2764" s="348" t="s">
        <v>703</v>
      </c>
      <c r="D2764" s="352" t="s">
        <v>125</v>
      </c>
      <c r="E2764" s="336">
        <v>43696</v>
      </c>
      <c r="F2764" s="336">
        <v>43676</v>
      </c>
      <c r="G2764" s="336">
        <v>43692</v>
      </c>
      <c r="H2764" s="334" t="s">
        <v>7156</v>
      </c>
      <c r="I2764" s="356">
        <v>13855640308</v>
      </c>
      <c r="J2764" s="361" t="s">
        <v>7157</v>
      </c>
      <c r="K2764" s="356">
        <v>1000</v>
      </c>
      <c r="L2764" s="334">
        <f>6581-804</f>
        <v>5777</v>
      </c>
      <c r="M2764" s="334">
        <v>804</v>
      </c>
      <c r="N2764" s="362">
        <f t="shared" si="101"/>
        <v>6581</v>
      </c>
      <c r="O2764" s="356"/>
      <c r="P2764" s="356"/>
      <c r="Q2764" s="356"/>
      <c r="R2764" s="356"/>
      <c r="S2764" s="356"/>
      <c r="T2764" s="356"/>
      <c r="U2764" s="372"/>
      <c r="V2764" s="372"/>
      <c r="W2764" s="372"/>
      <c r="X2764" s="373"/>
      <c r="Y2764" s="348"/>
      <c r="Z2764" s="348"/>
      <c r="AA2764" s="348"/>
    </row>
    <row r="2765" s="331" customFormat="1" ht="17" customHeight="1" spans="1:27">
      <c r="A2765" s="550" t="s">
        <v>7158</v>
      </c>
      <c r="B2765" s="348" t="s">
        <v>236</v>
      </c>
      <c r="C2765" s="348" t="s">
        <v>703</v>
      </c>
      <c r="D2765" s="352" t="s">
        <v>125</v>
      </c>
      <c r="E2765" s="336">
        <v>43685</v>
      </c>
      <c r="F2765" s="336">
        <v>43676</v>
      </c>
      <c r="G2765" s="336">
        <v>43684</v>
      </c>
      <c r="H2765" s="334" t="s">
        <v>7159</v>
      </c>
      <c r="I2765" s="356">
        <v>13661670788</v>
      </c>
      <c r="J2765" s="361" t="s">
        <v>7160</v>
      </c>
      <c r="K2765" s="356">
        <v>1000</v>
      </c>
      <c r="L2765" s="334">
        <v>8240</v>
      </c>
      <c r="M2765" s="334">
        <v>760</v>
      </c>
      <c r="N2765" s="362">
        <f t="shared" si="101"/>
        <v>9000</v>
      </c>
      <c r="O2765" s="356"/>
      <c r="P2765" s="356"/>
      <c r="Q2765" s="356"/>
      <c r="R2765" s="356"/>
      <c r="S2765" s="356"/>
      <c r="T2765" s="356"/>
      <c r="U2765" s="372"/>
      <c r="V2765" s="372"/>
      <c r="W2765" s="372"/>
      <c r="X2765" s="373"/>
      <c r="Y2765" s="348"/>
      <c r="Z2765" s="348"/>
      <c r="AA2765" s="348"/>
    </row>
    <row r="2766" s="331" customFormat="1" ht="17" customHeight="1" spans="1:27">
      <c r="A2766" s="550" t="s">
        <v>7161</v>
      </c>
      <c r="B2766" s="348" t="s">
        <v>236</v>
      </c>
      <c r="C2766" s="348" t="s">
        <v>195</v>
      </c>
      <c r="D2766" s="349" t="s">
        <v>37</v>
      </c>
      <c r="E2766" s="336">
        <v>43677</v>
      </c>
      <c r="F2766" s="336">
        <v>43675</v>
      </c>
      <c r="G2766" s="350">
        <v>43677</v>
      </c>
      <c r="H2766" s="334" t="s">
        <v>7162</v>
      </c>
      <c r="I2766" s="356">
        <v>13818222153</v>
      </c>
      <c r="J2766" s="361" t="s">
        <v>7163</v>
      </c>
      <c r="K2766" s="356">
        <v>7823</v>
      </c>
      <c r="L2766" s="334">
        <v>7823</v>
      </c>
      <c r="M2766" s="419"/>
      <c r="N2766" s="362">
        <f t="shared" si="101"/>
        <v>7823</v>
      </c>
      <c r="O2766" s="356"/>
      <c r="P2766" s="356"/>
      <c r="Q2766" s="356"/>
      <c r="R2766" s="356"/>
      <c r="S2766" s="356"/>
      <c r="T2766" s="356"/>
      <c r="U2766" s="372"/>
      <c r="V2766" s="372"/>
      <c r="W2766" s="372"/>
      <c r="X2766" s="373"/>
      <c r="Y2766" s="348"/>
      <c r="Z2766" s="348"/>
      <c r="AA2766" s="348"/>
    </row>
    <row r="2767" s="331" customFormat="1" customHeight="1" spans="1:27">
      <c r="A2767" s="550" t="s">
        <v>1325</v>
      </c>
      <c r="B2767" s="348" t="s">
        <v>236</v>
      </c>
      <c r="C2767" s="348" t="s">
        <v>195</v>
      </c>
      <c r="D2767" s="352" t="s">
        <v>237</v>
      </c>
      <c r="E2767" s="336">
        <v>43677</v>
      </c>
      <c r="F2767" s="336">
        <v>43676</v>
      </c>
      <c r="G2767" s="356" t="s">
        <v>69</v>
      </c>
      <c r="H2767" s="334" t="s">
        <v>3201</v>
      </c>
      <c r="I2767" s="356">
        <v>17317464890</v>
      </c>
      <c r="J2767" s="361" t="s">
        <v>7164</v>
      </c>
      <c r="K2767" s="356">
        <v>500</v>
      </c>
      <c r="L2767" s="419"/>
      <c r="M2767" s="419"/>
      <c r="N2767" s="362">
        <f t="shared" si="101"/>
        <v>0</v>
      </c>
      <c r="O2767" s="356"/>
      <c r="P2767" s="356" t="s">
        <v>3729</v>
      </c>
      <c r="Q2767" s="356"/>
      <c r="R2767" s="356"/>
      <c r="S2767" s="356"/>
      <c r="T2767" s="356"/>
      <c r="U2767" s="372"/>
      <c r="V2767" s="372"/>
      <c r="W2767" s="372"/>
      <c r="X2767" s="373"/>
      <c r="Y2767" s="348"/>
      <c r="Z2767" s="348"/>
      <c r="AA2767" s="348"/>
    </row>
    <row r="2768" s="331" customFormat="1" ht="17" customHeight="1" spans="1:27">
      <c r="A2768" s="550" t="s">
        <v>7165</v>
      </c>
      <c r="B2768" s="348" t="s">
        <v>236</v>
      </c>
      <c r="C2768" s="348" t="s">
        <v>195</v>
      </c>
      <c r="D2768" s="349" t="s">
        <v>37</v>
      </c>
      <c r="E2768" s="336">
        <v>43681</v>
      </c>
      <c r="F2768" s="336">
        <v>43676</v>
      </c>
      <c r="G2768" s="336">
        <v>43681</v>
      </c>
      <c r="H2768" s="334" t="s">
        <v>7166</v>
      </c>
      <c r="I2768" s="356">
        <v>18368312557</v>
      </c>
      <c r="J2768" s="361" t="s">
        <v>7167</v>
      </c>
      <c r="K2768" s="356">
        <v>1000</v>
      </c>
      <c r="L2768" s="334">
        <v>4978</v>
      </c>
      <c r="M2768" s="334">
        <v>1803</v>
      </c>
      <c r="N2768" s="362">
        <f t="shared" si="101"/>
        <v>6781</v>
      </c>
      <c r="O2768" s="356"/>
      <c r="P2768" s="356"/>
      <c r="Q2768" s="356"/>
      <c r="R2768" s="356"/>
      <c r="S2768" s="356"/>
      <c r="T2768" s="356"/>
      <c r="U2768" s="372"/>
      <c r="V2768" s="372"/>
      <c r="W2768" s="372"/>
      <c r="X2768" s="373"/>
      <c r="Y2768" s="348"/>
      <c r="Z2768" s="348"/>
      <c r="AA2768" s="348"/>
    </row>
    <row r="2769" s="331" customFormat="1" ht="17" customHeight="1" spans="1:27">
      <c r="A2769" s="348"/>
      <c r="B2769" s="348" t="s">
        <v>137</v>
      </c>
      <c r="C2769" s="348" t="s">
        <v>406</v>
      </c>
      <c r="D2769" s="349" t="s">
        <v>139</v>
      </c>
      <c r="E2769" s="336">
        <v>43677</v>
      </c>
      <c r="F2769" s="336">
        <v>43676</v>
      </c>
      <c r="G2769" s="350">
        <v>43677</v>
      </c>
      <c r="H2769" s="334" t="s">
        <v>7168</v>
      </c>
      <c r="I2769" s="356">
        <v>1370189261</v>
      </c>
      <c r="J2769" s="361" t="s">
        <v>7169</v>
      </c>
      <c r="K2769" s="356">
        <v>30000</v>
      </c>
      <c r="L2769" s="334">
        <v>29868</v>
      </c>
      <c r="M2769" s="419"/>
      <c r="N2769" s="362">
        <f t="shared" si="101"/>
        <v>29868</v>
      </c>
      <c r="O2769" s="356"/>
      <c r="P2769" s="356"/>
      <c r="Q2769" s="356"/>
      <c r="R2769" s="356"/>
      <c r="S2769" s="356"/>
      <c r="T2769" s="356"/>
      <c r="U2769" s="372"/>
      <c r="V2769" s="372"/>
      <c r="W2769" s="372"/>
      <c r="X2769" s="373"/>
      <c r="Y2769" s="348"/>
      <c r="Z2769" s="348"/>
      <c r="AA2769" s="348"/>
    </row>
    <row r="2770" s="331" customFormat="1" ht="17" customHeight="1" spans="1:27">
      <c r="A2770" s="550" t="s">
        <v>7170</v>
      </c>
      <c r="B2770" s="348" t="s">
        <v>153</v>
      </c>
      <c r="C2770" s="348" t="s">
        <v>154</v>
      </c>
      <c r="D2770" s="349" t="s">
        <v>155</v>
      </c>
      <c r="E2770" s="336">
        <v>43677</v>
      </c>
      <c r="F2770" s="336">
        <v>43676</v>
      </c>
      <c r="G2770" s="350">
        <v>43676</v>
      </c>
      <c r="H2770" s="334" t="s">
        <v>7171</v>
      </c>
      <c r="I2770" s="356">
        <v>15901658639</v>
      </c>
      <c r="J2770" s="361" t="s">
        <v>7172</v>
      </c>
      <c r="K2770" s="356">
        <v>10000</v>
      </c>
      <c r="L2770" s="334">
        <v>9993</v>
      </c>
      <c r="M2770" s="419"/>
      <c r="N2770" s="362">
        <f t="shared" si="101"/>
        <v>9993</v>
      </c>
      <c r="O2770" s="356"/>
      <c r="P2770" s="356"/>
      <c r="Q2770" s="356"/>
      <c r="R2770" s="356"/>
      <c r="S2770" s="356"/>
      <c r="T2770" s="356"/>
      <c r="U2770" s="372"/>
      <c r="V2770" s="372"/>
      <c r="W2770" s="372"/>
      <c r="X2770" s="373"/>
      <c r="Y2770" s="348"/>
      <c r="Z2770" s="348"/>
      <c r="AA2770" s="348"/>
    </row>
    <row r="2771" s="331" customFormat="1" ht="17" customHeight="1" spans="1:27">
      <c r="A2771" s="550" t="s">
        <v>7173</v>
      </c>
      <c r="B2771" s="348" t="s">
        <v>123</v>
      </c>
      <c r="C2771" s="334" t="s">
        <v>2301</v>
      </c>
      <c r="D2771" s="352" t="s">
        <v>125</v>
      </c>
      <c r="E2771" s="336">
        <v>43677</v>
      </c>
      <c r="F2771" s="336">
        <v>43676</v>
      </c>
      <c r="G2771" s="350"/>
      <c r="H2771" s="334" t="s">
        <v>7174</v>
      </c>
      <c r="I2771" s="356">
        <v>13816020218</v>
      </c>
      <c r="J2771" s="361" t="s">
        <v>7175</v>
      </c>
      <c r="K2771" s="356">
        <v>500</v>
      </c>
      <c r="L2771" s="419"/>
      <c r="M2771" s="419"/>
      <c r="N2771" s="362">
        <f t="shared" si="101"/>
        <v>0</v>
      </c>
      <c r="O2771" s="356"/>
      <c r="P2771" s="356"/>
      <c r="Q2771" s="356"/>
      <c r="R2771" s="356"/>
      <c r="S2771" s="356"/>
      <c r="T2771" s="356"/>
      <c r="U2771" s="336" t="s">
        <v>40</v>
      </c>
      <c r="V2771" s="372"/>
      <c r="W2771" s="372"/>
      <c r="X2771" s="373"/>
      <c r="Y2771" s="348"/>
      <c r="Z2771" s="348"/>
      <c r="AA2771" s="348"/>
    </row>
    <row r="2772" s="331" customFormat="1" ht="17" customHeight="1" spans="1:27">
      <c r="A2772" s="348"/>
      <c r="B2772" s="348" t="s">
        <v>137</v>
      </c>
      <c r="C2772" s="348" t="s">
        <v>406</v>
      </c>
      <c r="D2772" s="349" t="s">
        <v>443</v>
      </c>
      <c r="E2772" s="336">
        <v>43677</v>
      </c>
      <c r="F2772" s="336">
        <v>43676</v>
      </c>
      <c r="G2772" s="350"/>
      <c r="H2772" s="334" t="s">
        <v>7176</v>
      </c>
      <c r="I2772" s="356">
        <v>15821390524</v>
      </c>
      <c r="J2772" s="361" t="s">
        <v>7177</v>
      </c>
      <c r="K2772" s="356">
        <v>500</v>
      </c>
      <c r="L2772" s="419"/>
      <c r="M2772" s="419"/>
      <c r="N2772" s="362">
        <f t="shared" si="101"/>
        <v>0</v>
      </c>
      <c r="O2772" s="356"/>
      <c r="P2772" s="356"/>
      <c r="Q2772" s="356"/>
      <c r="R2772" s="356">
        <v>1</v>
      </c>
      <c r="S2772" s="356"/>
      <c r="T2772" s="356"/>
      <c r="U2772" s="393" t="s">
        <v>40</v>
      </c>
      <c r="V2772" s="372"/>
      <c r="W2772" s="372"/>
      <c r="X2772" s="373"/>
      <c r="Y2772" s="348"/>
      <c r="Z2772" s="348"/>
      <c r="AA2772" s="348"/>
    </row>
    <row r="2773" s="331" customFormat="1" ht="17" customHeight="1" spans="1:27">
      <c r="A2773" s="348"/>
      <c r="B2773" s="348" t="s">
        <v>137</v>
      </c>
      <c r="C2773" s="348" t="s">
        <v>406</v>
      </c>
      <c r="D2773" s="334" t="s">
        <v>427</v>
      </c>
      <c r="E2773" s="336">
        <v>43719</v>
      </c>
      <c r="F2773" s="336">
        <v>43676</v>
      </c>
      <c r="G2773" s="336">
        <v>43719</v>
      </c>
      <c r="H2773" s="334" t="s">
        <v>7178</v>
      </c>
      <c r="I2773" s="356">
        <v>13901999257</v>
      </c>
      <c r="J2773" s="361" t="s">
        <v>7179</v>
      </c>
      <c r="K2773" s="356">
        <v>500</v>
      </c>
      <c r="L2773" s="334">
        <v>18518</v>
      </c>
      <c r="M2773" s="419"/>
      <c r="N2773" s="362">
        <f t="shared" si="101"/>
        <v>18518</v>
      </c>
      <c r="O2773" s="356"/>
      <c r="P2773" s="356"/>
      <c r="Q2773" s="356">
        <v>1</v>
      </c>
      <c r="R2773" s="356"/>
      <c r="S2773" s="356"/>
      <c r="T2773" s="356"/>
      <c r="U2773" s="372"/>
      <c r="V2773" s="372"/>
      <c r="W2773" s="372"/>
      <c r="X2773" s="373"/>
      <c r="Y2773" s="348"/>
      <c r="Z2773" s="348"/>
      <c r="AA2773" s="348"/>
    </row>
    <row r="2774" s="331" customFormat="1" ht="15" customHeight="1" spans="1:27">
      <c r="A2774" s="550" t="s">
        <v>7180</v>
      </c>
      <c r="B2774" s="348" t="s">
        <v>58</v>
      </c>
      <c r="C2774" s="348" t="s">
        <v>347</v>
      </c>
      <c r="D2774" s="352" t="s">
        <v>343</v>
      </c>
      <c r="E2774" s="336">
        <v>43677</v>
      </c>
      <c r="F2774" s="336">
        <v>43676</v>
      </c>
      <c r="G2774" s="355" t="s">
        <v>7181</v>
      </c>
      <c r="H2774" s="334" t="s">
        <v>7182</v>
      </c>
      <c r="I2774" s="356">
        <v>18121168177</v>
      </c>
      <c r="J2774" s="361" t="s">
        <v>7183</v>
      </c>
      <c r="K2774" s="356">
        <v>500</v>
      </c>
      <c r="L2774" s="419"/>
      <c r="M2774" s="419"/>
      <c r="N2774" s="362">
        <f t="shared" si="101"/>
        <v>0</v>
      </c>
      <c r="O2774" s="356"/>
      <c r="P2774" s="356"/>
      <c r="Q2774" s="356"/>
      <c r="R2774" s="366" t="s">
        <v>52</v>
      </c>
      <c r="S2774" s="356"/>
      <c r="T2774" s="356"/>
      <c r="U2774" s="372"/>
      <c r="V2774" s="372"/>
      <c r="W2774" s="372"/>
      <c r="X2774" s="373"/>
      <c r="Y2774" s="348"/>
      <c r="Z2774" s="348"/>
      <c r="AA2774" s="348"/>
    </row>
    <row r="2775" s="331" customFormat="1" ht="17" customHeight="1" spans="1:27">
      <c r="A2775" s="348"/>
      <c r="B2775" s="348" t="s">
        <v>315</v>
      </c>
      <c r="C2775" s="348" t="s">
        <v>722</v>
      </c>
      <c r="D2775" s="334" t="s">
        <v>1431</v>
      </c>
      <c r="E2775" s="336">
        <v>43808</v>
      </c>
      <c r="F2775" s="336">
        <v>43676</v>
      </c>
      <c r="G2775" s="336">
        <v>43808</v>
      </c>
      <c r="H2775" s="334" t="s">
        <v>7184</v>
      </c>
      <c r="I2775" s="356">
        <v>13918421116</v>
      </c>
      <c r="J2775" s="361" t="s">
        <v>7185</v>
      </c>
      <c r="K2775" s="356">
        <v>500</v>
      </c>
      <c r="L2775" s="334">
        <v>3994</v>
      </c>
      <c r="M2775" s="419"/>
      <c r="N2775" s="362">
        <f t="shared" si="101"/>
        <v>3994</v>
      </c>
      <c r="O2775" s="356"/>
      <c r="P2775" s="356"/>
      <c r="Q2775" s="356"/>
      <c r="R2775" s="356">
        <v>1</v>
      </c>
      <c r="S2775" s="356"/>
      <c r="T2775" s="356"/>
      <c r="U2775" s="372"/>
      <c r="V2775" s="372"/>
      <c r="W2775" s="372"/>
      <c r="X2775" s="373"/>
      <c r="Y2775" s="348"/>
      <c r="Z2775" s="348"/>
      <c r="AA2775" s="348"/>
    </row>
    <row r="2776" s="331" customFormat="1" ht="17" customHeight="1" spans="1:27">
      <c r="A2776" s="348"/>
      <c r="B2776" s="348" t="s">
        <v>31</v>
      </c>
      <c r="C2776" s="348" t="s">
        <v>32</v>
      </c>
      <c r="D2776" s="334" t="s">
        <v>221</v>
      </c>
      <c r="E2776" s="336">
        <v>43792</v>
      </c>
      <c r="F2776" s="336">
        <v>43676</v>
      </c>
      <c r="G2776" s="336">
        <v>43792</v>
      </c>
      <c r="H2776" s="334" t="s">
        <v>7186</v>
      </c>
      <c r="I2776" s="356">
        <v>13764462189</v>
      </c>
      <c r="J2776" s="361" t="s">
        <v>7187</v>
      </c>
      <c r="K2776" s="356">
        <v>500</v>
      </c>
      <c r="L2776" s="334">
        <v>4026</v>
      </c>
      <c r="M2776" s="419"/>
      <c r="N2776" s="362">
        <f t="shared" si="101"/>
        <v>4026</v>
      </c>
      <c r="O2776" s="356"/>
      <c r="P2776" s="356"/>
      <c r="Q2776" s="356"/>
      <c r="R2776" s="356"/>
      <c r="S2776" s="356"/>
      <c r="T2776" s="356"/>
      <c r="U2776" s="372"/>
      <c r="V2776" s="372"/>
      <c r="W2776" s="372"/>
      <c r="X2776" s="373"/>
      <c r="Y2776" s="348"/>
      <c r="Z2776" s="348"/>
      <c r="AA2776" s="348"/>
    </row>
    <row r="2777" s="331" customFormat="1" ht="17" customHeight="1" spans="1:27">
      <c r="A2777" s="550" t="s">
        <v>7188</v>
      </c>
      <c r="B2777" s="348" t="s">
        <v>315</v>
      </c>
      <c r="C2777" s="348" t="s">
        <v>161</v>
      </c>
      <c r="D2777" s="352" t="s">
        <v>162</v>
      </c>
      <c r="E2777" s="336">
        <v>43707</v>
      </c>
      <c r="F2777" s="336">
        <v>43676</v>
      </c>
      <c r="G2777" s="336">
        <v>43707</v>
      </c>
      <c r="H2777" s="334" t="s">
        <v>7189</v>
      </c>
      <c r="I2777" s="356">
        <v>15900816473</v>
      </c>
      <c r="J2777" s="361" t="s">
        <v>7190</v>
      </c>
      <c r="K2777" s="356">
        <v>500</v>
      </c>
      <c r="L2777" s="334">
        <v>28612</v>
      </c>
      <c r="M2777" s="419">
        <v>0</v>
      </c>
      <c r="N2777" s="362">
        <f t="shared" si="101"/>
        <v>28612</v>
      </c>
      <c r="O2777" s="356"/>
      <c r="P2777" s="356"/>
      <c r="Q2777" s="356"/>
      <c r="R2777" s="356"/>
      <c r="S2777" s="356">
        <v>1</v>
      </c>
      <c r="T2777" s="356"/>
      <c r="U2777" s="372"/>
      <c r="V2777" s="372"/>
      <c r="W2777" s="372"/>
      <c r="X2777" s="373"/>
      <c r="Y2777" s="348"/>
      <c r="Z2777" s="348"/>
      <c r="AA2777" s="348"/>
    </row>
    <row r="2778" s="331" customFormat="1" ht="17" customHeight="1" spans="1:27">
      <c r="A2778" s="550" t="s">
        <v>7191</v>
      </c>
      <c r="B2778" s="348" t="s">
        <v>315</v>
      </c>
      <c r="C2778" s="348" t="s">
        <v>275</v>
      </c>
      <c r="D2778" s="352" t="s">
        <v>162</v>
      </c>
      <c r="E2778" s="336">
        <v>43706</v>
      </c>
      <c r="F2778" s="336">
        <v>43676</v>
      </c>
      <c r="G2778" s="336">
        <v>43705</v>
      </c>
      <c r="H2778" s="334" t="s">
        <v>7192</v>
      </c>
      <c r="I2778" s="356">
        <v>13501978087</v>
      </c>
      <c r="J2778" s="361" t="s">
        <v>7193</v>
      </c>
      <c r="K2778" s="356">
        <v>500</v>
      </c>
      <c r="L2778" s="334">
        <v>14260</v>
      </c>
      <c r="M2778" s="334">
        <v>380</v>
      </c>
      <c r="N2778" s="362">
        <f t="shared" si="101"/>
        <v>14640</v>
      </c>
      <c r="O2778" s="356"/>
      <c r="P2778" s="356"/>
      <c r="Q2778" s="356">
        <v>1</v>
      </c>
      <c r="R2778" s="356"/>
      <c r="S2778" s="356"/>
      <c r="T2778" s="356"/>
      <c r="U2778" s="372"/>
      <c r="V2778" s="372"/>
      <c r="W2778" s="372"/>
      <c r="X2778" s="373"/>
      <c r="Y2778" s="348"/>
      <c r="Z2778" s="348"/>
      <c r="AA2778" s="348"/>
    </row>
    <row r="2779" s="331" customFormat="1" ht="17" customHeight="1" spans="1:27">
      <c r="A2779" s="550" t="s">
        <v>7194</v>
      </c>
      <c r="B2779" s="348" t="s">
        <v>31</v>
      </c>
      <c r="C2779" s="348" t="s">
        <v>251</v>
      </c>
      <c r="D2779" s="352" t="s">
        <v>33</v>
      </c>
      <c r="E2779" s="336">
        <v>43707</v>
      </c>
      <c r="F2779" s="336">
        <v>43676</v>
      </c>
      <c r="G2779" s="336">
        <v>43707</v>
      </c>
      <c r="H2779" s="334" t="s">
        <v>7195</v>
      </c>
      <c r="I2779" s="356">
        <v>13611868998</v>
      </c>
      <c r="J2779" s="361" t="s">
        <v>7196</v>
      </c>
      <c r="K2779" s="356">
        <v>500</v>
      </c>
      <c r="L2779" s="334">
        <v>12000</v>
      </c>
      <c r="M2779" s="419"/>
      <c r="N2779" s="362">
        <f t="shared" si="101"/>
        <v>12000</v>
      </c>
      <c r="O2779" s="356"/>
      <c r="P2779" s="356"/>
      <c r="Q2779" s="366" t="s">
        <v>52</v>
      </c>
      <c r="R2779" s="356"/>
      <c r="S2779" s="356"/>
      <c r="T2779" s="356"/>
      <c r="U2779" s="372"/>
      <c r="V2779" s="372"/>
      <c r="W2779" s="372"/>
      <c r="X2779" s="373"/>
      <c r="Y2779" s="348"/>
      <c r="Z2779" s="348"/>
      <c r="AA2779" s="348"/>
    </row>
    <row r="2780" s="331" customFormat="1" ht="17" customHeight="1" spans="1:27">
      <c r="A2780" s="550" t="s">
        <v>7197</v>
      </c>
      <c r="B2780" s="348" t="s">
        <v>31</v>
      </c>
      <c r="C2780" s="348" t="s">
        <v>419</v>
      </c>
      <c r="D2780" s="352" t="s">
        <v>221</v>
      </c>
      <c r="E2780" s="336">
        <v>43719</v>
      </c>
      <c r="F2780" s="336">
        <v>43676</v>
      </c>
      <c r="G2780" s="336">
        <v>43719</v>
      </c>
      <c r="H2780" s="334" t="s">
        <v>7198</v>
      </c>
      <c r="I2780" s="356">
        <v>13764456285</v>
      </c>
      <c r="J2780" s="361" t="s">
        <v>7199</v>
      </c>
      <c r="K2780" s="356">
        <v>500</v>
      </c>
      <c r="L2780" s="334">
        <f>15072-804</f>
        <v>14268</v>
      </c>
      <c r="M2780" s="334">
        <v>804</v>
      </c>
      <c r="N2780" s="362">
        <f t="shared" ref="N2780:N2793" si="102">L2780+M2780</f>
        <v>15072</v>
      </c>
      <c r="O2780" s="366" t="s">
        <v>52</v>
      </c>
      <c r="P2780" s="356"/>
      <c r="Q2780" s="356"/>
      <c r="R2780" s="356"/>
      <c r="S2780" s="356"/>
      <c r="T2780" s="356"/>
      <c r="U2780" s="372"/>
      <c r="V2780" s="372"/>
      <c r="W2780" s="372"/>
      <c r="X2780" s="373"/>
      <c r="Y2780" s="348"/>
      <c r="Z2780" s="348"/>
      <c r="AA2780" s="348"/>
    </row>
    <row r="2781" s="331" customFormat="1" ht="17" customHeight="1" spans="1:27">
      <c r="A2781" s="348">
        <v>2068598</v>
      </c>
      <c r="B2781" s="348" t="s">
        <v>87</v>
      </c>
      <c r="C2781" s="348" t="s">
        <v>199</v>
      </c>
      <c r="D2781" s="352" t="s">
        <v>89</v>
      </c>
      <c r="E2781" s="336">
        <v>43677</v>
      </c>
      <c r="F2781" s="336">
        <v>43676</v>
      </c>
      <c r="G2781" s="350"/>
      <c r="H2781" s="334" t="s">
        <v>7200</v>
      </c>
      <c r="I2781" s="356">
        <v>18616117315</v>
      </c>
      <c r="J2781" s="361" t="s">
        <v>7201</v>
      </c>
      <c r="K2781" s="356">
        <v>500</v>
      </c>
      <c r="L2781" s="419"/>
      <c r="M2781" s="419"/>
      <c r="N2781" s="362">
        <f t="shared" si="102"/>
        <v>0</v>
      </c>
      <c r="O2781" s="411" t="s">
        <v>52</v>
      </c>
      <c r="P2781" s="356"/>
      <c r="Q2781" s="356"/>
      <c r="R2781" s="356"/>
      <c r="S2781" s="356"/>
      <c r="T2781" s="356"/>
      <c r="U2781" s="415" t="s">
        <v>40</v>
      </c>
      <c r="V2781" s="372"/>
      <c r="W2781" s="372"/>
      <c r="X2781" s="373"/>
      <c r="Y2781" s="348"/>
      <c r="Z2781" s="348"/>
      <c r="AA2781" s="348"/>
    </row>
    <row r="2782" s="331" customFormat="1" ht="15" customHeight="1" spans="1:27">
      <c r="A2782" s="348"/>
      <c r="B2782" s="348" t="s">
        <v>405</v>
      </c>
      <c r="C2782" s="348" t="s">
        <v>1234</v>
      </c>
      <c r="D2782" s="352" t="s">
        <v>407</v>
      </c>
      <c r="E2782" s="336">
        <v>43795</v>
      </c>
      <c r="F2782" s="336">
        <v>43676</v>
      </c>
      <c r="G2782" s="336">
        <v>43795</v>
      </c>
      <c r="H2782" s="334" t="s">
        <v>7202</v>
      </c>
      <c r="I2782" s="356">
        <v>13817498281</v>
      </c>
      <c r="J2782" s="361" t="s">
        <v>7203</v>
      </c>
      <c r="K2782" s="356">
        <v>500</v>
      </c>
      <c r="L2782" s="334">
        <v>13200</v>
      </c>
      <c r="M2782" s="419"/>
      <c r="N2782" s="362">
        <f t="shared" si="102"/>
        <v>13200</v>
      </c>
      <c r="O2782" s="356" t="s">
        <v>52</v>
      </c>
      <c r="P2782" s="356"/>
      <c r="Q2782" s="356"/>
      <c r="R2782" s="356"/>
      <c r="S2782" s="356"/>
      <c r="T2782" s="356"/>
      <c r="U2782" s="372"/>
      <c r="V2782" s="372"/>
      <c r="W2782" s="372"/>
      <c r="X2782" s="373"/>
      <c r="Y2782" s="348"/>
      <c r="Z2782" s="348"/>
      <c r="AA2782" s="348"/>
    </row>
    <row r="2783" s="331" customFormat="1" ht="17" customHeight="1" spans="1:27">
      <c r="A2783" s="348">
        <v>2023532</v>
      </c>
      <c r="B2783" s="348" t="s">
        <v>185</v>
      </c>
      <c r="C2783" s="348" t="s">
        <v>186</v>
      </c>
      <c r="D2783" s="349" t="s">
        <v>44</v>
      </c>
      <c r="E2783" s="336">
        <v>43679</v>
      </c>
      <c r="F2783" s="336">
        <v>43676</v>
      </c>
      <c r="G2783" s="336">
        <v>43679</v>
      </c>
      <c r="H2783" s="334" t="s">
        <v>7204</v>
      </c>
      <c r="I2783" s="356">
        <v>15900485204</v>
      </c>
      <c r="J2783" s="361" t="s">
        <v>7205</v>
      </c>
      <c r="K2783" s="356">
        <v>1000</v>
      </c>
      <c r="L2783" s="334">
        <v>6858</v>
      </c>
      <c r="M2783" s="419">
        <f>1267+804</f>
        <v>2071</v>
      </c>
      <c r="N2783" s="362">
        <f t="shared" si="102"/>
        <v>8929</v>
      </c>
      <c r="O2783" s="356"/>
      <c r="P2783" s="356"/>
      <c r="Q2783" s="356"/>
      <c r="R2783" s="356"/>
      <c r="S2783" s="356"/>
      <c r="T2783" s="356"/>
      <c r="U2783" s="372"/>
      <c r="V2783" s="372"/>
      <c r="W2783" s="372"/>
      <c r="X2783" s="373"/>
      <c r="Y2783" s="348"/>
      <c r="Z2783" s="348"/>
      <c r="AA2783" s="348"/>
    </row>
    <row r="2784" s="331" customFormat="1" ht="17" customHeight="1" spans="1:27">
      <c r="A2784" s="550" t="s">
        <v>752</v>
      </c>
      <c r="B2784" s="348" t="s">
        <v>153</v>
      </c>
      <c r="C2784" s="348" t="s">
        <v>302</v>
      </c>
      <c r="D2784" s="352" t="s">
        <v>155</v>
      </c>
      <c r="E2784" s="336">
        <v>43733</v>
      </c>
      <c r="F2784" s="336">
        <v>43676</v>
      </c>
      <c r="G2784" s="336">
        <v>43732</v>
      </c>
      <c r="H2784" s="334" t="s">
        <v>7206</v>
      </c>
      <c r="I2784" s="356">
        <v>13472678873</v>
      </c>
      <c r="J2784" s="361" t="s">
        <v>7207</v>
      </c>
      <c r="K2784" s="356">
        <v>500</v>
      </c>
      <c r="L2784" s="334">
        <v>12821</v>
      </c>
      <c r="M2784" s="419"/>
      <c r="N2784" s="362">
        <f t="shared" si="102"/>
        <v>12821</v>
      </c>
      <c r="O2784" s="356"/>
      <c r="P2784" s="356"/>
      <c r="Q2784" s="356"/>
      <c r="R2784" s="356"/>
      <c r="S2784" s="356"/>
      <c r="T2784" s="356"/>
      <c r="U2784" s="372"/>
      <c r="V2784" s="372" t="s">
        <v>1328</v>
      </c>
      <c r="W2784" s="372"/>
      <c r="X2784" s="373"/>
      <c r="Y2784" s="348"/>
      <c r="Z2784" s="348"/>
      <c r="AA2784" s="348"/>
    </row>
    <row r="2785" s="331" customFormat="1" ht="17" customHeight="1" spans="1:27">
      <c r="A2785" s="348">
        <v>2068586</v>
      </c>
      <c r="B2785" s="348" t="s">
        <v>87</v>
      </c>
      <c r="C2785" s="348" t="s">
        <v>466</v>
      </c>
      <c r="D2785" s="352" t="s">
        <v>89</v>
      </c>
      <c r="E2785" s="336">
        <v>43704</v>
      </c>
      <c r="F2785" s="336">
        <v>43676</v>
      </c>
      <c r="G2785" s="336">
        <v>43702</v>
      </c>
      <c r="H2785" s="334" t="s">
        <v>7208</v>
      </c>
      <c r="I2785" s="356">
        <v>13817138599</v>
      </c>
      <c r="J2785" s="361" t="s">
        <v>7209</v>
      </c>
      <c r="K2785" s="356">
        <v>500</v>
      </c>
      <c r="L2785" s="334">
        <v>15740</v>
      </c>
      <c r="M2785" s="419"/>
      <c r="N2785" s="362">
        <f t="shared" si="102"/>
        <v>15740</v>
      </c>
      <c r="O2785" s="356"/>
      <c r="P2785" s="356"/>
      <c r="Q2785" s="411" t="s">
        <v>52</v>
      </c>
      <c r="R2785" s="356"/>
      <c r="S2785" s="356"/>
      <c r="T2785" s="356"/>
      <c r="U2785" s="372"/>
      <c r="V2785" s="372"/>
      <c r="W2785" s="372"/>
      <c r="X2785" s="373"/>
      <c r="Y2785" s="348"/>
      <c r="Z2785" s="348"/>
      <c r="AA2785" s="348"/>
    </row>
    <row r="2786" s="331" customFormat="1" ht="17" customHeight="1" spans="1:27">
      <c r="A2786" s="348">
        <v>2068593</v>
      </c>
      <c r="B2786" s="348" t="s">
        <v>87</v>
      </c>
      <c r="C2786" s="348" t="s">
        <v>466</v>
      </c>
      <c r="D2786" s="352" t="s">
        <v>89</v>
      </c>
      <c r="E2786" s="336">
        <v>43686</v>
      </c>
      <c r="F2786" s="336">
        <v>43676</v>
      </c>
      <c r="G2786" s="336">
        <v>43686</v>
      </c>
      <c r="H2786" s="334" t="s">
        <v>5069</v>
      </c>
      <c r="I2786" s="356">
        <v>13601987601</v>
      </c>
      <c r="J2786" s="361" t="s">
        <v>7210</v>
      </c>
      <c r="K2786" s="356">
        <v>500</v>
      </c>
      <c r="L2786" s="334">
        <v>4635</v>
      </c>
      <c r="M2786" s="334">
        <v>804</v>
      </c>
      <c r="N2786" s="362">
        <f t="shared" si="102"/>
        <v>5439</v>
      </c>
      <c r="O2786" s="356"/>
      <c r="P2786" s="356"/>
      <c r="Q2786" s="411"/>
      <c r="R2786" s="356"/>
      <c r="S2786" s="356"/>
      <c r="T2786" s="356"/>
      <c r="U2786" s="372"/>
      <c r="V2786" s="356" t="s">
        <v>98</v>
      </c>
      <c r="W2786" s="372"/>
      <c r="X2786" s="373"/>
      <c r="Y2786" s="348"/>
      <c r="Z2786" s="348"/>
      <c r="AA2786" s="348"/>
    </row>
    <row r="2787" s="331" customFormat="1" ht="17" customHeight="1" spans="1:27">
      <c r="A2787" s="550" t="s">
        <v>7211</v>
      </c>
      <c r="B2787" s="348" t="s">
        <v>31</v>
      </c>
      <c r="C2787" s="348" t="s">
        <v>2716</v>
      </c>
      <c r="D2787" s="352" t="s">
        <v>33</v>
      </c>
      <c r="E2787" s="336">
        <v>43677</v>
      </c>
      <c r="F2787" s="336">
        <v>43677</v>
      </c>
      <c r="G2787" s="350"/>
      <c r="H2787" s="334" t="s">
        <v>7212</v>
      </c>
      <c r="I2787" s="356">
        <v>13641609128</v>
      </c>
      <c r="J2787" s="361" t="s">
        <v>7213</v>
      </c>
      <c r="K2787" s="356">
        <v>500</v>
      </c>
      <c r="L2787" s="419"/>
      <c r="M2787" s="419"/>
      <c r="N2787" s="362">
        <f t="shared" si="102"/>
        <v>0</v>
      </c>
      <c r="O2787" s="356"/>
      <c r="P2787" s="356"/>
      <c r="Q2787" s="356"/>
      <c r="R2787" s="356"/>
      <c r="S2787" s="356"/>
      <c r="T2787" s="356"/>
      <c r="U2787" s="372">
        <v>8.1</v>
      </c>
      <c r="V2787" s="372"/>
      <c r="W2787" s="372"/>
      <c r="X2787" s="373"/>
      <c r="Y2787" s="348"/>
      <c r="Z2787" s="348"/>
      <c r="AA2787" s="348"/>
    </row>
    <row r="2788" s="331" customFormat="1" ht="17" customHeight="1" spans="1:27">
      <c r="A2788" s="550" t="s">
        <v>7214</v>
      </c>
      <c r="B2788" s="348" t="s">
        <v>31</v>
      </c>
      <c r="C2788" s="348" t="s">
        <v>2716</v>
      </c>
      <c r="D2788" s="352" t="s">
        <v>33</v>
      </c>
      <c r="E2788" s="336">
        <v>43708</v>
      </c>
      <c r="F2788" s="336">
        <v>43677</v>
      </c>
      <c r="G2788" s="336">
        <v>43708</v>
      </c>
      <c r="H2788" s="334" t="s">
        <v>7215</v>
      </c>
      <c r="I2788" s="356">
        <v>15216873027</v>
      </c>
      <c r="J2788" s="367" t="s">
        <v>7216</v>
      </c>
      <c r="K2788" s="356">
        <v>500</v>
      </c>
      <c r="L2788" s="334">
        <v>9963</v>
      </c>
      <c r="M2788" s="419"/>
      <c r="N2788" s="362">
        <f t="shared" si="102"/>
        <v>9963</v>
      </c>
      <c r="O2788" s="356"/>
      <c r="P2788" s="356"/>
      <c r="Q2788" s="356"/>
      <c r="R2788" s="366" t="s">
        <v>52</v>
      </c>
      <c r="S2788" s="356"/>
      <c r="T2788" s="356"/>
      <c r="U2788" s="372"/>
      <c r="V2788" s="372"/>
      <c r="W2788" s="372"/>
      <c r="X2788" s="373"/>
      <c r="Y2788" s="348"/>
      <c r="Z2788" s="348"/>
      <c r="AA2788" s="348"/>
    </row>
    <row r="2789" s="331" customFormat="1" ht="17" customHeight="1" spans="1:27">
      <c r="A2789" s="550" t="s">
        <v>7217</v>
      </c>
      <c r="B2789" s="348" t="s">
        <v>31</v>
      </c>
      <c r="C2789" s="348" t="s">
        <v>2716</v>
      </c>
      <c r="D2789" s="352" t="s">
        <v>33</v>
      </c>
      <c r="E2789" s="336">
        <v>43677</v>
      </c>
      <c r="F2789" s="336">
        <v>43677</v>
      </c>
      <c r="G2789" s="350"/>
      <c r="H2789" s="334" t="s">
        <v>7218</v>
      </c>
      <c r="I2789" s="356">
        <v>13916359911</v>
      </c>
      <c r="J2789" s="361" t="s">
        <v>7219</v>
      </c>
      <c r="K2789" s="356">
        <v>500</v>
      </c>
      <c r="L2789" s="419"/>
      <c r="M2789" s="419"/>
      <c r="N2789" s="362">
        <f t="shared" si="102"/>
        <v>0</v>
      </c>
      <c r="O2789" s="356"/>
      <c r="P2789" s="356"/>
      <c r="Q2789" s="366" t="s">
        <v>52</v>
      </c>
      <c r="R2789" s="356"/>
      <c r="S2789" s="356"/>
      <c r="T2789" s="356"/>
      <c r="U2789" s="372" t="s">
        <v>12</v>
      </c>
      <c r="V2789" s="372"/>
      <c r="W2789" s="372"/>
      <c r="X2789" s="373"/>
      <c r="Y2789" s="348"/>
      <c r="Z2789" s="348"/>
      <c r="AA2789" s="348"/>
    </row>
    <row r="2790" s="331" customFormat="1" ht="17" customHeight="1" spans="1:27">
      <c r="A2790" s="550" t="s">
        <v>7220</v>
      </c>
      <c r="B2790" s="348" t="s">
        <v>31</v>
      </c>
      <c r="C2790" s="348" t="s">
        <v>2716</v>
      </c>
      <c r="D2790" s="334" t="s">
        <v>221</v>
      </c>
      <c r="E2790" s="336">
        <v>43717</v>
      </c>
      <c r="F2790" s="336">
        <v>43677</v>
      </c>
      <c r="G2790" s="336">
        <v>43716</v>
      </c>
      <c r="H2790" s="334" t="s">
        <v>7221</v>
      </c>
      <c r="I2790" s="356">
        <v>18917852711</v>
      </c>
      <c r="J2790" s="361" t="s">
        <v>7222</v>
      </c>
      <c r="K2790" s="356">
        <v>500</v>
      </c>
      <c r="L2790" s="334">
        <v>11600</v>
      </c>
      <c r="M2790" s="419"/>
      <c r="N2790" s="362">
        <f t="shared" si="102"/>
        <v>11600</v>
      </c>
      <c r="O2790" s="356"/>
      <c r="P2790" s="356"/>
      <c r="Q2790" s="356"/>
      <c r="R2790" s="366" t="s">
        <v>52</v>
      </c>
      <c r="S2790" s="356"/>
      <c r="T2790" s="356"/>
      <c r="U2790" s="372"/>
      <c r="V2790" s="372"/>
      <c r="W2790" s="372"/>
      <c r="X2790" s="373"/>
      <c r="Y2790" s="348"/>
      <c r="Z2790" s="348"/>
      <c r="AA2790" s="348"/>
    </row>
    <row r="2791" s="331" customFormat="1" ht="17" customHeight="1" spans="1:27">
      <c r="A2791" s="550" t="s">
        <v>7223</v>
      </c>
      <c r="B2791" s="348" t="s">
        <v>31</v>
      </c>
      <c r="C2791" s="348" t="s">
        <v>2716</v>
      </c>
      <c r="D2791" s="352" t="s">
        <v>33</v>
      </c>
      <c r="E2791" s="336">
        <v>43794</v>
      </c>
      <c r="F2791" s="336">
        <v>43677</v>
      </c>
      <c r="G2791" s="336">
        <v>43793</v>
      </c>
      <c r="H2791" s="334" t="s">
        <v>7224</v>
      </c>
      <c r="I2791" s="356">
        <v>15802108371</v>
      </c>
      <c r="J2791" s="361" t="s">
        <v>7225</v>
      </c>
      <c r="K2791" s="356">
        <v>500</v>
      </c>
      <c r="L2791" s="334">
        <v>24322</v>
      </c>
      <c r="M2791" s="419"/>
      <c r="N2791" s="362">
        <f t="shared" si="102"/>
        <v>24322</v>
      </c>
      <c r="O2791" s="366" t="s">
        <v>52</v>
      </c>
      <c r="P2791" s="356"/>
      <c r="Q2791" s="356"/>
      <c r="R2791" s="356"/>
      <c r="S2791" s="356"/>
      <c r="T2791" s="356"/>
      <c r="U2791" s="372"/>
      <c r="V2791" s="372"/>
      <c r="W2791" s="372"/>
      <c r="X2791" s="373"/>
      <c r="Y2791" s="348"/>
      <c r="Z2791" s="348"/>
      <c r="AA2791" s="348"/>
    </row>
    <row r="2792" s="331" customFormat="1" ht="17" customHeight="1" spans="1:27">
      <c r="A2792" s="550" t="s">
        <v>7226</v>
      </c>
      <c r="B2792" s="348" t="s">
        <v>35</v>
      </c>
      <c r="C2792" s="348" t="s">
        <v>328</v>
      </c>
      <c r="D2792" s="352" t="s">
        <v>37</v>
      </c>
      <c r="E2792" s="336">
        <v>43677</v>
      </c>
      <c r="F2792" s="336">
        <v>43676</v>
      </c>
      <c r="G2792" s="350"/>
      <c r="H2792" s="334" t="s">
        <v>7227</v>
      </c>
      <c r="I2792" s="356">
        <v>15320088907</v>
      </c>
      <c r="J2792" s="361" t="s">
        <v>7228</v>
      </c>
      <c r="K2792" s="356">
        <v>500</v>
      </c>
      <c r="L2792" s="419"/>
      <c r="M2792" s="419"/>
      <c r="N2792" s="362">
        <f t="shared" si="102"/>
        <v>0</v>
      </c>
      <c r="O2792" s="356" t="s">
        <v>52</v>
      </c>
      <c r="P2792" s="356"/>
      <c r="Q2792" s="356"/>
      <c r="R2792" s="356"/>
      <c r="S2792" s="356"/>
      <c r="T2792" s="356"/>
      <c r="U2792" s="336" t="s">
        <v>40</v>
      </c>
      <c r="V2792" s="372"/>
      <c r="W2792" s="372"/>
      <c r="X2792" s="373"/>
      <c r="Y2792" s="348"/>
      <c r="Z2792" s="348"/>
      <c r="AA2792" s="348"/>
    </row>
    <row r="2793" s="331" customFormat="1" ht="17" customHeight="1" spans="1:27">
      <c r="A2793" s="550" t="s">
        <v>7229</v>
      </c>
      <c r="B2793" s="348" t="s">
        <v>35</v>
      </c>
      <c r="C2793" s="348" t="s">
        <v>392</v>
      </c>
      <c r="D2793" s="352" t="s">
        <v>37</v>
      </c>
      <c r="E2793" s="336">
        <v>43794</v>
      </c>
      <c r="F2793" s="336">
        <v>43676</v>
      </c>
      <c r="G2793" s="336">
        <v>43792</v>
      </c>
      <c r="H2793" s="334" t="s">
        <v>7230</v>
      </c>
      <c r="I2793" s="356">
        <v>13601756700</v>
      </c>
      <c r="J2793" s="361" t="s">
        <v>7231</v>
      </c>
      <c r="K2793" s="356">
        <v>500</v>
      </c>
      <c r="L2793" s="334">
        <v>38256</v>
      </c>
      <c r="M2793" s="419"/>
      <c r="N2793" s="362">
        <f t="shared" ref="N2793:N2809" si="103">L2793+M2793</f>
        <v>38256</v>
      </c>
      <c r="O2793" s="356"/>
      <c r="P2793" s="356"/>
      <c r="Q2793" s="356" t="s">
        <v>52</v>
      </c>
      <c r="R2793" s="356"/>
      <c r="S2793" s="356"/>
      <c r="T2793" s="356"/>
      <c r="U2793" s="372"/>
      <c r="V2793" s="372"/>
      <c r="W2793" s="372"/>
      <c r="X2793" s="373"/>
      <c r="Y2793" s="348"/>
      <c r="Z2793" s="348"/>
      <c r="AA2793" s="348"/>
    </row>
    <row r="2794" s="331" customFormat="1" ht="17" customHeight="1" spans="1:27">
      <c r="A2794" s="550" t="s">
        <v>7232</v>
      </c>
      <c r="B2794" s="348" t="s">
        <v>35</v>
      </c>
      <c r="C2794" s="348" t="s">
        <v>328</v>
      </c>
      <c r="D2794" s="352" t="s">
        <v>37</v>
      </c>
      <c r="E2794" s="336">
        <v>43677</v>
      </c>
      <c r="F2794" s="336">
        <v>43676</v>
      </c>
      <c r="G2794" s="350"/>
      <c r="H2794" s="334" t="s">
        <v>7233</v>
      </c>
      <c r="I2794" s="356">
        <v>13817748775</v>
      </c>
      <c r="J2794" s="361" t="s">
        <v>7234</v>
      </c>
      <c r="K2794" s="356">
        <v>500</v>
      </c>
      <c r="L2794" s="419"/>
      <c r="M2794" s="419"/>
      <c r="N2794" s="362">
        <f t="shared" si="103"/>
        <v>0</v>
      </c>
      <c r="O2794" s="356" t="s">
        <v>52</v>
      </c>
      <c r="P2794" s="356"/>
      <c r="Q2794" s="356"/>
      <c r="R2794" s="356"/>
      <c r="S2794" s="356"/>
      <c r="T2794" s="356"/>
      <c r="U2794" s="336" t="s">
        <v>40</v>
      </c>
      <c r="V2794" s="372"/>
      <c r="W2794" s="372"/>
      <c r="X2794" s="373"/>
      <c r="Y2794" s="348"/>
      <c r="Z2794" s="348"/>
      <c r="AA2794" s="348"/>
    </row>
    <row r="2795" s="331" customFormat="1" ht="17" customHeight="1" spans="1:27">
      <c r="A2795" s="550" t="s">
        <v>7235</v>
      </c>
      <c r="B2795" s="348" t="s">
        <v>35</v>
      </c>
      <c r="C2795" s="348" t="s">
        <v>36</v>
      </c>
      <c r="D2795" s="352" t="s">
        <v>37</v>
      </c>
      <c r="E2795" s="336">
        <v>43677</v>
      </c>
      <c r="F2795" s="336">
        <v>43676</v>
      </c>
      <c r="G2795" s="350"/>
      <c r="H2795" s="334" t="s">
        <v>7236</v>
      </c>
      <c r="I2795" s="356">
        <v>1381703694</v>
      </c>
      <c r="J2795" s="361" t="s">
        <v>7237</v>
      </c>
      <c r="K2795" s="356">
        <v>500</v>
      </c>
      <c r="L2795" s="419"/>
      <c r="M2795" s="419"/>
      <c r="N2795" s="362">
        <f t="shared" si="103"/>
        <v>0</v>
      </c>
      <c r="O2795" s="356" t="s">
        <v>52</v>
      </c>
      <c r="P2795" s="356"/>
      <c r="Q2795" s="356"/>
      <c r="R2795" s="356"/>
      <c r="S2795" s="356"/>
      <c r="T2795" s="356"/>
      <c r="U2795" s="372" t="s">
        <v>40</v>
      </c>
      <c r="V2795" s="372"/>
      <c r="W2795" s="372"/>
      <c r="X2795" s="373"/>
      <c r="Y2795" s="348"/>
      <c r="Z2795" s="348"/>
      <c r="AA2795" s="348"/>
    </row>
    <row r="2796" s="331" customFormat="1" ht="17" customHeight="1" spans="1:27">
      <c r="A2796" s="550" t="s">
        <v>7238</v>
      </c>
      <c r="B2796" s="348" t="s">
        <v>123</v>
      </c>
      <c r="C2796" s="348" t="s">
        <v>902</v>
      </c>
      <c r="D2796" s="352" t="s">
        <v>125</v>
      </c>
      <c r="E2796" s="336">
        <v>43677</v>
      </c>
      <c r="F2796" s="336">
        <v>43676</v>
      </c>
      <c r="G2796" s="374" t="s">
        <v>691</v>
      </c>
      <c r="H2796" s="334" t="s">
        <v>7239</v>
      </c>
      <c r="I2796" s="356">
        <v>13817306353</v>
      </c>
      <c r="J2796" s="361" t="s">
        <v>7240</v>
      </c>
      <c r="K2796" s="356">
        <v>500</v>
      </c>
      <c r="L2796" s="419"/>
      <c r="M2796" s="419"/>
      <c r="N2796" s="362">
        <f t="shared" si="103"/>
        <v>0</v>
      </c>
      <c r="O2796" s="356"/>
      <c r="P2796" s="356"/>
      <c r="Q2796" s="356"/>
      <c r="R2796" s="356"/>
      <c r="S2796" s="356"/>
      <c r="T2796" s="356"/>
      <c r="U2796" s="372"/>
      <c r="V2796" s="372"/>
      <c r="W2796" s="372"/>
      <c r="X2796" s="373"/>
      <c r="Y2796" s="348"/>
      <c r="Z2796" s="348"/>
      <c r="AA2796" s="348"/>
    </row>
    <row r="2797" s="331" customFormat="1" ht="17" customHeight="1" spans="1:27">
      <c r="A2797" s="550" t="s">
        <v>7241</v>
      </c>
      <c r="B2797" s="348" t="s">
        <v>31</v>
      </c>
      <c r="C2797" s="348" t="s">
        <v>3186</v>
      </c>
      <c r="D2797" s="349" t="s">
        <v>33</v>
      </c>
      <c r="E2797" s="336">
        <v>43689</v>
      </c>
      <c r="F2797" s="336">
        <v>43675</v>
      </c>
      <c r="G2797" s="336">
        <v>43688</v>
      </c>
      <c r="H2797" s="334" t="s">
        <v>7242</v>
      </c>
      <c r="I2797" s="356">
        <v>19921129749</v>
      </c>
      <c r="J2797" s="361" t="s">
        <v>7243</v>
      </c>
      <c r="K2797" s="356">
        <v>500</v>
      </c>
      <c r="L2797" s="334">
        <v>3496</v>
      </c>
      <c r="M2797" s="419">
        <v>536</v>
      </c>
      <c r="N2797" s="362">
        <f t="shared" si="103"/>
        <v>4032</v>
      </c>
      <c r="O2797" s="356"/>
      <c r="P2797" s="356"/>
      <c r="Q2797" s="356"/>
      <c r="R2797" s="356"/>
      <c r="S2797" s="356"/>
      <c r="T2797" s="356"/>
      <c r="U2797" s="372"/>
      <c r="V2797" s="372"/>
      <c r="W2797" s="372"/>
      <c r="X2797" s="373"/>
      <c r="Y2797" s="348"/>
      <c r="Z2797" s="348"/>
      <c r="AA2797" s="348"/>
    </row>
    <row r="2798" s="331" customFormat="1" ht="17" customHeight="1" spans="1:27">
      <c r="A2798" s="348">
        <v>2023539</v>
      </c>
      <c r="B2798" s="348" t="s">
        <v>185</v>
      </c>
      <c r="C2798" s="348" t="s">
        <v>886</v>
      </c>
      <c r="D2798" s="352" t="s">
        <v>187</v>
      </c>
      <c r="E2798" s="336">
        <v>43677</v>
      </c>
      <c r="F2798" s="336">
        <v>43677</v>
      </c>
      <c r="G2798" s="350"/>
      <c r="H2798" s="334" t="s">
        <v>6556</v>
      </c>
      <c r="I2798" s="356">
        <v>13818538640</v>
      </c>
      <c r="J2798" s="361" t="s">
        <v>7244</v>
      </c>
      <c r="K2798" s="356">
        <v>500</v>
      </c>
      <c r="L2798" s="419"/>
      <c r="M2798" s="419"/>
      <c r="N2798" s="362">
        <f t="shared" si="103"/>
        <v>0</v>
      </c>
      <c r="O2798" s="366"/>
      <c r="P2798" s="356"/>
      <c r="Q2798" s="366" t="s">
        <v>52</v>
      </c>
      <c r="R2798" s="356"/>
      <c r="S2798" s="356"/>
      <c r="T2798" s="356"/>
      <c r="U2798" s="400" t="s">
        <v>7245</v>
      </c>
      <c r="V2798" s="372"/>
      <c r="W2798" s="372"/>
      <c r="X2798" s="373"/>
      <c r="Y2798" s="348"/>
      <c r="Z2798" s="348"/>
      <c r="AA2798" s="348"/>
    </row>
    <row r="2799" s="331" customFormat="1" ht="17" customHeight="1" spans="1:27">
      <c r="A2799" s="348">
        <v>2023536</v>
      </c>
      <c r="B2799" s="348" t="s">
        <v>185</v>
      </c>
      <c r="C2799" s="348" t="s">
        <v>886</v>
      </c>
      <c r="D2799" s="352" t="s">
        <v>187</v>
      </c>
      <c r="E2799" s="336">
        <v>43677</v>
      </c>
      <c r="F2799" s="336">
        <v>43677</v>
      </c>
      <c r="G2799" s="350"/>
      <c r="H2799" s="334" t="s">
        <v>7246</v>
      </c>
      <c r="I2799" s="356">
        <v>13501763686</v>
      </c>
      <c r="J2799" s="361" t="s">
        <v>7247</v>
      </c>
      <c r="K2799" s="356">
        <v>500</v>
      </c>
      <c r="L2799" s="419"/>
      <c r="M2799" s="419"/>
      <c r="N2799" s="362">
        <f t="shared" si="103"/>
        <v>0</v>
      </c>
      <c r="O2799" s="356"/>
      <c r="P2799" s="356" t="s">
        <v>52</v>
      </c>
      <c r="Q2799" s="356"/>
      <c r="R2799" s="356"/>
      <c r="S2799" s="356"/>
      <c r="T2799" s="356"/>
      <c r="U2799" s="374">
        <v>43802</v>
      </c>
      <c r="V2799" s="372"/>
      <c r="W2799" s="372"/>
      <c r="X2799" s="373"/>
      <c r="Y2799" s="348"/>
      <c r="Z2799" s="348"/>
      <c r="AA2799" s="348"/>
    </row>
    <row r="2800" s="331" customFormat="1" ht="17" customHeight="1" spans="1:27">
      <c r="A2800" s="348">
        <v>202353</v>
      </c>
      <c r="B2800" s="348" t="s">
        <v>185</v>
      </c>
      <c r="C2800" s="348" t="s">
        <v>886</v>
      </c>
      <c r="D2800" s="352" t="s">
        <v>187</v>
      </c>
      <c r="E2800" s="336">
        <v>43677</v>
      </c>
      <c r="F2800" s="336">
        <v>43677</v>
      </c>
      <c r="G2800" s="350"/>
      <c r="H2800" s="334" t="s">
        <v>7248</v>
      </c>
      <c r="I2800" s="356">
        <v>13901650249</v>
      </c>
      <c r="J2800" s="361" t="s">
        <v>7249</v>
      </c>
      <c r="K2800" s="356">
        <v>500</v>
      </c>
      <c r="L2800" s="419"/>
      <c r="M2800" s="419"/>
      <c r="N2800" s="362">
        <f t="shared" si="103"/>
        <v>0</v>
      </c>
      <c r="O2800" s="356"/>
      <c r="P2800" s="356" t="s">
        <v>52</v>
      </c>
      <c r="Q2800" s="356"/>
      <c r="R2800" s="356"/>
      <c r="S2800" s="356"/>
      <c r="T2800" s="356"/>
      <c r="U2800" s="372"/>
      <c r="V2800" s="372"/>
      <c r="W2800" s="374">
        <v>43683</v>
      </c>
      <c r="X2800" s="373"/>
      <c r="Y2800" s="348"/>
      <c r="Z2800" s="348"/>
      <c r="AA2800" s="348"/>
    </row>
    <row r="2801" s="331" customFormat="1" ht="17" customHeight="1" spans="1:27">
      <c r="A2801" s="348"/>
      <c r="B2801" s="348" t="s">
        <v>137</v>
      </c>
      <c r="C2801" s="348" t="s">
        <v>406</v>
      </c>
      <c r="D2801" s="349" t="s">
        <v>427</v>
      </c>
      <c r="E2801" s="336">
        <v>43684</v>
      </c>
      <c r="F2801" s="336">
        <v>43677</v>
      </c>
      <c r="G2801" s="336">
        <v>43676</v>
      </c>
      <c r="H2801" s="334" t="s">
        <v>7250</v>
      </c>
      <c r="I2801" s="356">
        <v>18217097356</v>
      </c>
      <c r="J2801" s="361" t="s">
        <v>7251</v>
      </c>
      <c r="K2801" s="356">
        <v>2172</v>
      </c>
      <c r="L2801" s="334">
        <v>10016</v>
      </c>
      <c r="M2801" s="334">
        <v>804</v>
      </c>
      <c r="N2801" s="362">
        <f t="shared" si="103"/>
        <v>10820</v>
      </c>
      <c r="O2801" s="356"/>
      <c r="P2801" s="356"/>
      <c r="Q2801" s="356"/>
      <c r="R2801" s="356"/>
      <c r="S2801" s="356"/>
      <c r="T2801" s="356"/>
      <c r="U2801" s="372"/>
      <c r="V2801" s="372"/>
      <c r="W2801" s="372"/>
      <c r="X2801" s="373"/>
      <c r="Y2801" s="348"/>
      <c r="Z2801" s="348"/>
      <c r="AA2801" s="348"/>
    </row>
    <row r="2802" s="331" customFormat="1" ht="17" customHeight="1" spans="1:27">
      <c r="A2802" s="348">
        <v>2023533</v>
      </c>
      <c r="B2802" s="348" t="s">
        <v>185</v>
      </c>
      <c r="C2802" s="348" t="s">
        <v>1204</v>
      </c>
      <c r="D2802" s="352" t="s">
        <v>44</v>
      </c>
      <c r="E2802" s="336">
        <v>43754</v>
      </c>
      <c r="F2802" s="336">
        <v>43676</v>
      </c>
      <c r="G2802" s="336">
        <v>43754</v>
      </c>
      <c r="H2802" s="334" t="s">
        <v>7252</v>
      </c>
      <c r="I2802" s="356">
        <v>13917809234</v>
      </c>
      <c r="J2802" s="361" t="s">
        <v>7253</v>
      </c>
      <c r="K2802" s="356">
        <v>500</v>
      </c>
      <c r="L2802" s="334">
        <v>10940</v>
      </c>
      <c r="M2802" s="419"/>
      <c r="N2802" s="362">
        <f t="shared" si="103"/>
        <v>10940</v>
      </c>
      <c r="O2802" s="356"/>
      <c r="P2802" s="356"/>
      <c r="Q2802" s="356" t="s">
        <v>52</v>
      </c>
      <c r="R2802" s="356"/>
      <c r="S2802" s="356"/>
      <c r="T2802" s="356"/>
      <c r="U2802" s="372"/>
      <c r="V2802" s="372"/>
      <c r="W2802" s="372"/>
      <c r="X2802" s="373"/>
      <c r="Y2802" s="348"/>
      <c r="Z2802" s="348"/>
      <c r="AA2802" s="348"/>
    </row>
    <row r="2803" s="331" customFormat="1" ht="17" customHeight="1" spans="1:27">
      <c r="A2803" s="348">
        <v>2023538</v>
      </c>
      <c r="B2803" s="348" t="s">
        <v>185</v>
      </c>
      <c r="C2803" s="348" t="s">
        <v>1204</v>
      </c>
      <c r="D2803" s="352" t="s">
        <v>44</v>
      </c>
      <c r="E2803" s="336">
        <v>43736</v>
      </c>
      <c r="F2803" s="336">
        <v>43676</v>
      </c>
      <c r="G2803" s="336">
        <v>43736</v>
      </c>
      <c r="H2803" s="334" t="s">
        <v>7254</v>
      </c>
      <c r="I2803" s="356">
        <v>13818262619</v>
      </c>
      <c r="J2803" s="361" t="s">
        <v>7255</v>
      </c>
      <c r="K2803" s="356">
        <v>500</v>
      </c>
      <c r="L2803" s="334">
        <f>15020-1072</f>
        <v>13948</v>
      </c>
      <c r="M2803" s="334">
        <v>1072</v>
      </c>
      <c r="N2803" s="362">
        <f t="shared" si="103"/>
        <v>15020</v>
      </c>
      <c r="O2803" s="356"/>
      <c r="P2803" s="356" t="s">
        <v>52</v>
      </c>
      <c r="Q2803" s="356"/>
      <c r="R2803" s="356"/>
      <c r="S2803" s="356"/>
      <c r="T2803" s="356"/>
      <c r="U2803" s="372"/>
      <c r="V2803" s="372"/>
      <c r="W2803" s="372"/>
      <c r="X2803" s="373"/>
      <c r="Y2803" s="348"/>
      <c r="Z2803" s="348"/>
      <c r="AA2803" s="348"/>
    </row>
    <row r="2804" s="331" customFormat="1" ht="17" customHeight="1" spans="1:27">
      <c r="A2804" s="348">
        <v>2023535</v>
      </c>
      <c r="B2804" s="348" t="s">
        <v>185</v>
      </c>
      <c r="C2804" s="348" t="s">
        <v>1204</v>
      </c>
      <c r="D2804" s="352" t="s">
        <v>44</v>
      </c>
      <c r="E2804" s="336">
        <v>43681</v>
      </c>
      <c r="F2804" s="336">
        <v>43676</v>
      </c>
      <c r="G2804" s="336">
        <v>43681</v>
      </c>
      <c r="H2804" s="334" t="s">
        <v>7256</v>
      </c>
      <c r="I2804" s="356">
        <v>13773438958</v>
      </c>
      <c r="J2804" s="361" t="s">
        <v>7257</v>
      </c>
      <c r="K2804" s="356">
        <v>500</v>
      </c>
      <c r="L2804" s="334">
        <v>7490</v>
      </c>
      <c r="M2804" s="419"/>
      <c r="N2804" s="362">
        <f t="shared" si="103"/>
        <v>7490</v>
      </c>
      <c r="O2804" s="356"/>
      <c r="P2804" s="356"/>
      <c r="Q2804" s="356"/>
      <c r="R2804" s="356"/>
      <c r="S2804" s="356"/>
      <c r="T2804" s="356"/>
      <c r="U2804" s="372"/>
      <c r="V2804" s="372"/>
      <c r="W2804" s="372"/>
      <c r="X2804" s="373"/>
      <c r="Y2804" s="348"/>
      <c r="Z2804" s="348"/>
      <c r="AA2804" s="348"/>
    </row>
    <row r="2805" s="331" customFormat="1" ht="17" customHeight="1" spans="1:27">
      <c r="A2805" s="550" t="s">
        <v>7258</v>
      </c>
      <c r="B2805" s="348" t="s">
        <v>47</v>
      </c>
      <c r="C2805" s="348" t="s">
        <v>53</v>
      </c>
      <c r="D2805" s="352" t="s">
        <v>49</v>
      </c>
      <c r="E2805" s="336">
        <v>43677</v>
      </c>
      <c r="F2805" s="336">
        <v>43677</v>
      </c>
      <c r="G2805" s="350"/>
      <c r="H2805" s="334" t="s">
        <v>7259</v>
      </c>
      <c r="I2805" s="356">
        <v>13310165228</v>
      </c>
      <c r="J2805" s="361" t="s">
        <v>7260</v>
      </c>
      <c r="K2805" s="356">
        <v>500</v>
      </c>
      <c r="L2805" s="419"/>
      <c r="M2805" s="419"/>
      <c r="N2805" s="362">
        <f t="shared" si="103"/>
        <v>0</v>
      </c>
      <c r="O2805" s="356"/>
      <c r="P2805" s="356"/>
      <c r="Q2805" s="356"/>
      <c r="R2805" s="356" t="s">
        <v>52</v>
      </c>
      <c r="S2805" s="356"/>
      <c r="T2805" s="356"/>
      <c r="U2805" s="372" t="s">
        <v>7261</v>
      </c>
      <c r="V2805" s="372"/>
      <c r="W2805" s="372"/>
      <c r="X2805" s="373"/>
      <c r="Y2805" s="348"/>
      <c r="Z2805" s="348"/>
      <c r="AA2805" s="348"/>
    </row>
    <row r="2806" s="331" customFormat="1" ht="17" customHeight="1" spans="1:27">
      <c r="A2806" s="550" t="s">
        <v>7262</v>
      </c>
      <c r="B2806" s="348" t="s">
        <v>281</v>
      </c>
      <c r="C2806" s="348" t="s">
        <v>491</v>
      </c>
      <c r="D2806" s="352" t="s">
        <v>49</v>
      </c>
      <c r="E2806" s="336">
        <v>43677</v>
      </c>
      <c r="F2806" s="336">
        <v>43677</v>
      </c>
      <c r="G2806" s="350"/>
      <c r="H2806" s="336" t="s">
        <v>7263</v>
      </c>
      <c r="I2806" s="356">
        <v>13816953478</v>
      </c>
      <c r="J2806" s="361" t="s">
        <v>7264</v>
      </c>
      <c r="K2806" s="356">
        <v>500</v>
      </c>
      <c r="L2806" s="419"/>
      <c r="M2806" s="419"/>
      <c r="N2806" s="362">
        <f t="shared" si="103"/>
        <v>0</v>
      </c>
      <c r="O2806" s="356"/>
      <c r="P2806" s="356"/>
      <c r="Q2806" s="356" t="s">
        <v>52</v>
      </c>
      <c r="R2806" s="356"/>
      <c r="S2806" s="356"/>
      <c r="T2806" s="356"/>
      <c r="U2806" s="372"/>
      <c r="V2806" s="372"/>
      <c r="W2806" s="372"/>
      <c r="X2806" s="373"/>
      <c r="Y2806" s="348"/>
      <c r="Z2806" s="348"/>
      <c r="AA2806" s="348"/>
    </row>
    <row r="2807" s="331" customFormat="1" ht="17" customHeight="1" spans="1:27">
      <c r="A2807" s="550" t="s">
        <v>7265</v>
      </c>
      <c r="B2807" s="348" t="s">
        <v>281</v>
      </c>
      <c r="C2807" s="348" t="s">
        <v>491</v>
      </c>
      <c r="D2807" s="334" t="s">
        <v>518</v>
      </c>
      <c r="E2807" s="336">
        <v>43830</v>
      </c>
      <c r="F2807" s="336">
        <v>43677</v>
      </c>
      <c r="G2807" s="336">
        <v>43816</v>
      </c>
      <c r="H2807" s="334" t="s">
        <v>7266</v>
      </c>
      <c r="I2807" s="356">
        <v>18621696382</v>
      </c>
      <c r="J2807" s="361" t="s">
        <v>7267</v>
      </c>
      <c r="K2807" s="356">
        <v>10000</v>
      </c>
      <c r="L2807" s="334">
        <v>61742</v>
      </c>
      <c r="M2807" s="419"/>
      <c r="N2807" s="362">
        <f t="shared" si="103"/>
        <v>61742</v>
      </c>
      <c r="O2807" s="356"/>
      <c r="P2807" s="356"/>
      <c r="Q2807" s="356" t="s">
        <v>52</v>
      </c>
      <c r="R2807" s="356"/>
      <c r="S2807" s="356"/>
      <c r="T2807" s="356"/>
      <c r="U2807" s="372"/>
      <c r="V2807" s="372"/>
      <c r="W2807" s="372"/>
      <c r="X2807" s="373"/>
      <c r="Y2807" s="348"/>
      <c r="Z2807" s="348"/>
      <c r="AA2807" s="348"/>
    </row>
    <row r="2808" s="331" customFormat="1" ht="17" customHeight="1" spans="1:27">
      <c r="A2808" s="348">
        <v>2022266</v>
      </c>
      <c r="B2808" s="348" t="s">
        <v>243</v>
      </c>
      <c r="C2808" s="348" t="s">
        <v>309</v>
      </c>
      <c r="D2808" s="352" t="s">
        <v>49</v>
      </c>
      <c r="E2808" s="336">
        <v>43752</v>
      </c>
      <c r="F2808" s="336">
        <v>43676</v>
      </c>
      <c r="G2808" s="336">
        <v>43752</v>
      </c>
      <c r="H2808" s="334" t="s">
        <v>7268</v>
      </c>
      <c r="I2808" s="356">
        <v>13482172016</v>
      </c>
      <c r="J2808" s="361" t="s">
        <v>7269</v>
      </c>
      <c r="K2808" s="356">
        <v>500</v>
      </c>
      <c r="L2808" s="334">
        <v>13960</v>
      </c>
      <c r="M2808" s="419"/>
      <c r="N2808" s="362">
        <f t="shared" si="103"/>
        <v>13960</v>
      </c>
      <c r="O2808" s="356" t="s">
        <v>52</v>
      </c>
      <c r="P2808" s="356"/>
      <c r="Q2808" s="356"/>
      <c r="R2808" s="356"/>
      <c r="S2808" s="356"/>
      <c r="T2808" s="356"/>
      <c r="U2808" s="372"/>
      <c r="V2808" s="372"/>
      <c r="W2808" s="372"/>
      <c r="X2808" s="373"/>
      <c r="Y2808" s="348"/>
      <c r="Z2808" s="348"/>
      <c r="AA2808" s="348"/>
    </row>
    <row r="2809" s="331" customFormat="1" ht="17" customHeight="1" spans="1:27">
      <c r="A2809" s="348">
        <v>2022268</v>
      </c>
      <c r="B2809" s="348" t="s">
        <v>243</v>
      </c>
      <c r="C2809" s="348" t="s">
        <v>244</v>
      </c>
      <c r="D2809" s="352" t="s">
        <v>49</v>
      </c>
      <c r="E2809" s="336">
        <v>43677</v>
      </c>
      <c r="F2809" s="336">
        <v>43677</v>
      </c>
      <c r="G2809" s="350"/>
      <c r="H2809" s="334" t="s">
        <v>7270</v>
      </c>
      <c r="I2809" s="356">
        <v>18116156886</v>
      </c>
      <c r="J2809" s="361" t="s">
        <v>7271</v>
      </c>
      <c r="K2809" s="356">
        <v>500</v>
      </c>
      <c r="L2809" s="419"/>
      <c r="M2809" s="419"/>
      <c r="N2809" s="362">
        <f t="shared" si="103"/>
        <v>0</v>
      </c>
      <c r="O2809" s="356"/>
      <c r="P2809" s="356" t="s">
        <v>52</v>
      </c>
      <c r="Q2809" s="356"/>
      <c r="R2809" s="356"/>
      <c r="S2809" s="356"/>
      <c r="T2809" s="356"/>
      <c r="U2809" s="372"/>
      <c r="V2809" s="372"/>
      <c r="W2809" s="372"/>
      <c r="X2809" s="373"/>
      <c r="Y2809" s="348"/>
      <c r="Z2809" s="348"/>
      <c r="AA2809" s="348"/>
    </row>
    <row r="2810" s="331" customFormat="1" ht="17" customHeight="1" spans="1:27">
      <c r="A2810" s="348">
        <v>2022267</v>
      </c>
      <c r="B2810" s="348" t="s">
        <v>243</v>
      </c>
      <c r="C2810" s="348" t="s">
        <v>309</v>
      </c>
      <c r="D2810" s="352" t="s">
        <v>49</v>
      </c>
      <c r="E2810" s="336">
        <v>43738</v>
      </c>
      <c r="F2810" s="336">
        <v>43676</v>
      </c>
      <c r="G2810" s="336">
        <v>43738</v>
      </c>
      <c r="H2810" s="334" t="s">
        <v>7272</v>
      </c>
      <c r="I2810" s="356">
        <v>18017139153</v>
      </c>
      <c r="J2810" s="361" t="s">
        <v>7273</v>
      </c>
      <c r="K2810" s="356">
        <v>500</v>
      </c>
      <c r="L2810" s="334">
        <f>25846-1840</f>
        <v>24006</v>
      </c>
      <c r="M2810" s="334">
        <v>1840</v>
      </c>
      <c r="N2810" s="362">
        <f t="shared" ref="N2810:N2861" si="104">L2810+M2810</f>
        <v>25846</v>
      </c>
      <c r="O2810" s="356" t="s">
        <v>52</v>
      </c>
      <c r="P2810" s="356"/>
      <c r="Q2810" s="356"/>
      <c r="R2810" s="356"/>
      <c r="S2810" s="356"/>
      <c r="T2810" s="356"/>
      <c r="U2810" s="372"/>
      <c r="V2810" s="372"/>
      <c r="W2810" s="372"/>
      <c r="X2810" s="373"/>
      <c r="Y2810" s="348"/>
      <c r="Z2810" s="348"/>
      <c r="AA2810" s="348"/>
    </row>
    <row r="2811" s="331" customFormat="1" ht="15" customHeight="1" spans="1:27">
      <c r="A2811" s="550" t="s">
        <v>7274</v>
      </c>
      <c r="B2811" s="348" t="s">
        <v>58</v>
      </c>
      <c r="C2811" s="348" t="s">
        <v>109</v>
      </c>
      <c r="D2811" s="352" t="s">
        <v>110</v>
      </c>
      <c r="E2811" s="336">
        <v>43677</v>
      </c>
      <c r="F2811" s="336">
        <v>43676</v>
      </c>
      <c r="G2811" s="355">
        <v>43758</v>
      </c>
      <c r="H2811" s="334" t="s">
        <v>7275</v>
      </c>
      <c r="I2811" s="356">
        <v>13818503362</v>
      </c>
      <c r="J2811" s="361" t="s">
        <v>7276</v>
      </c>
      <c r="K2811" s="356">
        <v>500</v>
      </c>
      <c r="L2811" s="419"/>
      <c r="M2811" s="419"/>
      <c r="N2811" s="362">
        <f t="shared" si="104"/>
        <v>0</v>
      </c>
      <c r="O2811" s="366" t="s">
        <v>52</v>
      </c>
      <c r="P2811" s="356"/>
      <c r="Q2811" s="356"/>
      <c r="R2811" s="356"/>
      <c r="S2811" s="356"/>
      <c r="T2811" s="356"/>
      <c r="U2811" s="372"/>
      <c r="V2811" s="372"/>
      <c r="W2811" s="372"/>
      <c r="X2811" s="373"/>
      <c r="Y2811" s="348"/>
      <c r="Z2811" s="348"/>
      <c r="AA2811" s="348"/>
    </row>
    <row r="2812" s="331" customFormat="1" ht="17" customHeight="1" spans="1:27">
      <c r="A2812" s="348">
        <v>2023541</v>
      </c>
      <c r="B2812" s="348" t="s">
        <v>185</v>
      </c>
      <c r="C2812" s="348" t="s">
        <v>1204</v>
      </c>
      <c r="D2812" s="334" t="s">
        <v>187</v>
      </c>
      <c r="E2812" s="336">
        <v>43737</v>
      </c>
      <c r="F2812" s="336">
        <v>43676</v>
      </c>
      <c r="G2812" s="336">
        <v>43730</v>
      </c>
      <c r="H2812" s="334" t="s">
        <v>1700</v>
      </c>
      <c r="I2812" s="356">
        <v>13641869546</v>
      </c>
      <c r="J2812" s="361" t="s">
        <v>7277</v>
      </c>
      <c r="K2812" s="356">
        <v>1000</v>
      </c>
      <c r="L2812" s="334">
        <v>9208</v>
      </c>
      <c r="M2812" s="419"/>
      <c r="N2812" s="362">
        <f t="shared" si="104"/>
        <v>9208</v>
      </c>
      <c r="O2812" s="356"/>
      <c r="P2812" s="356" t="s">
        <v>52</v>
      </c>
      <c r="Q2812" s="356"/>
      <c r="R2812" s="356"/>
      <c r="S2812" s="356"/>
      <c r="T2812" s="356"/>
      <c r="U2812" s="372"/>
      <c r="V2812" s="372"/>
      <c r="W2812" s="372"/>
      <c r="X2812" s="373"/>
      <c r="Y2812" s="348"/>
      <c r="Z2812" s="348"/>
      <c r="AA2812" s="348"/>
    </row>
    <row r="2813" s="331" customFormat="1" ht="17" customHeight="1" spans="1:27">
      <c r="A2813" s="348">
        <v>2023534</v>
      </c>
      <c r="B2813" s="348" t="s">
        <v>185</v>
      </c>
      <c r="C2813" s="334" t="s">
        <v>886</v>
      </c>
      <c r="D2813" s="334" t="s">
        <v>187</v>
      </c>
      <c r="E2813" s="336">
        <v>43731</v>
      </c>
      <c r="F2813" s="336">
        <v>43676</v>
      </c>
      <c r="G2813" s="336">
        <v>43730</v>
      </c>
      <c r="H2813" s="334" t="s">
        <v>3457</v>
      </c>
      <c r="I2813" s="356">
        <v>13761403344</v>
      </c>
      <c r="J2813" s="361" t="s">
        <v>7278</v>
      </c>
      <c r="K2813" s="356">
        <v>500</v>
      </c>
      <c r="L2813" s="334">
        <f>16975-1104</f>
        <v>15871</v>
      </c>
      <c r="M2813" s="334">
        <v>1104</v>
      </c>
      <c r="N2813" s="362">
        <f t="shared" si="104"/>
        <v>16975</v>
      </c>
      <c r="O2813" s="356" t="s">
        <v>52</v>
      </c>
      <c r="P2813" s="356"/>
      <c r="Q2813" s="356"/>
      <c r="R2813" s="356"/>
      <c r="S2813" s="356"/>
      <c r="T2813" s="356"/>
      <c r="U2813" s="372"/>
      <c r="V2813" s="372"/>
      <c r="W2813" s="372"/>
      <c r="X2813" s="373"/>
      <c r="Y2813" s="348"/>
      <c r="Z2813" s="348"/>
      <c r="AA2813" s="348"/>
    </row>
    <row r="2814" s="331" customFormat="1" ht="17" customHeight="1" spans="1:27">
      <c r="A2814" s="348">
        <v>2023530</v>
      </c>
      <c r="B2814" s="348" t="s">
        <v>185</v>
      </c>
      <c r="C2814" s="348" t="s">
        <v>1620</v>
      </c>
      <c r="D2814" s="352" t="s">
        <v>44</v>
      </c>
      <c r="E2814" s="336">
        <v>43704</v>
      </c>
      <c r="F2814" s="336">
        <v>43676</v>
      </c>
      <c r="G2814" s="336">
        <v>43703</v>
      </c>
      <c r="H2814" s="334" t="s">
        <v>7279</v>
      </c>
      <c r="I2814" s="356">
        <v>13512102166</v>
      </c>
      <c r="J2814" s="361" t="s">
        <v>7280</v>
      </c>
      <c r="K2814" s="356">
        <v>500</v>
      </c>
      <c r="L2814" s="334">
        <v>8000</v>
      </c>
      <c r="M2814" s="419"/>
      <c r="N2814" s="362">
        <f t="shared" si="104"/>
        <v>8000</v>
      </c>
      <c r="O2814" s="356"/>
      <c r="P2814" s="356"/>
      <c r="Q2814" s="356"/>
      <c r="R2814" s="356" t="s">
        <v>52</v>
      </c>
      <c r="S2814" s="356"/>
      <c r="T2814" s="356"/>
      <c r="U2814" s="372"/>
      <c r="V2814" s="372"/>
      <c r="W2814" s="372"/>
      <c r="X2814" s="373"/>
      <c r="Y2814" s="348"/>
      <c r="Z2814" s="348"/>
      <c r="AA2814" s="348"/>
    </row>
    <row r="2815" s="331" customFormat="1" ht="17" customHeight="1" spans="1:27">
      <c r="A2815" s="550" t="s">
        <v>7281</v>
      </c>
      <c r="B2815" s="348" t="s">
        <v>315</v>
      </c>
      <c r="C2815" s="348" t="s">
        <v>230</v>
      </c>
      <c r="D2815" s="352" t="s">
        <v>182</v>
      </c>
      <c r="E2815" s="336">
        <v>43677</v>
      </c>
      <c r="F2815" s="336">
        <v>43676</v>
      </c>
      <c r="G2815" s="350" t="s">
        <v>231</v>
      </c>
      <c r="H2815" s="334" t="s">
        <v>7282</v>
      </c>
      <c r="I2815" s="356">
        <v>15221228840</v>
      </c>
      <c r="J2815" s="361" t="s">
        <v>7283</v>
      </c>
      <c r="K2815" s="356">
        <v>1000</v>
      </c>
      <c r="L2815" s="419"/>
      <c r="M2815" s="419"/>
      <c r="N2815" s="362">
        <f t="shared" si="104"/>
        <v>0</v>
      </c>
      <c r="O2815" s="356"/>
      <c r="P2815" s="356"/>
      <c r="Q2815" s="356"/>
      <c r="R2815" s="356">
        <v>1</v>
      </c>
      <c r="S2815" s="356"/>
      <c r="T2815" s="356"/>
      <c r="U2815" s="372"/>
      <c r="V2815" s="372"/>
      <c r="W2815" s="372"/>
      <c r="X2815" s="373"/>
      <c r="Y2815" s="348"/>
      <c r="Z2815" s="348"/>
      <c r="AA2815" s="348"/>
    </row>
    <row r="2816" s="331" customFormat="1" ht="17" customHeight="1" spans="1:27">
      <c r="A2816" s="348"/>
      <c r="B2816" s="348" t="s">
        <v>281</v>
      </c>
      <c r="C2816" s="348" t="s">
        <v>491</v>
      </c>
      <c r="D2816" s="352" t="s">
        <v>49</v>
      </c>
      <c r="E2816" s="336">
        <v>43677</v>
      </c>
      <c r="F2816" s="336">
        <v>43676</v>
      </c>
      <c r="G2816" s="350"/>
      <c r="H2816" s="334" t="s">
        <v>837</v>
      </c>
      <c r="I2816" s="356">
        <v>17717601768</v>
      </c>
      <c r="J2816" s="361" t="s">
        <v>7284</v>
      </c>
      <c r="K2816" s="356">
        <v>500</v>
      </c>
      <c r="L2816" s="419"/>
      <c r="M2816" s="419"/>
      <c r="N2816" s="362">
        <f t="shared" si="104"/>
        <v>0</v>
      </c>
      <c r="O2816" s="356"/>
      <c r="P2816" s="356"/>
      <c r="Q2816" s="356" t="s">
        <v>52</v>
      </c>
      <c r="R2816" s="356"/>
      <c r="S2816" s="356"/>
      <c r="T2816" s="356"/>
      <c r="U2816" s="372"/>
      <c r="V2816" s="372"/>
      <c r="W2816" s="372"/>
      <c r="X2816" s="373"/>
      <c r="Y2816" s="348"/>
      <c r="Z2816" s="348"/>
      <c r="AA2816" s="348"/>
    </row>
    <row r="2817" s="331" customFormat="1" ht="17" customHeight="1" spans="1:27">
      <c r="A2817" s="348"/>
      <c r="B2817" s="348" t="s">
        <v>281</v>
      </c>
      <c r="C2817" s="348" t="s">
        <v>491</v>
      </c>
      <c r="D2817" s="352" t="s">
        <v>49</v>
      </c>
      <c r="E2817" s="336">
        <v>43677</v>
      </c>
      <c r="F2817" s="336">
        <v>43676</v>
      </c>
      <c r="G2817" s="350"/>
      <c r="H2817" s="334" t="s">
        <v>7285</v>
      </c>
      <c r="I2817" s="356">
        <v>13661688926</v>
      </c>
      <c r="J2817" s="361" t="s">
        <v>7286</v>
      </c>
      <c r="K2817" s="356">
        <v>500</v>
      </c>
      <c r="L2817" s="419"/>
      <c r="M2817" s="419"/>
      <c r="N2817" s="362">
        <f t="shared" si="104"/>
        <v>0</v>
      </c>
      <c r="O2817" s="356"/>
      <c r="P2817" s="356"/>
      <c r="Q2817" s="356"/>
      <c r="R2817" s="356" t="s">
        <v>52</v>
      </c>
      <c r="S2817" s="356"/>
      <c r="T2817" s="356"/>
      <c r="U2817" s="372"/>
      <c r="V2817" s="372"/>
      <c r="W2817" s="372"/>
      <c r="X2817" s="373"/>
      <c r="Y2817" s="348"/>
      <c r="Z2817" s="348"/>
      <c r="AA2817" s="348"/>
    </row>
    <row r="2818" s="331" customFormat="1" ht="17" customHeight="1" spans="1:27">
      <c r="A2818" s="348"/>
      <c r="B2818" s="348" t="s">
        <v>281</v>
      </c>
      <c r="C2818" s="348" t="s">
        <v>491</v>
      </c>
      <c r="D2818" s="352" t="s">
        <v>49</v>
      </c>
      <c r="E2818" s="336">
        <v>43677</v>
      </c>
      <c r="F2818" s="336">
        <v>43676</v>
      </c>
      <c r="G2818" s="350"/>
      <c r="H2818" s="334" t="s">
        <v>7287</v>
      </c>
      <c r="I2818" s="356">
        <v>15021109845</v>
      </c>
      <c r="J2818" s="361" t="s">
        <v>7288</v>
      </c>
      <c r="K2818" s="356">
        <v>500</v>
      </c>
      <c r="L2818" s="419"/>
      <c r="M2818" s="419"/>
      <c r="N2818" s="362">
        <f t="shared" si="104"/>
        <v>0</v>
      </c>
      <c r="O2818" s="356"/>
      <c r="P2818" s="356"/>
      <c r="Q2818" s="356" t="s">
        <v>52</v>
      </c>
      <c r="R2818" s="356"/>
      <c r="S2818" s="356"/>
      <c r="T2818" s="356"/>
      <c r="U2818" s="394" t="s">
        <v>12</v>
      </c>
      <c r="V2818" s="372"/>
      <c r="W2818" s="372"/>
      <c r="X2818" s="373"/>
      <c r="Y2818" s="348"/>
      <c r="Z2818" s="348"/>
      <c r="AA2818" s="348"/>
    </row>
    <row r="2819" s="331" customFormat="1" ht="17" customHeight="1" spans="1:27">
      <c r="A2819" s="348"/>
      <c r="B2819" s="348" t="s">
        <v>2625</v>
      </c>
      <c r="C2819" s="348" t="s">
        <v>2626</v>
      </c>
      <c r="D2819" s="334" t="s">
        <v>44</v>
      </c>
      <c r="E2819" s="336">
        <v>43729</v>
      </c>
      <c r="F2819" s="336">
        <v>43676</v>
      </c>
      <c r="G2819" s="336">
        <v>43729</v>
      </c>
      <c r="H2819" s="334" t="s">
        <v>7289</v>
      </c>
      <c r="I2819" s="356">
        <v>13818230841</v>
      </c>
      <c r="J2819" s="361" t="s">
        <v>7290</v>
      </c>
      <c r="K2819" s="356">
        <v>1000</v>
      </c>
      <c r="L2819" s="334">
        <v>4000</v>
      </c>
      <c r="M2819" s="419"/>
      <c r="N2819" s="362">
        <f t="shared" si="104"/>
        <v>4000</v>
      </c>
      <c r="O2819" s="356"/>
      <c r="P2819" s="356"/>
      <c r="Q2819" s="356"/>
      <c r="R2819" s="356"/>
      <c r="S2819" s="356" t="s">
        <v>3660</v>
      </c>
      <c r="T2819" s="356"/>
      <c r="U2819" s="372"/>
      <c r="V2819" s="372"/>
      <c r="W2819" s="372"/>
      <c r="X2819" s="373"/>
      <c r="Y2819" s="348"/>
      <c r="Z2819" s="348"/>
      <c r="AA2819" s="348"/>
    </row>
    <row r="2820" s="331" customFormat="1" ht="17" customHeight="1" spans="1:27">
      <c r="A2820" s="348"/>
      <c r="B2820" s="348" t="s">
        <v>137</v>
      </c>
      <c r="C2820" s="334" t="s">
        <v>406</v>
      </c>
      <c r="D2820" s="349" t="s">
        <v>139</v>
      </c>
      <c r="E2820" s="336">
        <v>43677</v>
      </c>
      <c r="F2820" s="336">
        <v>43667</v>
      </c>
      <c r="G2820" s="350">
        <v>43676</v>
      </c>
      <c r="H2820" s="334" t="s">
        <v>7291</v>
      </c>
      <c r="I2820" s="356">
        <v>13918271107</v>
      </c>
      <c r="J2820" s="361" t="s">
        <v>7292</v>
      </c>
      <c r="K2820" s="356">
        <v>9000</v>
      </c>
      <c r="L2820" s="334">
        <v>9000</v>
      </c>
      <c r="M2820" s="419"/>
      <c r="N2820" s="362">
        <f t="shared" si="104"/>
        <v>9000</v>
      </c>
      <c r="O2820" s="356"/>
      <c r="P2820" s="356"/>
      <c r="Q2820" s="356"/>
      <c r="R2820" s="356"/>
      <c r="S2820" s="356"/>
      <c r="T2820" s="356"/>
      <c r="U2820" s="372"/>
      <c r="V2820" s="372"/>
      <c r="W2820" s="372"/>
      <c r="X2820" s="373"/>
      <c r="Y2820" s="348"/>
      <c r="Z2820" s="348"/>
      <c r="AA2820" s="348"/>
    </row>
    <row r="2821" s="331" customFormat="1" ht="17" customHeight="1" spans="1:27">
      <c r="A2821" s="348"/>
      <c r="B2821" s="348" t="s">
        <v>137</v>
      </c>
      <c r="C2821" s="334" t="s">
        <v>406</v>
      </c>
      <c r="D2821" s="349" t="s">
        <v>60</v>
      </c>
      <c r="E2821" s="336">
        <v>43677</v>
      </c>
      <c r="F2821" s="336">
        <v>43667</v>
      </c>
      <c r="G2821" s="350">
        <v>43676</v>
      </c>
      <c r="H2821" s="334" t="s">
        <v>7293</v>
      </c>
      <c r="I2821" s="356">
        <v>13621756670</v>
      </c>
      <c r="J2821" s="361" t="s">
        <v>7294</v>
      </c>
      <c r="K2821" s="356">
        <v>6600</v>
      </c>
      <c r="L2821" s="334">
        <v>6600</v>
      </c>
      <c r="M2821" s="419"/>
      <c r="N2821" s="362">
        <f t="shared" si="104"/>
        <v>6600</v>
      </c>
      <c r="O2821" s="356"/>
      <c r="P2821" s="356"/>
      <c r="Q2821" s="356"/>
      <c r="R2821" s="356"/>
      <c r="S2821" s="356"/>
      <c r="T2821" s="356"/>
      <c r="U2821" s="372"/>
      <c r="V2821" s="372"/>
      <c r="W2821" s="372"/>
      <c r="X2821" s="373"/>
      <c r="Y2821" s="348"/>
      <c r="Z2821" s="348"/>
      <c r="AA2821" s="348"/>
    </row>
    <row r="2822" s="331" customFormat="1" ht="17" customHeight="1" spans="1:27">
      <c r="A2822" s="348">
        <v>2066867</v>
      </c>
      <c r="B2822" s="348" t="s">
        <v>726</v>
      </c>
      <c r="C2822" s="348" t="s">
        <v>727</v>
      </c>
      <c r="D2822" s="349" t="s">
        <v>271</v>
      </c>
      <c r="E2822" s="336">
        <v>43688</v>
      </c>
      <c r="F2822" s="336">
        <v>43667</v>
      </c>
      <c r="G2822" s="336">
        <v>43687</v>
      </c>
      <c r="H2822" s="334" t="s">
        <v>5213</v>
      </c>
      <c r="I2822" s="356">
        <v>13651771918</v>
      </c>
      <c r="J2822" s="361" t="s">
        <v>7295</v>
      </c>
      <c r="K2822" s="356">
        <v>1000</v>
      </c>
      <c r="L2822" s="334">
        <v>8856</v>
      </c>
      <c r="M2822" s="334">
        <v>2089</v>
      </c>
      <c r="N2822" s="362">
        <f t="shared" si="104"/>
        <v>10945</v>
      </c>
      <c r="O2822" s="356"/>
      <c r="P2822" s="356" t="s">
        <v>2997</v>
      </c>
      <c r="Q2822" s="356"/>
      <c r="R2822" s="356"/>
      <c r="S2822" s="356"/>
      <c r="T2822" s="356"/>
      <c r="U2822" s="372"/>
      <c r="V2822" s="372"/>
      <c r="W2822" s="372"/>
      <c r="X2822" s="373"/>
      <c r="Y2822" s="348"/>
      <c r="Z2822" s="348"/>
      <c r="AA2822" s="348"/>
    </row>
    <row r="2823" s="331" customFormat="1" ht="17" customHeight="1" spans="1:27">
      <c r="A2823" s="348"/>
      <c r="B2823" s="348" t="s">
        <v>405</v>
      </c>
      <c r="C2823" s="348" t="s">
        <v>1234</v>
      </c>
      <c r="D2823" s="349" t="s">
        <v>407</v>
      </c>
      <c r="E2823" s="336">
        <v>43677</v>
      </c>
      <c r="F2823" s="336">
        <v>43677</v>
      </c>
      <c r="G2823" s="350">
        <v>43677</v>
      </c>
      <c r="H2823" s="334" t="s">
        <v>7296</v>
      </c>
      <c r="I2823" s="356">
        <v>15151631665</v>
      </c>
      <c r="J2823" s="361" t="s">
        <v>7297</v>
      </c>
      <c r="K2823" s="356">
        <f>5000+9500</f>
        <v>14500</v>
      </c>
      <c r="L2823" s="334">
        <v>15000</v>
      </c>
      <c r="M2823" s="419"/>
      <c r="N2823" s="362">
        <f t="shared" si="104"/>
        <v>15000</v>
      </c>
      <c r="O2823" s="356"/>
      <c r="P2823" s="356"/>
      <c r="Q2823" s="356"/>
      <c r="R2823" s="356"/>
      <c r="S2823" s="356"/>
      <c r="T2823" s="356"/>
      <c r="U2823" s="372"/>
      <c r="V2823" s="372"/>
      <c r="W2823" s="372"/>
      <c r="X2823" s="373"/>
      <c r="Y2823" s="348"/>
      <c r="Z2823" s="348"/>
      <c r="AA2823" s="348"/>
    </row>
    <row r="2824" s="331" customFormat="1" ht="17" customHeight="1" spans="1:27">
      <c r="A2824" s="550" t="s">
        <v>7298</v>
      </c>
      <c r="B2824" s="348" t="s">
        <v>315</v>
      </c>
      <c r="C2824" s="348" t="s">
        <v>366</v>
      </c>
      <c r="D2824" s="352" t="s">
        <v>132</v>
      </c>
      <c r="E2824" s="336">
        <v>43708</v>
      </c>
      <c r="F2824" s="336">
        <v>43677</v>
      </c>
      <c r="G2824" s="336">
        <v>43708</v>
      </c>
      <c r="H2824" s="334" t="s">
        <v>7299</v>
      </c>
      <c r="I2824" s="356">
        <v>18721960791</v>
      </c>
      <c r="J2824" s="361" t="s">
        <v>7300</v>
      </c>
      <c r="K2824" s="356">
        <v>10000</v>
      </c>
      <c r="L2824" s="334">
        <v>10000</v>
      </c>
      <c r="M2824" s="419"/>
      <c r="N2824" s="362">
        <f t="shared" si="104"/>
        <v>10000</v>
      </c>
      <c r="O2824" s="356"/>
      <c r="P2824" s="356"/>
      <c r="Q2824" s="356"/>
      <c r="R2824" s="356"/>
      <c r="S2824" s="356">
        <v>1</v>
      </c>
      <c r="T2824" s="356"/>
      <c r="U2824" s="372"/>
      <c r="V2824" s="372"/>
      <c r="W2824" s="372"/>
      <c r="X2824" s="373"/>
      <c r="Y2824" s="348"/>
      <c r="Z2824" s="348"/>
      <c r="AA2824" s="348"/>
    </row>
    <row r="2825" s="331" customFormat="1" ht="17" customHeight="1" spans="1:27">
      <c r="A2825" s="550" t="s">
        <v>7301</v>
      </c>
      <c r="B2825" s="348" t="s">
        <v>315</v>
      </c>
      <c r="C2825" s="348" t="s">
        <v>366</v>
      </c>
      <c r="D2825" s="352" t="s">
        <v>132</v>
      </c>
      <c r="E2825" s="336">
        <v>43677</v>
      </c>
      <c r="F2825" s="336">
        <v>43677</v>
      </c>
      <c r="G2825" s="350"/>
      <c r="H2825" s="334" t="s">
        <v>7302</v>
      </c>
      <c r="I2825" s="356">
        <v>18616910636</v>
      </c>
      <c r="J2825" s="361" t="s">
        <v>7303</v>
      </c>
      <c r="K2825" s="356">
        <v>1000</v>
      </c>
      <c r="L2825" s="419"/>
      <c r="M2825" s="419"/>
      <c r="N2825" s="362">
        <f t="shared" si="104"/>
        <v>0</v>
      </c>
      <c r="O2825" s="356"/>
      <c r="P2825" s="356"/>
      <c r="Q2825" s="356"/>
      <c r="R2825" s="356"/>
      <c r="S2825" s="356">
        <v>1</v>
      </c>
      <c r="T2825" s="356"/>
      <c r="U2825" s="400" t="s">
        <v>7304</v>
      </c>
      <c r="V2825" s="372"/>
      <c r="W2825" s="372"/>
      <c r="X2825" s="373"/>
      <c r="Y2825" s="348"/>
      <c r="Z2825" s="348"/>
      <c r="AA2825" s="348"/>
    </row>
    <row r="2826" s="331" customFormat="1" ht="17" customHeight="1" spans="1:27">
      <c r="A2826" s="550" t="s">
        <v>7305</v>
      </c>
      <c r="B2826" s="348" t="s">
        <v>315</v>
      </c>
      <c r="C2826" s="348" t="s">
        <v>366</v>
      </c>
      <c r="D2826" s="352" t="s">
        <v>132</v>
      </c>
      <c r="E2826" s="336">
        <v>43798</v>
      </c>
      <c r="F2826" s="336">
        <v>43677</v>
      </c>
      <c r="G2826" s="336">
        <v>43797</v>
      </c>
      <c r="H2826" s="334" t="s">
        <v>7306</v>
      </c>
      <c r="I2826" s="356">
        <v>13564388890</v>
      </c>
      <c r="J2826" s="361" t="s">
        <v>7307</v>
      </c>
      <c r="K2826" s="356">
        <v>1000</v>
      </c>
      <c r="L2826" s="334">
        <v>1461</v>
      </c>
      <c r="M2826" s="334">
        <v>14873</v>
      </c>
      <c r="N2826" s="362">
        <f t="shared" si="104"/>
        <v>16334</v>
      </c>
      <c r="O2826" s="356"/>
      <c r="P2826" s="356"/>
      <c r="Q2826" s="356"/>
      <c r="R2826" s="356"/>
      <c r="S2826" s="356">
        <v>1</v>
      </c>
      <c r="T2826" s="356"/>
      <c r="U2826" s="372"/>
      <c r="V2826" s="372"/>
      <c r="W2826" s="372"/>
      <c r="X2826" s="373"/>
      <c r="Y2826" s="348"/>
      <c r="Z2826" s="348"/>
      <c r="AA2826" s="348"/>
    </row>
    <row r="2827" s="331" customFormat="1" ht="17" customHeight="1" spans="1:27">
      <c r="A2827" s="348"/>
      <c r="B2827" s="348" t="s">
        <v>153</v>
      </c>
      <c r="C2827" s="348" t="s">
        <v>154</v>
      </c>
      <c r="D2827" s="349" t="s">
        <v>155</v>
      </c>
      <c r="E2827" s="336">
        <v>43677</v>
      </c>
      <c r="F2827" s="336">
        <v>43677</v>
      </c>
      <c r="G2827" s="336">
        <v>43677</v>
      </c>
      <c r="H2827" s="334" t="s">
        <v>3459</v>
      </c>
      <c r="I2827" s="356">
        <v>18717904524</v>
      </c>
      <c r="J2827" s="361" t="s">
        <v>7308</v>
      </c>
      <c r="K2827" s="356">
        <v>29670</v>
      </c>
      <c r="L2827" s="356">
        <v>29670</v>
      </c>
      <c r="M2827" s="419"/>
      <c r="N2827" s="362">
        <f t="shared" si="104"/>
        <v>29670</v>
      </c>
      <c r="O2827" s="356"/>
      <c r="P2827" s="356"/>
      <c r="Q2827" s="356"/>
      <c r="R2827" s="356"/>
      <c r="S2827" s="356"/>
      <c r="T2827" s="356"/>
      <c r="U2827" s="336" t="s">
        <v>40</v>
      </c>
      <c r="V2827" s="372"/>
      <c r="W2827" s="372"/>
      <c r="X2827" s="373"/>
      <c r="Y2827" s="348"/>
      <c r="Z2827" s="348"/>
      <c r="AA2827" s="348"/>
    </row>
    <row r="2828" s="331" customFormat="1" ht="17" customHeight="1" spans="1:27">
      <c r="A2828" s="348"/>
      <c r="B2828" s="348" t="s">
        <v>236</v>
      </c>
      <c r="C2828" s="334" t="s">
        <v>195</v>
      </c>
      <c r="D2828" s="349" t="s">
        <v>37</v>
      </c>
      <c r="E2828" s="336">
        <v>43677</v>
      </c>
      <c r="F2828" s="336"/>
      <c r="G2828" s="336">
        <v>43665</v>
      </c>
      <c r="H2828" s="269" t="s">
        <v>7309</v>
      </c>
      <c r="I2828" s="356">
        <v>18817637599</v>
      </c>
      <c r="J2828" s="361" t="s">
        <v>7310</v>
      </c>
      <c r="K2828" s="356"/>
      <c r="L2828" s="334">
        <v>5176</v>
      </c>
      <c r="M2828" s="334">
        <v>1104</v>
      </c>
      <c r="N2828" s="362">
        <f t="shared" si="104"/>
        <v>6280</v>
      </c>
      <c r="O2828" s="356"/>
      <c r="P2828" s="356"/>
      <c r="Q2828" s="356"/>
      <c r="R2828" s="356"/>
      <c r="S2828" s="356"/>
      <c r="T2828" s="356"/>
      <c r="U2828" s="372"/>
      <c r="V2828" s="372"/>
      <c r="W2828" s="372"/>
      <c r="X2828" s="373"/>
      <c r="Y2828" s="348"/>
      <c r="Z2828" s="348"/>
      <c r="AA2828" s="348"/>
    </row>
    <row r="2829" s="331" customFormat="1" ht="17" customHeight="1" spans="1:27">
      <c r="A2829" s="348"/>
      <c r="B2829" s="348" t="s">
        <v>35</v>
      </c>
      <c r="C2829" s="348" t="s">
        <v>36</v>
      </c>
      <c r="D2829" s="349" t="s">
        <v>37</v>
      </c>
      <c r="E2829" s="336">
        <v>43677</v>
      </c>
      <c r="F2829" s="336"/>
      <c r="G2829" s="336">
        <v>43674</v>
      </c>
      <c r="H2829" s="334" t="s">
        <v>2466</v>
      </c>
      <c r="I2829" s="356">
        <v>15921531019</v>
      </c>
      <c r="J2829" s="361" t="s">
        <v>2467</v>
      </c>
      <c r="K2829" s="356"/>
      <c r="L2829" s="334">
        <v>23000</v>
      </c>
      <c r="M2829" s="419"/>
      <c r="N2829" s="362">
        <f t="shared" si="104"/>
        <v>23000</v>
      </c>
      <c r="O2829" s="356"/>
      <c r="P2829" s="356"/>
      <c r="Q2829" s="356"/>
      <c r="R2829" s="356"/>
      <c r="S2829" s="356"/>
      <c r="T2829" s="356"/>
      <c r="U2829" s="372"/>
      <c r="V2829" s="372"/>
      <c r="W2829" s="372"/>
      <c r="X2829" s="373"/>
      <c r="Y2829" s="348"/>
      <c r="Z2829" s="348"/>
      <c r="AA2829" s="348"/>
    </row>
    <row r="2830" s="331" customFormat="1" ht="17" customHeight="1" spans="1:27">
      <c r="A2830" s="348"/>
      <c r="B2830" s="348" t="s">
        <v>5336</v>
      </c>
      <c r="C2830" s="334" t="s">
        <v>498</v>
      </c>
      <c r="D2830" s="352" t="s">
        <v>5336</v>
      </c>
      <c r="E2830" s="336">
        <v>43677</v>
      </c>
      <c r="F2830" s="336"/>
      <c r="G2830" s="336">
        <v>43677</v>
      </c>
      <c r="H2830" s="269" t="s">
        <v>7311</v>
      </c>
      <c r="I2830" s="356">
        <v>15901773328</v>
      </c>
      <c r="J2830" s="361" t="s">
        <v>7312</v>
      </c>
      <c r="K2830" s="356"/>
      <c r="L2830" s="334">
        <v>2870</v>
      </c>
      <c r="M2830" s="419"/>
      <c r="N2830" s="362">
        <f t="shared" si="104"/>
        <v>2870</v>
      </c>
      <c r="O2830" s="356"/>
      <c r="P2830" s="356"/>
      <c r="Q2830" s="356"/>
      <c r="R2830" s="356"/>
      <c r="S2830" s="356"/>
      <c r="T2830" s="356"/>
      <c r="U2830" s="372"/>
      <c r="V2830" s="372"/>
      <c r="W2830" s="372"/>
      <c r="X2830" s="373"/>
      <c r="Y2830" s="348"/>
      <c r="Z2830" s="348"/>
      <c r="AA2830" s="348"/>
    </row>
    <row r="2831" s="331" customFormat="1" ht="17" customHeight="1" spans="1:27">
      <c r="A2831" s="348"/>
      <c r="B2831" s="348" t="s">
        <v>281</v>
      </c>
      <c r="C2831" s="334" t="s">
        <v>491</v>
      </c>
      <c r="D2831" s="349" t="s">
        <v>518</v>
      </c>
      <c r="E2831" s="336">
        <v>43677</v>
      </c>
      <c r="F2831" s="336"/>
      <c r="G2831" s="336">
        <v>43677</v>
      </c>
      <c r="H2831" s="334" t="s">
        <v>1980</v>
      </c>
      <c r="I2831" s="356">
        <v>13816696798</v>
      </c>
      <c r="J2831" s="361" t="s">
        <v>7313</v>
      </c>
      <c r="K2831" s="356"/>
      <c r="L2831" s="334">
        <v>56700</v>
      </c>
      <c r="M2831" s="419"/>
      <c r="N2831" s="362">
        <f t="shared" si="104"/>
        <v>56700</v>
      </c>
      <c r="O2831" s="356"/>
      <c r="P2831" s="356"/>
      <c r="Q2831" s="356"/>
      <c r="R2831" s="356"/>
      <c r="S2831" s="356"/>
      <c r="T2831" s="356"/>
      <c r="U2831" s="372"/>
      <c r="V2831" s="372"/>
      <c r="W2831" s="372"/>
      <c r="X2831" s="373"/>
      <c r="Y2831" s="348"/>
      <c r="Z2831" s="348"/>
      <c r="AA2831" s="348"/>
    </row>
    <row r="2832" s="331" customFormat="1" ht="17" customHeight="1" spans="1:27">
      <c r="A2832" s="348"/>
      <c r="B2832" s="348" t="s">
        <v>281</v>
      </c>
      <c r="C2832" s="348" t="s">
        <v>517</v>
      </c>
      <c r="D2832" s="349" t="s">
        <v>518</v>
      </c>
      <c r="E2832" s="336">
        <v>43677</v>
      </c>
      <c r="F2832" s="336"/>
      <c r="G2832" s="336">
        <v>43677</v>
      </c>
      <c r="H2832" s="351" t="s">
        <v>84</v>
      </c>
      <c r="I2832" s="356">
        <v>15921100333</v>
      </c>
      <c r="J2832" s="361" t="s">
        <v>7314</v>
      </c>
      <c r="K2832" s="356"/>
      <c r="L2832" s="334">
        <v>52000</v>
      </c>
      <c r="M2832" s="419"/>
      <c r="N2832" s="362">
        <f t="shared" si="104"/>
        <v>52000</v>
      </c>
      <c r="O2832" s="356"/>
      <c r="P2832" s="356"/>
      <c r="Q2832" s="356"/>
      <c r="R2832" s="356"/>
      <c r="S2832" s="356"/>
      <c r="T2832" s="356"/>
      <c r="U2832" s="372"/>
      <c r="V2832" s="372"/>
      <c r="W2832" s="372"/>
      <c r="X2832" s="373"/>
      <c r="Y2832" s="348"/>
      <c r="Z2832" s="348"/>
      <c r="AA2832" s="348"/>
    </row>
    <row r="2833" s="331" customFormat="1" ht="17" customHeight="1" spans="1:27">
      <c r="A2833" s="348"/>
      <c r="B2833" s="334" t="s">
        <v>31</v>
      </c>
      <c r="C2833" s="334" t="s">
        <v>220</v>
      </c>
      <c r="D2833" s="349" t="s">
        <v>33</v>
      </c>
      <c r="E2833" s="336">
        <v>43677</v>
      </c>
      <c r="F2833" s="336"/>
      <c r="G2833" s="336">
        <v>43677</v>
      </c>
      <c r="H2833" s="334" t="s">
        <v>7315</v>
      </c>
      <c r="I2833" s="363">
        <v>13661537335</v>
      </c>
      <c r="J2833" s="364" t="s">
        <v>7316</v>
      </c>
      <c r="K2833" s="356"/>
      <c r="L2833" s="334">
        <v>8230</v>
      </c>
      <c r="M2833" s="419"/>
      <c r="N2833" s="362">
        <f t="shared" si="104"/>
        <v>8230</v>
      </c>
      <c r="O2833" s="356"/>
      <c r="P2833" s="356"/>
      <c r="Q2833" s="356"/>
      <c r="R2833" s="356"/>
      <c r="S2833" s="356"/>
      <c r="T2833" s="356"/>
      <c r="U2833" s="372" t="s">
        <v>12</v>
      </c>
      <c r="V2833" s="372"/>
      <c r="W2833" s="372"/>
      <c r="X2833" s="373"/>
      <c r="Y2833" s="348"/>
      <c r="Z2833" s="348"/>
      <c r="AA2833" s="348"/>
    </row>
    <row r="2834" s="331" customFormat="1" ht="17" customHeight="1" spans="1:27">
      <c r="A2834" s="348"/>
      <c r="B2834" s="348" t="s">
        <v>42</v>
      </c>
      <c r="C2834" s="348" t="s">
        <v>1728</v>
      </c>
      <c r="D2834" s="349" t="s">
        <v>149</v>
      </c>
      <c r="E2834" s="336">
        <v>43677</v>
      </c>
      <c r="F2834" s="336"/>
      <c r="G2834" s="336">
        <v>43676</v>
      </c>
      <c r="H2834" s="334" t="s">
        <v>7317</v>
      </c>
      <c r="I2834" s="356">
        <v>13918802770</v>
      </c>
      <c r="J2834" s="361" t="s">
        <v>6776</v>
      </c>
      <c r="K2834" s="356"/>
      <c r="L2834" s="334">
        <v>5469</v>
      </c>
      <c r="M2834" s="419"/>
      <c r="N2834" s="362">
        <f t="shared" si="104"/>
        <v>5469</v>
      </c>
      <c r="O2834" s="356"/>
      <c r="P2834" s="356"/>
      <c r="Q2834" s="356"/>
      <c r="R2834" s="356"/>
      <c r="S2834" s="356"/>
      <c r="T2834" s="356"/>
      <c r="U2834" s="372"/>
      <c r="V2834" s="372"/>
      <c r="W2834" s="372"/>
      <c r="X2834" s="373"/>
      <c r="Y2834" s="348"/>
      <c r="Z2834" s="348"/>
      <c r="AA2834" s="348"/>
    </row>
    <row r="2835" s="331" customFormat="1" ht="17" customHeight="1" spans="1:27">
      <c r="A2835" s="348"/>
      <c r="B2835" s="348" t="s">
        <v>805</v>
      </c>
      <c r="C2835" s="334" t="s">
        <v>806</v>
      </c>
      <c r="D2835" s="349" t="s">
        <v>635</v>
      </c>
      <c r="E2835" s="336">
        <v>43677</v>
      </c>
      <c r="F2835" s="336"/>
      <c r="G2835" s="336">
        <v>43677</v>
      </c>
      <c r="H2835" s="334" t="s">
        <v>7318</v>
      </c>
      <c r="I2835" s="356">
        <v>13901970782</v>
      </c>
      <c r="J2835" s="361" t="s">
        <v>7319</v>
      </c>
      <c r="K2835" s="356"/>
      <c r="L2835" s="334">
        <v>3710</v>
      </c>
      <c r="M2835" s="334">
        <v>536</v>
      </c>
      <c r="N2835" s="362">
        <f t="shared" si="104"/>
        <v>4246</v>
      </c>
      <c r="O2835" s="356"/>
      <c r="P2835" s="356"/>
      <c r="Q2835" s="356"/>
      <c r="R2835" s="356"/>
      <c r="S2835" s="356"/>
      <c r="T2835" s="356"/>
      <c r="U2835" s="372"/>
      <c r="V2835" s="372"/>
      <c r="W2835" s="372"/>
      <c r="X2835" s="373"/>
      <c r="Y2835" s="348"/>
      <c r="Z2835" s="348"/>
      <c r="AA2835" s="348"/>
    </row>
    <row r="2836" s="331" customFormat="1" ht="17" customHeight="1" spans="1:27">
      <c r="A2836" s="348"/>
      <c r="B2836" s="348" t="s">
        <v>58</v>
      </c>
      <c r="C2836" s="334" t="s">
        <v>59</v>
      </c>
      <c r="D2836" s="349" t="s">
        <v>271</v>
      </c>
      <c r="E2836" s="336">
        <v>43677</v>
      </c>
      <c r="F2836" s="336"/>
      <c r="G2836" s="336">
        <v>43677</v>
      </c>
      <c r="H2836" s="334" t="s">
        <v>5571</v>
      </c>
      <c r="I2836" s="356">
        <v>13585667802</v>
      </c>
      <c r="J2836" s="361" t="s">
        <v>7320</v>
      </c>
      <c r="K2836" s="356"/>
      <c r="L2836" s="334">
        <v>4991</v>
      </c>
      <c r="M2836" s="419"/>
      <c r="N2836" s="362">
        <f t="shared" si="104"/>
        <v>4991</v>
      </c>
      <c r="O2836" s="356"/>
      <c r="P2836" s="356"/>
      <c r="Q2836" s="356"/>
      <c r="R2836" s="356"/>
      <c r="S2836" s="356"/>
      <c r="T2836" s="356"/>
      <c r="U2836" s="372"/>
      <c r="V2836" s="372"/>
      <c r="W2836" s="372"/>
      <c r="X2836" s="373"/>
      <c r="Y2836" s="348"/>
      <c r="Z2836" s="348"/>
      <c r="AA2836" s="348"/>
    </row>
    <row r="2837" s="331" customFormat="1" ht="17" customHeight="1" spans="1:27">
      <c r="A2837" s="348"/>
      <c r="B2837" s="348" t="s">
        <v>58</v>
      </c>
      <c r="C2837" s="334" t="s">
        <v>342</v>
      </c>
      <c r="D2837" s="349" t="s">
        <v>75</v>
      </c>
      <c r="E2837" s="336">
        <v>43677</v>
      </c>
      <c r="F2837" s="336" t="s">
        <v>800</v>
      </c>
      <c r="G2837" s="336">
        <v>43676</v>
      </c>
      <c r="H2837" s="334" t="s">
        <v>511</v>
      </c>
      <c r="I2837" s="356">
        <v>13916628487</v>
      </c>
      <c r="J2837" s="361" t="s">
        <v>7321</v>
      </c>
      <c r="K2837" s="356"/>
      <c r="L2837" s="419"/>
      <c r="M2837" s="334">
        <v>-198</v>
      </c>
      <c r="N2837" s="362">
        <f t="shared" si="104"/>
        <v>-198</v>
      </c>
      <c r="O2837" s="356"/>
      <c r="P2837" s="356"/>
      <c r="Q2837" s="356"/>
      <c r="R2837" s="356"/>
      <c r="S2837" s="356"/>
      <c r="T2837" s="356"/>
      <c r="U2837" s="372"/>
      <c r="V2837" s="372"/>
      <c r="W2837" s="372"/>
      <c r="X2837" s="373"/>
      <c r="Y2837" s="348"/>
      <c r="Z2837" s="348"/>
      <c r="AA2837" s="348"/>
    </row>
    <row r="2838" s="331" customFormat="1" ht="17" customHeight="1" spans="1:27">
      <c r="A2838" s="348"/>
      <c r="B2838" s="334" t="s">
        <v>66</v>
      </c>
      <c r="C2838" s="334" t="s">
        <v>1749</v>
      </c>
      <c r="D2838" s="349" t="s">
        <v>75</v>
      </c>
      <c r="E2838" s="336">
        <v>43677</v>
      </c>
      <c r="F2838" s="336" t="s">
        <v>800</v>
      </c>
      <c r="G2838" s="336">
        <v>43676</v>
      </c>
      <c r="H2838" s="334" t="s">
        <v>511</v>
      </c>
      <c r="I2838" s="356">
        <v>13916628487</v>
      </c>
      <c r="J2838" s="361" t="s">
        <v>7321</v>
      </c>
      <c r="K2838" s="356"/>
      <c r="L2838" s="419"/>
      <c r="M2838" s="334">
        <f>-198</f>
        <v>-198</v>
      </c>
      <c r="N2838" s="362">
        <f t="shared" si="104"/>
        <v>-198</v>
      </c>
      <c r="O2838" s="356"/>
      <c r="P2838" s="356"/>
      <c r="Q2838" s="356"/>
      <c r="R2838" s="356"/>
      <c r="S2838" s="356"/>
      <c r="T2838" s="356"/>
      <c r="U2838" s="372"/>
      <c r="V2838" s="372"/>
      <c r="W2838" s="372"/>
      <c r="X2838" s="373"/>
      <c r="Y2838" s="348"/>
      <c r="Z2838" s="348"/>
      <c r="AA2838" s="348"/>
    </row>
    <row r="2839" s="331" customFormat="1" ht="17" customHeight="1" spans="1:27">
      <c r="A2839" s="348"/>
      <c r="B2839" s="348" t="s">
        <v>405</v>
      </c>
      <c r="C2839" s="348" t="s">
        <v>1234</v>
      </c>
      <c r="D2839" s="349" t="s">
        <v>407</v>
      </c>
      <c r="E2839" s="336">
        <v>43677</v>
      </c>
      <c r="F2839" s="336" t="s">
        <v>800</v>
      </c>
      <c r="G2839" s="336">
        <v>43676</v>
      </c>
      <c r="H2839" s="334" t="s">
        <v>5093</v>
      </c>
      <c r="I2839" s="356">
        <v>15201991175</v>
      </c>
      <c r="J2839" s="361" t="s">
        <v>5094</v>
      </c>
      <c r="K2839" s="356"/>
      <c r="L2839" s="419"/>
      <c r="M2839" s="334">
        <v>1313</v>
      </c>
      <c r="N2839" s="362">
        <f t="shared" si="104"/>
        <v>1313</v>
      </c>
      <c r="O2839" s="356"/>
      <c r="P2839" s="356"/>
      <c r="Q2839" s="356"/>
      <c r="R2839" s="356"/>
      <c r="S2839" s="356"/>
      <c r="T2839" s="356"/>
      <c r="U2839" s="372"/>
      <c r="V2839" s="372"/>
      <c r="W2839" s="372"/>
      <c r="X2839" s="373"/>
      <c r="Y2839" s="348"/>
      <c r="Z2839" s="348"/>
      <c r="AA2839" s="348"/>
    </row>
    <row r="2840" s="331" customFormat="1" ht="17" customHeight="1" spans="1:27">
      <c r="A2840" s="348"/>
      <c r="B2840" s="348" t="s">
        <v>405</v>
      </c>
      <c r="C2840" s="348" t="s">
        <v>1234</v>
      </c>
      <c r="D2840" s="349" t="s">
        <v>343</v>
      </c>
      <c r="E2840" s="336">
        <v>43677</v>
      </c>
      <c r="F2840" s="336" t="s">
        <v>800</v>
      </c>
      <c r="G2840" s="336">
        <v>43677</v>
      </c>
      <c r="H2840" s="334" t="s">
        <v>7322</v>
      </c>
      <c r="I2840" s="356">
        <v>13661500326</v>
      </c>
      <c r="J2840" s="361" t="s">
        <v>7323</v>
      </c>
      <c r="K2840" s="356"/>
      <c r="L2840" s="419"/>
      <c r="M2840" s="334">
        <v>262</v>
      </c>
      <c r="N2840" s="362">
        <f t="shared" si="104"/>
        <v>262</v>
      </c>
      <c r="O2840" s="356"/>
      <c r="P2840" s="356"/>
      <c r="Q2840" s="356"/>
      <c r="R2840" s="356"/>
      <c r="S2840" s="356"/>
      <c r="T2840" s="356"/>
      <c r="U2840" s="372"/>
      <c r="V2840" s="372"/>
      <c r="W2840" s="372"/>
      <c r="X2840" s="373"/>
      <c r="Y2840" s="348"/>
      <c r="Z2840" s="348"/>
      <c r="AA2840" s="348"/>
    </row>
    <row r="2841" s="331" customFormat="1" ht="17" customHeight="1" spans="1:27">
      <c r="A2841" s="348"/>
      <c r="B2841" s="348" t="s">
        <v>73</v>
      </c>
      <c r="C2841" s="334" t="s">
        <v>74</v>
      </c>
      <c r="D2841" s="349" t="s">
        <v>717</v>
      </c>
      <c r="E2841" s="336">
        <v>43677</v>
      </c>
      <c r="F2841" s="336" t="s">
        <v>800</v>
      </c>
      <c r="G2841" s="336">
        <v>43677</v>
      </c>
      <c r="H2841" s="269" t="s">
        <v>7311</v>
      </c>
      <c r="I2841" s="356">
        <v>13701845505</v>
      </c>
      <c r="J2841" s="361" t="s">
        <v>7324</v>
      </c>
      <c r="K2841" s="356"/>
      <c r="L2841" s="419"/>
      <c r="M2841" s="334">
        <v>1886</v>
      </c>
      <c r="N2841" s="362">
        <f t="shared" si="104"/>
        <v>1886</v>
      </c>
      <c r="O2841" s="356"/>
      <c r="P2841" s="356"/>
      <c r="Q2841" s="356"/>
      <c r="R2841" s="356"/>
      <c r="S2841" s="356"/>
      <c r="T2841" s="356"/>
      <c r="U2841" s="372"/>
      <c r="V2841" s="372"/>
      <c r="W2841" s="372"/>
      <c r="X2841" s="373"/>
      <c r="Y2841" s="348"/>
      <c r="Z2841" s="348"/>
      <c r="AA2841" s="348"/>
    </row>
    <row r="2842" s="331" customFormat="1" ht="17" customHeight="1" spans="1:27">
      <c r="A2842" s="348"/>
      <c r="B2842" s="348" t="s">
        <v>47</v>
      </c>
      <c r="C2842" s="348" t="s">
        <v>53</v>
      </c>
      <c r="D2842" s="352" t="s">
        <v>49</v>
      </c>
      <c r="E2842" s="336">
        <v>43677</v>
      </c>
      <c r="F2842" s="336" t="s">
        <v>800</v>
      </c>
      <c r="G2842" s="336">
        <v>43677</v>
      </c>
      <c r="H2842" s="334" t="s">
        <v>7325</v>
      </c>
      <c r="I2842" s="356">
        <v>13371915757</v>
      </c>
      <c r="J2842" s="361" t="s">
        <v>7326</v>
      </c>
      <c r="K2842" s="356"/>
      <c r="L2842" s="419"/>
      <c r="M2842" s="334">
        <v>0</v>
      </c>
      <c r="N2842" s="362">
        <f t="shared" si="104"/>
        <v>0</v>
      </c>
      <c r="O2842" s="356"/>
      <c r="P2842" s="356"/>
      <c r="Q2842" s="356"/>
      <c r="R2842" s="356"/>
      <c r="S2842" s="356"/>
      <c r="T2842" s="356"/>
      <c r="U2842" s="372"/>
      <c r="V2842" s="372"/>
      <c r="W2842" s="372"/>
      <c r="X2842" s="373"/>
      <c r="Y2842" s="348"/>
      <c r="Z2842" s="348"/>
      <c r="AA2842" s="348"/>
    </row>
    <row r="2843" s="331" customFormat="1" ht="17" customHeight="1" spans="1:27">
      <c r="A2843" s="348"/>
      <c r="B2843" s="334" t="s">
        <v>58</v>
      </c>
      <c r="C2843" s="334" t="s">
        <v>59</v>
      </c>
      <c r="D2843" s="349" t="s">
        <v>343</v>
      </c>
      <c r="E2843" s="336">
        <v>43677</v>
      </c>
      <c r="F2843" s="336" t="s">
        <v>800</v>
      </c>
      <c r="G2843" s="336">
        <v>43676</v>
      </c>
      <c r="H2843" s="363" t="s">
        <v>3846</v>
      </c>
      <c r="I2843" s="356">
        <v>13701778636</v>
      </c>
      <c r="J2843" s="361" t="s">
        <v>7327</v>
      </c>
      <c r="K2843" s="356"/>
      <c r="L2843" s="419"/>
      <c r="M2843" s="334">
        <v>4624</v>
      </c>
      <c r="N2843" s="362">
        <f t="shared" si="104"/>
        <v>4624</v>
      </c>
      <c r="O2843" s="356"/>
      <c r="P2843" s="356"/>
      <c r="Q2843" s="356"/>
      <c r="R2843" s="356"/>
      <c r="S2843" s="356"/>
      <c r="T2843" s="356"/>
      <c r="U2843" s="372"/>
      <c r="V2843" s="372"/>
      <c r="W2843" s="372"/>
      <c r="X2843" s="373"/>
      <c r="Y2843" s="348"/>
      <c r="Z2843" s="348"/>
      <c r="AA2843" s="348"/>
    </row>
    <row r="2844" s="331" customFormat="1" ht="17" customHeight="1" spans="1:27">
      <c r="A2844" s="348"/>
      <c r="B2844" s="334" t="s">
        <v>185</v>
      </c>
      <c r="C2844" s="334" t="s">
        <v>319</v>
      </c>
      <c r="D2844" s="349" t="s">
        <v>187</v>
      </c>
      <c r="E2844" s="336">
        <v>43677</v>
      </c>
      <c r="F2844" s="336" t="s">
        <v>800</v>
      </c>
      <c r="G2844" s="336">
        <v>43677</v>
      </c>
      <c r="H2844" s="334" t="s">
        <v>7328</v>
      </c>
      <c r="I2844" s="363">
        <v>13817111769</v>
      </c>
      <c r="J2844" s="364" t="s">
        <v>7329</v>
      </c>
      <c r="K2844" s="356"/>
      <c r="L2844" s="419"/>
      <c r="M2844" s="334">
        <v>-1841</v>
      </c>
      <c r="N2844" s="362">
        <f t="shared" si="104"/>
        <v>-1841</v>
      </c>
      <c r="O2844" s="356"/>
      <c r="P2844" s="356"/>
      <c r="Q2844" s="356"/>
      <c r="R2844" s="356"/>
      <c r="S2844" s="356"/>
      <c r="T2844" s="356"/>
      <c r="U2844" s="372"/>
      <c r="V2844" s="372"/>
      <c r="W2844" s="372"/>
      <c r="X2844" s="373"/>
      <c r="Y2844" s="348"/>
      <c r="Z2844" s="348"/>
      <c r="AA2844" s="348"/>
    </row>
    <row r="2845" s="331" customFormat="1" ht="17" customHeight="1" spans="1:27">
      <c r="A2845" s="348"/>
      <c r="B2845" s="348" t="s">
        <v>169</v>
      </c>
      <c r="C2845" s="334" t="s">
        <v>542</v>
      </c>
      <c r="D2845" s="349" t="s">
        <v>171</v>
      </c>
      <c r="E2845" s="336">
        <v>43677</v>
      </c>
      <c r="F2845" s="336" t="s">
        <v>800</v>
      </c>
      <c r="G2845" s="336">
        <v>43677</v>
      </c>
      <c r="H2845" s="334" t="s">
        <v>5580</v>
      </c>
      <c r="I2845" s="356">
        <v>13301838296</v>
      </c>
      <c r="J2845" s="361" t="s">
        <v>5581</v>
      </c>
      <c r="K2845" s="356"/>
      <c r="L2845" s="419"/>
      <c r="M2845" s="334">
        <v>1979</v>
      </c>
      <c r="N2845" s="362">
        <f t="shared" si="104"/>
        <v>1979</v>
      </c>
      <c r="O2845" s="356"/>
      <c r="P2845" s="356"/>
      <c r="Q2845" s="356"/>
      <c r="R2845" s="356"/>
      <c r="S2845" s="356"/>
      <c r="T2845" s="356"/>
      <c r="U2845" s="372"/>
      <c r="V2845" s="372"/>
      <c r="W2845" s="372"/>
      <c r="X2845" s="373"/>
      <c r="Y2845" s="348"/>
      <c r="Z2845" s="348"/>
      <c r="AA2845" s="348"/>
    </row>
    <row r="2846" s="331" customFormat="1" ht="17" customHeight="1" spans="1:27">
      <c r="A2846" s="348"/>
      <c r="B2846" s="348" t="s">
        <v>31</v>
      </c>
      <c r="C2846" s="348" t="s">
        <v>251</v>
      </c>
      <c r="D2846" s="349" t="s">
        <v>33</v>
      </c>
      <c r="E2846" s="336">
        <v>43677</v>
      </c>
      <c r="F2846" s="336" t="s">
        <v>800</v>
      </c>
      <c r="G2846" s="336">
        <v>43677</v>
      </c>
      <c r="H2846" s="334" t="s">
        <v>7330</v>
      </c>
      <c r="I2846" s="356">
        <v>13912634832</v>
      </c>
      <c r="J2846" s="361" t="s">
        <v>7331</v>
      </c>
      <c r="K2846" s="356"/>
      <c r="L2846" s="419"/>
      <c r="M2846" s="334">
        <v>2801</v>
      </c>
      <c r="N2846" s="362">
        <f t="shared" si="104"/>
        <v>2801</v>
      </c>
      <c r="O2846" s="356"/>
      <c r="P2846" s="356"/>
      <c r="Q2846" s="356"/>
      <c r="R2846" s="356"/>
      <c r="S2846" s="356"/>
      <c r="T2846" s="356"/>
      <c r="U2846" s="372"/>
      <c r="V2846" s="372"/>
      <c r="W2846" s="372"/>
      <c r="X2846" s="373"/>
      <c r="Y2846" s="348"/>
      <c r="Z2846" s="348"/>
      <c r="AA2846" s="348"/>
    </row>
    <row r="2847" s="331" customFormat="1" ht="17" customHeight="1" spans="1:27">
      <c r="A2847" s="348"/>
      <c r="B2847" s="348" t="s">
        <v>31</v>
      </c>
      <c r="C2847" s="334" t="s">
        <v>251</v>
      </c>
      <c r="D2847" s="349" t="s">
        <v>33</v>
      </c>
      <c r="E2847" s="336">
        <v>43677</v>
      </c>
      <c r="F2847" s="336" t="s">
        <v>800</v>
      </c>
      <c r="G2847" s="336">
        <v>43676</v>
      </c>
      <c r="H2847" s="269" t="s">
        <v>7332</v>
      </c>
      <c r="I2847" s="356">
        <v>13918384618</v>
      </c>
      <c r="J2847" s="361" t="s">
        <v>7333</v>
      </c>
      <c r="K2847" s="356"/>
      <c r="L2847" s="419"/>
      <c r="M2847" s="334">
        <f>3312+19688</f>
        <v>23000</v>
      </c>
      <c r="N2847" s="362">
        <f t="shared" si="104"/>
        <v>23000</v>
      </c>
      <c r="O2847" s="356"/>
      <c r="P2847" s="356"/>
      <c r="Q2847" s="356"/>
      <c r="R2847" s="356"/>
      <c r="S2847" s="356"/>
      <c r="T2847" s="356"/>
      <c r="U2847" s="372"/>
      <c r="V2847" s="372"/>
      <c r="W2847" s="372"/>
      <c r="X2847" s="373"/>
      <c r="Y2847" s="348"/>
      <c r="Z2847" s="348"/>
      <c r="AA2847" s="348"/>
    </row>
    <row r="2848" s="331" customFormat="1" ht="17" customHeight="1" spans="1:27">
      <c r="A2848" s="348"/>
      <c r="B2848" s="348" t="s">
        <v>315</v>
      </c>
      <c r="C2848" s="334" t="s">
        <v>258</v>
      </c>
      <c r="D2848" s="349" t="s">
        <v>182</v>
      </c>
      <c r="E2848" s="336">
        <v>43677</v>
      </c>
      <c r="F2848" s="336" t="s">
        <v>800</v>
      </c>
      <c r="G2848" s="336">
        <v>43673</v>
      </c>
      <c r="H2848" s="334" t="s">
        <v>7334</v>
      </c>
      <c r="I2848" s="356">
        <v>13512103712</v>
      </c>
      <c r="J2848" s="361" t="s">
        <v>7335</v>
      </c>
      <c r="K2848" s="356"/>
      <c r="L2848" s="419"/>
      <c r="M2848" s="334">
        <v>468</v>
      </c>
      <c r="N2848" s="362">
        <f t="shared" si="104"/>
        <v>468</v>
      </c>
      <c r="O2848" s="356"/>
      <c r="P2848" s="356"/>
      <c r="Q2848" s="356"/>
      <c r="R2848" s="356"/>
      <c r="S2848" s="356"/>
      <c r="T2848" s="356"/>
      <c r="U2848" s="372"/>
      <c r="V2848" s="372"/>
      <c r="W2848" s="372"/>
      <c r="X2848" s="373"/>
      <c r="Y2848" s="348"/>
      <c r="Z2848" s="348"/>
      <c r="AA2848" s="348"/>
    </row>
    <row r="2849" s="331" customFormat="1" ht="17" customHeight="1" spans="1:27">
      <c r="A2849" s="348"/>
      <c r="B2849" s="348" t="s">
        <v>123</v>
      </c>
      <c r="C2849" s="348" t="s">
        <v>124</v>
      </c>
      <c r="D2849" s="349" t="s">
        <v>125</v>
      </c>
      <c r="E2849" s="336">
        <v>43677</v>
      </c>
      <c r="F2849" s="336" t="s">
        <v>800</v>
      </c>
      <c r="G2849" s="336">
        <v>43677</v>
      </c>
      <c r="H2849" s="351" t="s">
        <v>7336</v>
      </c>
      <c r="I2849" s="356">
        <v>18117435209</v>
      </c>
      <c r="J2849" s="361" t="s">
        <v>7337</v>
      </c>
      <c r="K2849" s="356"/>
      <c r="L2849" s="419"/>
      <c r="M2849" s="334">
        <v>0</v>
      </c>
      <c r="N2849" s="362">
        <f t="shared" si="104"/>
        <v>0</v>
      </c>
      <c r="O2849" s="356"/>
      <c r="P2849" s="356"/>
      <c r="Q2849" s="356"/>
      <c r="R2849" s="356"/>
      <c r="S2849" s="356"/>
      <c r="T2849" s="356"/>
      <c r="U2849" s="372"/>
      <c r="V2849" s="372"/>
      <c r="W2849" s="372"/>
      <c r="X2849" s="373"/>
      <c r="Y2849" s="348"/>
      <c r="Z2849" s="348"/>
      <c r="AA2849" s="348"/>
    </row>
    <row r="2850" s="331" customFormat="1" ht="17" customHeight="1" spans="1:27">
      <c r="A2850" s="348"/>
      <c r="B2850" s="348" t="s">
        <v>66</v>
      </c>
      <c r="C2850" s="348" t="s">
        <v>951</v>
      </c>
      <c r="D2850" s="349" t="s">
        <v>143</v>
      </c>
      <c r="E2850" s="336">
        <v>43677</v>
      </c>
      <c r="F2850" s="336" t="s">
        <v>800</v>
      </c>
      <c r="G2850" s="336">
        <v>43676</v>
      </c>
      <c r="H2850" s="334" t="s">
        <v>7338</v>
      </c>
      <c r="I2850" s="356">
        <v>13524778241</v>
      </c>
      <c r="J2850" s="361" t="s">
        <v>7339</v>
      </c>
      <c r="K2850" s="356"/>
      <c r="L2850" s="419"/>
      <c r="M2850" s="334">
        <v>371</v>
      </c>
      <c r="N2850" s="362">
        <f t="shared" si="104"/>
        <v>371</v>
      </c>
      <c r="O2850" s="356"/>
      <c r="P2850" s="356"/>
      <c r="Q2850" s="356"/>
      <c r="R2850" s="356"/>
      <c r="S2850" s="356"/>
      <c r="T2850" s="356"/>
      <c r="U2850" s="372"/>
      <c r="V2850" s="372"/>
      <c r="W2850" s="372"/>
      <c r="X2850" s="373"/>
      <c r="Y2850" s="348"/>
      <c r="Z2850" s="348"/>
      <c r="AA2850" s="348"/>
    </row>
    <row r="2851" s="331" customFormat="1" ht="17" customHeight="1" spans="1:27">
      <c r="A2851" s="348"/>
      <c r="B2851" s="348" t="s">
        <v>47</v>
      </c>
      <c r="C2851" s="334" t="s">
        <v>80</v>
      </c>
      <c r="D2851" s="352" t="s">
        <v>49</v>
      </c>
      <c r="E2851" s="336">
        <v>43677</v>
      </c>
      <c r="F2851" s="336" t="s">
        <v>800</v>
      </c>
      <c r="G2851" s="336">
        <v>43677</v>
      </c>
      <c r="H2851" s="334" t="s">
        <v>7340</v>
      </c>
      <c r="I2851" s="356">
        <v>18616581511</v>
      </c>
      <c r="J2851" s="361" t="s">
        <v>7341</v>
      </c>
      <c r="K2851" s="356"/>
      <c r="L2851" s="419"/>
      <c r="M2851" s="334">
        <v>4168</v>
      </c>
      <c r="N2851" s="362">
        <f t="shared" si="104"/>
        <v>4168</v>
      </c>
      <c r="O2851" s="356"/>
      <c r="P2851" s="356"/>
      <c r="Q2851" s="356"/>
      <c r="R2851" s="356"/>
      <c r="S2851" s="356"/>
      <c r="T2851" s="356"/>
      <c r="U2851" s="372"/>
      <c r="V2851" s="372"/>
      <c r="W2851" s="372"/>
      <c r="X2851" s="373"/>
      <c r="Y2851" s="348"/>
      <c r="Z2851" s="348"/>
      <c r="AA2851" s="348"/>
    </row>
    <row r="2852" s="331" customFormat="1" ht="17" customHeight="1" spans="1:27">
      <c r="A2852" s="348"/>
      <c r="B2852" s="348" t="s">
        <v>185</v>
      </c>
      <c r="C2852" s="348" t="s">
        <v>886</v>
      </c>
      <c r="D2852" s="349" t="s">
        <v>44</v>
      </c>
      <c r="E2852" s="336">
        <v>43677</v>
      </c>
      <c r="F2852" s="336" t="s">
        <v>800</v>
      </c>
      <c r="G2852" s="336">
        <v>43677</v>
      </c>
      <c r="H2852" s="334" t="s">
        <v>998</v>
      </c>
      <c r="I2852" s="356">
        <v>18168865565</v>
      </c>
      <c r="J2852" s="361" t="s">
        <v>7342</v>
      </c>
      <c r="K2852" s="356"/>
      <c r="L2852" s="419"/>
      <c r="M2852" s="334">
        <v>749</v>
      </c>
      <c r="N2852" s="362">
        <f t="shared" si="104"/>
        <v>749</v>
      </c>
      <c r="O2852" s="356"/>
      <c r="P2852" s="356"/>
      <c r="Q2852" s="356"/>
      <c r="R2852" s="356"/>
      <c r="S2852" s="356"/>
      <c r="T2852" s="356"/>
      <c r="U2852" s="372"/>
      <c r="V2852" s="372"/>
      <c r="W2852" s="372"/>
      <c r="X2852" s="373"/>
      <c r="Y2852" s="348"/>
      <c r="Z2852" s="348"/>
      <c r="AA2852" s="348"/>
    </row>
    <row r="2853" s="331" customFormat="1" ht="17" customHeight="1" spans="1:27">
      <c r="A2853" s="348"/>
      <c r="B2853" s="348" t="s">
        <v>31</v>
      </c>
      <c r="C2853" s="334" t="s">
        <v>3186</v>
      </c>
      <c r="D2853" s="349" t="s">
        <v>221</v>
      </c>
      <c r="E2853" s="336">
        <v>43677</v>
      </c>
      <c r="F2853" s="336" t="s">
        <v>800</v>
      </c>
      <c r="G2853" s="336">
        <v>43676</v>
      </c>
      <c r="H2853" s="334" t="s">
        <v>5202</v>
      </c>
      <c r="I2853" s="356">
        <v>13761273760</v>
      </c>
      <c r="J2853" s="361" t="s">
        <v>5203</v>
      </c>
      <c r="K2853" s="356"/>
      <c r="L2853" s="419"/>
      <c r="M2853" s="334">
        <v>1358</v>
      </c>
      <c r="N2853" s="362">
        <f t="shared" si="104"/>
        <v>1358</v>
      </c>
      <c r="O2853" s="356"/>
      <c r="P2853" s="356"/>
      <c r="Q2853" s="356"/>
      <c r="R2853" s="356"/>
      <c r="S2853" s="356"/>
      <c r="T2853" s="356"/>
      <c r="U2853" s="372"/>
      <c r="V2853" s="372"/>
      <c r="W2853" s="372"/>
      <c r="X2853" s="373"/>
      <c r="Y2853" s="348"/>
      <c r="Z2853" s="348"/>
      <c r="AA2853" s="348"/>
    </row>
    <row r="2854" s="331" customFormat="1" ht="17" customHeight="1" spans="1:27">
      <c r="A2854" s="348"/>
      <c r="B2854" s="348" t="s">
        <v>87</v>
      </c>
      <c r="C2854" s="334" t="s">
        <v>199</v>
      </c>
      <c r="D2854" s="352" t="s">
        <v>89</v>
      </c>
      <c r="E2854" s="336">
        <v>43677</v>
      </c>
      <c r="F2854" s="336" t="s">
        <v>800</v>
      </c>
      <c r="G2854" s="336">
        <v>43675</v>
      </c>
      <c r="H2854" s="334" t="s">
        <v>7343</v>
      </c>
      <c r="I2854" s="356">
        <v>18117543511</v>
      </c>
      <c r="J2854" s="361" t="s">
        <v>7344</v>
      </c>
      <c r="K2854" s="356"/>
      <c r="L2854" s="419"/>
      <c r="M2854" s="334">
        <v>1072</v>
      </c>
      <c r="N2854" s="362">
        <f t="shared" si="104"/>
        <v>1072</v>
      </c>
      <c r="O2854" s="356"/>
      <c r="P2854" s="356"/>
      <c r="Q2854" s="356"/>
      <c r="R2854" s="356"/>
      <c r="S2854" s="356"/>
      <c r="T2854" s="356"/>
      <c r="U2854" s="372"/>
      <c r="V2854" s="372"/>
      <c r="W2854" s="372"/>
      <c r="X2854" s="373"/>
      <c r="Y2854" s="348"/>
      <c r="Z2854" s="348"/>
      <c r="AA2854" s="348"/>
    </row>
    <row r="2855" s="331" customFormat="1" ht="17" customHeight="1" spans="1:27">
      <c r="A2855" s="348"/>
      <c r="B2855" s="348" t="s">
        <v>66</v>
      </c>
      <c r="C2855" s="334" t="s">
        <v>505</v>
      </c>
      <c r="D2855" s="352" t="s">
        <v>143</v>
      </c>
      <c r="E2855" s="336">
        <v>43677</v>
      </c>
      <c r="F2855" s="336" t="s">
        <v>800</v>
      </c>
      <c r="G2855" s="336">
        <v>43677</v>
      </c>
      <c r="H2855" s="334" t="s">
        <v>7345</v>
      </c>
      <c r="I2855" s="356">
        <v>18101867197</v>
      </c>
      <c r="J2855" s="361" t="s">
        <v>7346</v>
      </c>
      <c r="K2855" s="356"/>
      <c r="L2855" s="419"/>
      <c r="M2855" s="334">
        <v>4450</v>
      </c>
      <c r="N2855" s="362">
        <f t="shared" si="104"/>
        <v>4450</v>
      </c>
      <c r="O2855" s="356"/>
      <c r="P2855" s="356"/>
      <c r="Q2855" s="356"/>
      <c r="R2855" s="356"/>
      <c r="S2855" s="356"/>
      <c r="T2855" s="356"/>
      <c r="U2855" s="372"/>
      <c r="V2855" s="372"/>
      <c r="W2855" s="372"/>
      <c r="X2855" s="373"/>
      <c r="Y2855" s="348"/>
      <c r="Z2855" s="348"/>
      <c r="AA2855" s="348"/>
    </row>
    <row r="2856" s="331" customFormat="1" ht="17" customHeight="1" spans="1:27">
      <c r="A2856" s="348"/>
      <c r="B2856" s="348" t="s">
        <v>58</v>
      </c>
      <c r="C2856" s="348" t="s">
        <v>794</v>
      </c>
      <c r="D2856" s="349" t="s">
        <v>110</v>
      </c>
      <c r="E2856" s="336">
        <v>43660</v>
      </c>
      <c r="F2856" s="336"/>
      <c r="G2856" s="336">
        <v>43657</v>
      </c>
      <c r="H2856" s="334" t="s">
        <v>4881</v>
      </c>
      <c r="I2856" s="356">
        <v>13901743348</v>
      </c>
      <c r="J2856" s="361" t="s">
        <v>7347</v>
      </c>
      <c r="K2856" s="356"/>
      <c r="L2856" s="334">
        <v>3216</v>
      </c>
      <c r="M2856" s="334">
        <v>736</v>
      </c>
      <c r="N2856" s="362">
        <f t="shared" si="104"/>
        <v>3952</v>
      </c>
      <c r="O2856" s="356"/>
      <c r="P2856" s="356"/>
      <c r="Q2856" s="356"/>
      <c r="R2856" s="356"/>
      <c r="S2856" s="356"/>
      <c r="T2856" s="356"/>
      <c r="U2856" s="372"/>
      <c r="V2856" s="372"/>
      <c r="W2856" s="372"/>
      <c r="X2856" s="373"/>
      <c r="Y2856" s="348"/>
      <c r="Z2856" s="348"/>
      <c r="AA2856" s="348"/>
    </row>
    <row r="2857" s="331" customFormat="1" ht="17" customHeight="1" spans="1:27">
      <c r="A2857" s="348"/>
      <c r="B2857" s="437" t="s">
        <v>205</v>
      </c>
      <c r="C2857" s="437" t="s">
        <v>1467</v>
      </c>
      <c r="D2857" s="349" t="s">
        <v>361</v>
      </c>
      <c r="E2857" s="336">
        <v>43664</v>
      </c>
      <c r="F2857" s="336"/>
      <c r="G2857" s="336">
        <v>43659</v>
      </c>
      <c r="H2857" s="334" t="s">
        <v>1468</v>
      </c>
      <c r="I2857" s="356">
        <v>13761747467</v>
      </c>
      <c r="J2857" s="361" t="s">
        <v>1469</v>
      </c>
      <c r="K2857" s="356"/>
      <c r="L2857" s="334">
        <v>-40884</v>
      </c>
      <c r="M2857" s="419"/>
      <c r="N2857" s="362">
        <f t="shared" si="104"/>
        <v>-40884</v>
      </c>
      <c r="O2857" s="356"/>
      <c r="P2857" s="356"/>
      <c r="Q2857" s="356"/>
      <c r="R2857" s="356"/>
      <c r="S2857" s="356"/>
      <c r="T2857" s="356"/>
      <c r="U2857" s="372"/>
      <c r="V2857" s="372"/>
      <c r="W2857" s="372"/>
      <c r="X2857" s="373"/>
      <c r="Y2857" s="348"/>
      <c r="Z2857" s="348"/>
      <c r="AA2857" s="348"/>
    </row>
    <row r="2858" s="331" customFormat="1" ht="17" customHeight="1" spans="1:27">
      <c r="A2858" s="348"/>
      <c r="B2858" s="348" t="s">
        <v>160</v>
      </c>
      <c r="C2858" s="348" t="s">
        <v>161</v>
      </c>
      <c r="D2858" s="349" t="s">
        <v>60</v>
      </c>
      <c r="E2858" s="336">
        <v>43661</v>
      </c>
      <c r="F2858" s="336" t="s">
        <v>800</v>
      </c>
      <c r="G2858" s="336">
        <v>43654</v>
      </c>
      <c r="H2858" s="334" t="s">
        <v>4168</v>
      </c>
      <c r="I2858" s="356">
        <v>18918687107</v>
      </c>
      <c r="J2858" s="361" t="s">
        <v>4169</v>
      </c>
      <c r="K2858" s="356"/>
      <c r="L2858" s="419"/>
      <c r="M2858" s="419">
        <v>990</v>
      </c>
      <c r="N2858" s="362">
        <f t="shared" si="104"/>
        <v>990</v>
      </c>
      <c r="O2858" s="356"/>
      <c r="P2858" s="356"/>
      <c r="Q2858" s="356"/>
      <c r="R2858" s="356"/>
      <c r="S2858" s="356"/>
      <c r="T2858" s="356"/>
      <c r="U2858" s="372"/>
      <c r="V2858" s="372"/>
      <c r="W2858" s="372"/>
      <c r="X2858" s="373"/>
      <c r="Y2858" s="348"/>
      <c r="Z2858" s="348"/>
      <c r="AA2858" s="348"/>
    </row>
    <row r="2859" s="331" customFormat="1" ht="17" customHeight="1" spans="1:27">
      <c r="A2859" s="348"/>
      <c r="B2859" s="348" t="s">
        <v>315</v>
      </c>
      <c r="C2859" s="334" t="s">
        <v>258</v>
      </c>
      <c r="D2859" s="349" t="s">
        <v>5695</v>
      </c>
      <c r="E2859" s="336">
        <v>43669</v>
      </c>
      <c r="F2859" s="336" t="s">
        <v>800</v>
      </c>
      <c r="G2859" s="336">
        <v>43667</v>
      </c>
      <c r="H2859" s="334" t="s">
        <v>6249</v>
      </c>
      <c r="I2859" s="356">
        <v>13501985268</v>
      </c>
      <c r="J2859" s="361" t="s">
        <v>6250</v>
      </c>
      <c r="K2859" s="356"/>
      <c r="L2859" s="419"/>
      <c r="M2859" s="334">
        <v>-25981</v>
      </c>
      <c r="N2859" s="362">
        <f t="shared" si="104"/>
        <v>-25981</v>
      </c>
      <c r="O2859" s="356"/>
      <c r="P2859" s="356"/>
      <c r="Q2859" s="356"/>
      <c r="R2859" s="356"/>
      <c r="S2859" s="356"/>
      <c r="T2859" s="356"/>
      <c r="U2859" s="372"/>
      <c r="V2859" s="372"/>
      <c r="W2859" s="372"/>
      <c r="X2859" s="373"/>
      <c r="Y2859" s="348"/>
      <c r="Z2859" s="348"/>
      <c r="AA2859" s="348"/>
    </row>
    <row r="2860" s="331" customFormat="1" ht="17" customHeight="1" spans="1:27">
      <c r="A2860" s="348"/>
      <c r="B2860" s="348" t="s">
        <v>137</v>
      </c>
      <c r="C2860" s="348" t="s">
        <v>426</v>
      </c>
      <c r="D2860" s="349" t="s">
        <v>60</v>
      </c>
      <c r="E2860" s="336">
        <v>43673</v>
      </c>
      <c r="F2860" s="336" t="s">
        <v>800</v>
      </c>
      <c r="G2860" s="336">
        <v>43673</v>
      </c>
      <c r="H2860" s="334" t="s">
        <v>6495</v>
      </c>
      <c r="I2860" s="356">
        <v>18017356442</v>
      </c>
      <c r="J2860" s="361" t="s">
        <v>6496</v>
      </c>
      <c r="K2860" s="356"/>
      <c r="L2860" s="419"/>
      <c r="M2860" s="419">
        <v>6410</v>
      </c>
      <c r="N2860" s="362">
        <f t="shared" si="104"/>
        <v>6410</v>
      </c>
      <c r="O2860" s="356"/>
      <c r="P2860" s="356"/>
      <c r="Q2860" s="356"/>
      <c r="R2860" s="356"/>
      <c r="S2860" s="356"/>
      <c r="T2860" s="356"/>
      <c r="U2860" s="372"/>
      <c r="V2860" s="372"/>
      <c r="W2860" s="372"/>
      <c r="X2860" s="373"/>
      <c r="Y2860" s="348"/>
      <c r="Z2860" s="348"/>
      <c r="AA2860" s="348"/>
    </row>
    <row r="2861" s="331" customFormat="1" ht="17" customHeight="1" spans="1:27">
      <c r="A2861" s="348"/>
      <c r="B2861" s="348" t="s">
        <v>87</v>
      </c>
      <c r="C2861" s="348" t="s">
        <v>466</v>
      </c>
      <c r="D2861" s="349" t="s">
        <v>75</v>
      </c>
      <c r="E2861" s="336">
        <v>43654</v>
      </c>
      <c r="F2861" s="336" t="s">
        <v>800</v>
      </c>
      <c r="G2861" s="336">
        <v>43653</v>
      </c>
      <c r="H2861" s="334" t="s">
        <v>4860</v>
      </c>
      <c r="I2861" s="356" t="s">
        <v>4861</v>
      </c>
      <c r="J2861" s="361" t="s">
        <v>4862</v>
      </c>
      <c r="K2861" s="356"/>
      <c r="L2861" s="419"/>
      <c r="M2861" s="419">
        <v>205</v>
      </c>
      <c r="N2861" s="362">
        <f t="shared" si="104"/>
        <v>205</v>
      </c>
      <c r="O2861" s="356"/>
      <c r="P2861" s="356"/>
      <c r="Q2861" s="356"/>
      <c r="R2861" s="356"/>
      <c r="S2861" s="356"/>
      <c r="T2861" s="356"/>
      <c r="U2861" s="372"/>
      <c r="V2861" s="372"/>
      <c r="W2861" s="372"/>
      <c r="X2861" s="373"/>
      <c r="Y2861" s="348"/>
      <c r="Z2861" s="348"/>
      <c r="AA2861" s="348"/>
    </row>
    <row r="2862" s="331" customFormat="1" ht="17" customHeight="1" spans="1:27">
      <c r="A2862" s="550" t="s">
        <v>7348</v>
      </c>
      <c r="B2862" s="348" t="s">
        <v>147</v>
      </c>
      <c r="C2862" s="348" t="s">
        <v>148</v>
      </c>
      <c r="D2862" s="352" t="s">
        <v>149</v>
      </c>
      <c r="E2862" s="336">
        <v>43680</v>
      </c>
      <c r="F2862" s="336">
        <v>43616</v>
      </c>
      <c r="G2862" s="350">
        <v>43639</v>
      </c>
      <c r="H2862" s="334" t="s">
        <v>7349</v>
      </c>
      <c r="I2862" s="356">
        <v>13916000696</v>
      </c>
      <c r="J2862" s="361" t="s">
        <v>7350</v>
      </c>
      <c r="K2862" s="356">
        <v>3000</v>
      </c>
      <c r="L2862" s="419"/>
      <c r="M2862" s="419"/>
      <c r="N2862" s="362">
        <f t="shared" ref="N2862:N2893" si="105">L2862+M2862</f>
        <v>0</v>
      </c>
      <c r="O2862" s="356"/>
      <c r="P2862" s="356"/>
      <c r="Q2862" s="356"/>
      <c r="R2862" s="356"/>
      <c r="S2862" s="356"/>
      <c r="T2862" s="356"/>
      <c r="U2862" s="372"/>
      <c r="V2862" s="372"/>
      <c r="W2862" s="372"/>
      <c r="X2862" s="373"/>
      <c r="Y2862" s="348"/>
      <c r="Z2862" s="348"/>
      <c r="AA2862" s="348"/>
    </row>
    <row r="2863" s="331" customFormat="1" ht="17" customHeight="1" spans="1:27">
      <c r="A2863" s="550" t="s">
        <v>7351</v>
      </c>
      <c r="B2863" s="348" t="s">
        <v>169</v>
      </c>
      <c r="C2863" s="348" t="s">
        <v>542</v>
      </c>
      <c r="D2863" s="352" t="s">
        <v>171</v>
      </c>
      <c r="E2863" s="336">
        <v>43679</v>
      </c>
      <c r="F2863" s="336">
        <v>43679</v>
      </c>
      <c r="G2863" s="350">
        <v>43680</v>
      </c>
      <c r="H2863" s="334" t="s">
        <v>7352</v>
      </c>
      <c r="I2863" s="356">
        <v>18616179393</v>
      </c>
      <c r="J2863" s="361" t="s">
        <v>7353</v>
      </c>
      <c r="K2863" s="356">
        <v>1000</v>
      </c>
      <c r="L2863" s="334">
        <v>2279</v>
      </c>
      <c r="M2863" s="419"/>
      <c r="N2863" s="362">
        <f t="shared" si="105"/>
        <v>2279</v>
      </c>
      <c r="O2863" s="356"/>
      <c r="P2863" s="356"/>
      <c r="Q2863" s="356"/>
      <c r="R2863" s="356"/>
      <c r="S2863" s="356"/>
      <c r="T2863" s="356"/>
      <c r="U2863" s="372"/>
      <c r="V2863" s="372"/>
      <c r="W2863" s="372"/>
      <c r="X2863" s="373"/>
      <c r="Y2863" s="348"/>
      <c r="Z2863" s="348"/>
      <c r="AA2863" s="348"/>
    </row>
    <row r="2864" s="331" customFormat="1" ht="17" customHeight="1" spans="1:27">
      <c r="A2864" s="550" t="s">
        <v>7354</v>
      </c>
      <c r="B2864" s="348" t="s">
        <v>315</v>
      </c>
      <c r="C2864" s="348" t="s">
        <v>181</v>
      </c>
      <c r="D2864" s="349" t="s">
        <v>162</v>
      </c>
      <c r="E2864" s="336">
        <v>43703</v>
      </c>
      <c r="F2864" s="336">
        <v>43679</v>
      </c>
      <c r="G2864" s="336">
        <v>43688</v>
      </c>
      <c r="H2864" s="334" t="s">
        <v>7355</v>
      </c>
      <c r="I2864" s="356">
        <v>13764475912</v>
      </c>
      <c r="J2864" s="361" t="s">
        <v>7356</v>
      </c>
      <c r="K2864" s="356">
        <v>1000</v>
      </c>
      <c r="L2864" s="334">
        <v>19095</v>
      </c>
      <c r="M2864" s="419"/>
      <c r="N2864" s="362">
        <f t="shared" si="105"/>
        <v>19095</v>
      </c>
      <c r="O2864" s="356"/>
      <c r="P2864" s="356">
        <v>1</v>
      </c>
      <c r="Q2864" s="356"/>
      <c r="R2864" s="356"/>
      <c r="S2864" s="356"/>
      <c r="T2864" s="356"/>
      <c r="U2864" s="372"/>
      <c r="V2864" s="372"/>
      <c r="W2864" s="372"/>
      <c r="X2864" s="373"/>
      <c r="Y2864" s="348"/>
      <c r="Z2864" s="348"/>
      <c r="AA2864" s="348"/>
    </row>
    <row r="2865" s="331" customFormat="1" ht="17" customHeight="1" spans="1:27">
      <c r="A2865" s="550" t="s">
        <v>7357</v>
      </c>
      <c r="B2865" s="348" t="s">
        <v>31</v>
      </c>
      <c r="C2865" s="348" t="s">
        <v>220</v>
      </c>
      <c r="D2865" s="349" t="s">
        <v>33</v>
      </c>
      <c r="E2865" s="336">
        <v>43684</v>
      </c>
      <c r="F2865" s="336">
        <v>43679</v>
      </c>
      <c r="G2865" s="336">
        <v>43683</v>
      </c>
      <c r="H2865" s="334" t="s">
        <v>7358</v>
      </c>
      <c r="I2865" s="356">
        <v>18001859226</v>
      </c>
      <c r="J2865" s="361" t="s">
        <v>7359</v>
      </c>
      <c r="K2865" s="356">
        <v>1000</v>
      </c>
      <c r="L2865" s="334">
        <v>4801</v>
      </c>
      <c r="M2865" s="419"/>
      <c r="N2865" s="362">
        <f t="shared" si="105"/>
        <v>4801</v>
      </c>
      <c r="O2865" s="356"/>
      <c r="P2865" s="356"/>
      <c r="Q2865" s="356"/>
      <c r="R2865" s="356"/>
      <c r="S2865" s="356"/>
      <c r="T2865" s="356"/>
      <c r="U2865" s="372"/>
      <c r="V2865" s="372"/>
      <c r="W2865" s="372"/>
      <c r="X2865" s="373"/>
      <c r="Y2865" s="348"/>
      <c r="Z2865" s="348"/>
      <c r="AA2865" s="348"/>
    </row>
    <row r="2866" s="331" customFormat="1" ht="17" customHeight="1" spans="1:27">
      <c r="A2866" s="550" t="s">
        <v>1119</v>
      </c>
      <c r="B2866" s="348" t="s">
        <v>281</v>
      </c>
      <c r="C2866" s="348" t="s">
        <v>491</v>
      </c>
      <c r="D2866" s="334" t="s">
        <v>518</v>
      </c>
      <c r="E2866" s="336">
        <v>43784</v>
      </c>
      <c r="F2866" s="336">
        <v>43679</v>
      </c>
      <c r="G2866" s="336">
        <v>43782</v>
      </c>
      <c r="H2866" s="334" t="s">
        <v>7360</v>
      </c>
      <c r="I2866" s="356">
        <v>13167066512</v>
      </c>
      <c r="J2866" s="361" t="s">
        <v>7361</v>
      </c>
      <c r="K2866" s="356">
        <v>1000</v>
      </c>
      <c r="L2866" s="334">
        <v>18188</v>
      </c>
      <c r="M2866" s="419"/>
      <c r="N2866" s="362">
        <f t="shared" si="105"/>
        <v>18188</v>
      </c>
      <c r="O2866" s="356"/>
      <c r="P2866" s="356"/>
      <c r="Q2866" s="356" t="s">
        <v>52</v>
      </c>
      <c r="R2866" s="356"/>
      <c r="S2866" s="356"/>
      <c r="T2866" s="356"/>
      <c r="U2866" s="372"/>
      <c r="V2866" s="372"/>
      <c r="W2866" s="372"/>
      <c r="X2866" s="373"/>
      <c r="Y2866" s="348"/>
      <c r="Z2866" s="348"/>
      <c r="AA2866" s="348"/>
    </row>
    <row r="2867" s="331" customFormat="1" ht="17" customHeight="1" spans="1:27">
      <c r="A2867" s="550" t="s">
        <v>7362</v>
      </c>
      <c r="B2867" s="348" t="s">
        <v>94</v>
      </c>
      <c r="C2867" s="348" t="s">
        <v>3973</v>
      </c>
      <c r="D2867" s="352" t="s">
        <v>49</v>
      </c>
      <c r="E2867" s="336">
        <v>43691</v>
      </c>
      <c r="F2867" s="336">
        <v>43679</v>
      </c>
      <c r="G2867" s="336">
        <v>43690</v>
      </c>
      <c r="H2867" s="334" t="s">
        <v>7363</v>
      </c>
      <c r="I2867" s="356">
        <v>13916533435</v>
      </c>
      <c r="J2867" s="361" t="s">
        <v>7364</v>
      </c>
      <c r="K2867" s="356">
        <v>1000</v>
      </c>
      <c r="L2867" s="334">
        <v>18544</v>
      </c>
      <c r="M2867" s="419"/>
      <c r="N2867" s="362">
        <f t="shared" si="105"/>
        <v>18544</v>
      </c>
      <c r="O2867" s="356"/>
      <c r="P2867" s="356"/>
      <c r="Q2867" s="356"/>
      <c r="R2867" s="366" t="s">
        <v>52</v>
      </c>
      <c r="S2867" s="356"/>
      <c r="T2867" s="356"/>
      <c r="U2867" s="372"/>
      <c r="V2867" s="372"/>
      <c r="W2867" s="372"/>
      <c r="X2867" s="373"/>
      <c r="Y2867" s="348"/>
      <c r="Z2867" s="348"/>
      <c r="AA2867" s="348"/>
    </row>
    <row r="2868" s="331" customFormat="1" ht="17" customHeight="1" spans="1:27">
      <c r="A2868" s="348"/>
      <c r="B2868" s="348" t="s">
        <v>31</v>
      </c>
      <c r="C2868" s="348" t="s">
        <v>220</v>
      </c>
      <c r="D2868" s="352" t="s">
        <v>221</v>
      </c>
      <c r="E2868" s="336">
        <v>43706</v>
      </c>
      <c r="F2868" s="336">
        <v>43679</v>
      </c>
      <c r="G2868" s="336">
        <v>43706</v>
      </c>
      <c r="H2868" s="334" t="s">
        <v>7365</v>
      </c>
      <c r="I2868" s="356">
        <v>15618526967</v>
      </c>
      <c r="J2868" s="361" t="s">
        <v>7366</v>
      </c>
      <c r="K2868" s="356">
        <v>1000</v>
      </c>
      <c r="L2868" s="334">
        <f>6475-536</f>
        <v>5939</v>
      </c>
      <c r="M2868" s="334">
        <v>536</v>
      </c>
      <c r="N2868" s="362">
        <f t="shared" si="105"/>
        <v>6475</v>
      </c>
      <c r="O2868" s="356"/>
      <c r="P2868" s="356"/>
      <c r="Q2868" s="356"/>
      <c r="R2868" s="366" t="s">
        <v>52</v>
      </c>
      <c r="S2868" s="356"/>
      <c r="T2868" s="356"/>
      <c r="U2868" s="372"/>
      <c r="V2868" s="372"/>
      <c r="W2868" s="372"/>
      <c r="X2868" s="373"/>
      <c r="Y2868" s="348"/>
      <c r="Z2868" s="348"/>
      <c r="AA2868" s="348"/>
    </row>
    <row r="2869" s="331" customFormat="1" ht="17" customHeight="1" spans="1:27">
      <c r="A2869" s="550" t="s">
        <v>7367</v>
      </c>
      <c r="B2869" s="348" t="s">
        <v>31</v>
      </c>
      <c r="C2869" s="348" t="s">
        <v>3186</v>
      </c>
      <c r="D2869" s="352" t="s">
        <v>221</v>
      </c>
      <c r="E2869" s="336">
        <v>43680</v>
      </c>
      <c r="F2869" s="336">
        <v>43679</v>
      </c>
      <c r="G2869" s="373" t="s">
        <v>1140</v>
      </c>
      <c r="H2869" s="334" t="s">
        <v>7368</v>
      </c>
      <c r="I2869" s="356">
        <v>13818936939</v>
      </c>
      <c r="J2869" s="361" t="s">
        <v>7369</v>
      </c>
      <c r="K2869" s="356">
        <v>1000</v>
      </c>
      <c r="L2869" s="419"/>
      <c r="M2869" s="419"/>
      <c r="N2869" s="362">
        <f t="shared" si="105"/>
        <v>0</v>
      </c>
      <c r="O2869" s="356"/>
      <c r="P2869" s="366" t="s">
        <v>52</v>
      </c>
      <c r="Q2869" s="356"/>
      <c r="R2869" s="356"/>
      <c r="S2869" s="356"/>
      <c r="T2869" s="356"/>
      <c r="U2869" s="372"/>
      <c r="V2869" s="372"/>
      <c r="W2869" s="372"/>
      <c r="X2869" s="373"/>
      <c r="Y2869" s="348"/>
      <c r="Z2869" s="348"/>
      <c r="AA2869" s="348"/>
    </row>
    <row r="2870" s="331" customFormat="1" ht="17" customHeight="1" spans="1:27">
      <c r="A2870" s="348"/>
      <c r="B2870" s="348" t="s">
        <v>137</v>
      </c>
      <c r="C2870" s="348" t="s">
        <v>406</v>
      </c>
      <c r="D2870" s="349" t="s">
        <v>427</v>
      </c>
      <c r="E2870" s="336">
        <v>43694</v>
      </c>
      <c r="F2870" s="336">
        <v>43680</v>
      </c>
      <c r="G2870" s="336">
        <v>43694</v>
      </c>
      <c r="H2870" s="334" t="s">
        <v>795</v>
      </c>
      <c r="I2870" s="356">
        <v>13621923812</v>
      </c>
      <c r="J2870" s="361" t="s">
        <v>7370</v>
      </c>
      <c r="K2870" s="356">
        <v>1000</v>
      </c>
      <c r="L2870" s="334">
        <v>11467</v>
      </c>
      <c r="M2870" s="419"/>
      <c r="N2870" s="362">
        <f t="shared" si="105"/>
        <v>11467</v>
      </c>
      <c r="O2870" s="356"/>
      <c r="P2870" s="356">
        <v>1</v>
      </c>
      <c r="Q2870" s="356"/>
      <c r="R2870" s="356"/>
      <c r="S2870" s="356"/>
      <c r="T2870" s="356"/>
      <c r="U2870" s="372"/>
      <c r="V2870" s="372"/>
      <c r="W2870" s="372"/>
      <c r="X2870" s="373"/>
      <c r="Y2870" s="348"/>
      <c r="Z2870" s="348"/>
      <c r="AA2870" s="348"/>
    </row>
    <row r="2871" s="331" customFormat="1" ht="17" customHeight="1" spans="1:27">
      <c r="A2871" s="348"/>
      <c r="B2871" s="348" t="s">
        <v>405</v>
      </c>
      <c r="C2871" s="348" t="s">
        <v>1234</v>
      </c>
      <c r="D2871" s="352" t="s">
        <v>407</v>
      </c>
      <c r="E2871" s="336">
        <v>43690</v>
      </c>
      <c r="F2871" s="336">
        <v>43679</v>
      </c>
      <c r="G2871" s="336">
        <v>43689</v>
      </c>
      <c r="H2871" s="334" t="s">
        <v>7371</v>
      </c>
      <c r="I2871" s="356">
        <v>18616217170</v>
      </c>
      <c r="J2871" s="361" t="s">
        <v>7372</v>
      </c>
      <c r="K2871" s="356">
        <v>35000</v>
      </c>
      <c r="L2871" s="334">
        <f>35774-2624</f>
        <v>33150</v>
      </c>
      <c r="M2871" s="334">
        <v>2624</v>
      </c>
      <c r="N2871" s="362">
        <f t="shared" si="105"/>
        <v>35774</v>
      </c>
      <c r="O2871" s="356"/>
      <c r="P2871" s="356"/>
      <c r="Q2871" s="356"/>
      <c r="R2871" s="356"/>
      <c r="S2871" s="356"/>
      <c r="T2871" s="356"/>
      <c r="U2871" s="372"/>
      <c r="V2871" s="372"/>
      <c r="W2871" s="372"/>
      <c r="X2871" s="373"/>
      <c r="Y2871" s="348"/>
      <c r="Z2871" s="348"/>
      <c r="AA2871" s="348"/>
    </row>
    <row r="2872" s="331" customFormat="1" ht="17" customHeight="1" spans="1:27">
      <c r="A2872" s="550" t="s">
        <v>7373</v>
      </c>
      <c r="B2872" s="348" t="s">
        <v>153</v>
      </c>
      <c r="C2872" s="348" t="s">
        <v>154</v>
      </c>
      <c r="D2872" s="352" t="s">
        <v>155</v>
      </c>
      <c r="E2872" s="336">
        <v>43737</v>
      </c>
      <c r="F2872" s="336">
        <v>43680</v>
      </c>
      <c r="G2872" s="336">
        <v>43737</v>
      </c>
      <c r="H2872" s="334" t="s">
        <v>7374</v>
      </c>
      <c r="I2872" s="356">
        <v>13817250805</v>
      </c>
      <c r="J2872" s="361" t="s">
        <v>7375</v>
      </c>
      <c r="K2872" s="356">
        <v>3000</v>
      </c>
      <c r="L2872" s="334">
        <v>13743</v>
      </c>
      <c r="M2872" s="419"/>
      <c r="N2872" s="362">
        <f t="shared" si="105"/>
        <v>13743</v>
      </c>
      <c r="O2872" s="356"/>
      <c r="P2872" s="356"/>
      <c r="Q2872" s="356" t="s">
        <v>52</v>
      </c>
      <c r="R2872" s="356"/>
      <c r="S2872" s="356"/>
      <c r="T2872" s="356"/>
      <c r="U2872" s="372"/>
      <c r="V2872" s="372"/>
      <c r="W2872" s="372"/>
      <c r="X2872" s="373"/>
      <c r="Y2872" s="348"/>
      <c r="Z2872" s="348"/>
      <c r="AA2872" s="348"/>
    </row>
    <row r="2873" s="331" customFormat="1" ht="17" customHeight="1" spans="1:27">
      <c r="A2873" s="550" t="s">
        <v>7376</v>
      </c>
      <c r="B2873" s="348" t="s">
        <v>169</v>
      </c>
      <c r="C2873" s="348" t="s">
        <v>542</v>
      </c>
      <c r="D2873" s="352" t="s">
        <v>171</v>
      </c>
      <c r="E2873" s="336">
        <v>43708</v>
      </c>
      <c r="F2873" s="336">
        <v>43680</v>
      </c>
      <c r="G2873" s="336">
        <v>43708</v>
      </c>
      <c r="H2873" s="334" t="s">
        <v>357</v>
      </c>
      <c r="I2873" s="356">
        <v>13818304863</v>
      </c>
      <c r="J2873" s="361" t="s">
        <v>7377</v>
      </c>
      <c r="K2873" s="356">
        <v>1000</v>
      </c>
      <c r="L2873" s="334">
        <v>11000</v>
      </c>
      <c r="M2873" s="419"/>
      <c r="N2873" s="362">
        <f t="shared" si="105"/>
        <v>11000</v>
      </c>
      <c r="O2873" s="356" t="s">
        <v>19</v>
      </c>
      <c r="P2873" s="356"/>
      <c r="Q2873" s="356"/>
      <c r="R2873" s="356"/>
      <c r="S2873" s="356"/>
      <c r="T2873" s="356"/>
      <c r="U2873" s="372"/>
      <c r="V2873" s="372"/>
      <c r="W2873" s="372"/>
      <c r="X2873" s="373"/>
      <c r="Y2873" s="348"/>
      <c r="Z2873" s="348"/>
      <c r="AA2873" s="348"/>
    </row>
    <row r="2874" s="331" customFormat="1" ht="17" customHeight="1" spans="1:27">
      <c r="A2874" s="348"/>
      <c r="B2874" s="348" t="s">
        <v>137</v>
      </c>
      <c r="C2874" s="348" t="s">
        <v>480</v>
      </c>
      <c r="D2874" s="352" t="s">
        <v>139</v>
      </c>
      <c r="E2874" s="336">
        <v>43703</v>
      </c>
      <c r="F2874" s="336">
        <v>43680</v>
      </c>
      <c r="G2874" s="336">
        <v>43702</v>
      </c>
      <c r="H2874" s="334" t="s">
        <v>7378</v>
      </c>
      <c r="I2874" s="356">
        <v>18918583075</v>
      </c>
      <c r="J2874" s="361" t="s">
        <v>7379</v>
      </c>
      <c r="K2874" s="356">
        <v>1000</v>
      </c>
      <c r="L2874" s="334">
        <v>20845</v>
      </c>
      <c r="M2874" s="419"/>
      <c r="N2874" s="362">
        <f t="shared" si="105"/>
        <v>20845</v>
      </c>
      <c r="O2874" s="356"/>
      <c r="P2874" s="356">
        <v>1</v>
      </c>
      <c r="Q2874" s="356"/>
      <c r="R2874" s="356"/>
      <c r="S2874" s="356"/>
      <c r="T2874" s="356"/>
      <c r="U2874" s="372"/>
      <c r="V2874" s="372"/>
      <c r="W2874" s="372"/>
      <c r="X2874" s="373"/>
      <c r="Y2874" s="348"/>
      <c r="Z2874" s="348"/>
      <c r="AA2874" s="348"/>
    </row>
    <row r="2875" s="331" customFormat="1" ht="17" customHeight="1" spans="1:27">
      <c r="A2875" s="550" t="s">
        <v>7380</v>
      </c>
      <c r="B2875" s="348" t="s">
        <v>169</v>
      </c>
      <c r="C2875" s="348" t="s">
        <v>634</v>
      </c>
      <c r="D2875" s="352" t="s">
        <v>635</v>
      </c>
      <c r="E2875" s="336">
        <v>43708</v>
      </c>
      <c r="F2875" s="336">
        <v>43680</v>
      </c>
      <c r="G2875" s="336">
        <v>43708</v>
      </c>
      <c r="H2875" s="334" t="s">
        <v>7381</v>
      </c>
      <c r="I2875" s="356">
        <v>18019093837</v>
      </c>
      <c r="J2875" s="361" t="s">
        <v>7382</v>
      </c>
      <c r="K2875" s="356">
        <v>1000</v>
      </c>
      <c r="L2875" s="334">
        <v>4220</v>
      </c>
      <c r="M2875" s="419"/>
      <c r="N2875" s="362">
        <f t="shared" si="105"/>
        <v>4220</v>
      </c>
      <c r="O2875" s="356"/>
      <c r="P2875" s="356" t="s">
        <v>1526</v>
      </c>
      <c r="Q2875" s="356"/>
      <c r="R2875" s="356"/>
      <c r="S2875" s="356"/>
      <c r="T2875" s="356"/>
      <c r="U2875" s="372"/>
      <c r="V2875" s="372"/>
      <c r="W2875" s="372"/>
      <c r="X2875" s="373"/>
      <c r="Y2875" s="348"/>
      <c r="Z2875" s="348"/>
      <c r="AA2875" s="348"/>
    </row>
    <row r="2876" s="331" customFormat="1" ht="17" customHeight="1" spans="1:27">
      <c r="A2876" s="550" t="s">
        <v>1435</v>
      </c>
      <c r="B2876" s="348" t="s">
        <v>94</v>
      </c>
      <c r="C2876" s="348" t="s">
        <v>101</v>
      </c>
      <c r="D2876" s="352" t="s">
        <v>49</v>
      </c>
      <c r="E2876" s="336">
        <v>43708</v>
      </c>
      <c r="F2876" s="336">
        <v>43679</v>
      </c>
      <c r="G2876" s="336">
        <v>43699</v>
      </c>
      <c r="H2876" s="334" t="s">
        <v>7383</v>
      </c>
      <c r="I2876" s="356">
        <v>13601732118</v>
      </c>
      <c r="J2876" s="361" t="s">
        <v>7384</v>
      </c>
      <c r="K2876" s="356">
        <v>10000</v>
      </c>
      <c r="L2876" s="334">
        <f>14519-1472</f>
        <v>13047</v>
      </c>
      <c r="M2876" s="334">
        <f>30+1472</f>
        <v>1502</v>
      </c>
      <c r="N2876" s="362">
        <f t="shared" si="105"/>
        <v>14549</v>
      </c>
      <c r="O2876" s="356"/>
      <c r="P2876" s="356"/>
      <c r="Q2876" s="366" t="s">
        <v>52</v>
      </c>
      <c r="R2876" s="356"/>
      <c r="S2876" s="356"/>
      <c r="T2876" s="356"/>
      <c r="U2876" s="372"/>
      <c r="V2876" s="372"/>
      <c r="W2876" s="372"/>
      <c r="X2876" s="373"/>
      <c r="Y2876" s="348"/>
      <c r="Z2876" s="348"/>
      <c r="AA2876" s="348"/>
    </row>
    <row r="2877" s="331" customFormat="1" ht="17" customHeight="1" spans="1:27">
      <c r="A2877" s="550" t="s">
        <v>7385</v>
      </c>
      <c r="B2877" s="348" t="s">
        <v>315</v>
      </c>
      <c r="C2877" s="348" t="s">
        <v>275</v>
      </c>
      <c r="D2877" s="352" t="s">
        <v>162</v>
      </c>
      <c r="E2877" s="336">
        <v>43731</v>
      </c>
      <c r="F2877" s="336">
        <v>43680</v>
      </c>
      <c r="G2877" s="336">
        <v>43730</v>
      </c>
      <c r="H2877" s="334" t="s">
        <v>7386</v>
      </c>
      <c r="I2877" s="356">
        <v>13918720532</v>
      </c>
      <c r="J2877" s="361" t="s">
        <v>7387</v>
      </c>
      <c r="K2877" s="356">
        <v>1000</v>
      </c>
      <c r="L2877" s="334">
        <v>6702</v>
      </c>
      <c r="M2877" s="419"/>
      <c r="N2877" s="362">
        <f t="shared" si="105"/>
        <v>6702</v>
      </c>
      <c r="O2877" s="356"/>
      <c r="P2877" s="356"/>
      <c r="Q2877" s="356">
        <v>1</v>
      </c>
      <c r="R2877" s="356"/>
      <c r="S2877" s="356"/>
      <c r="T2877" s="356"/>
      <c r="U2877" s="372"/>
      <c r="V2877" s="372"/>
      <c r="W2877" s="372"/>
      <c r="X2877" s="373"/>
      <c r="Y2877" s="348"/>
      <c r="Z2877" s="348"/>
      <c r="AA2877" s="348"/>
    </row>
    <row r="2878" s="331" customFormat="1" ht="17" customHeight="1" spans="1:27">
      <c r="A2878" s="550" t="s">
        <v>7388</v>
      </c>
      <c r="B2878" s="348" t="s">
        <v>66</v>
      </c>
      <c r="C2878" s="348" t="s">
        <v>1749</v>
      </c>
      <c r="D2878" s="352" t="s">
        <v>68</v>
      </c>
      <c r="E2878" s="336">
        <v>43700</v>
      </c>
      <c r="F2878" s="336">
        <v>43680</v>
      </c>
      <c r="G2878" s="336">
        <v>43699</v>
      </c>
      <c r="H2878" s="334" t="s">
        <v>7389</v>
      </c>
      <c r="I2878" s="356">
        <v>13818109414</v>
      </c>
      <c r="J2878" s="361" t="s">
        <v>7390</v>
      </c>
      <c r="K2878" s="356">
        <v>1000</v>
      </c>
      <c r="L2878" s="334">
        <f>5469-804</f>
        <v>4665</v>
      </c>
      <c r="M2878" s="334">
        <v>804</v>
      </c>
      <c r="N2878" s="362">
        <f t="shared" si="105"/>
        <v>5469</v>
      </c>
      <c r="O2878" s="356" t="s">
        <v>7391</v>
      </c>
      <c r="P2878" s="356"/>
      <c r="Q2878" s="356"/>
      <c r="R2878" s="356"/>
      <c r="S2878" s="356"/>
      <c r="T2878" s="356"/>
      <c r="U2878" s="372"/>
      <c r="V2878" s="372"/>
      <c r="W2878" s="372"/>
      <c r="X2878" s="373"/>
      <c r="Y2878" s="348"/>
      <c r="Z2878" s="348"/>
      <c r="AA2878" s="348"/>
    </row>
    <row r="2879" s="331" customFormat="1" ht="17" customHeight="1" spans="1:27">
      <c r="A2879" s="550" t="s">
        <v>7392</v>
      </c>
      <c r="B2879" s="348" t="s">
        <v>66</v>
      </c>
      <c r="C2879" s="348" t="s">
        <v>951</v>
      </c>
      <c r="D2879" s="334" t="s">
        <v>2302</v>
      </c>
      <c r="E2879" s="336">
        <v>43716</v>
      </c>
      <c r="F2879" s="336">
        <v>43680</v>
      </c>
      <c r="G2879" s="336">
        <v>43712</v>
      </c>
      <c r="H2879" s="334" t="s">
        <v>7393</v>
      </c>
      <c r="I2879" s="356">
        <v>18016317911</v>
      </c>
      <c r="J2879" s="361" t="s">
        <v>7394</v>
      </c>
      <c r="K2879" s="356">
        <v>3000</v>
      </c>
      <c r="L2879" s="334">
        <f>9797-1072</f>
        <v>8725</v>
      </c>
      <c r="M2879" s="334">
        <v>1072</v>
      </c>
      <c r="N2879" s="362">
        <f t="shared" si="105"/>
        <v>9797</v>
      </c>
      <c r="O2879" s="356"/>
      <c r="P2879" s="356" t="s">
        <v>1526</v>
      </c>
      <c r="Q2879" s="356"/>
      <c r="R2879" s="356"/>
      <c r="S2879" s="356"/>
      <c r="T2879" s="356"/>
      <c r="U2879" s="372"/>
      <c r="V2879" s="372"/>
      <c r="W2879" s="372"/>
      <c r="X2879" s="373"/>
      <c r="Y2879" s="348"/>
      <c r="Z2879" s="348"/>
      <c r="AA2879" s="348"/>
    </row>
    <row r="2880" s="331" customFormat="1" ht="17" customHeight="1" spans="1:27">
      <c r="A2880" s="550" t="s">
        <v>7395</v>
      </c>
      <c r="B2880" s="348" t="s">
        <v>315</v>
      </c>
      <c r="C2880" s="348" t="s">
        <v>181</v>
      </c>
      <c r="D2880" s="334" t="s">
        <v>162</v>
      </c>
      <c r="E2880" s="336">
        <v>43707</v>
      </c>
      <c r="F2880" s="336">
        <v>43680</v>
      </c>
      <c r="G2880" s="336">
        <v>43705</v>
      </c>
      <c r="H2880" s="334" t="s">
        <v>7396</v>
      </c>
      <c r="I2880" s="356">
        <v>18121223701</v>
      </c>
      <c r="J2880" s="361" t="s">
        <v>7397</v>
      </c>
      <c r="K2880" s="356">
        <v>1000</v>
      </c>
      <c r="L2880" s="334">
        <v>9500</v>
      </c>
      <c r="M2880" s="419"/>
      <c r="N2880" s="362">
        <f t="shared" si="105"/>
        <v>9500</v>
      </c>
      <c r="O2880" s="356"/>
      <c r="P2880" s="356"/>
      <c r="Q2880" s="356">
        <v>1</v>
      </c>
      <c r="R2880" s="356"/>
      <c r="S2880" s="356"/>
      <c r="T2880" s="356"/>
      <c r="U2880" s="372"/>
      <c r="V2880" s="372"/>
      <c r="W2880" s="372"/>
      <c r="X2880" s="373"/>
      <c r="Y2880" s="348"/>
      <c r="Z2880" s="348"/>
      <c r="AA2880" s="348"/>
    </row>
    <row r="2881" s="331" customFormat="1" ht="17" customHeight="1" spans="1:27">
      <c r="A2881" s="550" t="s">
        <v>7398</v>
      </c>
      <c r="B2881" s="348" t="s">
        <v>66</v>
      </c>
      <c r="C2881" s="348" t="s">
        <v>67</v>
      </c>
      <c r="D2881" s="352" t="s">
        <v>143</v>
      </c>
      <c r="E2881" s="336">
        <v>43737</v>
      </c>
      <c r="F2881" s="336">
        <v>43680</v>
      </c>
      <c r="G2881" s="336">
        <v>43737</v>
      </c>
      <c r="H2881" s="334" t="s">
        <v>7399</v>
      </c>
      <c r="I2881" s="356">
        <v>13816364348</v>
      </c>
      <c r="J2881" s="361" t="s">
        <v>7400</v>
      </c>
      <c r="K2881" s="356">
        <v>1000</v>
      </c>
      <c r="L2881" s="334">
        <v>37629</v>
      </c>
      <c r="M2881" s="419"/>
      <c r="N2881" s="362">
        <f t="shared" si="105"/>
        <v>37629</v>
      </c>
      <c r="O2881" s="356"/>
      <c r="P2881" s="356"/>
      <c r="Q2881" s="356"/>
      <c r="R2881" s="366" t="s">
        <v>52</v>
      </c>
      <c r="S2881" s="356"/>
      <c r="T2881" s="356"/>
      <c r="U2881" s="372"/>
      <c r="V2881" s="356" t="s">
        <v>7401</v>
      </c>
      <c r="W2881" s="372"/>
      <c r="X2881" s="373"/>
      <c r="Y2881" s="348"/>
      <c r="Z2881" s="348"/>
      <c r="AA2881" s="348"/>
    </row>
    <row r="2882" s="331" customFormat="1" ht="17" customHeight="1" spans="1:27">
      <c r="A2882" s="550" t="s">
        <v>7402</v>
      </c>
      <c r="B2882" s="348" t="s">
        <v>123</v>
      </c>
      <c r="C2882" s="348" t="s">
        <v>902</v>
      </c>
      <c r="D2882" s="352" t="s">
        <v>125</v>
      </c>
      <c r="E2882" s="336">
        <v>43691</v>
      </c>
      <c r="F2882" s="336">
        <v>43680</v>
      </c>
      <c r="G2882" s="336">
        <v>43691</v>
      </c>
      <c r="H2882" s="334" t="s">
        <v>7403</v>
      </c>
      <c r="I2882" s="356">
        <v>17717070621</v>
      </c>
      <c r="J2882" s="361" t="s">
        <v>7404</v>
      </c>
      <c r="K2882" s="356">
        <v>1000</v>
      </c>
      <c r="L2882" s="334">
        <v>2964</v>
      </c>
      <c r="M2882" s="419"/>
      <c r="N2882" s="362">
        <f t="shared" si="105"/>
        <v>2964</v>
      </c>
      <c r="O2882" s="356"/>
      <c r="P2882" s="356"/>
      <c r="Q2882" s="356"/>
      <c r="R2882" s="356"/>
      <c r="S2882" s="356"/>
      <c r="T2882" s="356"/>
      <c r="U2882" s="372"/>
      <c r="V2882" s="372"/>
      <c r="W2882" s="372"/>
      <c r="X2882" s="373"/>
      <c r="Y2882" s="348"/>
      <c r="Z2882" s="348"/>
      <c r="AA2882" s="348"/>
    </row>
    <row r="2883" s="331" customFormat="1" ht="17" customHeight="1" spans="1:27">
      <c r="A2883" s="550" t="s">
        <v>7405</v>
      </c>
      <c r="B2883" s="348" t="s">
        <v>354</v>
      </c>
      <c r="C2883" s="348" t="s">
        <v>355</v>
      </c>
      <c r="D2883" s="334" t="s">
        <v>182</v>
      </c>
      <c r="E2883" s="336">
        <v>43736</v>
      </c>
      <c r="F2883" s="336">
        <v>43679</v>
      </c>
      <c r="G2883" s="336">
        <v>43736</v>
      </c>
      <c r="H2883" s="334" t="s">
        <v>7406</v>
      </c>
      <c r="I2883" s="356">
        <v>13916033019</v>
      </c>
      <c r="J2883" s="361" t="s">
        <v>7407</v>
      </c>
      <c r="K2883" s="356">
        <v>3000</v>
      </c>
      <c r="L2883" s="334">
        <v>17626</v>
      </c>
      <c r="M2883" s="419"/>
      <c r="N2883" s="362">
        <f t="shared" si="105"/>
        <v>17626</v>
      </c>
      <c r="O2883" s="356"/>
      <c r="P2883" s="356" t="s">
        <v>52</v>
      </c>
      <c r="Q2883" s="356"/>
      <c r="R2883" s="356"/>
      <c r="S2883" s="356"/>
      <c r="T2883" s="356"/>
      <c r="U2883" s="372"/>
      <c r="V2883" s="372"/>
      <c r="W2883" s="372"/>
      <c r="X2883" s="373"/>
      <c r="Y2883" s="348"/>
      <c r="Z2883" s="348"/>
      <c r="AA2883" s="348"/>
    </row>
    <row r="2884" s="331" customFormat="1" ht="17" customHeight="1" spans="1:27">
      <c r="A2884" s="550" t="s">
        <v>7408</v>
      </c>
      <c r="B2884" s="348" t="s">
        <v>73</v>
      </c>
      <c r="C2884" s="348" t="s">
        <v>74</v>
      </c>
      <c r="D2884" s="334" t="s">
        <v>132</v>
      </c>
      <c r="E2884" s="336">
        <v>43737</v>
      </c>
      <c r="F2884" s="336">
        <v>43679</v>
      </c>
      <c r="G2884" s="336">
        <v>43735</v>
      </c>
      <c r="H2884" s="334" t="s">
        <v>975</v>
      </c>
      <c r="I2884" s="356">
        <v>15601690228</v>
      </c>
      <c r="J2884" s="361" t="s">
        <v>7409</v>
      </c>
      <c r="K2884" s="356">
        <v>1000</v>
      </c>
      <c r="L2884" s="334">
        <v>24986</v>
      </c>
      <c r="M2884" s="419"/>
      <c r="N2884" s="362">
        <f t="shared" si="105"/>
        <v>24986</v>
      </c>
      <c r="O2884" s="366" t="s">
        <v>52</v>
      </c>
      <c r="P2884" s="356"/>
      <c r="Q2884" s="356"/>
      <c r="R2884" s="356"/>
      <c r="S2884" s="356"/>
      <c r="T2884" s="356"/>
      <c r="U2884" s="372"/>
      <c r="V2884" s="372"/>
      <c r="W2884" s="372"/>
      <c r="X2884" s="373"/>
      <c r="Y2884" s="348"/>
      <c r="Z2884" s="348"/>
      <c r="AA2884" s="348"/>
    </row>
    <row r="2885" s="331" customFormat="1" ht="17" customHeight="1" spans="1:27">
      <c r="A2885" s="550" t="s">
        <v>7410</v>
      </c>
      <c r="B2885" s="348" t="s">
        <v>73</v>
      </c>
      <c r="C2885" s="348" t="s">
        <v>178</v>
      </c>
      <c r="D2885" s="352" t="s">
        <v>75</v>
      </c>
      <c r="E2885" s="336">
        <v>43680</v>
      </c>
      <c r="F2885" s="336">
        <v>43680</v>
      </c>
      <c r="G2885" s="350" t="s">
        <v>69</v>
      </c>
      <c r="H2885" s="334" t="s">
        <v>7411</v>
      </c>
      <c r="I2885" s="356">
        <v>13801786006</v>
      </c>
      <c r="J2885" s="361" t="s">
        <v>7412</v>
      </c>
      <c r="K2885" s="356">
        <v>0</v>
      </c>
      <c r="L2885" s="419"/>
      <c r="M2885" s="419"/>
      <c r="N2885" s="362">
        <f t="shared" si="105"/>
        <v>0</v>
      </c>
      <c r="O2885" s="366" t="s">
        <v>52</v>
      </c>
      <c r="P2885" s="356"/>
      <c r="Q2885" s="356"/>
      <c r="R2885" s="356"/>
      <c r="S2885" s="356"/>
      <c r="T2885" s="356"/>
      <c r="U2885" s="372"/>
      <c r="V2885" s="372"/>
      <c r="W2885" s="372"/>
      <c r="X2885" s="373"/>
      <c r="Y2885" s="348"/>
      <c r="Z2885" s="348"/>
      <c r="AA2885" s="348"/>
    </row>
    <row r="2886" s="331" customFormat="1" ht="17" customHeight="1" spans="1:27">
      <c r="A2886" s="348"/>
      <c r="B2886" s="348" t="s">
        <v>137</v>
      </c>
      <c r="C2886" s="348" t="s">
        <v>411</v>
      </c>
      <c r="D2886" s="349" t="s">
        <v>139</v>
      </c>
      <c r="E2886" s="336">
        <v>43690</v>
      </c>
      <c r="F2886" s="336">
        <v>43680</v>
      </c>
      <c r="G2886" s="336">
        <v>43688</v>
      </c>
      <c r="H2886" s="334" t="s">
        <v>7413</v>
      </c>
      <c r="I2886" s="356">
        <v>13917409020</v>
      </c>
      <c r="J2886" s="361" t="s">
        <v>7414</v>
      </c>
      <c r="K2886" s="356">
        <v>1000</v>
      </c>
      <c r="L2886" s="334">
        <f>4220-736</f>
        <v>3484</v>
      </c>
      <c r="M2886" s="334">
        <v>736</v>
      </c>
      <c r="N2886" s="362">
        <f t="shared" si="105"/>
        <v>4220</v>
      </c>
      <c r="O2886" s="356"/>
      <c r="P2886" s="356">
        <v>1</v>
      </c>
      <c r="Q2886" s="356"/>
      <c r="R2886" s="356"/>
      <c r="S2886" s="356"/>
      <c r="T2886" s="356"/>
      <c r="U2886" s="372"/>
      <c r="V2886" s="372"/>
      <c r="W2886" s="372"/>
      <c r="X2886" s="373"/>
      <c r="Y2886" s="348"/>
      <c r="Z2886" s="348"/>
      <c r="AA2886" s="348"/>
    </row>
    <row r="2887" s="331" customFormat="1" ht="17" customHeight="1" spans="1:27">
      <c r="A2887" s="348"/>
      <c r="B2887" s="348" t="s">
        <v>137</v>
      </c>
      <c r="C2887" s="348" t="s">
        <v>411</v>
      </c>
      <c r="D2887" s="349" t="s">
        <v>191</v>
      </c>
      <c r="E2887" s="336">
        <v>43682</v>
      </c>
      <c r="F2887" s="336">
        <v>43680</v>
      </c>
      <c r="G2887" s="336">
        <v>43681</v>
      </c>
      <c r="H2887" s="334" t="s">
        <v>7415</v>
      </c>
      <c r="I2887" s="356">
        <v>13681891080</v>
      </c>
      <c r="J2887" s="361" t="s">
        <v>7416</v>
      </c>
      <c r="K2887" s="356">
        <v>1000</v>
      </c>
      <c r="L2887" s="334">
        <v>7933</v>
      </c>
      <c r="M2887" s="419"/>
      <c r="N2887" s="362">
        <f t="shared" si="105"/>
        <v>7933</v>
      </c>
      <c r="O2887" s="356"/>
      <c r="P2887" s="356"/>
      <c r="Q2887" s="356"/>
      <c r="R2887" s="356"/>
      <c r="S2887" s="356"/>
      <c r="T2887" s="356"/>
      <c r="U2887" s="372"/>
      <c r="V2887" s="372"/>
      <c r="W2887" s="372"/>
      <c r="X2887" s="373"/>
      <c r="Y2887" s="348"/>
      <c r="Z2887" s="348"/>
      <c r="AA2887" s="348"/>
    </row>
    <row r="2888" s="331" customFormat="1" ht="17" customHeight="1" spans="1:27">
      <c r="A2888" s="550" t="s">
        <v>7417</v>
      </c>
      <c r="B2888" s="348" t="s">
        <v>153</v>
      </c>
      <c r="C2888" s="348" t="s">
        <v>302</v>
      </c>
      <c r="D2888" s="352" t="s">
        <v>155</v>
      </c>
      <c r="E2888" s="336">
        <v>43734</v>
      </c>
      <c r="F2888" s="336">
        <v>43680</v>
      </c>
      <c r="G2888" s="336">
        <v>43708</v>
      </c>
      <c r="H2888" s="334" t="s">
        <v>7418</v>
      </c>
      <c r="I2888" s="356">
        <v>13761126698</v>
      </c>
      <c r="J2888" s="361" t="s">
        <v>7419</v>
      </c>
      <c r="K2888" s="356">
        <v>6000</v>
      </c>
      <c r="L2888" s="334">
        <f>10159-1104</f>
        <v>9055</v>
      </c>
      <c r="M2888" s="334">
        <v>1104</v>
      </c>
      <c r="N2888" s="362">
        <f t="shared" si="105"/>
        <v>10159</v>
      </c>
      <c r="O2888" s="356"/>
      <c r="P2888" s="356"/>
      <c r="Q2888" s="356"/>
      <c r="R2888" s="356"/>
      <c r="S2888" s="356"/>
      <c r="T2888" s="356"/>
      <c r="U2888" s="372"/>
      <c r="V2888" s="372" t="s">
        <v>1472</v>
      </c>
      <c r="W2888" s="372"/>
      <c r="X2888" s="373"/>
      <c r="Y2888" s="348"/>
      <c r="Z2888" s="348"/>
      <c r="AA2888" s="348"/>
    </row>
    <row r="2889" s="331" customFormat="1" ht="17" customHeight="1" spans="1:27">
      <c r="A2889" s="348" t="s">
        <v>7420</v>
      </c>
      <c r="B2889" s="348" t="s">
        <v>47</v>
      </c>
      <c r="C2889" s="348" t="s">
        <v>53</v>
      </c>
      <c r="D2889" s="352" t="s">
        <v>49</v>
      </c>
      <c r="E2889" s="336">
        <v>43682</v>
      </c>
      <c r="F2889" s="336">
        <v>43681</v>
      </c>
      <c r="G2889" s="336">
        <v>43681</v>
      </c>
      <c r="H2889" s="334" t="s">
        <v>7421</v>
      </c>
      <c r="I2889" s="356">
        <v>13916007527</v>
      </c>
      <c r="J2889" s="361" t="s">
        <v>7422</v>
      </c>
      <c r="K2889" s="356">
        <v>1000</v>
      </c>
      <c r="L2889" s="334">
        <v>5338</v>
      </c>
      <c r="M2889" s="419"/>
      <c r="N2889" s="362">
        <f t="shared" si="105"/>
        <v>5338</v>
      </c>
      <c r="O2889" s="356"/>
      <c r="P2889" s="356"/>
      <c r="Q2889" s="356"/>
      <c r="R2889" s="356"/>
      <c r="S2889" s="356"/>
      <c r="T2889" s="356"/>
      <c r="U2889" s="372"/>
      <c r="V2889" s="372"/>
      <c r="W2889" s="372"/>
      <c r="X2889" s="373"/>
      <c r="Y2889" s="348"/>
      <c r="Z2889" s="348"/>
      <c r="AA2889" s="348"/>
    </row>
    <row r="2890" s="331" customFormat="1" ht="17" customHeight="1" spans="1:27">
      <c r="A2890" s="348" t="s">
        <v>7423</v>
      </c>
      <c r="B2890" s="348" t="s">
        <v>169</v>
      </c>
      <c r="C2890" s="348" t="s">
        <v>634</v>
      </c>
      <c r="D2890" s="352" t="s">
        <v>635</v>
      </c>
      <c r="E2890" s="336">
        <v>43706</v>
      </c>
      <c r="F2890" s="336">
        <v>43680</v>
      </c>
      <c r="G2890" s="336">
        <v>43705</v>
      </c>
      <c r="H2890" s="334" t="s">
        <v>7424</v>
      </c>
      <c r="I2890" s="356">
        <v>13482031705</v>
      </c>
      <c r="J2890" s="361" t="s">
        <v>7425</v>
      </c>
      <c r="K2890" s="356">
        <v>1000</v>
      </c>
      <c r="L2890" s="334">
        <v>8845</v>
      </c>
      <c r="M2890" s="419"/>
      <c r="N2890" s="362">
        <f t="shared" si="105"/>
        <v>8845</v>
      </c>
      <c r="O2890" s="356"/>
      <c r="P2890" s="356"/>
      <c r="Q2890" s="356"/>
      <c r="R2890" s="356"/>
      <c r="S2890" s="356"/>
      <c r="T2890" s="356"/>
      <c r="U2890" s="372"/>
      <c r="V2890" s="372" t="s">
        <v>98</v>
      </c>
      <c r="W2890" s="372"/>
      <c r="X2890" s="373"/>
      <c r="Y2890" s="348"/>
      <c r="Z2890" s="348"/>
      <c r="AA2890" s="348"/>
    </row>
    <row r="2891" s="331" customFormat="1" ht="17" customHeight="1" spans="1:27">
      <c r="A2891" s="348" t="s">
        <v>7426</v>
      </c>
      <c r="B2891" s="348" t="s">
        <v>205</v>
      </c>
      <c r="C2891" s="348" t="s">
        <v>1467</v>
      </c>
      <c r="D2891" s="349" t="s">
        <v>89</v>
      </c>
      <c r="E2891" s="336">
        <v>43702</v>
      </c>
      <c r="F2891" s="336">
        <v>43681</v>
      </c>
      <c r="G2891" s="336">
        <v>43701</v>
      </c>
      <c r="H2891" s="334" t="s">
        <v>7427</v>
      </c>
      <c r="I2891" s="356">
        <v>13888131567</v>
      </c>
      <c r="J2891" s="361" t="s">
        <v>7428</v>
      </c>
      <c r="K2891" s="356">
        <v>9595</v>
      </c>
      <c r="L2891" s="334">
        <v>14495</v>
      </c>
      <c r="M2891" s="419"/>
      <c r="N2891" s="362">
        <f t="shared" si="105"/>
        <v>14495</v>
      </c>
      <c r="O2891" s="356"/>
      <c r="P2891" s="356" t="s">
        <v>1526</v>
      </c>
      <c r="Q2891" s="356"/>
      <c r="R2891" s="356"/>
      <c r="S2891" s="356"/>
      <c r="T2891" s="356"/>
      <c r="U2891" s="372"/>
      <c r="V2891" s="372" t="s">
        <v>7429</v>
      </c>
      <c r="W2891" s="372"/>
      <c r="X2891" s="373"/>
      <c r="Y2891" s="348"/>
      <c r="Z2891" s="348"/>
      <c r="AA2891" s="348"/>
    </row>
    <row r="2892" s="331" customFormat="1" ht="17" customHeight="1" spans="1:27">
      <c r="A2892" s="348" t="s">
        <v>7430</v>
      </c>
      <c r="B2892" s="348" t="s">
        <v>35</v>
      </c>
      <c r="C2892" s="348" t="s">
        <v>392</v>
      </c>
      <c r="D2892" s="352" t="s">
        <v>37</v>
      </c>
      <c r="E2892" s="336">
        <v>43681</v>
      </c>
      <c r="F2892" s="336">
        <v>43674</v>
      </c>
      <c r="G2892" s="372"/>
      <c r="H2892" s="334" t="s">
        <v>7431</v>
      </c>
      <c r="I2892" s="356">
        <v>18201719857</v>
      </c>
      <c r="J2892" s="361" t="s">
        <v>7432</v>
      </c>
      <c r="K2892" s="356">
        <v>1000</v>
      </c>
      <c r="L2892" s="419"/>
      <c r="M2892" s="419"/>
      <c r="N2892" s="362">
        <f t="shared" si="105"/>
        <v>0</v>
      </c>
      <c r="O2892" s="356"/>
      <c r="P2892" s="356"/>
      <c r="Q2892" s="356"/>
      <c r="R2892" s="356"/>
      <c r="S2892" s="356"/>
      <c r="T2892" s="356"/>
      <c r="U2892" s="400" t="s">
        <v>1595</v>
      </c>
      <c r="V2892" s="372"/>
      <c r="W2892" s="372"/>
      <c r="X2892" s="373"/>
      <c r="Y2892" s="348"/>
      <c r="Z2892" s="348"/>
      <c r="AA2892" s="348"/>
    </row>
    <row r="2893" s="331" customFormat="1" ht="17" customHeight="1" spans="1:27">
      <c r="A2893" s="348" t="s">
        <v>4348</v>
      </c>
      <c r="B2893" s="348" t="s">
        <v>73</v>
      </c>
      <c r="C2893" s="348" t="s">
        <v>74</v>
      </c>
      <c r="D2893" s="334" t="s">
        <v>132</v>
      </c>
      <c r="E2893" s="336">
        <v>43728</v>
      </c>
      <c r="F2893" s="336">
        <v>43681</v>
      </c>
      <c r="G2893" s="336">
        <v>43726</v>
      </c>
      <c r="H2893" s="334" t="s">
        <v>7433</v>
      </c>
      <c r="I2893" s="356">
        <v>13918925308</v>
      </c>
      <c r="J2893" s="361" t="s">
        <v>7434</v>
      </c>
      <c r="K2893" s="356">
        <v>1000</v>
      </c>
      <c r="L2893" s="334">
        <v>12746</v>
      </c>
      <c r="M2893" s="334">
        <v>2173</v>
      </c>
      <c r="N2893" s="362">
        <f t="shared" si="105"/>
        <v>14919</v>
      </c>
      <c r="O2893" s="366" t="s">
        <v>52</v>
      </c>
      <c r="P2893" s="356"/>
      <c r="Q2893" s="356"/>
      <c r="R2893" s="356"/>
      <c r="S2893" s="356"/>
      <c r="T2893" s="356"/>
      <c r="U2893" s="372"/>
      <c r="V2893" s="372"/>
      <c r="W2893" s="372"/>
      <c r="X2893" s="373"/>
      <c r="Y2893" s="348"/>
      <c r="Z2893" s="348"/>
      <c r="AA2893" s="348"/>
    </row>
    <row r="2894" s="331" customFormat="1" ht="17" customHeight="1" spans="1:27">
      <c r="A2894" s="348" t="s">
        <v>4554</v>
      </c>
      <c r="B2894" s="348" t="s">
        <v>73</v>
      </c>
      <c r="C2894" s="348" t="s">
        <v>74</v>
      </c>
      <c r="D2894" s="352" t="s">
        <v>75</v>
      </c>
      <c r="E2894" s="336">
        <v>43738</v>
      </c>
      <c r="F2894" s="336">
        <v>43681</v>
      </c>
      <c r="G2894" s="336">
        <v>43738</v>
      </c>
      <c r="H2894" s="334" t="s">
        <v>7435</v>
      </c>
      <c r="I2894" s="356">
        <v>13701776267</v>
      </c>
      <c r="J2894" s="361" t="s">
        <v>7436</v>
      </c>
      <c r="K2894" s="356">
        <v>0</v>
      </c>
      <c r="L2894" s="334">
        <v>62044</v>
      </c>
      <c r="M2894" s="419"/>
      <c r="N2894" s="362">
        <f t="shared" ref="N2894:N2925" si="106">L2894+M2894</f>
        <v>62044</v>
      </c>
      <c r="O2894" s="366" t="s">
        <v>52</v>
      </c>
      <c r="P2894" s="356"/>
      <c r="Q2894" s="356"/>
      <c r="R2894" s="356"/>
      <c r="S2894" s="356"/>
      <c r="T2894" s="356"/>
      <c r="U2894" s="372"/>
      <c r="V2894" s="372"/>
      <c r="W2894" s="372"/>
      <c r="X2894" s="373"/>
      <c r="Y2894" s="348"/>
      <c r="Z2894" s="348"/>
      <c r="AA2894" s="348"/>
    </row>
    <row r="2895" s="331" customFormat="1" ht="17" customHeight="1" spans="1:27">
      <c r="A2895" s="348" t="s">
        <v>4145</v>
      </c>
      <c r="B2895" s="348" t="s">
        <v>73</v>
      </c>
      <c r="C2895" s="348" t="s">
        <v>178</v>
      </c>
      <c r="D2895" s="334" t="s">
        <v>717</v>
      </c>
      <c r="E2895" s="336">
        <v>43717</v>
      </c>
      <c r="F2895" s="336">
        <v>43681</v>
      </c>
      <c r="G2895" s="336">
        <v>43715</v>
      </c>
      <c r="H2895" s="334" t="s">
        <v>7437</v>
      </c>
      <c r="I2895" s="356">
        <v>18602428417</v>
      </c>
      <c r="J2895" s="361" t="s">
        <v>7438</v>
      </c>
      <c r="K2895" s="356">
        <v>1000</v>
      </c>
      <c r="L2895" s="334">
        <f>11279-1104</f>
        <v>10175</v>
      </c>
      <c r="M2895" s="334">
        <v>1104</v>
      </c>
      <c r="N2895" s="362">
        <f t="shared" si="106"/>
        <v>11279</v>
      </c>
      <c r="O2895" s="366" t="s">
        <v>52</v>
      </c>
      <c r="P2895" s="356"/>
      <c r="Q2895" s="356"/>
      <c r="R2895" s="356"/>
      <c r="S2895" s="356"/>
      <c r="T2895" s="356"/>
      <c r="U2895" s="372"/>
      <c r="V2895" s="372"/>
      <c r="W2895" s="372"/>
      <c r="X2895" s="373"/>
      <c r="Y2895" s="348"/>
      <c r="Z2895" s="348"/>
      <c r="AA2895" s="348"/>
    </row>
    <row r="2896" s="331" customFormat="1" ht="17" customHeight="1" spans="1:27">
      <c r="A2896" s="348"/>
      <c r="B2896" s="348" t="s">
        <v>31</v>
      </c>
      <c r="C2896" s="348" t="s">
        <v>220</v>
      </c>
      <c r="D2896" s="349" t="s">
        <v>33</v>
      </c>
      <c r="E2896" s="336">
        <v>43687</v>
      </c>
      <c r="F2896" s="336">
        <v>43681</v>
      </c>
      <c r="G2896" s="336">
        <v>43687</v>
      </c>
      <c r="H2896" s="334" t="s">
        <v>7439</v>
      </c>
      <c r="I2896" s="356">
        <v>18019413622</v>
      </c>
      <c r="J2896" s="361" t="s">
        <v>7440</v>
      </c>
      <c r="K2896" s="356">
        <v>1000</v>
      </c>
      <c r="L2896" s="334">
        <v>5514</v>
      </c>
      <c r="M2896" s="419"/>
      <c r="N2896" s="362">
        <f t="shared" si="106"/>
        <v>5514</v>
      </c>
      <c r="O2896" s="356"/>
      <c r="P2896" s="356"/>
      <c r="Q2896" s="356"/>
      <c r="R2896" s="356"/>
      <c r="S2896" s="356"/>
      <c r="T2896" s="356"/>
      <c r="U2896" s="372"/>
      <c r="V2896" s="372"/>
      <c r="W2896" s="372"/>
      <c r="X2896" s="373"/>
      <c r="Y2896" s="348"/>
      <c r="Z2896" s="348"/>
      <c r="AA2896" s="348"/>
    </row>
    <row r="2897" s="331" customFormat="1" ht="17" customHeight="1" spans="1:27">
      <c r="A2897" s="348"/>
      <c r="B2897" s="348" t="s">
        <v>31</v>
      </c>
      <c r="C2897" s="348" t="s">
        <v>220</v>
      </c>
      <c r="D2897" s="352" t="s">
        <v>221</v>
      </c>
      <c r="E2897" s="336">
        <v>43681</v>
      </c>
      <c r="F2897" s="336">
        <v>43681</v>
      </c>
      <c r="G2897" s="350"/>
      <c r="H2897" s="334" t="s">
        <v>7441</v>
      </c>
      <c r="I2897" s="356">
        <v>13157654705</v>
      </c>
      <c r="J2897" s="361" t="s">
        <v>7442</v>
      </c>
      <c r="K2897" s="356">
        <v>1000</v>
      </c>
      <c r="L2897" s="419"/>
      <c r="M2897" s="419"/>
      <c r="N2897" s="362">
        <f t="shared" si="106"/>
        <v>0</v>
      </c>
      <c r="O2897" s="356"/>
      <c r="P2897" s="356"/>
      <c r="Q2897" s="366" t="s">
        <v>52</v>
      </c>
      <c r="R2897" s="356"/>
      <c r="S2897" s="356"/>
      <c r="T2897" s="356"/>
      <c r="U2897" s="400" t="s">
        <v>7443</v>
      </c>
      <c r="V2897" s="372"/>
      <c r="W2897" s="372"/>
      <c r="X2897" s="373"/>
      <c r="Y2897" s="348"/>
      <c r="Z2897" s="348"/>
      <c r="AA2897" s="348"/>
    </row>
    <row r="2898" s="331" customFormat="1" ht="17" customHeight="1" spans="1:27">
      <c r="A2898" s="348" t="s">
        <v>7444</v>
      </c>
      <c r="B2898" s="348" t="s">
        <v>66</v>
      </c>
      <c r="C2898" s="348" t="s">
        <v>951</v>
      </c>
      <c r="D2898" s="334" t="s">
        <v>1436</v>
      </c>
      <c r="E2898" s="336">
        <v>43745</v>
      </c>
      <c r="F2898" s="336">
        <v>43680</v>
      </c>
      <c r="G2898" s="336">
        <v>43745</v>
      </c>
      <c r="H2898" s="334" t="s">
        <v>7445</v>
      </c>
      <c r="I2898" s="356">
        <v>18917765654</v>
      </c>
      <c r="J2898" s="361" t="s">
        <v>7446</v>
      </c>
      <c r="K2898" s="356">
        <v>1000</v>
      </c>
      <c r="L2898" s="334">
        <v>9734</v>
      </c>
      <c r="M2898" s="419"/>
      <c r="N2898" s="362">
        <f t="shared" si="106"/>
        <v>9734</v>
      </c>
      <c r="O2898" s="356"/>
      <c r="P2898" s="356" t="s">
        <v>1526</v>
      </c>
      <c r="Q2898" s="356"/>
      <c r="R2898" s="356"/>
      <c r="S2898" s="356"/>
      <c r="T2898" s="356"/>
      <c r="U2898" s="372"/>
      <c r="V2898" s="372"/>
      <c r="W2898" s="372"/>
      <c r="X2898" s="373"/>
      <c r="Y2898" s="348"/>
      <c r="Z2898" s="348"/>
      <c r="AA2898" s="348"/>
    </row>
    <row r="2899" s="331" customFormat="1" ht="17" customHeight="1" spans="1:27">
      <c r="A2899" s="348">
        <v>20253</v>
      </c>
      <c r="B2899" s="348" t="s">
        <v>35</v>
      </c>
      <c r="C2899" s="334" t="s">
        <v>328</v>
      </c>
      <c r="D2899" s="352" t="s">
        <v>37</v>
      </c>
      <c r="E2899" s="336">
        <v>43769</v>
      </c>
      <c r="F2899" s="336">
        <v>43680</v>
      </c>
      <c r="G2899" s="336">
        <v>43769</v>
      </c>
      <c r="H2899" s="334" t="s">
        <v>5429</v>
      </c>
      <c r="I2899" s="356">
        <v>13661891269</v>
      </c>
      <c r="J2899" s="361" t="s">
        <v>7447</v>
      </c>
      <c r="K2899" s="356">
        <v>1000</v>
      </c>
      <c r="L2899" s="334">
        <v>11210</v>
      </c>
      <c r="M2899" s="419"/>
      <c r="N2899" s="362">
        <f t="shared" si="106"/>
        <v>11210</v>
      </c>
      <c r="O2899" s="356" t="s">
        <v>52</v>
      </c>
      <c r="P2899" s="356"/>
      <c r="Q2899" s="356"/>
      <c r="R2899" s="356"/>
      <c r="S2899" s="356"/>
      <c r="T2899" s="356"/>
      <c r="U2899" s="372"/>
      <c r="V2899" s="372"/>
      <c r="W2899" s="372"/>
      <c r="X2899" s="373"/>
      <c r="Y2899" s="348"/>
      <c r="Z2899" s="348"/>
      <c r="AA2899" s="348"/>
    </row>
    <row r="2900" s="331" customFormat="1" ht="15" customHeight="1" spans="1:27">
      <c r="A2900" s="348" t="s">
        <v>690</v>
      </c>
      <c r="B2900" s="348" t="s">
        <v>58</v>
      </c>
      <c r="C2900" s="348" t="s">
        <v>342</v>
      </c>
      <c r="D2900" s="352" t="s">
        <v>343</v>
      </c>
      <c r="E2900" s="336">
        <v>43716</v>
      </c>
      <c r="F2900" s="336">
        <v>43680</v>
      </c>
      <c r="G2900" s="336">
        <v>43715</v>
      </c>
      <c r="H2900" s="334" t="s">
        <v>7448</v>
      </c>
      <c r="I2900" s="356">
        <v>13564818731</v>
      </c>
      <c r="J2900" s="361" t="s">
        <v>7449</v>
      </c>
      <c r="K2900" s="356">
        <v>20000</v>
      </c>
      <c r="L2900" s="334">
        <v>32939</v>
      </c>
      <c r="M2900" s="419"/>
      <c r="N2900" s="362">
        <f t="shared" si="106"/>
        <v>32939</v>
      </c>
      <c r="O2900" s="356"/>
      <c r="P2900" s="366"/>
      <c r="Q2900" s="356"/>
      <c r="R2900" s="366"/>
      <c r="S2900" s="366" t="s">
        <v>52</v>
      </c>
      <c r="T2900" s="356"/>
      <c r="U2900" s="372"/>
      <c r="V2900" s="372"/>
      <c r="W2900" s="372"/>
      <c r="X2900" s="373"/>
      <c r="Y2900" s="348"/>
      <c r="Z2900" s="348"/>
      <c r="AA2900" s="348"/>
    </row>
    <row r="2901" s="331" customFormat="1" ht="17" customHeight="1" spans="1:27">
      <c r="A2901" s="348" t="s">
        <v>7450</v>
      </c>
      <c r="B2901" s="348" t="s">
        <v>335</v>
      </c>
      <c r="C2901" s="348" t="s">
        <v>399</v>
      </c>
      <c r="D2901" s="334" t="s">
        <v>44</v>
      </c>
      <c r="E2901" s="336">
        <v>43769</v>
      </c>
      <c r="F2901" s="336">
        <v>43680</v>
      </c>
      <c r="G2901" s="336">
        <v>43769</v>
      </c>
      <c r="H2901" s="334" t="s">
        <v>7451</v>
      </c>
      <c r="I2901" s="356">
        <v>13651995606</v>
      </c>
      <c r="J2901" s="361" t="s">
        <v>7452</v>
      </c>
      <c r="K2901" s="356">
        <v>1000</v>
      </c>
      <c r="L2901" s="334">
        <v>14191</v>
      </c>
      <c r="M2901" s="419"/>
      <c r="N2901" s="362">
        <f t="shared" si="106"/>
        <v>14191</v>
      </c>
      <c r="O2901" s="356" t="s">
        <v>19</v>
      </c>
      <c r="P2901" s="356"/>
      <c r="Q2901" s="356"/>
      <c r="R2901" s="356"/>
      <c r="S2901" s="356"/>
      <c r="T2901" s="356"/>
      <c r="U2901" s="372"/>
      <c r="V2901" s="372"/>
      <c r="W2901" s="372"/>
      <c r="X2901" s="373"/>
      <c r="Y2901" s="348"/>
      <c r="Z2901" s="348"/>
      <c r="AA2901" s="348"/>
    </row>
    <row r="2902" s="331" customFormat="1" ht="17" customHeight="1" spans="1:27">
      <c r="A2902" s="348" t="s">
        <v>7453</v>
      </c>
      <c r="B2902" s="348" t="s">
        <v>335</v>
      </c>
      <c r="C2902" s="348" t="s">
        <v>615</v>
      </c>
      <c r="D2902" s="352" t="s">
        <v>337</v>
      </c>
      <c r="E2902" s="336">
        <v>43736</v>
      </c>
      <c r="F2902" s="336">
        <v>43680</v>
      </c>
      <c r="G2902" s="336">
        <v>43736</v>
      </c>
      <c r="H2902" s="334" t="s">
        <v>7454</v>
      </c>
      <c r="I2902" s="356" t="s">
        <v>7455</v>
      </c>
      <c r="J2902" s="361" t="s">
        <v>7456</v>
      </c>
      <c r="K2902" s="356">
        <v>1000</v>
      </c>
      <c r="L2902" s="334">
        <f>9171-760</f>
        <v>8411</v>
      </c>
      <c r="M2902" s="334">
        <f>530+760</f>
        <v>1290</v>
      </c>
      <c r="N2902" s="362">
        <f t="shared" si="106"/>
        <v>9701</v>
      </c>
      <c r="O2902" s="356"/>
      <c r="P2902" s="356"/>
      <c r="Q2902" s="356"/>
      <c r="R2902" s="356" t="s">
        <v>22</v>
      </c>
      <c r="S2902" s="356"/>
      <c r="T2902" s="356"/>
      <c r="U2902" s="372"/>
      <c r="V2902" s="372"/>
      <c r="W2902" s="372"/>
      <c r="X2902" s="373"/>
      <c r="Y2902" s="348"/>
      <c r="Z2902" s="348"/>
      <c r="AA2902" s="348"/>
    </row>
    <row r="2903" s="331" customFormat="1" ht="17" customHeight="1" spans="1:27">
      <c r="A2903" s="348" t="s">
        <v>7457</v>
      </c>
      <c r="B2903" s="348" t="s">
        <v>130</v>
      </c>
      <c r="C2903" s="348" t="s">
        <v>161</v>
      </c>
      <c r="D2903" s="352" t="s">
        <v>162</v>
      </c>
      <c r="E2903" s="336">
        <v>43705</v>
      </c>
      <c r="F2903" s="336">
        <v>43680</v>
      </c>
      <c r="G2903" s="336">
        <v>43705</v>
      </c>
      <c r="H2903" s="334" t="s">
        <v>7458</v>
      </c>
      <c r="I2903" s="356">
        <v>13774226315</v>
      </c>
      <c r="J2903" s="361" t="s">
        <v>7459</v>
      </c>
      <c r="K2903" s="356">
        <v>1000</v>
      </c>
      <c r="L2903" s="334">
        <v>16000</v>
      </c>
      <c r="M2903" s="419"/>
      <c r="N2903" s="362">
        <f t="shared" si="106"/>
        <v>16000</v>
      </c>
      <c r="O2903" s="356"/>
      <c r="P2903" s="356">
        <v>1</v>
      </c>
      <c r="Q2903" s="356"/>
      <c r="R2903" s="356"/>
      <c r="S2903" s="356"/>
      <c r="T2903" s="356"/>
      <c r="U2903" s="372"/>
      <c r="V2903" s="372"/>
      <c r="W2903" s="372"/>
      <c r="X2903" s="373"/>
      <c r="Y2903" s="348"/>
      <c r="Z2903" s="348"/>
      <c r="AA2903" s="348"/>
    </row>
    <row r="2904" s="331" customFormat="1" ht="17" customHeight="1" spans="1:27">
      <c r="A2904" s="348">
        <v>2023075</v>
      </c>
      <c r="B2904" s="348" t="s">
        <v>58</v>
      </c>
      <c r="C2904" s="348" t="s">
        <v>342</v>
      </c>
      <c r="D2904" s="349" t="s">
        <v>343</v>
      </c>
      <c r="E2904" s="336">
        <v>43684</v>
      </c>
      <c r="F2904" s="336">
        <v>43680</v>
      </c>
      <c r="G2904" s="336">
        <v>43680</v>
      </c>
      <c r="H2904" s="334" t="s">
        <v>7460</v>
      </c>
      <c r="I2904" s="356" t="s">
        <v>7461</v>
      </c>
      <c r="J2904" s="361" t="s">
        <v>7462</v>
      </c>
      <c r="K2904" s="356">
        <v>12335</v>
      </c>
      <c r="L2904" s="334">
        <v>26159</v>
      </c>
      <c r="M2904" s="334">
        <f>1340+5501</f>
        <v>6841</v>
      </c>
      <c r="N2904" s="362">
        <f t="shared" si="106"/>
        <v>33000</v>
      </c>
      <c r="O2904" s="356"/>
      <c r="P2904" s="356"/>
      <c r="Q2904" s="356"/>
      <c r="R2904" s="356"/>
      <c r="S2904" s="366" t="s">
        <v>52</v>
      </c>
      <c r="T2904" s="356"/>
      <c r="U2904" s="372"/>
      <c r="V2904" s="372"/>
      <c r="W2904" s="372"/>
      <c r="X2904" s="373"/>
      <c r="Y2904" s="348"/>
      <c r="Z2904" s="348"/>
      <c r="AA2904" s="348"/>
    </row>
    <row r="2905" s="331" customFormat="1" ht="17" customHeight="1" spans="1:27">
      <c r="A2905" s="348">
        <v>2023507</v>
      </c>
      <c r="B2905" s="348" t="s">
        <v>185</v>
      </c>
      <c r="C2905" s="348" t="s">
        <v>4146</v>
      </c>
      <c r="D2905" s="352" t="s">
        <v>187</v>
      </c>
      <c r="E2905" s="336">
        <v>43689</v>
      </c>
      <c r="F2905" s="336">
        <v>43680</v>
      </c>
      <c r="G2905" s="336">
        <v>43688</v>
      </c>
      <c r="H2905" s="334" t="s">
        <v>7463</v>
      </c>
      <c r="I2905" s="356">
        <v>18321837056</v>
      </c>
      <c r="J2905" s="361" t="s">
        <v>7464</v>
      </c>
      <c r="K2905" s="356">
        <v>1000</v>
      </c>
      <c r="L2905" s="334">
        <v>19000</v>
      </c>
      <c r="M2905" s="419"/>
      <c r="N2905" s="362">
        <f t="shared" si="106"/>
        <v>19000</v>
      </c>
      <c r="O2905" s="356"/>
      <c r="P2905" s="356"/>
      <c r="Q2905" s="356"/>
      <c r="R2905" s="356"/>
      <c r="S2905" s="366" t="s">
        <v>52</v>
      </c>
      <c r="T2905" s="356"/>
      <c r="U2905" s="372"/>
      <c r="V2905" s="372"/>
      <c r="W2905" s="372"/>
      <c r="X2905" s="373"/>
      <c r="Y2905" s="348"/>
      <c r="Z2905" s="348"/>
      <c r="AA2905" s="348"/>
    </row>
    <row r="2906" s="331" customFormat="1" ht="17" customHeight="1" spans="1:27">
      <c r="A2906" s="348"/>
      <c r="B2906" s="348" t="s">
        <v>147</v>
      </c>
      <c r="C2906" s="348" t="s">
        <v>148</v>
      </c>
      <c r="D2906" s="349" t="s">
        <v>1170</v>
      </c>
      <c r="E2906" s="336">
        <v>43694</v>
      </c>
      <c r="F2906" s="336">
        <v>43680</v>
      </c>
      <c r="G2906" s="336">
        <v>43694</v>
      </c>
      <c r="H2906" s="334" t="s">
        <v>7465</v>
      </c>
      <c r="I2906" s="356">
        <v>13918014321</v>
      </c>
      <c r="J2906" s="361" t="s">
        <v>7466</v>
      </c>
      <c r="K2906" s="356">
        <v>6443</v>
      </c>
      <c r="L2906" s="334">
        <v>6336</v>
      </c>
      <c r="M2906" s="419"/>
      <c r="N2906" s="362">
        <f t="shared" si="106"/>
        <v>6336</v>
      </c>
      <c r="O2906" s="356"/>
      <c r="P2906" s="356"/>
      <c r="Q2906" s="356"/>
      <c r="R2906" s="356"/>
      <c r="S2906" s="356" t="s">
        <v>7467</v>
      </c>
      <c r="T2906" s="356"/>
      <c r="U2906" s="372"/>
      <c r="V2906" s="372"/>
      <c r="W2906" s="372"/>
      <c r="X2906" s="373"/>
      <c r="Y2906" s="348"/>
      <c r="Z2906" s="348"/>
      <c r="AA2906" s="348"/>
    </row>
    <row r="2907" s="331" customFormat="1" ht="17" customHeight="1" spans="1:27">
      <c r="A2907" s="348" t="s">
        <v>5150</v>
      </c>
      <c r="B2907" s="348" t="s">
        <v>147</v>
      </c>
      <c r="C2907" s="348" t="s">
        <v>148</v>
      </c>
      <c r="D2907" s="334" t="s">
        <v>337</v>
      </c>
      <c r="E2907" s="336">
        <v>43785</v>
      </c>
      <c r="F2907" s="336">
        <v>43680</v>
      </c>
      <c r="G2907" s="336">
        <v>43785</v>
      </c>
      <c r="H2907" s="334" t="s">
        <v>7468</v>
      </c>
      <c r="I2907" s="356">
        <v>15901796243</v>
      </c>
      <c r="J2907" s="361" t="s">
        <v>7469</v>
      </c>
      <c r="K2907" s="356">
        <v>1000</v>
      </c>
      <c r="L2907" s="334">
        <v>2730</v>
      </c>
      <c r="M2907" s="419"/>
      <c r="N2907" s="362">
        <f t="shared" si="106"/>
        <v>2730</v>
      </c>
      <c r="O2907" s="356"/>
      <c r="P2907" s="356"/>
      <c r="Q2907" s="356"/>
      <c r="R2907" s="356" t="s">
        <v>3328</v>
      </c>
      <c r="S2907" s="356"/>
      <c r="T2907" s="356"/>
      <c r="U2907" s="372"/>
      <c r="V2907" s="372"/>
      <c r="W2907" s="372"/>
      <c r="X2907" s="373"/>
      <c r="Y2907" s="348"/>
      <c r="Z2907" s="348"/>
      <c r="AA2907" s="348"/>
    </row>
    <row r="2908" s="331" customFormat="1" ht="17" customHeight="1" spans="1:27">
      <c r="A2908" s="348"/>
      <c r="B2908" s="348" t="s">
        <v>147</v>
      </c>
      <c r="C2908" s="348" t="s">
        <v>148</v>
      </c>
      <c r="D2908" s="352" t="s">
        <v>149</v>
      </c>
      <c r="E2908" s="336">
        <v>43681</v>
      </c>
      <c r="F2908" s="336">
        <v>43680</v>
      </c>
      <c r="G2908" s="350"/>
      <c r="H2908" s="334" t="s">
        <v>7470</v>
      </c>
      <c r="I2908" s="356">
        <v>15301891801</v>
      </c>
      <c r="J2908" s="361" t="s">
        <v>7471</v>
      </c>
      <c r="K2908" s="356">
        <v>1000</v>
      </c>
      <c r="L2908" s="419"/>
      <c r="M2908" s="419"/>
      <c r="N2908" s="362">
        <f t="shared" si="106"/>
        <v>0</v>
      </c>
      <c r="O2908" s="356"/>
      <c r="P2908" s="356"/>
      <c r="Q2908" s="356"/>
      <c r="R2908" s="356"/>
      <c r="S2908" s="356" t="s">
        <v>7472</v>
      </c>
      <c r="T2908" s="356"/>
      <c r="U2908" s="372"/>
      <c r="V2908" s="372"/>
      <c r="W2908" s="372"/>
      <c r="X2908" s="373"/>
      <c r="Y2908" s="348"/>
      <c r="Z2908" s="348"/>
      <c r="AA2908" s="348"/>
    </row>
    <row r="2909" s="331" customFormat="1" ht="17" customHeight="1" spans="1:27">
      <c r="A2909" s="348" t="s">
        <v>7473</v>
      </c>
      <c r="B2909" s="348" t="s">
        <v>236</v>
      </c>
      <c r="C2909" s="348" t="s">
        <v>703</v>
      </c>
      <c r="D2909" s="352" t="s">
        <v>125</v>
      </c>
      <c r="E2909" s="336">
        <v>43681</v>
      </c>
      <c r="F2909" s="336">
        <v>43677</v>
      </c>
      <c r="G2909" s="350">
        <v>43681</v>
      </c>
      <c r="H2909" s="334" t="s">
        <v>7474</v>
      </c>
      <c r="I2909" s="356">
        <v>13310152593</v>
      </c>
      <c r="J2909" s="361" t="s">
        <v>7475</v>
      </c>
      <c r="K2909" s="356">
        <v>1000</v>
      </c>
      <c r="L2909" s="334">
        <v>10660</v>
      </c>
      <c r="M2909" s="334">
        <v>1340</v>
      </c>
      <c r="N2909" s="362">
        <f t="shared" si="106"/>
        <v>12000</v>
      </c>
      <c r="O2909" s="356"/>
      <c r="P2909" s="356"/>
      <c r="Q2909" s="356"/>
      <c r="R2909" s="356"/>
      <c r="S2909" s="356"/>
      <c r="T2909" s="356"/>
      <c r="U2909" s="372"/>
      <c r="V2909" s="372"/>
      <c r="W2909" s="372"/>
      <c r="X2909" s="373"/>
      <c r="Y2909" s="348"/>
      <c r="Z2909" s="348"/>
      <c r="AA2909" s="348"/>
    </row>
    <row r="2910" s="331" customFormat="1" ht="17" customHeight="1" spans="1:27">
      <c r="A2910" s="348" t="s">
        <v>7476</v>
      </c>
      <c r="B2910" s="348" t="s">
        <v>236</v>
      </c>
      <c r="C2910" s="348" t="s">
        <v>703</v>
      </c>
      <c r="D2910" s="352" t="s">
        <v>143</v>
      </c>
      <c r="E2910" s="336">
        <v>43681</v>
      </c>
      <c r="F2910" s="336">
        <v>43677</v>
      </c>
      <c r="G2910" s="350"/>
      <c r="H2910" s="334" t="s">
        <v>7477</v>
      </c>
      <c r="I2910" s="356">
        <v>13817666052</v>
      </c>
      <c r="J2910" s="361" t="s">
        <v>7478</v>
      </c>
      <c r="K2910" s="356">
        <v>4771</v>
      </c>
      <c r="L2910" s="419"/>
      <c r="M2910" s="419"/>
      <c r="N2910" s="362">
        <f t="shared" si="106"/>
        <v>0</v>
      </c>
      <c r="O2910" s="356"/>
      <c r="P2910" s="356"/>
      <c r="Q2910" s="356"/>
      <c r="R2910" s="356"/>
      <c r="S2910" s="356"/>
      <c r="T2910" s="356"/>
      <c r="U2910" s="372" t="s">
        <v>40</v>
      </c>
      <c r="V2910" s="372"/>
      <c r="W2910" s="372"/>
      <c r="X2910" s="373"/>
      <c r="Y2910" s="348"/>
      <c r="Z2910" s="348"/>
      <c r="AA2910" s="348"/>
    </row>
    <row r="2911" s="331" customFormat="1" ht="17" customHeight="1" spans="1:27">
      <c r="A2911" s="348" t="s">
        <v>7479</v>
      </c>
      <c r="B2911" s="348" t="s">
        <v>236</v>
      </c>
      <c r="C2911" s="348" t="s">
        <v>703</v>
      </c>
      <c r="D2911" s="334" t="s">
        <v>149</v>
      </c>
      <c r="E2911" s="336">
        <v>43732</v>
      </c>
      <c r="F2911" s="336">
        <v>43680</v>
      </c>
      <c r="G2911" s="336">
        <v>43727</v>
      </c>
      <c r="H2911" s="334" t="s">
        <v>7480</v>
      </c>
      <c r="I2911" s="356">
        <v>13375791207</v>
      </c>
      <c r="J2911" s="361" t="s">
        <v>7481</v>
      </c>
      <c r="K2911" s="356">
        <v>1000</v>
      </c>
      <c r="L2911" s="334">
        <f>14988-804</f>
        <v>14184</v>
      </c>
      <c r="M2911" s="334">
        <v>804</v>
      </c>
      <c r="N2911" s="362">
        <f t="shared" si="106"/>
        <v>14988</v>
      </c>
      <c r="O2911" s="356"/>
      <c r="P2911" s="356" t="s">
        <v>3729</v>
      </c>
      <c r="Q2911" s="356"/>
      <c r="R2911" s="356"/>
      <c r="S2911" s="356"/>
      <c r="T2911" s="356"/>
      <c r="U2911" s="372"/>
      <c r="V2911" s="372"/>
      <c r="W2911" s="372"/>
      <c r="X2911" s="373"/>
      <c r="Y2911" s="348"/>
      <c r="Z2911" s="348"/>
      <c r="AA2911" s="348"/>
    </row>
    <row r="2912" s="331" customFormat="1" ht="17" customHeight="1" spans="1:27">
      <c r="A2912" s="348" t="s">
        <v>7482</v>
      </c>
      <c r="B2912" s="348" t="s">
        <v>236</v>
      </c>
      <c r="C2912" s="348" t="s">
        <v>195</v>
      </c>
      <c r="D2912" s="352" t="s">
        <v>143</v>
      </c>
      <c r="E2912" s="336">
        <v>43681</v>
      </c>
      <c r="F2912" s="336">
        <v>43676</v>
      </c>
      <c r="G2912" s="356" t="s">
        <v>69</v>
      </c>
      <c r="H2912" s="334" t="s">
        <v>2557</v>
      </c>
      <c r="I2912" s="356">
        <v>15821376535</v>
      </c>
      <c r="J2912" s="361" t="s">
        <v>7483</v>
      </c>
      <c r="K2912" s="356">
        <v>500</v>
      </c>
      <c r="L2912" s="419"/>
      <c r="M2912" s="419"/>
      <c r="N2912" s="362">
        <f t="shared" si="106"/>
        <v>0</v>
      </c>
      <c r="O2912" s="356"/>
      <c r="P2912" s="356"/>
      <c r="Q2912" s="356"/>
      <c r="R2912" s="356"/>
      <c r="S2912" s="356"/>
      <c r="T2912" s="356"/>
      <c r="U2912" s="372"/>
      <c r="V2912" s="372"/>
      <c r="W2912" s="372"/>
      <c r="X2912" s="373"/>
      <c r="Y2912" s="348"/>
      <c r="Z2912" s="348"/>
      <c r="AA2912" s="348"/>
    </row>
    <row r="2913" s="331" customFormat="1" ht="15" customHeight="1" spans="1:27">
      <c r="A2913" s="348"/>
      <c r="B2913" s="348" t="s">
        <v>405</v>
      </c>
      <c r="C2913" s="348" t="s">
        <v>1234</v>
      </c>
      <c r="D2913" s="352" t="s">
        <v>407</v>
      </c>
      <c r="E2913" s="336">
        <v>43681</v>
      </c>
      <c r="F2913" s="336">
        <v>43680</v>
      </c>
      <c r="G2913" s="350"/>
      <c r="H2913" s="334" t="s">
        <v>7484</v>
      </c>
      <c r="I2913" s="356">
        <v>13816416085</v>
      </c>
      <c r="J2913" s="361" t="s">
        <v>7485</v>
      </c>
      <c r="K2913" s="356">
        <v>1000</v>
      </c>
      <c r="L2913" s="419"/>
      <c r="M2913" s="419"/>
      <c r="N2913" s="362">
        <f t="shared" si="106"/>
        <v>0</v>
      </c>
      <c r="O2913" s="356"/>
      <c r="P2913" s="356"/>
      <c r="Q2913" s="356"/>
      <c r="R2913" s="356" t="s">
        <v>52</v>
      </c>
      <c r="S2913" s="356"/>
      <c r="T2913" s="356"/>
      <c r="U2913" s="372"/>
      <c r="V2913" s="372"/>
      <c r="W2913" s="372"/>
      <c r="X2913" s="373"/>
      <c r="Y2913" s="348"/>
      <c r="Z2913" s="348"/>
      <c r="AA2913" s="348"/>
    </row>
    <row r="2914" s="331" customFormat="1" ht="17" customHeight="1" spans="1:27">
      <c r="A2914" s="348"/>
      <c r="B2914" s="348" t="s">
        <v>405</v>
      </c>
      <c r="C2914" s="348" t="s">
        <v>823</v>
      </c>
      <c r="D2914" s="352" t="s">
        <v>407</v>
      </c>
      <c r="E2914" s="336">
        <v>43684</v>
      </c>
      <c r="F2914" s="336">
        <v>43680</v>
      </c>
      <c r="G2914" s="336">
        <v>43683</v>
      </c>
      <c r="H2914" s="334" t="s">
        <v>7486</v>
      </c>
      <c r="I2914" s="356">
        <v>13918161174</v>
      </c>
      <c r="J2914" s="361" t="s">
        <v>7487</v>
      </c>
      <c r="K2914" s="356">
        <v>5000</v>
      </c>
      <c r="L2914" s="334">
        <v>8866</v>
      </c>
      <c r="M2914" s="419"/>
      <c r="N2914" s="362">
        <f t="shared" si="106"/>
        <v>8866</v>
      </c>
      <c r="O2914" s="356"/>
      <c r="P2914" s="356"/>
      <c r="Q2914" s="356"/>
      <c r="R2914" s="356"/>
      <c r="S2914" s="356"/>
      <c r="T2914" s="356"/>
      <c r="U2914" s="372"/>
      <c r="V2914" s="372"/>
      <c r="W2914" s="372"/>
      <c r="X2914" s="373"/>
      <c r="Y2914" s="348"/>
      <c r="Z2914" s="348"/>
      <c r="AA2914" s="348"/>
    </row>
    <row r="2915" s="331" customFormat="1" ht="17" customHeight="1" spans="1:27">
      <c r="A2915" s="348" t="s">
        <v>7488</v>
      </c>
      <c r="B2915" s="348" t="s">
        <v>169</v>
      </c>
      <c r="C2915" s="348" t="s">
        <v>634</v>
      </c>
      <c r="D2915" s="352" t="s">
        <v>635</v>
      </c>
      <c r="E2915" s="336">
        <v>43723</v>
      </c>
      <c r="F2915" s="336">
        <v>43680</v>
      </c>
      <c r="G2915" s="336">
        <v>43722</v>
      </c>
      <c r="H2915" s="334" t="s">
        <v>7489</v>
      </c>
      <c r="I2915" s="356" t="s">
        <v>7490</v>
      </c>
      <c r="J2915" s="361" t="s">
        <v>7491</v>
      </c>
      <c r="K2915" s="356">
        <v>1000</v>
      </c>
      <c r="L2915" s="334">
        <v>12600</v>
      </c>
      <c r="M2915" s="419"/>
      <c r="N2915" s="362">
        <f t="shared" si="106"/>
        <v>12600</v>
      </c>
      <c r="O2915" s="356" t="s">
        <v>19</v>
      </c>
      <c r="P2915" s="356"/>
      <c r="Q2915" s="356"/>
      <c r="R2915" s="356"/>
      <c r="S2915" s="356"/>
      <c r="T2915" s="356"/>
      <c r="U2915" s="372"/>
      <c r="V2915" s="372"/>
      <c r="W2915" s="372"/>
      <c r="X2915" s="373"/>
      <c r="Y2915" s="348"/>
      <c r="Z2915" s="348"/>
      <c r="AA2915" s="348"/>
    </row>
    <row r="2916" s="331" customFormat="1" ht="17" customHeight="1" spans="1:27">
      <c r="A2916" s="348" t="s">
        <v>7492</v>
      </c>
      <c r="B2916" s="348" t="s">
        <v>58</v>
      </c>
      <c r="C2916" s="348" t="s">
        <v>59</v>
      </c>
      <c r="D2916" s="349" t="s">
        <v>271</v>
      </c>
      <c r="E2916" s="336">
        <v>43696</v>
      </c>
      <c r="F2916" s="336">
        <v>43680</v>
      </c>
      <c r="G2916" s="336">
        <v>43695</v>
      </c>
      <c r="H2916" s="334" t="s">
        <v>7493</v>
      </c>
      <c r="I2916" s="356">
        <v>15915766117</v>
      </c>
      <c r="J2916" s="361" t="s">
        <v>7494</v>
      </c>
      <c r="K2916" s="356">
        <v>10000</v>
      </c>
      <c r="L2916" s="334">
        <f>19108-1748</f>
        <v>17360</v>
      </c>
      <c r="M2916" s="334">
        <v>1748</v>
      </c>
      <c r="N2916" s="362">
        <f t="shared" si="106"/>
        <v>19108</v>
      </c>
      <c r="O2916" s="366"/>
      <c r="P2916" s="356"/>
      <c r="Q2916" s="356"/>
      <c r="R2916" s="356"/>
      <c r="S2916" s="356"/>
      <c r="T2916" s="356"/>
      <c r="U2916" s="372"/>
      <c r="V2916" s="372"/>
      <c r="W2916" s="372"/>
      <c r="X2916" s="373"/>
      <c r="Y2916" s="348"/>
      <c r="Z2916" s="348"/>
      <c r="AA2916" s="348"/>
    </row>
    <row r="2917" s="331" customFormat="1" ht="17" customHeight="1" spans="1:27">
      <c r="A2917" s="348" t="s">
        <v>7495</v>
      </c>
      <c r="B2917" s="348" t="s">
        <v>335</v>
      </c>
      <c r="C2917" s="348" t="s">
        <v>615</v>
      </c>
      <c r="D2917" s="334" t="s">
        <v>427</v>
      </c>
      <c r="E2917" s="336">
        <v>43705</v>
      </c>
      <c r="F2917" s="336">
        <v>43681</v>
      </c>
      <c r="G2917" s="336">
        <v>43705</v>
      </c>
      <c r="H2917" s="334" t="s">
        <v>7496</v>
      </c>
      <c r="I2917" s="356">
        <v>13641949986</v>
      </c>
      <c r="J2917" s="361" t="s">
        <v>7497</v>
      </c>
      <c r="K2917" s="356">
        <f>1000+1000</f>
        <v>2000</v>
      </c>
      <c r="L2917" s="334">
        <f>21041-1608</f>
        <v>19433</v>
      </c>
      <c r="M2917" s="334">
        <v>1608</v>
      </c>
      <c r="N2917" s="362">
        <f t="shared" si="106"/>
        <v>21041</v>
      </c>
      <c r="O2917" s="356"/>
      <c r="P2917" s="356"/>
      <c r="Q2917" s="356"/>
      <c r="R2917" s="356"/>
      <c r="S2917" s="356"/>
      <c r="T2917" s="356"/>
      <c r="U2917" s="372"/>
      <c r="V2917" s="372"/>
      <c r="W2917" s="372"/>
      <c r="X2917" s="373"/>
      <c r="Y2917" s="348"/>
      <c r="Z2917" s="348"/>
      <c r="AA2917" s="348"/>
    </row>
    <row r="2918" s="331" customFormat="1" ht="17" customHeight="1" spans="1:27">
      <c r="A2918" s="348" t="s">
        <v>7498</v>
      </c>
      <c r="B2918" s="348" t="s">
        <v>31</v>
      </c>
      <c r="C2918" s="348" t="s">
        <v>32</v>
      </c>
      <c r="D2918" s="352" t="s">
        <v>33</v>
      </c>
      <c r="E2918" s="336">
        <v>43681</v>
      </c>
      <c r="F2918" s="336">
        <v>43680</v>
      </c>
      <c r="G2918" s="350"/>
      <c r="H2918" s="334" t="s">
        <v>7499</v>
      </c>
      <c r="I2918" s="356">
        <v>13482726412</v>
      </c>
      <c r="J2918" s="361" t="s">
        <v>7500</v>
      </c>
      <c r="K2918" s="356">
        <v>14900</v>
      </c>
      <c r="L2918" s="419"/>
      <c r="M2918" s="419"/>
      <c r="N2918" s="362">
        <f t="shared" si="106"/>
        <v>0</v>
      </c>
      <c r="O2918" s="356"/>
      <c r="P2918" s="356"/>
      <c r="Q2918" s="356"/>
      <c r="R2918" s="356"/>
      <c r="S2918" s="356"/>
      <c r="T2918" s="356"/>
      <c r="U2918" s="400" t="s">
        <v>7304</v>
      </c>
      <c r="V2918" s="372"/>
      <c r="W2918" s="372"/>
      <c r="X2918" s="373"/>
      <c r="Y2918" s="348"/>
      <c r="Z2918" s="348"/>
      <c r="AA2918" s="348"/>
    </row>
    <row r="2919" s="331" customFormat="1" ht="17" customHeight="1" spans="1:27">
      <c r="A2919" s="348" t="s">
        <v>7501</v>
      </c>
      <c r="B2919" s="348" t="s">
        <v>123</v>
      </c>
      <c r="C2919" s="348" t="s">
        <v>902</v>
      </c>
      <c r="D2919" s="352" t="s">
        <v>125</v>
      </c>
      <c r="E2919" s="336">
        <v>43706</v>
      </c>
      <c r="F2919" s="336">
        <v>43680</v>
      </c>
      <c r="G2919" s="336">
        <v>43703</v>
      </c>
      <c r="H2919" s="334" t="s">
        <v>7502</v>
      </c>
      <c r="I2919" s="356">
        <v>13601772037</v>
      </c>
      <c r="J2919" s="361" t="s">
        <v>7503</v>
      </c>
      <c r="K2919" s="356">
        <v>1000</v>
      </c>
      <c r="L2919" s="334">
        <f>13800-1254</f>
        <v>12546</v>
      </c>
      <c r="M2919" s="334">
        <v>1254</v>
      </c>
      <c r="N2919" s="362">
        <f t="shared" si="106"/>
        <v>13800</v>
      </c>
      <c r="O2919" s="356"/>
      <c r="P2919" s="356"/>
      <c r="Q2919" s="356"/>
      <c r="R2919" s="356"/>
      <c r="S2919" s="356"/>
      <c r="T2919" s="356"/>
      <c r="U2919" s="372"/>
      <c r="V2919" s="374">
        <v>43713</v>
      </c>
      <c r="W2919" s="372"/>
      <c r="X2919" s="373"/>
      <c r="Y2919" s="348"/>
      <c r="Z2919" s="348"/>
      <c r="AA2919" s="348"/>
    </row>
    <row r="2920" s="331" customFormat="1" ht="17" customHeight="1" spans="1:27">
      <c r="A2920" s="348" t="s">
        <v>2805</v>
      </c>
      <c r="B2920" s="348" t="s">
        <v>123</v>
      </c>
      <c r="C2920" s="348" t="s">
        <v>902</v>
      </c>
      <c r="D2920" s="352" t="s">
        <v>125</v>
      </c>
      <c r="E2920" s="336">
        <v>43681</v>
      </c>
      <c r="F2920" s="336">
        <v>43680</v>
      </c>
      <c r="G2920" s="372" t="s">
        <v>69</v>
      </c>
      <c r="H2920" s="334" t="s">
        <v>7504</v>
      </c>
      <c r="I2920" s="356">
        <v>15902182645</v>
      </c>
      <c r="J2920" s="361" t="s">
        <v>7505</v>
      </c>
      <c r="K2920" s="356">
        <v>1000</v>
      </c>
      <c r="L2920" s="419"/>
      <c r="M2920" s="419"/>
      <c r="N2920" s="362">
        <f t="shared" si="106"/>
        <v>0</v>
      </c>
      <c r="O2920" s="356"/>
      <c r="P2920" s="356"/>
      <c r="Q2920" s="356"/>
      <c r="R2920" s="356"/>
      <c r="S2920" s="356"/>
      <c r="T2920" s="356"/>
      <c r="U2920" s="372"/>
      <c r="V2920" s="372"/>
      <c r="W2920" s="372" t="s">
        <v>2305</v>
      </c>
      <c r="X2920" s="373"/>
      <c r="Y2920" s="348"/>
      <c r="Z2920" s="348"/>
      <c r="AA2920" s="348"/>
    </row>
    <row r="2921" s="331" customFormat="1" ht="17" customHeight="1" spans="1:27">
      <c r="A2921" s="348">
        <v>2022271</v>
      </c>
      <c r="B2921" s="348" t="s">
        <v>243</v>
      </c>
      <c r="C2921" s="348" t="s">
        <v>244</v>
      </c>
      <c r="D2921" s="352" t="s">
        <v>49</v>
      </c>
      <c r="E2921" s="336">
        <v>43694</v>
      </c>
      <c r="F2921" s="336">
        <v>43681</v>
      </c>
      <c r="G2921" s="336">
        <v>43694</v>
      </c>
      <c r="H2921" s="334" t="s">
        <v>7506</v>
      </c>
      <c r="I2921" s="356">
        <v>13621778484</v>
      </c>
      <c r="J2921" s="361" t="s">
        <v>7507</v>
      </c>
      <c r="K2921" s="356">
        <v>1000</v>
      </c>
      <c r="L2921" s="334">
        <v>29000</v>
      </c>
      <c r="M2921" s="419"/>
      <c r="N2921" s="362">
        <f t="shared" si="106"/>
        <v>29000</v>
      </c>
      <c r="O2921" s="356"/>
      <c r="P2921" s="356"/>
      <c r="Q2921" s="356" t="s">
        <v>52</v>
      </c>
      <c r="R2921" s="356"/>
      <c r="S2921" s="356"/>
      <c r="T2921" s="356"/>
      <c r="U2921" s="372"/>
      <c r="V2921" s="372"/>
      <c r="W2921" s="372"/>
      <c r="X2921" s="373"/>
      <c r="Y2921" s="348"/>
      <c r="Z2921" s="348"/>
      <c r="AA2921" s="348"/>
    </row>
    <row r="2922" s="331" customFormat="1" ht="17" customHeight="1" spans="1:27">
      <c r="A2922" s="348" t="s">
        <v>7420</v>
      </c>
      <c r="B2922" s="348" t="s">
        <v>47</v>
      </c>
      <c r="C2922" s="348" t="s">
        <v>2399</v>
      </c>
      <c r="D2922" s="352" t="s">
        <v>49</v>
      </c>
      <c r="E2922" s="336">
        <v>43688</v>
      </c>
      <c r="F2922" s="336">
        <v>43681</v>
      </c>
      <c r="G2922" s="336">
        <v>43688</v>
      </c>
      <c r="H2922" s="334" t="s">
        <v>7508</v>
      </c>
      <c r="I2922" s="356" t="s">
        <v>7509</v>
      </c>
      <c r="J2922" s="361" t="s">
        <v>7510</v>
      </c>
      <c r="K2922" s="356">
        <v>1000</v>
      </c>
      <c r="L2922" s="334">
        <v>3480</v>
      </c>
      <c r="M2922" s="334">
        <v>536</v>
      </c>
      <c r="N2922" s="362">
        <f t="shared" si="106"/>
        <v>4016</v>
      </c>
      <c r="O2922" s="356"/>
      <c r="P2922" s="356"/>
      <c r="Q2922" s="356"/>
      <c r="R2922" s="356" t="s">
        <v>52</v>
      </c>
      <c r="S2922" s="356"/>
      <c r="T2922" s="356"/>
      <c r="U2922" s="372"/>
      <c r="V2922" s="372"/>
      <c r="W2922" s="372"/>
      <c r="X2922" s="373"/>
      <c r="Y2922" s="348"/>
      <c r="Z2922" s="348"/>
      <c r="AA2922" s="348"/>
    </row>
    <row r="2923" s="331" customFormat="1" ht="17" customHeight="1" spans="1:27">
      <c r="A2923" s="550" t="s">
        <v>7511</v>
      </c>
      <c r="B2923" s="348" t="s">
        <v>47</v>
      </c>
      <c r="C2923" s="348" t="s">
        <v>53</v>
      </c>
      <c r="D2923" s="352" t="s">
        <v>49</v>
      </c>
      <c r="E2923" s="336">
        <v>43685</v>
      </c>
      <c r="F2923" s="336">
        <v>43681</v>
      </c>
      <c r="G2923" s="336">
        <v>43685</v>
      </c>
      <c r="H2923" s="334" t="s">
        <v>7512</v>
      </c>
      <c r="I2923" s="356">
        <v>15921094016</v>
      </c>
      <c r="J2923" s="361" t="s">
        <v>7513</v>
      </c>
      <c r="K2923" s="356">
        <v>1000</v>
      </c>
      <c r="L2923" s="334">
        <v>4958</v>
      </c>
      <c r="M2923" s="419"/>
      <c r="N2923" s="362">
        <f t="shared" si="106"/>
        <v>4958</v>
      </c>
      <c r="O2923" s="356"/>
      <c r="P2923" s="356"/>
      <c r="Q2923" s="356"/>
      <c r="R2923" s="356"/>
      <c r="S2923" s="356" t="s">
        <v>52</v>
      </c>
      <c r="T2923" s="356"/>
      <c r="U2923" s="372"/>
      <c r="V2923" s="372"/>
      <c r="W2923" s="372"/>
      <c r="X2923" s="373"/>
      <c r="Y2923" s="348"/>
      <c r="Z2923" s="348"/>
      <c r="AA2923" s="348"/>
    </row>
    <row r="2924" s="331" customFormat="1" ht="17" customHeight="1" spans="1:27">
      <c r="A2924" s="348"/>
      <c r="B2924" s="348" t="s">
        <v>2625</v>
      </c>
      <c r="C2924" s="348" t="s">
        <v>2626</v>
      </c>
      <c r="D2924" s="352" t="s">
        <v>89</v>
      </c>
      <c r="E2924" s="336">
        <v>43681</v>
      </c>
      <c r="F2924" s="336">
        <v>43681</v>
      </c>
      <c r="G2924" s="350"/>
      <c r="H2924" s="334" t="s">
        <v>7514</v>
      </c>
      <c r="I2924" s="356">
        <v>13901662897</v>
      </c>
      <c r="J2924" s="361" t="s">
        <v>7515</v>
      </c>
      <c r="K2924" s="356">
        <v>1000</v>
      </c>
      <c r="L2924" s="419"/>
      <c r="M2924" s="419"/>
      <c r="N2924" s="362">
        <f t="shared" si="106"/>
        <v>0</v>
      </c>
      <c r="O2924" s="356" t="s">
        <v>19</v>
      </c>
      <c r="P2924" s="356"/>
      <c r="Q2924" s="356"/>
      <c r="R2924" s="356"/>
      <c r="S2924" s="356"/>
      <c r="T2924" s="356"/>
      <c r="U2924" s="372" t="s">
        <v>7516</v>
      </c>
      <c r="V2924" s="372"/>
      <c r="W2924" s="372"/>
      <c r="X2924" s="373"/>
      <c r="Y2924" s="348"/>
      <c r="Z2924" s="348"/>
      <c r="AA2924" s="348"/>
    </row>
    <row r="2925" s="331" customFormat="1" ht="17" customHeight="1" spans="1:27">
      <c r="A2925" s="550" t="s">
        <v>7517</v>
      </c>
      <c r="B2925" s="348" t="s">
        <v>123</v>
      </c>
      <c r="C2925" s="348" t="s">
        <v>32</v>
      </c>
      <c r="D2925" s="352" t="s">
        <v>125</v>
      </c>
      <c r="E2925" s="336">
        <v>43681</v>
      </c>
      <c r="F2925" s="336">
        <v>43681</v>
      </c>
      <c r="G2925" s="350"/>
      <c r="H2925" s="334" t="s">
        <v>7518</v>
      </c>
      <c r="I2925" s="356">
        <v>13636342918</v>
      </c>
      <c r="J2925" s="361" t="s">
        <v>7519</v>
      </c>
      <c r="K2925" s="356">
        <v>1000</v>
      </c>
      <c r="L2925" s="419"/>
      <c r="M2925" s="419"/>
      <c r="N2925" s="362">
        <f t="shared" ref="N2925:N2976" si="107">L2925+M2925</f>
        <v>0</v>
      </c>
      <c r="O2925" s="356"/>
      <c r="P2925" s="356"/>
      <c r="Q2925" s="356"/>
      <c r="R2925" s="356"/>
      <c r="S2925" s="356" t="s">
        <v>52</v>
      </c>
      <c r="T2925" s="356"/>
      <c r="U2925" s="353" t="s">
        <v>12</v>
      </c>
      <c r="V2925" s="372"/>
      <c r="W2925" s="372"/>
      <c r="X2925" s="373"/>
      <c r="Y2925" s="348"/>
      <c r="Z2925" s="348"/>
      <c r="AA2925" s="348"/>
    </row>
    <row r="2926" s="331" customFormat="1" ht="17" customHeight="1" spans="1:27">
      <c r="A2926" s="348"/>
      <c r="B2926" s="348" t="s">
        <v>137</v>
      </c>
      <c r="C2926" s="348" t="s">
        <v>406</v>
      </c>
      <c r="D2926" s="349" t="s">
        <v>271</v>
      </c>
      <c r="E2926" s="336">
        <v>43684</v>
      </c>
      <c r="F2926" s="336">
        <v>43681</v>
      </c>
      <c r="G2926" s="336">
        <v>43684</v>
      </c>
      <c r="H2926" s="334" t="s">
        <v>5259</v>
      </c>
      <c r="I2926" s="356">
        <v>13764688205</v>
      </c>
      <c r="J2926" s="361" t="s">
        <v>7520</v>
      </c>
      <c r="K2926" s="356">
        <v>1000</v>
      </c>
      <c r="L2926" s="334">
        <v>11251</v>
      </c>
      <c r="M2926" s="419"/>
      <c r="N2926" s="362">
        <f t="shared" si="107"/>
        <v>11251</v>
      </c>
      <c r="O2926" s="356"/>
      <c r="P2926" s="356"/>
      <c r="Q2926" s="356">
        <v>1</v>
      </c>
      <c r="R2926" s="356"/>
      <c r="S2926" s="356"/>
      <c r="T2926" s="356"/>
      <c r="U2926" s="372"/>
      <c r="V2926" s="372"/>
      <c r="W2926" s="372"/>
      <c r="X2926" s="373"/>
      <c r="Y2926" s="348"/>
      <c r="Z2926" s="348"/>
      <c r="AA2926" s="348"/>
    </row>
    <row r="2927" s="331" customFormat="1" ht="17" customHeight="1" spans="1:27">
      <c r="A2927" s="550" t="s">
        <v>7521</v>
      </c>
      <c r="B2927" s="348" t="s">
        <v>31</v>
      </c>
      <c r="C2927" s="348" t="s">
        <v>220</v>
      </c>
      <c r="D2927" s="352" t="s">
        <v>221</v>
      </c>
      <c r="E2927" s="336">
        <v>43694</v>
      </c>
      <c r="F2927" s="336">
        <v>43681</v>
      </c>
      <c r="G2927" s="336">
        <v>43693</v>
      </c>
      <c r="H2927" s="334" t="s">
        <v>7522</v>
      </c>
      <c r="I2927" s="356">
        <v>13621657599</v>
      </c>
      <c r="J2927" s="361" t="s">
        <v>7523</v>
      </c>
      <c r="K2927" s="356">
        <v>1000</v>
      </c>
      <c r="L2927" s="334">
        <v>5067</v>
      </c>
      <c r="M2927" s="419"/>
      <c r="N2927" s="362">
        <f t="shared" si="107"/>
        <v>5067</v>
      </c>
      <c r="O2927" s="356"/>
      <c r="P2927" s="356"/>
      <c r="Q2927" s="356"/>
      <c r="R2927" s="356"/>
      <c r="S2927" s="356"/>
      <c r="T2927" s="356"/>
      <c r="U2927" s="372"/>
      <c r="V2927" s="372"/>
      <c r="W2927" s="372"/>
      <c r="X2927" s="373"/>
      <c r="Y2927" s="348"/>
      <c r="Z2927" s="348"/>
      <c r="AA2927" s="348"/>
    </row>
    <row r="2928" s="331" customFormat="1" ht="17" customHeight="1" spans="1:27">
      <c r="A2928" s="348"/>
      <c r="B2928" s="348" t="s">
        <v>137</v>
      </c>
      <c r="C2928" s="348" t="s">
        <v>138</v>
      </c>
      <c r="D2928" s="352" t="s">
        <v>139</v>
      </c>
      <c r="E2928" s="336">
        <v>43727</v>
      </c>
      <c r="F2928" s="336">
        <v>43681</v>
      </c>
      <c r="G2928" s="336">
        <v>43725</v>
      </c>
      <c r="H2928" s="334" t="s">
        <v>7524</v>
      </c>
      <c r="I2928" s="356">
        <v>15967916208</v>
      </c>
      <c r="J2928" s="361" t="s">
        <v>7525</v>
      </c>
      <c r="K2928" s="356">
        <v>30959</v>
      </c>
      <c r="L2928" s="334">
        <v>34529</v>
      </c>
      <c r="M2928" s="419"/>
      <c r="N2928" s="362">
        <f t="shared" si="107"/>
        <v>34529</v>
      </c>
      <c r="O2928" s="356"/>
      <c r="P2928" s="356"/>
      <c r="Q2928" s="356">
        <v>1</v>
      </c>
      <c r="R2928" s="356"/>
      <c r="S2928" s="356"/>
      <c r="T2928" s="356"/>
      <c r="U2928" s="372"/>
      <c r="V2928" s="372"/>
      <c r="W2928" s="372"/>
      <c r="X2928" s="373"/>
      <c r="Y2928" s="348"/>
      <c r="Z2928" s="348"/>
      <c r="AA2928" s="348"/>
    </row>
    <row r="2929" s="331" customFormat="1" ht="17" customHeight="1" spans="1:27">
      <c r="A2929" s="348"/>
      <c r="B2929" s="348" t="s">
        <v>137</v>
      </c>
      <c r="C2929" s="348" t="s">
        <v>480</v>
      </c>
      <c r="D2929" s="352" t="s">
        <v>139</v>
      </c>
      <c r="E2929" s="336">
        <v>43685</v>
      </c>
      <c r="F2929" s="336">
        <v>43681</v>
      </c>
      <c r="G2929" s="336">
        <v>43684</v>
      </c>
      <c r="H2929" s="334" t="s">
        <v>7526</v>
      </c>
      <c r="I2929" s="356">
        <v>13918052008</v>
      </c>
      <c r="J2929" s="361" t="s">
        <v>7527</v>
      </c>
      <c r="K2929" s="356">
        <v>1000</v>
      </c>
      <c r="L2929" s="334">
        <v>11148.16</v>
      </c>
      <c r="M2929" s="334">
        <f>713.92+713.92</f>
        <v>1427.84</v>
      </c>
      <c r="N2929" s="362">
        <f t="shared" si="107"/>
        <v>12576</v>
      </c>
      <c r="O2929" s="356"/>
      <c r="P2929" s="356"/>
      <c r="Q2929" s="356">
        <v>1</v>
      </c>
      <c r="R2929" s="356"/>
      <c r="S2929" s="356"/>
      <c r="T2929" s="356"/>
      <c r="U2929" s="372"/>
      <c r="V2929" s="372"/>
      <c r="W2929" s="372"/>
      <c r="X2929" s="373"/>
      <c r="Y2929" s="348"/>
      <c r="Z2929" s="348"/>
      <c r="AA2929" s="348"/>
    </row>
    <row r="2930" s="331" customFormat="1" ht="17" customHeight="1" spans="1:27">
      <c r="A2930" s="348"/>
      <c r="B2930" s="348" t="s">
        <v>137</v>
      </c>
      <c r="C2930" s="348" t="s">
        <v>411</v>
      </c>
      <c r="D2930" s="334" t="s">
        <v>139</v>
      </c>
      <c r="E2930" s="336">
        <v>43705</v>
      </c>
      <c r="F2930" s="336">
        <v>43681</v>
      </c>
      <c r="G2930" s="336">
        <v>43705</v>
      </c>
      <c r="H2930" s="334" t="s">
        <v>7528</v>
      </c>
      <c r="I2930" s="356">
        <v>18601655238</v>
      </c>
      <c r="J2930" s="361" t="s">
        <v>7529</v>
      </c>
      <c r="K2930" s="356">
        <v>15520</v>
      </c>
      <c r="L2930" s="334">
        <v>14178</v>
      </c>
      <c r="M2930" s="419"/>
      <c r="N2930" s="362">
        <f t="shared" si="107"/>
        <v>14178</v>
      </c>
      <c r="O2930" s="356"/>
      <c r="P2930" s="356"/>
      <c r="Q2930" s="356"/>
      <c r="R2930" s="356">
        <v>1</v>
      </c>
      <c r="S2930" s="356"/>
      <c r="T2930" s="356"/>
      <c r="U2930" s="372"/>
      <c r="V2930" s="372"/>
      <c r="W2930" s="372"/>
      <c r="X2930" s="373"/>
      <c r="Y2930" s="348"/>
      <c r="Z2930" s="348"/>
      <c r="AA2930" s="348"/>
    </row>
    <row r="2931" s="331" customFormat="1" ht="17" customHeight="1" spans="1:27">
      <c r="A2931" s="550" t="s">
        <v>7530</v>
      </c>
      <c r="B2931" s="348" t="s">
        <v>73</v>
      </c>
      <c r="C2931" s="348" t="s">
        <v>74</v>
      </c>
      <c r="D2931" s="352" t="s">
        <v>75</v>
      </c>
      <c r="E2931" s="336">
        <v>43738</v>
      </c>
      <c r="F2931" s="336">
        <v>43681</v>
      </c>
      <c r="G2931" s="336">
        <v>43717</v>
      </c>
      <c r="H2931" s="334" t="s">
        <v>7531</v>
      </c>
      <c r="I2931" s="356">
        <v>18019021686</v>
      </c>
      <c r="J2931" s="361" t="s">
        <v>7532</v>
      </c>
      <c r="K2931" s="356">
        <v>1000</v>
      </c>
      <c r="L2931" s="334">
        <v>17050</v>
      </c>
      <c r="M2931" s="419"/>
      <c r="N2931" s="362">
        <f t="shared" si="107"/>
        <v>17050</v>
      </c>
      <c r="O2931" s="366" t="s">
        <v>52</v>
      </c>
      <c r="P2931" s="356"/>
      <c r="Q2931" s="356"/>
      <c r="R2931" s="356"/>
      <c r="S2931" s="356"/>
      <c r="T2931" s="356"/>
      <c r="U2931" s="372"/>
      <c r="V2931" s="372"/>
      <c r="W2931" s="372"/>
      <c r="X2931" s="373"/>
      <c r="Y2931" s="348"/>
      <c r="Z2931" s="348"/>
      <c r="AA2931" s="348"/>
    </row>
    <row r="2932" s="331" customFormat="1" ht="17" customHeight="1" spans="1:27">
      <c r="A2932" s="348"/>
      <c r="B2932" s="348" t="s">
        <v>66</v>
      </c>
      <c r="C2932" s="348" t="s">
        <v>119</v>
      </c>
      <c r="D2932" s="352" t="s">
        <v>143</v>
      </c>
      <c r="E2932" s="336">
        <v>43684</v>
      </c>
      <c r="F2932" s="336">
        <v>43681</v>
      </c>
      <c r="G2932" s="336">
        <v>43681</v>
      </c>
      <c r="H2932" s="334" t="s">
        <v>7533</v>
      </c>
      <c r="I2932" s="356">
        <v>13524358286</v>
      </c>
      <c r="J2932" s="361" t="s">
        <v>7534</v>
      </c>
      <c r="K2932" s="356">
        <v>0</v>
      </c>
      <c r="L2932" s="334">
        <v>15021</v>
      </c>
      <c r="M2932" s="334">
        <v>2208</v>
      </c>
      <c r="N2932" s="362">
        <f t="shared" si="107"/>
        <v>17229</v>
      </c>
      <c r="O2932" s="356"/>
      <c r="P2932" s="356"/>
      <c r="Q2932" s="356"/>
      <c r="R2932" s="356"/>
      <c r="S2932" s="356"/>
      <c r="T2932" s="356"/>
      <c r="U2932" s="372"/>
      <c r="V2932" s="372"/>
      <c r="W2932" s="372"/>
      <c r="X2932" s="373"/>
      <c r="Y2932" s="348"/>
      <c r="Z2932" s="348"/>
      <c r="AA2932" s="348"/>
    </row>
    <row r="2933" s="331" customFormat="1" ht="17" customHeight="1" spans="1:27">
      <c r="A2933" s="550" t="s">
        <v>7535</v>
      </c>
      <c r="B2933" s="348" t="s">
        <v>315</v>
      </c>
      <c r="C2933" s="348" t="s">
        <v>722</v>
      </c>
      <c r="D2933" s="334" t="s">
        <v>132</v>
      </c>
      <c r="E2933" s="336">
        <v>43707</v>
      </c>
      <c r="F2933" s="336">
        <v>43681</v>
      </c>
      <c r="G2933" s="336">
        <v>43706</v>
      </c>
      <c r="H2933" s="334" t="s">
        <v>7536</v>
      </c>
      <c r="I2933" s="356">
        <v>18918887621</v>
      </c>
      <c r="J2933" s="361" t="s">
        <v>7537</v>
      </c>
      <c r="K2933" s="356">
        <f>10000+1000</f>
        <v>11000</v>
      </c>
      <c r="L2933" s="334">
        <v>11500</v>
      </c>
      <c r="M2933" s="419"/>
      <c r="N2933" s="362">
        <f t="shared" si="107"/>
        <v>11500</v>
      </c>
      <c r="O2933" s="356"/>
      <c r="P2933" s="356"/>
      <c r="Q2933" s="356">
        <v>1</v>
      </c>
      <c r="R2933" s="356"/>
      <c r="S2933" s="356"/>
      <c r="T2933" s="356"/>
      <c r="U2933" s="372"/>
      <c r="V2933" s="372"/>
      <c r="W2933" s="372"/>
      <c r="X2933" s="373"/>
      <c r="Y2933" s="348"/>
      <c r="Z2933" s="348"/>
      <c r="AA2933" s="348"/>
    </row>
    <row r="2934" s="331" customFormat="1" ht="17" customHeight="1" spans="1:27">
      <c r="A2934" s="550" t="s">
        <v>7538</v>
      </c>
      <c r="B2934" s="348" t="s">
        <v>58</v>
      </c>
      <c r="C2934" s="348" t="s">
        <v>342</v>
      </c>
      <c r="D2934" s="349" t="s">
        <v>343</v>
      </c>
      <c r="E2934" s="336">
        <v>43689</v>
      </c>
      <c r="F2934" s="336">
        <v>43681</v>
      </c>
      <c r="G2934" s="336">
        <v>43688</v>
      </c>
      <c r="H2934" s="334" t="s">
        <v>7539</v>
      </c>
      <c r="I2934" s="356">
        <v>13917835821</v>
      </c>
      <c r="J2934" s="361" t="s">
        <v>7540</v>
      </c>
      <c r="K2934" s="356">
        <v>1000</v>
      </c>
      <c r="L2934" s="334">
        <v>15250</v>
      </c>
      <c r="M2934" s="419"/>
      <c r="N2934" s="362">
        <f t="shared" si="107"/>
        <v>15250</v>
      </c>
      <c r="O2934" s="366" t="s">
        <v>52</v>
      </c>
      <c r="P2934" s="356"/>
      <c r="Q2934" s="356"/>
      <c r="R2934" s="356"/>
      <c r="S2934" s="356"/>
      <c r="T2934" s="356"/>
      <c r="U2934" s="372"/>
      <c r="V2934" s="372"/>
      <c r="W2934" s="372"/>
      <c r="X2934" s="373"/>
      <c r="Y2934" s="348"/>
      <c r="Z2934" s="348"/>
      <c r="AA2934" s="348"/>
    </row>
    <row r="2935" s="331" customFormat="1" ht="17" customHeight="1" spans="1:27">
      <c r="A2935" s="348"/>
      <c r="B2935" s="348" t="s">
        <v>87</v>
      </c>
      <c r="C2935" s="334" t="s">
        <v>1757</v>
      </c>
      <c r="D2935" s="349" t="s">
        <v>89</v>
      </c>
      <c r="E2935" s="336">
        <v>43679</v>
      </c>
      <c r="F2935" s="336"/>
      <c r="G2935" s="336">
        <v>43679</v>
      </c>
      <c r="H2935" s="334" t="s">
        <v>7541</v>
      </c>
      <c r="I2935" s="356">
        <v>13916567855</v>
      </c>
      <c r="J2935" s="361" t="s">
        <v>7542</v>
      </c>
      <c r="K2935" s="356"/>
      <c r="L2935" s="334">
        <f>6480</f>
        <v>6480</v>
      </c>
      <c r="M2935" s="334">
        <v>1520</v>
      </c>
      <c r="N2935" s="362">
        <f t="shared" si="107"/>
        <v>8000</v>
      </c>
      <c r="O2935" s="356"/>
      <c r="P2935" s="356"/>
      <c r="Q2935" s="356"/>
      <c r="R2935" s="356"/>
      <c r="S2935" s="356"/>
      <c r="T2935" s="356"/>
      <c r="U2935" s="372"/>
      <c r="V2935" s="372"/>
      <c r="W2935" s="372"/>
      <c r="X2935" s="373"/>
      <c r="Y2935" s="348"/>
      <c r="Z2935" s="348"/>
      <c r="AA2935" s="348"/>
    </row>
    <row r="2936" s="331" customFormat="1" ht="17" customHeight="1" spans="1:27">
      <c r="A2936" s="348"/>
      <c r="B2936" s="348" t="s">
        <v>66</v>
      </c>
      <c r="C2936" s="334" t="s">
        <v>951</v>
      </c>
      <c r="D2936" s="349" t="s">
        <v>68</v>
      </c>
      <c r="E2936" s="336">
        <v>43680</v>
      </c>
      <c r="F2936" s="336"/>
      <c r="G2936" s="336">
        <v>43680</v>
      </c>
      <c r="H2936" s="334" t="s">
        <v>7543</v>
      </c>
      <c r="I2936" s="356">
        <v>13916514223</v>
      </c>
      <c r="J2936" s="361" t="s">
        <v>7544</v>
      </c>
      <c r="K2936" s="356"/>
      <c r="L2936" s="334">
        <v>8961</v>
      </c>
      <c r="M2936" s="334">
        <v>572</v>
      </c>
      <c r="N2936" s="362">
        <f t="shared" si="107"/>
        <v>9533</v>
      </c>
      <c r="O2936" s="356"/>
      <c r="P2936" s="356"/>
      <c r="Q2936" s="356"/>
      <c r="R2936" s="356"/>
      <c r="S2936" s="356"/>
      <c r="T2936" s="356"/>
      <c r="U2936" s="372"/>
      <c r="V2936" s="372"/>
      <c r="W2936" s="372"/>
      <c r="X2936" s="373"/>
      <c r="Y2936" s="348"/>
      <c r="Z2936" s="348"/>
      <c r="AA2936" s="348"/>
    </row>
    <row r="2937" s="331" customFormat="1" ht="17" customHeight="1" spans="1:27">
      <c r="A2937" s="348"/>
      <c r="B2937" s="348" t="s">
        <v>2625</v>
      </c>
      <c r="C2937" s="334" t="s">
        <v>2626</v>
      </c>
      <c r="D2937" s="349" t="s">
        <v>44</v>
      </c>
      <c r="E2937" s="336">
        <v>43680</v>
      </c>
      <c r="F2937" s="336"/>
      <c r="G2937" s="336">
        <v>43679</v>
      </c>
      <c r="H2937" s="334" t="s">
        <v>7545</v>
      </c>
      <c r="I2937" s="356">
        <v>13524681534</v>
      </c>
      <c r="J2937" s="361" t="s">
        <v>7546</v>
      </c>
      <c r="K2937" s="356"/>
      <c r="L2937" s="334">
        <v>10200</v>
      </c>
      <c r="M2937" s="419"/>
      <c r="N2937" s="362">
        <f t="shared" si="107"/>
        <v>10200</v>
      </c>
      <c r="O2937" s="356"/>
      <c r="P2937" s="356"/>
      <c r="Q2937" s="356"/>
      <c r="R2937" s="356"/>
      <c r="S2937" s="356"/>
      <c r="T2937" s="356"/>
      <c r="U2937" s="372"/>
      <c r="V2937" s="372"/>
      <c r="W2937" s="372"/>
      <c r="X2937" s="373"/>
      <c r="Y2937" s="348"/>
      <c r="Z2937" s="348"/>
      <c r="AA2937" s="348"/>
    </row>
    <row r="2938" s="331" customFormat="1" ht="17" customHeight="1" spans="1:27">
      <c r="A2938" s="348"/>
      <c r="B2938" s="348" t="s">
        <v>47</v>
      </c>
      <c r="C2938" s="334" t="s">
        <v>53</v>
      </c>
      <c r="D2938" s="352" t="s">
        <v>49</v>
      </c>
      <c r="E2938" s="336">
        <v>43681</v>
      </c>
      <c r="F2938" s="336"/>
      <c r="G2938" s="336">
        <v>43681</v>
      </c>
      <c r="H2938" s="334" t="s">
        <v>7547</v>
      </c>
      <c r="I2938" s="356">
        <v>13566088629</v>
      </c>
      <c r="J2938" s="361" t="s">
        <v>7548</v>
      </c>
      <c r="K2938" s="356"/>
      <c r="L2938" s="334">
        <v>10360</v>
      </c>
      <c r="M2938" s="334">
        <v>1340</v>
      </c>
      <c r="N2938" s="362">
        <f t="shared" si="107"/>
        <v>11700</v>
      </c>
      <c r="O2938" s="356"/>
      <c r="P2938" s="356"/>
      <c r="Q2938" s="356"/>
      <c r="R2938" s="356"/>
      <c r="S2938" s="356"/>
      <c r="T2938" s="356"/>
      <c r="U2938" s="372"/>
      <c r="V2938" s="372"/>
      <c r="W2938" s="372"/>
      <c r="X2938" s="373"/>
      <c r="Y2938" s="348"/>
      <c r="Z2938" s="348"/>
      <c r="AA2938" s="348"/>
    </row>
    <row r="2939" s="331" customFormat="1" ht="17" customHeight="1" spans="1:27">
      <c r="A2939" s="348"/>
      <c r="B2939" s="348" t="s">
        <v>94</v>
      </c>
      <c r="C2939" s="334" t="s">
        <v>95</v>
      </c>
      <c r="D2939" s="352" t="s">
        <v>49</v>
      </c>
      <c r="E2939" s="336">
        <v>43681</v>
      </c>
      <c r="F2939" s="336"/>
      <c r="G2939" s="336">
        <v>43680</v>
      </c>
      <c r="H2939" s="334" t="s">
        <v>7549</v>
      </c>
      <c r="I2939" s="356">
        <v>13003155151</v>
      </c>
      <c r="J2939" s="361" t="s">
        <v>7550</v>
      </c>
      <c r="K2939" s="356"/>
      <c r="L2939" s="334">
        <v>11899</v>
      </c>
      <c r="M2939" s="419"/>
      <c r="N2939" s="362">
        <f t="shared" si="107"/>
        <v>11899</v>
      </c>
      <c r="O2939" s="356"/>
      <c r="P2939" s="356"/>
      <c r="Q2939" s="356"/>
      <c r="R2939" s="356"/>
      <c r="S2939" s="356"/>
      <c r="T2939" s="356"/>
      <c r="U2939" s="372"/>
      <c r="V2939" s="372"/>
      <c r="W2939" s="372"/>
      <c r="X2939" s="373"/>
      <c r="Y2939" s="348"/>
      <c r="Z2939" s="348"/>
      <c r="AA2939" s="348"/>
    </row>
    <row r="2940" s="331" customFormat="1" ht="17" customHeight="1" spans="1:27">
      <c r="A2940" s="348"/>
      <c r="B2940" s="348" t="s">
        <v>315</v>
      </c>
      <c r="C2940" s="334" t="s">
        <v>230</v>
      </c>
      <c r="D2940" s="349" t="s">
        <v>182</v>
      </c>
      <c r="E2940" s="336">
        <v>43681</v>
      </c>
      <c r="F2940" s="336"/>
      <c r="G2940" s="336">
        <v>43680</v>
      </c>
      <c r="H2940" s="334" t="s">
        <v>7551</v>
      </c>
      <c r="I2940" s="356">
        <v>15221208840</v>
      </c>
      <c r="J2940" s="361" t="s">
        <v>7552</v>
      </c>
      <c r="K2940" s="356"/>
      <c r="L2940" s="334">
        <v>5772</v>
      </c>
      <c r="M2940" s="419"/>
      <c r="N2940" s="362">
        <f t="shared" si="107"/>
        <v>5772</v>
      </c>
      <c r="O2940" s="356"/>
      <c r="P2940" s="356"/>
      <c r="Q2940" s="356"/>
      <c r="R2940" s="356"/>
      <c r="S2940" s="356"/>
      <c r="T2940" s="356"/>
      <c r="U2940" s="372"/>
      <c r="V2940" s="372"/>
      <c r="W2940" s="372"/>
      <c r="X2940" s="373"/>
      <c r="Y2940" s="348"/>
      <c r="Z2940" s="348"/>
      <c r="AA2940" s="348"/>
    </row>
    <row r="2941" s="331" customFormat="1" ht="17" customHeight="1" spans="1:27">
      <c r="A2941" s="348"/>
      <c r="B2941" s="348" t="s">
        <v>315</v>
      </c>
      <c r="C2941" s="334" t="s">
        <v>722</v>
      </c>
      <c r="D2941" s="349" t="s">
        <v>149</v>
      </c>
      <c r="E2941" s="336">
        <v>43681</v>
      </c>
      <c r="F2941" s="336"/>
      <c r="G2941" s="336">
        <v>43681</v>
      </c>
      <c r="H2941" s="334" t="s">
        <v>7553</v>
      </c>
      <c r="I2941" s="356">
        <v>1581778845</v>
      </c>
      <c r="J2941" s="361" t="s">
        <v>7554</v>
      </c>
      <c r="K2941" s="356"/>
      <c r="L2941" s="334">
        <v>4046</v>
      </c>
      <c r="M2941" s="419"/>
      <c r="N2941" s="362">
        <f t="shared" si="107"/>
        <v>4046</v>
      </c>
      <c r="O2941" s="356"/>
      <c r="P2941" s="356"/>
      <c r="Q2941" s="356"/>
      <c r="R2941" s="356"/>
      <c r="S2941" s="356"/>
      <c r="T2941" s="356"/>
      <c r="U2941" s="372"/>
      <c r="V2941" s="372"/>
      <c r="W2941" s="372"/>
      <c r="X2941" s="373"/>
      <c r="Y2941" s="348"/>
      <c r="Z2941" s="348"/>
      <c r="AA2941" s="348"/>
    </row>
    <row r="2942" s="331" customFormat="1" ht="17" customHeight="1" spans="1:27">
      <c r="A2942" s="348"/>
      <c r="B2942" s="348" t="s">
        <v>236</v>
      </c>
      <c r="C2942" s="334" t="s">
        <v>703</v>
      </c>
      <c r="D2942" s="352" t="s">
        <v>125</v>
      </c>
      <c r="E2942" s="336">
        <v>43681</v>
      </c>
      <c r="F2942" s="336"/>
      <c r="G2942" s="336">
        <v>43681</v>
      </c>
      <c r="H2942" s="334" t="s">
        <v>7555</v>
      </c>
      <c r="I2942" s="356">
        <v>18601789861</v>
      </c>
      <c r="J2942" s="361" t="s">
        <v>7556</v>
      </c>
      <c r="K2942" s="356"/>
      <c r="L2942" s="334">
        <v>22800</v>
      </c>
      <c r="M2942" s="419"/>
      <c r="N2942" s="362">
        <f t="shared" si="107"/>
        <v>22800</v>
      </c>
      <c r="O2942" s="356"/>
      <c r="P2942" s="356"/>
      <c r="Q2942" s="356"/>
      <c r="R2942" s="356"/>
      <c r="S2942" s="356"/>
      <c r="T2942" s="356"/>
      <c r="U2942" s="372"/>
      <c r="V2942" s="372"/>
      <c r="W2942" s="372"/>
      <c r="X2942" s="373"/>
      <c r="Y2942" s="348"/>
      <c r="Z2942" s="348"/>
      <c r="AA2942" s="348"/>
    </row>
    <row r="2943" s="331" customFormat="1" ht="17" customHeight="1" spans="1:27">
      <c r="A2943" s="348"/>
      <c r="B2943" s="348" t="s">
        <v>87</v>
      </c>
      <c r="C2943" s="334" t="s">
        <v>199</v>
      </c>
      <c r="D2943" s="349" t="s">
        <v>89</v>
      </c>
      <c r="E2943" s="336">
        <v>43679</v>
      </c>
      <c r="F2943" s="336" t="s">
        <v>800</v>
      </c>
      <c r="G2943" s="336">
        <v>43679</v>
      </c>
      <c r="H2943" s="334" t="s">
        <v>7557</v>
      </c>
      <c r="I2943" s="356">
        <v>13818348811</v>
      </c>
      <c r="J2943" s="361" t="s">
        <v>7558</v>
      </c>
      <c r="K2943" s="356"/>
      <c r="L2943" s="419"/>
      <c r="M2943" s="334">
        <v>1505</v>
      </c>
      <c r="N2943" s="362">
        <f t="shared" si="107"/>
        <v>1505</v>
      </c>
      <c r="O2943" s="356"/>
      <c r="P2943" s="356"/>
      <c r="Q2943" s="356"/>
      <c r="R2943" s="356"/>
      <c r="S2943" s="356"/>
      <c r="T2943" s="356"/>
      <c r="U2943" s="372"/>
      <c r="V2943" s="372"/>
      <c r="W2943" s="372"/>
      <c r="X2943" s="373"/>
      <c r="Y2943" s="348"/>
      <c r="Z2943" s="348"/>
      <c r="AA2943" s="348"/>
    </row>
    <row r="2944" s="331" customFormat="1" ht="17" customHeight="1" spans="1:27">
      <c r="A2944" s="348"/>
      <c r="B2944" s="348" t="s">
        <v>137</v>
      </c>
      <c r="C2944" s="334" t="s">
        <v>480</v>
      </c>
      <c r="D2944" s="349" t="s">
        <v>139</v>
      </c>
      <c r="E2944" s="336">
        <v>43679</v>
      </c>
      <c r="F2944" s="336" t="s">
        <v>800</v>
      </c>
      <c r="G2944" s="336">
        <v>43679</v>
      </c>
      <c r="H2944" s="334" t="s">
        <v>4055</v>
      </c>
      <c r="I2944" s="356">
        <v>13381887727</v>
      </c>
      <c r="J2944" s="361" t="s">
        <v>7559</v>
      </c>
      <c r="K2944" s="356"/>
      <c r="L2944" s="419"/>
      <c r="M2944" s="334">
        <v>1326</v>
      </c>
      <c r="N2944" s="362">
        <f t="shared" si="107"/>
        <v>1326</v>
      </c>
      <c r="O2944" s="356"/>
      <c r="P2944" s="356"/>
      <c r="Q2944" s="356"/>
      <c r="R2944" s="356"/>
      <c r="S2944" s="356"/>
      <c r="T2944" s="356"/>
      <c r="U2944" s="372"/>
      <c r="V2944" s="372"/>
      <c r="W2944" s="372"/>
      <c r="X2944" s="373"/>
      <c r="Y2944" s="348"/>
      <c r="Z2944" s="348"/>
      <c r="AA2944" s="348"/>
    </row>
    <row r="2945" s="331" customFormat="1" ht="17" customHeight="1" spans="1:27">
      <c r="A2945" s="348"/>
      <c r="B2945" s="348" t="s">
        <v>66</v>
      </c>
      <c r="C2945" s="334" t="s">
        <v>505</v>
      </c>
      <c r="D2945" s="352" t="s">
        <v>143</v>
      </c>
      <c r="E2945" s="336">
        <v>43679</v>
      </c>
      <c r="F2945" s="336" t="s">
        <v>800</v>
      </c>
      <c r="G2945" s="336">
        <v>43679</v>
      </c>
      <c r="H2945" s="334" t="s">
        <v>6439</v>
      </c>
      <c r="I2945" s="356">
        <v>13917561543</v>
      </c>
      <c r="J2945" s="361" t="s">
        <v>6440</v>
      </c>
      <c r="K2945" s="356"/>
      <c r="L2945" s="419"/>
      <c r="M2945" s="334">
        <v>1220</v>
      </c>
      <c r="N2945" s="362">
        <f t="shared" si="107"/>
        <v>1220</v>
      </c>
      <c r="O2945" s="356"/>
      <c r="P2945" s="356"/>
      <c r="Q2945" s="356"/>
      <c r="R2945" s="356"/>
      <c r="S2945" s="356"/>
      <c r="T2945" s="356"/>
      <c r="U2945" s="372"/>
      <c r="V2945" s="372"/>
      <c r="W2945" s="372"/>
      <c r="X2945" s="373"/>
      <c r="Y2945" s="348"/>
      <c r="Z2945" s="348"/>
      <c r="AA2945" s="348"/>
    </row>
    <row r="2946" s="331" customFormat="1" ht="17" customHeight="1" spans="1:27">
      <c r="A2946" s="348"/>
      <c r="B2946" s="348" t="s">
        <v>73</v>
      </c>
      <c r="C2946" s="334" t="s">
        <v>178</v>
      </c>
      <c r="D2946" s="349" t="s">
        <v>44</v>
      </c>
      <c r="E2946" s="336">
        <v>43679</v>
      </c>
      <c r="F2946" s="336" t="s">
        <v>800</v>
      </c>
      <c r="G2946" s="336">
        <v>43679</v>
      </c>
      <c r="H2946" s="334" t="s">
        <v>4566</v>
      </c>
      <c r="I2946" s="356">
        <v>13816973547</v>
      </c>
      <c r="J2946" s="361" t="s">
        <v>4567</v>
      </c>
      <c r="K2946" s="356"/>
      <c r="L2946" s="419"/>
      <c r="M2946" s="334">
        <v>-600</v>
      </c>
      <c r="N2946" s="362">
        <f t="shared" si="107"/>
        <v>-600</v>
      </c>
      <c r="O2946" s="356"/>
      <c r="P2946" s="356"/>
      <c r="Q2946" s="356"/>
      <c r="R2946" s="356"/>
      <c r="S2946" s="356"/>
      <c r="T2946" s="356"/>
      <c r="U2946" s="372"/>
      <c r="V2946" s="372"/>
      <c r="W2946" s="372"/>
      <c r="X2946" s="373"/>
      <c r="Y2946" s="348"/>
      <c r="Z2946" s="348"/>
      <c r="AA2946" s="348"/>
    </row>
    <row r="2947" s="331" customFormat="1" ht="17" customHeight="1" spans="1:27">
      <c r="A2947" s="348"/>
      <c r="B2947" s="348" t="s">
        <v>243</v>
      </c>
      <c r="C2947" s="334" t="s">
        <v>304</v>
      </c>
      <c r="D2947" s="352" t="s">
        <v>49</v>
      </c>
      <c r="E2947" s="336">
        <v>43679</v>
      </c>
      <c r="F2947" s="336" t="s">
        <v>800</v>
      </c>
      <c r="G2947" s="336">
        <v>43679</v>
      </c>
      <c r="H2947" s="334" t="s">
        <v>7560</v>
      </c>
      <c r="I2947" s="356">
        <v>13585513238</v>
      </c>
      <c r="J2947" s="361" t="s">
        <v>6906</v>
      </c>
      <c r="K2947" s="356"/>
      <c r="L2947" s="419"/>
      <c r="M2947" s="334">
        <v>5722</v>
      </c>
      <c r="N2947" s="362">
        <f t="shared" si="107"/>
        <v>5722</v>
      </c>
      <c r="O2947" s="356"/>
      <c r="P2947" s="356"/>
      <c r="Q2947" s="356"/>
      <c r="R2947" s="356"/>
      <c r="S2947" s="356"/>
      <c r="T2947" s="356"/>
      <c r="U2947" s="372"/>
      <c r="V2947" s="372"/>
      <c r="W2947" s="372"/>
      <c r="X2947" s="373"/>
      <c r="Y2947" s="348"/>
      <c r="Z2947" s="348"/>
      <c r="AA2947" s="348"/>
    </row>
    <row r="2948" s="331" customFormat="1" ht="17" customHeight="1" spans="1:27">
      <c r="A2948" s="348"/>
      <c r="B2948" s="348" t="s">
        <v>66</v>
      </c>
      <c r="C2948" s="334" t="s">
        <v>67</v>
      </c>
      <c r="D2948" s="349" t="s">
        <v>68</v>
      </c>
      <c r="E2948" s="336">
        <v>43679</v>
      </c>
      <c r="F2948" s="336" t="s">
        <v>800</v>
      </c>
      <c r="G2948" s="336">
        <v>43679</v>
      </c>
      <c r="H2948" s="334" t="s">
        <v>968</v>
      </c>
      <c r="I2948" s="356">
        <v>18033033585</v>
      </c>
      <c r="J2948" s="361" t="s">
        <v>7561</v>
      </c>
      <c r="K2948" s="356"/>
      <c r="L2948" s="419"/>
      <c r="M2948" s="334">
        <v>1062</v>
      </c>
      <c r="N2948" s="362">
        <f t="shared" si="107"/>
        <v>1062</v>
      </c>
      <c r="O2948" s="356"/>
      <c r="P2948" s="356"/>
      <c r="Q2948" s="356"/>
      <c r="R2948" s="356"/>
      <c r="S2948" s="356"/>
      <c r="T2948" s="356"/>
      <c r="U2948" s="372"/>
      <c r="V2948" s="372"/>
      <c r="W2948" s="372"/>
      <c r="X2948" s="373"/>
      <c r="Y2948" s="348"/>
      <c r="Z2948" s="348"/>
      <c r="AA2948" s="348"/>
    </row>
    <row r="2949" s="331" customFormat="1" ht="17" customHeight="1" spans="1:27">
      <c r="A2949" s="348"/>
      <c r="B2949" s="348" t="s">
        <v>315</v>
      </c>
      <c r="C2949" s="334" t="s">
        <v>181</v>
      </c>
      <c r="D2949" s="349" t="s">
        <v>182</v>
      </c>
      <c r="E2949" s="336">
        <v>43679</v>
      </c>
      <c r="F2949" s="336" t="s">
        <v>800</v>
      </c>
      <c r="G2949" s="336">
        <v>43679</v>
      </c>
      <c r="H2949" s="334" t="s">
        <v>7562</v>
      </c>
      <c r="I2949" s="356">
        <v>13761348216</v>
      </c>
      <c r="J2949" s="361" t="s">
        <v>7563</v>
      </c>
      <c r="K2949" s="356"/>
      <c r="L2949" s="419"/>
      <c r="M2949" s="334">
        <v>1930</v>
      </c>
      <c r="N2949" s="362">
        <f t="shared" si="107"/>
        <v>1930</v>
      </c>
      <c r="O2949" s="356"/>
      <c r="P2949" s="356"/>
      <c r="Q2949" s="356"/>
      <c r="R2949" s="356"/>
      <c r="S2949" s="356"/>
      <c r="T2949" s="356"/>
      <c r="U2949" s="372"/>
      <c r="V2949" s="372"/>
      <c r="W2949" s="372"/>
      <c r="X2949" s="373"/>
      <c r="Y2949" s="348"/>
      <c r="Z2949" s="348"/>
      <c r="AA2949" s="348"/>
    </row>
    <row r="2950" s="331" customFormat="1" ht="17" customHeight="1" spans="1:27">
      <c r="A2950" s="348"/>
      <c r="B2950" s="348" t="s">
        <v>73</v>
      </c>
      <c r="C2950" s="334" t="s">
        <v>74</v>
      </c>
      <c r="D2950" s="349" t="s">
        <v>717</v>
      </c>
      <c r="E2950" s="336">
        <v>43679</v>
      </c>
      <c r="F2950" s="336" t="s">
        <v>800</v>
      </c>
      <c r="G2950" s="336">
        <v>43679</v>
      </c>
      <c r="H2950" s="334" t="s">
        <v>1204</v>
      </c>
      <c r="I2950" s="356">
        <v>18621837588</v>
      </c>
      <c r="J2950" s="361" t="s">
        <v>6484</v>
      </c>
      <c r="K2950" s="356"/>
      <c r="L2950" s="419"/>
      <c r="M2950" s="334">
        <v>660</v>
      </c>
      <c r="N2950" s="362">
        <f t="shared" si="107"/>
        <v>660</v>
      </c>
      <c r="O2950" s="356"/>
      <c r="P2950" s="356"/>
      <c r="Q2950" s="356"/>
      <c r="R2950" s="356"/>
      <c r="S2950" s="356"/>
      <c r="T2950" s="356"/>
      <c r="U2950" s="372"/>
      <c r="V2950" s="372"/>
      <c r="W2950" s="372"/>
      <c r="X2950" s="373"/>
      <c r="Y2950" s="348"/>
      <c r="Z2950" s="348"/>
      <c r="AA2950" s="348"/>
    </row>
    <row r="2951" s="331" customFormat="1" ht="17" customHeight="1" spans="1:27">
      <c r="A2951" s="348"/>
      <c r="B2951" s="348" t="s">
        <v>73</v>
      </c>
      <c r="C2951" s="334" t="s">
        <v>74</v>
      </c>
      <c r="D2951" s="349" t="s">
        <v>717</v>
      </c>
      <c r="E2951" s="336">
        <v>43679</v>
      </c>
      <c r="F2951" s="336" t="s">
        <v>800</v>
      </c>
      <c r="G2951" s="336">
        <v>43679</v>
      </c>
      <c r="H2951" s="334" t="s">
        <v>5637</v>
      </c>
      <c r="I2951" s="356">
        <v>13564287170</v>
      </c>
      <c r="J2951" s="361" t="s">
        <v>5638</v>
      </c>
      <c r="K2951" s="356"/>
      <c r="L2951" s="419"/>
      <c r="M2951" s="334">
        <v>3690</v>
      </c>
      <c r="N2951" s="362">
        <f t="shared" si="107"/>
        <v>3690</v>
      </c>
      <c r="O2951" s="356"/>
      <c r="P2951" s="356"/>
      <c r="Q2951" s="356"/>
      <c r="R2951" s="356"/>
      <c r="S2951" s="356"/>
      <c r="T2951" s="356"/>
      <c r="U2951" s="372"/>
      <c r="V2951" s="372"/>
      <c r="W2951" s="372"/>
      <c r="X2951" s="373"/>
      <c r="Y2951" s="348"/>
      <c r="Z2951" s="348"/>
      <c r="AA2951" s="348"/>
    </row>
    <row r="2952" s="331" customFormat="1" ht="17" customHeight="1" spans="1:27">
      <c r="A2952" s="348"/>
      <c r="B2952" s="348" t="s">
        <v>66</v>
      </c>
      <c r="C2952" s="334" t="s">
        <v>505</v>
      </c>
      <c r="D2952" s="352" t="s">
        <v>143</v>
      </c>
      <c r="E2952" s="336">
        <v>43681</v>
      </c>
      <c r="F2952" s="336" t="s">
        <v>800</v>
      </c>
      <c r="G2952" s="336">
        <v>43679</v>
      </c>
      <c r="H2952" s="334" t="s">
        <v>7564</v>
      </c>
      <c r="I2952" s="356">
        <v>18918073849</v>
      </c>
      <c r="J2952" s="361" t="s">
        <v>7565</v>
      </c>
      <c r="K2952" s="356"/>
      <c r="L2952" s="419"/>
      <c r="M2952" s="334">
        <v>2101</v>
      </c>
      <c r="N2952" s="362">
        <f t="shared" si="107"/>
        <v>2101</v>
      </c>
      <c r="O2952" s="356"/>
      <c r="P2952" s="356"/>
      <c r="Q2952" s="356"/>
      <c r="R2952" s="356"/>
      <c r="S2952" s="356"/>
      <c r="T2952" s="356"/>
      <c r="U2952" s="372"/>
      <c r="V2952" s="372"/>
      <c r="W2952" s="372"/>
      <c r="X2952" s="373"/>
      <c r="Y2952" s="348"/>
      <c r="Z2952" s="348"/>
      <c r="AA2952" s="348"/>
    </row>
    <row r="2953" s="331" customFormat="1" ht="17" customHeight="1" spans="1:27">
      <c r="A2953" s="348"/>
      <c r="B2953" s="348" t="s">
        <v>31</v>
      </c>
      <c r="C2953" s="334" t="s">
        <v>251</v>
      </c>
      <c r="D2953" s="349" t="s">
        <v>89</v>
      </c>
      <c r="E2953" s="336">
        <v>43679</v>
      </c>
      <c r="F2953" s="336" t="s">
        <v>800</v>
      </c>
      <c r="G2953" s="336">
        <v>43679</v>
      </c>
      <c r="H2953" s="334" t="s">
        <v>7566</v>
      </c>
      <c r="I2953" s="356">
        <v>15618585607</v>
      </c>
      <c r="J2953" s="361" t="s">
        <v>7567</v>
      </c>
      <c r="K2953" s="356"/>
      <c r="L2953" s="419"/>
      <c r="M2953" s="334">
        <v>123</v>
      </c>
      <c r="N2953" s="362">
        <f t="shared" si="107"/>
        <v>123</v>
      </c>
      <c r="O2953" s="356"/>
      <c r="P2953" s="356"/>
      <c r="Q2953" s="356"/>
      <c r="R2953" s="356"/>
      <c r="S2953" s="356"/>
      <c r="T2953" s="356"/>
      <c r="U2953" s="372"/>
      <c r="V2953" s="372"/>
      <c r="W2953" s="372"/>
      <c r="X2953" s="373"/>
      <c r="Y2953" s="348"/>
      <c r="Z2953" s="348"/>
      <c r="AA2953" s="348"/>
    </row>
    <row r="2954" s="331" customFormat="1" ht="17" customHeight="1" spans="1:27">
      <c r="A2954" s="348"/>
      <c r="B2954" s="348" t="s">
        <v>169</v>
      </c>
      <c r="C2954" s="334" t="s">
        <v>542</v>
      </c>
      <c r="D2954" s="349" t="s">
        <v>171</v>
      </c>
      <c r="E2954" s="336">
        <v>43680</v>
      </c>
      <c r="F2954" s="336" t="s">
        <v>800</v>
      </c>
      <c r="G2954" s="336">
        <v>43679</v>
      </c>
      <c r="H2954" s="334" t="s">
        <v>7568</v>
      </c>
      <c r="I2954" s="356">
        <v>13601898136</v>
      </c>
      <c r="J2954" s="361" t="s">
        <v>7569</v>
      </c>
      <c r="K2954" s="356"/>
      <c r="L2954" s="419"/>
      <c r="M2954" s="334">
        <v>11300</v>
      </c>
      <c r="N2954" s="362">
        <f t="shared" si="107"/>
        <v>11300</v>
      </c>
      <c r="O2954" s="356"/>
      <c r="P2954" s="356"/>
      <c r="Q2954" s="356"/>
      <c r="R2954" s="356"/>
      <c r="S2954" s="356"/>
      <c r="T2954" s="356"/>
      <c r="U2954" s="372"/>
      <c r="V2954" s="372"/>
      <c r="W2954" s="372"/>
      <c r="X2954" s="373"/>
      <c r="Y2954" s="348"/>
      <c r="Z2954" s="348"/>
      <c r="AA2954" s="348"/>
    </row>
    <row r="2955" s="331" customFormat="1" ht="17" customHeight="1" spans="1:27">
      <c r="A2955" s="348"/>
      <c r="B2955" s="348" t="s">
        <v>315</v>
      </c>
      <c r="C2955" s="334" t="s">
        <v>161</v>
      </c>
      <c r="D2955" s="349" t="s">
        <v>162</v>
      </c>
      <c r="E2955" s="336">
        <v>43680</v>
      </c>
      <c r="F2955" s="336" t="s">
        <v>800</v>
      </c>
      <c r="G2955" s="336">
        <v>43679</v>
      </c>
      <c r="H2955" s="334" t="s">
        <v>5063</v>
      </c>
      <c r="I2955" s="356">
        <v>13818556369</v>
      </c>
      <c r="J2955" s="361" t="s">
        <v>7570</v>
      </c>
      <c r="K2955" s="356"/>
      <c r="L2955" s="419"/>
      <c r="M2955" s="334">
        <v>1885</v>
      </c>
      <c r="N2955" s="362">
        <f t="shared" si="107"/>
        <v>1885</v>
      </c>
      <c r="O2955" s="356"/>
      <c r="P2955" s="356"/>
      <c r="Q2955" s="356"/>
      <c r="R2955" s="356"/>
      <c r="S2955" s="356"/>
      <c r="T2955" s="356"/>
      <c r="U2955" s="372"/>
      <c r="V2955" s="372"/>
      <c r="W2955" s="372"/>
      <c r="X2955" s="373"/>
      <c r="Y2955" s="348"/>
      <c r="Z2955" s="348"/>
      <c r="AA2955" s="348"/>
    </row>
    <row r="2956" s="331" customFormat="1" ht="17" customHeight="1" spans="1:27">
      <c r="A2956" s="348"/>
      <c r="B2956" s="348" t="s">
        <v>66</v>
      </c>
      <c r="C2956" s="334" t="s">
        <v>951</v>
      </c>
      <c r="D2956" s="349" t="s">
        <v>68</v>
      </c>
      <c r="E2956" s="336">
        <v>43680</v>
      </c>
      <c r="F2956" s="336" t="s">
        <v>800</v>
      </c>
      <c r="G2956" s="336">
        <v>43679</v>
      </c>
      <c r="H2956" s="334" t="s">
        <v>2492</v>
      </c>
      <c r="I2956" s="356">
        <v>14782919889</v>
      </c>
      <c r="J2956" s="361" t="s">
        <v>7571</v>
      </c>
      <c r="K2956" s="356"/>
      <c r="L2956" s="419"/>
      <c r="M2956" s="334">
        <v>120</v>
      </c>
      <c r="N2956" s="362">
        <f t="shared" si="107"/>
        <v>120</v>
      </c>
      <c r="O2956" s="356"/>
      <c r="P2956" s="356"/>
      <c r="Q2956" s="356"/>
      <c r="R2956" s="356"/>
      <c r="S2956" s="356"/>
      <c r="T2956" s="356"/>
      <c r="U2956" s="372"/>
      <c r="V2956" s="372"/>
      <c r="W2956" s="372"/>
      <c r="X2956" s="373"/>
      <c r="Y2956" s="348"/>
      <c r="Z2956" s="348"/>
      <c r="AA2956" s="348"/>
    </row>
    <row r="2957" s="331" customFormat="1" ht="17" customHeight="1" spans="1:27">
      <c r="A2957" s="348"/>
      <c r="B2957" s="348" t="s">
        <v>147</v>
      </c>
      <c r="C2957" s="348" t="s">
        <v>148</v>
      </c>
      <c r="D2957" s="349" t="s">
        <v>33</v>
      </c>
      <c r="E2957" s="336">
        <v>43680</v>
      </c>
      <c r="F2957" s="336" t="s">
        <v>800</v>
      </c>
      <c r="G2957" s="336">
        <v>43680</v>
      </c>
      <c r="H2957" s="334" t="s">
        <v>4784</v>
      </c>
      <c r="I2957" s="356">
        <v>13601729476</v>
      </c>
      <c r="J2957" s="361" t="s">
        <v>4785</v>
      </c>
      <c r="K2957" s="356"/>
      <c r="L2957" s="419"/>
      <c r="M2957" s="334">
        <v>2000</v>
      </c>
      <c r="N2957" s="362">
        <f t="shared" si="107"/>
        <v>2000</v>
      </c>
      <c r="O2957" s="356"/>
      <c r="P2957" s="356"/>
      <c r="Q2957" s="356"/>
      <c r="R2957" s="356"/>
      <c r="S2957" s="356"/>
      <c r="T2957" s="356"/>
      <c r="U2957" s="372"/>
      <c r="V2957" s="372"/>
      <c r="W2957" s="372"/>
      <c r="X2957" s="373"/>
      <c r="Y2957" s="348"/>
      <c r="Z2957" s="348"/>
      <c r="AA2957" s="348"/>
    </row>
    <row r="2958" s="331" customFormat="1" ht="17" customHeight="1" spans="1:27">
      <c r="A2958" s="348"/>
      <c r="B2958" s="348" t="s">
        <v>185</v>
      </c>
      <c r="C2958" s="334" t="s">
        <v>1530</v>
      </c>
      <c r="D2958" s="349" t="s">
        <v>44</v>
      </c>
      <c r="E2958" s="336">
        <v>43680</v>
      </c>
      <c r="F2958" s="336" t="s">
        <v>800</v>
      </c>
      <c r="G2958" s="336">
        <v>43679</v>
      </c>
      <c r="H2958" s="334" t="s">
        <v>7572</v>
      </c>
      <c r="I2958" s="356">
        <v>13901746886</v>
      </c>
      <c r="J2958" s="361" t="s">
        <v>7573</v>
      </c>
      <c r="K2958" s="356"/>
      <c r="L2958" s="419"/>
      <c r="M2958" s="334">
        <v>4052</v>
      </c>
      <c r="N2958" s="362">
        <f t="shared" si="107"/>
        <v>4052</v>
      </c>
      <c r="O2958" s="356"/>
      <c r="P2958" s="356"/>
      <c r="Q2958" s="356"/>
      <c r="R2958" s="356"/>
      <c r="S2958" s="356"/>
      <c r="T2958" s="356"/>
      <c r="U2958" s="372"/>
      <c r="V2958" s="372"/>
      <c r="W2958" s="372"/>
      <c r="X2958" s="373"/>
      <c r="Y2958" s="348"/>
      <c r="Z2958" s="348"/>
      <c r="AA2958" s="348"/>
    </row>
    <row r="2959" s="331" customFormat="1" ht="17" customHeight="1" spans="1:27">
      <c r="A2959" s="348"/>
      <c r="B2959" s="348" t="s">
        <v>58</v>
      </c>
      <c r="C2959" s="334" t="s">
        <v>59</v>
      </c>
      <c r="D2959" s="349" t="s">
        <v>343</v>
      </c>
      <c r="E2959" s="336">
        <v>43680</v>
      </c>
      <c r="F2959" s="336" t="s">
        <v>800</v>
      </c>
      <c r="G2959" s="336">
        <v>43666</v>
      </c>
      <c r="H2959" s="334" t="s">
        <v>5599</v>
      </c>
      <c r="I2959" s="356">
        <v>13818126664</v>
      </c>
      <c r="J2959" s="361" t="s">
        <v>5601</v>
      </c>
      <c r="K2959" s="356"/>
      <c r="L2959" s="419"/>
      <c r="M2959" s="334">
        <v>1001</v>
      </c>
      <c r="N2959" s="362">
        <f t="shared" si="107"/>
        <v>1001</v>
      </c>
      <c r="O2959" s="356"/>
      <c r="P2959" s="356"/>
      <c r="Q2959" s="356"/>
      <c r="R2959" s="356"/>
      <c r="S2959" s="356"/>
      <c r="T2959" s="356"/>
      <c r="U2959" s="372"/>
      <c r="V2959" s="372"/>
      <c r="W2959" s="372"/>
      <c r="X2959" s="373"/>
      <c r="Y2959" s="348"/>
      <c r="Z2959" s="348"/>
      <c r="AA2959" s="348"/>
    </row>
    <row r="2960" s="331" customFormat="1" ht="17" customHeight="1" spans="1:27">
      <c r="A2960" s="348"/>
      <c r="B2960" s="348" t="s">
        <v>726</v>
      </c>
      <c r="C2960" s="334" t="s">
        <v>727</v>
      </c>
      <c r="D2960" s="349" t="s">
        <v>271</v>
      </c>
      <c r="E2960" s="336">
        <v>43680</v>
      </c>
      <c r="F2960" s="336" t="s">
        <v>800</v>
      </c>
      <c r="G2960" s="336">
        <v>43680</v>
      </c>
      <c r="H2960" s="334" t="s">
        <v>6212</v>
      </c>
      <c r="I2960" s="356">
        <v>13901799569</v>
      </c>
      <c r="J2960" s="361" t="s">
        <v>7574</v>
      </c>
      <c r="K2960" s="356"/>
      <c r="L2960" s="419"/>
      <c r="M2960" s="334">
        <v>-4439</v>
      </c>
      <c r="N2960" s="362">
        <f t="shared" si="107"/>
        <v>-4439</v>
      </c>
      <c r="O2960" s="356"/>
      <c r="P2960" s="356"/>
      <c r="Q2960" s="356"/>
      <c r="R2960" s="356"/>
      <c r="S2960" s="356"/>
      <c r="T2960" s="356"/>
      <c r="U2960" s="372"/>
      <c r="V2960" s="372"/>
      <c r="W2960" s="372"/>
      <c r="X2960" s="373"/>
      <c r="Y2960" s="348"/>
      <c r="Z2960" s="348"/>
      <c r="AA2960" s="348"/>
    </row>
    <row r="2961" s="331" customFormat="1" ht="17" customHeight="1" spans="1:27">
      <c r="A2961" s="348"/>
      <c r="B2961" s="348" t="s">
        <v>137</v>
      </c>
      <c r="C2961" s="334" t="s">
        <v>861</v>
      </c>
      <c r="D2961" s="349" t="s">
        <v>139</v>
      </c>
      <c r="E2961" s="336">
        <v>43681</v>
      </c>
      <c r="F2961" s="336" t="s">
        <v>800</v>
      </c>
      <c r="G2961" s="336">
        <v>43680</v>
      </c>
      <c r="H2961" s="334" t="s">
        <v>7575</v>
      </c>
      <c r="I2961" s="356">
        <v>13918896363</v>
      </c>
      <c r="J2961" s="361" t="s">
        <v>7576</v>
      </c>
      <c r="K2961" s="356"/>
      <c r="L2961" s="419"/>
      <c r="M2961" s="334">
        <f>1072+978</f>
        <v>2050</v>
      </c>
      <c r="N2961" s="362">
        <f t="shared" si="107"/>
        <v>2050</v>
      </c>
      <c r="O2961" s="356"/>
      <c r="P2961" s="356"/>
      <c r="Q2961" s="356"/>
      <c r="R2961" s="356"/>
      <c r="S2961" s="356"/>
      <c r="T2961" s="356"/>
      <c r="U2961" s="372"/>
      <c r="V2961" s="372"/>
      <c r="W2961" s="372"/>
      <c r="X2961" s="373"/>
      <c r="Y2961" s="348"/>
      <c r="Z2961" s="348"/>
      <c r="AA2961" s="348"/>
    </row>
    <row r="2962" s="331" customFormat="1" ht="17" customHeight="1" spans="1:27">
      <c r="A2962" s="348"/>
      <c r="B2962" s="348" t="s">
        <v>137</v>
      </c>
      <c r="C2962" s="334" t="s">
        <v>480</v>
      </c>
      <c r="D2962" s="349" t="s">
        <v>139</v>
      </c>
      <c r="E2962" s="336">
        <v>43681</v>
      </c>
      <c r="F2962" s="336" t="s">
        <v>800</v>
      </c>
      <c r="G2962" s="336">
        <v>43681</v>
      </c>
      <c r="H2962" s="334" t="s">
        <v>2920</v>
      </c>
      <c r="I2962" s="356">
        <v>13818670267</v>
      </c>
      <c r="J2962" s="361" t="s">
        <v>2921</v>
      </c>
      <c r="K2962" s="356"/>
      <c r="L2962" s="419"/>
      <c r="M2962" s="334">
        <f>7218-7490</f>
        <v>-272</v>
      </c>
      <c r="N2962" s="362">
        <f t="shared" si="107"/>
        <v>-272</v>
      </c>
      <c r="O2962" s="356"/>
      <c r="P2962" s="356"/>
      <c r="Q2962" s="356"/>
      <c r="R2962" s="356"/>
      <c r="S2962" s="356"/>
      <c r="T2962" s="356"/>
      <c r="U2962" s="372"/>
      <c r="V2962" s="372"/>
      <c r="W2962" s="372"/>
      <c r="X2962" s="373"/>
      <c r="Y2962" s="348"/>
      <c r="Z2962" s="348"/>
      <c r="AA2962" s="348"/>
    </row>
    <row r="2963" s="331" customFormat="1" ht="17" customHeight="1" spans="1:27">
      <c r="A2963" s="348"/>
      <c r="B2963" s="348" t="s">
        <v>137</v>
      </c>
      <c r="C2963" s="334" t="s">
        <v>406</v>
      </c>
      <c r="D2963" s="349" t="s">
        <v>139</v>
      </c>
      <c r="E2963" s="336">
        <v>43681</v>
      </c>
      <c r="F2963" s="336" t="s">
        <v>800</v>
      </c>
      <c r="G2963" s="336">
        <v>43681</v>
      </c>
      <c r="H2963" s="334" t="s">
        <v>7291</v>
      </c>
      <c r="I2963" s="356">
        <v>13918271107</v>
      </c>
      <c r="J2963" s="361" t="s">
        <v>7292</v>
      </c>
      <c r="K2963" s="356"/>
      <c r="L2963" s="419"/>
      <c r="M2963" s="334">
        <f>10088-9000+2880</f>
        <v>3968</v>
      </c>
      <c r="N2963" s="362">
        <f t="shared" si="107"/>
        <v>3968</v>
      </c>
      <c r="O2963" s="356"/>
      <c r="P2963" s="356"/>
      <c r="Q2963" s="356"/>
      <c r="R2963" s="356"/>
      <c r="S2963" s="356"/>
      <c r="T2963" s="356"/>
      <c r="U2963" s="372"/>
      <c r="V2963" s="372"/>
      <c r="W2963" s="372"/>
      <c r="X2963" s="373"/>
      <c r="Y2963" s="348"/>
      <c r="Z2963" s="348"/>
      <c r="AA2963" s="348"/>
    </row>
    <row r="2964" s="331" customFormat="1" ht="17" customHeight="1" spans="1:27">
      <c r="A2964" s="348"/>
      <c r="B2964" s="348" t="s">
        <v>315</v>
      </c>
      <c r="C2964" s="334" t="s">
        <v>181</v>
      </c>
      <c r="D2964" s="349" t="s">
        <v>717</v>
      </c>
      <c r="E2964" s="336">
        <v>43681</v>
      </c>
      <c r="F2964" s="336" t="s">
        <v>800</v>
      </c>
      <c r="G2964" s="336">
        <v>43652</v>
      </c>
      <c r="H2964" s="334" t="s">
        <v>7577</v>
      </c>
      <c r="I2964" s="356">
        <v>18501703866</v>
      </c>
      <c r="J2964" s="361" t="s">
        <v>7578</v>
      </c>
      <c r="K2964" s="356"/>
      <c r="L2964" s="419"/>
      <c r="M2964" s="334">
        <v>10000</v>
      </c>
      <c r="N2964" s="362">
        <f t="shared" si="107"/>
        <v>10000</v>
      </c>
      <c r="O2964" s="356"/>
      <c r="P2964" s="356"/>
      <c r="Q2964" s="356"/>
      <c r="R2964" s="356"/>
      <c r="S2964" s="356"/>
      <c r="T2964" s="356"/>
      <c r="U2964" s="372"/>
      <c r="V2964" s="372"/>
      <c r="W2964" s="372"/>
      <c r="X2964" s="373"/>
      <c r="Y2964" s="348"/>
      <c r="Z2964" s="348"/>
      <c r="AA2964" s="348"/>
    </row>
    <row r="2965" s="331" customFormat="1" ht="17" customHeight="1" spans="1:27">
      <c r="A2965" s="348"/>
      <c r="B2965" s="348" t="s">
        <v>137</v>
      </c>
      <c r="C2965" s="334" t="s">
        <v>480</v>
      </c>
      <c r="D2965" s="349" t="s">
        <v>139</v>
      </c>
      <c r="E2965" s="336">
        <v>43681</v>
      </c>
      <c r="F2965" s="336" t="s">
        <v>800</v>
      </c>
      <c r="G2965" s="336">
        <v>43681</v>
      </c>
      <c r="H2965" s="334" t="s">
        <v>5888</v>
      </c>
      <c r="I2965" s="356">
        <v>15026786773</v>
      </c>
      <c r="J2965" s="361" t="s">
        <v>7579</v>
      </c>
      <c r="K2965" s="356"/>
      <c r="L2965" s="419"/>
      <c r="M2965" s="334">
        <v>-3616</v>
      </c>
      <c r="N2965" s="362">
        <f t="shared" si="107"/>
        <v>-3616</v>
      </c>
      <c r="O2965" s="356"/>
      <c r="P2965" s="356"/>
      <c r="Q2965" s="356"/>
      <c r="R2965" s="356"/>
      <c r="S2965" s="356"/>
      <c r="T2965" s="356"/>
      <c r="U2965" s="372"/>
      <c r="V2965" s="372"/>
      <c r="W2965" s="372"/>
      <c r="X2965" s="373"/>
      <c r="Y2965" s="348"/>
      <c r="Z2965" s="348"/>
      <c r="AA2965" s="348"/>
    </row>
    <row r="2966" s="331" customFormat="1" ht="17" customHeight="1" spans="1:27">
      <c r="A2966" s="348"/>
      <c r="B2966" s="348" t="s">
        <v>137</v>
      </c>
      <c r="C2966" s="334" t="s">
        <v>480</v>
      </c>
      <c r="D2966" s="349" t="s">
        <v>44</v>
      </c>
      <c r="E2966" s="336">
        <v>43681</v>
      </c>
      <c r="F2966" s="336" t="s">
        <v>800</v>
      </c>
      <c r="G2966" s="336">
        <v>43681</v>
      </c>
      <c r="H2966" s="334" t="s">
        <v>5888</v>
      </c>
      <c r="I2966" s="356">
        <v>15026786773</v>
      </c>
      <c r="J2966" s="361" t="s">
        <v>7579</v>
      </c>
      <c r="K2966" s="356"/>
      <c r="L2966" s="419"/>
      <c r="M2966" s="334">
        <f>536+3330</f>
        <v>3866</v>
      </c>
      <c r="N2966" s="362">
        <f t="shared" si="107"/>
        <v>3866</v>
      </c>
      <c r="O2966" s="356"/>
      <c r="P2966" s="356"/>
      <c r="Q2966" s="356"/>
      <c r="R2966" s="356"/>
      <c r="S2966" s="356"/>
      <c r="T2966" s="356"/>
      <c r="U2966" s="372"/>
      <c r="V2966" s="372"/>
      <c r="W2966" s="372"/>
      <c r="X2966" s="373"/>
      <c r="Y2966" s="348"/>
      <c r="Z2966" s="348"/>
      <c r="AA2966" s="348"/>
    </row>
    <row r="2967" s="331" customFormat="1" ht="17" customHeight="1" spans="1:27">
      <c r="A2967" s="348"/>
      <c r="B2967" s="348" t="s">
        <v>58</v>
      </c>
      <c r="C2967" s="334" t="s">
        <v>109</v>
      </c>
      <c r="D2967" s="349" t="s">
        <v>343</v>
      </c>
      <c r="E2967" s="336">
        <v>43681</v>
      </c>
      <c r="F2967" s="336" t="s">
        <v>800</v>
      </c>
      <c r="G2967" s="336">
        <v>43681</v>
      </c>
      <c r="H2967" s="334" t="s">
        <v>4162</v>
      </c>
      <c r="I2967" s="356">
        <v>18616675966</v>
      </c>
      <c r="J2967" s="361" t="s">
        <v>4163</v>
      </c>
      <c r="K2967" s="356"/>
      <c r="L2967" s="419"/>
      <c r="M2967" s="334">
        <f>763+2720</f>
        <v>3483</v>
      </c>
      <c r="N2967" s="362">
        <f t="shared" si="107"/>
        <v>3483</v>
      </c>
      <c r="O2967" s="356"/>
      <c r="P2967" s="356"/>
      <c r="Q2967" s="356"/>
      <c r="R2967" s="356"/>
      <c r="S2967" s="356"/>
      <c r="T2967" s="356"/>
      <c r="U2967" s="372"/>
      <c r="V2967" s="372"/>
      <c r="W2967" s="372"/>
      <c r="X2967" s="373"/>
      <c r="Y2967" s="348"/>
      <c r="Z2967" s="348"/>
      <c r="AA2967" s="348"/>
    </row>
    <row r="2968" s="331" customFormat="1" ht="17" customHeight="1" spans="1:27">
      <c r="A2968" s="348"/>
      <c r="B2968" s="348" t="s">
        <v>137</v>
      </c>
      <c r="C2968" s="334" t="s">
        <v>480</v>
      </c>
      <c r="D2968" s="349" t="s">
        <v>139</v>
      </c>
      <c r="E2968" s="336">
        <v>43681</v>
      </c>
      <c r="F2968" s="336" t="s">
        <v>800</v>
      </c>
      <c r="G2968" s="336">
        <v>43681</v>
      </c>
      <c r="H2968" s="334" t="s">
        <v>2011</v>
      </c>
      <c r="I2968" s="356">
        <v>13818618005</v>
      </c>
      <c r="J2968" s="361" t="s">
        <v>7580</v>
      </c>
      <c r="K2968" s="356"/>
      <c r="L2968" s="419"/>
      <c r="M2968" s="334">
        <v>360</v>
      </c>
      <c r="N2968" s="362">
        <f t="shared" si="107"/>
        <v>360</v>
      </c>
      <c r="O2968" s="356"/>
      <c r="P2968" s="356"/>
      <c r="Q2968" s="356"/>
      <c r="R2968" s="356"/>
      <c r="S2968" s="356"/>
      <c r="T2968" s="356"/>
      <c r="U2968" s="372"/>
      <c r="V2968" s="372"/>
      <c r="W2968" s="372"/>
      <c r="X2968" s="373"/>
      <c r="Y2968" s="348"/>
      <c r="Z2968" s="348"/>
      <c r="AA2968" s="348"/>
    </row>
    <row r="2969" s="331" customFormat="1" ht="17" customHeight="1" spans="1:27">
      <c r="A2969" s="348"/>
      <c r="B2969" s="348" t="s">
        <v>66</v>
      </c>
      <c r="C2969" s="334" t="s">
        <v>119</v>
      </c>
      <c r="D2969" s="349" t="s">
        <v>68</v>
      </c>
      <c r="E2969" s="336">
        <v>43681</v>
      </c>
      <c r="F2969" s="336" t="s">
        <v>800</v>
      </c>
      <c r="G2969" s="336">
        <v>43681</v>
      </c>
      <c r="H2969" s="269" t="s">
        <v>1697</v>
      </c>
      <c r="I2969" s="356">
        <v>18017801870</v>
      </c>
      <c r="J2969" s="361" t="s">
        <v>7581</v>
      </c>
      <c r="K2969" s="356"/>
      <c r="L2969" s="419"/>
      <c r="M2969" s="334">
        <v>1175</v>
      </c>
      <c r="N2969" s="362">
        <f t="shared" si="107"/>
        <v>1175</v>
      </c>
      <c r="O2969" s="356"/>
      <c r="P2969" s="356"/>
      <c r="Q2969" s="356"/>
      <c r="R2969" s="356"/>
      <c r="S2969" s="356"/>
      <c r="T2969" s="356"/>
      <c r="U2969" s="372"/>
      <c r="V2969" s="372"/>
      <c r="W2969" s="372"/>
      <c r="X2969" s="373"/>
      <c r="Y2969" s="348"/>
      <c r="Z2969" s="348"/>
      <c r="AA2969" s="348"/>
    </row>
    <row r="2970" s="331" customFormat="1" ht="17" customHeight="1" spans="1:27">
      <c r="A2970" s="348"/>
      <c r="B2970" s="334" t="s">
        <v>123</v>
      </c>
      <c r="C2970" s="334" t="s">
        <v>115</v>
      </c>
      <c r="D2970" s="349" t="s">
        <v>125</v>
      </c>
      <c r="E2970" s="336">
        <v>43681</v>
      </c>
      <c r="F2970" s="336" t="s">
        <v>800</v>
      </c>
      <c r="G2970" s="336">
        <v>43681</v>
      </c>
      <c r="H2970" s="428" t="s">
        <v>7582</v>
      </c>
      <c r="I2970" s="363">
        <v>13816646383</v>
      </c>
      <c r="J2970" s="364" t="s">
        <v>7583</v>
      </c>
      <c r="K2970" s="356"/>
      <c r="L2970" s="419"/>
      <c r="M2970" s="334">
        <v>198</v>
      </c>
      <c r="N2970" s="362">
        <f t="shared" si="107"/>
        <v>198</v>
      </c>
      <c r="O2970" s="356"/>
      <c r="P2970" s="356"/>
      <c r="Q2970" s="356"/>
      <c r="R2970" s="356"/>
      <c r="S2970" s="356"/>
      <c r="T2970" s="356"/>
      <c r="U2970" s="372"/>
      <c r="V2970" s="372"/>
      <c r="W2970" s="372"/>
      <c r="X2970" s="373"/>
      <c r="Y2970" s="348"/>
      <c r="Z2970" s="348"/>
      <c r="AA2970" s="348"/>
    </row>
    <row r="2971" s="331" customFormat="1" ht="17" customHeight="1" spans="1:27">
      <c r="A2971" s="348"/>
      <c r="B2971" s="348" t="s">
        <v>137</v>
      </c>
      <c r="C2971" s="348" t="s">
        <v>138</v>
      </c>
      <c r="D2971" s="349" t="s">
        <v>427</v>
      </c>
      <c r="E2971" s="336">
        <v>43681</v>
      </c>
      <c r="F2971" s="336" t="s">
        <v>800</v>
      </c>
      <c r="G2971" s="336">
        <v>43681</v>
      </c>
      <c r="H2971" s="334" t="s">
        <v>7584</v>
      </c>
      <c r="I2971" s="356">
        <v>13916104981</v>
      </c>
      <c r="J2971" s="361" t="s">
        <v>7585</v>
      </c>
      <c r="K2971" s="356"/>
      <c r="L2971" s="419"/>
      <c r="M2971" s="334">
        <v>3067</v>
      </c>
      <c r="N2971" s="362">
        <f t="shared" si="107"/>
        <v>3067</v>
      </c>
      <c r="O2971" s="356"/>
      <c r="P2971" s="356"/>
      <c r="Q2971" s="356"/>
      <c r="R2971" s="356"/>
      <c r="S2971" s="356"/>
      <c r="T2971" s="356"/>
      <c r="U2971" s="372"/>
      <c r="V2971" s="372"/>
      <c r="W2971" s="372"/>
      <c r="X2971" s="373"/>
      <c r="Y2971" s="348"/>
      <c r="Z2971" s="348"/>
      <c r="AA2971" s="348"/>
    </row>
    <row r="2972" s="331" customFormat="1" ht="17" customHeight="1" spans="1:27">
      <c r="A2972" s="348"/>
      <c r="B2972" s="348" t="s">
        <v>73</v>
      </c>
      <c r="C2972" s="348" t="s">
        <v>74</v>
      </c>
      <c r="D2972" s="349" t="s">
        <v>143</v>
      </c>
      <c r="E2972" s="336">
        <v>43681</v>
      </c>
      <c r="F2972" s="336" t="s">
        <v>800</v>
      </c>
      <c r="G2972" s="336">
        <v>43681</v>
      </c>
      <c r="H2972" s="334" t="s">
        <v>5507</v>
      </c>
      <c r="I2972" s="356">
        <v>13816715955</v>
      </c>
      <c r="J2972" s="361" t="s">
        <v>5508</v>
      </c>
      <c r="K2972" s="356"/>
      <c r="L2972" s="419"/>
      <c r="M2972" s="334">
        <v>5085</v>
      </c>
      <c r="N2972" s="362">
        <f t="shared" si="107"/>
        <v>5085</v>
      </c>
      <c r="O2972" s="356"/>
      <c r="P2972" s="356"/>
      <c r="Q2972" s="356"/>
      <c r="R2972" s="356"/>
      <c r="S2972" s="356"/>
      <c r="T2972" s="356"/>
      <c r="U2972" s="372"/>
      <c r="V2972" s="372"/>
      <c r="W2972" s="372"/>
      <c r="X2972" s="373"/>
      <c r="Y2972" s="348"/>
      <c r="Z2972" s="348"/>
      <c r="AA2972" s="348"/>
    </row>
    <row r="2973" s="331" customFormat="1" ht="17" customHeight="1" spans="1:27">
      <c r="A2973" s="348"/>
      <c r="B2973" s="348" t="s">
        <v>31</v>
      </c>
      <c r="C2973" s="334" t="s">
        <v>220</v>
      </c>
      <c r="D2973" s="349" t="s">
        <v>221</v>
      </c>
      <c r="E2973" s="336">
        <v>43681</v>
      </c>
      <c r="F2973" s="336" t="s">
        <v>800</v>
      </c>
      <c r="G2973" s="336">
        <v>43681</v>
      </c>
      <c r="H2973" s="334" t="s">
        <v>3757</v>
      </c>
      <c r="I2973" s="356">
        <v>13818595180</v>
      </c>
      <c r="J2973" s="361" t="s">
        <v>7586</v>
      </c>
      <c r="K2973" s="356"/>
      <c r="L2973" s="419"/>
      <c r="M2973" s="334">
        <v>14851</v>
      </c>
      <c r="N2973" s="362">
        <f t="shared" si="107"/>
        <v>14851</v>
      </c>
      <c r="O2973" s="356"/>
      <c r="P2973" s="356"/>
      <c r="Q2973" s="356"/>
      <c r="R2973" s="356"/>
      <c r="S2973" s="356"/>
      <c r="T2973" s="356"/>
      <c r="U2973" s="372"/>
      <c r="V2973" s="372"/>
      <c r="W2973" s="372"/>
      <c r="X2973" s="373"/>
      <c r="Y2973" s="348"/>
      <c r="Z2973" s="348"/>
      <c r="AA2973" s="348"/>
    </row>
    <row r="2974" s="331" customFormat="1" ht="17" customHeight="1" spans="1:27">
      <c r="A2974" s="348"/>
      <c r="B2974" s="348" t="s">
        <v>42</v>
      </c>
      <c r="C2974" s="334" t="s">
        <v>43</v>
      </c>
      <c r="D2974" s="349" t="s">
        <v>125</v>
      </c>
      <c r="E2974" s="336">
        <v>43681</v>
      </c>
      <c r="F2974" s="336" t="s">
        <v>800</v>
      </c>
      <c r="G2974" s="336">
        <v>43681</v>
      </c>
      <c r="H2974" s="334" t="s">
        <v>3895</v>
      </c>
      <c r="I2974" s="356">
        <v>13917046091</v>
      </c>
      <c r="J2974" s="361" t="s">
        <v>7587</v>
      </c>
      <c r="K2974" s="356"/>
      <c r="L2974" s="419"/>
      <c r="M2974" s="334">
        <v>5975</v>
      </c>
      <c r="N2974" s="362">
        <f t="shared" si="107"/>
        <v>5975</v>
      </c>
      <c r="O2974" s="356"/>
      <c r="P2974" s="356"/>
      <c r="Q2974" s="356"/>
      <c r="R2974" s="356"/>
      <c r="S2974" s="356"/>
      <c r="T2974" s="356"/>
      <c r="U2974" s="372"/>
      <c r="V2974" s="372"/>
      <c r="W2974" s="372"/>
      <c r="X2974" s="373"/>
      <c r="Y2974" s="348"/>
      <c r="Z2974" s="348"/>
      <c r="AA2974" s="348"/>
    </row>
    <row r="2975" s="331" customFormat="1" ht="17" customHeight="1" spans="1:27">
      <c r="A2975" s="348"/>
      <c r="B2975" s="348" t="s">
        <v>66</v>
      </c>
      <c r="C2975" s="334" t="s">
        <v>505</v>
      </c>
      <c r="D2975" s="349" t="s">
        <v>182</v>
      </c>
      <c r="E2975" s="336">
        <v>43681</v>
      </c>
      <c r="F2975" s="336" t="s">
        <v>800</v>
      </c>
      <c r="G2975" s="336">
        <v>43681</v>
      </c>
      <c r="H2975" s="334" t="s">
        <v>3027</v>
      </c>
      <c r="I2975" s="356">
        <v>17717652547</v>
      </c>
      <c r="J2975" s="361" t="s">
        <v>3028</v>
      </c>
      <c r="K2975" s="356"/>
      <c r="L2975" s="419"/>
      <c r="M2975" s="334">
        <v>-950</v>
      </c>
      <c r="N2975" s="362">
        <f t="shared" si="107"/>
        <v>-950</v>
      </c>
      <c r="O2975" s="356"/>
      <c r="P2975" s="356"/>
      <c r="Q2975" s="356"/>
      <c r="R2975" s="356"/>
      <c r="S2975" s="356"/>
      <c r="T2975" s="356"/>
      <c r="U2975" s="372"/>
      <c r="V2975" s="372"/>
      <c r="W2975" s="372"/>
      <c r="X2975" s="373"/>
      <c r="Y2975" s="348"/>
      <c r="Z2975" s="348"/>
      <c r="AA2975" s="348"/>
    </row>
    <row r="2976" s="331" customFormat="1" ht="17" customHeight="1" spans="1:27">
      <c r="A2976" s="348"/>
      <c r="B2976" s="348" t="s">
        <v>205</v>
      </c>
      <c r="C2976" s="334" t="s">
        <v>1467</v>
      </c>
      <c r="D2976" s="349" t="s">
        <v>407</v>
      </c>
      <c r="E2976" s="336">
        <v>43681</v>
      </c>
      <c r="F2976" s="336" t="s">
        <v>800</v>
      </c>
      <c r="G2976" s="336">
        <v>43681</v>
      </c>
      <c r="H2976" s="269" t="s">
        <v>6235</v>
      </c>
      <c r="I2976" s="356">
        <v>15317565589</v>
      </c>
      <c r="J2976" s="361" t="s">
        <v>6236</v>
      </c>
      <c r="K2976" s="356"/>
      <c r="L2976" s="419"/>
      <c r="M2976" s="334">
        <v>1267</v>
      </c>
      <c r="N2976" s="362">
        <f t="shared" si="107"/>
        <v>1267</v>
      </c>
      <c r="O2976" s="356"/>
      <c r="P2976" s="356"/>
      <c r="Q2976" s="356"/>
      <c r="R2976" s="356"/>
      <c r="S2976" s="356"/>
      <c r="T2976" s="356"/>
      <c r="U2976" s="372"/>
      <c r="V2976" s="372"/>
      <c r="W2976" s="372"/>
      <c r="X2976" s="373"/>
      <c r="Y2976" s="348"/>
      <c r="Z2976" s="348"/>
      <c r="AA2976" s="348"/>
    </row>
    <row r="2977" s="331" customFormat="1" ht="17" customHeight="1" spans="1:27">
      <c r="A2977" s="550" t="s">
        <v>665</v>
      </c>
      <c r="B2977" s="348" t="s">
        <v>315</v>
      </c>
      <c r="C2977" s="348" t="s">
        <v>722</v>
      </c>
      <c r="D2977" s="352" t="s">
        <v>182</v>
      </c>
      <c r="E2977" s="336">
        <v>43682</v>
      </c>
      <c r="F2977" s="336">
        <v>43680</v>
      </c>
      <c r="G2977" s="350">
        <v>43681</v>
      </c>
      <c r="H2977" s="334" t="s">
        <v>7553</v>
      </c>
      <c r="I2977" s="356">
        <v>1581778845</v>
      </c>
      <c r="J2977" s="361" t="s">
        <v>7554</v>
      </c>
      <c r="K2977" s="356">
        <v>1000</v>
      </c>
      <c r="L2977" s="419"/>
      <c r="M2977" s="419"/>
      <c r="N2977" s="362">
        <f t="shared" ref="N2977:N3018" si="108">L2977+M2977</f>
        <v>0</v>
      </c>
      <c r="O2977" s="356"/>
      <c r="P2977" s="356"/>
      <c r="Q2977" s="356"/>
      <c r="R2977" s="356"/>
      <c r="S2977" s="356"/>
      <c r="T2977" s="356"/>
      <c r="U2977" s="372"/>
      <c r="V2977" s="372"/>
      <c r="W2977" s="372"/>
      <c r="X2977" s="373"/>
      <c r="Y2977" s="348"/>
      <c r="Z2977" s="348"/>
      <c r="AA2977" s="348"/>
    </row>
    <row r="2978" s="331" customFormat="1" ht="17" customHeight="1" spans="1:27">
      <c r="A2978" s="348"/>
      <c r="B2978" s="348" t="s">
        <v>281</v>
      </c>
      <c r="C2978" s="348" t="s">
        <v>491</v>
      </c>
      <c r="D2978" s="352" t="s">
        <v>49</v>
      </c>
      <c r="E2978" s="336">
        <v>43682</v>
      </c>
      <c r="F2978" s="336">
        <v>43682</v>
      </c>
      <c r="G2978" s="350"/>
      <c r="H2978" s="334" t="s">
        <v>7588</v>
      </c>
      <c r="I2978" s="356">
        <v>13120600762</v>
      </c>
      <c r="J2978" s="361" t="s">
        <v>7589</v>
      </c>
      <c r="K2978" s="356">
        <v>1000</v>
      </c>
      <c r="L2978" s="419"/>
      <c r="M2978" s="419"/>
      <c r="N2978" s="362">
        <f t="shared" si="108"/>
        <v>0</v>
      </c>
      <c r="O2978" s="356"/>
      <c r="P2978" s="356"/>
      <c r="Q2978" s="356" t="s">
        <v>52</v>
      </c>
      <c r="R2978" s="356"/>
      <c r="S2978" s="356"/>
      <c r="T2978" s="356"/>
      <c r="U2978" s="372"/>
      <c r="V2978" s="372"/>
      <c r="W2978" s="372"/>
      <c r="X2978" s="373"/>
      <c r="Y2978" s="348"/>
      <c r="Z2978" s="348"/>
      <c r="AA2978" s="348"/>
    </row>
    <row r="2979" s="331" customFormat="1" ht="17" customHeight="1" spans="1:27">
      <c r="A2979" s="348"/>
      <c r="B2979" s="348" t="s">
        <v>805</v>
      </c>
      <c r="C2979" s="348" t="s">
        <v>806</v>
      </c>
      <c r="D2979" s="352" t="s">
        <v>171</v>
      </c>
      <c r="E2979" s="336">
        <v>43746</v>
      </c>
      <c r="F2979" s="336">
        <v>43682</v>
      </c>
      <c r="G2979" s="336">
        <v>43745</v>
      </c>
      <c r="H2979" s="334" t="s">
        <v>7590</v>
      </c>
      <c r="I2979" s="356">
        <v>18616613533</v>
      </c>
      <c r="J2979" s="361" t="s">
        <v>7591</v>
      </c>
      <c r="K2979" s="356">
        <v>20000</v>
      </c>
      <c r="L2979" s="334">
        <v>25558</v>
      </c>
      <c r="M2979" s="419"/>
      <c r="N2979" s="362">
        <f t="shared" si="108"/>
        <v>25558</v>
      </c>
      <c r="O2979" s="356"/>
      <c r="P2979" s="356"/>
      <c r="Q2979" s="356"/>
      <c r="R2979" s="430" t="s">
        <v>52</v>
      </c>
      <c r="S2979" s="356"/>
      <c r="T2979" s="356"/>
      <c r="U2979" s="372"/>
      <c r="V2979" s="372"/>
      <c r="W2979" s="372"/>
      <c r="X2979" s="373"/>
      <c r="Y2979" s="348"/>
      <c r="Z2979" s="348"/>
      <c r="AA2979" s="348"/>
    </row>
    <row r="2980" s="331" customFormat="1" ht="17" customHeight="1" spans="1:27">
      <c r="A2980" s="550" t="s">
        <v>7592</v>
      </c>
      <c r="B2980" s="348" t="s">
        <v>281</v>
      </c>
      <c r="C2980" s="348" t="s">
        <v>491</v>
      </c>
      <c r="D2980" s="349" t="s">
        <v>518</v>
      </c>
      <c r="E2980" s="336">
        <v>43700</v>
      </c>
      <c r="F2980" s="336">
        <v>43682</v>
      </c>
      <c r="G2980" s="336">
        <v>43698</v>
      </c>
      <c r="H2980" s="334" t="s">
        <v>7593</v>
      </c>
      <c r="I2980" s="334">
        <v>15000377727</v>
      </c>
      <c r="J2980" s="361" t="s">
        <v>7594</v>
      </c>
      <c r="K2980" s="356">
        <v>1000</v>
      </c>
      <c r="L2980" s="334">
        <v>35099</v>
      </c>
      <c r="M2980" s="419"/>
      <c r="N2980" s="362">
        <f t="shared" si="108"/>
        <v>35099</v>
      </c>
      <c r="O2980" s="356"/>
      <c r="P2980" s="356"/>
      <c r="Q2980" s="356"/>
      <c r="R2980" s="356"/>
      <c r="S2980" s="356" t="s">
        <v>52</v>
      </c>
      <c r="T2980" s="356"/>
      <c r="U2980" s="372"/>
      <c r="V2980" s="372"/>
      <c r="W2980" s="372"/>
      <c r="X2980" s="373"/>
      <c r="Y2980" s="348"/>
      <c r="Z2980" s="348"/>
      <c r="AA2980" s="348"/>
    </row>
    <row r="2981" s="331" customFormat="1" ht="17" customHeight="1" spans="1:27">
      <c r="A2981" s="550" t="s">
        <v>7595</v>
      </c>
      <c r="B2981" s="348" t="s">
        <v>805</v>
      </c>
      <c r="C2981" s="348" t="s">
        <v>806</v>
      </c>
      <c r="D2981" s="334" t="s">
        <v>171</v>
      </c>
      <c r="E2981" s="336">
        <v>43734</v>
      </c>
      <c r="F2981" s="336">
        <v>43681</v>
      </c>
      <c r="G2981" s="336">
        <v>43726</v>
      </c>
      <c r="H2981" s="334" t="s">
        <v>7596</v>
      </c>
      <c r="I2981" s="356">
        <v>13701622429</v>
      </c>
      <c r="J2981" s="361" t="s">
        <v>7597</v>
      </c>
      <c r="K2981" s="356">
        <v>20000</v>
      </c>
      <c r="L2981" s="334">
        <v>34050</v>
      </c>
      <c r="M2981" s="419"/>
      <c r="N2981" s="362">
        <f t="shared" si="108"/>
        <v>34050</v>
      </c>
      <c r="O2981" s="356"/>
      <c r="P2981" s="356"/>
      <c r="Q2981" s="356"/>
      <c r="R2981" s="356"/>
      <c r="S2981" s="356"/>
      <c r="T2981" s="356"/>
      <c r="U2981" s="372"/>
      <c r="V2981" s="375">
        <v>8.18</v>
      </c>
      <c r="W2981" s="372"/>
      <c r="X2981" s="373"/>
      <c r="Y2981" s="348"/>
      <c r="Z2981" s="348"/>
      <c r="AA2981" s="348"/>
    </row>
    <row r="2982" s="331" customFormat="1" ht="17" customHeight="1" spans="1:27">
      <c r="A2982" s="550" t="s">
        <v>7598</v>
      </c>
      <c r="B2982" s="348" t="s">
        <v>805</v>
      </c>
      <c r="C2982" s="348" t="s">
        <v>806</v>
      </c>
      <c r="D2982" s="352" t="s">
        <v>171</v>
      </c>
      <c r="E2982" s="336">
        <v>43684</v>
      </c>
      <c r="F2982" s="336">
        <v>43682</v>
      </c>
      <c r="G2982" s="336">
        <v>43684</v>
      </c>
      <c r="H2982" s="334" t="s">
        <v>7599</v>
      </c>
      <c r="I2982" s="356">
        <v>13818312753</v>
      </c>
      <c r="J2982" s="361" t="s">
        <v>7600</v>
      </c>
      <c r="K2982" s="356">
        <v>2967</v>
      </c>
      <c r="L2982" s="334">
        <v>2699</v>
      </c>
      <c r="M2982" s="334">
        <v>268</v>
      </c>
      <c r="N2982" s="362">
        <f t="shared" si="108"/>
        <v>2967</v>
      </c>
      <c r="O2982" s="356"/>
      <c r="P2982" s="356"/>
      <c r="Q2982" s="356"/>
      <c r="R2982" s="356"/>
      <c r="S2982" s="356"/>
      <c r="T2982" s="356"/>
      <c r="U2982" s="372"/>
      <c r="V2982" s="372"/>
      <c r="W2982" s="372"/>
      <c r="X2982" s="373"/>
      <c r="Y2982" s="348"/>
      <c r="Z2982" s="348"/>
      <c r="AA2982" s="348"/>
    </row>
    <row r="2983" s="331" customFormat="1" ht="17" customHeight="1" spans="1:27">
      <c r="A2983" s="550" t="s">
        <v>1497</v>
      </c>
      <c r="B2983" s="348" t="s">
        <v>236</v>
      </c>
      <c r="C2983" s="348" t="s">
        <v>195</v>
      </c>
      <c r="D2983" s="352" t="s">
        <v>125</v>
      </c>
      <c r="E2983" s="336">
        <v>43700</v>
      </c>
      <c r="F2983" s="336">
        <v>43680</v>
      </c>
      <c r="G2983" s="336">
        <v>43697</v>
      </c>
      <c r="H2983" s="334" t="s">
        <v>7601</v>
      </c>
      <c r="I2983" s="356">
        <v>13052231632</v>
      </c>
      <c r="J2983" s="361" t="s">
        <v>7602</v>
      </c>
      <c r="K2983" s="356">
        <v>2527</v>
      </c>
      <c r="L2983" s="334">
        <v>2802</v>
      </c>
      <c r="M2983" s="419"/>
      <c r="N2983" s="362">
        <f t="shared" si="108"/>
        <v>2802</v>
      </c>
      <c r="O2983" s="356"/>
      <c r="P2983" s="356"/>
      <c r="Q2983" s="356"/>
      <c r="R2983" s="356"/>
      <c r="S2983" s="356"/>
      <c r="T2983" s="356"/>
      <c r="U2983" s="372"/>
      <c r="V2983" s="372"/>
      <c r="W2983" s="372"/>
      <c r="X2983" s="373"/>
      <c r="Y2983" s="348"/>
      <c r="Z2983" s="348"/>
      <c r="AA2983" s="348"/>
    </row>
    <row r="2984" s="331" customFormat="1" ht="17" customHeight="1" spans="1:27">
      <c r="A2984" s="550" t="s">
        <v>7603</v>
      </c>
      <c r="B2984" s="348" t="s">
        <v>236</v>
      </c>
      <c r="C2984" s="348" t="s">
        <v>703</v>
      </c>
      <c r="D2984" s="352" t="s">
        <v>143</v>
      </c>
      <c r="E2984" s="336">
        <v>43682</v>
      </c>
      <c r="F2984" s="336">
        <v>43681</v>
      </c>
      <c r="G2984" s="350"/>
      <c r="H2984" s="334" t="s">
        <v>7604</v>
      </c>
      <c r="I2984" s="356">
        <v>18616857819</v>
      </c>
      <c r="J2984" s="361" t="s">
        <v>7605</v>
      </c>
      <c r="K2984" s="356">
        <v>1000</v>
      </c>
      <c r="L2984" s="419"/>
      <c r="M2984" s="419"/>
      <c r="N2984" s="362">
        <f t="shared" si="108"/>
        <v>0</v>
      </c>
      <c r="O2984" s="356"/>
      <c r="P2984" s="356"/>
      <c r="Q2984" s="356"/>
      <c r="R2984" s="356"/>
      <c r="S2984" s="356"/>
      <c r="T2984" s="356"/>
      <c r="U2984" s="372" t="s">
        <v>40</v>
      </c>
      <c r="V2984" s="372"/>
      <c r="W2984" s="372"/>
      <c r="X2984" s="373"/>
      <c r="Y2984" s="348"/>
      <c r="Z2984" s="348"/>
      <c r="AA2984" s="348"/>
    </row>
    <row r="2985" s="331" customFormat="1" ht="17" customHeight="1" spans="1:27">
      <c r="A2985" s="550" t="s">
        <v>7606</v>
      </c>
      <c r="B2985" s="348" t="s">
        <v>147</v>
      </c>
      <c r="C2985" s="348" t="s">
        <v>148</v>
      </c>
      <c r="D2985" s="349" t="s">
        <v>1170</v>
      </c>
      <c r="E2985" s="336">
        <v>43694</v>
      </c>
      <c r="F2985" s="336">
        <v>43681</v>
      </c>
      <c r="G2985" s="336">
        <v>43694</v>
      </c>
      <c r="H2985" s="334" t="s">
        <v>7607</v>
      </c>
      <c r="I2985" s="356">
        <v>15801928652</v>
      </c>
      <c r="J2985" s="361" t="s">
        <v>7608</v>
      </c>
      <c r="K2985" s="356">
        <v>1000</v>
      </c>
      <c r="L2985" s="334">
        <f>9376-736</f>
        <v>8640</v>
      </c>
      <c r="M2985" s="334">
        <v>736</v>
      </c>
      <c r="N2985" s="362">
        <f t="shared" si="108"/>
        <v>9376</v>
      </c>
      <c r="O2985" s="356"/>
      <c r="P2985" s="356"/>
      <c r="Q2985" s="356"/>
      <c r="R2985" s="356"/>
      <c r="S2985" s="356" t="s">
        <v>7467</v>
      </c>
      <c r="T2985" s="356"/>
      <c r="U2985" s="372"/>
      <c r="V2985" s="372"/>
      <c r="W2985" s="372"/>
      <c r="X2985" s="373"/>
      <c r="Y2985" s="348"/>
      <c r="Z2985" s="348"/>
      <c r="AA2985" s="348"/>
    </row>
    <row r="2986" s="331" customFormat="1" ht="17" customHeight="1" spans="1:27">
      <c r="A2986" s="550" t="s">
        <v>7609</v>
      </c>
      <c r="B2986" s="348" t="s">
        <v>315</v>
      </c>
      <c r="C2986" s="348" t="s">
        <v>230</v>
      </c>
      <c r="D2986" s="352" t="s">
        <v>182</v>
      </c>
      <c r="E2986" s="336">
        <v>43732</v>
      </c>
      <c r="F2986" s="336">
        <v>43680</v>
      </c>
      <c r="G2986" s="336">
        <v>43732</v>
      </c>
      <c r="H2986" s="334" t="s">
        <v>7610</v>
      </c>
      <c r="I2986" s="356">
        <v>17621554863</v>
      </c>
      <c r="J2986" s="361" t="s">
        <v>7611</v>
      </c>
      <c r="K2986" s="356">
        <v>1000</v>
      </c>
      <c r="L2986" s="334">
        <v>4029</v>
      </c>
      <c r="M2986" s="419"/>
      <c r="N2986" s="362">
        <f t="shared" si="108"/>
        <v>4029</v>
      </c>
      <c r="O2986" s="356">
        <v>1</v>
      </c>
      <c r="P2986" s="356"/>
      <c r="Q2986" s="356"/>
      <c r="R2986" s="356"/>
      <c r="S2986" s="356"/>
      <c r="T2986" s="356"/>
      <c r="U2986" s="372"/>
      <c r="V2986" s="372"/>
      <c r="W2986" s="372"/>
      <c r="X2986" s="373"/>
      <c r="Y2986" s="348"/>
      <c r="Z2986" s="348"/>
      <c r="AA2986" s="348"/>
    </row>
    <row r="2987" s="331" customFormat="1" ht="17" customHeight="1" spans="1:27">
      <c r="A2987" s="348">
        <v>2023543</v>
      </c>
      <c r="B2987" s="348" t="s">
        <v>185</v>
      </c>
      <c r="C2987" s="348" t="s">
        <v>1620</v>
      </c>
      <c r="D2987" s="352" t="s">
        <v>44</v>
      </c>
      <c r="E2987" s="336">
        <v>43707</v>
      </c>
      <c r="F2987" s="336">
        <v>43681</v>
      </c>
      <c r="G2987" s="336">
        <v>43707</v>
      </c>
      <c r="H2987" s="334" t="s">
        <v>7612</v>
      </c>
      <c r="I2987" s="356">
        <v>13817806339</v>
      </c>
      <c r="J2987" s="361" t="s">
        <v>7613</v>
      </c>
      <c r="K2987" s="356">
        <v>5000</v>
      </c>
      <c r="L2987" s="334">
        <v>5000</v>
      </c>
      <c r="M2987" s="419"/>
      <c r="N2987" s="362">
        <f t="shared" si="108"/>
        <v>5000</v>
      </c>
      <c r="O2987" s="356" t="s">
        <v>52</v>
      </c>
      <c r="P2987" s="356"/>
      <c r="Q2987" s="356"/>
      <c r="R2987" s="356"/>
      <c r="S2987" s="356"/>
      <c r="T2987" s="356"/>
      <c r="U2987" s="372"/>
      <c r="V2987" s="372"/>
      <c r="W2987" s="372"/>
      <c r="X2987" s="373"/>
      <c r="Y2987" s="348"/>
      <c r="Z2987" s="348"/>
      <c r="AA2987" s="348"/>
    </row>
    <row r="2988" s="331" customFormat="1" ht="17" customHeight="1" spans="1:27">
      <c r="A2988" s="550" t="s">
        <v>7614</v>
      </c>
      <c r="B2988" s="348" t="s">
        <v>35</v>
      </c>
      <c r="C2988" s="348" t="s">
        <v>392</v>
      </c>
      <c r="D2988" s="334" t="s">
        <v>187</v>
      </c>
      <c r="E2988" s="336">
        <v>43721</v>
      </c>
      <c r="F2988" s="336">
        <v>43681</v>
      </c>
      <c r="G2988" s="336">
        <v>43720</v>
      </c>
      <c r="H2988" s="334" t="s">
        <v>7615</v>
      </c>
      <c r="I2988" s="356">
        <v>13918873799</v>
      </c>
      <c r="J2988" s="361" t="s">
        <v>7616</v>
      </c>
      <c r="K2988" s="356">
        <v>1000</v>
      </c>
      <c r="L2988" s="334">
        <v>4491</v>
      </c>
      <c r="M2988" s="419"/>
      <c r="N2988" s="362">
        <f t="shared" si="108"/>
        <v>4491</v>
      </c>
      <c r="O2988" s="356"/>
      <c r="P2988" s="356" t="s">
        <v>52</v>
      </c>
      <c r="Q2988" s="356"/>
      <c r="R2988" s="356"/>
      <c r="S2988" s="356"/>
      <c r="T2988" s="356"/>
      <c r="U2988" s="372"/>
      <c r="V2988" s="372"/>
      <c r="W2988" s="372"/>
      <c r="X2988" s="373"/>
      <c r="Y2988" s="348"/>
      <c r="Z2988" s="348"/>
      <c r="AA2988" s="348"/>
    </row>
    <row r="2989" s="331" customFormat="1" ht="17" customHeight="1" spans="1:27">
      <c r="A2989" s="348"/>
      <c r="B2989" s="348" t="s">
        <v>726</v>
      </c>
      <c r="C2989" s="348" t="s">
        <v>727</v>
      </c>
      <c r="D2989" s="349" t="s">
        <v>271</v>
      </c>
      <c r="E2989" s="336">
        <v>43687</v>
      </c>
      <c r="F2989" s="336">
        <v>43681</v>
      </c>
      <c r="G2989" s="336">
        <v>43686</v>
      </c>
      <c r="H2989" s="334" t="s">
        <v>7617</v>
      </c>
      <c r="I2989" s="356">
        <v>13585752116</v>
      </c>
      <c r="J2989" s="361" t="s">
        <v>7618</v>
      </c>
      <c r="K2989" s="356">
        <v>12144</v>
      </c>
      <c r="L2989" s="334">
        <v>12239</v>
      </c>
      <c r="M2989" s="419"/>
      <c r="N2989" s="362">
        <f t="shared" si="108"/>
        <v>12239</v>
      </c>
      <c r="O2989" s="356"/>
      <c r="P2989" s="356"/>
      <c r="Q2989" s="356"/>
      <c r="R2989" s="356"/>
      <c r="S2989" s="356"/>
      <c r="T2989" s="356"/>
      <c r="U2989" s="372"/>
      <c r="V2989" s="372"/>
      <c r="W2989" s="372"/>
      <c r="X2989" s="373"/>
      <c r="Y2989" s="348"/>
      <c r="Z2989" s="348"/>
      <c r="AA2989" s="348"/>
    </row>
    <row r="2990" s="331" customFormat="1" ht="17" customHeight="1" spans="1:27">
      <c r="A2990" s="550" t="s">
        <v>7619</v>
      </c>
      <c r="B2990" s="348" t="s">
        <v>315</v>
      </c>
      <c r="C2990" s="348" t="s">
        <v>181</v>
      </c>
      <c r="D2990" s="352" t="s">
        <v>182</v>
      </c>
      <c r="E2990" s="336">
        <v>43729</v>
      </c>
      <c r="F2990" s="336">
        <v>43681</v>
      </c>
      <c r="G2990" s="336">
        <v>43727</v>
      </c>
      <c r="H2990" s="334" t="s">
        <v>2219</v>
      </c>
      <c r="I2990" s="356">
        <v>13621908837</v>
      </c>
      <c r="J2990" s="361" t="s">
        <v>7620</v>
      </c>
      <c r="K2990" s="356">
        <v>1000</v>
      </c>
      <c r="L2990" s="334">
        <v>9522</v>
      </c>
      <c r="M2990" s="419"/>
      <c r="N2990" s="362">
        <f t="shared" si="108"/>
        <v>9522</v>
      </c>
      <c r="O2990" s="356">
        <v>1</v>
      </c>
      <c r="P2990" s="356"/>
      <c r="Q2990" s="356"/>
      <c r="R2990" s="356"/>
      <c r="S2990" s="356"/>
      <c r="T2990" s="356"/>
      <c r="U2990" s="372"/>
      <c r="V2990" s="372"/>
      <c r="W2990" s="372"/>
      <c r="X2990" s="373"/>
      <c r="Y2990" s="348"/>
      <c r="Z2990" s="348"/>
      <c r="AA2990" s="348"/>
    </row>
    <row r="2991" s="331" customFormat="1" ht="17" customHeight="1" spans="1:27">
      <c r="A2991" s="550" t="s">
        <v>7621</v>
      </c>
      <c r="B2991" s="348" t="s">
        <v>315</v>
      </c>
      <c r="C2991" s="348" t="s">
        <v>181</v>
      </c>
      <c r="D2991" s="352" t="s">
        <v>182</v>
      </c>
      <c r="E2991" s="336">
        <v>43682</v>
      </c>
      <c r="F2991" s="336">
        <v>43680</v>
      </c>
      <c r="G2991" s="350" t="s">
        <v>231</v>
      </c>
      <c r="H2991" s="334" t="s">
        <v>7622</v>
      </c>
      <c r="I2991" s="356">
        <v>15692197633</v>
      </c>
      <c r="J2991" s="361" t="s">
        <v>7623</v>
      </c>
      <c r="K2991" s="356">
        <v>1000</v>
      </c>
      <c r="L2991" s="419"/>
      <c r="M2991" s="419"/>
      <c r="N2991" s="362">
        <f t="shared" si="108"/>
        <v>0</v>
      </c>
      <c r="O2991" s="356">
        <v>1</v>
      </c>
      <c r="P2991" s="356"/>
      <c r="Q2991" s="356"/>
      <c r="R2991" s="356"/>
      <c r="S2991" s="356"/>
      <c r="T2991" s="356"/>
      <c r="U2991" s="372"/>
      <c r="V2991" s="372"/>
      <c r="W2991" s="372"/>
      <c r="X2991" s="373"/>
      <c r="Y2991" s="348"/>
      <c r="Z2991" s="348"/>
      <c r="AA2991" s="348"/>
    </row>
    <row r="2992" s="331" customFormat="1" ht="17" customHeight="1" spans="1:27">
      <c r="A2992" s="550" t="s">
        <v>7624</v>
      </c>
      <c r="B2992" s="348" t="s">
        <v>315</v>
      </c>
      <c r="C2992" s="348" t="s">
        <v>181</v>
      </c>
      <c r="D2992" s="352" t="s">
        <v>182</v>
      </c>
      <c r="E2992" s="336">
        <v>43720</v>
      </c>
      <c r="F2992" s="336">
        <v>43681</v>
      </c>
      <c r="G2992" s="336">
        <v>43720</v>
      </c>
      <c r="H2992" s="334" t="s">
        <v>7625</v>
      </c>
      <c r="I2992" s="356">
        <v>15618877702</v>
      </c>
      <c r="J2992" s="361" t="s">
        <v>7626</v>
      </c>
      <c r="K2992" s="356">
        <v>1000</v>
      </c>
      <c r="L2992" s="334">
        <v>5268</v>
      </c>
      <c r="M2992" s="419"/>
      <c r="N2992" s="362">
        <f t="shared" si="108"/>
        <v>5268</v>
      </c>
      <c r="O2992" s="356"/>
      <c r="P2992" s="356">
        <v>1</v>
      </c>
      <c r="Q2992" s="356"/>
      <c r="R2992" s="356"/>
      <c r="S2992" s="356"/>
      <c r="T2992" s="356"/>
      <c r="U2992" s="372"/>
      <c r="V2992" s="372"/>
      <c r="W2992" s="372"/>
      <c r="X2992" s="373"/>
      <c r="Y2992" s="348"/>
      <c r="Z2992" s="348"/>
      <c r="AA2992" s="348"/>
    </row>
    <row r="2993" s="331" customFormat="1" ht="17" customHeight="1" spans="1:27">
      <c r="A2993" s="550" t="s">
        <v>7627</v>
      </c>
      <c r="B2993" s="348" t="s">
        <v>31</v>
      </c>
      <c r="C2993" s="348" t="s">
        <v>3186</v>
      </c>
      <c r="D2993" s="349" t="s">
        <v>33</v>
      </c>
      <c r="E2993" s="336">
        <v>43686</v>
      </c>
      <c r="F2993" s="336">
        <v>43681</v>
      </c>
      <c r="G2993" s="336">
        <v>43686</v>
      </c>
      <c r="H2993" s="334" t="s">
        <v>7628</v>
      </c>
      <c r="I2993" s="356">
        <v>18917902270</v>
      </c>
      <c r="J2993" s="361" t="s">
        <v>7629</v>
      </c>
      <c r="K2993" s="356">
        <v>1000</v>
      </c>
      <c r="L2993" s="334">
        <v>8273</v>
      </c>
      <c r="M2993" s="334">
        <v>804</v>
      </c>
      <c r="N2993" s="362">
        <f t="shared" si="108"/>
        <v>9077</v>
      </c>
      <c r="O2993" s="356"/>
      <c r="P2993" s="356"/>
      <c r="Q2993" s="356"/>
      <c r="R2993" s="356"/>
      <c r="S2993" s="356"/>
      <c r="T2993" s="356"/>
      <c r="U2993" s="372"/>
      <c r="V2993" s="372"/>
      <c r="W2993" s="372"/>
      <c r="X2993" s="373"/>
      <c r="Y2993" s="348"/>
      <c r="Z2993" s="348"/>
      <c r="AA2993" s="348"/>
    </row>
    <row r="2994" s="331" customFormat="1" ht="17" customHeight="1" spans="1:27">
      <c r="A2994" s="550" t="s">
        <v>7630</v>
      </c>
      <c r="B2994" s="348" t="s">
        <v>31</v>
      </c>
      <c r="C2994" s="348" t="s">
        <v>3186</v>
      </c>
      <c r="D2994" s="352" t="s">
        <v>221</v>
      </c>
      <c r="E2994" s="336">
        <v>43682</v>
      </c>
      <c r="F2994" s="336">
        <v>43681</v>
      </c>
      <c r="G2994" s="350"/>
      <c r="H2994" s="334" t="s">
        <v>7631</v>
      </c>
      <c r="I2994" s="356">
        <v>13764007228</v>
      </c>
      <c r="J2994" s="361" t="s">
        <v>7632</v>
      </c>
      <c r="K2994" s="356">
        <v>1000</v>
      </c>
      <c r="L2994" s="419"/>
      <c r="M2994" s="419"/>
      <c r="N2994" s="362">
        <f t="shared" si="108"/>
        <v>0</v>
      </c>
      <c r="O2994" s="356"/>
      <c r="P2994" s="356"/>
      <c r="Q2994" s="356"/>
      <c r="R2994" s="356"/>
      <c r="S2994" s="356"/>
      <c r="T2994" s="356"/>
      <c r="U2994" s="372">
        <v>8.6</v>
      </c>
      <c r="V2994" s="372"/>
      <c r="W2994" s="372"/>
      <c r="X2994" s="373"/>
      <c r="Y2994" s="348"/>
      <c r="Z2994" s="348"/>
      <c r="AA2994" s="348"/>
    </row>
    <row r="2995" s="331" customFormat="1" ht="17" customHeight="1" spans="1:27">
      <c r="A2995" s="550" t="s">
        <v>7633</v>
      </c>
      <c r="B2995" s="348" t="s">
        <v>31</v>
      </c>
      <c r="C2995" s="348" t="s">
        <v>220</v>
      </c>
      <c r="D2995" s="349" t="s">
        <v>139</v>
      </c>
      <c r="E2995" s="336">
        <v>43692</v>
      </c>
      <c r="F2995" s="336">
        <v>43681</v>
      </c>
      <c r="G2995" s="336">
        <v>43691</v>
      </c>
      <c r="H2995" s="334" t="s">
        <v>7634</v>
      </c>
      <c r="I2995" s="356">
        <v>13917230461</v>
      </c>
      <c r="J2995" s="361" t="s">
        <v>7635</v>
      </c>
      <c r="K2995" s="356">
        <v>1000</v>
      </c>
      <c r="L2995" s="334">
        <v>10509</v>
      </c>
      <c r="M2995" s="334">
        <v>11792</v>
      </c>
      <c r="N2995" s="362">
        <f t="shared" si="108"/>
        <v>22301</v>
      </c>
      <c r="O2995" s="356"/>
      <c r="P2995" s="356"/>
      <c r="Q2995" s="356"/>
      <c r="R2995" s="356"/>
      <c r="S2995" s="356"/>
      <c r="T2995" s="356"/>
      <c r="U2995" s="372"/>
      <c r="V2995" s="372"/>
      <c r="W2995" s="372"/>
      <c r="X2995" s="373"/>
      <c r="Y2995" s="348"/>
      <c r="Z2995" s="348"/>
      <c r="AA2995" s="348"/>
    </row>
    <row r="2996" s="331" customFormat="1" ht="17" customHeight="1" spans="1:27">
      <c r="A2996" s="550" t="s">
        <v>7636</v>
      </c>
      <c r="B2996" s="348" t="s">
        <v>354</v>
      </c>
      <c r="C2996" s="348" t="s">
        <v>355</v>
      </c>
      <c r="D2996" s="334" t="s">
        <v>207</v>
      </c>
      <c r="E2996" s="336">
        <v>43737</v>
      </c>
      <c r="F2996" s="336">
        <v>43682</v>
      </c>
      <c r="G2996" s="336">
        <v>43737</v>
      </c>
      <c r="H2996" s="334" t="s">
        <v>7637</v>
      </c>
      <c r="I2996" s="356">
        <v>15201922567</v>
      </c>
      <c r="J2996" s="361" t="s">
        <v>7638</v>
      </c>
      <c r="K2996" s="356">
        <v>9000</v>
      </c>
      <c r="L2996" s="334">
        <v>8992</v>
      </c>
      <c r="M2996" s="419"/>
      <c r="N2996" s="362">
        <f t="shared" si="108"/>
        <v>8992</v>
      </c>
      <c r="O2996" s="356" t="s">
        <v>52</v>
      </c>
      <c r="P2996" s="356"/>
      <c r="Q2996" s="356"/>
      <c r="R2996" s="356"/>
      <c r="S2996" s="356"/>
      <c r="T2996" s="356"/>
      <c r="U2996" s="372"/>
      <c r="V2996" s="372"/>
      <c r="W2996" s="372"/>
      <c r="X2996" s="373"/>
      <c r="Y2996" s="348"/>
      <c r="Z2996" s="348"/>
      <c r="AA2996" s="348"/>
    </row>
    <row r="2997" s="331" customFormat="1" ht="17" customHeight="1" spans="1:27">
      <c r="A2997" s="550" t="s">
        <v>7639</v>
      </c>
      <c r="B2997" s="348" t="s">
        <v>315</v>
      </c>
      <c r="C2997" s="348" t="s">
        <v>230</v>
      </c>
      <c r="D2997" s="349" t="s">
        <v>132</v>
      </c>
      <c r="E2997" s="336">
        <v>43682</v>
      </c>
      <c r="F2997" s="336">
        <v>43681</v>
      </c>
      <c r="G2997" s="350">
        <v>43681</v>
      </c>
      <c r="H2997" s="334" t="s">
        <v>7640</v>
      </c>
      <c r="I2997" s="356">
        <v>13918876298</v>
      </c>
      <c r="J2997" s="361" t="s">
        <v>7641</v>
      </c>
      <c r="K2997" s="356">
        <v>15465</v>
      </c>
      <c r="L2997" s="334">
        <v>15465</v>
      </c>
      <c r="M2997" s="419"/>
      <c r="N2997" s="362">
        <f t="shared" si="108"/>
        <v>15465</v>
      </c>
      <c r="O2997" s="356"/>
      <c r="P2997" s="356"/>
      <c r="Q2997" s="356"/>
      <c r="R2997" s="356"/>
      <c r="S2997" s="356"/>
      <c r="T2997" s="356"/>
      <c r="U2997" s="372"/>
      <c r="V2997" s="372"/>
      <c r="W2997" s="372"/>
      <c r="X2997" s="373"/>
      <c r="Y2997" s="348"/>
      <c r="Z2997" s="348"/>
      <c r="AA2997" s="348"/>
    </row>
    <row r="2998" s="331" customFormat="1" ht="17" customHeight="1" spans="1:27">
      <c r="A2998" s="550" t="s">
        <v>7642</v>
      </c>
      <c r="B2998" s="348" t="s">
        <v>315</v>
      </c>
      <c r="C2998" s="348" t="s">
        <v>230</v>
      </c>
      <c r="D2998" s="352" t="s">
        <v>182</v>
      </c>
      <c r="E2998" s="336">
        <v>43713</v>
      </c>
      <c r="F2998" s="336">
        <v>43682</v>
      </c>
      <c r="G2998" s="336">
        <v>43712</v>
      </c>
      <c r="H2998" s="334" t="s">
        <v>7643</v>
      </c>
      <c r="I2998" s="356">
        <v>18916078956</v>
      </c>
      <c r="J2998" s="361" t="s">
        <v>7644</v>
      </c>
      <c r="K2998" s="356">
        <v>1000</v>
      </c>
      <c r="L2998" s="334">
        <v>7120</v>
      </c>
      <c r="M2998" s="419"/>
      <c r="N2998" s="362">
        <f t="shared" si="108"/>
        <v>7120</v>
      </c>
      <c r="O2998" s="356"/>
      <c r="P2998" s="356"/>
      <c r="Q2998" s="356"/>
      <c r="R2998" s="356">
        <v>1</v>
      </c>
      <c r="S2998" s="356"/>
      <c r="T2998" s="356"/>
      <c r="U2998" s="372"/>
      <c r="V2998" s="372"/>
      <c r="W2998" s="372"/>
      <c r="X2998" s="373"/>
      <c r="Y2998" s="348"/>
      <c r="Z2998" s="348"/>
      <c r="AA2998" s="348"/>
    </row>
    <row r="2999" s="331" customFormat="1" ht="17" customHeight="1" spans="1:27">
      <c r="A2999" s="550" t="s">
        <v>7645</v>
      </c>
      <c r="B2999" s="348" t="s">
        <v>58</v>
      </c>
      <c r="C2999" s="348" t="s">
        <v>109</v>
      </c>
      <c r="D2999" s="334" t="s">
        <v>271</v>
      </c>
      <c r="E2999" s="336">
        <v>43705</v>
      </c>
      <c r="F2999" s="336">
        <v>43681</v>
      </c>
      <c r="G2999" s="336">
        <v>43704</v>
      </c>
      <c r="H2999" s="334" t="s">
        <v>7646</v>
      </c>
      <c r="I2999" s="356">
        <v>13901953777</v>
      </c>
      <c r="J2999" s="361" t="s">
        <v>7647</v>
      </c>
      <c r="K2999" s="356">
        <v>1000</v>
      </c>
      <c r="L2999" s="334">
        <v>3899</v>
      </c>
      <c r="M2999" s="334">
        <v>736</v>
      </c>
      <c r="N2999" s="362">
        <f t="shared" si="108"/>
        <v>4635</v>
      </c>
      <c r="O2999" s="356"/>
      <c r="P2999" s="356"/>
      <c r="Q2999" s="356"/>
      <c r="R2999" s="366" t="s">
        <v>52</v>
      </c>
      <c r="S2999" s="356"/>
      <c r="T2999" s="356"/>
      <c r="U2999" s="372"/>
      <c r="V2999" s="372"/>
      <c r="W2999" s="372"/>
      <c r="X2999" s="373"/>
      <c r="Y2999" s="348"/>
      <c r="Z2999" s="348"/>
      <c r="AA2999" s="348"/>
    </row>
    <row r="3000" s="331" customFormat="1" ht="17" customHeight="1" spans="1:27">
      <c r="A3000" s="348">
        <v>2068600</v>
      </c>
      <c r="B3000" s="348" t="s">
        <v>87</v>
      </c>
      <c r="C3000" s="348" t="s">
        <v>1757</v>
      </c>
      <c r="D3000" s="352" t="s">
        <v>89</v>
      </c>
      <c r="E3000" s="336">
        <v>43835</v>
      </c>
      <c r="F3000" s="336">
        <v>43681</v>
      </c>
      <c r="G3000" s="336">
        <v>43834</v>
      </c>
      <c r="H3000" s="334" t="s">
        <v>7648</v>
      </c>
      <c r="I3000" s="356">
        <v>13761272837</v>
      </c>
      <c r="J3000" s="361" t="s">
        <v>7649</v>
      </c>
      <c r="K3000" s="356">
        <v>1000</v>
      </c>
      <c r="L3000" s="334">
        <v>15178</v>
      </c>
      <c r="M3000" s="419"/>
      <c r="N3000" s="362">
        <f t="shared" si="108"/>
        <v>15178</v>
      </c>
      <c r="O3000" s="356"/>
      <c r="P3000" s="411" t="s">
        <v>52</v>
      </c>
      <c r="Q3000" s="356"/>
      <c r="R3000" s="356"/>
      <c r="S3000" s="356"/>
      <c r="T3000" s="356"/>
      <c r="U3000" s="372"/>
      <c r="V3000" s="372"/>
      <c r="W3000" s="372"/>
      <c r="X3000" s="373"/>
      <c r="Y3000" s="348"/>
      <c r="Z3000" s="348"/>
      <c r="AA3000" s="348"/>
    </row>
    <row r="3001" s="331" customFormat="1" ht="17" customHeight="1" spans="1:27">
      <c r="A3001" s="550" t="s">
        <v>4455</v>
      </c>
      <c r="B3001" s="348" t="s">
        <v>73</v>
      </c>
      <c r="C3001" s="348" t="s">
        <v>178</v>
      </c>
      <c r="D3001" s="349" t="s">
        <v>132</v>
      </c>
      <c r="E3001" s="336">
        <v>43697</v>
      </c>
      <c r="F3001" s="336">
        <v>43682</v>
      </c>
      <c r="G3001" s="336">
        <v>43697</v>
      </c>
      <c r="H3001" s="334" t="s">
        <v>7650</v>
      </c>
      <c r="I3001" s="356">
        <v>13661646757</v>
      </c>
      <c r="J3001" s="361" t="s">
        <v>7651</v>
      </c>
      <c r="K3001" s="356">
        <v>1000</v>
      </c>
      <c r="L3001" s="334">
        <v>16208</v>
      </c>
      <c r="M3001" s="419"/>
      <c r="N3001" s="362">
        <f t="shared" si="108"/>
        <v>16208</v>
      </c>
      <c r="O3001" s="366" t="s">
        <v>52</v>
      </c>
      <c r="P3001" s="356"/>
      <c r="Q3001" s="356"/>
      <c r="R3001" s="356"/>
      <c r="S3001" s="356"/>
      <c r="T3001" s="356"/>
      <c r="U3001" s="372"/>
      <c r="V3001" s="372"/>
      <c r="W3001" s="372"/>
      <c r="X3001" s="373"/>
      <c r="Y3001" s="348"/>
      <c r="Z3001" s="348"/>
      <c r="AA3001" s="348"/>
    </row>
    <row r="3002" s="331" customFormat="1" ht="17" customHeight="1" spans="1:27">
      <c r="A3002" s="550" t="s">
        <v>7652</v>
      </c>
      <c r="B3002" s="348" t="s">
        <v>58</v>
      </c>
      <c r="C3002" s="348" t="s">
        <v>794</v>
      </c>
      <c r="D3002" s="352" t="s">
        <v>110</v>
      </c>
      <c r="E3002" s="336">
        <v>43687</v>
      </c>
      <c r="F3002" s="336">
        <v>43682</v>
      </c>
      <c r="G3002" s="336">
        <v>43686</v>
      </c>
      <c r="H3002" s="334" t="s">
        <v>7653</v>
      </c>
      <c r="I3002" s="356">
        <v>13311777533</v>
      </c>
      <c r="J3002" s="361" t="s">
        <v>7654</v>
      </c>
      <c r="K3002" s="356">
        <v>12800</v>
      </c>
      <c r="L3002" s="334">
        <v>10960</v>
      </c>
      <c r="M3002" s="334">
        <v>1840</v>
      </c>
      <c r="N3002" s="362">
        <f t="shared" si="108"/>
        <v>12800</v>
      </c>
      <c r="O3002" s="356"/>
      <c r="P3002" s="356"/>
      <c r="Q3002" s="356"/>
      <c r="R3002" s="356"/>
      <c r="S3002" s="356"/>
      <c r="T3002" s="356"/>
      <c r="U3002" s="372"/>
      <c r="V3002" s="372"/>
      <c r="W3002" s="372"/>
      <c r="X3002" s="373"/>
      <c r="Y3002" s="348"/>
      <c r="Z3002" s="348"/>
      <c r="AA3002" s="348"/>
    </row>
    <row r="3003" s="331" customFormat="1" ht="17" customHeight="1" spans="1:27">
      <c r="A3003" s="348">
        <v>2068602</v>
      </c>
      <c r="B3003" s="348" t="s">
        <v>87</v>
      </c>
      <c r="C3003" s="348" t="s">
        <v>466</v>
      </c>
      <c r="D3003" s="352" t="s">
        <v>89</v>
      </c>
      <c r="E3003" s="336">
        <v>43695</v>
      </c>
      <c r="F3003" s="336">
        <v>43682</v>
      </c>
      <c r="G3003" s="336">
        <v>43692</v>
      </c>
      <c r="H3003" s="334" t="s">
        <v>7655</v>
      </c>
      <c r="I3003" s="356">
        <v>19946099086</v>
      </c>
      <c r="J3003" s="361" t="s">
        <v>7656</v>
      </c>
      <c r="K3003" s="356">
        <v>1000</v>
      </c>
      <c r="L3003" s="334">
        <v>8317</v>
      </c>
      <c r="M3003" s="419"/>
      <c r="N3003" s="362">
        <f t="shared" si="108"/>
        <v>8317</v>
      </c>
      <c r="O3003" s="411" t="s">
        <v>52</v>
      </c>
      <c r="P3003" s="356"/>
      <c r="Q3003" s="356"/>
      <c r="R3003" s="356"/>
      <c r="S3003" s="356"/>
      <c r="T3003" s="356"/>
      <c r="U3003" s="372"/>
      <c r="V3003" s="372"/>
      <c r="W3003" s="372"/>
      <c r="X3003" s="373"/>
      <c r="Y3003" s="348"/>
      <c r="Z3003" s="348"/>
      <c r="AA3003" s="348"/>
    </row>
    <row r="3004" s="331" customFormat="1" ht="17" customHeight="1" spans="1:27">
      <c r="A3004" s="550" t="s">
        <v>7657</v>
      </c>
      <c r="B3004" s="348" t="s">
        <v>315</v>
      </c>
      <c r="C3004" s="348" t="s">
        <v>181</v>
      </c>
      <c r="D3004" s="352" t="s">
        <v>182</v>
      </c>
      <c r="E3004" s="336">
        <v>43682</v>
      </c>
      <c r="F3004" s="336">
        <v>43682</v>
      </c>
      <c r="G3004" s="350" t="s">
        <v>69</v>
      </c>
      <c r="H3004" s="334" t="s">
        <v>7658</v>
      </c>
      <c r="I3004" s="356">
        <v>1331778875</v>
      </c>
      <c r="J3004" s="361" t="s">
        <v>7659</v>
      </c>
      <c r="K3004" s="356">
        <v>1000</v>
      </c>
      <c r="L3004" s="419"/>
      <c r="M3004" s="419"/>
      <c r="N3004" s="362">
        <f t="shared" si="108"/>
        <v>0</v>
      </c>
      <c r="O3004" s="356"/>
      <c r="P3004" s="356"/>
      <c r="Q3004" s="356">
        <v>1</v>
      </c>
      <c r="R3004" s="356"/>
      <c r="S3004" s="356"/>
      <c r="T3004" s="356"/>
      <c r="U3004" s="372"/>
      <c r="V3004" s="372"/>
      <c r="W3004" s="372"/>
      <c r="X3004" s="373"/>
      <c r="Y3004" s="348"/>
      <c r="Z3004" s="348"/>
      <c r="AA3004" s="348"/>
    </row>
    <row r="3005" s="331" customFormat="1" ht="17" customHeight="1" spans="1:27">
      <c r="A3005" s="550" t="s">
        <v>5250</v>
      </c>
      <c r="B3005" s="348" t="s">
        <v>147</v>
      </c>
      <c r="C3005" s="348" t="s">
        <v>148</v>
      </c>
      <c r="D3005" s="352" t="s">
        <v>149</v>
      </c>
      <c r="E3005" s="336">
        <v>43682</v>
      </c>
      <c r="F3005" s="336">
        <v>43682</v>
      </c>
      <c r="G3005" s="350"/>
      <c r="H3005" s="334" t="s">
        <v>7660</v>
      </c>
      <c r="I3005" s="356">
        <v>13361988978</v>
      </c>
      <c r="J3005" s="361" t="s">
        <v>7661</v>
      </c>
      <c r="K3005" s="356">
        <v>1000</v>
      </c>
      <c r="L3005" s="419"/>
      <c r="M3005" s="419"/>
      <c r="N3005" s="362">
        <f t="shared" si="108"/>
        <v>0</v>
      </c>
      <c r="O3005" s="356" t="s">
        <v>19</v>
      </c>
      <c r="P3005" s="356"/>
      <c r="Q3005" s="356"/>
      <c r="R3005" s="356"/>
      <c r="S3005" s="356"/>
      <c r="T3005" s="356"/>
      <c r="U3005" s="372"/>
      <c r="V3005" s="372"/>
      <c r="W3005" s="372"/>
      <c r="X3005" s="373"/>
      <c r="Y3005" s="348"/>
      <c r="Z3005" s="348"/>
      <c r="AA3005" s="348"/>
    </row>
    <row r="3006" s="331" customFormat="1" ht="17" customHeight="1" spans="1:27">
      <c r="A3006" s="348"/>
      <c r="B3006" s="348" t="s">
        <v>236</v>
      </c>
      <c r="C3006" s="334" t="s">
        <v>195</v>
      </c>
      <c r="D3006" s="349" t="s">
        <v>37</v>
      </c>
      <c r="E3006" s="336">
        <v>43682</v>
      </c>
      <c r="F3006" s="336"/>
      <c r="G3006" s="336">
        <v>43680</v>
      </c>
      <c r="H3006" s="334" t="s">
        <v>7662</v>
      </c>
      <c r="I3006" s="356">
        <v>18602119028</v>
      </c>
      <c r="J3006" s="361" t="s">
        <v>7663</v>
      </c>
      <c r="K3006" s="356"/>
      <c r="L3006" s="334">
        <v>2901</v>
      </c>
      <c r="M3006" s="334">
        <v>268</v>
      </c>
      <c r="N3006" s="362">
        <f t="shared" si="108"/>
        <v>3169</v>
      </c>
      <c r="O3006" s="356"/>
      <c r="P3006" s="356"/>
      <c r="Q3006" s="356"/>
      <c r="R3006" s="356"/>
      <c r="S3006" s="356"/>
      <c r="T3006" s="356"/>
      <c r="U3006" s="372"/>
      <c r="V3006" s="372"/>
      <c r="W3006" s="372"/>
      <c r="X3006" s="373"/>
      <c r="Y3006" s="348"/>
      <c r="Z3006" s="348"/>
      <c r="AA3006" s="348"/>
    </row>
    <row r="3007" s="331" customFormat="1" ht="17" customHeight="1" spans="1:27">
      <c r="A3007" s="348"/>
      <c r="B3007" s="348" t="s">
        <v>137</v>
      </c>
      <c r="C3007" s="334" t="s">
        <v>411</v>
      </c>
      <c r="D3007" s="349" t="s">
        <v>68</v>
      </c>
      <c r="E3007" s="336">
        <v>43682</v>
      </c>
      <c r="F3007" s="336"/>
      <c r="G3007" s="336">
        <v>43681</v>
      </c>
      <c r="H3007" s="334" t="s">
        <v>4852</v>
      </c>
      <c r="I3007" s="356">
        <v>18621910943</v>
      </c>
      <c r="J3007" s="361" t="s">
        <v>7664</v>
      </c>
      <c r="K3007" s="356"/>
      <c r="L3007" s="334">
        <v>6849</v>
      </c>
      <c r="M3007" s="334">
        <v>2774</v>
      </c>
      <c r="N3007" s="362">
        <f t="shared" si="108"/>
        <v>9623</v>
      </c>
      <c r="O3007" s="356"/>
      <c r="P3007" s="356"/>
      <c r="Q3007" s="356"/>
      <c r="R3007" s="356"/>
      <c r="S3007" s="356"/>
      <c r="T3007" s="356"/>
      <c r="U3007" s="372"/>
      <c r="V3007" s="372"/>
      <c r="W3007" s="372"/>
      <c r="X3007" s="373"/>
      <c r="Y3007" s="348"/>
      <c r="Z3007" s="348"/>
      <c r="AA3007" s="348"/>
    </row>
    <row r="3008" s="331" customFormat="1" ht="17" customHeight="1" spans="1:27">
      <c r="A3008" s="348"/>
      <c r="B3008" s="348" t="s">
        <v>47</v>
      </c>
      <c r="C3008" s="334" t="s">
        <v>53</v>
      </c>
      <c r="D3008" s="352" t="s">
        <v>49</v>
      </c>
      <c r="E3008" s="336">
        <v>43682</v>
      </c>
      <c r="F3008" s="336"/>
      <c r="G3008" s="336">
        <v>43682</v>
      </c>
      <c r="H3008" s="334" t="s">
        <v>3965</v>
      </c>
      <c r="I3008" s="356">
        <v>1371323396</v>
      </c>
      <c r="J3008" s="361" t="s">
        <v>7665</v>
      </c>
      <c r="K3008" s="356"/>
      <c r="L3008" s="334">
        <v>0</v>
      </c>
      <c r="M3008" s="419"/>
      <c r="N3008" s="362">
        <f t="shared" si="108"/>
        <v>0</v>
      </c>
      <c r="O3008" s="356"/>
      <c r="P3008" s="356"/>
      <c r="Q3008" s="356"/>
      <c r="R3008" s="356"/>
      <c r="S3008" s="356"/>
      <c r="T3008" s="356"/>
      <c r="U3008" s="372"/>
      <c r="V3008" s="372"/>
      <c r="W3008" s="372"/>
      <c r="X3008" s="373"/>
      <c r="Y3008" s="348"/>
      <c r="Z3008" s="348"/>
      <c r="AA3008" s="348"/>
    </row>
    <row r="3009" s="331" customFormat="1" ht="17" customHeight="1" spans="1:27">
      <c r="A3009" s="348"/>
      <c r="B3009" s="348" t="s">
        <v>315</v>
      </c>
      <c r="C3009" s="334" t="s">
        <v>230</v>
      </c>
      <c r="D3009" s="349" t="s">
        <v>162</v>
      </c>
      <c r="E3009" s="336">
        <v>43682</v>
      </c>
      <c r="F3009" s="336" t="s">
        <v>800</v>
      </c>
      <c r="G3009" s="336">
        <v>43681</v>
      </c>
      <c r="H3009" s="334" t="s">
        <v>7666</v>
      </c>
      <c r="I3009" s="356">
        <v>18217197535</v>
      </c>
      <c r="J3009" s="361" t="s">
        <v>7667</v>
      </c>
      <c r="K3009" s="356"/>
      <c r="L3009" s="334"/>
      <c r="M3009" s="334">
        <v>12000</v>
      </c>
      <c r="N3009" s="362">
        <f t="shared" si="108"/>
        <v>12000</v>
      </c>
      <c r="O3009" s="356"/>
      <c r="P3009" s="356"/>
      <c r="Q3009" s="356"/>
      <c r="R3009" s="356"/>
      <c r="S3009" s="356"/>
      <c r="T3009" s="356"/>
      <c r="U3009" s="372"/>
      <c r="V3009" s="372"/>
      <c r="W3009" s="372"/>
      <c r="X3009" s="373"/>
      <c r="Y3009" s="348"/>
      <c r="Z3009" s="348"/>
      <c r="AA3009" s="348"/>
    </row>
    <row r="3010" s="331" customFormat="1" ht="17" customHeight="1" spans="1:27">
      <c r="A3010" s="348"/>
      <c r="B3010" s="348" t="s">
        <v>73</v>
      </c>
      <c r="C3010" s="334" t="s">
        <v>178</v>
      </c>
      <c r="D3010" s="349" t="s">
        <v>89</v>
      </c>
      <c r="E3010" s="336">
        <v>43682</v>
      </c>
      <c r="F3010" s="336" t="s">
        <v>800</v>
      </c>
      <c r="G3010" s="336">
        <v>43682</v>
      </c>
      <c r="H3010" s="334" t="s">
        <v>7668</v>
      </c>
      <c r="I3010" s="356">
        <v>13701861887</v>
      </c>
      <c r="J3010" s="361" t="s">
        <v>7669</v>
      </c>
      <c r="K3010" s="356"/>
      <c r="L3010" s="419"/>
      <c r="M3010" s="334">
        <v>175</v>
      </c>
      <c r="N3010" s="362">
        <f t="shared" si="108"/>
        <v>175</v>
      </c>
      <c r="O3010" s="356"/>
      <c r="P3010" s="356"/>
      <c r="Q3010" s="356"/>
      <c r="R3010" s="356"/>
      <c r="S3010" s="356"/>
      <c r="T3010" s="356"/>
      <c r="U3010" s="372"/>
      <c r="V3010" s="372"/>
      <c r="W3010" s="372"/>
      <c r="X3010" s="373"/>
      <c r="Y3010" s="348"/>
      <c r="Z3010" s="348"/>
      <c r="AA3010" s="348"/>
    </row>
    <row r="3011" s="331" customFormat="1" ht="17" customHeight="1" spans="1:27">
      <c r="A3011" s="348"/>
      <c r="B3011" s="348" t="s">
        <v>31</v>
      </c>
      <c r="C3011" s="334" t="s">
        <v>220</v>
      </c>
      <c r="D3011" s="349" t="s">
        <v>33</v>
      </c>
      <c r="E3011" s="336">
        <v>43682</v>
      </c>
      <c r="F3011" s="336" t="s">
        <v>800</v>
      </c>
      <c r="G3011" s="336">
        <v>43681</v>
      </c>
      <c r="H3011" s="334" t="s">
        <v>7670</v>
      </c>
      <c r="I3011" s="356">
        <v>18621723323</v>
      </c>
      <c r="J3011" s="361" t="s">
        <v>7671</v>
      </c>
      <c r="K3011" s="356"/>
      <c r="L3011" s="419"/>
      <c r="M3011" s="334">
        <v>14523</v>
      </c>
      <c r="N3011" s="362">
        <f t="shared" si="108"/>
        <v>14523</v>
      </c>
      <c r="O3011" s="356"/>
      <c r="P3011" s="356"/>
      <c r="Q3011" s="356"/>
      <c r="R3011" s="356"/>
      <c r="S3011" s="356"/>
      <c r="T3011" s="356"/>
      <c r="U3011" s="372"/>
      <c r="V3011" s="372"/>
      <c r="W3011" s="372"/>
      <c r="X3011" s="373"/>
      <c r="Y3011" s="348"/>
      <c r="Z3011" s="348"/>
      <c r="AA3011" s="348"/>
    </row>
    <row r="3012" s="331" customFormat="1" ht="17" customHeight="1" spans="1:27">
      <c r="A3012" s="348"/>
      <c r="B3012" s="348" t="s">
        <v>236</v>
      </c>
      <c r="C3012" s="348" t="s">
        <v>703</v>
      </c>
      <c r="D3012" s="352" t="s">
        <v>125</v>
      </c>
      <c r="E3012" s="336">
        <v>43682</v>
      </c>
      <c r="F3012" s="336" t="s">
        <v>800</v>
      </c>
      <c r="G3012" s="336">
        <v>43681</v>
      </c>
      <c r="H3012" s="334" t="s">
        <v>6082</v>
      </c>
      <c r="I3012" s="356">
        <v>13917019132</v>
      </c>
      <c r="J3012" s="361" t="s">
        <v>6083</v>
      </c>
      <c r="K3012" s="356"/>
      <c r="L3012" s="419"/>
      <c r="M3012" s="334">
        <f>-536+536+70</f>
        <v>70</v>
      </c>
      <c r="N3012" s="362">
        <f t="shared" si="108"/>
        <v>70</v>
      </c>
      <c r="O3012" s="356"/>
      <c r="P3012" s="356"/>
      <c r="Q3012" s="356"/>
      <c r="R3012" s="356"/>
      <c r="S3012" s="356"/>
      <c r="T3012" s="356"/>
      <c r="U3012" s="372"/>
      <c r="V3012" s="372"/>
      <c r="W3012" s="372"/>
      <c r="X3012" s="373"/>
      <c r="Y3012" s="348"/>
      <c r="Z3012" s="348"/>
      <c r="AA3012" s="348"/>
    </row>
    <row r="3013" s="331" customFormat="1" ht="17" customHeight="1" spans="1:27">
      <c r="A3013" s="348"/>
      <c r="B3013" s="348" t="s">
        <v>335</v>
      </c>
      <c r="C3013" s="334" t="s">
        <v>615</v>
      </c>
      <c r="D3013" s="349" t="s">
        <v>337</v>
      </c>
      <c r="E3013" s="336">
        <v>43682</v>
      </c>
      <c r="F3013" s="336" t="s">
        <v>800</v>
      </c>
      <c r="G3013" s="336">
        <v>43679</v>
      </c>
      <c r="H3013" s="334" t="s">
        <v>7672</v>
      </c>
      <c r="I3013" s="356">
        <v>17621387878</v>
      </c>
      <c r="J3013" s="361" t="s">
        <v>7673</v>
      </c>
      <c r="K3013" s="356"/>
      <c r="L3013" s="419"/>
      <c r="M3013" s="334">
        <v>13000</v>
      </c>
      <c r="N3013" s="362">
        <f t="shared" si="108"/>
        <v>13000</v>
      </c>
      <c r="O3013" s="356"/>
      <c r="P3013" s="356"/>
      <c r="Q3013" s="356"/>
      <c r="R3013" s="356"/>
      <c r="S3013" s="356"/>
      <c r="T3013" s="356"/>
      <c r="U3013" s="372"/>
      <c r="V3013" s="372"/>
      <c r="W3013" s="372"/>
      <c r="X3013" s="373"/>
      <c r="Y3013" s="348"/>
      <c r="Z3013" s="348"/>
      <c r="AA3013" s="348"/>
    </row>
    <row r="3014" s="331" customFormat="1" ht="17" customHeight="1" spans="1:27">
      <c r="A3014" s="348"/>
      <c r="B3014" s="348" t="s">
        <v>169</v>
      </c>
      <c r="C3014" s="334" t="s">
        <v>542</v>
      </c>
      <c r="D3014" s="349" t="s">
        <v>89</v>
      </c>
      <c r="E3014" s="336">
        <v>43682</v>
      </c>
      <c r="F3014" s="336" t="s">
        <v>800</v>
      </c>
      <c r="G3014" s="336">
        <v>43681</v>
      </c>
      <c r="H3014" s="334" t="s">
        <v>7674</v>
      </c>
      <c r="I3014" s="356">
        <v>18918381001</v>
      </c>
      <c r="J3014" s="361" t="s">
        <v>7675</v>
      </c>
      <c r="K3014" s="356"/>
      <c r="L3014" s="419"/>
      <c r="M3014" s="334">
        <v>4068</v>
      </c>
      <c r="N3014" s="362">
        <f t="shared" si="108"/>
        <v>4068</v>
      </c>
      <c r="O3014" s="356"/>
      <c r="P3014" s="356"/>
      <c r="Q3014" s="356"/>
      <c r="R3014" s="356"/>
      <c r="S3014" s="356"/>
      <c r="T3014" s="356"/>
      <c r="U3014" s="372"/>
      <c r="V3014" s="372"/>
      <c r="W3014" s="372"/>
      <c r="X3014" s="373"/>
      <c r="Y3014" s="348"/>
      <c r="Z3014" s="348"/>
      <c r="AA3014" s="348"/>
    </row>
    <row r="3015" s="331" customFormat="1" ht="17" customHeight="1" spans="1:27">
      <c r="A3015" s="348"/>
      <c r="B3015" s="348" t="s">
        <v>137</v>
      </c>
      <c r="C3015" s="334" t="s">
        <v>861</v>
      </c>
      <c r="D3015" s="349" t="s">
        <v>427</v>
      </c>
      <c r="E3015" s="336">
        <v>43682</v>
      </c>
      <c r="F3015" s="336" t="s">
        <v>800</v>
      </c>
      <c r="G3015" s="336">
        <v>43680</v>
      </c>
      <c r="H3015" s="334" t="s">
        <v>7676</v>
      </c>
      <c r="I3015" s="356">
        <v>15117936327</v>
      </c>
      <c r="J3015" s="361" t="s">
        <v>7677</v>
      </c>
      <c r="K3015" s="356"/>
      <c r="L3015" s="419"/>
      <c r="M3015" s="334">
        <v>-18443</v>
      </c>
      <c r="N3015" s="362">
        <f t="shared" si="108"/>
        <v>-18443</v>
      </c>
      <c r="O3015" s="356"/>
      <c r="P3015" s="356"/>
      <c r="Q3015" s="356"/>
      <c r="R3015" s="356"/>
      <c r="S3015" s="356"/>
      <c r="T3015" s="356"/>
      <c r="U3015" s="372"/>
      <c r="V3015" s="372"/>
      <c r="W3015" s="372"/>
      <c r="X3015" s="373"/>
      <c r="Y3015" s="348"/>
      <c r="Z3015" s="348"/>
      <c r="AA3015" s="348"/>
    </row>
    <row r="3016" s="331" customFormat="1" ht="17" customHeight="1" spans="1:27">
      <c r="A3016" s="348"/>
      <c r="B3016" s="348" t="s">
        <v>137</v>
      </c>
      <c r="C3016" s="334" t="s">
        <v>861</v>
      </c>
      <c r="D3016" s="349" t="s">
        <v>89</v>
      </c>
      <c r="E3016" s="336">
        <v>43682</v>
      </c>
      <c r="F3016" s="336" t="s">
        <v>800</v>
      </c>
      <c r="G3016" s="336">
        <v>43680</v>
      </c>
      <c r="H3016" s="334" t="s">
        <v>7676</v>
      </c>
      <c r="I3016" s="356">
        <v>15117936327</v>
      </c>
      <c r="J3016" s="361" t="s">
        <v>7677</v>
      </c>
      <c r="K3016" s="356"/>
      <c r="L3016" s="419"/>
      <c r="M3016" s="334">
        <f>804+5724</f>
        <v>6528</v>
      </c>
      <c r="N3016" s="362">
        <f t="shared" si="108"/>
        <v>6528</v>
      </c>
      <c r="O3016" s="356"/>
      <c r="P3016" s="356"/>
      <c r="Q3016" s="356"/>
      <c r="R3016" s="356"/>
      <c r="S3016" s="356"/>
      <c r="T3016" s="356"/>
      <c r="U3016" s="372"/>
      <c r="V3016" s="372"/>
      <c r="W3016" s="372"/>
      <c r="X3016" s="373"/>
      <c r="Y3016" s="348"/>
      <c r="Z3016" s="348"/>
      <c r="AA3016" s="348"/>
    </row>
    <row r="3017" s="331" customFormat="1" ht="17" customHeight="1" spans="1:27">
      <c r="A3017" s="348"/>
      <c r="B3017" s="348" t="s">
        <v>58</v>
      </c>
      <c r="C3017" s="334" t="s">
        <v>109</v>
      </c>
      <c r="D3017" s="349" t="s">
        <v>75</v>
      </c>
      <c r="E3017" s="336">
        <v>43682</v>
      </c>
      <c r="F3017" s="336" t="s">
        <v>800</v>
      </c>
      <c r="G3017" s="336">
        <v>43680</v>
      </c>
      <c r="H3017" s="334" t="s">
        <v>7678</v>
      </c>
      <c r="I3017" s="356">
        <v>13681909498</v>
      </c>
      <c r="J3017" s="361" t="s">
        <v>7679</v>
      </c>
      <c r="K3017" s="356"/>
      <c r="L3017" s="419"/>
      <c r="M3017" s="334">
        <v>509</v>
      </c>
      <c r="N3017" s="362">
        <f t="shared" si="108"/>
        <v>509</v>
      </c>
      <c r="O3017" s="356"/>
      <c r="P3017" s="356"/>
      <c r="Q3017" s="356"/>
      <c r="R3017" s="356"/>
      <c r="S3017" s="356"/>
      <c r="T3017" s="356"/>
      <c r="U3017" s="372"/>
      <c r="V3017" s="372"/>
      <c r="W3017" s="372"/>
      <c r="X3017" s="373"/>
      <c r="Y3017" s="348"/>
      <c r="Z3017" s="348"/>
      <c r="AA3017" s="348"/>
    </row>
    <row r="3018" s="331" customFormat="1" ht="17" customHeight="1" spans="1:27">
      <c r="A3018" s="348"/>
      <c r="B3018" s="348" t="s">
        <v>169</v>
      </c>
      <c r="C3018" s="334" t="s">
        <v>634</v>
      </c>
      <c r="D3018" s="349" t="s">
        <v>635</v>
      </c>
      <c r="E3018" s="336">
        <v>43682</v>
      </c>
      <c r="F3018" s="336" t="s">
        <v>800</v>
      </c>
      <c r="G3018" s="336">
        <v>43682</v>
      </c>
      <c r="H3018" s="334" t="s">
        <v>7680</v>
      </c>
      <c r="I3018" s="356">
        <v>13817959314</v>
      </c>
      <c r="J3018" s="361" t="s">
        <v>7681</v>
      </c>
      <c r="K3018" s="356"/>
      <c r="L3018" s="419"/>
      <c r="M3018" s="334">
        <v>5179</v>
      </c>
      <c r="N3018" s="362">
        <f t="shared" si="108"/>
        <v>5179</v>
      </c>
      <c r="O3018" s="356"/>
      <c r="P3018" s="356"/>
      <c r="Q3018" s="356"/>
      <c r="R3018" s="356"/>
      <c r="S3018" s="356"/>
      <c r="T3018" s="356"/>
      <c r="U3018" s="372"/>
      <c r="V3018" s="372"/>
      <c r="W3018" s="372"/>
      <c r="X3018" s="373"/>
      <c r="Y3018" s="348"/>
      <c r="Z3018" s="348"/>
      <c r="AA3018" s="348"/>
    </row>
    <row r="3019" s="331" customFormat="1" ht="17" customHeight="1" spans="1:27">
      <c r="A3019" s="348"/>
      <c r="B3019" s="348" t="s">
        <v>31</v>
      </c>
      <c r="C3019" s="348" t="s">
        <v>251</v>
      </c>
      <c r="D3019" s="349" t="s">
        <v>33</v>
      </c>
      <c r="E3019" s="336">
        <v>43683</v>
      </c>
      <c r="F3019" s="336">
        <v>43682</v>
      </c>
      <c r="G3019" s="350">
        <v>43682</v>
      </c>
      <c r="H3019" s="334" t="s">
        <v>7682</v>
      </c>
      <c r="I3019" s="356">
        <v>13501612658</v>
      </c>
      <c r="J3019" s="361" t="s">
        <v>7683</v>
      </c>
      <c r="K3019" s="356">
        <v>1000</v>
      </c>
      <c r="L3019" s="334">
        <v>11157</v>
      </c>
      <c r="M3019" s="419"/>
      <c r="N3019" s="362">
        <f t="shared" ref="N3019:N3047" si="109">L3019+M3019</f>
        <v>11157</v>
      </c>
      <c r="O3019" s="356"/>
      <c r="P3019" s="356"/>
      <c r="Q3019" s="356"/>
      <c r="R3019" s="356"/>
      <c r="S3019" s="356"/>
      <c r="T3019" s="356"/>
      <c r="U3019" s="372"/>
      <c r="V3019" s="372"/>
      <c r="W3019" s="372"/>
      <c r="X3019" s="373"/>
      <c r="Y3019" s="348"/>
      <c r="Z3019" s="348"/>
      <c r="AA3019" s="348"/>
    </row>
    <row r="3020" s="331" customFormat="1" ht="17" customHeight="1" spans="1:27">
      <c r="A3020" s="550" t="s">
        <v>7684</v>
      </c>
      <c r="B3020" s="348" t="s">
        <v>315</v>
      </c>
      <c r="C3020" s="348" t="s">
        <v>181</v>
      </c>
      <c r="D3020" s="349" t="s">
        <v>162</v>
      </c>
      <c r="E3020" s="336">
        <v>43687</v>
      </c>
      <c r="F3020" s="336">
        <v>43682</v>
      </c>
      <c r="G3020" s="336">
        <v>43687</v>
      </c>
      <c r="H3020" s="334" t="s">
        <v>7685</v>
      </c>
      <c r="I3020" s="356">
        <v>13817029098</v>
      </c>
      <c r="J3020" s="361" t="s">
        <v>7686</v>
      </c>
      <c r="K3020" s="356">
        <v>1000</v>
      </c>
      <c r="L3020" s="334">
        <v>2700</v>
      </c>
      <c r="M3020" s="419"/>
      <c r="N3020" s="362">
        <f t="shared" si="109"/>
        <v>2700</v>
      </c>
      <c r="O3020" s="356"/>
      <c r="P3020" s="356"/>
      <c r="Q3020" s="356"/>
      <c r="R3020" s="356"/>
      <c r="S3020" s="356"/>
      <c r="T3020" s="356"/>
      <c r="U3020" s="372"/>
      <c r="V3020" s="372"/>
      <c r="W3020" s="372"/>
      <c r="X3020" s="373"/>
      <c r="Y3020" s="348"/>
      <c r="Z3020" s="348"/>
      <c r="AA3020" s="348"/>
    </row>
    <row r="3021" s="331" customFormat="1" ht="15" customHeight="1" spans="1:27">
      <c r="A3021" s="348"/>
      <c r="B3021" s="348" t="s">
        <v>405</v>
      </c>
      <c r="C3021" s="348" t="s">
        <v>1234</v>
      </c>
      <c r="D3021" s="352" t="s">
        <v>407</v>
      </c>
      <c r="E3021" s="336">
        <v>43721</v>
      </c>
      <c r="F3021" s="336">
        <v>43681</v>
      </c>
      <c r="G3021" s="336">
        <v>43715</v>
      </c>
      <c r="H3021" s="334" t="s">
        <v>7687</v>
      </c>
      <c r="I3021" s="356">
        <v>15610171120</v>
      </c>
      <c r="J3021" s="361" t="s">
        <v>7688</v>
      </c>
      <c r="K3021" s="356">
        <v>5000</v>
      </c>
      <c r="L3021" s="334">
        <f>10898-1472</f>
        <v>9426</v>
      </c>
      <c r="M3021" s="334">
        <v>1472</v>
      </c>
      <c r="N3021" s="362">
        <f t="shared" si="109"/>
        <v>10898</v>
      </c>
      <c r="O3021" s="356"/>
      <c r="P3021" s="356"/>
      <c r="Q3021" s="356"/>
      <c r="R3021" s="356"/>
      <c r="S3021" s="356" t="s">
        <v>52</v>
      </c>
      <c r="T3021" s="356"/>
      <c r="U3021" s="372"/>
      <c r="V3021" s="372"/>
      <c r="W3021" s="372"/>
      <c r="X3021" s="373"/>
      <c r="Y3021" s="348"/>
      <c r="Z3021" s="348"/>
      <c r="AA3021" s="348"/>
    </row>
    <row r="3022" s="331" customFormat="1" ht="17" customHeight="1" spans="1:27">
      <c r="A3022" s="550" t="s">
        <v>7689</v>
      </c>
      <c r="B3022" s="348" t="s">
        <v>66</v>
      </c>
      <c r="C3022" s="348" t="s">
        <v>1749</v>
      </c>
      <c r="D3022" s="352" t="s">
        <v>68</v>
      </c>
      <c r="E3022" s="336">
        <v>43690</v>
      </c>
      <c r="F3022" s="336">
        <v>43682</v>
      </c>
      <c r="G3022" s="336">
        <v>43690</v>
      </c>
      <c r="H3022" s="334" t="s">
        <v>7690</v>
      </c>
      <c r="I3022" s="356">
        <v>15921915926</v>
      </c>
      <c r="J3022" s="361" t="s">
        <v>7691</v>
      </c>
      <c r="K3022" s="356">
        <v>3000</v>
      </c>
      <c r="L3022" s="334">
        <f>4878-1399</f>
        <v>3479</v>
      </c>
      <c r="M3022" s="334">
        <v>1399</v>
      </c>
      <c r="N3022" s="362">
        <f t="shared" si="109"/>
        <v>4878</v>
      </c>
      <c r="O3022" s="356"/>
      <c r="P3022" s="356"/>
      <c r="Q3022" s="356"/>
      <c r="R3022" s="356"/>
      <c r="S3022" s="356"/>
      <c r="T3022" s="356"/>
      <c r="U3022" s="372"/>
      <c r="V3022" s="372"/>
      <c r="W3022" s="372"/>
      <c r="X3022" s="373"/>
      <c r="Y3022" s="348"/>
      <c r="Z3022" s="348"/>
      <c r="AA3022" s="348"/>
    </row>
    <row r="3023" s="331" customFormat="1" ht="17" customHeight="1" spans="1:27">
      <c r="A3023" s="550" t="s">
        <v>7692</v>
      </c>
      <c r="B3023" s="348" t="s">
        <v>153</v>
      </c>
      <c r="C3023" s="348" t="s">
        <v>302</v>
      </c>
      <c r="D3023" s="352" t="s">
        <v>155</v>
      </c>
      <c r="E3023" s="336">
        <v>43686</v>
      </c>
      <c r="F3023" s="336">
        <v>43682</v>
      </c>
      <c r="G3023" s="336">
        <v>43685</v>
      </c>
      <c r="H3023" s="334" t="s">
        <v>7693</v>
      </c>
      <c r="I3023" s="356">
        <v>17821480502</v>
      </c>
      <c r="J3023" s="361" t="s">
        <v>7694</v>
      </c>
      <c r="K3023" s="356">
        <v>1765</v>
      </c>
      <c r="L3023" s="334">
        <v>1765</v>
      </c>
      <c r="M3023" s="419"/>
      <c r="N3023" s="362">
        <f t="shared" si="109"/>
        <v>1765</v>
      </c>
      <c r="O3023" s="356"/>
      <c r="P3023" s="356"/>
      <c r="Q3023" s="356"/>
      <c r="R3023" s="356"/>
      <c r="S3023" s="356"/>
      <c r="T3023" s="356"/>
      <c r="U3023" s="372"/>
      <c r="V3023" s="372"/>
      <c r="W3023" s="372"/>
      <c r="X3023" s="373"/>
      <c r="Y3023" s="348"/>
      <c r="Z3023" s="348"/>
      <c r="AA3023" s="348"/>
    </row>
    <row r="3024" s="331" customFormat="1" ht="17" customHeight="1" spans="1:27">
      <c r="A3024" s="348">
        <v>2066216</v>
      </c>
      <c r="B3024" s="348" t="s">
        <v>243</v>
      </c>
      <c r="C3024" s="348" t="s">
        <v>304</v>
      </c>
      <c r="D3024" s="352" t="s">
        <v>49</v>
      </c>
      <c r="E3024" s="336">
        <v>43683</v>
      </c>
      <c r="F3024" s="336">
        <v>43683</v>
      </c>
      <c r="G3024" s="350">
        <v>43683</v>
      </c>
      <c r="H3024" s="334" t="s">
        <v>7695</v>
      </c>
      <c r="I3024" s="356">
        <v>13501836151</v>
      </c>
      <c r="J3024" s="361" t="s">
        <v>7696</v>
      </c>
      <c r="K3024" s="356">
        <v>3748</v>
      </c>
      <c r="L3024" s="334">
        <v>3748</v>
      </c>
      <c r="M3024" s="419"/>
      <c r="N3024" s="362">
        <f t="shared" si="109"/>
        <v>3748</v>
      </c>
      <c r="O3024" s="356"/>
      <c r="P3024" s="356"/>
      <c r="Q3024" s="356"/>
      <c r="R3024" s="356"/>
      <c r="S3024" s="356"/>
      <c r="T3024" s="356"/>
      <c r="U3024" s="372"/>
      <c r="V3024" s="372"/>
      <c r="W3024" s="372"/>
      <c r="X3024" s="373"/>
      <c r="Y3024" s="348"/>
      <c r="Z3024" s="348"/>
      <c r="AA3024" s="348"/>
    </row>
    <row r="3025" s="331" customFormat="1" ht="17" customHeight="1" spans="1:27">
      <c r="A3025" s="348">
        <v>2066951</v>
      </c>
      <c r="B3025" s="348" t="s">
        <v>335</v>
      </c>
      <c r="C3025" s="348" t="s">
        <v>399</v>
      </c>
      <c r="D3025" s="352" t="s">
        <v>337</v>
      </c>
      <c r="E3025" s="336">
        <v>43683</v>
      </c>
      <c r="F3025" s="336">
        <v>43681</v>
      </c>
      <c r="G3025" s="356" t="s">
        <v>400</v>
      </c>
      <c r="H3025" s="334" t="s">
        <v>7697</v>
      </c>
      <c r="I3025" s="356">
        <v>1381882997</v>
      </c>
      <c r="J3025" s="361" t="s">
        <v>7698</v>
      </c>
      <c r="K3025" s="356">
        <v>1000</v>
      </c>
      <c r="L3025" s="419"/>
      <c r="M3025" s="419"/>
      <c r="N3025" s="362">
        <f t="shared" si="109"/>
        <v>0</v>
      </c>
      <c r="O3025" s="356"/>
      <c r="P3025" s="356"/>
      <c r="Q3025" s="356"/>
      <c r="R3025" s="356"/>
      <c r="S3025" s="356"/>
      <c r="T3025" s="356"/>
      <c r="U3025" s="372"/>
      <c r="V3025" s="372"/>
      <c r="W3025" s="372"/>
      <c r="X3025" s="373"/>
      <c r="Y3025" s="348"/>
      <c r="Z3025" s="348"/>
      <c r="AA3025" s="348"/>
    </row>
    <row r="3026" s="331" customFormat="1" ht="17" customHeight="1" spans="1:27">
      <c r="A3026" s="550" t="s">
        <v>7699</v>
      </c>
      <c r="B3026" s="348" t="s">
        <v>31</v>
      </c>
      <c r="C3026" s="348" t="s">
        <v>220</v>
      </c>
      <c r="D3026" s="352" t="s">
        <v>221</v>
      </c>
      <c r="E3026" s="336">
        <v>43692</v>
      </c>
      <c r="F3026" s="336">
        <v>43683</v>
      </c>
      <c r="G3026" s="336">
        <v>43692</v>
      </c>
      <c r="H3026" s="334" t="s">
        <v>7700</v>
      </c>
      <c r="I3026" s="356">
        <v>15900804302</v>
      </c>
      <c r="J3026" s="361" t="s">
        <v>7701</v>
      </c>
      <c r="K3026" s="356">
        <v>1000</v>
      </c>
      <c r="L3026" s="334">
        <v>35606</v>
      </c>
      <c r="M3026" s="419"/>
      <c r="N3026" s="362">
        <f t="shared" si="109"/>
        <v>35606</v>
      </c>
      <c r="O3026" s="356"/>
      <c r="P3026" s="356"/>
      <c r="Q3026" s="356"/>
      <c r="R3026" s="356"/>
      <c r="S3026" s="356"/>
      <c r="T3026" s="356"/>
      <c r="U3026" s="372"/>
      <c r="V3026" s="372"/>
      <c r="W3026" s="372"/>
      <c r="X3026" s="373"/>
      <c r="Y3026" s="348"/>
      <c r="Z3026" s="348"/>
      <c r="AA3026" s="348"/>
    </row>
    <row r="3027" s="331" customFormat="1" ht="17" customHeight="1" spans="1:27">
      <c r="A3027" s="348">
        <v>2066215</v>
      </c>
      <c r="B3027" s="348" t="s">
        <v>243</v>
      </c>
      <c r="C3027" s="348" t="s">
        <v>309</v>
      </c>
      <c r="D3027" s="352" t="s">
        <v>49</v>
      </c>
      <c r="E3027" s="336">
        <v>43683</v>
      </c>
      <c r="F3027" s="336">
        <v>43683</v>
      </c>
      <c r="G3027" s="350"/>
      <c r="H3027" s="334" t="s">
        <v>362</v>
      </c>
      <c r="I3027" s="356">
        <v>17749706368</v>
      </c>
      <c r="J3027" s="361" t="s">
        <v>7702</v>
      </c>
      <c r="K3027" s="356">
        <v>1000</v>
      </c>
      <c r="L3027" s="419"/>
      <c r="M3027" s="419"/>
      <c r="N3027" s="362">
        <f t="shared" si="109"/>
        <v>0</v>
      </c>
      <c r="O3027" s="356" t="s">
        <v>52</v>
      </c>
      <c r="P3027" s="356"/>
      <c r="Q3027" s="356"/>
      <c r="R3027" s="356"/>
      <c r="S3027" s="356"/>
      <c r="T3027" s="356"/>
      <c r="U3027" s="356" t="s">
        <v>52</v>
      </c>
      <c r="V3027" s="372"/>
      <c r="W3027" s="372"/>
      <c r="X3027" s="373"/>
      <c r="Y3027" s="348"/>
      <c r="Z3027" s="348"/>
      <c r="AA3027" s="348"/>
    </row>
    <row r="3028" s="331" customFormat="1" ht="17" customHeight="1" spans="1:27">
      <c r="A3028" s="550" t="s">
        <v>7703</v>
      </c>
      <c r="B3028" s="348" t="s">
        <v>2625</v>
      </c>
      <c r="C3028" s="348" t="s">
        <v>2626</v>
      </c>
      <c r="D3028" s="349" t="s">
        <v>44</v>
      </c>
      <c r="E3028" s="336">
        <v>43688</v>
      </c>
      <c r="F3028" s="336">
        <v>43683</v>
      </c>
      <c r="G3028" s="336">
        <v>43688</v>
      </c>
      <c r="H3028" s="334" t="s">
        <v>7704</v>
      </c>
      <c r="I3028" s="356">
        <v>13761004842</v>
      </c>
      <c r="J3028" s="361" t="s">
        <v>7705</v>
      </c>
      <c r="K3028" s="356">
        <v>2000</v>
      </c>
      <c r="L3028" s="334">
        <v>38500</v>
      </c>
      <c r="M3028" s="419"/>
      <c r="N3028" s="362">
        <f t="shared" si="109"/>
        <v>38500</v>
      </c>
      <c r="O3028" s="356"/>
      <c r="P3028" s="356"/>
      <c r="Q3028" s="356"/>
      <c r="R3028" s="356"/>
      <c r="S3028" s="356"/>
      <c r="T3028" s="356"/>
      <c r="U3028" s="372"/>
      <c r="V3028" s="372"/>
      <c r="W3028" s="372"/>
      <c r="X3028" s="373"/>
      <c r="Y3028" s="348"/>
      <c r="Z3028" s="348"/>
      <c r="AA3028" s="348"/>
    </row>
    <row r="3029" s="331" customFormat="1" ht="17" customHeight="1" spans="1:27">
      <c r="A3029" s="348"/>
      <c r="B3029" s="348" t="s">
        <v>185</v>
      </c>
      <c r="C3029" s="348" t="s">
        <v>4146</v>
      </c>
      <c r="D3029" s="352" t="s">
        <v>187</v>
      </c>
      <c r="E3029" s="336">
        <v>43686</v>
      </c>
      <c r="F3029" s="336">
        <v>43683</v>
      </c>
      <c r="G3029" s="336">
        <v>43685</v>
      </c>
      <c r="H3029" s="336" t="s">
        <v>7706</v>
      </c>
      <c r="I3029" s="356">
        <v>13651827247</v>
      </c>
      <c r="J3029" s="361" t="s">
        <v>7707</v>
      </c>
      <c r="K3029" s="356">
        <v>4216</v>
      </c>
      <c r="L3029" s="334">
        <v>4416</v>
      </c>
      <c r="M3029" s="419"/>
      <c r="N3029" s="362">
        <f t="shared" si="109"/>
        <v>4416</v>
      </c>
      <c r="O3029" s="356"/>
      <c r="P3029" s="356"/>
      <c r="Q3029" s="356"/>
      <c r="R3029" s="356"/>
      <c r="S3029" s="356"/>
      <c r="T3029" s="356"/>
      <c r="U3029" s="372"/>
      <c r="V3029" s="372"/>
      <c r="W3029" s="372"/>
      <c r="X3029" s="373"/>
      <c r="Y3029" s="348"/>
      <c r="Z3029" s="348"/>
      <c r="AA3029" s="348"/>
    </row>
    <row r="3030" s="331" customFormat="1" ht="17" customHeight="1" spans="1:27">
      <c r="A3030" s="348"/>
      <c r="B3030" s="348" t="s">
        <v>281</v>
      </c>
      <c r="C3030" s="334" t="s">
        <v>517</v>
      </c>
      <c r="D3030" s="352" t="s">
        <v>49</v>
      </c>
      <c r="E3030" s="336">
        <v>43683</v>
      </c>
      <c r="F3030" s="336" t="s">
        <v>800</v>
      </c>
      <c r="G3030" s="336">
        <v>43680</v>
      </c>
      <c r="H3030" s="334" t="s">
        <v>7708</v>
      </c>
      <c r="I3030" s="356">
        <v>18019194206</v>
      </c>
      <c r="J3030" s="361" t="s">
        <v>7709</v>
      </c>
      <c r="K3030" s="356"/>
      <c r="L3030" s="419"/>
      <c r="M3030" s="334">
        <v>378</v>
      </c>
      <c r="N3030" s="362">
        <f t="shared" si="109"/>
        <v>378</v>
      </c>
      <c r="O3030" s="356"/>
      <c r="P3030" s="356"/>
      <c r="Q3030" s="356"/>
      <c r="R3030" s="356"/>
      <c r="S3030" s="356"/>
      <c r="T3030" s="356"/>
      <c r="U3030" s="372"/>
      <c r="V3030" s="372"/>
      <c r="W3030" s="372"/>
      <c r="X3030" s="373"/>
      <c r="Y3030" s="348"/>
      <c r="Z3030" s="348"/>
      <c r="AA3030" s="348"/>
    </row>
    <row r="3031" s="331" customFormat="1" ht="17" customHeight="1" spans="1:27">
      <c r="A3031" s="348"/>
      <c r="B3031" s="348" t="s">
        <v>315</v>
      </c>
      <c r="C3031" s="334" t="s">
        <v>161</v>
      </c>
      <c r="D3031" s="349" t="s">
        <v>162</v>
      </c>
      <c r="E3031" s="336">
        <v>43683</v>
      </c>
      <c r="F3031" s="336" t="s">
        <v>800</v>
      </c>
      <c r="G3031" s="336">
        <v>43680</v>
      </c>
      <c r="H3031" s="334" t="s">
        <v>7710</v>
      </c>
      <c r="I3031" s="356">
        <v>13501985268</v>
      </c>
      <c r="J3031" s="361" t="s">
        <v>7711</v>
      </c>
      <c r="K3031" s="356"/>
      <c r="L3031" s="419"/>
      <c r="M3031" s="334">
        <f>5758-4355</f>
        <v>1403</v>
      </c>
      <c r="N3031" s="362">
        <f t="shared" si="109"/>
        <v>1403</v>
      </c>
      <c r="O3031" s="356"/>
      <c r="P3031" s="356"/>
      <c r="Q3031" s="356"/>
      <c r="R3031" s="356"/>
      <c r="S3031" s="356"/>
      <c r="T3031" s="356"/>
      <c r="U3031" s="372"/>
      <c r="V3031" s="372"/>
      <c r="W3031" s="372"/>
      <c r="X3031" s="373"/>
      <c r="Y3031" s="348"/>
      <c r="Z3031" s="348"/>
      <c r="AA3031" s="348"/>
    </row>
    <row r="3032" s="331" customFormat="1" ht="17" customHeight="1" spans="1:27">
      <c r="A3032" s="348"/>
      <c r="B3032" s="348" t="s">
        <v>335</v>
      </c>
      <c r="C3032" s="334" t="s">
        <v>399</v>
      </c>
      <c r="D3032" s="349" t="s">
        <v>337</v>
      </c>
      <c r="E3032" s="336">
        <v>43683</v>
      </c>
      <c r="F3032" s="336" t="s">
        <v>800</v>
      </c>
      <c r="G3032" s="336">
        <v>43681</v>
      </c>
      <c r="H3032" s="334" t="s">
        <v>7712</v>
      </c>
      <c r="I3032" s="356">
        <v>17321237112</v>
      </c>
      <c r="J3032" s="361" t="s">
        <v>7713</v>
      </c>
      <c r="K3032" s="356"/>
      <c r="L3032" s="419"/>
      <c r="M3032" s="334">
        <v>224</v>
      </c>
      <c r="N3032" s="362">
        <f t="shared" si="109"/>
        <v>224</v>
      </c>
      <c r="O3032" s="356"/>
      <c r="P3032" s="356"/>
      <c r="Q3032" s="356"/>
      <c r="R3032" s="356"/>
      <c r="S3032" s="356"/>
      <c r="T3032" s="356"/>
      <c r="U3032" s="372"/>
      <c r="V3032" s="372"/>
      <c r="W3032" s="372"/>
      <c r="X3032" s="373"/>
      <c r="Y3032" s="348"/>
      <c r="Z3032" s="348"/>
      <c r="AA3032" s="348"/>
    </row>
    <row r="3033" s="331" customFormat="1" ht="17" customHeight="1" spans="1:27">
      <c r="A3033" s="348"/>
      <c r="B3033" s="348" t="s">
        <v>31</v>
      </c>
      <c r="C3033" s="348" t="s">
        <v>220</v>
      </c>
      <c r="D3033" s="349" t="s">
        <v>221</v>
      </c>
      <c r="E3033" s="336">
        <v>43683</v>
      </c>
      <c r="F3033" s="336" t="s">
        <v>800</v>
      </c>
      <c r="G3033" s="336">
        <v>43600</v>
      </c>
      <c r="H3033" s="334" t="s">
        <v>6828</v>
      </c>
      <c r="I3033" s="356">
        <v>18930556001</v>
      </c>
      <c r="J3033" s="361" t="s">
        <v>6829</v>
      </c>
      <c r="K3033" s="356"/>
      <c r="L3033" s="419"/>
      <c r="M3033" s="334">
        <v>-8949</v>
      </c>
      <c r="N3033" s="362">
        <f t="shared" si="109"/>
        <v>-8949</v>
      </c>
      <c r="O3033" s="356"/>
      <c r="P3033" s="356"/>
      <c r="Q3033" s="356"/>
      <c r="R3033" s="356"/>
      <c r="S3033" s="356"/>
      <c r="T3033" s="356"/>
      <c r="U3033" s="372"/>
      <c r="V3033" s="372"/>
      <c r="W3033" s="372"/>
      <c r="X3033" s="373"/>
      <c r="Y3033" s="348"/>
      <c r="Z3033" s="348"/>
      <c r="AA3033" s="348"/>
    </row>
    <row r="3034" s="331" customFormat="1" ht="17" customHeight="1" spans="1:27">
      <c r="A3034" s="348"/>
      <c r="B3034" s="348" t="s">
        <v>58</v>
      </c>
      <c r="C3034" s="334" t="s">
        <v>342</v>
      </c>
      <c r="D3034" s="349" t="s">
        <v>75</v>
      </c>
      <c r="E3034" s="336">
        <v>43683</v>
      </c>
      <c r="F3034" s="336" t="s">
        <v>800</v>
      </c>
      <c r="G3034" s="336">
        <v>43671</v>
      </c>
      <c r="H3034" s="334" t="s">
        <v>511</v>
      </c>
      <c r="I3034" s="356">
        <v>13916628487</v>
      </c>
      <c r="J3034" s="361" t="s">
        <v>7321</v>
      </c>
      <c r="K3034" s="356"/>
      <c r="L3034" s="419"/>
      <c r="M3034" s="334">
        <f>2*-623.5</f>
        <v>-1247</v>
      </c>
      <c r="N3034" s="362">
        <f t="shared" si="109"/>
        <v>-1247</v>
      </c>
      <c r="O3034" s="356"/>
      <c r="P3034" s="356"/>
      <c r="Q3034" s="356"/>
      <c r="R3034" s="356"/>
      <c r="S3034" s="356"/>
      <c r="T3034" s="356"/>
      <c r="U3034" s="372"/>
      <c r="V3034" s="372"/>
      <c r="W3034" s="372"/>
      <c r="X3034" s="373"/>
      <c r="Y3034" s="348"/>
      <c r="Z3034" s="348"/>
      <c r="AA3034" s="348"/>
    </row>
    <row r="3035" s="331" customFormat="1" ht="17" customHeight="1" spans="1:27">
      <c r="A3035" s="348"/>
      <c r="B3035" s="348" t="s">
        <v>169</v>
      </c>
      <c r="C3035" s="348" t="s">
        <v>542</v>
      </c>
      <c r="D3035" s="352" t="s">
        <v>171</v>
      </c>
      <c r="E3035" s="336">
        <v>43683</v>
      </c>
      <c r="F3035" s="336" t="s">
        <v>800</v>
      </c>
      <c r="G3035" s="336">
        <v>43682</v>
      </c>
      <c r="H3035" s="334" t="s">
        <v>7352</v>
      </c>
      <c r="I3035" s="356">
        <v>18616179393</v>
      </c>
      <c r="J3035" s="361" t="s">
        <v>7714</v>
      </c>
      <c r="K3035" s="356"/>
      <c r="L3035" s="419"/>
      <c r="M3035" s="334">
        <v>1537</v>
      </c>
      <c r="N3035" s="362">
        <f t="shared" si="109"/>
        <v>1537</v>
      </c>
      <c r="O3035" s="356"/>
      <c r="P3035" s="356"/>
      <c r="Q3035" s="356"/>
      <c r="R3035" s="356"/>
      <c r="S3035" s="356"/>
      <c r="T3035" s="356"/>
      <c r="U3035" s="372"/>
      <c r="V3035" s="372"/>
      <c r="W3035" s="372"/>
      <c r="X3035" s="373"/>
      <c r="Y3035" s="348"/>
      <c r="Z3035" s="348"/>
      <c r="AA3035" s="348"/>
    </row>
    <row r="3036" s="331" customFormat="1" ht="17" customHeight="1" spans="1:27">
      <c r="A3036" s="348"/>
      <c r="B3036" s="348" t="s">
        <v>66</v>
      </c>
      <c r="C3036" s="334" t="s">
        <v>505</v>
      </c>
      <c r="D3036" s="349" t="s">
        <v>143</v>
      </c>
      <c r="E3036" s="336">
        <v>43683</v>
      </c>
      <c r="F3036" s="336" t="s">
        <v>800</v>
      </c>
      <c r="G3036" s="336">
        <v>43682</v>
      </c>
      <c r="H3036" s="334" t="s">
        <v>7715</v>
      </c>
      <c r="I3036" s="356">
        <v>13501784093</v>
      </c>
      <c r="J3036" s="361" t="s">
        <v>7716</v>
      </c>
      <c r="K3036" s="356"/>
      <c r="L3036" s="419"/>
      <c r="M3036" s="334">
        <v>32160</v>
      </c>
      <c r="N3036" s="362">
        <f t="shared" si="109"/>
        <v>32160</v>
      </c>
      <c r="O3036" s="356"/>
      <c r="P3036" s="356"/>
      <c r="Q3036" s="356"/>
      <c r="R3036" s="356"/>
      <c r="S3036" s="356"/>
      <c r="T3036" s="356"/>
      <c r="U3036" s="372"/>
      <c r="V3036" s="372"/>
      <c r="W3036" s="372"/>
      <c r="X3036" s="373"/>
      <c r="Y3036" s="348"/>
      <c r="Z3036" s="348"/>
      <c r="AA3036" s="348"/>
    </row>
    <row r="3037" s="331" customFormat="1" ht="17" customHeight="1" spans="1:27">
      <c r="A3037" s="348"/>
      <c r="B3037" s="348" t="s">
        <v>169</v>
      </c>
      <c r="C3037" s="334" t="s">
        <v>542</v>
      </c>
      <c r="D3037" s="349" t="s">
        <v>171</v>
      </c>
      <c r="E3037" s="336">
        <v>43683</v>
      </c>
      <c r="F3037" s="336" t="s">
        <v>800</v>
      </c>
      <c r="G3037" s="336">
        <v>43682</v>
      </c>
      <c r="H3037" s="334" t="s">
        <v>3633</v>
      </c>
      <c r="I3037" s="356">
        <v>18301793117</v>
      </c>
      <c r="J3037" s="361" t="s">
        <v>7717</v>
      </c>
      <c r="K3037" s="356"/>
      <c r="L3037" s="419"/>
      <c r="M3037" s="334">
        <v>2325</v>
      </c>
      <c r="N3037" s="362">
        <f t="shared" si="109"/>
        <v>2325</v>
      </c>
      <c r="O3037" s="356"/>
      <c r="P3037" s="356"/>
      <c r="Q3037" s="356"/>
      <c r="R3037" s="356"/>
      <c r="S3037" s="356"/>
      <c r="T3037" s="356"/>
      <c r="U3037" s="372"/>
      <c r="V3037" s="372"/>
      <c r="W3037" s="372"/>
      <c r="X3037" s="373"/>
      <c r="Y3037" s="348"/>
      <c r="Z3037" s="348"/>
      <c r="AA3037" s="348"/>
    </row>
    <row r="3038" s="331" customFormat="1" ht="17" customHeight="1" spans="1:27">
      <c r="A3038" s="348"/>
      <c r="B3038" s="348" t="s">
        <v>42</v>
      </c>
      <c r="C3038" s="334" t="s">
        <v>43</v>
      </c>
      <c r="D3038" s="352" t="s">
        <v>125</v>
      </c>
      <c r="E3038" s="336">
        <v>43683</v>
      </c>
      <c r="F3038" s="336" t="s">
        <v>800</v>
      </c>
      <c r="G3038" s="336">
        <v>43682</v>
      </c>
      <c r="H3038" s="334" t="s">
        <v>4541</v>
      </c>
      <c r="I3038" s="356">
        <v>13501876308</v>
      </c>
      <c r="J3038" s="361" t="s">
        <v>4542</v>
      </c>
      <c r="K3038" s="356"/>
      <c r="L3038" s="419"/>
      <c r="M3038" s="334">
        <v>1700</v>
      </c>
      <c r="N3038" s="362">
        <f t="shared" si="109"/>
        <v>1700</v>
      </c>
      <c r="O3038" s="356"/>
      <c r="P3038" s="356"/>
      <c r="Q3038" s="356"/>
      <c r="R3038" s="356"/>
      <c r="S3038" s="356"/>
      <c r="T3038" s="356"/>
      <c r="U3038" s="372"/>
      <c r="V3038" s="372"/>
      <c r="W3038" s="372"/>
      <c r="X3038" s="373"/>
      <c r="Y3038" s="348"/>
      <c r="Z3038" s="348"/>
      <c r="AA3038" s="348"/>
    </row>
    <row r="3039" s="331" customFormat="1" ht="17" customHeight="1" spans="1:27">
      <c r="A3039" s="348"/>
      <c r="B3039" s="348" t="s">
        <v>137</v>
      </c>
      <c r="C3039" s="334" t="s">
        <v>138</v>
      </c>
      <c r="D3039" s="349" t="s">
        <v>427</v>
      </c>
      <c r="E3039" s="336">
        <v>43683</v>
      </c>
      <c r="F3039" s="336" t="s">
        <v>800</v>
      </c>
      <c r="G3039" s="336">
        <v>43682</v>
      </c>
      <c r="H3039" s="334" t="s">
        <v>4506</v>
      </c>
      <c r="I3039" s="356">
        <v>18917385088</v>
      </c>
      <c r="J3039" s="361" t="s">
        <v>7718</v>
      </c>
      <c r="K3039" s="356"/>
      <c r="L3039" s="419"/>
      <c r="M3039" s="334">
        <v>1438</v>
      </c>
      <c r="N3039" s="362">
        <f t="shared" si="109"/>
        <v>1438</v>
      </c>
      <c r="O3039" s="356"/>
      <c r="P3039" s="356"/>
      <c r="Q3039" s="356"/>
      <c r="R3039" s="356"/>
      <c r="S3039" s="356"/>
      <c r="T3039" s="356"/>
      <c r="U3039" s="372"/>
      <c r="V3039" s="372"/>
      <c r="W3039" s="372"/>
      <c r="X3039" s="373"/>
      <c r="Y3039" s="348"/>
      <c r="Z3039" s="348"/>
      <c r="AA3039" s="348"/>
    </row>
    <row r="3040" s="331" customFormat="1" ht="17" customHeight="1" spans="1:27">
      <c r="A3040" s="348"/>
      <c r="B3040" s="348" t="s">
        <v>137</v>
      </c>
      <c r="C3040" s="334" t="s">
        <v>138</v>
      </c>
      <c r="D3040" s="349" t="s">
        <v>427</v>
      </c>
      <c r="E3040" s="336">
        <v>43683</v>
      </c>
      <c r="F3040" s="336" t="s">
        <v>800</v>
      </c>
      <c r="G3040" s="336">
        <v>43682</v>
      </c>
      <c r="H3040" s="334" t="s">
        <v>4500</v>
      </c>
      <c r="I3040" s="356">
        <v>13918085088</v>
      </c>
      <c r="J3040" s="361" t="s">
        <v>7719</v>
      </c>
      <c r="K3040" s="356"/>
      <c r="L3040" s="419"/>
      <c r="M3040" s="334">
        <v>5667</v>
      </c>
      <c r="N3040" s="362">
        <f t="shared" si="109"/>
        <v>5667</v>
      </c>
      <c r="O3040" s="356"/>
      <c r="P3040" s="356"/>
      <c r="Q3040" s="356"/>
      <c r="R3040" s="356"/>
      <c r="S3040" s="356"/>
      <c r="T3040" s="356"/>
      <c r="U3040" s="372"/>
      <c r="V3040" s="372"/>
      <c r="W3040" s="372"/>
      <c r="X3040" s="373"/>
      <c r="Y3040" s="348"/>
      <c r="Z3040" s="348"/>
      <c r="AA3040" s="348"/>
    </row>
    <row r="3041" s="331" customFormat="1" ht="17" customHeight="1" spans="1:27">
      <c r="A3041" s="348"/>
      <c r="B3041" s="348" t="s">
        <v>66</v>
      </c>
      <c r="C3041" s="334" t="s">
        <v>951</v>
      </c>
      <c r="D3041" s="349" t="s">
        <v>68</v>
      </c>
      <c r="E3041" s="336">
        <v>43683</v>
      </c>
      <c r="F3041" s="336" t="s">
        <v>800</v>
      </c>
      <c r="G3041" s="336">
        <v>43683</v>
      </c>
      <c r="H3041" s="334" t="s">
        <v>4183</v>
      </c>
      <c r="I3041" s="356">
        <v>13501804030</v>
      </c>
      <c r="J3041" s="361" t="s">
        <v>7720</v>
      </c>
      <c r="K3041" s="356"/>
      <c r="L3041" s="419"/>
      <c r="M3041" s="334">
        <v>124</v>
      </c>
      <c r="N3041" s="362">
        <f t="shared" si="109"/>
        <v>124</v>
      </c>
      <c r="O3041" s="356"/>
      <c r="P3041" s="356"/>
      <c r="Q3041" s="356"/>
      <c r="R3041" s="356"/>
      <c r="S3041" s="356"/>
      <c r="T3041" s="356"/>
      <c r="U3041" s="372"/>
      <c r="V3041" s="372"/>
      <c r="W3041" s="372"/>
      <c r="X3041" s="373"/>
      <c r="Y3041" s="348"/>
      <c r="Z3041" s="348"/>
      <c r="AA3041" s="348"/>
    </row>
    <row r="3042" s="331" customFormat="1" ht="17" customHeight="1" spans="1:27">
      <c r="A3042" s="348"/>
      <c r="B3042" s="348" t="s">
        <v>315</v>
      </c>
      <c r="C3042" s="334" t="s">
        <v>275</v>
      </c>
      <c r="D3042" s="349" t="s">
        <v>132</v>
      </c>
      <c r="E3042" s="336">
        <v>43683</v>
      </c>
      <c r="F3042" s="336" t="s">
        <v>800</v>
      </c>
      <c r="G3042" s="336">
        <v>43683</v>
      </c>
      <c r="H3042" s="334" t="s">
        <v>7721</v>
      </c>
      <c r="I3042" s="356">
        <v>13916495660</v>
      </c>
      <c r="J3042" s="361" t="s">
        <v>7722</v>
      </c>
      <c r="K3042" s="356"/>
      <c r="L3042" s="419"/>
      <c r="M3042" s="334">
        <v>124</v>
      </c>
      <c r="N3042" s="362">
        <f t="shared" si="109"/>
        <v>124</v>
      </c>
      <c r="O3042" s="356"/>
      <c r="P3042" s="356"/>
      <c r="Q3042" s="356"/>
      <c r="R3042" s="356"/>
      <c r="S3042" s="356"/>
      <c r="T3042" s="356"/>
      <c r="U3042" s="372"/>
      <c r="V3042" s="372"/>
      <c r="W3042" s="372"/>
      <c r="X3042" s="373"/>
      <c r="Y3042" s="348"/>
      <c r="Z3042" s="348"/>
      <c r="AA3042" s="348"/>
    </row>
    <row r="3043" s="331" customFormat="1" ht="17" customHeight="1" spans="1:27">
      <c r="A3043" s="348"/>
      <c r="B3043" s="348" t="s">
        <v>73</v>
      </c>
      <c r="C3043" s="334" t="s">
        <v>74</v>
      </c>
      <c r="D3043" s="349" t="s">
        <v>717</v>
      </c>
      <c r="E3043" s="336">
        <v>43683</v>
      </c>
      <c r="F3043" s="336" t="s">
        <v>800</v>
      </c>
      <c r="G3043" s="336">
        <v>43683</v>
      </c>
      <c r="H3043" s="334" t="s">
        <v>7723</v>
      </c>
      <c r="I3043" s="356">
        <v>13764122333</v>
      </c>
      <c r="J3043" s="361" t="s">
        <v>7724</v>
      </c>
      <c r="K3043" s="356"/>
      <c r="L3043" s="419"/>
      <c r="M3043" s="334">
        <v>247</v>
      </c>
      <c r="N3043" s="362">
        <f t="shared" si="109"/>
        <v>247</v>
      </c>
      <c r="O3043" s="356"/>
      <c r="P3043" s="356"/>
      <c r="Q3043" s="356"/>
      <c r="R3043" s="356"/>
      <c r="S3043" s="356"/>
      <c r="T3043" s="356"/>
      <c r="U3043" s="372"/>
      <c r="V3043" s="372"/>
      <c r="W3043" s="372"/>
      <c r="X3043" s="373"/>
      <c r="Y3043" s="348"/>
      <c r="Z3043" s="348"/>
      <c r="AA3043" s="348"/>
    </row>
    <row r="3044" s="331" customFormat="1" ht="17" customHeight="1" spans="1:27">
      <c r="A3044" s="348"/>
      <c r="B3044" s="348" t="s">
        <v>73</v>
      </c>
      <c r="C3044" s="334" t="s">
        <v>178</v>
      </c>
      <c r="D3044" s="349" t="s">
        <v>132</v>
      </c>
      <c r="E3044" s="336">
        <v>43683</v>
      </c>
      <c r="F3044" s="336" t="s">
        <v>800</v>
      </c>
      <c r="G3044" s="336">
        <v>43683</v>
      </c>
      <c r="H3044" s="334" t="s">
        <v>7725</v>
      </c>
      <c r="I3044" s="356">
        <v>13816679588</v>
      </c>
      <c r="J3044" s="361" t="s">
        <v>7726</v>
      </c>
      <c r="K3044" s="356"/>
      <c r="L3044" s="419"/>
      <c r="M3044" s="334">
        <v>1191</v>
      </c>
      <c r="N3044" s="362">
        <f t="shared" si="109"/>
        <v>1191</v>
      </c>
      <c r="O3044" s="356"/>
      <c r="P3044" s="356"/>
      <c r="Q3044" s="356"/>
      <c r="R3044" s="356"/>
      <c r="S3044" s="356"/>
      <c r="T3044" s="356"/>
      <c r="U3044" s="372"/>
      <c r="V3044" s="372"/>
      <c r="W3044" s="372"/>
      <c r="X3044" s="373"/>
      <c r="Y3044" s="348"/>
      <c r="Z3044" s="348"/>
      <c r="AA3044" s="348"/>
    </row>
    <row r="3045" s="331" customFormat="1" ht="17" customHeight="1" spans="1:27">
      <c r="A3045" s="348"/>
      <c r="B3045" s="348" t="s">
        <v>315</v>
      </c>
      <c r="C3045" s="334" t="s">
        <v>161</v>
      </c>
      <c r="D3045" s="349" t="s">
        <v>89</v>
      </c>
      <c r="E3045" s="336">
        <v>43683</v>
      </c>
      <c r="F3045" s="336" t="s">
        <v>800</v>
      </c>
      <c r="G3045" s="336">
        <v>43683</v>
      </c>
      <c r="H3045" s="334" t="s">
        <v>7727</v>
      </c>
      <c r="I3045" s="356">
        <v>18660559559</v>
      </c>
      <c r="J3045" s="361" t="s">
        <v>7728</v>
      </c>
      <c r="K3045" s="356"/>
      <c r="L3045" s="419"/>
      <c r="M3045" s="334">
        <v>8603</v>
      </c>
      <c r="N3045" s="362">
        <f t="shared" si="109"/>
        <v>8603</v>
      </c>
      <c r="O3045" s="356"/>
      <c r="P3045" s="356"/>
      <c r="Q3045" s="356"/>
      <c r="R3045" s="356"/>
      <c r="S3045" s="356"/>
      <c r="T3045" s="356"/>
      <c r="U3045" s="372"/>
      <c r="V3045" s="372"/>
      <c r="W3045" s="372"/>
      <c r="X3045" s="373"/>
      <c r="Y3045" s="348"/>
      <c r="Z3045" s="348"/>
      <c r="AA3045" s="348"/>
    </row>
    <row r="3046" s="331" customFormat="1" ht="17" customHeight="1" spans="1:27">
      <c r="A3046" s="348"/>
      <c r="B3046" s="348" t="s">
        <v>359</v>
      </c>
      <c r="C3046" s="334" t="s">
        <v>5184</v>
      </c>
      <c r="D3046" s="349" t="s">
        <v>361</v>
      </c>
      <c r="E3046" s="336">
        <v>43683</v>
      </c>
      <c r="F3046" s="336" t="s">
        <v>800</v>
      </c>
      <c r="G3046" s="336">
        <v>43683</v>
      </c>
      <c r="H3046" s="334" t="s">
        <v>7729</v>
      </c>
      <c r="I3046" s="356">
        <v>13761016280</v>
      </c>
      <c r="J3046" s="361" t="s">
        <v>7730</v>
      </c>
      <c r="K3046" s="356"/>
      <c r="L3046" s="419"/>
      <c r="M3046" s="334">
        <v>2299</v>
      </c>
      <c r="N3046" s="362">
        <f t="shared" si="109"/>
        <v>2299</v>
      </c>
      <c r="O3046" s="356"/>
      <c r="P3046" s="356"/>
      <c r="Q3046" s="356"/>
      <c r="R3046" s="356"/>
      <c r="S3046" s="356"/>
      <c r="T3046" s="356"/>
      <c r="U3046" s="372"/>
      <c r="V3046" s="372"/>
      <c r="W3046" s="372"/>
      <c r="X3046" s="373"/>
      <c r="Y3046" s="348"/>
      <c r="Z3046" s="348"/>
      <c r="AA3046" s="348"/>
    </row>
    <row r="3047" s="331" customFormat="1" ht="17" customHeight="1" spans="1:27">
      <c r="A3047" s="348"/>
      <c r="B3047" s="348" t="s">
        <v>31</v>
      </c>
      <c r="C3047" s="334" t="s">
        <v>32</v>
      </c>
      <c r="D3047" s="349" t="s">
        <v>33</v>
      </c>
      <c r="E3047" s="336">
        <v>43683</v>
      </c>
      <c r="F3047" s="336" t="s">
        <v>800</v>
      </c>
      <c r="G3047" s="336">
        <v>43683</v>
      </c>
      <c r="H3047" s="334" t="s">
        <v>6295</v>
      </c>
      <c r="I3047" s="356">
        <v>13916875641</v>
      </c>
      <c r="J3047" s="361" t="s">
        <v>1955</v>
      </c>
      <c r="K3047" s="356"/>
      <c r="L3047" s="419"/>
      <c r="M3047" s="334">
        <v>-2665</v>
      </c>
      <c r="N3047" s="362">
        <f t="shared" si="109"/>
        <v>-2665</v>
      </c>
      <c r="O3047" s="356"/>
      <c r="P3047" s="356"/>
      <c r="Q3047" s="356"/>
      <c r="R3047" s="356"/>
      <c r="S3047" s="356"/>
      <c r="T3047" s="356"/>
      <c r="U3047" s="372"/>
      <c r="V3047" s="372"/>
      <c r="W3047" s="372"/>
      <c r="X3047" s="373"/>
      <c r="Y3047" s="348"/>
      <c r="Z3047" s="348"/>
      <c r="AA3047" s="348"/>
    </row>
    <row r="3048" s="331" customFormat="1" ht="17" customHeight="1" spans="1:27">
      <c r="A3048" s="550" t="s">
        <v>7731</v>
      </c>
      <c r="B3048" s="348" t="s">
        <v>315</v>
      </c>
      <c r="C3048" s="348" t="s">
        <v>181</v>
      </c>
      <c r="D3048" s="349" t="s">
        <v>162</v>
      </c>
      <c r="E3048" s="336">
        <v>43687</v>
      </c>
      <c r="F3048" s="336">
        <v>43683</v>
      </c>
      <c r="G3048" s="336">
        <v>43687</v>
      </c>
      <c r="H3048" s="334" t="s">
        <v>7732</v>
      </c>
      <c r="I3048" s="356">
        <v>1374924374</v>
      </c>
      <c r="J3048" s="361" t="s">
        <v>7733</v>
      </c>
      <c r="K3048" s="356">
        <v>1000</v>
      </c>
      <c r="L3048" s="334">
        <v>8809</v>
      </c>
      <c r="M3048" s="334">
        <v>1472</v>
      </c>
      <c r="N3048" s="362">
        <f t="shared" ref="N3048:N3066" si="110">L3048+M3048</f>
        <v>10281</v>
      </c>
      <c r="O3048" s="356"/>
      <c r="P3048" s="356"/>
      <c r="Q3048" s="356"/>
      <c r="R3048" s="356"/>
      <c r="S3048" s="356"/>
      <c r="T3048" s="356"/>
      <c r="U3048" s="372"/>
      <c r="V3048" s="372"/>
      <c r="W3048" s="372"/>
      <c r="X3048" s="373"/>
      <c r="Y3048" s="348"/>
      <c r="Z3048" s="348"/>
      <c r="AA3048" s="348"/>
    </row>
    <row r="3049" s="331" customFormat="1" ht="17" customHeight="1" spans="1:27">
      <c r="A3049" s="550" t="s">
        <v>7734</v>
      </c>
      <c r="B3049" s="348" t="s">
        <v>315</v>
      </c>
      <c r="C3049" s="348" t="s">
        <v>722</v>
      </c>
      <c r="D3049" s="349" t="s">
        <v>132</v>
      </c>
      <c r="E3049" s="336">
        <v>43684</v>
      </c>
      <c r="F3049" s="336">
        <v>43683</v>
      </c>
      <c r="G3049" s="350"/>
      <c r="H3049" s="334" t="s">
        <v>7735</v>
      </c>
      <c r="I3049" s="356">
        <v>13524647626</v>
      </c>
      <c r="J3049" s="361" t="s">
        <v>7736</v>
      </c>
      <c r="K3049" s="356">
        <v>1000</v>
      </c>
      <c r="L3049" s="419"/>
      <c r="M3049" s="419"/>
      <c r="N3049" s="362">
        <f t="shared" si="110"/>
        <v>0</v>
      </c>
      <c r="O3049" s="356">
        <v>1</v>
      </c>
      <c r="P3049" s="356"/>
      <c r="Q3049" s="356"/>
      <c r="R3049" s="356"/>
      <c r="S3049" s="356"/>
      <c r="T3049" s="356"/>
      <c r="U3049" s="400" t="s">
        <v>7737</v>
      </c>
      <c r="V3049" s="372"/>
      <c r="W3049" s="372"/>
      <c r="X3049" s="373"/>
      <c r="Y3049" s="348"/>
      <c r="Z3049" s="348"/>
      <c r="AA3049" s="348"/>
    </row>
    <row r="3050" s="331" customFormat="1" ht="17" customHeight="1" spans="1:27">
      <c r="A3050" s="550" t="s">
        <v>7738</v>
      </c>
      <c r="B3050" s="348" t="s">
        <v>315</v>
      </c>
      <c r="C3050" s="348" t="s">
        <v>161</v>
      </c>
      <c r="D3050" s="352" t="s">
        <v>162</v>
      </c>
      <c r="E3050" s="336">
        <v>43684</v>
      </c>
      <c r="F3050" s="336">
        <v>43677</v>
      </c>
      <c r="G3050" s="350"/>
      <c r="H3050" s="334" t="s">
        <v>7739</v>
      </c>
      <c r="I3050" s="356">
        <v>13262261109</v>
      </c>
      <c r="J3050" s="361" t="s">
        <v>7740</v>
      </c>
      <c r="K3050" s="356">
        <v>1</v>
      </c>
      <c r="L3050" s="419"/>
      <c r="M3050" s="419"/>
      <c r="N3050" s="362">
        <f t="shared" si="110"/>
        <v>0</v>
      </c>
      <c r="O3050" s="356"/>
      <c r="P3050" s="356"/>
      <c r="Q3050" s="356">
        <v>1</v>
      </c>
      <c r="R3050" s="356"/>
      <c r="S3050" s="356"/>
      <c r="T3050" s="356"/>
      <c r="U3050" s="372" t="s">
        <v>269</v>
      </c>
      <c r="V3050" s="372"/>
      <c r="W3050" s="372"/>
      <c r="X3050" s="373"/>
      <c r="Y3050" s="348"/>
      <c r="Z3050" s="348"/>
      <c r="AA3050" s="348"/>
    </row>
    <row r="3051" s="331" customFormat="1" ht="17" customHeight="1" spans="1:27">
      <c r="A3051" s="348"/>
      <c r="B3051" s="348" t="s">
        <v>169</v>
      </c>
      <c r="C3051" s="348" t="s">
        <v>542</v>
      </c>
      <c r="D3051" s="352" t="s">
        <v>171</v>
      </c>
      <c r="E3051" s="336">
        <v>43759</v>
      </c>
      <c r="F3051" s="336">
        <v>43684</v>
      </c>
      <c r="G3051" s="336">
        <v>43758</v>
      </c>
      <c r="H3051" s="334" t="s">
        <v>7741</v>
      </c>
      <c r="I3051" s="356">
        <v>18721958903</v>
      </c>
      <c r="J3051" s="361" t="s">
        <v>7742</v>
      </c>
      <c r="K3051" s="356">
        <v>1000</v>
      </c>
      <c r="L3051" s="334">
        <v>4676</v>
      </c>
      <c r="M3051" s="419"/>
      <c r="N3051" s="362">
        <f t="shared" si="110"/>
        <v>4676</v>
      </c>
      <c r="O3051" s="356" t="s">
        <v>19</v>
      </c>
      <c r="P3051" s="356"/>
      <c r="Q3051" s="356"/>
      <c r="R3051" s="356"/>
      <c r="S3051" s="356"/>
      <c r="T3051" s="356"/>
      <c r="U3051" s="372"/>
      <c r="V3051" s="372"/>
      <c r="W3051" s="372"/>
      <c r="X3051" s="373"/>
      <c r="Y3051" s="348"/>
      <c r="Z3051" s="348"/>
      <c r="AA3051" s="348"/>
    </row>
    <row r="3052" s="331" customFormat="1" ht="17" customHeight="1" spans="1:27">
      <c r="A3052" s="550" t="s">
        <v>7743</v>
      </c>
      <c r="B3052" s="348" t="s">
        <v>31</v>
      </c>
      <c r="C3052" s="348" t="s">
        <v>220</v>
      </c>
      <c r="D3052" s="349" t="s">
        <v>33</v>
      </c>
      <c r="E3052" s="336">
        <v>43692</v>
      </c>
      <c r="F3052" s="336">
        <v>43684</v>
      </c>
      <c r="G3052" s="336">
        <v>43685</v>
      </c>
      <c r="H3052" s="334" t="s">
        <v>7744</v>
      </c>
      <c r="I3052" s="356">
        <v>13390647158</v>
      </c>
      <c r="J3052" s="361" t="s">
        <v>7745</v>
      </c>
      <c r="K3052" s="356">
        <v>1000</v>
      </c>
      <c r="L3052" s="334">
        <v>8638</v>
      </c>
      <c r="M3052" s="419"/>
      <c r="N3052" s="362">
        <f t="shared" si="110"/>
        <v>8638</v>
      </c>
      <c r="O3052" s="356"/>
      <c r="P3052" s="356"/>
      <c r="Q3052" s="356"/>
      <c r="R3052" s="356"/>
      <c r="S3052" s="356"/>
      <c r="T3052" s="356"/>
      <c r="U3052" s="372"/>
      <c r="V3052" s="372"/>
      <c r="W3052" s="372"/>
      <c r="X3052" s="373"/>
      <c r="Y3052" s="348"/>
      <c r="Z3052" s="348"/>
      <c r="AA3052" s="348"/>
    </row>
    <row r="3053" s="331" customFormat="1" ht="17" customHeight="1" spans="1:27">
      <c r="A3053" s="348"/>
      <c r="B3053" s="348" t="s">
        <v>31</v>
      </c>
      <c r="C3053" s="348" t="s">
        <v>220</v>
      </c>
      <c r="D3053" s="334" t="s">
        <v>33</v>
      </c>
      <c r="E3053" s="336">
        <v>43717</v>
      </c>
      <c r="F3053" s="336">
        <v>43684</v>
      </c>
      <c r="G3053" s="336">
        <v>43717</v>
      </c>
      <c r="H3053" s="334" t="s">
        <v>7746</v>
      </c>
      <c r="I3053" s="356">
        <v>13916529630</v>
      </c>
      <c r="J3053" s="361" t="s">
        <v>7747</v>
      </c>
      <c r="K3053" s="356">
        <v>1000</v>
      </c>
      <c r="L3053" s="334">
        <v>8006</v>
      </c>
      <c r="M3053" s="419"/>
      <c r="N3053" s="362">
        <f t="shared" si="110"/>
        <v>8006</v>
      </c>
      <c r="O3053" s="356"/>
      <c r="P3053" s="356"/>
      <c r="Q3053" s="366" t="s">
        <v>52</v>
      </c>
      <c r="R3053" s="356"/>
      <c r="S3053" s="356"/>
      <c r="T3053" s="356"/>
      <c r="U3053" s="372"/>
      <c r="V3053" s="372"/>
      <c r="W3053" s="372"/>
      <c r="X3053" s="373"/>
      <c r="Y3053" s="348"/>
      <c r="Z3053" s="348"/>
      <c r="AA3053" s="348"/>
    </row>
    <row r="3054" s="331" customFormat="1" ht="17" customHeight="1" spans="1:27">
      <c r="A3054" s="550" t="s">
        <v>7748</v>
      </c>
      <c r="B3054" s="348" t="s">
        <v>281</v>
      </c>
      <c r="C3054" s="348" t="s">
        <v>491</v>
      </c>
      <c r="D3054" s="334" t="s">
        <v>518</v>
      </c>
      <c r="E3054" s="336">
        <v>43723</v>
      </c>
      <c r="F3054" s="336">
        <v>43684</v>
      </c>
      <c r="G3054" s="336">
        <v>43723</v>
      </c>
      <c r="H3054" s="334" t="s">
        <v>7749</v>
      </c>
      <c r="I3054" s="356">
        <v>18201644174</v>
      </c>
      <c r="J3054" s="361" t="s">
        <v>7750</v>
      </c>
      <c r="K3054" s="356">
        <v>1000</v>
      </c>
      <c r="L3054" s="334">
        <v>17500</v>
      </c>
      <c r="M3054" s="419"/>
      <c r="N3054" s="362">
        <f t="shared" si="110"/>
        <v>17500</v>
      </c>
      <c r="O3054" s="356"/>
      <c r="P3054" s="356"/>
      <c r="Q3054" s="356"/>
      <c r="R3054" s="356"/>
      <c r="S3054" s="356"/>
      <c r="T3054" s="356"/>
      <c r="U3054" s="372"/>
      <c r="V3054" s="372"/>
      <c r="W3054" s="372"/>
      <c r="X3054" s="373"/>
      <c r="Y3054" s="348"/>
      <c r="Z3054" s="348"/>
      <c r="AA3054" s="348"/>
    </row>
    <row r="3055" s="331" customFormat="1" ht="17" customHeight="1" spans="1:27">
      <c r="A3055" s="348"/>
      <c r="B3055" s="348" t="s">
        <v>281</v>
      </c>
      <c r="C3055" s="348" t="s">
        <v>491</v>
      </c>
      <c r="D3055" s="334" t="s">
        <v>518</v>
      </c>
      <c r="E3055" s="336">
        <v>43712</v>
      </c>
      <c r="F3055" s="336">
        <v>43684</v>
      </c>
      <c r="G3055" s="336">
        <v>43712</v>
      </c>
      <c r="H3055" s="334" t="s">
        <v>7751</v>
      </c>
      <c r="I3055" s="356">
        <v>18616345949</v>
      </c>
      <c r="J3055" s="361" t="s">
        <v>7752</v>
      </c>
      <c r="K3055" s="356">
        <v>1000</v>
      </c>
      <c r="L3055" s="334">
        <f>14587-1340</f>
        <v>13247</v>
      </c>
      <c r="M3055" s="334">
        <v>1340</v>
      </c>
      <c r="N3055" s="362">
        <f t="shared" si="110"/>
        <v>14587</v>
      </c>
      <c r="O3055" s="356"/>
      <c r="P3055" s="356"/>
      <c r="Q3055" s="356"/>
      <c r="R3055" s="356"/>
      <c r="S3055" s="356"/>
      <c r="T3055" s="356"/>
      <c r="U3055" s="372"/>
      <c r="V3055" s="372"/>
      <c r="W3055" s="372"/>
      <c r="X3055" s="373"/>
      <c r="Y3055" s="348"/>
      <c r="Z3055" s="348"/>
      <c r="AA3055" s="348"/>
    </row>
    <row r="3056" s="331" customFormat="1" ht="17" customHeight="1" spans="1:27">
      <c r="A3056" s="550" t="s">
        <v>7753</v>
      </c>
      <c r="B3056" s="348" t="s">
        <v>315</v>
      </c>
      <c r="C3056" s="348" t="s">
        <v>161</v>
      </c>
      <c r="D3056" s="352" t="s">
        <v>162</v>
      </c>
      <c r="E3056" s="336">
        <v>43705</v>
      </c>
      <c r="F3056" s="336">
        <v>43684</v>
      </c>
      <c r="G3056" s="336">
        <v>43705</v>
      </c>
      <c r="H3056" s="334" t="s">
        <v>7754</v>
      </c>
      <c r="I3056" s="356">
        <v>18017311110</v>
      </c>
      <c r="J3056" s="361" t="s">
        <v>7755</v>
      </c>
      <c r="K3056" s="356">
        <v>3199</v>
      </c>
      <c r="L3056" s="334">
        <v>36667</v>
      </c>
      <c r="M3056" s="419"/>
      <c r="N3056" s="362">
        <f t="shared" si="110"/>
        <v>36667</v>
      </c>
      <c r="O3056" s="356">
        <v>1</v>
      </c>
      <c r="P3056" s="356"/>
      <c r="Q3056" s="356"/>
      <c r="R3056" s="356"/>
      <c r="S3056" s="356"/>
      <c r="T3056" s="356"/>
      <c r="U3056" s="372"/>
      <c r="V3056" s="372"/>
      <c r="W3056" s="372"/>
      <c r="X3056" s="373"/>
      <c r="Y3056" s="348"/>
      <c r="Z3056" s="348"/>
      <c r="AA3056" s="348"/>
    </row>
    <row r="3057" s="331" customFormat="1" ht="17" customHeight="1" spans="1:27">
      <c r="A3057" s="550" t="s">
        <v>7756</v>
      </c>
      <c r="B3057" s="348" t="s">
        <v>169</v>
      </c>
      <c r="C3057" s="348" t="s">
        <v>634</v>
      </c>
      <c r="D3057" s="352" t="s">
        <v>635</v>
      </c>
      <c r="E3057" s="336">
        <v>43707</v>
      </c>
      <c r="F3057" s="336">
        <v>43684</v>
      </c>
      <c r="G3057" s="336">
        <v>43706</v>
      </c>
      <c r="H3057" s="334" t="s">
        <v>7757</v>
      </c>
      <c r="I3057" s="356">
        <v>13764457561</v>
      </c>
      <c r="J3057" s="361" t="s">
        <v>7758</v>
      </c>
      <c r="K3057" s="356">
        <v>1000</v>
      </c>
      <c r="L3057" s="334">
        <v>26992</v>
      </c>
      <c r="M3057" s="419"/>
      <c r="N3057" s="362">
        <f t="shared" si="110"/>
        <v>26992</v>
      </c>
      <c r="O3057" s="356"/>
      <c r="P3057" s="356"/>
      <c r="Q3057" s="356"/>
      <c r="R3057" s="356"/>
      <c r="S3057" s="356"/>
      <c r="T3057" s="356"/>
      <c r="U3057" s="372"/>
      <c r="V3057" s="372" t="s">
        <v>98</v>
      </c>
      <c r="W3057" s="372"/>
      <c r="X3057" s="373"/>
      <c r="Y3057" s="348"/>
      <c r="Z3057" s="348"/>
      <c r="AA3057" s="348"/>
    </row>
    <row r="3058" s="331" customFormat="1" ht="17" customHeight="1" spans="1:27">
      <c r="A3058" s="550" t="s">
        <v>7759</v>
      </c>
      <c r="B3058" s="348" t="s">
        <v>73</v>
      </c>
      <c r="C3058" s="348" t="s">
        <v>74</v>
      </c>
      <c r="D3058" s="334" t="s">
        <v>427</v>
      </c>
      <c r="E3058" s="336">
        <v>43835</v>
      </c>
      <c r="F3058" s="336">
        <v>43687</v>
      </c>
      <c r="G3058" s="336">
        <v>43835</v>
      </c>
      <c r="H3058" s="334" t="s">
        <v>1086</v>
      </c>
      <c r="I3058" s="356">
        <v>13681799662</v>
      </c>
      <c r="J3058" s="361" t="s">
        <v>7760</v>
      </c>
      <c r="K3058" s="356">
        <v>1000</v>
      </c>
      <c r="L3058" s="334">
        <v>21575</v>
      </c>
      <c r="M3058" s="419"/>
      <c r="N3058" s="362">
        <f t="shared" si="110"/>
        <v>21575</v>
      </c>
      <c r="O3058" s="356"/>
      <c r="P3058" s="356"/>
      <c r="Q3058" s="356"/>
      <c r="R3058" s="356" t="s">
        <v>52</v>
      </c>
      <c r="S3058" s="356"/>
      <c r="T3058" s="356"/>
      <c r="U3058" s="372"/>
      <c r="V3058" s="372"/>
      <c r="W3058" s="372"/>
      <c r="X3058" s="373"/>
      <c r="Y3058" s="348"/>
      <c r="Z3058" s="348"/>
      <c r="AA3058" s="348"/>
    </row>
    <row r="3059" s="331" customFormat="1" ht="17" customHeight="1" spans="1:27">
      <c r="A3059" s="348"/>
      <c r="B3059" s="348" t="s">
        <v>185</v>
      </c>
      <c r="C3059" s="348" t="s">
        <v>1204</v>
      </c>
      <c r="D3059" s="349" t="s">
        <v>44</v>
      </c>
      <c r="E3059" s="336">
        <v>43685</v>
      </c>
      <c r="F3059" s="336">
        <v>43684</v>
      </c>
      <c r="G3059" s="336">
        <v>43684</v>
      </c>
      <c r="H3059" s="334" t="s">
        <v>7761</v>
      </c>
      <c r="I3059" s="356">
        <v>13916625876</v>
      </c>
      <c r="J3059" s="361" t="s">
        <v>7762</v>
      </c>
      <c r="K3059" s="356">
        <v>1999</v>
      </c>
      <c r="L3059" s="334">
        <v>1999</v>
      </c>
      <c r="M3059" s="419"/>
      <c r="N3059" s="362">
        <f t="shared" si="110"/>
        <v>1999</v>
      </c>
      <c r="O3059" s="356"/>
      <c r="P3059" s="356"/>
      <c r="Q3059" s="356"/>
      <c r="R3059" s="356"/>
      <c r="S3059" s="356"/>
      <c r="T3059" s="356"/>
      <c r="U3059" s="372"/>
      <c r="V3059" s="372"/>
      <c r="W3059" s="372"/>
      <c r="X3059" s="373"/>
      <c r="Y3059" s="348"/>
      <c r="Z3059" s="348"/>
      <c r="AA3059" s="348"/>
    </row>
    <row r="3060" s="331" customFormat="1" ht="17" customHeight="1" spans="1:27">
      <c r="A3060" s="348"/>
      <c r="B3060" s="348" t="s">
        <v>315</v>
      </c>
      <c r="C3060" s="334" t="s">
        <v>181</v>
      </c>
      <c r="D3060" s="349" t="s">
        <v>89</v>
      </c>
      <c r="E3060" s="336">
        <v>43684</v>
      </c>
      <c r="F3060" s="336"/>
      <c r="G3060" s="336">
        <v>43684</v>
      </c>
      <c r="H3060" s="334" t="s">
        <v>7763</v>
      </c>
      <c r="I3060" s="356">
        <v>13701636428</v>
      </c>
      <c r="J3060" s="361" t="s">
        <v>7764</v>
      </c>
      <c r="K3060" s="356"/>
      <c r="L3060" s="334">
        <v>2659</v>
      </c>
      <c r="M3060" s="334">
        <v>268</v>
      </c>
      <c r="N3060" s="362">
        <f t="shared" si="110"/>
        <v>2927</v>
      </c>
      <c r="O3060" s="356"/>
      <c r="P3060" s="356"/>
      <c r="Q3060" s="356"/>
      <c r="R3060" s="356"/>
      <c r="S3060" s="356"/>
      <c r="T3060" s="356"/>
      <c r="U3060" s="372"/>
      <c r="V3060" s="372"/>
      <c r="W3060" s="372"/>
      <c r="X3060" s="373"/>
      <c r="Y3060" s="348"/>
      <c r="Z3060" s="348"/>
      <c r="AA3060" s="348"/>
    </row>
    <row r="3061" s="331" customFormat="1" ht="17" customHeight="1" spans="1:27">
      <c r="A3061" s="348"/>
      <c r="B3061" s="348" t="s">
        <v>31</v>
      </c>
      <c r="C3061" s="334" t="s">
        <v>3186</v>
      </c>
      <c r="D3061" s="349" t="s">
        <v>221</v>
      </c>
      <c r="E3061" s="336">
        <v>43684</v>
      </c>
      <c r="F3061" s="336"/>
      <c r="G3061" s="336">
        <v>43684</v>
      </c>
      <c r="H3061" s="334" t="s">
        <v>7765</v>
      </c>
      <c r="I3061" s="356">
        <v>13501673635</v>
      </c>
      <c r="J3061" s="361" t="s">
        <v>7766</v>
      </c>
      <c r="K3061" s="356"/>
      <c r="L3061" s="334">
        <v>3467</v>
      </c>
      <c r="M3061" s="419"/>
      <c r="N3061" s="362">
        <f t="shared" si="110"/>
        <v>3467</v>
      </c>
      <c r="O3061" s="356"/>
      <c r="P3061" s="356"/>
      <c r="Q3061" s="356"/>
      <c r="R3061" s="356"/>
      <c r="S3061" s="356"/>
      <c r="T3061" s="356"/>
      <c r="U3061" s="372"/>
      <c r="V3061" s="372"/>
      <c r="W3061" s="372"/>
      <c r="X3061" s="373"/>
      <c r="Y3061" s="348"/>
      <c r="Z3061" s="348"/>
      <c r="AA3061" s="348"/>
    </row>
    <row r="3062" s="331" customFormat="1" ht="17" customHeight="1" spans="1:27">
      <c r="A3062" s="348"/>
      <c r="B3062" s="348" t="s">
        <v>58</v>
      </c>
      <c r="C3062" s="334" t="s">
        <v>109</v>
      </c>
      <c r="D3062" s="349" t="s">
        <v>271</v>
      </c>
      <c r="E3062" s="336">
        <v>43684</v>
      </c>
      <c r="F3062" s="336" t="s">
        <v>800</v>
      </c>
      <c r="G3062" s="336">
        <v>43683</v>
      </c>
      <c r="H3062" s="334" t="s">
        <v>5107</v>
      </c>
      <c r="I3062" s="356">
        <v>18621791161</v>
      </c>
      <c r="J3062" s="361" t="s">
        <v>5108</v>
      </c>
      <c r="K3062" s="356"/>
      <c r="L3062" s="419"/>
      <c r="M3062" s="334">
        <v>897</v>
      </c>
      <c r="N3062" s="362">
        <f t="shared" si="110"/>
        <v>897</v>
      </c>
      <c r="O3062" s="356"/>
      <c r="P3062" s="356"/>
      <c r="Q3062" s="356"/>
      <c r="R3062" s="356"/>
      <c r="S3062" s="356"/>
      <c r="T3062" s="356"/>
      <c r="U3062" s="372"/>
      <c r="V3062" s="372"/>
      <c r="W3062" s="372"/>
      <c r="X3062" s="373"/>
      <c r="Y3062" s="348"/>
      <c r="Z3062" s="348"/>
      <c r="AA3062" s="348"/>
    </row>
    <row r="3063" s="331" customFormat="1" ht="17" customHeight="1" spans="1:27">
      <c r="A3063" s="348"/>
      <c r="B3063" s="348" t="s">
        <v>87</v>
      </c>
      <c r="C3063" s="334" t="s">
        <v>466</v>
      </c>
      <c r="D3063" s="349" t="s">
        <v>89</v>
      </c>
      <c r="E3063" s="336">
        <v>43684</v>
      </c>
      <c r="F3063" s="336" t="s">
        <v>800</v>
      </c>
      <c r="G3063" s="336">
        <v>43684</v>
      </c>
      <c r="H3063" s="334" t="s">
        <v>6935</v>
      </c>
      <c r="I3063" s="356">
        <v>13917626918</v>
      </c>
      <c r="J3063" s="361" t="s">
        <v>6936</v>
      </c>
      <c r="K3063" s="356"/>
      <c r="L3063" s="419"/>
      <c r="M3063" s="334">
        <v>-1539</v>
      </c>
      <c r="N3063" s="362">
        <f t="shared" si="110"/>
        <v>-1539</v>
      </c>
      <c r="O3063" s="356"/>
      <c r="P3063" s="356"/>
      <c r="Q3063" s="356"/>
      <c r="R3063" s="356"/>
      <c r="S3063" s="356"/>
      <c r="T3063" s="356"/>
      <c r="U3063" s="372"/>
      <c r="V3063" s="372"/>
      <c r="W3063" s="372"/>
      <c r="X3063" s="373"/>
      <c r="Y3063" s="348"/>
      <c r="Z3063" s="348"/>
      <c r="AA3063" s="348"/>
    </row>
    <row r="3064" s="331" customFormat="1" ht="17" customHeight="1" spans="1:27">
      <c r="A3064" s="348"/>
      <c r="B3064" s="348" t="s">
        <v>31</v>
      </c>
      <c r="C3064" s="334" t="s">
        <v>220</v>
      </c>
      <c r="D3064" s="349" t="s">
        <v>33</v>
      </c>
      <c r="E3064" s="336">
        <v>43684</v>
      </c>
      <c r="F3064" s="336" t="s">
        <v>800</v>
      </c>
      <c r="G3064" s="336">
        <v>43684</v>
      </c>
      <c r="H3064" s="334" t="s">
        <v>7670</v>
      </c>
      <c r="I3064" s="356">
        <v>18621723323</v>
      </c>
      <c r="J3064" s="361" t="s">
        <v>7671</v>
      </c>
      <c r="K3064" s="356"/>
      <c r="L3064" s="419"/>
      <c r="M3064" s="334">
        <v>400</v>
      </c>
      <c r="N3064" s="362">
        <f t="shared" si="110"/>
        <v>400</v>
      </c>
      <c r="O3064" s="356"/>
      <c r="P3064" s="356"/>
      <c r="Q3064" s="356"/>
      <c r="R3064" s="356"/>
      <c r="S3064" s="356"/>
      <c r="T3064" s="356"/>
      <c r="U3064" s="372"/>
      <c r="V3064" s="372"/>
      <c r="W3064" s="372"/>
      <c r="X3064" s="373"/>
      <c r="Y3064" s="348"/>
      <c r="Z3064" s="348"/>
      <c r="AA3064" s="348"/>
    </row>
    <row r="3065" s="331" customFormat="1" ht="17" customHeight="1" spans="1:27">
      <c r="A3065" s="348"/>
      <c r="B3065" s="348" t="s">
        <v>58</v>
      </c>
      <c r="C3065" s="334" t="s">
        <v>342</v>
      </c>
      <c r="D3065" s="349" t="s">
        <v>635</v>
      </c>
      <c r="E3065" s="336">
        <v>43684</v>
      </c>
      <c r="F3065" s="336" t="s">
        <v>800</v>
      </c>
      <c r="G3065" s="336">
        <v>43684</v>
      </c>
      <c r="H3065" s="334" t="s">
        <v>5425</v>
      </c>
      <c r="I3065" s="356">
        <v>13162560080</v>
      </c>
      <c r="J3065" s="361" t="s">
        <v>7767</v>
      </c>
      <c r="K3065" s="356"/>
      <c r="L3065" s="419"/>
      <c r="M3065" s="334">
        <v>2258</v>
      </c>
      <c r="N3065" s="362">
        <f t="shared" si="110"/>
        <v>2258</v>
      </c>
      <c r="O3065" s="356"/>
      <c r="P3065" s="356"/>
      <c r="Q3065" s="356"/>
      <c r="R3065" s="356"/>
      <c r="S3065" s="356"/>
      <c r="T3065" s="356"/>
      <c r="U3065" s="372"/>
      <c r="V3065" s="372"/>
      <c r="W3065" s="372"/>
      <c r="X3065" s="373"/>
      <c r="Y3065" s="348"/>
      <c r="Z3065" s="348"/>
      <c r="AA3065" s="348"/>
    </row>
    <row r="3066" s="331" customFormat="1" ht="17" customHeight="1" spans="1:27">
      <c r="A3066" s="348"/>
      <c r="B3066" s="348" t="s">
        <v>315</v>
      </c>
      <c r="C3066" s="334" t="s">
        <v>161</v>
      </c>
      <c r="D3066" s="349" t="s">
        <v>162</v>
      </c>
      <c r="E3066" s="336">
        <v>43684</v>
      </c>
      <c r="F3066" s="336" t="s">
        <v>800</v>
      </c>
      <c r="G3066" s="336">
        <v>43684</v>
      </c>
      <c r="H3066" s="334" t="s">
        <v>7768</v>
      </c>
      <c r="I3066" s="356">
        <v>13916594878</v>
      </c>
      <c r="J3066" s="361" t="s">
        <v>7769</v>
      </c>
      <c r="K3066" s="356"/>
      <c r="L3066" s="419"/>
      <c r="M3066" s="334">
        <v>0</v>
      </c>
      <c r="N3066" s="362">
        <f t="shared" si="110"/>
        <v>0</v>
      </c>
      <c r="O3066" s="356"/>
      <c r="P3066" s="356"/>
      <c r="Q3066" s="356"/>
      <c r="R3066" s="356"/>
      <c r="S3066" s="356"/>
      <c r="T3066" s="356"/>
      <c r="U3066" s="372"/>
      <c r="V3066" s="372"/>
      <c r="W3066" s="372"/>
      <c r="X3066" s="373"/>
      <c r="Y3066" s="348"/>
      <c r="Z3066" s="348"/>
      <c r="AA3066" s="348"/>
    </row>
    <row r="3067" s="331" customFormat="1" ht="17" customHeight="1" spans="1:27">
      <c r="A3067" s="550" t="s">
        <v>7770</v>
      </c>
      <c r="B3067" s="348" t="s">
        <v>185</v>
      </c>
      <c r="C3067" s="348" t="s">
        <v>186</v>
      </c>
      <c r="D3067" s="352" t="s">
        <v>187</v>
      </c>
      <c r="E3067" s="336">
        <v>43708</v>
      </c>
      <c r="F3067" s="336">
        <v>43685</v>
      </c>
      <c r="G3067" s="336">
        <v>43708</v>
      </c>
      <c r="H3067" s="334" t="s">
        <v>7771</v>
      </c>
      <c r="I3067" s="356">
        <v>18516187339</v>
      </c>
      <c r="J3067" s="361" t="s">
        <v>7772</v>
      </c>
      <c r="K3067" s="356">
        <v>1000</v>
      </c>
      <c r="L3067" s="334">
        <v>16238</v>
      </c>
      <c r="M3067" s="419"/>
      <c r="N3067" s="362">
        <f t="shared" ref="N3067:N3096" si="111">L3067+M3067</f>
        <v>16238</v>
      </c>
      <c r="O3067" s="356"/>
      <c r="P3067" s="356"/>
      <c r="Q3067" s="356"/>
      <c r="R3067" s="356" t="s">
        <v>52</v>
      </c>
      <c r="S3067" s="356"/>
      <c r="T3067" s="356"/>
      <c r="U3067" s="372"/>
      <c r="V3067" s="372"/>
      <c r="W3067" s="372"/>
      <c r="X3067" s="373"/>
      <c r="Y3067" s="348"/>
      <c r="Z3067" s="348"/>
      <c r="AA3067" s="348"/>
    </row>
    <row r="3068" s="331" customFormat="1" ht="17" customHeight="1" spans="1:27">
      <c r="A3068" s="550" t="s">
        <v>7773</v>
      </c>
      <c r="B3068" s="348" t="s">
        <v>315</v>
      </c>
      <c r="C3068" s="348" t="s">
        <v>230</v>
      </c>
      <c r="D3068" s="352" t="s">
        <v>182</v>
      </c>
      <c r="E3068" s="336">
        <v>43685</v>
      </c>
      <c r="F3068" s="336">
        <v>43685</v>
      </c>
      <c r="G3068" s="350" t="s">
        <v>231</v>
      </c>
      <c r="H3068" s="334" t="s">
        <v>7774</v>
      </c>
      <c r="I3068" s="356">
        <v>18816563979</v>
      </c>
      <c r="J3068" s="361" t="s">
        <v>7775</v>
      </c>
      <c r="K3068" s="356">
        <v>1000</v>
      </c>
      <c r="L3068" s="419"/>
      <c r="M3068" s="419"/>
      <c r="N3068" s="362">
        <f t="shared" si="111"/>
        <v>0</v>
      </c>
      <c r="O3068" s="356"/>
      <c r="P3068" s="356"/>
      <c r="Q3068" s="356"/>
      <c r="R3068" s="356">
        <v>1</v>
      </c>
      <c r="S3068" s="356"/>
      <c r="T3068" s="356"/>
      <c r="U3068" s="372"/>
      <c r="V3068" s="372"/>
      <c r="W3068" s="372"/>
      <c r="X3068" s="373"/>
      <c r="Y3068" s="348"/>
      <c r="Z3068" s="348"/>
      <c r="AA3068" s="348"/>
    </row>
    <row r="3069" s="331" customFormat="1" ht="17" customHeight="1" spans="1:27">
      <c r="A3069" s="550" t="s">
        <v>7776</v>
      </c>
      <c r="B3069" s="348" t="s">
        <v>137</v>
      </c>
      <c r="C3069" s="348" t="s">
        <v>406</v>
      </c>
      <c r="D3069" s="349" t="s">
        <v>443</v>
      </c>
      <c r="E3069" s="336">
        <v>43703</v>
      </c>
      <c r="F3069" s="336">
        <v>43684</v>
      </c>
      <c r="G3069" s="336">
        <v>43701</v>
      </c>
      <c r="H3069" s="334" t="s">
        <v>7777</v>
      </c>
      <c r="I3069" s="356">
        <v>13816681083</v>
      </c>
      <c r="J3069" s="361" t="s">
        <v>7778</v>
      </c>
      <c r="K3069" s="356">
        <v>1000</v>
      </c>
      <c r="L3069" s="334">
        <v>9644</v>
      </c>
      <c r="M3069" s="334">
        <v>1326</v>
      </c>
      <c r="N3069" s="362">
        <f t="shared" si="111"/>
        <v>10970</v>
      </c>
      <c r="O3069" s="356"/>
      <c r="P3069" s="356"/>
      <c r="Q3069" s="356"/>
      <c r="R3069" s="356">
        <v>1</v>
      </c>
      <c r="S3069" s="356"/>
      <c r="T3069" s="356"/>
      <c r="U3069" s="372"/>
      <c r="V3069" s="372"/>
      <c r="W3069" s="372"/>
      <c r="X3069" s="373"/>
      <c r="Y3069" s="348"/>
      <c r="Z3069" s="348"/>
      <c r="AA3069" s="348"/>
    </row>
    <row r="3070" s="331" customFormat="1" ht="17" customHeight="1" spans="1:27">
      <c r="A3070" s="550" t="s">
        <v>7779</v>
      </c>
      <c r="B3070" s="348" t="s">
        <v>315</v>
      </c>
      <c r="C3070" s="348" t="s">
        <v>181</v>
      </c>
      <c r="D3070" s="334" t="s">
        <v>162</v>
      </c>
      <c r="E3070" s="336">
        <v>43707</v>
      </c>
      <c r="F3070" s="336">
        <v>43684</v>
      </c>
      <c r="G3070" s="336">
        <v>43705</v>
      </c>
      <c r="H3070" s="334" t="s">
        <v>7780</v>
      </c>
      <c r="I3070" s="356">
        <v>18917028925</v>
      </c>
      <c r="J3070" s="361" t="s">
        <v>7781</v>
      </c>
      <c r="K3070" s="356">
        <v>1150</v>
      </c>
      <c r="L3070" s="334">
        <v>9500</v>
      </c>
      <c r="M3070" s="419"/>
      <c r="N3070" s="362">
        <f t="shared" si="111"/>
        <v>9500</v>
      </c>
      <c r="O3070" s="356"/>
      <c r="P3070" s="356">
        <v>1</v>
      </c>
      <c r="Q3070" s="356"/>
      <c r="R3070" s="356"/>
      <c r="S3070" s="356"/>
      <c r="T3070" s="356"/>
      <c r="U3070" s="372"/>
      <c r="V3070" s="372"/>
      <c r="W3070" s="372"/>
      <c r="X3070" s="373"/>
      <c r="Y3070" s="348"/>
      <c r="Z3070" s="348"/>
      <c r="AA3070" s="348"/>
    </row>
    <row r="3071" s="331" customFormat="1" ht="17" customHeight="1" spans="1:27">
      <c r="A3071" s="550" t="s">
        <v>7782</v>
      </c>
      <c r="B3071" s="348" t="s">
        <v>315</v>
      </c>
      <c r="C3071" s="348" t="s">
        <v>230</v>
      </c>
      <c r="D3071" s="352" t="s">
        <v>182</v>
      </c>
      <c r="E3071" s="336">
        <v>43706</v>
      </c>
      <c r="F3071" s="336">
        <v>43684</v>
      </c>
      <c r="G3071" s="336">
        <v>43705</v>
      </c>
      <c r="H3071" s="334" t="s">
        <v>7783</v>
      </c>
      <c r="I3071" s="356">
        <v>15921088962</v>
      </c>
      <c r="J3071" s="361" t="s">
        <v>7784</v>
      </c>
      <c r="K3071" s="356">
        <v>1000</v>
      </c>
      <c r="L3071" s="334">
        <v>21175</v>
      </c>
      <c r="M3071" s="419"/>
      <c r="N3071" s="362">
        <f t="shared" si="111"/>
        <v>21175</v>
      </c>
      <c r="O3071" s="356"/>
      <c r="P3071" s="356">
        <v>1</v>
      </c>
      <c r="Q3071" s="356"/>
      <c r="R3071" s="356"/>
      <c r="S3071" s="356"/>
      <c r="T3071" s="356"/>
      <c r="U3071" s="372"/>
      <c r="V3071" s="350" t="s">
        <v>5036</v>
      </c>
      <c r="W3071" s="372"/>
      <c r="X3071" s="373"/>
      <c r="Y3071" s="348"/>
      <c r="Z3071" s="348"/>
      <c r="AA3071" s="348"/>
    </row>
    <row r="3072" s="331" customFormat="1" ht="17" customHeight="1" spans="1:27">
      <c r="A3072" s="550" t="s">
        <v>7785</v>
      </c>
      <c r="B3072" s="348" t="s">
        <v>73</v>
      </c>
      <c r="C3072" s="348" t="s">
        <v>74</v>
      </c>
      <c r="D3072" s="334" t="s">
        <v>717</v>
      </c>
      <c r="E3072" s="336">
        <v>43737</v>
      </c>
      <c r="F3072" s="336">
        <v>43684</v>
      </c>
      <c r="G3072" s="336">
        <v>43736</v>
      </c>
      <c r="H3072" s="334" t="s">
        <v>7786</v>
      </c>
      <c r="I3072" s="356">
        <v>13761500857</v>
      </c>
      <c r="J3072" s="361" t="s">
        <v>7787</v>
      </c>
      <c r="K3072" s="356">
        <v>1000</v>
      </c>
      <c r="L3072" s="334">
        <f>16923-1140</f>
        <v>15783</v>
      </c>
      <c r="M3072" s="334">
        <v>1140</v>
      </c>
      <c r="N3072" s="362">
        <f t="shared" si="111"/>
        <v>16923</v>
      </c>
      <c r="O3072" s="356"/>
      <c r="P3072" s="356"/>
      <c r="Q3072" s="366" t="s">
        <v>52</v>
      </c>
      <c r="R3072" s="356"/>
      <c r="S3072" s="356"/>
      <c r="T3072" s="356"/>
      <c r="U3072" s="372"/>
      <c r="V3072" s="372"/>
      <c r="W3072" s="372"/>
      <c r="X3072" s="373"/>
      <c r="Y3072" s="348"/>
      <c r="Z3072" s="348"/>
      <c r="AA3072" s="348"/>
    </row>
    <row r="3073" s="331" customFormat="1" ht="17" customHeight="1" spans="1:27">
      <c r="A3073" s="550" t="s">
        <v>7788</v>
      </c>
      <c r="B3073" s="348" t="s">
        <v>315</v>
      </c>
      <c r="C3073" s="348" t="s">
        <v>722</v>
      </c>
      <c r="D3073" s="349" t="s">
        <v>132</v>
      </c>
      <c r="E3073" s="336">
        <v>43695</v>
      </c>
      <c r="F3073" s="336">
        <v>43684</v>
      </c>
      <c r="G3073" s="336">
        <v>43694</v>
      </c>
      <c r="H3073" s="334" t="s">
        <v>7789</v>
      </c>
      <c r="I3073" s="356">
        <v>13641682626</v>
      </c>
      <c r="J3073" s="361" t="s">
        <v>7790</v>
      </c>
      <c r="K3073" s="356">
        <v>1000</v>
      </c>
      <c r="L3073" s="334">
        <f>21716-3680</f>
        <v>18036</v>
      </c>
      <c r="M3073" s="334">
        <v>3680</v>
      </c>
      <c r="N3073" s="362">
        <f t="shared" si="111"/>
        <v>21716</v>
      </c>
      <c r="O3073" s="356">
        <v>1</v>
      </c>
      <c r="P3073" s="356"/>
      <c r="Q3073" s="356"/>
      <c r="R3073" s="356"/>
      <c r="S3073" s="356"/>
      <c r="T3073" s="356"/>
      <c r="U3073" s="372"/>
      <c r="V3073" s="372"/>
      <c r="W3073" s="372"/>
      <c r="X3073" s="373"/>
      <c r="Y3073" s="348"/>
      <c r="Z3073" s="348"/>
      <c r="AA3073" s="348"/>
    </row>
    <row r="3074" s="331" customFormat="1" ht="17" customHeight="1" spans="1:27">
      <c r="A3074" s="550" t="s">
        <v>7791</v>
      </c>
      <c r="B3074" s="348" t="s">
        <v>153</v>
      </c>
      <c r="C3074" s="348" t="s">
        <v>154</v>
      </c>
      <c r="D3074" s="349" t="s">
        <v>1170</v>
      </c>
      <c r="E3074" s="336">
        <v>43690</v>
      </c>
      <c r="F3074" s="336">
        <v>43685</v>
      </c>
      <c r="G3074" s="336">
        <v>43689</v>
      </c>
      <c r="H3074" s="334" t="s">
        <v>7792</v>
      </c>
      <c r="I3074" s="356">
        <v>18964770677</v>
      </c>
      <c r="J3074" s="361" t="s">
        <v>7793</v>
      </c>
      <c r="K3074" s="356">
        <v>3000</v>
      </c>
      <c r="L3074" s="334">
        <f>13710-1608</f>
        <v>12102</v>
      </c>
      <c r="M3074" s="334">
        <v>1608</v>
      </c>
      <c r="N3074" s="362">
        <f t="shared" si="111"/>
        <v>13710</v>
      </c>
      <c r="O3074" s="356"/>
      <c r="P3074" s="356"/>
      <c r="Q3074" s="356"/>
      <c r="R3074" s="356"/>
      <c r="S3074" s="356"/>
      <c r="T3074" s="356"/>
      <c r="U3074" s="372"/>
      <c r="V3074" s="372"/>
      <c r="W3074" s="372"/>
      <c r="X3074" s="373"/>
      <c r="Y3074" s="348"/>
      <c r="Z3074" s="348"/>
      <c r="AA3074" s="348"/>
    </row>
    <row r="3075" s="331" customFormat="1" ht="17" customHeight="1" spans="1:27">
      <c r="A3075" s="550" t="s">
        <v>7794</v>
      </c>
      <c r="B3075" s="348" t="s">
        <v>58</v>
      </c>
      <c r="C3075" s="348" t="s">
        <v>342</v>
      </c>
      <c r="D3075" s="334" t="s">
        <v>343</v>
      </c>
      <c r="E3075" s="336">
        <v>43710</v>
      </c>
      <c r="F3075" s="336">
        <v>43684</v>
      </c>
      <c r="G3075" s="336">
        <v>43710</v>
      </c>
      <c r="H3075" s="334" t="s">
        <v>7795</v>
      </c>
      <c r="I3075" s="356">
        <v>17717048978</v>
      </c>
      <c r="J3075" s="361" t="s">
        <v>7796</v>
      </c>
      <c r="K3075" s="356">
        <v>8000</v>
      </c>
      <c r="L3075" s="334">
        <f>10588-1472</f>
        <v>9116</v>
      </c>
      <c r="M3075" s="334">
        <v>1472</v>
      </c>
      <c r="N3075" s="362">
        <f t="shared" si="111"/>
        <v>10588</v>
      </c>
      <c r="O3075" s="356"/>
      <c r="P3075" s="356"/>
      <c r="Q3075" s="366" t="s">
        <v>52</v>
      </c>
      <c r="R3075" s="356"/>
      <c r="S3075" s="356"/>
      <c r="T3075" s="356"/>
      <c r="U3075" s="372"/>
      <c r="V3075" s="372"/>
      <c r="W3075" s="372"/>
      <c r="X3075" s="373"/>
      <c r="Y3075" s="348"/>
      <c r="Z3075" s="348"/>
      <c r="AA3075" s="348"/>
    </row>
    <row r="3076" s="331" customFormat="1" ht="17" customHeight="1" spans="1:27">
      <c r="A3076" s="348"/>
      <c r="B3076" s="348" t="s">
        <v>185</v>
      </c>
      <c r="C3076" s="348" t="s">
        <v>886</v>
      </c>
      <c r="D3076" s="352" t="s">
        <v>187</v>
      </c>
      <c r="E3076" s="336">
        <v>43697</v>
      </c>
      <c r="F3076" s="336">
        <v>43684</v>
      </c>
      <c r="G3076" s="336">
        <v>43696</v>
      </c>
      <c r="H3076" s="334" t="s">
        <v>7797</v>
      </c>
      <c r="I3076" s="356">
        <v>18116292346</v>
      </c>
      <c r="J3076" s="361" t="s">
        <v>7798</v>
      </c>
      <c r="K3076" s="356">
        <v>1000</v>
      </c>
      <c r="L3076" s="334">
        <v>4431</v>
      </c>
      <c r="M3076" s="419"/>
      <c r="N3076" s="362">
        <f t="shared" si="111"/>
        <v>4431</v>
      </c>
      <c r="O3076" s="356"/>
      <c r="P3076" s="356" t="s">
        <v>52</v>
      </c>
      <c r="Q3076" s="356"/>
      <c r="R3076" s="356"/>
      <c r="S3076" s="356"/>
      <c r="T3076" s="356"/>
      <c r="U3076" s="372"/>
      <c r="V3076" s="372"/>
      <c r="W3076" s="372"/>
      <c r="X3076" s="373"/>
      <c r="Y3076" s="348"/>
      <c r="Z3076" s="348"/>
      <c r="AA3076" s="348"/>
    </row>
    <row r="3077" s="331" customFormat="1" ht="15" customHeight="1" spans="1:27">
      <c r="A3077" s="550" t="s">
        <v>7799</v>
      </c>
      <c r="B3077" s="348" t="s">
        <v>58</v>
      </c>
      <c r="C3077" s="348" t="s">
        <v>109</v>
      </c>
      <c r="D3077" s="352" t="s">
        <v>110</v>
      </c>
      <c r="E3077" s="336">
        <v>43745</v>
      </c>
      <c r="F3077" s="336">
        <v>43683</v>
      </c>
      <c r="G3077" s="336">
        <v>43745</v>
      </c>
      <c r="H3077" s="334" t="s">
        <v>7800</v>
      </c>
      <c r="I3077" s="356">
        <v>13818975607</v>
      </c>
      <c r="J3077" s="361" t="s">
        <v>7801</v>
      </c>
      <c r="K3077" s="356">
        <v>1000</v>
      </c>
      <c r="L3077" s="334">
        <v>6372</v>
      </c>
      <c r="M3077" s="419"/>
      <c r="N3077" s="362">
        <f t="shared" si="111"/>
        <v>6372</v>
      </c>
      <c r="O3077" s="366" t="s">
        <v>52</v>
      </c>
      <c r="P3077" s="356"/>
      <c r="Q3077" s="356"/>
      <c r="R3077" s="356"/>
      <c r="S3077" s="356"/>
      <c r="T3077" s="356"/>
      <c r="U3077" s="372"/>
      <c r="V3077" s="372"/>
      <c r="W3077" s="372"/>
      <c r="X3077" s="373"/>
      <c r="Y3077" s="348"/>
      <c r="Z3077" s="348"/>
      <c r="AA3077" s="348"/>
    </row>
    <row r="3078" s="331" customFormat="1" ht="17" customHeight="1" spans="1:27">
      <c r="A3078" s="550" t="s">
        <v>7802</v>
      </c>
      <c r="B3078" s="348" t="s">
        <v>185</v>
      </c>
      <c r="C3078" s="348" t="s">
        <v>186</v>
      </c>
      <c r="D3078" s="349" t="s">
        <v>187</v>
      </c>
      <c r="E3078" s="336">
        <v>43685</v>
      </c>
      <c r="F3078" s="336">
        <v>43685</v>
      </c>
      <c r="G3078" s="350">
        <v>43685</v>
      </c>
      <c r="H3078" s="334" t="s">
        <v>7803</v>
      </c>
      <c r="I3078" s="356">
        <v>18016247884</v>
      </c>
      <c r="J3078" s="361" t="s">
        <v>7804</v>
      </c>
      <c r="K3078" s="356">
        <v>2410</v>
      </c>
      <c r="L3078" s="334">
        <v>2042</v>
      </c>
      <c r="M3078" s="334">
        <v>368</v>
      </c>
      <c r="N3078" s="362">
        <f t="shared" si="111"/>
        <v>2410</v>
      </c>
      <c r="O3078" s="356"/>
      <c r="P3078" s="356"/>
      <c r="Q3078" s="356"/>
      <c r="R3078" s="356"/>
      <c r="S3078" s="356"/>
      <c r="T3078" s="356"/>
      <c r="U3078" s="372"/>
      <c r="V3078" s="372"/>
      <c r="W3078" s="372"/>
      <c r="X3078" s="373"/>
      <c r="Y3078" s="348"/>
      <c r="Z3078" s="348"/>
      <c r="AA3078" s="348"/>
    </row>
    <row r="3079" s="331" customFormat="1" ht="17" customHeight="1" spans="1:27">
      <c r="A3079" s="550" t="s">
        <v>7805</v>
      </c>
      <c r="B3079" s="348" t="s">
        <v>31</v>
      </c>
      <c r="C3079" s="348" t="s">
        <v>251</v>
      </c>
      <c r="D3079" s="349" t="s">
        <v>221</v>
      </c>
      <c r="E3079" s="336">
        <v>43685</v>
      </c>
      <c r="F3079" s="336">
        <v>43684</v>
      </c>
      <c r="G3079" s="350">
        <v>43685</v>
      </c>
      <c r="H3079" s="334" t="s">
        <v>7806</v>
      </c>
      <c r="I3079" s="356">
        <v>13917051255</v>
      </c>
      <c r="J3079" s="361" t="s">
        <v>7807</v>
      </c>
      <c r="K3079" s="356">
        <v>0</v>
      </c>
      <c r="L3079" s="334">
        <v>14911</v>
      </c>
      <c r="M3079" s="419"/>
      <c r="N3079" s="362">
        <f t="shared" si="111"/>
        <v>14911</v>
      </c>
      <c r="O3079" s="356"/>
      <c r="P3079" s="356"/>
      <c r="Q3079" s="356"/>
      <c r="R3079" s="356"/>
      <c r="S3079" s="356"/>
      <c r="T3079" s="356"/>
      <c r="U3079" s="372"/>
      <c r="V3079" s="372"/>
      <c r="W3079" s="372"/>
      <c r="X3079" s="373"/>
      <c r="Y3079" s="348"/>
      <c r="Z3079" s="348"/>
      <c r="AA3079" s="348"/>
    </row>
    <row r="3080" s="331" customFormat="1" ht="17" customHeight="1" spans="1:27">
      <c r="A3080" s="550" t="s">
        <v>7808</v>
      </c>
      <c r="B3080" s="348" t="s">
        <v>185</v>
      </c>
      <c r="C3080" s="348" t="s">
        <v>1204</v>
      </c>
      <c r="D3080" s="352" t="s">
        <v>44</v>
      </c>
      <c r="E3080" s="336">
        <v>43699</v>
      </c>
      <c r="F3080" s="336">
        <v>43685</v>
      </c>
      <c r="G3080" s="336">
        <v>43699</v>
      </c>
      <c r="H3080" s="334" t="s">
        <v>7809</v>
      </c>
      <c r="I3080" s="356">
        <v>13717847498</v>
      </c>
      <c r="J3080" s="361" t="s">
        <v>7810</v>
      </c>
      <c r="K3080" s="356">
        <v>1000</v>
      </c>
      <c r="L3080" s="334">
        <v>6479</v>
      </c>
      <c r="M3080" s="419"/>
      <c r="N3080" s="362">
        <f t="shared" si="111"/>
        <v>6479</v>
      </c>
      <c r="O3080" s="356"/>
      <c r="P3080" s="356"/>
      <c r="Q3080" s="356" t="s">
        <v>52</v>
      </c>
      <c r="R3080" s="356"/>
      <c r="S3080" s="356"/>
      <c r="T3080" s="356"/>
      <c r="U3080" s="372"/>
      <c r="V3080" s="372"/>
      <c r="W3080" s="372"/>
      <c r="X3080" s="373"/>
      <c r="Y3080" s="348"/>
      <c r="Z3080" s="348"/>
      <c r="AA3080" s="348"/>
    </row>
    <row r="3081" s="331" customFormat="1" ht="17" customHeight="1" spans="1:27">
      <c r="A3081" s="550" t="s">
        <v>7811</v>
      </c>
      <c r="B3081" s="348" t="s">
        <v>123</v>
      </c>
      <c r="C3081" s="348" t="s">
        <v>32</v>
      </c>
      <c r="D3081" s="352" t="s">
        <v>125</v>
      </c>
      <c r="E3081" s="336">
        <v>43685</v>
      </c>
      <c r="F3081" s="336">
        <v>43685</v>
      </c>
      <c r="G3081" s="350">
        <v>43685</v>
      </c>
      <c r="H3081" s="334" t="s">
        <v>7812</v>
      </c>
      <c r="I3081" s="356">
        <v>15821476979</v>
      </c>
      <c r="J3081" s="361" t="s">
        <v>7813</v>
      </c>
      <c r="K3081" s="356">
        <v>6387</v>
      </c>
      <c r="L3081" s="334">
        <v>6387</v>
      </c>
      <c r="M3081" s="419"/>
      <c r="N3081" s="362">
        <f t="shared" si="111"/>
        <v>6387</v>
      </c>
      <c r="O3081" s="356"/>
      <c r="P3081" s="356"/>
      <c r="Q3081" s="356"/>
      <c r="R3081" s="356"/>
      <c r="S3081" s="356"/>
      <c r="T3081" s="356"/>
      <c r="U3081" s="372"/>
      <c r="V3081" s="372"/>
      <c r="W3081" s="372"/>
      <c r="X3081" s="373"/>
      <c r="Y3081" s="348"/>
      <c r="Z3081" s="348"/>
      <c r="AA3081" s="348"/>
    </row>
    <row r="3082" s="331" customFormat="1" ht="17" customHeight="1" spans="1:27">
      <c r="A3082" s="550" t="s">
        <v>7814</v>
      </c>
      <c r="B3082" s="348" t="s">
        <v>359</v>
      </c>
      <c r="C3082" s="348" t="s">
        <v>3018</v>
      </c>
      <c r="D3082" s="352" t="s">
        <v>361</v>
      </c>
      <c r="E3082" s="336">
        <v>43685</v>
      </c>
      <c r="F3082" s="336">
        <v>43684</v>
      </c>
      <c r="G3082" s="350"/>
      <c r="H3082" s="334" t="s">
        <v>7815</v>
      </c>
      <c r="I3082" s="356">
        <v>18621869707</v>
      </c>
      <c r="J3082" s="361" t="s">
        <v>7816</v>
      </c>
      <c r="K3082" s="356">
        <v>2000</v>
      </c>
      <c r="L3082" s="419"/>
      <c r="M3082" s="419"/>
      <c r="N3082" s="362">
        <f t="shared" si="111"/>
        <v>0</v>
      </c>
      <c r="O3082" s="356"/>
      <c r="P3082" s="356"/>
      <c r="Q3082" s="356"/>
      <c r="R3082" s="356"/>
      <c r="S3082" s="356"/>
      <c r="T3082" s="356"/>
      <c r="U3082" s="372" t="s">
        <v>7817</v>
      </c>
      <c r="V3082" s="372"/>
      <c r="W3082" s="372"/>
      <c r="X3082" s="373"/>
      <c r="Y3082" s="348"/>
      <c r="Z3082" s="348"/>
      <c r="AA3082" s="348"/>
    </row>
    <row r="3083" s="331" customFormat="1" ht="17" customHeight="1" spans="1:27">
      <c r="A3083" s="348">
        <v>2024816</v>
      </c>
      <c r="B3083" s="348" t="s">
        <v>6313</v>
      </c>
      <c r="C3083" s="348" t="s">
        <v>7818</v>
      </c>
      <c r="D3083" s="352" t="s">
        <v>6313</v>
      </c>
      <c r="E3083" s="336">
        <v>43696</v>
      </c>
      <c r="F3083" s="336">
        <v>43685</v>
      </c>
      <c r="G3083" s="336">
        <v>43696</v>
      </c>
      <c r="H3083" s="334" t="s">
        <v>4402</v>
      </c>
      <c r="I3083" s="356">
        <v>18116263918</v>
      </c>
      <c r="J3083" s="361" t="s">
        <v>7819</v>
      </c>
      <c r="K3083" s="356">
        <v>2000</v>
      </c>
      <c r="L3083" s="334">
        <v>13450</v>
      </c>
      <c r="M3083" s="419"/>
      <c r="N3083" s="362">
        <f t="shared" si="111"/>
        <v>13450</v>
      </c>
      <c r="O3083" s="356"/>
      <c r="P3083" s="356"/>
      <c r="Q3083" s="356"/>
      <c r="R3083" s="356"/>
      <c r="S3083" s="356"/>
      <c r="T3083" s="356"/>
      <c r="U3083" s="372"/>
      <c r="V3083" s="372"/>
      <c r="W3083" s="372"/>
      <c r="X3083" s="373"/>
      <c r="Y3083" s="348"/>
      <c r="Z3083" s="348"/>
      <c r="AA3083" s="348"/>
    </row>
    <row r="3084" s="331" customFormat="1" ht="17" customHeight="1" spans="1:27">
      <c r="A3084" s="550" t="s">
        <v>7820</v>
      </c>
      <c r="B3084" s="348" t="s">
        <v>2625</v>
      </c>
      <c r="C3084" s="348" t="s">
        <v>2626</v>
      </c>
      <c r="D3084" s="334" t="s">
        <v>44</v>
      </c>
      <c r="E3084" s="336">
        <v>43756</v>
      </c>
      <c r="F3084" s="336">
        <v>43685</v>
      </c>
      <c r="G3084" s="336">
        <v>43753</v>
      </c>
      <c r="H3084" s="334" t="s">
        <v>7821</v>
      </c>
      <c r="I3084" s="356">
        <v>13816035522</v>
      </c>
      <c r="J3084" s="361" t="s">
        <v>7822</v>
      </c>
      <c r="K3084" s="356">
        <v>1000</v>
      </c>
      <c r="L3084" s="334">
        <v>18600</v>
      </c>
      <c r="M3084" s="419"/>
      <c r="N3084" s="362">
        <f t="shared" si="111"/>
        <v>18600</v>
      </c>
      <c r="O3084" s="356"/>
      <c r="P3084" s="356"/>
      <c r="Q3084" s="356" t="s">
        <v>3660</v>
      </c>
      <c r="R3084" s="356"/>
      <c r="S3084" s="356"/>
      <c r="T3084" s="356"/>
      <c r="U3084" s="372"/>
      <c r="V3084" s="372"/>
      <c r="W3084" s="372"/>
      <c r="X3084" s="373"/>
      <c r="Y3084" s="348"/>
      <c r="Z3084" s="348"/>
      <c r="AA3084" s="348"/>
    </row>
    <row r="3085" s="331" customFormat="1" ht="17" customHeight="1" spans="1:27">
      <c r="A3085" s="348"/>
      <c r="B3085" s="348" t="s">
        <v>805</v>
      </c>
      <c r="C3085" s="348" t="s">
        <v>806</v>
      </c>
      <c r="D3085" s="352" t="s">
        <v>171</v>
      </c>
      <c r="E3085" s="336">
        <v>43748</v>
      </c>
      <c r="F3085" s="336">
        <v>43685</v>
      </c>
      <c r="G3085" s="336">
        <v>43747</v>
      </c>
      <c r="H3085" s="334" t="s">
        <v>7823</v>
      </c>
      <c r="I3085" s="356">
        <v>15901842668</v>
      </c>
      <c r="J3085" s="361" t="s">
        <v>7824</v>
      </c>
      <c r="K3085" s="356">
        <v>2000</v>
      </c>
      <c r="L3085" s="334">
        <v>14408</v>
      </c>
      <c r="M3085" s="419"/>
      <c r="N3085" s="362">
        <f t="shared" si="111"/>
        <v>14408</v>
      </c>
      <c r="O3085" s="356"/>
      <c r="P3085" s="356"/>
      <c r="Q3085" s="430" t="s">
        <v>52</v>
      </c>
      <c r="R3085" s="356"/>
      <c r="S3085" s="356"/>
      <c r="T3085" s="356"/>
      <c r="U3085" s="372"/>
      <c r="V3085" s="372"/>
      <c r="W3085" s="372"/>
      <c r="X3085" s="373"/>
      <c r="Y3085" s="348"/>
      <c r="Z3085" s="348"/>
      <c r="AA3085" s="348"/>
    </row>
    <row r="3086" s="331" customFormat="1" ht="17" customHeight="1" spans="1:27">
      <c r="A3086" s="348"/>
      <c r="B3086" s="348" t="s">
        <v>147</v>
      </c>
      <c r="C3086" s="334" t="s">
        <v>148</v>
      </c>
      <c r="D3086" s="349" t="s">
        <v>187</v>
      </c>
      <c r="E3086" s="336">
        <v>43685</v>
      </c>
      <c r="F3086" s="336"/>
      <c r="G3086" s="336">
        <v>43683</v>
      </c>
      <c r="H3086" s="334" t="s">
        <v>7825</v>
      </c>
      <c r="I3086" s="356">
        <v>18917685821</v>
      </c>
      <c r="J3086" s="361" t="s">
        <v>7826</v>
      </c>
      <c r="K3086" s="356"/>
      <c r="L3086" s="334">
        <v>49655</v>
      </c>
      <c r="M3086" s="419"/>
      <c r="N3086" s="362">
        <f t="shared" si="111"/>
        <v>49655</v>
      </c>
      <c r="O3086" s="356"/>
      <c r="P3086" s="356"/>
      <c r="Q3086" s="356"/>
      <c r="R3086" s="356"/>
      <c r="S3086" s="356"/>
      <c r="T3086" s="356"/>
      <c r="U3086" s="372"/>
      <c r="V3086" s="372"/>
      <c r="W3086" s="372"/>
      <c r="X3086" s="373"/>
      <c r="Y3086" s="348"/>
      <c r="Z3086" s="348"/>
      <c r="AA3086" s="348"/>
    </row>
    <row r="3087" s="331" customFormat="1" ht="17" customHeight="1" spans="1:27">
      <c r="A3087" s="348"/>
      <c r="B3087" s="348" t="s">
        <v>87</v>
      </c>
      <c r="C3087" s="334" t="s">
        <v>1757</v>
      </c>
      <c r="D3087" s="349" t="s">
        <v>89</v>
      </c>
      <c r="E3087" s="336">
        <v>43685</v>
      </c>
      <c r="F3087" s="336"/>
      <c r="G3087" s="336">
        <v>43685</v>
      </c>
      <c r="H3087" s="334" t="s">
        <v>7827</v>
      </c>
      <c r="I3087" s="356">
        <v>13764597585</v>
      </c>
      <c r="J3087" s="361" t="s">
        <v>7828</v>
      </c>
      <c r="K3087" s="356"/>
      <c r="L3087" s="334">
        <v>13289</v>
      </c>
      <c r="M3087" s="334">
        <v>2208</v>
      </c>
      <c r="N3087" s="362">
        <f t="shared" si="111"/>
        <v>15497</v>
      </c>
      <c r="O3087" s="356"/>
      <c r="P3087" s="356"/>
      <c r="Q3087" s="356"/>
      <c r="R3087" s="356"/>
      <c r="S3087" s="356"/>
      <c r="T3087" s="356"/>
      <c r="U3087" s="372"/>
      <c r="V3087" s="372"/>
      <c r="W3087" s="372"/>
      <c r="X3087" s="373"/>
      <c r="Y3087" s="348"/>
      <c r="Z3087" s="348"/>
      <c r="AA3087" s="348"/>
    </row>
    <row r="3088" s="331" customFormat="1" ht="17" customHeight="1" spans="1:27">
      <c r="A3088" s="348"/>
      <c r="B3088" s="348" t="s">
        <v>137</v>
      </c>
      <c r="C3088" s="334" t="s">
        <v>406</v>
      </c>
      <c r="D3088" s="349" t="s">
        <v>139</v>
      </c>
      <c r="E3088" s="336">
        <v>43685</v>
      </c>
      <c r="F3088" s="336" t="s">
        <v>800</v>
      </c>
      <c r="G3088" s="336">
        <v>43685</v>
      </c>
      <c r="H3088" s="334" t="s">
        <v>7829</v>
      </c>
      <c r="I3088" s="356">
        <v>13601673067</v>
      </c>
      <c r="J3088" s="361" t="s">
        <v>7830</v>
      </c>
      <c r="K3088" s="356"/>
      <c r="L3088" s="419"/>
      <c r="M3088" s="334">
        <v>1049</v>
      </c>
      <c r="N3088" s="362">
        <f t="shared" si="111"/>
        <v>1049</v>
      </c>
      <c r="O3088" s="356"/>
      <c r="P3088" s="356"/>
      <c r="Q3088" s="356"/>
      <c r="R3088" s="356"/>
      <c r="S3088" s="356"/>
      <c r="T3088" s="356"/>
      <c r="U3088" s="372"/>
      <c r="V3088" s="372"/>
      <c r="W3088" s="372"/>
      <c r="X3088" s="373"/>
      <c r="Y3088" s="348"/>
      <c r="Z3088" s="348"/>
      <c r="AA3088" s="348"/>
    </row>
    <row r="3089" s="331" customFormat="1" ht="17" customHeight="1" spans="1:27">
      <c r="A3089" s="348"/>
      <c r="B3089" s="348" t="s">
        <v>137</v>
      </c>
      <c r="C3089" s="334" t="s">
        <v>406</v>
      </c>
      <c r="D3089" s="349" t="s">
        <v>427</v>
      </c>
      <c r="E3089" s="336">
        <v>43685</v>
      </c>
      <c r="F3089" s="336" t="s">
        <v>800</v>
      </c>
      <c r="G3089" s="336">
        <v>43684</v>
      </c>
      <c r="H3089" s="334" t="s">
        <v>7250</v>
      </c>
      <c r="I3089" s="356">
        <v>18217097356</v>
      </c>
      <c r="J3089" s="361" t="s">
        <v>7831</v>
      </c>
      <c r="K3089" s="356"/>
      <c r="L3089" s="419"/>
      <c r="M3089" s="334">
        <v>650</v>
      </c>
      <c r="N3089" s="362">
        <f t="shared" si="111"/>
        <v>650</v>
      </c>
      <c r="O3089" s="356"/>
      <c r="P3089" s="356"/>
      <c r="Q3089" s="356"/>
      <c r="R3089" s="356"/>
      <c r="S3089" s="356"/>
      <c r="T3089" s="356"/>
      <c r="U3089" s="372"/>
      <c r="V3089" s="372"/>
      <c r="W3089" s="372"/>
      <c r="X3089" s="373"/>
      <c r="Y3089" s="348"/>
      <c r="Z3089" s="348"/>
      <c r="AA3089" s="348"/>
    </row>
    <row r="3090" s="331" customFormat="1" ht="17" customHeight="1" spans="1:27">
      <c r="A3090" s="348"/>
      <c r="B3090" s="348" t="s">
        <v>315</v>
      </c>
      <c r="C3090" s="334" t="s">
        <v>181</v>
      </c>
      <c r="D3090" s="349" t="s">
        <v>89</v>
      </c>
      <c r="E3090" s="336">
        <v>43685</v>
      </c>
      <c r="F3090" s="336" t="s">
        <v>800</v>
      </c>
      <c r="G3090" s="336">
        <v>43684</v>
      </c>
      <c r="H3090" s="334" t="s">
        <v>4858</v>
      </c>
      <c r="I3090" s="356">
        <v>13916345803</v>
      </c>
      <c r="J3090" s="361" t="s">
        <v>7832</v>
      </c>
      <c r="K3090" s="356"/>
      <c r="L3090" s="419"/>
      <c r="M3090" s="334">
        <v>400</v>
      </c>
      <c r="N3090" s="362">
        <f t="shared" si="111"/>
        <v>400</v>
      </c>
      <c r="O3090" s="356"/>
      <c r="P3090" s="356"/>
      <c r="Q3090" s="356"/>
      <c r="R3090" s="356"/>
      <c r="S3090" s="356"/>
      <c r="T3090" s="356"/>
      <c r="U3090" s="372"/>
      <c r="V3090" s="372"/>
      <c r="W3090" s="372"/>
      <c r="X3090" s="373"/>
      <c r="Y3090" s="348"/>
      <c r="Z3090" s="348"/>
      <c r="AA3090" s="348"/>
    </row>
    <row r="3091" s="331" customFormat="1" ht="17" customHeight="1" spans="1:27">
      <c r="A3091" s="348"/>
      <c r="B3091" s="348" t="s">
        <v>147</v>
      </c>
      <c r="C3091" s="334" t="s">
        <v>148</v>
      </c>
      <c r="D3091" s="349" t="s">
        <v>162</v>
      </c>
      <c r="E3091" s="336">
        <v>43685</v>
      </c>
      <c r="F3091" s="336" t="s">
        <v>800</v>
      </c>
      <c r="G3091" s="336">
        <v>43684</v>
      </c>
      <c r="H3091" s="334" t="s">
        <v>7833</v>
      </c>
      <c r="I3091" s="356">
        <v>13585578868</v>
      </c>
      <c r="J3091" s="361" t="s">
        <v>7834</v>
      </c>
      <c r="K3091" s="356"/>
      <c r="L3091" s="419"/>
      <c r="M3091" s="334">
        <v>234</v>
      </c>
      <c r="N3091" s="362">
        <f t="shared" si="111"/>
        <v>234</v>
      </c>
      <c r="O3091" s="356"/>
      <c r="P3091" s="356"/>
      <c r="Q3091" s="356"/>
      <c r="R3091" s="356"/>
      <c r="S3091" s="356"/>
      <c r="T3091" s="356"/>
      <c r="U3091" s="372"/>
      <c r="V3091" s="372"/>
      <c r="W3091" s="372"/>
      <c r="X3091" s="373"/>
      <c r="Y3091" s="348"/>
      <c r="Z3091" s="348"/>
      <c r="AA3091" s="348"/>
    </row>
    <row r="3092" s="331" customFormat="1" ht="17" customHeight="1" spans="1:27">
      <c r="A3092" s="348"/>
      <c r="B3092" s="348" t="s">
        <v>31</v>
      </c>
      <c r="C3092" s="334" t="s">
        <v>220</v>
      </c>
      <c r="D3092" s="349" t="s">
        <v>33</v>
      </c>
      <c r="E3092" s="336">
        <v>43685</v>
      </c>
      <c r="F3092" s="336" t="s">
        <v>800</v>
      </c>
      <c r="G3092" s="336">
        <v>43685</v>
      </c>
      <c r="H3092" s="334" t="s">
        <v>7835</v>
      </c>
      <c r="I3092" s="356">
        <v>13774383106</v>
      </c>
      <c r="J3092" s="361" t="s">
        <v>7836</v>
      </c>
      <c r="K3092" s="356"/>
      <c r="L3092" s="419"/>
      <c r="M3092" s="334">
        <v>124</v>
      </c>
      <c r="N3092" s="362">
        <f t="shared" si="111"/>
        <v>124</v>
      </c>
      <c r="O3092" s="356"/>
      <c r="P3092" s="356"/>
      <c r="Q3092" s="356"/>
      <c r="R3092" s="356"/>
      <c r="S3092" s="356"/>
      <c r="T3092" s="356"/>
      <c r="U3092" s="372"/>
      <c r="V3092" s="372"/>
      <c r="W3092" s="372"/>
      <c r="X3092" s="373"/>
      <c r="Y3092" s="348"/>
      <c r="Z3092" s="348"/>
      <c r="AA3092" s="348"/>
    </row>
    <row r="3093" s="331" customFormat="1" ht="17" customHeight="1" spans="1:27">
      <c r="A3093" s="348"/>
      <c r="B3093" s="348" t="s">
        <v>315</v>
      </c>
      <c r="C3093" s="334" t="s">
        <v>722</v>
      </c>
      <c r="D3093" s="349" t="s">
        <v>182</v>
      </c>
      <c r="E3093" s="336">
        <v>43685</v>
      </c>
      <c r="F3093" s="336" t="s">
        <v>800</v>
      </c>
      <c r="G3093" s="336">
        <v>43685</v>
      </c>
      <c r="H3093" s="334" t="s">
        <v>7837</v>
      </c>
      <c r="I3093" s="356">
        <v>13916446620</v>
      </c>
      <c r="J3093" s="361" t="s">
        <v>7838</v>
      </c>
      <c r="K3093" s="356"/>
      <c r="L3093" s="419"/>
      <c r="M3093" s="334">
        <v>7055</v>
      </c>
      <c r="N3093" s="362">
        <f t="shared" si="111"/>
        <v>7055</v>
      </c>
      <c r="O3093" s="356"/>
      <c r="P3093" s="356"/>
      <c r="Q3093" s="356"/>
      <c r="R3093" s="356"/>
      <c r="S3093" s="356"/>
      <c r="T3093" s="356"/>
      <c r="U3093" s="372"/>
      <c r="V3093" s="372"/>
      <c r="W3093" s="372"/>
      <c r="X3093" s="373"/>
      <c r="Y3093" s="348"/>
      <c r="Z3093" s="348"/>
      <c r="AA3093" s="348"/>
    </row>
    <row r="3094" s="331" customFormat="1" ht="17" customHeight="1" spans="1:27">
      <c r="A3094" s="348"/>
      <c r="B3094" s="348" t="s">
        <v>31</v>
      </c>
      <c r="C3094" s="334" t="s">
        <v>251</v>
      </c>
      <c r="D3094" s="349" t="s">
        <v>33</v>
      </c>
      <c r="E3094" s="336">
        <v>43685</v>
      </c>
      <c r="F3094" s="336" t="s">
        <v>800</v>
      </c>
      <c r="G3094" s="336">
        <v>43685</v>
      </c>
      <c r="H3094" s="334" t="s">
        <v>7839</v>
      </c>
      <c r="I3094" s="356">
        <v>13701928635</v>
      </c>
      <c r="J3094" s="361" t="s">
        <v>7840</v>
      </c>
      <c r="K3094" s="356"/>
      <c r="L3094" s="419"/>
      <c r="M3094" s="334">
        <v>3960</v>
      </c>
      <c r="N3094" s="362">
        <f t="shared" si="111"/>
        <v>3960</v>
      </c>
      <c r="O3094" s="356"/>
      <c r="P3094" s="356"/>
      <c r="Q3094" s="356"/>
      <c r="R3094" s="356"/>
      <c r="S3094" s="356"/>
      <c r="T3094" s="356"/>
      <c r="U3094" s="372"/>
      <c r="V3094" s="372"/>
      <c r="W3094" s="372"/>
      <c r="X3094" s="373"/>
      <c r="Y3094" s="348"/>
      <c r="Z3094" s="348"/>
      <c r="AA3094" s="348"/>
    </row>
    <row r="3095" s="331" customFormat="1" ht="17" customHeight="1" spans="1:27">
      <c r="A3095" s="348"/>
      <c r="B3095" s="348" t="s">
        <v>236</v>
      </c>
      <c r="C3095" s="334" t="s">
        <v>703</v>
      </c>
      <c r="D3095" s="352" t="s">
        <v>125</v>
      </c>
      <c r="E3095" s="336">
        <v>43685</v>
      </c>
      <c r="F3095" s="336" t="s">
        <v>800</v>
      </c>
      <c r="G3095" s="336">
        <v>43684</v>
      </c>
      <c r="H3095" s="334" t="s">
        <v>7841</v>
      </c>
      <c r="I3095" s="356">
        <v>13918712012</v>
      </c>
      <c r="J3095" s="361" t="s">
        <v>7842</v>
      </c>
      <c r="K3095" s="356"/>
      <c r="L3095" s="419"/>
      <c r="M3095" s="334">
        <f>1072+969</f>
        <v>2041</v>
      </c>
      <c r="N3095" s="362">
        <f t="shared" si="111"/>
        <v>2041</v>
      </c>
      <c r="O3095" s="356"/>
      <c r="P3095" s="356"/>
      <c r="Q3095" s="356"/>
      <c r="R3095" s="356"/>
      <c r="S3095" s="356"/>
      <c r="T3095" s="356"/>
      <c r="U3095" s="372"/>
      <c r="V3095" s="372"/>
      <c r="W3095" s="372"/>
      <c r="X3095" s="373"/>
      <c r="Y3095" s="348"/>
      <c r="Z3095" s="348"/>
      <c r="AA3095" s="348"/>
    </row>
    <row r="3096" s="331" customFormat="1" ht="17" customHeight="1" spans="1:27">
      <c r="A3096" s="348"/>
      <c r="B3096" s="348" t="s">
        <v>315</v>
      </c>
      <c r="C3096" s="334" t="s">
        <v>181</v>
      </c>
      <c r="D3096" s="349" t="s">
        <v>162</v>
      </c>
      <c r="E3096" s="336">
        <v>43685</v>
      </c>
      <c r="F3096" s="336" t="s">
        <v>800</v>
      </c>
      <c r="G3096" s="336">
        <v>43685</v>
      </c>
      <c r="H3096" s="334" t="s">
        <v>7843</v>
      </c>
      <c r="I3096" s="356">
        <v>13651926601</v>
      </c>
      <c r="J3096" s="361" t="s">
        <v>7844</v>
      </c>
      <c r="K3096" s="356"/>
      <c r="L3096" s="419"/>
      <c r="M3096" s="334">
        <f>536+3480</f>
        <v>4016</v>
      </c>
      <c r="N3096" s="362">
        <f t="shared" si="111"/>
        <v>4016</v>
      </c>
      <c r="O3096" s="356"/>
      <c r="P3096" s="356"/>
      <c r="Q3096" s="356"/>
      <c r="R3096" s="356"/>
      <c r="S3096" s="356"/>
      <c r="T3096" s="356"/>
      <c r="U3096" s="372"/>
      <c r="V3096" s="372"/>
      <c r="W3096" s="372"/>
      <c r="X3096" s="373"/>
      <c r="Y3096" s="348"/>
      <c r="Z3096" s="348"/>
      <c r="AA3096" s="348"/>
    </row>
    <row r="3097" s="331" customFormat="1" ht="17" customHeight="1" spans="1:27">
      <c r="A3097" s="348">
        <v>2067258</v>
      </c>
      <c r="B3097" s="348" t="s">
        <v>87</v>
      </c>
      <c r="C3097" s="348" t="s">
        <v>199</v>
      </c>
      <c r="D3097" s="352" t="s">
        <v>89</v>
      </c>
      <c r="E3097" s="336">
        <v>43708</v>
      </c>
      <c r="F3097" s="336">
        <v>43685</v>
      </c>
      <c r="G3097" s="336">
        <v>43708</v>
      </c>
      <c r="H3097" s="334" t="s">
        <v>7845</v>
      </c>
      <c r="I3097" s="356">
        <v>18964762778</v>
      </c>
      <c r="J3097" s="361" t="s">
        <v>7846</v>
      </c>
      <c r="K3097" s="356">
        <v>2259</v>
      </c>
      <c r="L3097" s="334">
        <f>21063-2576</f>
        <v>18487</v>
      </c>
      <c r="M3097" s="334">
        <v>2576</v>
      </c>
      <c r="N3097" s="362">
        <f t="shared" ref="N3097:N3125" si="112">L3097+M3097</f>
        <v>21063</v>
      </c>
      <c r="O3097" s="356"/>
      <c r="P3097" s="356"/>
      <c r="Q3097" s="356"/>
      <c r="R3097" s="411" t="s">
        <v>52</v>
      </c>
      <c r="S3097" s="356"/>
      <c r="T3097" s="356"/>
      <c r="U3097" s="372"/>
      <c r="V3097" s="372"/>
      <c r="W3097" s="372"/>
      <c r="X3097" s="373"/>
      <c r="Y3097" s="348"/>
      <c r="Z3097" s="348"/>
      <c r="AA3097" s="348"/>
    </row>
    <row r="3098" s="331" customFormat="1" ht="17" customHeight="1" spans="1:27">
      <c r="A3098" s="550" t="s">
        <v>7847</v>
      </c>
      <c r="B3098" s="348" t="s">
        <v>137</v>
      </c>
      <c r="C3098" s="348" t="s">
        <v>411</v>
      </c>
      <c r="D3098" s="334" t="s">
        <v>139</v>
      </c>
      <c r="E3098" s="336">
        <v>43731</v>
      </c>
      <c r="F3098" s="336">
        <v>43685</v>
      </c>
      <c r="G3098" s="336">
        <v>43729</v>
      </c>
      <c r="H3098" s="334" t="s">
        <v>7848</v>
      </c>
      <c r="I3098" s="356">
        <v>18626055099</v>
      </c>
      <c r="J3098" s="361" t="s">
        <v>7849</v>
      </c>
      <c r="K3098" s="356">
        <v>1000</v>
      </c>
      <c r="L3098" s="334">
        <f>5896-1104</f>
        <v>4792</v>
      </c>
      <c r="M3098" s="334">
        <v>1104</v>
      </c>
      <c r="N3098" s="362">
        <f t="shared" si="112"/>
        <v>5896</v>
      </c>
      <c r="O3098" s="356">
        <v>1</v>
      </c>
      <c r="P3098" s="356"/>
      <c r="Q3098" s="356"/>
      <c r="R3098" s="356"/>
      <c r="S3098" s="356"/>
      <c r="T3098" s="356"/>
      <c r="U3098" s="372"/>
      <c r="V3098" s="372"/>
      <c r="W3098" s="372"/>
      <c r="X3098" s="373"/>
      <c r="Y3098" s="348"/>
      <c r="Z3098" s="348"/>
      <c r="AA3098" s="348"/>
    </row>
    <row r="3099" s="331" customFormat="1" ht="17" customHeight="1" spans="1:27">
      <c r="A3099" s="348"/>
      <c r="B3099" s="348" t="s">
        <v>31</v>
      </c>
      <c r="C3099" s="348" t="s">
        <v>220</v>
      </c>
      <c r="D3099" s="334" t="s">
        <v>33</v>
      </c>
      <c r="E3099" s="336">
        <v>43729</v>
      </c>
      <c r="F3099" s="336">
        <v>43685</v>
      </c>
      <c r="G3099" s="336">
        <v>43729</v>
      </c>
      <c r="H3099" s="334" t="s">
        <v>7850</v>
      </c>
      <c r="I3099" s="356">
        <v>13916609759</v>
      </c>
      <c r="J3099" s="361" t="s">
        <v>7851</v>
      </c>
      <c r="K3099" s="356">
        <v>4148</v>
      </c>
      <c r="L3099" s="334">
        <v>6592</v>
      </c>
      <c r="M3099" s="419"/>
      <c r="N3099" s="362">
        <f t="shared" si="112"/>
        <v>6592</v>
      </c>
      <c r="O3099" s="356"/>
      <c r="P3099" s="356"/>
      <c r="Q3099" s="366" t="s">
        <v>52</v>
      </c>
      <c r="R3099" s="356"/>
      <c r="S3099" s="356"/>
      <c r="T3099" s="356"/>
      <c r="U3099" s="372"/>
      <c r="V3099" s="372"/>
      <c r="W3099" s="372"/>
      <c r="X3099" s="373"/>
      <c r="Y3099" s="348"/>
      <c r="Z3099" s="348"/>
      <c r="AA3099" s="348"/>
    </row>
    <row r="3100" s="331" customFormat="1" ht="17" customHeight="1" spans="1:27">
      <c r="A3100" s="550" t="s">
        <v>7852</v>
      </c>
      <c r="B3100" s="348" t="s">
        <v>185</v>
      </c>
      <c r="C3100" s="348" t="s">
        <v>1204</v>
      </c>
      <c r="D3100" s="352" t="s">
        <v>44</v>
      </c>
      <c r="E3100" s="336">
        <v>43706</v>
      </c>
      <c r="F3100" s="336">
        <v>43685</v>
      </c>
      <c r="G3100" s="336">
        <v>43706</v>
      </c>
      <c r="H3100" s="334" t="s">
        <v>7853</v>
      </c>
      <c r="I3100" s="356">
        <v>13032108748</v>
      </c>
      <c r="J3100" s="361" t="s">
        <v>7854</v>
      </c>
      <c r="K3100" s="356">
        <v>1000</v>
      </c>
      <c r="L3100" s="334">
        <v>57320</v>
      </c>
      <c r="M3100" s="334">
        <v>2680</v>
      </c>
      <c r="N3100" s="362">
        <f t="shared" si="112"/>
        <v>60000</v>
      </c>
      <c r="O3100" s="356"/>
      <c r="P3100" s="356"/>
      <c r="Q3100" s="356"/>
      <c r="R3100" s="356"/>
      <c r="S3100" s="356" t="s">
        <v>52</v>
      </c>
      <c r="T3100" s="356"/>
      <c r="U3100" s="372"/>
      <c r="V3100" s="372"/>
      <c r="W3100" s="374">
        <v>43687</v>
      </c>
      <c r="X3100" s="373"/>
      <c r="Y3100" s="348"/>
      <c r="Z3100" s="348"/>
      <c r="AA3100" s="348"/>
    </row>
    <row r="3101" s="331" customFormat="1" ht="17" customHeight="1" spans="1:27">
      <c r="A3101" s="550" t="s">
        <v>7855</v>
      </c>
      <c r="B3101" s="348" t="s">
        <v>205</v>
      </c>
      <c r="C3101" s="348" t="s">
        <v>1467</v>
      </c>
      <c r="D3101" s="334" t="s">
        <v>207</v>
      </c>
      <c r="E3101" s="336">
        <v>43791</v>
      </c>
      <c r="F3101" s="336">
        <v>43686</v>
      </c>
      <c r="G3101" s="336">
        <v>43791</v>
      </c>
      <c r="H3101" s="334" t="s">
        <v>7856</v>
      </c>
      <c r="I3101" s="356">
        <v>18917133770</v>
      </c>
      <c r="J3101" s="361" t="s">
        <v>7857</v>
      </c>
      <c r="K3101" s="356">
        <v>1000</v>
      </c>
      <c r="L3101" s="334">
        <v>10087</v>
      </c>
      <c r="M3101" s="419"/>
      <c r="N3101" s="362">
        <f t="shared" si="112"/>
        <v>10087</v>
      </c>
      <c r="O3101" s="356"/>
      <c r="P3101" s="356" t="s">
        <v>1526</v>
      </c>
      <c r="Q3101" s="356"/>
      <c r="R3101" s="356"/>
      <c r="S3101" s="356"/>
      <c r="T3101" s="356"/>
      <c r="U3101" s="372"/>
      <c r="V3101" s="372"/>
      <c r="W3101" s="372"/>
      <c r="X3101" s="373"/>
      <c r="Y3101" s="348"/>
      <c r="Z3101" s="348"/>
      <c r="AA3101" s="348"/>
    </row>
    <row r="3102" s="331" customFormat="1" ht="17" customHeight="1" spans="1:27">
      <c r="A3102" s="550" t="s">
        <v>5220</v>
      </c>
      <c r="B3102" s="348" t="s">
        <v>147</v>
      </c>
      <c r="C3102" s="348" t="s">
        <v>148</v>
      </c>
      <c r="D3102" s="349" t="s">
        <v>1170</v>
      </c>
      <c r="E3102" s="336">
        <v>43689</v>
      </c>
      <c r="F3102" s="336">
        <v>43686</v>
      </c>
      <c r="G3102" s="336">
        <v>43688</v>
      </c>
      <c r="H3102" s="334" t="s">
        <v>7858</v>
      </c>
      <c r="I3102" s="356">
        <v>13701618179</v>
      </c>
      <c r="J3102" s="361" t="s">
        <v>7859</v>
      </c>
      <c r="K3102" s="356">
        <v>7278</v>
      </c>
      <c r="L3102" s="334">
        <v>9217</v>
      </c>
      <c r="M3102" s="419"/>
      <c r="N3102" s="362">
        <f t="shared" si="112"/>
        <v>9217</v>
      </c>
      <c r="O3102" s="356"/>
      <c r="P3102" s="356"/>
      <c r="Q3102" s="356"/>
      <c r="R3102" s="356"/>
      <c r="S3102" s="356"/>
      <c r="T3102" s="356"/>
      <c r="U3102" s="372"/>
      <c r="V3102" s="372"/>
      <c r="W3102" s="372"/>
      <c r="X3102" s="373"/>
      <c r="Y3102" s="348"/>
      <c r="Z3102" s="348"/>
      <c r="AA3102" s="348"/>
    </row>
    <row r="3103" s="331" customFormat="1" ht="17" customHeight="1" spans="1:27">
      <c r="A3103" s="550" t="s">
        <v>7860</v>
      </c>
      <c r="B3103" s="348" t="s">
        <v>66</v>
      </c>
      <c r="C3103" s="348" t="s">
        <v>951</v>
      </c>
      <c r="D3103" s="334" t="s">
        <v>1436</v>
      </c>
      <c r="E3103" s="336">
        <v>43733</v>
      </c>
      <c r="F3103" s="336">
        <v>43686</v>
      </c>
      <c r="G3103" s="336">
        <v>43733</v>
      </c>
      <c r="H3103" s="334" t="s">
        <v>7861</v>
      </c>
      <c r="I3103" s="356">
        <v>13764119719</v>
      </c>
      <c r="J3103" s="361" t="s">
        <v>7862</v>
      </c>
      <c r="K3103" s="356">
        <v>1000</v>
      </c>
      <c r="L3103" s="334">
        <v>11000</v>
      </c>
      <c r="M3103" s="419"/>
      <c r="N3103" s="362">
        <f t="shared" si="112"/>
        <v>11000</v>
      </c>
      <c r="O3103" s="356"/>
      <c r="P3103" s="356"/>
      <c r="Q3103" s="356"/>
      <c r="R3103" s="356"/>
      <c r="S3103" s="356"/>
      <c r="T3103" s="356"/>
      <c r="U3103" s="372"/>
      <c r="V3103" s="372"/>
      <c r="W3103" s="372"/>
      <c r="X3103" s="373"/>
      <c r="Y3103" s="348"/>
      <c r="Z3103" s="348"/>
      <c r="AA3103" s="348"/>
    </row>
    <row r="3104" s="331" customFormat="1" ht="17" customHeight="1" spans="1:27">
      <c r="A3104" s="348"/>
      <c r="B3104" s="348" t="s">
        <v>137</v>
      </c>
      <c r="C3104" s="348" t="s">
        <v>411</v>
      </c>
      <c r="D3104" s="334" t="s">
        <v>139</v>
      </c>
      <c r="E3104" s="336">
        <v>43707</v>
      </c>
      <c r="F3104" s="336">
        <v>43686</v>
      </c>
      <c r="G3104" s="336">
        <v>43707</v>
      </c>
      <c r="H3104" s="334" t="s">
        <v>7863</v>
      </c>
      <c r="I3104" s="356">
        <v>18917872022</v>
      </c>
      <c r="J3104" s="361" t="s">
        <v>7864</v>
      </c>
      <c r="K3104" s="356">
        <v>1000</v>
      </c>
      <c r="L3104" s="334">
        <v>26381</v>
      </c>
      <c r="M3104" s="419"/>
      <c r="N3104" s="362">
        <f t="shared" si="112"/>
        <v>26381</v>
      </c>
      <c r="O3104" s="356"/>
      <c r="P3104" s="356">
        <v>1</v>
      </c>
      <c r="Q3104" s="356"/>
      <c r="R3104" s="356"/>
      <c r="S3104" s="356"/>
      <c r="T3104" s="356"/>
      <c r="U3104" s="372"/>
      <c r="V3104" s="372"/>
      <c r="W3104" s="372"/>
      <c r="X3104" s="373"/>
      <c r="Y3104" s="348"/>
      <c r="Z3104" s="348"/>
      <c r="AA3104" s="348"/>
    </row>
    <row r="3105" s="331" customFormat="1" ht="17" customHeight="1" spans="1:27">
      <c r="A3105" s="550" t="s">
        <v>7865</v>
      </c>
      <c r="B3105" s="348" t="s">
        <v>281</v>
      </c>
      <c r="C3105" s="348" t="s">
        <v>517</v>
      </c>
      <c r="D3105" s="349" t="s">
        <v>518</v>
      </c>
      <c r="E3105" s="336">
        <v>43697</v>
      </c>
      <c r="F3105" s="336">
        <v>43686</v>
      </c>
      <c r="G3105" s="336">
        <v>43697</v>
      </c>
      <c r="H3105" s="334" t="s">
        <v>7866</v>
      </c>
      <c r="I3105" s="356">
        <v>13636506861</v>
      </c>
      <c r="J3105" s="361" t="s">
        <v>7867</v>
      </c>
      <c r="K3105" s="356">
        <v>1000</v>
      </c>
      <c r="L3105" s="334">
        <v>11400</v>
      </c>
      <c r="M3105" s="419"/>
      <c r="N3105" s="362">
        <f t="shared" si="112"/>
        <v>11400</v>
      </c>
      <c r="O3105" s="356"/>
      <c r="P3105" s="356"/>
      <c r="Q3105" s="356"/>
      <c r="R3105" s="356"/>
      <c r="S3105" s="356"/>
      <c r="T3105" s="356"/>
      <c r="U3105" s="372"/>
      <c r="V3105" s="372"/>
      <c r="W3105" s="372"/>
      <c r="X3105" s="373"/>
      <c r="Y3105" s="348"/>
      <c r="Z3105" s="348"/>
      <c r="AA3105" s="348"/>
    </row>
    <row r="3106" s="331" customFormat="1" ht="17" customHeight="1" spans="1:27">
      <c r="A3106" s="550" t="s">
        <v>7868</v>
      </c>
      <c r="B3106" s="348" t="s">
        <v>281</v>
      </c>
      <c r="C3106" s="348" t="s">
        <v>517</v>
      </c>
      <c r="D3106" s="334" t="s">
        <v>518</v>
      </c>
      <c r="E3106" s="336">
        <v>43836</v>
      </c>
      <c r="F3106" s="336">
        <v>43685</v>
      </c>
      <c r="G3106" s="336">
        <v>43836</v>
      </c>
      <c r="H3106" s="334" t="s">
        <v>7869</v>
      </c>
      <c r="I3106" s="356">
        <v>13816767632</v>
      </c>
      <c r="J3106" s="438" t="s">
        <v>7870</v>
      </c>
      <c r="K3106" s="356">
        <v>1000</v>
      </c>
      <c r="L3106" s="334">
        <v>13959</v>
      </c>
      <c r="M3106" s="419"/>
      <c r="N3106" s="362">
        <f t="shared" si="112"/>
        <v>13959</v>
      </c>
      <c r="O3106" s="356"/>
      <c r="P3106" s="356"/>
      <c r="Q3106" s="356"/>
      <c r="R3106" s="356" t="s">
        <v>52</v>
      </c>
      <c r="S3106" s="356"/>
      <c r="T3106" s="356"/>
      <c r="U3106" s="372"/>
      <c r="V3106" s="372"/>
      <c r="W3106" s="372"/>
      <c r="X3106" s="373"/>
      <c r="Y3106" s="348"/>
      <c r="Z3106" s="348"/>
      <c r="AA3106" s="348"/>
    </row>
    <row r="3107" s="331" customFormat="1" ht="17" customHeight="1" spans="1:27">
      <c r="A3107" s="348">
        <v>2024817</v>
      </c>
      <c r="B3107" s="348" t="s">
        <v>6313</v>
      </c>
      <c r="C3107" s="348" t="s">
        <v>7871</v>
      </c>
      <c r="D3107" s="352" t="s">
        <v>182</v>
      </c>
      <c r="E3107" s="336">
        <v>43688</v>
      </c>
      <c r="F3107" s="336">
        <v>43686</v>
      </c>
      <c r="G3107" s="336">
        <v>43688</v>
      </c>
      <c r="H3107" s="334" t="s">
        <v>7872</v>
      </c>
      <c r="I3107" s="356">
        <v>13061616156</v>
      </c>
      <c r="J3107" s="361" t="s">
        <v>7873</v>
      </c>
      <c r="K3107" s="356">
        <v>2000</v>
      </c>
      <c r="L3107" s="334">
        <v>8480</v>
      </c>
      <c r="M3107" s="334">
        <v>1520</v>
      </c>
      <c r="N3107" s="362">
        <f t="shared" si="112"/>
        <v>10000</v>
      </c>
      <c r="O3107" s="356"/>
      <c r="P3107" s="356"/>
      <c r="Q3107" s="356"/>
      <c r="R3107" s="356"/>
      <c r="S3107" s="356"/>
      <c r="T3107" s="356"/>
      <c r="U3107" s="372"/>
      <c r="V3107" s="372"/>
      <c r="W3107" s="372"/>
      <c r="X3107" s="373"/>
      <c r="Y3107" s="348"/>
      <c r="Z3107" s="348"/>
      <c r="AA3107" s="348"/>
    </row>
    <row r="3108" s="331" customFormat="1" ht="17" customHeight="1" spans="1:27">
      <c r="A3108" s="550" t="s">
        <v>7874</v>
      </c>
      <c r="B3108" s="348" t="s">
        <v>58</v>
      </c>
      <c r="C3108" s="348" t="s">
        <v>109</v>
      </c>
      <c r="D3108" s="349" t="s">
        <v>110</v>
      </c>
      <c r="E3108" s="336">
        <v>43686</v>
      </c>
      <c r="F3108" s="336">
        <v>43686</v>
      </c>
      <c r="G3108" s="350">
        <v>43686</v>
      </c>
      <c r="H3108" s="334" t="s">
        <v>7875</v>
      </c>
      <c r="I3108" s="356">
        <v>13671818093</v>
      </c>
      <c r="J3108" s="361" t="s">
        <v>7876</v>
      </c>
      <c r="K3108" s="356">
        <v>14633</v>
      </c>
      <c r="L3108" s="334">
        <v>14633</v>
      </c>
      <c r="M3108" s="419"/>
      <c r="N3108" s="362">
        <f t="shared" si="112"/>
        <v>14633</v>
      </c>
      <c r="O3108" s="356"/>
      <c r="P3108" s="356"/>
      <c r="Q3108" s="356"/>
      <c r="R3108" s="356"/>
      <c r="S3108" s="356"/>
      <c r="T3108" s="356"/>
      <c r="U3108" s="372"/>
      <c r="V3108" s="372"/>
      <c r="W3108" s="372"/>
      <c r="X3108" s="373"/>
      <c r="Y3108" s="348"/>
      <c r="Z3108" s="348"/>
      <c r="AA3108" s="348"/>
    </row>
    <row r="3109" s="331" customFormat="1" ht="17" customHeight="1" spans="1:27">
      <c r="A3109" s="550" t="s">
        <v>6865</v>
      </c>
      <c r="B3109" s="348" t="s">
        <v>35</v>
      </c>
      <c r="C3109" s="348" t="s">
        <v>328</v>
      </c>
      <c r="D3109" s="352" t="s">
        <v>37</v>
      </c>
      <c r="E3109" s="336">
        <v>43708</v>
      </c>
      <c r="F3109" s="336">
        <v>43686</v>
      </c>
      <c r="G3109" s="336">
        <v>43708</v>
      </c>
      <c r="H3109" s="334" t="s">
        <v>7877</v>
      </c>
      <c r="I3109" s="356">
        <v>13801835477</v>
      </c>
      <c r="J3109" s="361" t="s">
        <v>7878</v>
      </c>
      <c r="K3109" s="356">
        <f>3000+1000</f>
        <v>4000</v>
      </c>
      <c r="L3109" s="334">
        <v>5439</v>
      </c>
      <c r="M3109" s="419"/>
      <c r="N3109" s="362">
        <f t="shared" si="112"/>
        <v>5439</v>
      </c>
      <c r="O3109" s="356"/>
      <c r="P3109" s="356"/>
      <c r="Q3109" s="356" t="s">
        <v>52</v>
      </c>
      <c r="R3109" s="356"/>
      <c r="S3109" s="356"/>
      <c r="T3109" s="356"/>
      <c r="U3109" s="372"/>
      <c r="V3109" s="372"/>
      <c r="W3109" s="372"/>
      <c r="X3109" s="373"/>
      <c r="Y3109" s="348"/>
      <c r="Z3109" s="348"/>
      <c r="AA3109" s="348"/>
    </row>
    <row r="3110" s="331" customFormat="1" ht="17" customHeight="1" spans="1:27">
      <c r="A3110" s="550" t="s">
        <v>5016</v>
      </c>
      <c r="B3110" s="348" t="s">
        <v>185</v>
      </c>
      <c r="C3110" s="348" t="s">
        <v>886</v>
      </c>
      <c r="D3110" s="349" t="s">
        <v>44</v>
      </c>
      <c r="E3110" s="336">
        <v>43686</v>
      </c>
      <c r="F3110" s="336">
        <v>43686</v>
      </c>
      <c r="G3110" s="350">
        <v>43685</v>
      </c>
      <c r="H3110" s="334" t="s">
        <v>7879</v>
      </c>
      <c r="I3110" s="356">
        <v>13611744782</v>
      </c>
      <c r="J3110" s="361" t="s">
        <v>7880</v>
      </c>
      <c r="K3110" s="356">
        <v>7300</v>
      </c>
      <c r="L3110" s="334">
        <v>7300</v>
      </c>
      <c r="M3110" s="419"/>
      <c r="N3110" s="362">
        <f t="shared" si="112"/>
        <v>7300</v>
      </c>
      <c r="O3110" s="356"/>
      <c r="P3110" s="356"/>
      <c r="Q3110" s="356"/>
      <c r="R3110" s="356"/>
      <c r="S3110" s="356"/>
      <c r="T3110" s="356"/>
      <c r="U3110" s="372"/>
      <c r="V3110" s="372"/>
      <c r="W3110" s="372"/>
      <c r="X3110" s="373"/>
      <c r="Y3110" s="348"/>
      <c r="Z3110" s="348"/>
      <c r="AA3110" s="348"/>
    </row>
    <row r="3111" s="331" customFormat="1" ht="17" customHeight="1" spans="1:27">
      <c r="A3111" s="550" t="s">
        <v>7881</v>
      </c>
      <c r="B3111" s="348" t="s">
        <v>58</v>
      </c>
      <c r="C3111" s="348" t="s">
        <v>59</v>
      </c>
      <c r="D3111" s="334" t="s">
        <v>271</v>
      </c>
      <c r="E3111" s="336">
        <v>43709</v>
      </c>
      <c r="F3111" s="336">
        <v>43685</v>
      </c>
      <c r="G3111" s="336">
        <v>43709</v>
      </c>
      <c r="H3111" s="334" t="s">
        <v>7882</v>
      </c>
      <c r="I3111" s="356">
        <v>15821958729</v>
      </c>
      <c r="J3111" s="361" t="s">
        <v>7883</v>
      </c>
      <c r="K3111" s="356">
        <v>1000</v>
      </c>
      <c r="L3111" s="334">
        <v>10911</v>
      </c>
      <c r="M3111" s="419"/>
      <c r="N3111" s="362">
        <f t="shared" si="112"/>
        <v>10911</v>
      </c>
      <c r="O3111" s="366" t="s">
        <v>52</v>
      </c>
      <c r="P3111" s="356"/>
      <c r="Q3111" s="356"/>
      <c r="R3111" s="356"/>
      <c r="S3111" s="356"/>
      <c r="T3111" s="356"/>
      <c r="U3111" s="372"/>
      <c r="V3111" s="372"/>
      <c r="W3111" s="372" t="s">
        <v>98</v>
      </c>
      <c r="X3111" s="373"/>
      <c r="Y3111" s="348"/>
      <c r="Z3111" s="348"/>
      <c r="AA3111" s="348"/>
    </row>
    <row r="3112" s="331" customFormat="1" ht="15" customHeight="1" spans="1:27">
      <c r="A3112" s="550" t="s">
        <v>7884</v>
      </c>
      <c r="B3112" s="348" t="s">
        <v>58</v>
      </c>
      <c r="C3112" s="348" t="s">
        <v>59</v>
      </c>
      <c r="D3112" s="349" t="s">
        <v>271</v>
      </c>
      <c r="E3112" s="336">
        <v>43792</v>
      </c>
      <c r="F3112" s="336">
        <v>43685</v>
      </c>
      <c r="G3112" s="336">
        <v>43790</v>
      </c>
      <c r="H3112" s="334" t="s">
        <v>7885</v>
      </c>
      <c r="I3112" s="356">
        <v>13917970353</v>
      </c>
      <c r="J3112" s="361" t="s">
        <v>7886</v>
      </c>
      <c r="K3112" s="356">
        <v>1000</v>
      </c>
      <c r="L3112" s="334">
        <v>4200</v>
      </c>
      <c r="M3112" s="419"/>
      <c r="N3112" s="362">
        <f t="shared" si="112"/>
        <v>4200</v>
      </c>
      <c r="O3112" s="366" t="s">
        <v>52</v>
      </c>
      <c r="P3112" s="356"/>
      <c r="Q3112" s="356"/>
      <c r="R3112" s="356"/>
      <c r="S3112" s="356"/>
      <c r="T3112" s="356"/>
      <c r="U3112" s="372"/>
      <c r="V3112" s="372"/>
      <c r="W3112" s="372"/>
      <c r="X3112" s="373"/>
      <c r="Y3112" s="348"/>
      <c r="Z3112" s="348"/>
      <c r="AA3112" s="348"/>
    </row>
    <row r="3113" s="331" customFormat="1" ht="17" customHeight="1" spans="1:27">
      <c r="A3113" s="550" t="s">
        <v>7887</v>
      </c>
      <c r="B3113" s="348" t="s">
        <v>31</v>
      </c>
      <c r="C3113" s="348" t="s">
        <v>3186</v>
      </c>
      <c r="D3113" s="349" t="s">
        <v>33</v>
      </c>
      <c r="E3113" s="336">
        <v>43690</v>
      </c>
      <c r="F3113" s="336">
        <v>43686</v>
      </c>
      <c r="G3113" s="336">
        <v>43690</v>
      </c>
      <c r="H3113" s="334" t="s">
        <v>7888</v>
      </c>
      <c r="I3113" s="356">
        <v>18301900293</v>
      </c>
      <c r="J3113" s="361" t="s">
        <v>7889</v>
      </c>
      <c r="K3113" s="356">
        <v>1000</v>
      </c>
      <c r="L3113" s="334">
        <f>6967-536-300</f>
        <v>6131</v>
      </c>
      <c r="M3113" s="334">
        <v>536</v>
      </c>
      <c r="N3113" s="362">
        <f t="shared" si="112"/>
        <v>6667</v>
      </c>
      <c r="O3113" s="356"/>
      <c r="P3113" s="356"/>
      <c r="Q3113" s="356"/>
      <c r="R3113" s="356"/>
      <c r="S3113" s="356"/>
      <c r="T3113" s="366" t="s">
        <v>52</v>
      </c>
      <c r="U3113" s="372"/>
      <c r="V3113" s="372"/>
      <c r="W3113" s="372"/>
      <c r="X3113" s="373"/>
      <c r="Y3113" s="348"/>
      <c r="Z3113" s="348"/>
      <c r="AA3113" s="348"/>
    </row>
    <row r="3114" s="331" customFormat="1" ht="17" customHeight="1" spans="1:27">
      <c r="A3114" s="348"/>
      <c r="B3114" s="348" t="s">
        <v>153</v>
      </c>
      <c r="C3114" s="348" t="s">
        <v>302</v>
      </c>
      <c r="D3114" s="349" t="s">
        <v>155</v>
      </c>
      <c r="E3114" s="336">
        <v>43686</v>
      </c>
      <c r="F3114" s="336">
        <v>43685</v>
      </c>
      <c r="G3114" s="350">
        <v>43686</v>
      </c>
      <c r="H3114" s="334" t="s">
        <v>7890</v>
      </c>
      <c r="I3114" s="356">
        <v>13901935588</v>
      </c>
      <c r="J3114" s="361" t="s">
        <v>7891</v>
      </c>
      <c r="K3114" s="356">
        <v>0</v>
      </c>
      <c r="L3114" s="334">
        <v>6328</v>
      </c>
      <c r="M3114" s="419"/>
      <c r="N3114" s="362">
        <f t="shared" si="112"/>
        <v>6328</v>
      </c>
      <c r="O3114" s="356"/>
      <c r="P3114" s="356"/>
      <c r="Q3114" s="356"/>
      <c r="R3114" s="356"/>
      <c r="S3114" s="356"/>
      <c r="T3114" s="356"/>
      <c r="U3114" s="372"/>
      <c r="V3114" s="372"/>
      <c r="W3114" s="372"/>
      <c r="X3114" s="373"/>
      <c r="Y3114" s="348"/>
      <c r="Z3114" s="348"/>
      <c r="AA3114" s="348"/>
    </row>
    <row r="3115" s="331" customFormat="1" ht="17" customHeight="1" spans="1:27">
      <c r="A3115" s="550" t="s">
        <v>7892</v>
      </c>
      <c r="B3115" s="348" t="s">
        <v>315</v>
      </c>
      <c r="C3115" s="348" t="s">
        <v>181</v>
      </c>
      <c r="D3115" s="349" t="s">
        <v>89</v>
      </c>
      <c r="E3115" s="336">
        <v>43686</v>
      </c>
      <c r="F3115" s="336">
        <v>43686</v>
      </c>
      <c r="G3115" s="350">
        <v>43686</v>
      </c>
      <c r="H3115" s="334" t="s">
        <v>7893</v>
      </c>
      <c r="I3115" s="356">
        <v>13818594108</v>
      </c>
      <c r="J3115" s="361" t="s">
        <v>7894</v>
      </c>
      <c r="K3115" s="356">
        <v>19759</v>
      </c>
      <c r="L3115" s="334">
        <v>19759</v>
      </c>
      <c r="M3115" s="419"/>
      <c r="N3115" s="362">
        <f t="shared" si="112"/>
        <v>19759</v>
      </c>
      <c r="O3115" s="356"/>
      <c r="P3115" s="356"/>
      <c r="Q3115" s="356"/>
      <c r="R3115" s="356"/>
      <c r="S3115" s="356"/>
      <c r="T3115" s="356"/>
      <c r="U3115" s="372"/>
      <c r="V3115" s="372"/>
      <c r="W3115" s="372"/>
      <c r="X3115" s="373"/>
      <c r="Y3115" s="348"/>
      <c r="Z3115" s="348"/>
      <c r="AA3115" s="348"/>
    </row>
    <row r="3116" s="331" customFormat="1" ht="17" customHeight="1" spans="1:27">
      <c r="A3116" s="348"/>
      <c r="B3116" s="348" t="s">
        <v>236</v>
      </c>
      <c r="C3116" s="334" t="s">
        <v>195</v>
      </c>
      <c r="D3116" s="349" t="s">
        <v>635</v>
      </c>
      <c r="E3116" s="336">
        <v>43686</v>
      </c>
      <c r="F3116" s="336"/>
      <c r="G3116" s="336">
        <v>43684</v>
      </c>
      <c r="H3116" s="334" t="s">
        <v>4384</v>
      </c>
      <c r="I3116" s="356">
        <v>17317737606</v>
      </c>
      <c r="J3116" s="361" t="s">
        <v>7895</v>
      </c>
      <c r="K3116" s="356"/>
      <c r="L3116" s="334">
        <v>12695</v>
      </c>
      <c r="M3116" s="334">
        <v>5305</v>
      </c>
      <c r="N3116" s="362">
        <f t="shared" si="112"/>
        <v>18000</v>
      </c>
      <c r="O3116" s="356"/>
      <c r="P3116" s="356"/>
      <c r="Q3116" s="356"/>
      <c r="R3116" s="356"/>
      <c r="S3116" s="356"/>
      <c r="T3116" s="356"/>
      <c r="U3116" s="372"/>
      <c r="V3116" s="372"/>
      <c r="W3116" s="372"/>
      <c r="X3116" s="373"/>
      <c r="Y3116" s="348"/>
      <c r="Z3116" s="348"/>
      <c r="AA3116" s="348"/>
    </row>
    <row r="3117" s="331" customFormat="1" ht="17" customHeight="1" spans="1:27">
      <c r="A3117" s="348"/>
      <c r="B3117" s="348" t="s">
        <v>58</v>
      </c>
      <c r="C3117" s="334" t="s">
        <v>342</v>
      </c>
      <c r="D3117" s="349" t="s">
        <v>343</v>
      </c>
      <c r="E3117" s="336">
        <v>43686</v>
      </c>
      <c r="F3117" s="336"/>
      <c r="G3117" s="336">
        <v>43685</v>
      </c>
      <c r="H3117" s="334" t="s">
        <v>7896</v>
      </c>
      <c r="I3117" s="356">
        <v>13501813505</v>
      </c>
      <c r="J3117" s="361" t="s">
        <v>7897</v>
      </c>
      <c r="K3117" s="356"/>
      <c r="L3117" s="334">
        <v>35690</v>
      </c>
      <c r="M3117" s="419"/>
      <c r="N3117" s="362">
        <f t="shared" si="112"/>
        <v>35690</v>
      </c>
      <c r="O3117" s="356"/>
      <c r="P3117" s="356"/>
      <c r="Q3117" s="356"/>
      <c r="R3117" s="356"/>
      <c r="S3117" s="356"/>
      <c r="T3117" s="356"/>
      <c r="U3117" s="372"/>
      <c r="V3117" s="372"/>
      <c r="W3117" s="372"/>
      <c r="X3117" s="373"/>
      <c r="Y3117" s="348"/>
      <c r="Z3117" s="348"/>
      <c r="AA3117" s="348"/>
    </row>
    <row r="3118" s="331" customFormat="1" ht="17" customHeight="1" spans="1:27">
      <c r="A3118" s="348"/>
      <c r="B3118" s="348" t="s">
        <v>47</v>
      </c>
      <c r="C3118" s="334" t="s">
        <v>2399</v>
      </c>
      <c r="D3118" s="352" t="s">
        <v>49</v>
      </c>
      <c r="E3118" s="336">
        <v>43686</v>
      </c>
      <c r="F3118" s="336"/>
      <c r="G3118" s="336">
        <v>43685</v>
      </c>
      <c r="H3118" s="334" t="s">
        <v>3002</v>
      </c>
      <c r="I3118" s="356">
        <v>15021873596</v>
      </c>
      <c r="J3118" s="361" t="s">
        <v>7898</v>
      </c>
      <c r="K3118" s="356"/>
      <c r="L3118" s="334">
        <v>9518</v>
      </c>
      <c r="M3118" s="334">
        <f>2788+1472</f>
        <v>4260</v>
      </c>
      <c r="N3118" s="362">
        <f t="shared" si="112"/>
        <v>13778</v>
      </c>
      <c r="O3118" s="356"/>
      <c r="P3118" s="356"/>
      <c r="Q3118" s="356"/>
      <c r="R3118" s="356"/>
      <c r="S3118" s="356"/>
      <c r="T3118" s="356"/>
      <c r="U3118" s="372"/>
      <c r="V3118" s="372"/>
      <c r="W3118" s="372"/>
      <c r="X3118" s="373"/>
      <c r="Y3118" s="348"/>
      <c r="Z3118" s="348"/>
      <c r="AA3118" s="348"/>
    </row>
    <row r="3119" s="331" customFormat="1" ht="17" customHeight="1" spans="1:27">
      <c r="A3119" s="348"/>
      <c r="B3119" s="348" t="s">
        <v>185</v>
      </c>
      <c r="C3119" s="334" t="s">
        <v>1620</v>
      </c>
      <c r="D3119" s="349" t="s">
        <v>44</v>
      </c>
      <c r="E3119" s="336">
        <v>43686</v>
      </c>
      <c r="F3119" s="336" t="s">
        <v>800</v>
      </c>
      <c r="G3119" s="336">
        <v>43685</v>
      </c>
      <c r="H3119" s="334" t="s">
        <v>4127</v>
      </c>
      <c r="I3119" s="356">
        <v>13564398173</v>
      </c>
      <c r="J3119" s="361" t="s">
        <v>4128</v>
      </c>
      <c r="K3119" s="356"/>
      <c r="L3119" s="419"/>
      <c r="M3119" s="334">
        <f>368+736+758</f>
        <v>1862</v>
      </c>
      <c r="N3119" s="362">
        <f t="shared" si="112"/>
        <v>1862</v>
      </c>
      <c r="O3119" s="356"/>
      <c r="P3119" s="356"/>
      <c r="Q3119" s="356"/>
      <c r="R3119" s="356"/>
      <c r="S3119" s="356"/>
      <c r="T3119" s="356"/>
      <c r="U3119" s="372"/>
      <c r="V3119" s="372"/>
      <c r="W3119" s="372"/>
      <c r="X3119" s="373"/>
      <c r="Y3119" s="348"/>
      <c r="Z3119" s="348"/>
      <c r="AA3119" s="348"/>
    </row>
    <row r="3120" s="331" customFormat="1" ht="17" customHeight="1" spans="1:27">
      <c r="A3120" s="348"/>
      <c r="B3120" s="348" t="s">
        <v>147</v>
      </c>
      <c r="C3120" s="334" t="s">
        <v>148</v>
      </c>
      <c r="D3120" s="349" t="s">
        <v>187</v>
      </c>
      <c r="E3120" s="336">
        <v>43686</v>
      </c>
      <c r="F3120" s="336" t="s">
        <v>800</v>
      </c>
      <c r="G3120" s="336">
        <v>43684</v>
      </c>
      <c r="H3120" s="334" t="s">
        <v>6846</v>
      </c>
      <c r="I3120" s="356">
        <v>13758555719</v>
      </c>
      <c r="J3120" s="361" t="s">
        <v>7899</v>
      </c>
      <c r="K3120" s="356"/>
      <c r="L3120" s="419"/>
      <c r="M3120" s="334">
        <f>760+2743</f>
        <v>3503</v>
      </c>
      <c r="N3120" s="362">
        <f t="shared" si="112"/>
        <v>3503</v>
      </c>
      <c r="O3120" s="356"/>
      <c r="P3120" s="356"/>
      <c r="Q3120" s="356"/>
      <c r="R3120" s="356"/>
      <c r="S3120" s="356"/>
      <c r="T3120" s="356"/>
      <c r="U3120" s="372"/>
      <c r="V3120" s="372"/>
      <c r="W3120" s="372"/>
      <c r="X3120" s="373"/>
      <c r="Y3120" s="348"/>
      <c r="Z3120" s="348"/>
      <c r="AA3120" s="348"/>
    </row>
    <row r="3121" s="331" customFormat="1" ht="17" customHeight="1" spans="1:27">
      <c r="A3121" s="348"/>
      <c r="B3121" s="348" t="s">
        <v>137</v>
      </c>
      <c r="C3121" s="334" t="s">
        <v>406</v>
      </c>
      <c r="D3121" s="349" t="s">
        <v>139</v>
      </c>
      <c r="E3121" s="336">
        <v>43686</v>
      </c>
      <c r="F3121" s="336" t="s">
        <v>800</v>
      </c>
      <c r="G3121" s="336">
        <v>43686</v>
      </c>
      <c r="H3121" s="334" t="s">
        <v>6668</v>
      </c>
      <c r="I3121" s="356">
        <v>18021006350</v>
      </c>
      <c r="J3121" s="361" t="s">
        <v>7900</v>
      </c>
      <c r="K3121" s="356"/>
      <c r="L3121" s="419"/>
      <c r="M3121" s="334">
        <v>2655</v>
      </c>
      <c r="N3121" s="362">
        <f t="shared" si="112"/>
        <v>2655</v>
      </c>
      <c r="O3121" s="356"/>
      <c r="P3121" s="356"/>
      <c r="Q3121" s="356"/>
      <c r="R3121" s="356"/>
      <c r="S3121" s="356"/>
      <c r="T3121" s="356"/>
      <c r="U3121" s="372"/>
      <c r="V3121" s="372"/>
      <c r="W3121" s="372"/>
      <c r="X3121" s="373"/>
      <c r="Y3121" s="348"/>
      <c r="Z3121" s="348"/>
      <c r="AA3121" s="348"/>
    </row>
    <row r="3122" s="331" customFormat="1" ht="17" customHeight="1" spans="1:27">
      <c r="A3122" s="348"/>
      <c r="B3122" s="348" t="s">
        <v>185</v>
      </c>
      <c r="C3122" s="334" t="s">
        <v>1204</v>
      </c>
      <c r="D3122" s="349" t="s">
        <v>44</v>
      </c>
      <c r="E3122" s="336">
        <v>43686</v>
      </c>
      <c r="F3122" s="336" t="s">
        <v>800</v>
      </c>
      <c r="G3122" s="336">
        <v>43686</v>
      </c>
      <c r="H3122" s="334" t="s">
        <v>3959</v>
      </c>
      <c r="I3122" s="356">
        <v>13817615099</v>
      </c>
      <c r="J3122" s="361" t="s">
        <v>7901</v>
      </c>
      <c r="K3122" s="356"/>
      <c r="L3122" s="419"/>
      <c r="M3122" s="334">
        <v>16500</v>
      </c>
      <c r="N3122" s="362">
        <f t="shared" si="112"/>
        <v>16500</v>
      </c>
      <c r="O3122" s="356"/>
      <c r="P3122" s="356"/>
      <c r="Q3122" s="356"/>
      <c r="R3122" s="356"/>
      <c r="S3122" s="356"/>
      <c r="T3122" s="356"/>
      <c r="U3122" s="372"/>
      <c r="V3122" s="372"/>
      <c r="W3122" s="372"/>
      <c r="X3122" s="373"/>
      <c r="Y3122" s="348"/>
      <c r="Z3122" s="348"/>
      <c r="AA3122" s="348"/>
    </row>
    <row r="3123" s="331" customFormat="1" ht="17" customHeight="1" spans="1:27">
      <c r="A3123" s="348"/>
      <c r="B3123" s="348" t="s">
        <v>315</v>
      </c>
      <c r="C3123" s="334" t="s">
        <v>275</v>
      </c>
      <c r="D3123" s="349" t="s">
        <v>635</v>
      </c>
      <c r="E3123" s="336">
        <v>43686</v>
      </c>
      <c r="F3123" s="336" t="s">
        <v>800</v>
      </c>
      <c r="G3123" s="336">
        <v>43685</v>
      </c>
      <c r="H3123" s="334" t="s">
        <v>7902</v>
      </c>
      <c r="I3123" s="356">
        <v>13661580773</v>
      </c>
      <c r="J3123" s="361" t="s">
        <v>7903</v>
      </c>
      <c r="K3123" s="356"/>
      <c r="L3123" s="419"/>
      <c r="M3123" s="334">
        <v>10614</v>
      </c>
      <c r="N3123" s="362">
        <f t="shared" si="112"/>
        <v>10614</v>
      </c>
      <c r="O3123" s="356"/>
      <c r="P3123" s="356"/>
      <c r="Q3123" s="356"/>
      <c r="R3123" s="356"/>
      <c r="S3123" s="356"/>
      <c r="T3123" s="356"/>
      <c r="U3123" s="372"/>
      <c r="V3123" s="372"/>
      <c r="W3123" s="372"/>
      <c r="X3123" s="373"/>
      <c r="Y3123" s="348"/>
      <c r="Z3123" s="348"/>
      <c r="AA3123" s="348"/>
    </row>
    <row r="3124" s="331" customFormat="1" ht="17" customHeight="1" spans="1:27">
      <c r="A3124" s="348"/>
      <c r="B3124" s="348" t="s">
        <v>185</v>
      </c>
      <c r="C3124" s="334" t="s">
        <v>1204</v>
      </c>
      <c r="D3124" s="349" t="s">
        <v>187</v>
      </c>
      <c r="E3124" s="336">
        <v>43686</v>
      </c>
      <c r="F3124" s="336" t="s">
        <v>800</v>
      </c>
      <c r="G3124" s="336">
        <v>43686</v>
      </c>
      <c r="H3124" s="334" t="s">
        <v>5673</v>
      </c>
      <c r="I3124" s="356">
        <v>18918685216</v>
      </c>
      <c r="J3124" s="361" t="s">
        <v>5674</v>
      </c>
      <c r="K3124" s="356"/>
      <c r="L3124" s="419"/>
      <c r="M3124" s="334">
        <v>1005</v>
      </c>
      <c r="N3124" s="362">
        <f t="shared" si="112"/>
        <v>1005</v>
      </c>
      <c r="O3124" s="356"/>
      <c r="P3124" s="356"/>
      <c r="Q3124" s="356"/>
      <c r="R3124" s="356"/>
      <c r="S3124" s="356"/>
      <c r="T3124" s="356"/>
      <c r="U3124" s="372"/>
      <c r="V3124" s="372"/>
      <c r="W3124" s="372"/>
      <c r="X3124" s="373"/>
      <c r="Y3124" s="348"/>
      <c r="Z3124" s="348"/>
      <c r="AA3124" s="348"/>
    </row>
    <row r="3125" s="331" customFormat="1" ht="17" customHeight="1" spans="1:27">
      <c r="A3125" s="348"/>
      <c r="B3125" s="348" t="s">
        <v>147</v>
      </c>
      <c r="C3125" s="348" t="s">
        <v>148</v>
      </c>
      <c r="D3125" s="349" t="s">
        <v>162</v>
      </c>
      <c r="E3125" s="336">
        <v>43686</v>
      </c>
      <c r="F3125" s="336" t="s">
        <v>800</v>
      </c>
      <c r="G3125" s="336">
        <v>43615</v>
      </c>
      <c r="H3125" s="334" t="s">
        <v>7904</v>
      </c>
      <c r="I3125" s="356">
        <v>13661995918</v>
      </c>
      <c r="J3125" s="361" t="s">
        <v>7905</v>
      </c>
      <c r="K3125" s="356"/>
      <c r="L3125" s="419"/>
      <c r="M3125" s="334">
        <v>-651</v>
      </c>
      <c r="N3125" s="362">
        <f t="shared" si="112"/>
        <v>-651</v>
      </c>
      <c r="O3125" s="356"/>
      <c r="P3125" s="356"/>
      <c r="Q3125" s="356"/>
      <c r="R3125" s="356"/>
      <c r="S3125" s="356"/>
      <c r="T3125" s="356"/>
      <c r="U3125" s="372"/>
      <c r="V3125" s="372"/>
      <c r="W3125" s="372"/>
      <c r="X3125" s="373"/>
      <c r="Y3125" s="348"/>
      <c r="Z3125" s="348"/>
      <c r="AA3125" s="348"/>
    </row>
    <row r="3126" s="331" customFormat="1" ht="17" customHeight="1" spans="1:27">
      <c r="A3126" s="550" t="s">
        <v>6937</v>
      </c>
      <c r="B3126" s="348" t="s">
        <v>31</v>
      </c>
      <c r="C3126" s="348" t="s">
        <v>419</v>
      </c>
      <c r="D3126" s="349" t="s">
        <v>221</v>
      </c>
      <c r="E3126" s="336">
        <v>43687</v>
      </c>
      <c r="F3126" s="336">
        <v>43676</v>
      </c>
      <c r="G3126" s="350">
        <v>43676</v>
      </c>
      <c r="H3126" s="334" t="s">
        <v>7906</v>
      </c>
      <c r="I3126" s="356">
        <v>13321826051</v>
      </c>
      <c r="J3126" s="361" t="s">
        <v>7907</v>
      </c>
      <c r="K3126" s="356">
        <v>11392</v>
      </c>
      <c r="L3126" s="334">
        <v>11392</v>
      </c>
      <c r="M3126" s="419"/>
      <c r="N3126" s="362">
        <f t="shared" ref="N3126:N3179" si="113">L3126+M3126</f>
        <v>11392</v>
      </c>
      <c r="O3126" s="356"/>
      <c r="P3126" s="356"/>
      <c r="Q3126" s="356"/>
      <c r="R3126" s="356"/>
      <c r="S3126" s="356"/>
      <c r="T3126" s="356"/>
      <c r="U3126" s="372"/>
      <c r="V3126" s="372"/>
      <c r="W3126" s="372"/>
      <c r="X3126" s="373"/>
      <c r="Y3126" s="348"/>
      <c r="Z3126" s="348"/>
      <c r="AA3126" s="348"/>
    </row>
    <row r="3127" s="331" customFormat="1" ht="17" customHeight="1" spans="1:27">
      <c r="A3127" s="550" t="s">
        <v>7908</v>
      </c>
      <c r="B3127" s="348" t="s">
        <v>137</v>
      </c>
      <c r="C3127" s="348" t="s">
        <v>138</v>
      </c>
      <c r="D3127" s="349" t="s">
        <v>139</v>
      </c>
      <c r="E3127" s="336">
        <v>43687</v>
      </c>
      <c r="F3127" s="336">
        <v>43686</v>
      </c>
      <c r="G3127" s="350">
        <v>43686</v>
      </c>
      <c r="H3127" s="334" t="s">
        <v>7909</v>
      </c>
      <c r="I3127" s="356">
        <v>15821918211</v>
      </c>
      <c r="J3127" s="361" t="s">
        <v>7910</v>
      </c>
      <c r="K3127" s="356">
        <v>12572</v>
      </c>
      <c r="L3127" s="334">
        <v>12572</v>
      </c>
      <c r="M3127" s="419"/>
      <c r="N3127" s="362">
        <f t="shared" si="113"/>
        <v>12572</v>
      </c>
      <c r="O3127" s="356"/>
      <c r="P3127" s="356"/>
      <c r="Q3127" s="356"/>
      <c r="R3127" s="356"/>
      <c r="S3127" s="356"/>
      <c r="T3127" s="356"/>
      <c r="U3127" s="372"/>
      <c r="V3127" s="372"/>
      <c r="W3127" s="372"/>
      <c r="X3127" s="373"/>
      <c r="Y3127" s="348"/>
      <c r="Z3127" s="348"/>
      <c r="AA3127" s="348"/>
    </row>
    <row r="3128" s="331" customFormat="1" ht="17" customHeight="1" spans="1:27">
      <c r="A3128" s="348">
        <v>2025432</v>
      </c>
      <c r="B3128" s="348" t="s">
        <v>35</v>
      </c>
      <c r="C3128" s="348" t="s">
        <v>392</v>
      </c>
      <c r="D3128" s="352" t="s">
        <v>37</v>
      </c>
      <c r="E3128" s="336">
        <v>43738</v>
      </c>
      <c r="F3128" s="336">
        <v>43686</v>
      </c>
      <c r="G3128" s="336">
        <v>43738</v>
      </c>
      <c r="H3128" s="334" t="s">
        <v>7911</v>
      </c>
      <c r="I3128" s="356">
        <v>13816816175</v>
      </c>
      <c r="J3128" s="361" t="s">
        <v>7912</v>
      </c>
      <c r="K3128" s="356">
        <v>1000</v>
      </c>
      <c r="L3128" s="334">
        <v>20240</v>
      </c>
      <c r="M3128" s="419"/>
      <c r="N3128" s="362">
        <f t="shared" si="113"/>
        <v>20240</v>
      </c>
      <c r="O3128" s="356"/>
      <c r="P3128" s="356"/>
      <c r="Q3128" s="356"/>
      <c r="R3128" s="356" t="s">
        <v>52</v>
      </c>
      <c r="S3128" s="356"/>
      <c r="T3128" s="356"/>
      <c r="U3128" s="372"/>
      <c r="V3128" s="372"/>
      <c r="W3128" s="372"/>
      <c r="X3128" s="373"/>
      <c r="Y3128" s="348"/>
      <c r="Z3128" s="348"/>
      <c r="AA3128" s="348"/>
    </row>
    <row r="3129" s="331" customFormat="1" ht="17" customHeight="1" spans="1:27">
      <c r="A3129" s="550" t="s">
        <v>7913</v>
      </c>
      <c r="B3129" s="348" t="s">
        <v>58</v>
      </c>
      <c r="C3129" s="348" t="s">
        <v>347</v>
      </c>
      <c r="D3129" s="349" t="s">
        <v>110</v>
      </c>
      <c r="E3129" s="336">
        <v>43687</v>
      </c>
      <c r="F3129" s="336">
        <v>43686</v>
      </c>
      <c r="G3129" s="350">
        <v>43687</v>
      </c>
      <c r="H3129" s="334" t="s">
        <v>7914</v>
      </c>
      <c r="I3129" s="356">
        <v>18818252461</v>
      </c>
      <c r="J3129" s="361" t="s">
        <v>7915</v>
      </c>
      <c r="K3129" s="356">
        <v>6900</v>
      </c>
      <c r="L3129" s="334">
        <v>7513</v>
      </c>
      <c r="M3129" s="419"/>
      <c r="N3129" s="362">
        <f t="shared" si="113"/>
        <v>7513</v>
      </c>
      <c r="O3129" s="356"/>
      <c r="P3129" s="356"/>
      <c r="Q3129" s="356"/>
      <c r="R3129" s="356"/>
      <c r="S3129" s="356"/>
      <c r="T3129" s="356"/>
      <c r="U3129" s="372"/>
      <c r="V3129" s="372"/>
      <c r="W3129" s="372"/>
      <c r="X3129" s="373"/>
      <c r="Y3129" s="348"/>
      <c r="Z3129" s="348"/>
      <c r="AA3129" s="348"/>
    </row>
    <row r="3130" s="331" customFormat="1" ht="17" customHeight="1" spans="1:27">
      <c r="A3130" s="348"/>
      <c r="B3130" s="348" t="s">
        <v>2625</v>
      </c>
      <c r="C3130" s="348" t="s">
        <v>2626</v>
      </c>
      <c r="D3130" s="352" t="s">
        <v>44</v>
      </c>
      <c r="E3130" s="336">
        <v>43695</v>
      </c>
      <c r="F3130" s="336">
        <v>43687</v>
      </c>
      <c r="G3130" s="336">
        <v>43694</v>
      </c>
      <c r="H3130" s="334" t="s">
        <v>7916</v>
      </c>
      <c r="I3130" s="356">
        <v>13585982640</v>
      </c>
      <c r="J3130" s="361" t="s">
        <v>7917</v>
      </c>
      <c r="K3130" s="356">
        <v>1000</v>
      </c>
      <c r="L3130" s="334">
        <v>4180</v>
      </c>
      <c r="M3130" s="419"/>
      <c r="N3130" s="362">
        <f t="shared" si="113"/>
        <v>4180</v>
      </c>
      <c r="O3130" s="356"/>
      <c r="P3130" s="356" t="s">
        <v>7918</v>
      </c>
      <c r="Q3130" s="356"/>
      <c r="R3130" s="356"/>
      <c r="S3130" s="356"/>
      <c r="T3130" s="356"/>
      <c r="U3130" s="372"/>
      <c r="V3130" s="372"/>
      <c r="W3130" s="372"/>
      <c r="X3130" s="373"/>
      <c r="Y3130" s="348"/>
      <c r="Z3130" s="348"/>
      <c r="AA3130" s="348"/>
    </row>
    <row r="3131" s="331" customFormat="1" ht="17" customHeight="1" spans="1:27">
      <c r="A3131" s="550" t="s">
        <v>7919</v>
      </c>
      <c r="B3131" s="348" t="s">
        <v>185</v>
      </c>
      <c r="C3131" s="348" t="s">
        <v>1620</v>
      </c>
      <c r="D3131" s="352" t="s">
        <v>44</v>
      </c>
      <c r="E3131" s="336">
        <v>43702</v>
      </c>
      <c r="F3131" s="336">
        <v>43687</v>
      </c>
      <c r="G3131" s="336">
        <v>43701</v>
      </c>
      <c r="H3131" s="334" t="s">
        <v>7920</v>
      </c>
      <c r="I3131" s="356">
        <v>18918821029</v>
      </c>
      <c r="J3131" s="361" t="s">
        <v>7921</v>
      </c>
      <c r="K3131" s="356">
        <v>5000</v>
      </c>
      <c r="L3131" s="334">
        <v>19433</v>
      </c>
      <c r="M3131" s="419"/>
      <c r="N3131" s="362">
        <f t="shared" si="113"/>
        <v>19433</v>
      </c>
      <c r="O3131" s="356"/>
      <c r="P3131" s="356"/>
      <c r="Q3131" s="356" t="s">
        <v>52</v>
      </c>
      <c r="R3131" s="356"/>
      <c r="S3131" s="356"/>
      <c r="T3131" s="356"/>
      <c r="U3131" s="372"/>
      <c r="V3131" s="372"/>
      <c r="W3131" s="372"/>
      <c r="X3131" s="373"/>
      <c r="Y3131" s="348"/>
      <c r="Z3131" s="348"/>
      <c r="AA3131" s="348"/>
    </row>
    <row r="3132" s="331" customFormat="1" ht="17" customHeight="1" spans="1:27">
      <c r="A3132" s="348"/>
      <c r="B3132" s="348" t="s">
        <v>137</v>
      </c>
      <c r="C3132" s="348" t="s">
        <v>861</v>
      </c>
      <c r="D3132" s="334" t="s">
        <v>139</v>
      </c>
      <c r="E3132" s="336">
        <v>43765</v>
      </c>
      <c r="F3132" s="336">
        <v>43686</v>
      </c>
      <c r="G3132" s="336">
        <v>43765</v>
      </c>
      <c r="H3132" s="334" t="s">
        <v>7922</v>
      </c>
      <c r="I3132" s="356">
        <v>13816013779</v>
      </c>
      <c r="J3132" s="361" t="s">
        <v>7923</v>
      </c>
      <c r="K3132" s="356">
        <v>1000</v>
      </c>
      <c r="L3132" s="334">
        <v>12118</v>
      </c>
      <c r="M3132" s="419"/>
      <c r="N3132" s="362">
        <f t="shared" si="113"/>
        <v>12118</v>
      </c>
      <c r="O3132" s="356"/>
      <c r="P3132" s="356"/>
      <c r="Q3132" s="356"/>
      <c r="R3132" s="356">
        <v>1</v>
      </c>
      <c r="S3132" s="356"/>
      <c r="T3132" s="356"/>
      <c r="U3132" s="372"/>
      <c r="V3132" s="372"/>
      <c r="W3132" s="372"/>
      <c r="X3132" s="373"/>
      <c r="Y3132" s="348"/>
      <c r="Z3132" s="348"/>
      <c r="AA3132" s="348"/>
    </row>
    <row r="3133" s="331" customFormat="1" ht="17" customHeight="1" spans="1:27">
      <c r="A3133" s="550" t="s">
        <v>7924</v>
      </c>
      <c r="B3133" s="348" t="s">
        <v>335</v>
      </c>
      <c r="C3133" s="334" t="s">
        <v>615</v>
      </c>
      <c r="D3133" s="349" t="s">
        <v>635</v>
      </c>
      <c r="E3133" s="336">
        <v>43687</v>
      </c>
      <c r="F3133" s="336">
        <v>43687</v>
      </c>
      <c r="G3133" s="350">
        <v>43687</v>
      </c>
      <c r="H3133" s="334" t="s">
        <v>7925</v>
      </c>
      <c r="I3133" s="356">
        <v>13903499695</v>
      </c>
      <c r="J3133" s="361" t="s">
        <v>7926</v>
      </c>
      <c r="K3133" s="356">
        <v>19103</v>
      </c>
      <c r="L3133" s="334">
        <v>17631</v>
      </c>
      <c r="M3133" s="334">
        <v>1472</v>
      </c>
      <c r="N3133" s="362">
        <f t="shared" si="113"/>
        <v>19103</v>
      </c>
      <c r="O3133" s="356"/>
      <c r="P3133" s="356"/>
      <c r="Q3133" s="356"/>
      <c r="R3133" s="356"/>
      <c r="S3133" s="356"/>
      <c r="T3133" s="356"/>
      <c r="U3133" s="372"/>
      <c r="V3133" s="372"/>
      <c r="W3133" s="372"/>
      <c r="X3133" s="373"/>
      <c r="Y3133" s="348"/>
      <c r="Z3133" s="348"/>
      <c r="AA3133" s="348"/>
    </row>
    <row r="3134" s="331" customFormat="1" ht="17" customHeight="1" spans="1:27">
      <c r="A3134" s="348"/>
      <c r="B3134" s="348" t="s">
        <v>2625</v>
      </c>
      <c r="C3134" s="348" t="s">
        <v>2626</v>
      </c>
      <c r="D3134" s="349" t="s">
        <v>635</v>
      </c>
      <c r="E3134" s="336">
        <v>43692</v>
      </c>
      <c r="F3134" s="336">
        <v>43687</v>
      </c>
      <c r="G3134" s="336">
        <v>43690</v>
      </c>
      <c r="H3134" s="334" t="s">
        <v>7927</v>
      </c>
      <c r="I3134" s="356">
        <v>13651966724</v>
      </c>
      <c r="J3134" s="361" t="s">
        <v>7928</v>
      </c>
      <c r="K3134" s="356">
        <v>1000</v>
      </c>
      <c r="L3134" s="334">
        <v>9499</v>
      </c>
      <c r="M3134" s="419"/>
      <c r="N3134" s="362">
        <f t="shared" si="113"/>
        <v>9499</v>
      </c>
      <c r="O3134" s="356"/>
      <c r="P3134" s="356"/>
      <c r="Q3134" s="356"/>
      <c r="R3134" s="356"/>
      <c r="S3134" s="356"/>
      <c r="T3134" s="356"/>
      <c r="U3134" s="372"/>
      <c r="V3134" s="372"/>
      <c r="W3134" s="374">
        <v>43690</v>
      </c>
      <c r="X3134" s="373"/>
      <c r="Y3134" s="348"/>
      <c r="Z3134" s="348"/>
      <c r="AA3134" s="348"/>
    </row>
    <row r="3135" s="331" customFormat="1" ht="17" customHeight="1" spans="1:27">
      <c r="A3135" s="550" t="s">
        <v>7929</v>
      </c>
      <c r="B3135" s="348" t="s">
        <v>66</v>
      </c>
      <c r="C3135" s="348" t="s">
        <v>67</v>
      </c>
      <c r="D3135" s="334" t="s">
        <v>2302</v>
      </c>
      <c r="E3135" s="336">
        <v>43734</v>
      </c>
      <c r="F3135" s="336">
        <v>43687</v>
      </c>
      <c r="G3135" s="336">
        <v>43734</v>
      </c>
      <c r="H3135" s="334" t="s">
        <v>7930</v>
      </c>
      <c r="I3135" s="356">
        <v>18930846919</v>
      </c>
      <c r="J3135" s="361" t="s">
        <v>7931</v>
      </c>
      <c r="K3135" s="356">
        <v>1000</v>
      </c>
      <c r="L3135" s="334">
        <f>4915-736</f>
        <v>4179</v>
      </c>
      <c r="M3135" s="334">
        <v>736</v>
      </c>
      <c r="N3135" s="362">
        <f t="shared" si="113"/>
        <v>4915</v>
      </c>
      <c r="O3135" s="356"/>
      <c r="P3135" s="356"/>
      <c r="Q3135" s="356"/>
      <c r="R3135" s="356"/>
      <c r="S3135" s="356"/>
      <c r="T3135" s="356" t="s">
        <v>7932</v>
      </c>
      <c r="U3135" s="372"/>
      <c r="V3135" s="372"/>
      <c r="W3135" s="372"/>
      <c r="X3135" s="373"/>
      <c r="Y3135" s="348"/>
      <c r="Z3135" s="348"/>
      <c r="AA3135" s="348"/>
    </row>
    <row r="3136" s="331" customFormat="1" ht="17" customHeight="1" spans="1:27">
      <c r="A3136" s="550" t="s">
        <v>7933</v>
      </c>
      <c r="B3136" s="348" t="s">
        <v>123</v>
      </c>
      <c r="C3136" s="348" t="s">
        <v>32</v>
      </c>
      <c r="D3136" s="352" t="s">
        <v>125</v>
      </c>
      <c r="E3136" s="336">
        <v>43718</v>
      </c>
      <c r="F3136" s="336">
        <v>43687</v>
      </c>
      <c r="G3136" s="336">
        <v>43716</v>
      </c>
      <c r="H3136" s="334" t="s">
        <v>7934</v>
      </c>
      <c r="I3136" s="356">
        <v>13621775085</v>
      </c>
      <c r="J3136" s="361" t="s">
        <v>7935</v>
      </c>
      <c r="K3136" s="356">
        <v>1000</v>
      </c>
      <c r="L3136" s="334">
        <f>15198-1472</f>
        <v>13726</v>
      </c>
      <c r="M3136" s="334">
        <v>1472</v>
      </c>
      <c r="N3136" s="362">
        <f t="shared" si="113"/>
        <v>15198</v>
      </c>
      <c r="O3136" s="356"/>
      <c r="P3136" s="356"/>
      <c r="Q3136" s="356"/>
      <c r="R3136" s="356"/>
      <c r="S3136" s="356"/>
      <c r="T3136" s="356"/>
      <c r="U3136" s="372"/>
      <c r="V3136" s="372"/>
      <c r="W3136" s="372"/>
      <c r="X3136" s="373"/>
      <c r="Y3136" s="348"/>
      <c r="Z3136" s="348"/>
      <c r="AA3136" s="348"/>
    </row>
    <row r="3137" s="331" customFormat="1" ht="17" customHeight="1" spans="1:27">
      <c r="A3137" s="550" t="s">
        <v>7936</v>
      </c>
      <c r="B3137" s="348" t="s">
        <v>31</v>
      </c>
      <c r="C3137" s="348" t="s">
        <v>419</v>
      </c>
      <c r="D3137" s="334" t="s">
        <v>33</v>
      </c>
      <c r="E3137" s="336">
        <v>43737</v>
      </c>
      <c r="F3137" s="336">
        <v>43687</v>
      </c>
      <c r="G3137" s="336">
        <v>43737</v>
      </c>
      <c r="H3137" s="334" t="s">
        <v>7174</v>
      </c>
      <c r="I3137" s="356">
        <v>13764419500</v>
      </c>
      <c r="J3137" s="361" t="s">
        <v>7937</v>
      </c>
      <c r="K3137" s="356">
        <v>5000</v>
      </c>
      <c r="L3137" s="334">
        <v>23459</v>
      </c>
      <c r="M3137" s="419"/>
      <c r="N3137" s="362">
        <f t="shared" si="113"/>
        <v>23459</v>
      </c>
      <c r="O3137" s="356"/>
      <c r="P3137" s="356" t="s">
        <v>52</v>
      </c>
      <c r="Q3137" s="356"/>
      <c r="R3137" s="356"/>
      <c r="S3137" s="356"/>
      <c r="T3137" s="356"/>
      <c r="U3137" s="372"/>
      <c r="V3137" s="372"/>
      <c r="W3137" s="372"/>
      <c r="X3137" s="373"/>
      <c r="Y3137" s="348"/>
      <c r="Z3137" s="348"/>
      <c r="AA3137" s="348"/>
    </row>
    <row r="3138" s="331" customFormat="1" ht="17" customHeight="1" spans="1:27">
      <c r="A3138" s="550" t="s">
        <v>7938</v>
      </c>
      <c r="B3138" s="348" t="s">
        <v>153</v>
      </c>
      <c r="C3138" s="348" t="s">
        <v>302</v>
      </c>
      <c r="D3138" s="352" t="s">
        <v>155</v>
      </c>
      <c r="E3138" s="336">
        <v>43718</v>
      </c>
      <c r="F3138" s="336">
        <v>43687</v>
      </c>
      <c r="G3138" s="336">
        <v>43718</v>
      </c>
      <c r="H3138" s="334" t="s">
        <v>7939</v>
      </c>
      <c r="I3138" s="356">
        <v>13671827043</v>
      </c>
      <c r="J3138" s="361" t="s">
        <v>7940</v>
      </c>
      <c r="K3138" s="356">
        <v>1000</v>
      </c>
      <c r="L3138" s="334">
        <v>8965</v>
      </c>
      <c r="M3138" s="419"/>
      <c r="N3138" s="362">
        <f t="shared" si="113"/>
        <v>8965</v>
      </c>
      <c r="O3138" s="356"/>
      <c r="P3138" s="356"/>
      <c r="Q3138" s="356"/>
      <c r="R3138" s="356"/>
      <c r="S3138" s="356"/>
      <c r="T3138" s="356"/>
      <c r="U3138" s="372"/>
      <c r="V3138" s="372"/>
      <c r="W3138" s="372"/>
      <c r="X3138" s="373"/>
      <c r="Y3138" s="348"/>
      <c r="Z3138" s="348"/>
      <c r="AA3138" s="348"/>
    </row>
    <row r="3139" s="331" customFormat="1" ht="17" customHeight="1" spans="1:27">
      <c r="A3139" s="550" t="s">
        <v>7941</v>
      </c>
      <c r="B3139" s="348" t="s">
        <v>169</v>
      </c>
      <c r="C3139" s="348" t="s">
        <v>542</v>
      </c>
      <c r="D3139" s="352" t="s">
        <v>171</v>
      </c>
      <c r="E3139" s="336">
        <v>43688</v>
      </c>
      <c r="F3139" s="336">
        <v>43681</v>
      </c>
      <c r="G3139" s="336">
        <v>43688</v>
      </c>
      <c r="H3139" s="334" t="s">
        <v>7942</v>
      </c>
      <c r="I3139" s="356">
        <v>13817362072</v>
      </c>
      <c r="J3139" s="361" t="s">
        <v>7943</v>
      </c>
      <c r="K3139" s="356">
        <v>1000</v>
      </c>
      <c r="L3139" s="334">
        <v>21308</v>
      </c>
      <c r="M3139" s="419"/>
      <c r="N3139" s="362">
        <f t="shared" si="113"/>
        <v>21308</v>
      </c>
      <c r="O3139" s="356"/>
      <c r="P3139" s="356"/>
      <c r="Q3139" s="356"/>
      <c r="R3139" s="356"/>
      <c r="S3139" s="356"/>
      <c r="T3139" s="356"/>
      <c r="U3139" s="372"/>
      <c r="V3139" s="372"/>
      <c r="W3139" s="372"/>
      <c r="X3139" s="373"/>
      <c r="Y3139" s="348"/>
      <c r="Z3139" s="348"/>
      <c r="AA3139" s="348"/>
    </row>
    <row r="3140" s="331" customFormat="1" ht="17" customHeight="1" spans="1:27">
      <c r="A3140" s="348"/>
      <c r="B3140" s="348" t="s">
        <v>205</v>
      </c>
      <c r="C3140" s="348" t="s">
        <v>1467</v>
      </c>
      <c r="D3140" s="334" t="s">
        <v>89</v>
      </c>
      <c r="E3140" s="336">
        <v>43722</v>
      </c>
      <c r="F3140" s="336">
        <v>43687</v>
      </c>
      <c r="G3140" s="336">
        <v>43722</v>
      </c>
      <c r="H3140" s="334" t="s">
        <v>7944</v>
      </c>
      <c r="I3140" s="334">
        <v>18939715851</v>
      </c>
      <c r="J3140" s="334" t="s">
        <v>7945</v>
      </c>
      <c r="K3140" s="356">
        <v>1000</v>
      </c>
      <c r="L3140" s="334">
        <v>10323</v>
      </c>
      <c r="M3140" s="419"/>
      <c r="N3140" s="362">
        <f t="shared" si="113"/>
        <v>10323</v>
      </c>
      <c r="O3140" s="356" t="s">
        <v>19</v>
      </c>
      <c r="P3140" s="356"/>
      <c r="Q3140" s="356"/>
      <c r="R3140" s="356"/>
      <c r="S3140" s="356"/>
      <c r="T3140" s="356"/>
      <c r="U3140" s="372"/>
      <c r="V3140" s="372"/>
      <c r="W3140" s="372"/>
      <c r="X3140" s="373"/>
      <c r="Y3140" s="348"/>
      <c r="Z3140" s="348"/>
      <c r="AA3140" s="348"/>
    </row>
    <row r="3141" s="331" customFormat="1" ht="17" customHeight="1" spans="1:27">
      <c r="A3141" s="348">
        <v>2067601</v>
      </c>
      <c r="B3141" s="348" t="s">
        <v>243</v>
      </c>
      <c r="C3141" s="348" t="s">
        <v>309</v>
      </c>
      <c r="D3141" s="352" t="s">
        <v>49</v>
      </c>
      <c r="E3141" s="336">
        <v>43721</v>
      </c>
      <c r="F3141" s="336">
        <v>43687</v>
      </c>
      <c r="G3141" s="336">
        <v>43721</v>
      </c>
      <c r="H3141" s="334" t="s">
        <v>7946</v>
      </c>
      <c r="I3141" s="356">
        <v>15074063845</v>
      </c>
      <c r="J3141" s="361" t="s">
        <v>7947</v>
      </c>
      <c r="K3141" s="356">
        <v>1000</v>
      </c>
      <c r="L3141" s="334">
        <f>21910-3175</f>
        <v>18735</v>
      </c>
      <c r="M3141" s="334">
        <f>1567+1608</f>
        <v>3175</v>
      </c>
      <c r="N3141" s="362">
        <f t="shared" si="113"/>
        <v>21910</v>
      </c>
      <c r="O3141" s="356"/>
      <c r="P3141" s="356"/>
      <c r="Q3141" s="356" t="s">
        <v>52</v>
      </c>
      <c r="R3141" s="356"/>
      <c r="S3141" s="356"/>
      <c r="T3141" s="356"/>
      <c r="U3141" s="372"/>
      <c r="V3141" s="372"/>
      <c r="W3141" s="372"/>
      <c r="X3141" s="373"/>
      <c r="Y3141" s="348"/>
      <c r="Z3141" s="348"/>
      <c r="AA3141" s="348"/>
    </row>
    <row r="3142" s="331" customFormat="1" ht="17" customHeight="1" spans="1:27">
      <c r="A3142" s="550" t="s">
        <v>6234</v>
      </c>
      <c r="B3142" s="348" t="s">
        <v>205</v>
      </c>
      <c r="C3142" s="348" t="s">
        <v>1467</v>
      </c>
      <c r="D3142" s="334" t="s">
        <v>237</v>
      </c>
      <c r="E3142" s="336">
        <v>43722</v>
      </c>
      <c r="F3142" s="336">
        <v>43687</v>
      </c>
      <c r="G3142" s="336">
        <v>43722</v>
      </c>
      <c r="H3142" s="334" t="s">
        <v>7948</v>
      </c>
      <c r="I3142" s="356">
        <v>13916739033</v>
      </c>
      <c r="J3142" s="361" t="s">
        <v>7949</v>
      </c>
      <c r="K3142" s="356">
        <v>1000</v>
      </c>
      <c r="L3142" s="334">
        <v>19587</v>
      </c>
      <c r="M3142" s="419"/>
      <c r="N3142" s="362">
        <f t="shared" si="113"/>
        <v>19587</v>
      </c>
      <c r="O3142" s="356"/>
      <c r="P3142" s="356" t="s">
        <v>1526</v>
      </c>
      <c r="Q3142" s="356"/>
      <c r="R3142" s="356"/>
      <c r="S3142" s="356"/>
      <c r="T3142" s="356"/>
      <c r="U3142" s="372"/>
      <c r="V3142" s="372"/>
      <c r="W3142" s="372"/>
      <c r="X3142" s="373"/>
      <c r="Y3142" s="348"/>
      <c r="Z3142" s="348"/>
      <c r="AA3142" s="348"/>
    </row>
    <row r="3143" s="331" customFormat="1" ht="17" customHeight="1" spans="1:27">
      <c r="A3143" s="550" t="s">
        <v>7950</v>
      </c>
      <c r="B3143" s="348" t="s">
        <v>169</v>
      </c>
      <c r="C3143" s="348" t="s">
        <v>542</v>
      </c>
      <c r="D3143" s="352" t="s">
        <v>171</v>
      </c>
      <c r="E3143" s="336">
        <v>43708</v>
      </c>
      <c r="F3143" s="336">
        <v>43687</v>
      </c>
      <c r="G3143" s="336">
        <v>43708</v>
      </c>
      <c r="H3143" s="334" t="s">
        <v>7951</v>
      </c>
      <c r="I3143" s="356">
        <v>13818137360</v>
      </c>
      <c r="J3143" s="361" t="s">
        <v>7952</v>
      </c>
      <c r="K3143" s="356">
        <v>20000</v>
      </c>
      <c r="L3143" s="334">
        <v>18392</v>
      </c>
      <c r="M3143" s="334">
        <v>1608</v>
      </c>
      <c r="N3143" s="362">
        <f t="shared" si="113"/>
        <v>20000</v>
      </c>
      <c r="O3143" s="356"/>
      <c r="P3143" s="356"/>
      <c r="Q3143" s="356"/>
      <c r="R3143" s="356"/>
      <c r="S3143" s="356"/>
      <c r="T3143" s="356"/>
      <c r="U3143" s="372"/>
      <c r="V3143" s="356" t="s">
        <v>5908</v>
      </c>
      <c r="W3143" s="372"/>
      <c r="X3143" s="373"/>
      <c r="Y3143" s="348"/>
      <c r="Z3143" s="348"/>
      <c r="AA3143" s="348"/>
    </row>
    <row r="3144" s="331" customFormat="1" ht="17" customHeight="1" spans="1:27">
      <c r="A3144" s="550" t="s">
        <v>4779</v>
      </c>
      <c r="B3144" s="348" t="s">
        <v>66</v>
      </c>
      <c r="C3144" s="348" t="s">
        <v>3954</v>
      </c>
      <c r="D3144" s="334" t="s">
        <v>68</v>
      </c>
      <c r="E3144" s="336">
        <v>43717</v>
      </c>
      <c r="F3144" s="336">
        <v>43687</v>
      </c>
      <c r="G3144" s="336">
        <v>43716</v>
      </c>
      <c r="H3144" s="334" t="s">
        <v>7953</v>
      </c>
      <c r="I3144" s="356">
        <v>13301626922</v>
      </c>
      <c r="J3144" s="361" t="s">
        <v>7954</v>
      </c>
      <c r="K3144" s="356">
        <v>1000</v>
      </c>
      <c r="L3144" s="334">
        <f>8781-1104</f>
        <v>7677</v>
      </c>
      <c r="M3144" s="334">
        <v>1104</v>
      </c>
      <c r="N3144" s="362">
        <f t="shared" si="113"/>
        <v>8781</v>
      </c>
      <c r="O3144" s="356"/>
      <c r="P3144" s="356"/>
      <c r="Q3144" s="356"/>
      <c r="R3144" s="356"/>
      <c r="S3144" s="356"/>
      <c r="T3144" s="356"/>
      <c r="U3144" s="372"/>
      <c r="V3144" s="372"/>
      <c r="W3144" s="372" t="s">
        <v>7955</v>
      </c>
      <c r="X3144" s="373"/>
      <c r="Y3144" s="348"/>
      <c r="Z3144" s="348"/>
      <c r="AA3144" s="348"/>
    </row>
    <row r="3145" s="331" customFormat="1" ht="17" customHeight="1" spans="1:27">
      <c r="A3145" s="550" t="s">
        <v>7956</v>
      </c>
      <c r="B3145" s="348" t="s">
        <v>31</v>
      </c>
      <c r="C3145" s="348" t="s">
        <v>220</v>
      </c>
      <c r="D3145" s="352" t="s">
        <v>221</v>
      </c>
      <c r="E3145" s="336">
        <v>43687</v>
      </c>
      <c r="F3145" s="336">
        <v>43687</v>
      </c>
      <c r="G3145" s="350"/>
      <c r="H3145" s="334" t="s">
        <v>7957</v>
      </c>
      <c r="I3145" s="356">
        <v>15601826168</v>
      </c>
      <c r="J3145" s="361" t="s">
        <v>7958</v>
      </c>
      <c r="K3145" s="356">
        <v>1000</v>
      </c>
      <c r="L3145" s="419"/>
      <c r="M3145" s="419"/>
      <c r="N3145" s="362">
        <f t="shared" si="113"/>
        <v>0</v>
      </c>
      <c r="O3145" s="356"/>
      <c r="P3145" s="356"/>
      <c r="Q3145" s="356"/>
      <c r="R3145" s="356"/>
      <c r="S3145" s="356"/>
      <c r="T3145" s="356"/>
      <c r="U3145" s="400" t="s">
        <v>7959</v>
      </c>
      <c r="V3145" s="372"/>
      <c r="W3145" s="372"/>
      <c r="X3145" s="373"/>
      <c r="Y3145" s="348"/>
      <c r="Z3145" s="348"/>
      <c r="AA3145" s="348"/>
    </row>
    <row r="3146" s="331" customFormat="1" ht="17" customHeight="1" spans="1:27">
      <c r="A3146" s="550" t="s">
        <v>6992</v>
      </c>
      <c r="B3146" s="348" t="s">
        <v>58</v>
      </c>
      <c r="C3146" s="348" t="s">
        <v>794</v>
      </c>
      <c r="D3146" s="352" t="s">
        <v>110</v>
      </c>
      <c r="E3146" s="336">
        <v>43696</v>
      </c>
      <c r="F3146" s="336">
        <v>43687</v>
      </c>
      <c r="G3146" s="336">
        <v>43695</v>
      </c>
      <c r="H3146" s="334" t="s">
        <v>7960</v>
      </c>
      <c r="I3146" s="356">
        <v>13918486724</v>
      </c>
      <c r="J3146" s="361" t="s">
        <v>7961</v>
      </c>
      <c r="K3146" s="356">
        <v>1000</v>
      </c>
      <c r="L3146" s="334">
        <f>8829-1104</f>
        <v>7725</v>
      </c>
      <c r="M3146" s="334">
        <v>1104</v>
      </c>
      <c r="N3146" s="362">
        <f t="shared" si="113"/>
        <v>8829</v>
      </c>
      <c r="O3146" s="356"/>
      <c r="P3146" s="356"/>
      <c r="Q3146" s="356" t="s">
        <v>52</v>
      </c>
      <c r="R3146" s="356"/>
      <c r="S3146" s="356"/>
      <c r="T3146" s="356"/>
      <c r="U3146" s="372"/>
      <c r="V3146" s="372"/>
      <c r="W3146" s="372"/>
      <c r="X3146" s="373"/>
      <c r="Y3146" s="348"/>
      <c r="Z3146" s="348"/>
      <c r="AA3146" s="348"/>
    </row>
    <row r="3147" s="331" customFormat="1" ht="17" customHeight="1" spans="1:27">
      <c r="A3147" s="550" t="s">
        <v>1846</v>
      </c>
      <c r="B3147" s="348" t="s">
        <v>58</v>
      </c>
      <c r="C3147" s="348" t="s">
        <v>794</v>
      </c>
      <c r="D3147" s="352" t="s">
        <v>110</v>
      </c>
      <c r="E3147" s="336">
        <v>43690</v>
      </c>
      <c r="F3147" s="336">
        <v>43687</v>
      </c>
      <c r="G3147" s="350">
        <v>43688</v>
      </c>
      <c r="H3147" s="334" t="s">
        <v>7962</v>
      </c>
      <c r="I3147" s="356">
        <v>18964910130</v>
      </c>
      <c r="J3147" s="361" t="s">
        <v>7963</v>
      </c>
      <c r="K3147" s="356">
        <v>1000</v>
      </c>
      <c r="L3147" s="334">
        <f>7500-2399</f>
        <v>5101</v>
      </c>
      <c r="M3147" s="334">
        <v>2399</v>
      </c>
      <c r="N3147" s="362">
        <f t="shared" si="113"/>
        <v>7500</v>
      </c>
      <c r="O3147" s="356"/>
      <c r="P3147" s="356"/>
      <c r="Q3147" s="356"/>
      <c r="R3147" s="356"/>
      <c r="S3147" s="356"/>
      <c r="T3147" s="356"/>
      <c r="U3147" s="372"/>
      <c r="V3147" s="372"/>
      <c r="W3147" s="372"/>
      <c r="X3147" s="373"/>
      <c r="Y3147" s="348"/>
      <c r="Z3147" s="348"/>
      <c r="AA3147" s="348"/>
    </row>
    <row r="3148" s="331" customFormat="1" ht="17" customHeight="1" spans="1:27">
      <c r="A3148" s="348"/>
      <c r="B3148" s="348" t="s">
        <v>31</v>
      </c>
      <c r="C3148" s="348" t="s">
        <v>377</v>
      </c>
      <c r="D3148" s="352" t="s">
        <v>221</v>
      </c>
      <c r="E3148" s="336">
        <v>43687</v>
      </c>
      <c r="F3148" s="336">
        <v>43687</v>
      </c>
      <c r="G3148" s="350"/>
      <c r="H3148" s="334" t="s">
        <v>7964</v>
      </c>
      <c r="I3148" s="356">
        <v>13916054555</v>
      </c>
      <c r="J3148" s="361" t="s">
        <v>7965</v>
      </c>
      <c r="K3148" s="356">
        <v>1000</v>
      </c>
      <c r="L3148" s="419"/>
      <c r="M3148" s="419"/>
      <c r="N3148" s="362">
        <f t="shared" si="113"/>
        <v>0</v>
      </c>
      <c r="O3148" s="366"/>
      <c r="P3148" s="356"/>
      <c r="Q3148" s="356"/>
      <c r="R3148" s="356"/>
      <c r="S3148" s="356"/>
      <c r="T3148" s="356"/>
      <c r="U3148" s="372" t="s">
        <v>7966</v>
      </c>
      <c r="V3148" s="372"/>
      <c r="W3148" s="372"/>
      <c r="X3148" s="373"/>
      <c r="Y3148" s="348"/>
      <c r="Z3148" s="348"/>
      <c r="AA3148" s="348"/>
    </row>
    <row r="3149" s="331" customFormat="1" ht="17" customHeight="1" spans="1:27">
      <c r="A3149" s="550" t="s">
        <v>7967</v>
      </c>
      <c r="B3149" s="348" t="s">
        <v>31</v>
      </c>
      <c r="C3149" s="348" t="s">
        <v>419</v>
      </c>
      <c r="D3149" s="352" t="s">
        <v>221</v>
      </c>
      <c r="E3149" s="336">
        <v>43706</v>
      </c>
      <c r="F3149" s="336">
        <v>43687</v>
      </c>
      <c r="G3149" s="336">
        <v>43706</v>
      </c>
      <c r="H3149" s="334" t="s">
        <v>7968</v>
      </c>
      <c r="I3149" s="356">
        <v>18616101695</v>
      </c>
      <c r="J3149" s="361" t="s">
        <v>7969</v>
      </c>
      <c r="K3149" s="356">
        <v>1000</v>
      </c>
      <c r="L3149" s="334">
        <v>7783</v>
      </c>
      <c r="M3149" s="419"/>
      <c r="N3149" s="362">
        <f t="shared" si="113"/>
        <v>7783</v>
      </c>
      <c r="O3149" s="366" t="s">
        <v>52</v>
      </c>
      <c r="P3149" s="356"/>
      <c r="Q3149" s="356"/>
      <c r="R3149" s="356"/>
      <c r="S3149" s="356"/>
      <c r="T3149" s="356"/>
      <c r="U3149" s="372"/>
      <c r="V3149" s="372"/>
      <c r="W3149" s="372"/>
      <c r="X3149" s="373"/>
      <c r="Y3149" s="348"/>
      <c r="Z3149" s="348"/>
      <c r="AA3149" s="348"/>
    </row>
    <row r="3150" s="331" customFormat="1" ht="17" customHeight="1" spans="1:27">
      <c r="A3150" s="550" t="s">
        <v>7970</v>
      </c>
      <c r="B3150" s="348" t="s">
        <v>66</v>
      </c>
      <c r="C3150" s="348" t="s">
        <v>67</v>
      </c>
      <c r="D3150" s="349" t="s">
        <v>1436</v>
      </c>
      <c r="E3150" s="336">
        <v>43697</v>
      </c>
      <c r="F3150" s="336">
        <v>43687</v>
      </c>
      <c r="G3150" s="336">
        <v>43696</v>
      </c>
      <c r="H3150" s="334" t="s">
        <v>7971</v>
      </c>
      <c r="I3150" s="356">
        <v>18621064338</v>
      </c>
      <c r="J3150" s="361" t="s">
        <v>7972</v>
      </c>
      <c r="K3150" s="356">
        <v>1000</v>
      </c>
      <c r="L3150" s="334">
        <f>12615-736</f>
        <v>11879</v>
      </c>
      <c r="M3150" s="334">
        <v>736</v>
      </c>
      <c r="N3150" s="362">
        <f t="shared" si="113"/>
        <v>12615</v>
      </c>
      <c r="O3150" s="356"/>
      <c r="P3150" s="356"/>
      <c r="Q3150" s="356"/>
      <c r="R3150" s="356"/>
      <c r="S3150" s="356"/>
      <c r="T3150" s="356"/>
      <c r="U3150" s="372"/>
      <c r="V3150" s="372"/>
      <c r="W3150" s="356" t="s">
        <v>1472</v>
      </c>
      <c r="X3150" s="373"/>
      <c r="Y3150" s="348"/>
      <c r="Z3150" s="348"/>
      <c r="AA3150" s="348"/>
    </row>
    <row r="3151" s="331" customFormat="1" ht="17" customHeight="1" spans="1:27">
      <c r="A3151" s="550" t="s">
        <v>7973</v>
      </c>
      <c r="B3151" s="348" t="s">
        <v>205</v>
      </c>
      <c r="C3151" s="348" t="s">
        <v>1467</v>
      </c>
      <c r="D3151" s="349" t="s">
        <v>89</v>
      </c>
      <c r="E3151" s="336">
        <v>43690</v>
      </c>
      <c r="F3151" s="336">
        <v>43687</v>
      </c>
      <c r="G3151" s="336">
        <v>43689</v>
      </c>
      <c r="H3151" s="334" t="s">
        <v>7974</v>
      </c>
      <c r="I3151" s="356">
        <v>13916843774</v>
      </c>
      <c r="J3151" s="361" t="s">
        <v>7975</v>
      </c>
      <c r="K3151" s="356">
        <v>2998</v>
      </c>
      <c r="L3151" s="334">
        <v>7886</v>
      </c>
      <c r="M3151" s="419"/>
      <c r="N3151" s="362">
        <f t="shared" si="113"/>
        <v>7886</v>
      </c>
      <c r="O3151" s="356"/>
      <c r="P3151" s="356"/>
      <c r="Q3151" s="356"/>
      <c r="R3151" s="356"/>
      <c r="S3151" s="356"/>
      <c r="T3151" s="356"/>
      <c r="U3151" s="372"/>
      <c r="V3151" s="372"/>
      <c r="W3151" s="372"/>
      <c r="X3151" s="373"/>
      <c r="Y3151" s="348"/>
      <c r="Z3151" s="348"/>
      <c r="AA3151" s="348"/>
    </row>
    <row r="3152" s="331" customFormat="1" ht="17" customHeight="1" spans="1:27">
      <c r="A3152" s="550" t="s">
        <v>7976</v>
      </c>
      <c r="B3152" s="348" t="s">
        <v>169</v>
      </c>
      <c r="C3152" s="348" t="s">
        <v>542</v>
      </c>
      <c r="D3152" s="352" t="s">
        <v>171</v>
      </c>
      <c r="E3152" s="336">
        <v>43708</v>
      </c>
      <c r="F3152" s="336">
        <v>43687</v>
      </c>
      <c r="G3152" s="336">
        <v>43708</v>
      </c>
      <c r="H3152" s="334" t="s">
        <v>7977</v>
      </c>
      <c r="I3152" s="356">
        <v>18017312503</v>
      </c>
      <c r="J3152" s="361" t="s">
        <v>7978</v>
      </c>
      <c r="K3152" s="356">
        <v>1000</v>
      </c>
      <c r="L3152" s="334">
        <v>20000</v>
      </c>
      <c r="M3152" s="419"/>
      <c r="N3152" s="362">
        <f t="shared" si="113"/>
        <v>20000</v>
      </c>
      <c r="O3152" s="356"/>
      <c r="P3152" s="356"/>
      <c r="Q3152" s="356"/>
      <c r="R3152" s="356"/>
      <c r="S3152" s="356"/>
      <c r="T3152" s="356"/>
      <c r="U3152" s="372"/>
      <c r="V3152" s="356" t="s">
        <v>5908</v>
      </c>
      <c r="W3152" s="372"/>
      <c r="X3152" s="373"/>
      <c r="Y3152" s="348"/>
      <c r="Z3152" s="348"/>
      <c r="AA3152" s="348"/>
    </row>
    <row r="3153" s="331" customFormat="1" ht="17" customHeight="1" spans="1:27">
      <c r="A3153" s="550" t="s">
        <v>7979</v>
      </c>
      <c r="B3153" s="348" t="s">
        <v>73</v>
      </c>
      <c r="C3153" s="348" t="s">
        <v>178</v>
      </c>
      <c r="D3153" s="334" t="s">
        <v>717</v>
      </c>
      <c r="E3153" s="336">
        <v>43738</v>
      </c>
      <c r="F3153" s="336">
        <v>43687</v>
      </c>
      <c r="G3153" s="336">
        <v>43738</v>
      </c>
      <c r="H3153" s="334" t="s">
        <v>7980</v>
      </c>
      <c r="I3153" s="356">
        <v>18930991503</v>
      </c>
      <c r="J3153" s="361" t="s">
        <v>7981</v>
      </c>
      <c r="K3153" s="356">
        <v>1000</v>
      </c>
      <c r="L3153" s="334">
        <v>32481</v>
      </c>
      <c r="M3153" s="419"/>
      <c r="N3153" s="362">
        <f t="shared" si="113"/>
        <v>32481</v>
      </c>
      <c r="O3153" s="356"/>
      <c r="P3153" s="356"/>
      <c r="Q3153" s="356" t="s">
        <v>52</v>
      </c>
      <c r="R3153" s="356"/>
      <c r="S3153" s="356"/>
      <c r="T3153" s="356"/>
      <c r="U3153" s="372"/>
      <c r="V3153" s="372"/>
      <c r="W3153" s="372"/>
      <c r="X3153" s="373"/>
      <c r="Y3153" s="348"/>
      <c r="Z3153" s="348"/>
      <c r="AA3153" s="348"/>
    </row>
    <row r="3154" s="331" customFormat="1" ht="17" customHeight="1" spans="1:27">
      <c r="A3154" s="550" t="s">
        <v>4652</v>
      </c>
      <c r="B3154" s="348" t="s">
        <v>73</v>
      </c>
      <c r="C3154" s="348" t="s">
        <v>74</v>
      </c>
      <c r="D3154" s="334" t="s">
        <v>717</v>
      </c>
      <c r="E3154" s="336">
        <v>43708</v>
      </c>
      <c r="F3154" s="336">
        <v>43687</v>
      </c>
      <c r="G3154" s="336">
        <v>43708</v>
      </c>
      <c r="H3154" s="334" t="s">
        <v>7982</v>
      </c>
      <c r="I3154" s="356">
        <v>13801675504</v>
      </c>
      <c r="J3154" s="361" t="s">
        <v>7983</v>
      </c>
      <c r="K3154" s="356">
        <v>1000</v>
      </c>
      <c r="L3154" s="334">
        <v>8357</v>
      </c>
      <c r="M3154" s="419"/>
      <c r="N3154" s="362">
        <f t="shared" si="113"/>
        <v>8357</v>
      </c>
      <c r="O3154" s="366" t="s">
        <v>52</v>
      </c>
      <c r="P3154" s="356"/>
      <c r="Q3154" s="356"/>
      <c r="R3154" s="356"/>
      <c r="S3154" s="356"/>
      <c r="T3154" s="356"/>
      <c r="U3154" s="372"/>
      <c r="V3154" s="372"/>
      <c r="W3154" s="372"/>
      <c r="X3154" s="373"/>
      <c r="Y3154" s="348"/>
      <c r="Z3154" s="348"/>
      <c r="AA3154" s="348"/>
    </row>
    <row r="3155" s="331" customFormat="1" ht="17" customHeight="1" spans="1:27">
      <c r="A3155" s="550" t="s">
        <v>7984</v>
      </c>
      <c r="B3155" s="348" t="s">
        <v>73</v>
      </c>
      <c r="C3155" s="348" t="s">
        <v>74</v>
      </c>
      <c r="D3155" s="352" t="s">
        <v>75</v>
      </c>
      <c r="E3155" s="336">
        <v>43687</v>
      </c>
      <c r="F3155" s="336">
        <v>43687</v>
      </c>
      <c r="G3155" s="350" t="s">
        <v>69</v>
      </c>
      <c r="H3155" s="334" t="s">
        <v>7985</v>
      </c>
      <c r="I3155" s="356">
        <v>15601690228</v>
      </c>
      <c r="J3155" s="361" t="s">
        <v>7986</v>
      </c>
      <c r="K3155" s="356">
        <v>1000</v>
      </c>
      <c r="L3155" s="419"/>
      <c r="M3155" s="419"/>
      <c r="N3155" s="362">
        <f t="shared" si="113"/>
        <v>0</v>
      </c>
      <c r="O3155" s="366" t="s">
        <v>52</v>
      </c>
      <c r="P3155" s="356"/>
      <c r="Q3155" s="356"/>
      <c r="R3155" s="356"/>
      <c r="S3155" s="356"/>
      <c r="T3155" s="356"/>
      <c r="U3155" s="372"/>
      <c r="V3155" s="372"/>
      <c r="W3155" s="372"/>
      <c r="X3155" s="373"/>
      <c r="Y3155" s="348"/>
      <c r="Z3155" s="348"/>
      <c r="AA3155" s="348"/>
    </row>
    <row r="3156" s="331" customFormat="1" ht="17" customHeight="1" spans="1:27">
      <c r="A3156" s="550" t="s">
        <v>4170</v>
      </c>
      <c r="B3156" s="348" t="s">
        <v>315</v>
      </c>
      <c r="C3156" s="348" t="s">
        <v>161</v>
      </c>
      <c r="D3156" s="334" t="s">
        <v>207</v>
      </c>
      <c r="E3156" s="336">
        <v>43752</v>
      </c>
      <c r="F3156" s="336">
        <v>43686</v>
      </c>
      <c r="G3156" s="336">
        <v>43752</v>
      </c>
      <c r="H3156" s="334" t="s">
        <v>2717</v>
      </c>
      <c r="I3156" s="356">
        <v>18616751553</v>
      </c>
      <c r="J3156" s="361" t="s">
        <v>7987</v>
      </c>
      <c r="K3156" s="356">
        <v>1000</v>
      </c>
      <c r="L3156" s="334">
        <v>8400</v>
      </c>
      <c r="M3156" s="419"/>
      <c r="N3156" s="362">
        <f t="shared" si="113"/>
        <v>8400</v>
      </c>
      <c r="O3156" s="356">
        <v>1</v>
      </c>
      <c r="P3156" s="356"/>
      <c r="Q3156" s="356"/>
      <c r="R3156" s="356"/>
      <c r="S3156" s="356"/>
      <c r="T3156" s="356"/>
      <c r="U3156" s="372"/>
      <c r="V3156" s="372"/>
      <c r="W3156" s="372"/>
      <c r="X3156" s="373"/>
      <c r="Y3156" s="348"/>
      <c r="Z3156" s="348"/>
      <c r="AA3156" s="348"/>
    </row>
    <row r="3157" s="331" customFormat="1" ht="17" customHeight="1" spans="1:27">
      <c r="A3157" s="550" t="s">
        <v>7988</v>
      </c>
      <c r="B3157" s="348" t="s">
        <v>73</v>
      </c>
      <c r="C3157" s="348" t="s">
        <v>74</v>
      </c>
      <c r="D3157" s="352" t="s">
        <v>75</v>
      </c>
      <c r="E3157" s="336">
        <v>43688</v>
      </c>
      <c r="F3157" s="336">
        <v>43688</v>
      </c>
      <c r="G3157" s="350"/>
      <c r="H3157" s="334" t="s">
        <v>7989</v>
      </c>
      <c r="I3157" s="356">
        <v>13661521533</v>
      </c>
      <c r="J3157" s="361" t="s">
        <v>7990</v>
      </c>
      <c r="K3157" s="356">
        <v>1000</v>
      </c>
      <c r="L3157" s="419"/>
      <c r="M3157" s="419"/>
      <c r="N3157" s="362">
        <f t="shared" si="113"/>
        <v>0</v>
      </c>
      <c r="O3157" s="366" t="s">
        <v>52</v>
      </c>
      <c r="P3157" s="356"/>
      <c r="Q3157" s="356"/>
      <c r="R3157" s="356"/>
      <c r="S3157" s="356"/>
      <c r="T3157" s="356"/>
      <c r="U3157" s="372"/>
      <c r="V3157" s="372"/>
      <c r="W3157" s="372"/>
      <c r="X3157" s="373"/>
      <c r="Y3157" s="348"/>
      <c r="Z3157" s="348"/>
      <c r="AA3157" s="348"/>
    </row>
    <row r="3158" s="331" customFormat="1" ht="17" customHeight="1" spans="1:27">
      <c r="A3158" s="550" t="s">
        <v>7991</v>
      </c>
      <c r="B3158" s="348" t="s">
        <v>73</v>
      </c>
      <c r="C3158" s="348" t="s">
        <v>74</v>
      </c>
      <c r="D3158" s="334" t="s">
        <v>132</v>
      </c>
      <c r="E3158" s="336">
        <v>43737</v>
      </c>
      <c r="F3158" s="336">
        <v>43687</v>
      </c>
      <c r="G3158" s="336">
        <v>43735</v>
      </c>
      <c r="H3158" s="334" t="s">
        <v>7992</v>
      </c>
      <c r="I3158" s="356">
        <v>17701842805</v>
      </c>
      <c r="J3158" s="361" t="s">
        <v>7993</v>
      </c>
      <c r="K3158" s="356">
        <v>1000</v>
      </c>
      <c r="L3158" s="334">
        <v>10151</v>
      </c>
      <c r="M3158" s="419"/>
      <c r="N3158" s="362">
        <f t="shared" si="113"/>
        <v>10151</v>
      </c>
      <c r="O3158" s="356"/>
      <c r="P3158" s="356" t="s">
        <v>52</v>
      </c>
      <c r="Q3158" s="356"/>
      <c r="R3158" s="356"/>
      <c r="S3158" s="356"/>
      <c r="T3158" s="356"/>
      <c r="U3158" s="372"/>
      <c r="V3158" s="372"/>
      <c r="W3158" s="372"/>
      <c r="X3158" s="373"/>
      <c r="Y3158" s="348"/>
      <c r="Z3158" s="348"/>
      <c r="AA3158" s="348"/>
    </row>
    <row r="3159" s="331" customFormat="1" ht="17" customHeight="1" spans="1:27">
      <c r="A3159" s="348">
        <v>2067643</v>
      </c>
      <c r="B3159" s="348" t="s">
        <v>5435</v>
      </c>
      <c r="C3159" s="348" t="s">
        <v>1728</v>
      </c>
      <c r="D3159" s="352" t="s">
        <v>149</v>
      </c>
      <c r="E3159" s="336">
        <v>43725</v>
      </c>
      <c r="F3159" s="336">
        <v>43687</v>
      </c>
      <c r="G3159" s="336">
        <v>43721</v>
      </c>
      <c r="H3159" s="334" t="s">
        <v>7994</v>
      </c>
      <c r="I3159" s="356">
        <v>18916629741</v>
      </c>
      <c r="J3159" s="361" t="s">
        <v>7995</v>
      </c>
      <c r="K3159" s="356">
        <v>4924</v>
      </c>
      <c r="L3159" s="334">
        <v>12057</v>
      </c>
      <c r="M3159" s="419"/>
      <c r="N3159" s="362">
        <f t="shared" si="113"/>
        <v>12057</v>
      </c>
      <c r="O3159" s="356"/>
      <c r="P3159" s="356"/>
      <c r="Q3159" s="366" t="s">
        <v>52</v>
      </c>
      <c r="R3159" s="356"/>
      <c r="S3159" s="356"/>
      <c r="T3159" s="356"/>
      <c r="U3159" s="372"/>
      <c r="V3159" s="356"/>
      <c r="W3159" s="372"/>
      <c r="X3159" s="373"/>
      <c r="Y3159" s="348"/>
      <c r="Z3159" s="348"/>
      <c r="AA3159" s="348"/>
    </row>
    <row r="3160" s="331" customFormat="1" ht="17" customHeight="1" spans="1:27">
      <c r="A3160" s="550" t="s">
        <v>7996</v>
      </c>
      <c r="B3160" s="348" t="s">
        <v>137</v>
      </c>
      <c r="C3160" s="348" t="s">
        <v>480</v>
      </c>
      <c r="D3160" s="352" t="s">
        <v>139</v>
      </c>
      <c r="E3160" s="336">
        <v>43724</v>
      </c>
      <c r="F3160" s="336">
        <v>43687</v>
      </c>
      <c r="G3160" s="336">
        <v>43723</v>
      </c>
      <c r="H3160" s="334" t="s">
        <v>7997</v>
      </c>
      <c r="I3160" s="356">
        <v>15658584452</v>
      </c>
      <c r="J3160" s="361" t="s">
        <v>7998</v>
      </c>
      <c r="K3160" s="356">
        <f>10000+20000</f>
        <v>30000</v>
      </c>
      <c r="L3160" s="334">
        <v>22631</v>
      </c>
      <c r="M3160" s="419"/>
      <c r="N3160" s="362">
        <f t="shared" si="113"/>
        <v>22631</v>
      </c>
      <c r="O3160" s="356"/>
      <c r="P3160" s="356"/>
      <c r="Q3160" s="356">
        <v>1</v>
      </c>
      <c r="R3160" s="356"/>
      <c r="S3160" s="356"/>
      <c r="T3160" s="356"/>
      <c r="U3160" s="372"/>
      <c r="V3160" s="372"/>
      <c r="W3160" s="372"/>
      <c r="X3160" s="373"/>
      <c r="Y3160" s="348"/>
      <c r="Z3160" s="348"/>
      <c r="AA3160" s="348"/>
    </row>
    <row r="3161" s="331" customFormat="1" ht="17" customHeight="1" spans="1:27">
      <c r="A3161" s="348"/>
      <c r="B3161" s="348" t="s">
        <v>315</v>
      </c>
      <c r="C3161" s="348" t="s">
        <v>275</v>
      </c>
      <c r="D3161" s="352" t="s">
        <v>162</v>
      </c>
      <c r="E3161" s="336">
        <v>43700</v>
      </c>
      <c r="F3161" s="336">
        <v>43687</v>
      </c>
      <c r="G3161" s="336">
        <v>43699</v>
      </c>
      <c r="H3161" s="334" t="s">
        <v>7999</v>
      </c>
      <c r="I3161" s="356">
        <v>17317120809</v>
      </c>
      <c r="J3161" s="361" t="s">
        <v>8000</v>
      </c>
      <c r="K3161" s="356">
        <v>1000</v>
      </c>
      <c r="L3161" s="334">
        <f>19728-500-1840</f>
        <v>17388</v>
      </c>
      <c r="M3161" s="334">
        <v>1840</v>
      </c>
      <c r="N3161" s="362">
        <f t="shared" si="113"/>
        <v>19228</v>
      </c>
      <c r="O3161" s="356">
        <v>1</v>
      </c>
      <c r="P3161" s="356"/>
      <c r="Q3161" s="356"/>
      <c r="R3161" s="356"/>
      <c r="S3161" s="356"/>
      <c r="T3161" s="356"/>
      <c r="U3161" s="372"/>
      <c r="V3161" s="372"/>
      <c r="W3161" s="372"/>
      <c r="X3161" s="373"/>
      <c r="Y3161" s="348"/>
      <c r="Z3161" s="348"/>
      <c r="AA3161" s="348"/>
    </row>
    <row r="3162" s="331" customFormat="1" ht="17" customHeight="1" spans="1:27">
      <c r="A3162" s="348"/>
      <c r="B3162" s="348" t="s">
        <v>805</v>
      </c>
      <c r="C3162" s="334" t="s">
        <v>806</v>
      </c>
      <c r="D3162" s="349" t="s">
        <v>171</v>
      </c>
      <c r="E3162" s="336">
        <v>43687</v>
      </c>
      <c r="F3162" s="336"/>
      <c r="G3162" s="336">
        <v>43687</v>
      </c>
      <c r="H3162" s="334" t="s">
        <v>8001</v>
      </c>
      <c r="I3162" s="356">
        <v>15502103663</v>
      </c>
      <c r="J3162" s="361" t="s">
        <v>8002</v>
      </c>
      <c r="K3162" s="356"/>
      <c r="L3162" s="334">
        <v>14582</v>
      </c>
      <c r="M3162" s="419"/>
      <c r="N3162" s="362">
        <f t="shared" si="113"/>
        <v>14582</v>
      </c>
      <c r="O3162" s="356"/>
      <c r="P3162" s="356"/>
      <c r="Q3162" s="356"/>
      <c r="R3162" s="356"/>
      <c r="S3162" s="356"/>
      <c r="T3162" s="356"/>
      <c r="U3162" s="372"/>
      <c r="V3162" s="372"/>
      <c r="W3162" s="372"/>
      <c r="X3162" s="373"/>
      <c r="Y3162" s="348"/>
      <c r="Z3162" s="348"/>
      <c r="AA3162" s="348"/>
    </row>
    <row r="3163" s="331" customFormat="1" ht="17" customHeight="1" spans="1:27">
      <c r="A3163" s="348"/>
      <c r="B3163" s="348" t="s">
        <v>185</v>
      </c>
      <c r="C3163" s="348" t="s">
        <v>886</v>
      </c>
      <c r="D3163" s="349" t="s">
        <v>187</v>
      </c>
      <c r="E3163" s="336">
        <v>43687</v>
      </c>
      <c r="F3163" s="336"/>
      <c r="G3163" s="336">
        <v>43687</v>
      </c>
      <c r="H3163" s="334" t="s">
        <v>7328</v>
      </c>
      <c r="I3163" s="356">
        <v>18321607707</v>
      </c>
      <c r="J3163" s="361" t="s">
        <v>8003</v>
      </c>
      <c r="K3163" s="356"/>
      <c r="L3163" s="334">
        <v>311</v>
      </c>
      <c r="M3163" s="334"/>
      <c r="N3163" s="362">
        <f t="shared" si="113"/>
        <v>311</v>
      </c>
      <c r="O3163" s="356"/>
      <c r="P3163" s="356"/>
      <c r="Q3163" s="356"/>
      <c r="R3163" s="356"/>
      <c r="S3163" s="356"/>
      <c r="T3163" s="356"/>
      <c r="U3163" s="372"/>
      <c r="V3163" s="372"/>
      <c r="W3163" s="372"/>
      <c r="X3163" s="373"/>
      <c r="Y3163" s="348"/>
      <c r="Z3163" s="348"/>
      <c r="AA3163" s="348"/>
    </row>
    <row r="3164" s="331" customFormat="1" ht="17" customHeight="1" spans="1:27">
      <c r="A3164" s="348"/>
      <c r="B3164" s="348" t="s">
        <v>73</v>
      </c>
      <c r="C3164" s="334" t="s">
        <v>74</v>
      </c>
      <c r="D3164" s="349" t="s">
        <v>132</v>
      </c>
      <c r="E3164" s="336">
        <v>43687</v>
      </c>
      <c r="F3164" s="336"/>
      <c r="G3164" s="336">
        <v>43687</v>
      </c>
      <c r="H3164" s="334" t="s">
        <v>8004</v>
      </c>
      <c r="I3164" s="356">
        <v>18930703073</v>
      </c>
      <c r="J3164" s="361" t="s">
        <v>8005</v>
      </c>
      <c r="K3164" s="356"/>
      <c r="L3164" s="334">
        <v>12479</v>
      </c>
      <c r="M3164" s="334">
        <f>1072+536+13455</f>
        <v>15063</v>
      </c>
      <c r="N3164" s="362">
        <f t="shared" si="113"/>
        <v>27542</v>
      </c>
      <c r="O3164" s="356"/>
      <c r="P3164" s="356"/>
      <c r="Q3164" s="356"/>
      <c r="R3164" s="356"/>
      <c r="S3164" s="356"/>
      <c r="T3164" s="356"/>
      <c r="U3164" s="372"/>
      <c r="V3164" s="372"/>
      <c r="W3164" s="372"/>
      <c r="X3164" s="373"/>
      <c r="Y3164" s="348"/>
      <c r="Z3164" s="348"/>
      <c r="AA3164" s="348"/>
    </row>
    <row r="3165" s="331" customFormat="1" ht="17" customHeight="1" spans="1:27">
      <c r="A3165" s="348"/>
      <c r="B3165" s="348" t="s">
        <v>315</v>
      </c>
      <c r="C3165" s="334" t="s">
        <v>275</v>
      </c>
      <c r="D3165" s="349" t="s">
        <v>162</v>
      </c>
      <c r="E3165" s="336">
        <v>43687</v>
      </c>
      <c r="F3165" s="336"/>
      <c r="G3165" s="336">
        <v>43687</v>
      </c>
      <c r="H3165" s="334" t="s">
        <v>8006</v>
      </c>
      <c r="I3165" s="356">
        <v>13564517167</v>
      </c>
      <c r="J3165" s="361" t="s">
        <v>1298</v>
      </c>
      <c r="K3165" s="356"/>
      <c r="L3165" s="334">
        <v>5997</v>
      </c>
      <c r="M3165" s="334">
        <v>1104</v>
      </c>
      <c r="N3165" s="362">
        <f t="shared" si="113"/>
        <v>7101</v>
      </c>
      <c r="O3165" s="356"/>
      <c r="P3165" s="356"/>
      <c r="Q3165" s="356"/>
      <c r="R3165" s="356"/>
      <c r="S3165" s="356"/>
      <c r="T3165" s="356"/>
      <c r="U3165" s="372"/>
      <c r="V3165" s="372"/>
      <c r="W3165" s="372"/>
      <c r="X3165" s="373"/>
      <c r="Y3165" s="348"/>
      <c r="Z3165" s="348"/>
      <c r="AA3165" s="348"/>
    </row>
    <row r="3166" s="331" customFormat="1" ht="17" customHeight="1" spans="1:27">
      <c r="A3166" s="348"/>
      <c r="B3166" s="348" t="s">
        <v>205</v>
      </c>
      <c r="C3166" s="334" t="s">
        <v>1467</v>
      </c>
      <c r="D3166" s="349" t="s">
        <v>343</v>
      </c>
      <c r="E3166" s="336">
        <v>43687</v>
      </c>
      <c r="F3166" s="336" t="s">
        <v>800</v>
      </c>
      <c r="G3166" s="336">
        <v>43687</v>
      </c>
      <c r="H3166" s="334" t="s">
        <v>8007</v>
      </c>
      <c r="I3166" s="356">
        <v>13564056979</v>
      </c>
      <c r="J3166" s="361" t="s">
        <v>8008</v>
      </c>
      <c r="K3166" s="356"/>
      <c r="L3166" s="419"/>
      <c r="M3166" s="334">
        <v>4241</v>
      </c>
      <c r="N3166" s="362">
        <f t="shared" si="113"/>
        <v>4241</v>
      </c>
      <c r="O3166" s="356"/>
      <c r="P3166" s="356"/>
      <c r="Q3166" s="356"/>
      <c r="R3166" s="356"/>
      <c r="S3166" s="356"/>
      <c r="T3166" s="356"/>
      <c r="U3166" s="372"/>
      <c r="V3166" s="372"/>
      <c r="W3166" s="372"/>
      <c r="X3166" s="373"/>
      <c r="Y3166" s="348"/>
      <c r="Z3166" s="348"/>
      <c r="AA3166" s="348"/>
    </row>
    <row r="3167" s="331" customFormat="1" ht="17" customHeight="1" spans="1:27">
      <c r="A3167" s="348"/>
      <c r="B3167" s="348" t="s">
        <v>185</v>
      </c>
      <c r="C3167" s="334" t="s">
        <v>186</v>
      </c>
      <c r="D3167" s="349" t="s">
        <v>187</v>
      </c>
      <c r="E3167" s="336">
        <v>43687</v>
      </c>
      <c r="F3167" s="336" t="s">
        <v>800</v>
      </c>
      <c r="G3167" s="336">
        <v>43687</v>
      </c>
      <c r="H3167" s="334" t="s">
        <v>4075</v>
      </c>
      <c r="I3167" s="356">
        <v>18679571292</v>
      </c>
      <c r="J3167" s="361" t="s">
        <v>4076</v>
      </c>
      <c r="K3167" s="356"/>
      <c r="L3167" s="419"/>
      <c r="M3167" s="334">
        <v>2147</v>
      </c>
      <c r="N3167" s="362">
        <f t="shared" si="113"/>
        <v>2147</v>
      </c>
      <c r="O3167" s="356"/>
      <c r="P3167" s="356"/>
      <c r="Q3167" s="356"/>
      <c r="R3167" s="356"/>
      <c r="S3167" s="356"/>
      <c r="T3167" s="356"/>
      <c r="U3167" s="372"/>
      <c r="V3167" s="372"/>
      <c r="W3167" s="372"/>
      <c r="X3167" s="373"/>
      <c r="Y3167" s="348"/>
      <c r="Z3167" s="348"/>
      <c r="AA3167" s="348"/>
    </row>
    <row r="3168" s="331" customFormat="1" ht="17" customHeight="1" spans="1:27">
      <c r="A3168" s="348"/>
      <c r="B3168" s="348" t="s">
        <v>66</v>
      </c>
      <c r="C3168" s="334" t="s">
        <v>1749</v>
      </c>
      <c r="D3168" s="349" t="s">
        <v>68</v>
      </c>
      <c r="E3168" s="336">
        <v>43687</v>
      </c>
      <c r="F3168" s="336" t="s">
        <v>800</v>
      </c>
      <c r="G3168" s="336">
        <v>43687</v>
      </c>
      <c r="H3168" s="334" t="s">
        <v>6677</v>
      </c>
      <c r="I3168" s="356">
        <v>18801763411</v>
      </c>
      <c r="J3168" s="361" t="s">
        <v>8009</v>
      </c>
      <c r="K3168" s="356"/>
      <c r="L3168" s="419"/>
      <c r="M3168" s="334">
        <v>-245</v>
      </c>
      <c r="N3168" s="362">
        <f t="shared" si="113"/>
        <v>-245</v>
      </c>
      <c r="O3168" s="356"/>
      <c r="P3168" s="356"/>
      <c r="Q3168" s="356"/>
      <c r="R3168" s="356"/>
      <c r="S3168" s="356"/>
      <c r="T3168" s="356"/>
      <c r="U3168" s="372"/>
      <c r="V3168" s="372"/>
      <c r="W3168" s="372"/>
      <c r="X3168" s="373"/>
      <c r="Y3168" s="348"/>
      <c r="Z3168" s="348"/>
      <c r="AA3168" s="348"/>
    </row>
    <row r="3169" s="331" customFormat="1" ht="17" customHeight="1" spans="1:27">
      <c r="A3169" s="348"/>
      <c r="B3169" s="348" t="s">
        <v>58</v>
      </c>
      <c r="C3169" s="334" t="s">
        <v>794</v>
      </c>
      <c r="D3169" s="349" t="s">
        <v>110</v>
      </c>
      <c r="E3169" s="336">
        <v>43687</v>
      </c>
      <c r="F3169" s="336" t="s">
        <v>800</v>
      </c>
      <c r="G3169" s="336">
        <v>43687</v>
      </c>
      <c r="H3169" s="334" t="s">
        <v>5620</v>
      </c>
      <c r="I3169" s="356">
        <v>13817533648</v>
      </c>
      <c r="J3169" s="361" t="s">
        <v>5621</v>
      </c>
      <c r="K3169" s="356"/>
      <c r="L3169" s="419"/>
      <c r="M3169" s="334">
        <v>1488</v>
      </c>
      <c r="N3169" s="362">
        <f t="shared" si="113"/>
        <v>1488</v>
      </c>
      <c r="O3169" s="356"/>
      <c r="P3169" s="356"/>
      <c r="Q3169" s="356"/>
      <c r="R3169" s="356"/>
      <c r="S3169" s="356"/>
      <c r="T3169" s="356"/>
      <c r="U3169" s="372"/>
      <c r="V3169" s="372"/>
      <c r="W3169" s="372"/>
      <c r="X3169" s="373"/>
      <c r="Y3169" s="348"/>
      <c r="Z3169" s="348"/>
      <c r="AA3169" s="348"/>
    </row>
    <row r="3170" s="331" customFormat="1" ht="17" customHeight="1" spans="1:27">
      <c r="A3170" s="348"/>
      <c r="B3170" s="348" t="s">
        <v>354</v>
      </c>
      <c r="C3170" s="334" t="s">
        <v>355</v>
      </c>
      <c r="D3170" s="349" t="s">
        <v>356</v>
      </c>
      <c r="E3170" s="336">
        <v>43687</v>
      </c>
      <c r="F3170" s="336" t="s">
        <v>800</v>
      </c>
      <c r="G3170" s="336">
        <v>43687</v>
      </c>
      <c r="H3170" s="334" t="s">
        <v>8010</v>
      </c>
      <c r="I3170" s="356">
        <v>18918310273</v>
      </c>
      <c r="J3170" s="361" t="s">
        <v>8011</v>
      </c>
      <c r="K3170" s="356"/>
      <c r="L3170" s="419"/>
      <c r="M3170" s="334">
        <v>175</v>
      </c>
      <c r="N3170" s="362">
        <f t="shared" si="113"/>
        <v>175</v>
      </c>
      <c r="O3170" s="356"/>
      <c r="P3170" s="356"/>
      <c r="Q3170" s="356"/>
      <c r="R3170" s="356"/>
      <c r="S3170" s="356"/>
      <c r="T3170" s="356"/>
      <c r="U3170" s="372"/>
      <c r="V3170" s="372"/>
      <c r="W3170" s="372"/>
      <c r="X3170" s="373"/>
      <c r="Y3170" s="348"/>
      <c r="Z3170" s="348"/>
      <c r="AA3170" s="348"/>
    </row>
    <row r="3171" s="331" customFormat="1" ht="17" customHeight="1" spans="1:27">
      <c r="A3171" s="348"/>
      <c r="B3171" s="348" t="s">
        <v>73</v>
      </c>
      <c r="C3171" s="334" t="s">
        <v>74</v>
      </c>
      <c r="D3171" s="349" t="s">
        <v>187</v>
      </c>
      <c r="E3171" s="336">
        <v>43687</v>
      </c>
      <c r="F3171" s="336" t="s">
        <v>800</v>
      </c>
      <c r="G3171" s="336">
        <v>43686</v>
      </c>
      <c r="H3171" s="334" t="s">
        <v>8012</v>
      </c>
      <c r="I3171" s="356">
        <v>13331890152</v>
      </c>
      <c r="J3171" s="361" t="s">
        <v>8013</v>
      </c>
      <c r="K3171" s="356"/>
      <c r="L3171" s="419"/>
      <c r="M3171" s="334">
        <v>4643</v>
      </c>
      <c r="N3171" s="362">
        <f t="shared" si="113"/>
        <v>4643</v>
      </c>
      <c r="O3171" s="356"/>
      <c r="P3171" s="356"/>
      <c r="Q3171" s="356"/>
      <c r="R3171" s="356"/>
      <c r="S3171" s="356"/>
      <c r="T3171" s="356"/>
      <c r="U3171" s="372"/>
      <c r="V3171" s="372"/>
      <c r="W3171" s="372"/>
      <c r="X3171" s="373"/>
      <c r="Y3171" s="348"/>
      <c r="Z3171" s="348"/>
      <c r="AA3171" s="348"/>
    </row>
    <row r="3172" s="331" customFormat="1" ht="17" customHeight="1" spans="1:27">
      <c r="A3172" s="348"/>
      <c r="B3172" s="348" t="s">
        <v>315</v>
      </c>
      <c r="C3172" s="334" t="s">
        <v>181</v>
      </c>
      <c r="D3172" s="349" t="s">
        <v>5695</v>
      </c>
      <c r="E3172" s="336">
        <v>43687</v>
      </c>
      <c r="F3172" s="336" t="s">
        <v>800</v>
      </c>
      <c r="G3172" s="336">
        <v>43687</v>
      </c>
      <c r="H3172" s="334" t="s">
        <v>8014</v>
      </c>
      <c r="I3172" s="554" t="s">
        <v>8015</v>
      </c>
      <c r="J3172" s="361" t="s">
        <v>8016</v>
      </c>
      <c r="K3172" s="356"/>
      <c r="L3172" s="419"/>
      <c r="M3172" s="334">
        <v>4400</v>
      </c>
      <c r="N3172" s="362">
        <f t="shared" si="113"/>
        <v>4400</v>
      </c>
      <c r="O3172" s="356"/>
      <c r="P3172" s="356"/>
      <c r="Q3172" s="356"/>
      <c r="R3172" s="356"/>
      <c r="S3172" s="356"/>
      <c r="T3172" s="356"/>
      <c r="U3172" s="372"/>
      <c r="V3172" s="372"/>
      <c r="W3172" s="372"/>
      <c r="X3172" s="373"/>
      <c r="Y3172" s="348"/>
      <c r="Z3172" s="348"/>
      <c r="AA3172" s="348"/>
    </row>
    <row r="3173" s="331" customFormat="1" ht="17" customHeight="1" spans="1:27">
      <c r="A3173" s="348"/>
      <c r="B3173" s="348" t="s">
        <v>31</v>
      </c>
      <c r="C3173" s="334" t="s">
        <v>220</v>
      </c>
      <c r="D3173" s="349" t="s">
        <v>33</v>
      </c>
      <c r="E3173" s="336">
        <v>43687</v>
      </c>
      <c r="F3173" s="336" t="s">
        <v>800</v>
      </c>
      <c r="G3173" s="336">
        <v>43687</v>
      </c>
      <c r="H3173" s="334" t="s">
        <v>8017</v>
      </c>
      <c r="I3173" s="356">
        <v>13901869178</v>
      </c>
      <c r="J3173" s="361" t="s">
        <v>8018</v>
      </c>
      <c r="K3173" s="356"/>
      <c r="L3173" s="419"/>
      <c r="M3173" s="334">
        <v>1476</v>
      </c>
      <c r="N3173" s="362">
        <f t="shared" si="113"/>
        <v>1476</v>
      </c>
      <c r="O3173" s="356"/>
      <c r="P3173" s="356"/>
      <c r="Q3173" s="356"/>
      <c r="R3173" s="356"/>
      <c r="S3173" s="356"/>
      <c r="T3173" s="356"/>
      <c r="U3173" s="372"/>
      <c r="V3173" s="372"/>
      <c r="W3173" s="372"/>
      <c r="X3173" s="373"/>
      <c r="Y3173" s="348"/>
      <c r="Z3173" s="348"/>
      <c r="AA3173" s="348"/>
    </row>
    <row r="3174" s="331" customFormat="1" ht="17" customHeight="1" spans="1:27">
      <c r="A3174" s="550" t="s">
        <v>3749</v>
      </c>
      <c r="B3174" s="348" t="s">
        <v>123</v>
      </c>
      <c r="C3174" s="348" t="s">
        <v>2301</v>
      </c>
      <c r="D3174" s="352" t="s">
        <v>125</v>
      </c>
      <c r="E3174" s="336">
        <v>43809</v>
      </c>
      <c r="F3174" s="336">
        <v>43687</v>
      </c>
      <c r="G3174" s="336">
        <v>43809</v>
      </c>
      <c r="H3174" s="334" t="s">
        <v>8019</v>
      </c>
      <c r="I3174" s="356">
        <v>13621760390</v>
      </c>
      <c r="J3174" s="361" t="s">
        <v>8020</v>
      </c>
      <c r="K3174" s="356">
        <v>1000</v>
      </c>
      <c r="L3174" s="334">
        <v>12538</v>
      </c>
      <c r="M3174" s="419"/>
      <c r="N3174" s="362">
        <f t="shared" si="113"/>
        <v>12538</v>
      </c>
      <c r="O3174" s="356"/>
      <c r="P3174" s="356"/>
      <c r="Q3174" s="356" t="s">
        <v>52</v>
      </c>
      <c r="R3174" s="356"/>
      <c r="S3174" s="356"/>
      <c r="T3174" s="356"/>
      <c r="U3174" s="372"/>
      <c r="V3174" s="356" t="s">
        <v>98</v>
      </c>
      <c r="W3174" s="372"/>
      <c r="X3174" s="373"/>
      <c r="Y3174" s="348"/>
      <c r="Z3174" s="348"/>
      <c r="AA3174" s="348"/>
    </row>
    <row r="3175" s="331" customFormat="1" ht="17" customHeight="1" spans="1:27">
      <c r="A3175" s="550" t="s">
        <v>5258</v>
      </c>
      <c r="B3175" s="348" t="s">
        <v>185</v>
      </c>
      <c r="C3175" s="348" t="s">
        <v>186</v>
      </c>
      <c r="D3175" s="334" t="s">
        <v>37</v>
      </c>
      <c r="E3175" s="336">
        <v>43708</v>
      </c>
      <c r="F3175" s="336">
        <v>43687</v>
      </c>
      <c r="G3175" s="336">
        <v>43708</v>
      </c>
      <c r="H3175" s="334" t="s">
        <v>963</v>
      </c>
      <c r="I3175" s="356">
        <v>15000159852</v>
      </c>
      <c r="J3175" s="361" t="s">
        <v>8021</v>
      </c>
      <c r="K3175" s="356">
        <v>3000</v>
      </c>
      <c r="L3175" s="334">
        <f>11088-1104</f>
        <v>9984</v>
      </c>
      <c r="M3175" s="334">
        <v>1104</v>
      </c>
      <c r="N3175" s="362">
        <f t="shared" si="113"/>
        <v>11088</v>
      </c>
      <c r="O3175" s="356"/>
      <c r="P3175" s="356"/>
      <c r="Q3175" s="356"/>
      <c r="R3175" s="356" t="s">
        <v>52</v>
      </c>
      <c r="S3175" s="356"/>
      <c r="T3175" s="356"/>
      <c r="U3175" s="372"/>
      <c r="V3175" s="372"/>
      <c r="W3175" s="372"/>
      <c r="X3175" s="373"/>
      <c r="Y3175" s="348"/>
      <c r="Z3175" s="348"/>
      <c r="AA3175" s="348"/>
    </row>
    <row r="3176" s="331" customFormat="1" ht="17" customHeight="1" spans="1:27">
      <c r="A3176" s="348">
        <v>2067644</v>
      </c>
      <c r="B3176" s="348" t="s">
        <v>5435</v>
      </c>
      <c r="C3176" s="348" t="s">
        <v>1728</v>
      </c>
      <c r="D3176" s="352" t="s">
        <v>149</v>
      </c>
      <c r="E3176" s="336">
        <v>43702</v>
      </c>
      <c r="F3176" s="336">
        <v>43687</v>
      </c>
      <c r="G3176" s="336">
        <v>43701</v>
      </c>
      <c r="H3176" s="334" t="s">
        <v>8022</v>
      </c>
      <c r="I3176" s="356">
        <v>18616503530</v>
      </c>
      <c r="J3176" s="361" t="s">
        <v>8023</v>
      </c>
      <c r="K3176" s="356">
        <v>1000</v>
      </c>
      <c r="L3176" s="334">
        <v>8587</v>
      </c>
      <c r="M3176" s="419"/>
      <c r="N3176" s="362">
        <f t="shared" si="113"/>
        <v>8587</v>
      </c>
      <c r="O3176" s="356"/>
      <c r="P3176" s="356"/>
      <c r="Q3176" s="356"/>
      <c r="R3176" s="356"/>
      <c r="S3176" s="356"/>
      <c r="T3176" s="356"/>
      <c r="U3176" s="372"/>
      <c r="V3176" s="372"/>
      <c r="W3176" s="372"/>
      <c r="X3176" s="373"/>
      <c r="Y3176" s="348"/>
      <c r="Z3176" s="348"/>
      <c r="AA3176" s="348"/>
    </row>
    <row r="3177" s="331" customFormat="1" ht="17" customHeight="1" spans="1:27">
      <c r="A3177" s="550" t="s">
        <v>8024</v>
      </c>
      <c r="B3177" s="348" t="s">
        <v>354</v>
      </c>
      <c r="C3177" s="348" t="s">
        <v>355</v>
      </c>
      <c r="D3177" s="349" t="s">
        <v>182</v>
      </c>
      <c r="E3177" s="336">
        <v>43693</v>
      </c>
      <c r="F3177" s="336">
        <v>43687</v>
      </c>
      <c r="G3177" s="336">
        <v>43691</v>
      </c>
      <c r="H3177" s="334" t="s">
        <v>8025</v>
      </c>
      <c r="I3177" s="356">
        <v>13761817500</v>
      </c>
      <c r="J3177" s="361" t="s">
        <v>8026</v>
      </c>
      <c r="K3177" s="356">
        <v>2000</v>
      </c>
      <c r="L3177" s="334">
        <f>18616-509</f>
        <v>18107</v>
      </c>
      <c r="M3177" s="334">
        <v>509</v>
      </c>
      <c r="N3177" s="362">
        <f t="shared" si="113"/>
        <v>18616</v>
      </c>
      <c r="O3177" s="356"/>
      <c r="P3177" s="356"/>
      <c r="Q3177" s="356"/>
      <c r="R3177" s="356"/>
      <c r="S3177" s="356"/>
      <c r="T3177" s="356"/>
      <c r="U3177" s="372"/>
      <c r="V3177" s="372"/>
      <c r="W3177" s="372"/>
      <c r="X3177" s="373"/>
      <c r="Y3177" s="348"/>
      <c r="Z3177" s="348"/>
      <c r="AA3177" s="348"/>
    </row>
    <row r="3178" s="331" customFormat="1" ht="17" customHeight="1" spans="1:27">
      <c r="A3178" s="550" t="s">
        <v>1919</v>
      </c>
      <c r="B3178" s="348" t="s">
        <v>315</v>
      </c>
      <c r="C3178" s="348" t="s">
        <v>161</v>
      </c>
      <c r="D3178" s="352" t="s">
        <v>162</v>
      </c>
      <c r="E3178" s="336">
        <v>43705</v>
      </c>
      <c r="F3178" s="336">
        <v>43687</v>
      </c>
      <c r="G3178" s="336">
        <v>43705</v>
      </c>
      <c r="H3178" s="334" t="s">
        <v>8027</v>
      </c>
      <c r="I3178" s="356">
        <v>13585992719</v>
      </c>
      <c r="J3178" s="361" t="s">
        <v>8028</v>
      </c>
      <c r="K3178" s="356">
        <v>10000</v>
      </c>
      <c r="L3178" s="334">
        <v>16000</v>
      </c>
      <c r="M3178" s="419"/>
      <c r="N3178" s="362">
        <f t="shared" si="113"/>
        <v>16000</v>
      </c>
      <c r="O3178" s="356"/>
      <c r="P3178" s="356"/>
      <c r="Q3178" s="356">
        <v>1</v>
      </c>
      <c r="R3178" s="356"/>
      <c r="S3178" s="356"/>
      <c r="T3178" s="356"/>
      <c r="U3178" s="372"/>
      <c r="V3178" s="372"/>
      <c r="W3178" s="372"/>
      <c r="X3178" s="373"/>
      <c r="Y3178" s="348"/>
      <c r="Z3178" s="348"/>
      <c r="AA3178" s="348"/>
    </row>
    <row r="3179" s="331" customFormat="1" ht="17" customHeight="1" spans="1:27">
      <c r="A3179" s="550" t="s">
        <v>5331</v>
      </c>
      <c r="B3179" s="348" t="s">
        <v>185</v>
      </c>
      <c r="C3179" s="348" t="s">
        <v>1204</v>
      </c>
      <c r="D3179" s="349" t="s">
        <v>44</v>
      </c>
      <c r="E3179" s="336">
        <v>43703</v>
      </c>
      <c r="F3179" s="336">
        <v>43687</v>
      </c>
      <c r="G3179" s="336">
        <v>43701</v>
      </c>
      <c r="H3179" s="334" t="s">
        <v>8029</v>
      </c>
      <c r="I3179" s="356">
        <v>18621076101</v>
      </c>
      <c r="J3179" s="361" t="s">
        <v>8030</v>
      </c>
      <c r="K3179" s="356">
        <v>3000</v>
      </c>
      <c r="L3179" s="334">
        <v>9750</v>
      </c>
      <c r="M3179" s="419"/>
      <c r="N3179" s="362">
        <f t="shared" ref="N3179:N3204" si="114">L3179+M3179</f>
        <v>9750</v>
      </c>
      <c r="O3179" s="356"/>
      <c r="P3179" s="356"/>
      <c r="Q3179" s="356"/>
      <c r="R3179" s="356" t="s">
        <v>52</v>
      </c>
      <c r="S3179" s="356"/>
      <c r="T3179" s="356"/>
      <c r="U3179" s="372"/>
      <c r="V3179" s="372"/>
      <c r="W3179" s="374">
        <v>43687</v>
      </c>
      <c r="X3179" s="373"/>
      <c r="Y3179" s="348"/>
      <c r="Z3179" s="348"/>
      <c r="AA3179" s="348"/>
    </row>
    <row r="3180" s="331" customFormat="1" ht="17" customHeight="1" spans="1:27">
      <c r="A3180" s="550" t="s">
        <v>5264</v>
      </c>
      <c r="B3180" s="348" t="s">
        <v>185</v>
      </c>
      <c r="C3180" s="348" t="s">
        <v>1204</v>
      </c>
      <c r="D3180" s="334" t="s">
        <v>187</v>
      </c>
      <c r="E3180" s="336">
        <v>43719</v>
      </c>
      <c r="F3180" s="336">
        <v>43687</v>
      </c>
      <c r="G3180" s="336">
        <v>43716</v>
      </c>
      <c r="H3180" s="334" t="s">
        <v>8031</v>
      </c>
      <c r="I3180" s="356">
        <v>13917449361</v>
      </c>
      <c r="J3180" s="361" t="s">
        <v>8032</v>
      </c>
      <c r="K3180" s="356">
        <v>1000</v>
      </c>
      <c r="L3180" s="334">
        <f>8402-804</f>
        <v>7598</v>
      </c>
      <c r="M3180" s="334">
        <v>804</v>
      </c>
      <c r="N3180" s="362">
        <f t="shared" si="114"/>
        <v>8402</v>
      </c>
      <c r="O3180" s="356"/>
      <c r="P3180" s="356"/>
      <c r="Q3180" s="356" t="s">
        <v>52</v>
      </c>
      <c r="R3180" s="356"/>
      <c r="S3180" s="356"/>
      <c r="T3180" s="356"/>
      <c r="U3180" s="372"/>
      <c r="V3180" s="372"/>
      <c r="W3180" s="374">
        <v>43688</v>
      </c>
      <c r="X3180" s="373"/>
      <c r="Y3180" s="348"/>
      <c r="Z3180" s="348"/>
      <c r="AA3180" s="348"/>
    </row>
    <row r="3181" s="331" customFormat="1" ht="17" customHeight="1" spans="1:27">
      <c r="A3181" s="550" t="s">
        <v>8033</v>
      </c>
      <c r="B3181" s="348" t="s">
        <v>31</v>
      </c>
      <c r="C3181" s="348" t="s">
        <v>220</v>
      </c>
      <c r="D3181" s="352" t="s">
        <v>221</v>
      </c>
      <c r="E3181" s="336">
        <v>43688</v>
      </c>
      <c r="F3181" s="336">
        <v>43687</v>
      </c>
      <c r="G3181" s="373" t="s">
        <v>1140</v>
      </c>
      <c r="H3181" s="334" t="s">
        <v>8034</v>
      </c>
      <c r="I3181" s="356">
        <v>13918368697</v>
      </c>
      <c r="J3181" s="361" t="s">
        <v>8035</v>
      </c>
      <c r="K3181" s="356">
        <v>1000</v>
      </c>
      <c r="L3181" s="419"/>
      <c r="M3181" s="419"/>
      <c r="N3181" s="362">
        <f t="shared" si="114"/>
        <v>0</v>
      </c>
      <c r="O3181" s="356"/>
      <c r="P3181" s="356"/>
      <c r="Q3181" s="356" t="s">
        <v>52</v>
      </c>
      <c r="R3181" s="356"/>
      <c r="S3181" s="356"/>
      <c r="T3181" s="356"/>
      <c r="U3181" s="372"/>
      <c r="V3181" s="372"/>
      <c r="W3181" s="372"/>
      <c r="X3181" s="373"/>
      <c r="Y3181" s="348"/>
      <c r="Z3181" s="348"/>
      <c r="AA3181" s="348"/>
    </row>
    <row r="3182" s="331" customFormat="1" ht="17" customHeight="1" spans="1:27">
      <c r="A3182" s="550" t="s">
        <v>8036</v>
      </c>
      <c r="B3182" s="348" t="s">
        <v>354</v>
      </c>
      <c r="C3182" s="348" t="s">
        <v>355</v>
      </c>
      <c r="D3182" s="334" t="s">
        <v>443</v>
      </c>
      <c r="E3182" s="336">
        <v>43724</v>
      </c>
      <c r="F3182" s="336">
        <v>43687</v>
      </c>
      <c r="G3182" s="336">
        <v>43723</v>
      </c>
      <c r="H3182" s="334" t="s">
        <v>8037</v>
      </c>
      <c r="I3182" s="356">
        <v>13564117993</v>
      </c>
      <c r="J3182" s="361" t="s">
        <v>8038</v>
      </c>
      <c r="K3182" s="356">
        <v>2000</v>
      </c>
      <c r="L3182" s="334">
        <v>14208</v>
      </c>
      <c r="M3182" s="419"/>
      <c r="N3182" s="362">
        <f t="shared" si="114"/>
        <v>14208</v>
      </c>
      <c r="O3182" s="356"/>
      <c r="P3182" s="356" t="s">
        <v>52</v>
      </c>
      <c r="Q3182" s="356"/>
      <c r="R3182" s="356"/>
      <c r="S3182" s="356"/>
      <c r="T3182" s="356"/>
      <c r="U3182" s="372"/>
      <c r="V3182" s="387">
        <v>43688</v>
      </c>
      <c r="W3182" s="372"/>
      <c r="X3182" s="373"/>
      <c r="Y3182" s="348"/>
      <c r="Z3182" s="348"/>
      <c r="AA3182" s="348"/>
    </row>
    <row r="3183" s="331" customFormat="1" ht="17" customHeight="1" spans="1:27">
      <c r="A3183" s="550" t="s">
        <v>8039</v>
      </c>
      <c r="B3183" s="348" t="s">
        <v>335</v>
      </c>
      <c r="C3183" s="348" t="s">
        <v>615</v>
      </c>
      <c r="D3183" s="352" t="s">
        <v>337</v>
      </c>
      <c r="E3183" s="336">
        <v>43690</v>
      </c>
      <c r="F3183" s="336">
        <v>43687</v>
      </c>
      <c r="G3183" s="336">
        <v>43689</v>
      </c>
      <c r="H3183" s="334" t="s">
        <v>8040</v>
      </c>
      <c r="I3183" s="356">
        <v>13311637118</v>
      </c>
      <c r="J3183" s="361" t="s">
        <v>8041</v>
      </c>
      <c r="K3183" s="356">
        <v>21000</v>
      </c>
      <c r="L3183" s="334">
        <f>21527-1472</f>
        <v>20055</v>
      </c>
      <c r="M3183" s="334">
        <v>1472</v>
      </c>
      <c r="N3183" s="362">
        <f t="shared" si="114"/>
        <v>21527</v>
      </c>
      <c r="O3183" s="356"/>
      <c r="P3183" s="356"/>
      <c r="Q3183" s="356"/>
      <c r="R3183" s="356"/>
      <c r="S3183" s="356"/>
      <c r="T3183" s="356"/>
      <c r="U3183" s="372"/>
      <c r="V3183" s="372"/>
      <c r="W3183" s="372"/>
      <c r="X3183" s="373"/>
      <c r="Y3183" s="348"/>
      <c r="Z3183" s="348"/>
      <c r="AA3183" s="348"/>
    </row>
    <row r="3184" s="331" customFormat="1" ht="17" customHeight="1" spans="1:27">
      <c r="A3184" s="550" t="s">
        <v>8042</v>
      </c>
      <c r="B3184" s="348" t="s">
        <v>335</v>
      </c>
      <c r="C3184" s="348" t="s">
        <v>615</v>
      </c>
      <c r="D3184" s="334" t="s">
        <v>162</v>
      </c>
      <c r="E3184" s="336">
        <v>43705</v>
      </c>
      <c r="F3184" s="336">
        <v>43688</v>
      </c>
      <c r="G3184" s="336">
        <v>43705</v>
      </c>
      <c r="H3184" s="334" t="s">
        <v>8043</v>
      </c>
      <c r="I3184" s="356">
        <v>13248668434</v>
      </c>
      <c r="J3184" s="361" t="s">
        <v>8044</v>
      </c>
      <c r="K3184" s="356">
        <v>7000</v>
      </c>
      <c r="L3184" s="334">
        <v>10000</v>
      </c>
      <c r="M3184" s="419"/>
      <c r="N3184" s="362">
        <f t="shared" si="114"/>
        <v>10000</v>
      </c>
      <c r="O3184" s="356" t="s">
        <v>19</v>
      </c>
      <c r="P3184" s="356"/>
      <c r="Q3184" s="356"/>
      <c r="R3184" s="356"/>
      <c r="S3184" s="356"/>
      <c r="T3184" s="356"/>
      <c r="U3184" s="372"/>
      <c r="V3184" s="372"/>
      <c r="W3184" s="372"/>
      <c r="X3184" s="373"/>
      <c r="Y3184" s="348"/>
      <c r="Z3184" s="348"/>
      <c r="AA3184" s="348"/>
    </row>
    <row r="3185" s="331" customFormat="1" ht="17" customHeight="1" spans="1:27">
      <c r="A3185" s="550" t="s">
        <v>8045</v>
      </c>
      <c r="B3185" s="348" t="s">
        <v>73</v>
      </c>
      <c r="C3185" s="348" t="s">
        <v>74</v>
      </c>
      <c r="D3185" s="334" t="s">
        <v>717</v>
      </c>
      <c r="E3185" s="336">
        <v>43720</v>
      </c>
      <c r="F3185" s="336">
        <v>43687</v>
      </c>
      <c r="G3185" s="336">
        <v>43718</v>
      </c>
      <c r="H3185" s="334" t="s">
        <v>8046</v>
      </c>
      <c r="I3185" s="356">
        <v>13611661633</v>
      </c>
      <c r="J3185" s="361" t="s">
        <v>8047</v>
      </c>
      <c r="K3185" s="356">
        <v>1000</v>
      </c>
      <c r="L3185" s="334">
        <v>11910</v>
      </c>
      <c r="M3185" s="334">
        <f>10098-11910</f>
        <v>-1812</v>
      </c>
      <c r="N3185" s="362">
        <f t="shared" si="114"/>
        <v>10098</v>
      </c>
      <c r="O3185" s="366" t="s">
        <v>52</v>
      </c>
      <c r="P3185" s="356"/>
      <c r="Q3185" s="356"/>
      <c r="R3185" s="356"/>
      <c r="S3185" s="356"/>
      <c r="T3185" s="356"/>
      <c r="U3185" s="372"/>
      <c r="V3185" s="372"/>
      <c r="W3185" s="372"/>
      <c r="X3185" s="373"/>
      <c r="Y3185" s="348"/>
      <c r="Z3185" s="348"/>
      <c r="AA3185" s="348"/>
    </row>
    <row r="3186" s="57" customFormat="1" ht="17" customHeight="1" spans="1:27">
      <c r="A3186" s="550" t="s">
        <v>159</v>
      </c>
      <c r="B3186" s="348" t="s">
        <v>137</v>
      </c>
      <c r="C3186" s="348" t="s">
        <v>861</v>
      </c>
      <c r="D3186" s="352" t="s">
        <v>427</v>
      </c>
      <c r="E3186" s="336">
        <v>43688</v>
      </c>
      <c r="F3186" s="336">
        <v>43687</v>
      </c>
      <c r="G3186" s="350"/>
      <c r="H3186" s="334" t="s">
        <v>8048</v>
      </c>
      <c r="I3186" s="356">
        <v>13681995822</v>
      </c>
      <c r="J3186" s="348" t="s">
        <v>8049</v>
      </c>
      <c r="K3186" s="356">
        <v>1000</v>
      </c>
      <c r="L3186" s="419"/>
      <c r="M3186" s="419"/>
      <c r="N3186" s="362">
        <f t="shared" si="114"/>
        <v>0</v>
      </c>
      <c r="O3186" s="356" t="s">
        <v>8050</v>
      </c>
      <c r="P3186" s="356"/>
      <c r="Q3186" s="356"/>
      <c r="R3186" s="356"/>
      <c r="S3186" s="356"/>
      <c r="T3186" s="356"/>
      <c r="U3186" s="372"/>
      <c r="V3186" s="372"/>
      <c r="W3186" s="372"/>
      <c r="X3186" s="373"/>
      <c r="Y3186" s="348"/>
      <c r="Z3186" s="348"/>
      <c r="AA3186" s="348"/>
    </row>
    <row r="3187" s="331" customFormat="1" ht="17" customHeight="1" spans="1:27">
      <c r="A3187" s="348">
        <v>2067259</v>
      </c>
      <c r="B3187" s="348" t="s">
        <v>87</v>
      </c>
      <c r="C3187" s="348" t="s">
        <v>199</v>
      </c>
      <c r="D3187" s="352" t="s">
        <v>89</v>
      </c>
      <c r="E3187" s="336">
        <v>43690</v>
      </c>
      <c r="F3187" s="336">
        <v>43686</v>
      </c>
      <c r="G3187" s="336">
        <v>43690</v>
      </c>
      <c r="H3187" s="334" t="s">
        <v>8051</v>
      </c>
      <c r="I3187" s="356">
        <v>15370766489</v>
      </c>
      <c r="J3187" s="361" t="s">
        <v>8052</v>
      </c>
      <c r="K3187" s="356">
        <v>1000</v>
      </c>
      <c r="L3187" s="334">
        <v>4337</v>
      </c>
      <c r="M3187" s="419"/>
      <c r="N3187" s="362">
        <f t="shared" si="114"/>
        <v>4337</v>
      </c>
      <c r="O3187" s="356"/>
      <c r="P3187" s="356"/>
      <c r="Q3187" s="356"/>
      <c r="R3187" s="356"/>
      <c r="S3187" s="356"/>
      <c r="T3187" s="356"/>
      <c r="U3187" s="372"/>
      <c r="V3187" s="372"/>
      <c r="W3187" s="372"/>
      <c r="X3187" s="373"/>
      <c r="Y3187" s="348"/>
      <c r="Z3187" s="348"/>
      <c r="AA3187" s="348"/>
    </row>
    <row r="3188" s="331" customFormat="1" ht="17" customHeight="1" spans="1:27">
      <c r="A3188" s="550" t="s">
        <v>8053</v>
      </c>
      <c r="B3188" s="348" t="s">
        <v>31</v>
      </c>
      <c r="C3188" s="348" t="s">
        <v>2716</v>
      </c>
      <c r="D3188" s="334" t="s">
        <v>954</v>
      </c>
      <c r="E3188" s="336">
        <v>43774</v>
      </c>
      <c r="F3188" s="336">
        <v>43687</v>
      </c>
      <c r="G3188" s="336">
        <v>43772</v>
      </c>
      <c r="H3188" s="334" t="s">
        <v>8054</v>
      </c>
      <c r="I3188" s="356">
        <v>13901994005</v>
      </c>
      <c r="J3188" s="361" t="s">
        <v>8055</v>
      </c>
      <c r="K3188" s="356">
        <v>1000</v>
      </c>
      <c r="L3188" s="334">
        <v>22914</v>
      </c>
      <c r="M3188" s="419"/>
      <c r="N3188" s="362">
        <f t="shared" si="114"/>
        <v>22914</v>
      </c>
      <c r="O3188" s="356"/>
      <c r="P3188" s="356" t="s">
        <v>52</v>
      </c>
      <c r="Q3188" s="356"/>
      <c r="R3188" s="356"/>
      <c r="S3188" s="356"/>
      <c r="T3188" s="356"/>
      <c r="U3188" s="372"/>
      <c r="V3188" s="372"/>
      <c r="W3188" s="372"/>
      <c r="X3188" s="373"/>
      <c r="Y3188" s="348"/>
      <c r="Z3188" s="348"/>
      <c r="AA3188" s="348"/>
    </row>
    <row r="3189" s="331" customFormat="1" ht="17" customHeight="1" spans="1:27">
      <c r="A3189" s="550" t="s">
        <v>8056</v>
      </c>
      <c r="B3189" s="348" t="s">
        <v>31</v>
      </c>
      <c r="C3189" s="348" t="s">
        <v>2716</v>
      </c>
      <c r="D3189" s="352" t="s">
        <v>33</v>
      </c>
      <c r="E3189" s="336">
        <v>43701</v>
      </c>
      <c r="F3189" s="336">
        <v>43687</v>
      </c>
      <c r="G3189" s="336">
        <v>43695</v>
      </c>
      <c r="H3189" s="334" t="s">
        <v>1428</v>
      </c>
      <c r="I3189" s="356">
        <v>15950817568</v>
      </c>
      <c r="J3189" s="361" t="s">
        <v>8057</v>
      </c>
      <c r="K3189" s="356">
        <v>1000</v>
      </c>
      <c r="L3189" s="334">
        <v>24251</v>
      </c>
      <c r="M3189" s="419"/>
      <c r="N3189" s="362">
        <f t="shared" si="114"/>
        <v>24251</v>
      </c>
      <c r="O3189" s="356"/>
      <c r="P3189" s="356"/>
      <c r="Q3189" s="356"/>
      <c r="R3189" s="356"/>
      <c r="S3189" s="356" t="s">
        <v>52</v>
      </c>
      <c r="T3189" s="356"/>
      <c r="U3189" s="372"/>
      <c r="V3189" s="372"/>
      <c r="W3189" s="372"/>
      <c r="X3189" s="373"/>
      <c r="Y3189" s="348"/>
      <c r="Z3189" s="348"/>
      <c r="AA3189" s="348"/>
    </row>
    <row r="3190" s="331" customFormat="1" ht="17" customHeight="1" spans="1:27">
      <c r="A3190" s="550" t="s">
        <v>8058</v>
      </c>
      <c r="B3190" s="348" t="s">
        <v>31</v>
      </c>
      <c r="C3190" s="348" t="s">
        <v>2716</v>
      </c>
      <c r="D3190" s="352" t="s">
        <v>33</v>
      </c>
      <c r="E3190" s="336">
        <v>43737</v>
      </c>
      <c r="F3190" s="336">
        <v>43687</v>
      </c>
      <c r="G3190" s="336">
        <v>43736</v>
      </c>
      <c r="H3190" s="334" t="s">
        <v>8059</v>
      </c>
      <c r="I3190" s="356">
        <v>13916778189</v>
      </c>
      <c r="J3190" s="361" t="s">
        <v>8060</v>
      </c>
      <c r="K3190" s="356">
        <v>1000</v>
      </c>
      <c r="L3190" s="334">
        <v>13000</v>
      </c>
      <c r="M3190" s="419"/>
      <c r="N3190" s="362">
        <f t="shared" si="114"/>
        <v>13000</v>
      </c>
      <c r="O3190" s="356"/>
      <c r="P3190" s="356" t="s">
        <v>52</v>
      </c>
      <c r="Q3190" s="356"/>
      <c r="R3190" s="356"/>
      <c r="S3190" s="356"/>
      <c r="T3190" s="356"/>
      <c r="U3190" s="372"/>
      <c r="V3190" s="372"/>
      <c r="W3190" s="372"/>
      <c r="X3190" s="373"/>
      <c r="Y3190" s="348"/>
      <c r="Z3190" s="348"/>
      <c r="AA3190" s="348"/>
    </row>
    <row r="3191" s="331" customFormat="1" ht="17" customHeight="1" spans="1:27">
      <c r="A3191" s="348"/>
      <c r="B3191" s="348" t="s">
        <v>2625</v>
      </c>
      <c r="C3191" s="348" t="s">
        <v>2626</v>
      </c>
      <c r="D3191" s="334" t="s">
        <v>2302</v>
      </c>
      <c r="E3191" s="336">
        <v>43738</v>
      </c>
      <c r="F3191" s="336">
        <v>43688</v>
      </c>
      <c r="G3191" s="336">
        <v>43738</v>
      </c>
      <c r="H3191" s="334" t="s">
        <v>8061</v>
      </c>
      <c r="I3191" s="356">
        <v>13817904620</v>
      </c>
      <c r="J3191" s="361" t="s">
        <v>8062</v>
      </c>
      <c r="K3191" s="356">
        <v>3000</v>
      </c>
      <c r="L3191" s="334">
        <f>21500-760</f>
        <v>20740</v>
      </c>
      <c r="M3191" s="334">
        <v>760</v>
      </c>
      <c r="N3191" s="362">
        <f t="shared" si="114"/>
        <v>21500</v>
      </c>
      <c r="O3191" s="356" t="s">
        <v>19</v>
      </c>
      <c r="P3191" s="356"/>
      <c r="Q3191" s="356"/>
      <c r="R3191" s="356"/>
      <c r="S3191" s="356"/>
      <c r="T3191" s="356"/>
      <c r="U3191" s="372"/>
      <c r="V3191" s="372"/>
      <c r="W3191" s="372"/>
      <c r="X3191" s="373"/>
      <c r="Y3191" s="348"/>
      <c r="Z3191" s="348"/>
      <c r="AA3191" s="348"/>
    </row>
    <row r="3192" s="331" customFormat="1" ht="17" customHeight="1" spans="1:27">
      <c r="A3192" s="550" t="s">
        <v>8063</v>
      </c>
      <c r="B3192" s="348" t="s">
        <v>31</v>
      </c>
      <c r="C3192" s="348" t="s">
        <v>251</v>
      </c>
      <c r="D3192" s="334" t="s">
        <v>221</v>
      </c>
      <c r="E3192" s="336">
        <v>43730</v>
      </c>
      <c r="F3192" s="336">
        <v>43687</v>
      </c>
      <c r="G3192" s="336">
        <v>43729</v>
      </c>
      <c r="H3192" s="334" t="s">
        <v>8064</v>
      </c>
      <c r="I3192" s="356">
        <v>13817057448</v>
      </c>
      <c r="J3192" s="361" t="s">
        <v>8065</v>
      </c>
      <c r="K3192" s="356">
        <v>1000</v>
      </c>
      <c r="L3192" s="334">
        <f>12240-1472</f>
        <v>10768</v>
      </c>
      <c r="M3192" s="334">
        <v>1472</v>
      </c>
      <c r="N3192" s="362">
        <f t="shared" si="114"/>
        <v>12240</v>
      </c>
      <c r="O3192" s="366" t="s">
        <v>52</v>
      </c>
      <c r="P3192" s="356"/>
      <c r="Q3192" s="356"/>
      <c r="R3192" s="356"/>
      <c r="S3192" s="356"/>
      <c r="T3192" s="356"/>
      <c r="U3192" s="372"/>
      <c r="V3192" s="372"/>
      <c r="W3192" s="372"/>
      <c r="X3192" s="373"/>
      <c r="Y3192" s="348"/>
      <c r="Z3192" s="348"/>
      <c r="AA3192" s="348"/>
    </row>
    <row r="3193" s="331" customFormat="1" ht="17" customHeight="1" spans="1:27">
      <c r="A3193" s="550" t="s">
        <v>8066</v>
      </c>
      <c r="B3193" s="348" t="s">
        <v>123</v>
      </c>
      <c r="C3193" s="348" t="s">
        <v>32</v>
      </c>
      <c r="D3193" s="352" t="s">
        <v>125</v>
      </c>
      <c r="E3193" s="336">
        <v>43714</v>
      </c>
      <c r="F3193" s="336">
        <v>43688</v>
      </c>
      <c r="G3193" s="336">
        <v>43714</v>
      </c>
      <c r="H3193" s="334" t="s">
        <v>8067</v>
      </c>
      <c r="I3193" s="356">
        <v>18662943777</v>
      </c>
      <c r="J3193" s="361" t="s">
        <v>8068</v>
      </c>
      <c r="K3193" s="356">
        <v>1000</v>
      </c>
      <c r="L3193" s="334">
        <f>17800-1472</f>
        <v>16328</v>
      </c>
      <c r="M3193" s="334">
        <v>1472</v>
      </c>
      <c r="N3193" s="362">
        <f t="shared" si="114"/>
        <v>17800</v>
      </c>
      <c r="O3193" s="356"/>
      <c r="P3193" s="356"/>
      <c r="Q3193" s="356"/>
      <c r="R3193" s="356"/>
      <c r="S3193" s="356"/>
      <c r="T3193" s="356"/>
      <c r="U3193" s="372"/>
      <c r="V3193" s="372"/>
      <c r="W3193" s="372"/>
      <c r="X3193" s="373"/>
      <c r="Y3193" s="348"/>
      <c r="Z3193" s="348"/>
      <c r="AA3193" s="348"/>
    </row>
    <row r="3194" s="331" customFormat="1" ht="17" customHeight="1" spans="1:27">
      <c r="A3194" s="550" t="s">
        <v>8069</v>
      </c>
      <c r="B3194" s="348" t="s">
        <v>31</v>
      </c>
      <c r="C3194" s="348" t="s">
        <v>251</v>
      </c>
      <c r="D3194" s="349" t="s">
        <v>221</v>
      </c>
      <c r="E3194" s="336">
        <v>43693</v>
      </c>
      <c r="F3194" s="336">
        <v>43687</v>
      </c>
      <c r="G3194" s="336">
        <v>43693</v>
      </c>
      <c r="H3194" s="334" t="s">
        <v>8070</v>
      </c>
      <c r="I3194" s="356">
        <v>13774300278</v>
      </c>
      <c r="J3194" s="361" t="s">
        <v>8071</v>
      </c>
      <c r="K3194" s="356">
        <v>1000</v>
      </c>
      <c r="L3194" s="334">
        <f>6851-1104</f>
        <v>5747</v>
      </c>
      <c r="M3194" s="419">
        <v>1104</v>
      </c>
      <c r="N3194" s="362">
        <f t="shared" si="114"/>
        <v>6851</v>
      </c>
      <c r="O3194" s="356"/>
      <c r="P3194" s="356"/>
      <c r="Q3194" s="356"/>
      <c r="R3194" s="356"/>
      <c r="S3194" s="356" t="s">
        <v>52</v>
      </c>
      <c r="T3194" s="356"/>
      <c r="U3194" s="372"/>
      <c r="V3194" s="372"/>
      <c r="W3194" s="372"/>
      <c r="X3194" s="373"/>
      <c r="Y3194" s="348"/>
      <c r="Z3194" s="348"/>
      <c r="AA3194" s="348"/>
    </row>
    <row r="3195" s="331" customFormat="1" ht="17" customHeight="1" spans="1:27">
      <c r="A3195" s="348"/>
      <c r="B3195" s="348" t="s">
        <v>31</v>
      </c>
      <c r="C3195" s="348" t="s">
        <v>2716</v>
      </c>
      <c r="D3195" s="352" t="s">
        <v>33</v>
      </c>
      <c r="E3195" s="336">
        <v>43737</v>
      </c>
      <c r="F3195" s="336">
        <v>43688</v>
      </c>
      <c r="G3195" s="336">
        <v>43736</v>
      </c>
      <c r="H3195" s="334" t="s">
        <v>8072</v>
      </c>
      <c r="I3195" s="356">
        <v>13601906262</v>
      </c>
      <c r="J3195" s="361" t="s">
        <v>8073</v>
      </c>
      <c r="K3195" s="356">
        <v>1000</v>
      </c>
      <c r="L3195" s="334">
        <f>26000-1340</f>
        <v>24660</v>
      </c>
      <c r="M3195" s="334">
        <v>1340</v>
      </c>
      <c r="N3195" s="362">
        <f t="shared" si="114"/>
        <v>26000</v>
      </c>
      <c r="O3195" s="356"/>
      <c r="P3195" s="356" t="s">
        <v>52</v>
      </c>
      <c r="Q3195" s="356"/>
      <c r="R3195" s="356"/>
      <c r="S3195" s="356"/>
      <c r="T3195" s="356"/>
      <c r="U3195" s="372"/>
      <c r="V3195" s="372"/>
      <c r="W3195" s="372"/>
      <c r="X3195" s="373"/>
      <c r="Y3195" s="348"/>
      <c r="Z3195" s="348"/>
      <c r="AA3195" s="348"/>
    </row>
    <row r="3196" s="331" customFormat="1" ht="17" customHeight="1" spans="1:27">
      <c r="A3196" s="550" t="s">
        <v>8074</v>
      </c>
      <c r="B3196" s="348" t="s">
        <v>169</v>
      </c>
      <c r="C3196" s="348" t="s">
        <v>8075</v>
      </c>
      <c r="D3196" s="349" t="s">
        <v>171</v>
      </c>
      <c r="E3196" s="336">
        <v>43688</v>
      </c>
      <c r="F3196" s="336">
        <v>43687</v>
      </c>
      <c r="G3196" s="350">
        <v>43687</v>
      </c>
      <c r="H3196" s="334" t="s">
        <v>1265</v>
      </c>
      <c r="I3196" s="356">
        <v>13916054199</v>
      </c>
      <c r="J3196" s="361" t="s">
        <v>8076</v>
      </c>
      <c r="K3196" s="356">
        <v>6423</v>
      </c>
      <c r="L3196" s="334">
        <v>6423</v>
      </c>
      <c r="M3196" s="419"/>
      <c r="N3196" s="362">
        <f t="shared" si="114"/>
        <v>6423</v>
      </c>
      <c r="O3196" s="356"/>
      <c r="P3196" s="356"/>
      <c r="Q3196" s="356"/>
      <c r="R3196" s="356"/>
      <c r="S3196" s="356"/>
      <c r="T3196" s="356"/>
      <c r="U3196" s="372"/>
      <c r="V3196" s="372"/>
      <c r="W3196" s="372"/>
      <c r="X3196" s="373"/>
      <c r="Y3196" s="348"/>
      <c r="Z3196" s="348"/>
      <c r="AA3196" s="348"/>
    </row>
    <row r="3197" s="331" customFormat="1" ht="17" customHeight="1" spans="1:27">
      <c r="A3197" s="550" t="s">
        <v>8077</v>
      </c>
      <c r="B3197" s="348" t="s">
        <v>42</v>
      </c>
      <c r="C3197" s="348" t="s">
        <v>43</v>
      </c>
      <c r="D3197" s="349" t="s">
        <v>37</v>
      </c>
      <c r="E3197" s="336">
        <v>43688</v>
      </c>
      <c r="F3197" s="336">
        <v>43688</v>
      </c>
      <c r="G3197" s="350">
        <v>43688</v>
      </c>
      <c r="H3197" s="334" t="s">
        <v>8078</v>
      </c>
      <c r="I3197" s="356">
        <v>13918905873</v>
      </c>
      <c r="J3197" s="361" t="s">
        <v>8079</v>
      </c>
      <c r="K3197" s="356">
        <v>4718</v>
      </c>
      <c r="L3197" s="334">
        <v>4718</v>
      </c>
      <c r="M3197" s="419"/>
      <c r="N3197" s="362">
        <f t="shared" si="114"/>
        <v>4718</v>
      </c>
      <c r="O3197" s="356"/>
      <c r="P3197" s="356"/>
      <c r="Q3197" s="356"/>
      <c r="R3197" s="356"/>
      <c r="S3197" s="356"/>
      <c r="T3197" s="356"/>
      <c r="U3197" s="372"/>
      <c r="V3197" s="372"/>
      <c r="W3197" s="372"/>
      <c r="X3197" s="373"/>
      <c r="Y3197" s="348"/>
      <c r="Z3197" s="348"/>
      <c r="AA3197" s="348"/>
    </row>
    <row r="3198" s="331" customFormat="1" ht="17" customHeight="1" spans="1:27">
      <c r="A3198" s="550" t="s">
        <v>8080</v>
      </c>
      <c r="B3198" s="348" t="s">
        <v>169</v>
      </c>
      <c r="C3198" s="348" t="s">
        <v>542</v>
      </c>
      <c r="D3198" s="352" t="s">
        <v>171</v>
      </c>
      <c r="E3198" s="336">
        <v>43693</v>
      </c>
      <c r="F3198" s="336">
        <v>43688</v>
      </c>
      <c r="G3198" s="336">
        <v>43693</v>
      </c>
      <c r="H3198" s="334" t="s">
        <v>8081</v>
      </c>
      <c r="I3198" s="356">
        <v>18621034337</v>
      </c>
      <c r="J3198" s="361" t="s">
        <v>8082</v>
      </c>
      <c r="K3198" s="356">
        <v>1000</v>
      </c>
      <c r="L3198" s="334">
        <f>20630-1273</f>
        <v>19357</v>
      </c>
      <c r="M3198" s="334">
        <v>1273</v>
      </c>
      <c r="N3198" s="362">
        <f t="shared" si="114"/>
        <v>20630</v>
      </c>
      <c r="O3198" s="356" t="s">
        <v>19</v>
      </c>
      <c r="P3198" s="356"/>
      <c r="Q3198" s="356"/>
      <c r="R3198" s="356"/>
      <c r="S3198" s="356"/>
      <c r="T3198" s="356"/>
      <c r="U3198" s="372"/>
      <c r="V3198" s="372"/>
      <c r="W3198" s="372"/>
      <c r="X3198" s="373"/>
      <c r="Y3198" s="348"/>
      <c r="Z3198" s="348"/>
      <c r="AA3198" s="348"/>
    </row>
    <row r="3199" s="331" customFormat="1" ht="17" customHeight="1" spans="1:27">
      <c r="A3199" s="550" t="s">
        <v>8083</v>
      </c>
      <c r="B3199" s="348" t="s">
        <v>58</v>
      </c>
      <c r="C3199" s="348" t="s">
        <v>109</v>
      </c>
      <c r="D3199" s="349" t="s">
        <v>271</v>
      </c>
      <c r="E3199" s="336">
        <v>43690</v>
      </c>
      <c r="F3199" s="336">
        <v>43688</v>
      </c>
      <c r="G3199" s="336">
        <v>43688</v>
      </c>
      <c r="H3199" s="334" t="s">
        <v>8084</v>
      </c>
      <c r="I3199" s="356">
        <v>15821882210</v>
      </c>
      <c r="J3199" s="361" t="s">
        <v>8085</v>
      </c>
      <c r="K3199" s="356">
        <v>2188</v>
      </c>
      <c r="L3199" s="334">
        <v>2688</v>
      </c>
      <c r="M3199" s="419"/>
      <c r="N3199" s="362">
        <f t="shared" si="114"/>
        <v>2688</v>
      </c>
      <c r="O3199" s="356"/>
      <c r="P3199" s="356"/>
      <c r="Q3199" s="356"/>
      <c r="R3199" s="356"/>
      <c r="S3199" s="356"/>
      <c r="T3199" s="356"/>
      <c r="U3199" s="372"/>
      <c r="V3199" s="372"/>
      <c r="W3199" s="372"/>
      <c r="X3199" s="373"/>
      <c r="Y3199" s="348"/>
      <c r="Z3199" s="348"/>
      <c r="AA3199" s="348"/>
    </row>
    <row r="3200" s="331" customFormat="1" ht="17" customHeight="1" spans="1:27">
      <c r="A3200" s="550" t="s">
        <v>3549</v>
      </c>
      <c r="B3200" s="348" t="s">
        <v>405</v>
      </c>
      <c r="C3200" s="334" t="s">
        <v>1234</v>
      </c>
      <c r="D3200" s="349" t="s">
        <v>407</v>
      </c>
      <c r="E3200" s="336">
        <v>43688</v>
      </c>
      <c r="F3200" s="336">
        <v>43688</v>
      </c>
      <c r="G3200" s="336">
        <v>43687</v>
      </c>
      <c r="H3200" s="334" t="s">
        <v>8086</v>
      </c>
      <c r="I3200" s="356">
        <v>13501974293</v>
      </c>
      <c r="J3200" s="361" t="s">
        <v>8087</v>
      </c>
      <c r="K3200" s="356">
        <v>30000</v>
      </c>
      <c r="L3200" s="334">
        <v>30000</v>
      </c>
      <c r="M3200" s="419"/>
      <c r="N3200" s="362">
        <f t="shared" si="114"/>
        <v>30000</v>
      </c>
      <c r="O3200" s="356"/>
      <c r="P3200" s="356"/>
      <c r="Q3200" s="356"/>
      <c r="R3200" s="356"/>
      <c r="S3200" s="356"/>
      <c r="T3200" s="356"/>
      <c r="U3200" s="372"/>
      <c r="V3200" s="372"/>
      <c r="W3200" s="372"/>
      <c r="X3200" s="373"/>
      <c r="Y3200" s="348"/>
      <c r="Z3200" s="348"/>
      <c r="AA3200" s="348"/>
    </row>
    <row r="3201" s="331" customFormat="1" ht="15" customHeight="1" spans="1:27">
      <c r="A3201" s="550" t="s">
        <v>8088</v>
      </c>
      <c r="B3201" s="348" t="s">
        <v>58</v>
      </c>
      <c r="C3201" s="348" t="s">
        <v>347</v>
      </c>
      <c r="D3201" s="352" t="s">
        <v>343</v>
      </c>
      <c r="E3201" s="336">
        <v>43688</v>
      </c>
      <c r="F3201" s="336">
        <v>43687</v>
      </c>
      <c r="G3201" s="350"/>
      <c r="H3201" s="334" t="s">
        <v>8089</v>
      </c>
      <c r="I3201" s="356">
        <v>13611681779</v>
      </c>
      <c r="J3201" s="361" t="s">
        <v>8090</v>
      </c>
      <c r="K3201" s="356">
        <v>1000</v>
      </c>
      <c r="L3201" s="419"/>
      <c r="M3201" s="419"/>
      <c r="N3201" s="362">
        <f t="shared" si="114"/>
        <v>0</v>
      </c>
      <c r="O3201" s="366" t="s">
        <v>52</v>
      </c>
      <c r="P3201" s="356"/>
      <c r="Q3201" s="356"/>
      <c r="R3201" s="356"/>
      <c r="S3201" s="356"/>
      <c r="T3201" s="356"/>
      <c r="U3201" s="372" t="s">
        <v>12</v>
      </c>
      <c r="V3201" s="372"/>
      <c r="W3201" s="372"/>
      <c r="X3201" s="373"/>
      <c r="Y3201" s="348"/>
      <c r="Z3201" s="348"/>
      <c r="AA3201" s="348"/>
    </row>
    <row r="3202" s="331" customFormat="1" ht="15" customHeight="1" spans="1:27">
      <c r="A3202" s="550" t="s">
        <v>8091</v>
      </c>
      <c r="B3202" s="348" t="s">
        <v>58</v>
      </c>
      <c r="C3202" s="348" t="s">
        <v>347</v>
      </c>
      <c r="D3202" s="352" t="s">
        <v>343</v>
      </c>
      <c r="E3202" s="336">
        <v>43688</v>
      </c>
      <c r="F3202" s="336">
        <v>43687</v>
      </c>
      <c r="G3202" s="350"/>
      <c r="H3202" s="334" t="s">
        <v>8092</v>
      </c>
      <c r="I3202" s="356">
        <v>13016748980</v>
      </c>
      <c r="J3202" s="361" t="s">
        <v>8093</v>
      </c>
      <c r="K3202" s="356">
        <v>1000</v>
      </c>
      <c r="L3202" s="419"/>
      <c r="M3202" s="419"/>
      <c r="N3202" s="362">
        <f t="shared" si="114"/>
        <v>0</v>
      </c>
      <c r="O3202" s="366" t="s">
        <v>52</v>
      </c>
      <c r="P3202" s="356"/>
      <c r="Q3202" s="356"/>
      <c r="R3202" s="356"/>
      <c r="S3202" s="356"/>
      <c r="T3202" s="356"/>
      <c r="U3202" s="372">
        <v>9.3</v>
      </c>
      <c r="V3202" s="372"/>
      <c r="W3202" s="372"/>
      <c r="X3202" s="373"/>
      <c r="Y3202" s="348"/>
      <c r="Z3202" s="348"/>
      <c r="AA3202" s="348"/>
    </row>
    <row r="3203" s="331" customFormat="1" ht="15" customHeight="1" spans="1:27">
      <c r="A3203" s="550" t="s">
        <v>8094</v>
      </c>
      <c r="B3203" s="348" t="s">
        <v>58</v>
      </c>
      <c r="C3203" s="348" t="s">
        <v>347</v>
      </c>
      <c r="D3203" s="352" t="s">
        <v>343</v>
      </c>
      <c r="E3203" s="336">
        <v>43688</v>
      </c>
      <c r="F3203" s="336">
        <v>43687</v>
      </c>
      <c r="G3203" s="355">
        <v>43764</v>
      </c>
      <c r="H3203" s="334" t="s">
        <v>943</v>
      </c>
      <c r="I3203" s="356">
        <v>13764039458</v>
      </c>
      <c r="J3203" s="361" t="s">
        <v>8095</v>
      </c>
      <c r="K3203" s="356">
        <v>1000</v>
      </c>
      <c r="L3203" s="419"/>
      <c r="M3203" s="419"/>
      <c r="N3203" s="362">
        <f t="shared" si="114"/>
        <v>0</v>
      </c>
      <c r="O3203" s="366"/>
      <c r="P3203" s="356"/>
      <c r="Q3203" s="356"/>
      <c r="R3203" s="356"/>
      <c r="S3203" s="356"/>
      <c r="T3203" s="356"/>
      <c r="U3203" s="372"/>
      <c r="V3203" s="372">
        <v>8.11</v>
      </c>
      <c r="W3203" s="372"/>
      <c r="X3203" s="373"/>
      <c r="Y3203" s="348"/>
      <c r="Z3203" s="348"/>
      <c r="AA3203" s="348"/>
    </row>
    <row r="3204" s="331" customFormat="1" ht="15" customHeight="1" spans="1:27">
      <c r="A3204" s="550" t="s">
        <v>8096</v>
      </c>
      <c r="B3204" s="348" t="s">
        <v>58</v>
      </c>
      <c r="C3204" s="348" t="s">
        <v>347</v>
      </c>
      <c r="D3204" s="352" t="s">
        <v>343</v>
      </c>
      <c r="E3204" s="336">
        <v>43688</v>
      </c>
      <c r="F3204" s="336">
        <v>43687</v>
      </c>
      <c r="G3204" s="355">
        <v>43733</v>
      </c>
      <c r="H3204" s="334" t="s">
        <v>348</v>
      </c>
      <c r="I3204" s="356">
        <v>13151076269</v>
      </c>
      <c r="J3204" s="361" t="s">
        <v>8097</v>
      </c>
      <c r="K3204" s="356">
        <v>1399</v>
      </c>
      <c r="L3204" s="419"/>
      <c r="M3204" s="419"/>
      <c r="N3204" s="362">
        <f t="shared" si="114"/>
        <v>0</v>
      </c>
      <c r="O3204" s="366" t="s">
        <v>52</v>
      </c>
      <c r="P3204" s="356"/>
      <c r="Q3204" s="356"/>
      <c r="R3204" s="356"/>
      <c r="S3204" s="356"/>
      <c r="T3204" s="356"/>
      <c r="U3204" s="372"/>
      <c r="V3204" s="372"/>
      <c r="W3204" s="372"/>
      <c r="X3204" s="373"/>
      <c r="Y3204" s="348"/>
      <c r="Z3204" s="348"/>
      <c r="AA3204" s="348"/>
    </row>
    <row r="3205" s="331" customFormat="1" ht="15" customHeight="1" spans="1:27">
      <c r="A3205" s="550" t="s">
        <v>8098</v>
      </c>
      <c r="B3205" s="348" t="s">
        <v>58</v>
      </c>
      <c r="C3205" s="348" t="s">
        <v>347</v>
      </c>
      <c r="D3205" s="352" t="s">
        <v>343</v>
      </c>
      <c r="E3205" s="336">
        <v>43688</v>
      </c>
      <c r="F3205" s="336">
        <v>43687</v>
      </c>
      <c r="G3205" s="350">
        <v>43810</v>
      </c>
      <c r="H3205" s="334" t="s">
        <v>8099</v>
      </c>
      <c r="I3205" s="356">
        <v>13621984071</v>
      </c>
      <c r="J3205" s="361" t="s">
        <v>8100</v>
      </c>
      <c r="K3205" s="356">
        <v>1000</v>
      </c>
      <c r="L3205" s="419"/>
      <c r="M3205" s="419"/>
      <c r="N3205" s="362">
        <f t="shared" ref="N3205:N3250" si="115">L3205+M3205</f>
        <v>0</v>
      </c>
      <c r="O3205" s="366" t="s">
        <v>52</v>
      </c>
      <c r="P3205" s="356"/>
      <c r="Q3205" s="356"/>
      <c r="R3205" s="356"/>
      <c r="S3205" s="356"/>
      <c r="T3205" s="356"/>
      <c r="U3205" s="372"/>
      <c r="V3205" s="372"/>
      <c r="W3205" s="372"/>
      <c r="X3205" s="373"/>
      <c r="Y3205" s="348"/>
      <c r="Z3205" s="348"/>
      <c r="AA3205" s="348"/>
    </row>
    <row r="3206" s="331" customFormat="1" ht="15" customHeight="1" spans="1:27">
      <c r="A3206" s="550" t="s">
        <v>8101</v>
      </c>
      <c r="B3206" s="348" t="s">
        <v>58</v>
      </c>
      <c r="C3206" s="348" t="s">
        <v>347</v>
      </c>
      <c r="D3206" s="352" t="s">
        <v>343</v>
      </c>
      <c r="E3206" s="336">
        <v>43688</v>
      </c>
      <c r="F3206" s="336">
        <v>43687</v>
      </c>
      <c r="G3206" s="350"/>
      <c r="H3206" s="334" t="s">
        <v>8102</v>
      </c>
      <c r="I3206" s="356">
        <v>13918516688</v>
      </c>
      <c r="J3206" s="361" t="s">
        <v>8103</v>
      </c>
      <c r="K3206" s="356">
        <v>1000</v>
      </c>
      <c r="L3206" s="419"/>
      <c r="M3206" s="419"/>
      <c r="N3206" s="362">
        <f t="shared" si="115"/>
        <v>0</v>
      </c>
      <c r="O3206" s="366" t="s">
        <v>52</v>
      </c>
      <c r="P3206" s="356"/>
      <c r="Q3206" s="356"/>
      <c r="R3206" s="356"/>
      <c r="S3206" s="356"/>
      <c r="T3206" s="356"/>
      <c r="U3206" s="372" t="s">
        <v>12</v>
      </c>
      <c r="V3206" s="372"/>
      <c r="W3206" s="372"/>
      <c r="X3206" s="373"/>
      <c r="Y3206" s="348"/>
      <c r="Z3206" s="348"/>
      <c r="AA3206" s="348"/>
    </row>
    <row r="3207" s="331" customFormat="1" ht="17" customHeight="1" spans="1:27">
      <c r="A3207" s="348"/>
      <c r="B3207" s="348" t="s">
        <v>2625</v>
      </c>
      <c r="C3207" s="348" t="s">
        <v>2626</v>
      </c>
      <c r="D3207" s="334" t="s">
        <v>2302</v>
      </c>
      <c r="E3207" s="336">
        <v>43778</v>
      </c>
      <c r="F3207" s="336">
        <v>43688</v>
      </c>
      <c r="G3207" s="336">
        <v>43778</v>
      </c>
      <c r="H3207" s="334" t="s">
        <v>8104</v>
      </c>
      <c r="I3207" s="356">
        <v>13901615519</v>
      </c>
      <c r="J3207" s="361" t="s">
        <v>8105</v>
      </c>
      <c r="K3207" s="356">
        <v>1000</v>
      </c>
      <c r="L3207" s="334">
        <v>4800</v>
      </c>
      <c r="M3207" s="419"/>
      <c r="N3207" s="362">
        <f t="shared" si="115"/>
        <v>4800</v>
      </c>
      <c r="O3207" s="356"/>
      <c r="P3207" s="356"/>
      <c r="Q3207" s="356"/>
      <c r="R3207" s="356" t="s">
        <v>3660</v>
      </c>
      <c r="S3207" s="356"/>
      <c r="T3207" s="356"/>
      <c r="U3207" s="372"/>
      <c r="V3207" s="372"/>
      <c r="W3207" s="372"/>
      <c r="X3207" s="373"/>
      <c r="Y3207" s="348"/>
      <c r="Z3207" s="348"/>
      <c r="AA3207" s="348"/>
    </row>
    <row r="3208" s="331" customFormat="1" ht="17" customHeight="1" spans="1:27">
      <c r="A3208" s="348">
        <v>2066952</v>
      </c>
      <c r="B3208" s="348" t="s">
        <v>335</v>
      </c>
      <c r="C3208" s="348" t="s">
        <v>615</v>
      </c>
      <c r="D3208" s="352" t="s">
        <v>337</v>
      </c>
      <c r="E3208" s="336">
        <v>43706</v>
      </c>
      <c r="F3208" s="336">
        <v>43688</v>
      </c>
      <c r="G3208" s="336">
        <v>43705</v>
      </c>
      <c r="H3208" s="334" t="s">
        <v>8106</v>
      </c>
      <c r="I3208" s="334" t="s">
        <v>8107</v>
      </c>
      <c r="J3208" s="361" t="s">
        <v>8108</v>
      </c>
      <c r="K3208" s="356">
        <v>1000</v>
      </c>
      <c r="L3208" s="334">
        <v>13546</v>
      </c>
      <c r="M3208" s="419"/>
      <c r="N3208" s="362">
        <f t="shared" si="115"/>
        <v>13546</v>
      </c>
      <c r="O3208" s="356"/>
      <c r="P3208" s="356"/>
      <c r="Q3208" s="356"/>
      <c r="R3208" s="356"/>
      <c r="S3208" s="356"/>
      <c r="T3208" s="356"/>
      <c r="U3208" s="372"/>
      <c r="V3208" s="372"/>
      <c r="W3208" s="372"/>
      <c r="X3208" s="373"/>
      <c r="Y3208" s="348"/>
      <c r="Z3208" s="348"/>
      <c r="AA3208" s="348"/>
    </row>
    <row r="3209" s="331" customFormat="1" ht="17" customHeight="1" spans="1:27">
      <c r="A3209" s="550" t="s">
        <v>8109</v>
      </c>
      <c r="B3209" s="348" t="s">
        <v>335</v>
      </c>
      <c r="C3209" s="348" t="s">
        <v>399</v>
      </c>
      <c r="D3209" s="334" t="s">
        <v>44</v>
      </c>
      <c r="E3209" s="336">
        <v>43792</v>
      </c>
      <c r="F3209" s="336">
        <v>43688</v>
      </c>
      <c r="G3209" s="336">
        <v>43790</v>
      </c>
      <c r="H3209" s="334" t="s">
        <v>8110</v>
      </c>
      <c r="I3209" s="356">
        <v>13671708281</v>
      </c>
      <c r="J3209" s="361" t="s">
        <v>8111</v>
      </c>
      <c r="K3209" s="356">
        <v>1000</v>
      </c>
      <c r="L3209" s="334">
        <v>8798</v>
      </c>
      <c r="M3209" s="419"/>
      <c r="N3209" s="362">
        <f t="shared" si="115"/>
        <v>8798</v>
      </c>
      <c r="O3209" s="356"/>
      <c r="P3209" s="356" t="s">
        <v>1526</v>
      </c>
      <c r="Q3209" s="356"/>
      <c r="R3209" s="356"/>
      <c r="S3209" s="356"/>
      <c r="T3209" s="356"/>
      <c r="U3209" s="372"/>
      <c r="V3209" s="372"/>
      <c r="W3209" s="372"/>
      <c r="X3209" s="373"/>
      <c r="Y3209" s="348"/>
      <c r="Z3209" s="348"/>
      <c r="AA3209" s="348"/>
    </row>
    <row r="3210" s="331" customFormat="1" ht="17" customHeight="1" spans="1:27">
      <c r="A3210" s="550" t="s">
        <v>8112</v>
      </c>
      <c r="B3210" s="348" t="s">
        <v>73</v>
      </c>
      <c r="C3210" s="348" t="s">
        <v>178</v>
      </c>
      <c r="D3210" s="334" t="s">
        <v>75</v>
      </c>
      <c r="E3210" s="336">
        <v>43729</v>
      </c>
      <c r="F3210" s="336">
        <v>43688</v>
      </c>
      <c r="G3210" s="336">
        <v>43720</v>
      </c>
      <c r="H3210" s="334" t="s">
        <v>1465</v>
      </c>
      <c r="I3210" s="356">
        <v>13818888032</v>
      </c>
      <c r="J3210" s="361" t="s">
        <v>8113</v>
      </c>
      <c r="K3210" s="356">
        <v>1000</v>
      </c>
      <c r="L3210" s="334">
        <v>28355</v>
      </c>
      <c r="M3210" s="419"/>
      <c r="N3210" s="362">
        <f t="shared" si="115"/>
        <v>28355</v>
      </c>
      <c r="O3210" s="366" t="s">
        <v>52</v>
      </c>
      <c r="P3210" s="356"/>
      <c r="Q3210" s="356"/>
      <c r="R3210" s="356"/>
      <c r="S3210" s="356"/>
      <c r="T3210" s="356"/>
      <c r="U3210" s="372"/>
      <c r="V3210" s="372"/>
      <c r="W3210" s="372"/>
      <c r="X3210" s="373"/>
      <c r="Y3210" s="348"/>
      <c r="Z3210" s="348"/>
      <c r="AA3210" s="348"/>
    </row>
    <row r="3211" s="331" customFormat="1" ht="17" customHeight="1" spans="1:27">
      <c r="A3211" s="550" t="s">
        <v>8114</v>
      </c>
      <c r="B3211" s="348" t="s">
        <v>73</v>
      </c>
      <c r="C3211" s="348" t="s">
        <v>74</v>
      </c>
      <c r="D3211" s="349" t="s">
        <v>132</v>
      </c>
      <c r="E3211" s="336">
        <v>43696</v>
      </c>
      <c r="F3211" s="336">
        <v>43688</v>
      </c>
      <c r="G3211" s="336">
        <v>43696</v>
      </c>
      <c r="H3211" s="334" t="s">
        <v>8115</v>
      </c>
      <c r="I3211" s="356">
        <v>13916906168</v>
      </c>
      <c r="J3211" s="361" t="s">
        <v>8116</v>
      </c>
      <c r="K3211" s="356">
        <v>1000</v>
      </c>
      <c r="L3211" s="334">
        <v>15021</v>
      </c>
      <c r="M3211" s="419"/>
      <c r="N3211" s="362">
        <f t="shared" si="115"/>
        <v>15021</v>
      </c>
      <c r="O3211" s="366" t="s">
        <v>52</v>
      </c>
      <c r="P3211" s="356"/>
      <c r="Q3211" s="356"/>
      <c r="R3211" s="356"/>
      <c r="S3211" s="356"/>
      <c r="T3211" s="356"/>
      <c r="U3211" s="372"/>
      <c r="V3211" s="372"/>
      <c r="W3211" s="372"/>
      <c r="X3211" s="373"/>
      <c r="Y3211" s="348"/>
      <c r="Z3211" s="348"/>
      <c r="AA3211" s="348"/>
    </row>
    <row r="3212" s="331" customFormat="1" ht="17" customHeight="1" spans="1:27">
      <c r="A3212" s="550" t="s">
        <v>8117</v>
      </c>
      <c r="B3212" s="348" t="s">
        <v>73</v>
      </c>
      <c r="C3212" s="348" t="s">
        <v>178</v>
      </c>
      <c r="D3212" s="352" t="s">
        <v>717</v>
      </c>
      <c r="E3212" s="336">
        <v>43731</v>
      </c>
      <c r="F3212" s="336">
        <v>43688</v>
      </c>
      <c r="G3212" s="336">
        <v>43730</v>
      </c>
      <c r="H3212" s="334" t="s">
        <v>8118</v>
      </c>
      <c r="I3212" s="356">
        <v>18019165230</v>
      </c>
      <c r="J3212" s="361" t="s">
        <v>8119</v>
      </c>
      <c r="K3212" s="356">
        <v>1000</v>
      </c>
      <c r="L3212" s="334">
        <f>13030-736</f>
        <v>12294</v>
      </c>
      <c r="M3212" s="334">
        <v>736</v>
      </c>
      <c r="N3212" s="362">
        <f t="shared" si="115"/>
        <v>13030</v>
      </c>
      <c r="O3212" s="366" t="s">
        <v>52</v>
      </c>
      <c r="P3212" s="356"/>
      <c r="Q3212" s="356"/>
      <c r="R3212" s="356"/>
      <c r="S3212" s="356"/>
      <c r="T3212" s="356"/>
      <c r="U3212" s="372"/>
      <c r="V3212" s="372"/>
      <c r="W3212" s="372"/>
      <c r="X3212" s="373"/>
      <c r="Y3212" s="348"/>
      <c r="Z3212" s="348"/>
      <c r="AA3212" s="348"/>
    </row>
    <row r="3213" s="331" customFormat="1" ht="17" customHeight="1" spans="1:27">
      <c r="A3213" s="550" t="s">
        <v>8120</v>
      </c>
      <c r="B3213" s="348" t="s">
        <v>359</v>
      </c>
      <c r="C3213" s="348" t="s">
        <v>3018</v>
      </c>
      <c r="D3213" s="352" t="s">
        <v>361</v>
      </c>
      <c r="E3213" s="336">
        <v>43729</v>
      </c>
      <c r="F3213" s="336">
        <v>43688</v>
      </c>
      <c r="G3213" s="336">
        <v>43729</v>
      </c>
      <c r="H3213" s="334" t="s">
        <v>8121</v>
      </c>
      <c r="I3213" s="356">
        <v>15800493085</v>
      </c>
      <c r="J3213" s="361" t="s">
        <v>8122</v>
      </c>
      <c r="K3213" s="356">
        <v>1000</v>
      </c>
      <c r="L3213" s="334">
        <v>47638</v>
      </c>
      <c r="M3213" s="334">
        <v>6402</v>
      </c>
      <c r="N3213" s="362">
        <f t="shared" si="115"/>
        <v>54040</v>
      </c>
      <c r="O3213" s="356"/>
      <c r="P3213" s="356"/>
      <c r="Q3213" s="356"/>
      <c r="R3213" s="356" t="s">
        <v>22</v>
      </c>
      <c r="S3213" s="356"/>
      <c r="T3213" s="356"/>
      <c r="U3213" s="372"/>
      <c r="V3213" s="372"/>
      <c r="W3213" s="372" t="s">
        <v>4711</v>
      </c>
      <c r="X3213" s="373"/>
      <c r="Y3213" s="348"/>
      <c r="Z3213" s="348"/>
      <c r="AA3213" s="348"/>
    </row>
    <row r="3214" s="331" customFormat="1" ht="17" customHeight="1" spans="1:27">
      <c r="A3214" s="550" t="s">
        <v>8123</v>
      </c>
      <c r="B3214" s="348" t="s">
        <v>73</v>
      </c>
      <c r="C3214" s="348" t="s">
        <v>74</v>
      </c>
      <c r="D3214" s="352" t="s">
        <v>75</v>
      </c>
      <c r="E3214" s="336">
        <v>43691</v>
      </c>
      <c r="F3214" s="336">
        <v>43690</v>
      </c>
      <c r="G3214" s="350"/>
      <c r="H3214" s="334" t="s">
        <v>8124</v>
      </c>
      <c r="I3214" s="356">
        <v>15900416698</v>
      </c>
      <c r="J3214" s="361" t="s">
        <v>8125</v>
      </c>
      <c r="K3214" s="356">
        <f>1000+1000</f>
        <v>2000</v>
      </c>
      <c r="L3214" s="419"/>
      <c r="M3214" s="419"/>
      <c r="N3214" s="362">
        <f t="shared" si="115"/>
        <v>0</v>
      </c>
      <c r="O3214" s="366"/>
      <c r="P3214" s="356"/>
      <c r="Q3214" s="356"/>
      <c r="R3214" s="366" t="s">
        <v>52</v>
      </c>
      <c r="S3214" s="356"/>
      <c r="T3214" s="356"/>
      <c r="U3214" s="372"/>
      <c r="V3214" s="372"/>
      <c r="W3214" s="372"/>
      <c r="X3214" s="373"/>
      <c r="Y3214" s="348"/>
      <c r="Z3214" s="348"/>
      <c r="AA3214" s="348"/>
    </row>
    <row r="3215" s="331" customFormat="1" ht="17" customHeight="1" spans="1:27">
      <c r="A3215" s="348"/>
      <c r="B3215" s="348" t="s">
        <v>31</v>
      </c>
      <c r="C3215" s="348" t="s">
        <v>2716</v>
      </c>
      <c r="D3215" s="352" t="s">
        <v>33</v>
      </c>
      <c r="E3215" s="336">
        <v>43696</v>
      </c>
      <c r="F3215" s="336">
        <v>43688</v>
      </c>
      <c r="G3215" s="336">
        <v>43694</v>
      </c>
      <c r="H3215" s="334" t="s">
        <v>8126</v>
      </c>
      <c r="I3215" s="356">
        <v>13681888545</v>
      </c>
      <c r="J3215" s="361" t="s">
        <v>8127</v>
      </c>
      <c r="K3215" s="356">
        <v>1000</v>
      </c>
      <c r="L3215" s="334">
        <f>12015-804</f>
        <v>11211</v>
      </c>
      <c r="M3215" s="334">
        <v>804</v>
      </c>
      <c r="N3215" s="362">
        <f t="shared" si="115"/>
        <v>12015</v>
      </c>
      <c r="O3215" s="356"/>
      <c r="P3215" s="356"/>
      <c r="Q3215" s="356"/>
      <c r="R3215" s="356"/>
      <c r="S3215" s="356"/>
      <c r="T3215" s="356"/>
      <c r="U3215" s="372"/>
      <c r="V3215" s="372"/>
      <c r="W3215" s="372"/>
      <c r="X3215" s="373"/>
      <c r="Y3215" s="348"/>
      <c r="Z3215" s="348"/>
      <c r="AA3215" s="348"/>
    </row>
    <row r="3216" s="331" customFormat="1" ht="17" customHeight="1" spans="1:27">
      <c r="A3216" s="550" t="s">
        <v>8128</v>
      </c>
      <c r="B3216" s="348" t="s">
        <v>31</v>
      </c>
      <c r="C3216" s="348" t="s">
        <v>3186</v>
      </c>
      <c r="D3216" s="334" t="s">
        <v>954</v>
      </c>
      <c r="E3216" s="336">
        <v>43726</v>
      </c>
      <c r="F3216" s="336">
        <v>43687</v>
      </c>
      <c r="G3216" s="336">
        <v>43724</v>
      </c>
      <c r="H3216" s="334" t="s">
        <v>8129</v>
      </c>
      <c r="I3216" s="356">
        <v>18605712978</v>
      </c>
      <c r="J3216" s="361" t="s">
        <v>8130</v>
      </c>
      <c r="K3216" s="356">
        <v>1000</v>
      </c>
      <c r="L3216" s="334">
        <f>5156-736</f>
        <v>4420</v>
      </c>
      <c r="M3216" s="334">
        <v>736</v>
      </c>
      <c r="N3216" s="362">
        <f t="shared" si="115"/>
        <v>5156</v>
      </c>
      <c r="O3216" s="366" t="s">
        <v>52</v>
      </c>
      <c r="P3216" s="356"/>
      <c r="Q3216" s="356"/>
      <c r="R3216" s="356"/>
      <c r="S3216" s="356"/>
      <c r="T3216" s="356"/>
      <c r="U3216" s="372"/>
      <c r="V3216" s="372"/>
      <c r="W3216" s="372">
        <v>8.8</v>
      </c>
      <c r="X3216" s="373"/>
      <c r="Y3216" s="348"/>
      <c r="Z3216" s="348"/>
      <c r="AA3216" s="348"/>
    </row>
    <row r="3217" s="331" customFormat="1" ht="17" customHeight="1" spans="1:27">
      <c r="A3217" s="550" t="s">
        <v>8131</v>
      </c>
      <c r="B3217" s="348" t="s">
        <v>31</v>
      </c>
      <c r="C3217" s="348" t="s">
        <v>3186</v>
      </c>
      <c r="D3217" s="334" t="s">
        <v>33</v>
      </c>
      <c r="E3217" s="336">
        <v>43732</v>
      </c>
      <c r="F3217" s="336">
        <v>43687</v>
      </c>
      <c r="G3217" s="336">
        <v>43731</v>
      </c>
      <c r="H3217" s="334" t="s">
        <v>8132</v>
      </c>
      <c r="I3217" s="356">
        <v>18121196754</v>
      </c>
      <c r="J3217" s="361" t="s">
        <v>8133</v>
      </c>
      <c r="K3217" s="356">
        <v>1000</v>
      </c>
      <c r="L3217" s="334">
        <f>5032-536</f>
        <v>4496</v>
      </c>
      <c r="M3217" s="334">
        <v>536</v>
      </c>
      <c r="N3217" s="362">
        <f t="shared" si="115"/>
        <v>5032</v>
      </c>
      <c r="O3217" s="366" t="s">
        <v>52</v>
      </c>
      <c r="P3217" s="356"/>
      <c r="Q3217" s="356"/>
      <c r="R3217" s="356"/>
      <c r="S3217" s="356"/>
      <c r="T3217" s="356"/>
      <c r="U3217" s="372"/>
      <c r="V3217" s="372"/>
      <c r="W3217" s="372"/>
      <c r="X3217" s="373"/>
      <c r="Y3217" s="348"/>
      <c r="Z3217" s="348"/>
      <c r="AA3217" s="348"/>
    </row>
    <row r="3218" s="331" customFormat="1" ht="17" customHeight="1" spans="1:27">
      <c r="A3218" s="550" t="s">
        <v>8134</v>
      </c>
      <c r="B3218" s="348" t="s">
        <v>31</v>
      </c>
      <c r="C3218" s="348" t="s">
        <v>3186</v>
      </c>
      <c r="D3218" s="352" t="s">
        <v>221</v>
      </c>
      <c r="E3218" s="336">
        <v>43688</v>
      </c>
      <c r="F3218" s="336">
        <v>43687</v>
      </c>
      <c r="G3218" s="350"/>
      <c r="H3218" s="334" t="s">
        <v>8135</v>
      </c>
      <c r="I3218" s="356">
        <v>18917320935</v>
      </c>
      <c r="J3218" s="361" t="s">
        <v>8136</v>
      </c>
      <c r="K3218" s="356">
        <v>1000</v>
      </c>
      <c r="L3218" s="419"/>
      <c r="M3218" s="419"/>
      <c r="N3218" s="362">
        <f t="shared" si="115"/>
        <v>0</v>
      </c>
      <c r="O3218" s="366" t="s">
        <v>52</v>
      </c>
      <c r="P3218" s="356"/>
      <c r="Q3218" s="356"/>
      <c r="R3218" s="356"/>
      <c r="S3218" s="356"/>
      <c r="T3218" s="356"/>
      <c r="U3218" s="400" t="s">
        <v>1796</v>
      </c>
      <c r="V3218" s="372"/>
      <c r="W3218" s="372"/>
      <c r="X3218" s="373"/>
      <c r="Y3218" s="348"/>
      <c r="Z3218" s="348"/>
      <c r="AA3218" s="348"/>
    </row>
    <row r="3219" s="331" customFormat="1" ht="17" customHeight="1" spans="1:27">
      <c r="A3219" s="550" t="s">
        <v>8137</v>
      </c>
      <c r="B3219" s="348" t="s">
        <v>31</v>
      </c>
      <c r="C3219" s="348" t="s">
        <v>3186</v>
      </c>
      <c r="D3219" s="334" t="s">
        <v>33</v>
      </c>
      <c r="E3219" s="336">
        <v>43720</v>
      </c>
      <c r="F3219" s="336">
        <v>43687</v>
      </c>
      <c r="G3219" s="336">
        <v>43719</v>
      </c>
      <c r="H3219" s="334" t="s">
        <v>8138</v>
      </c>
      <c r="I3219" s="356">
        <v>18581298781</v>
      </c>
      <c r="J3219" s="361" t="s">
        <v>8139</v>
      </c>
      <c r="K3219" s="356">
        <v>1000</v>
      </c>
      <c r="L3219" s="334">
        <v>10294</v>
      </c>
      <c r="M3219" s="419"/>
      <c r="N3219" s="362">
        <f t="shared" si="115"/>
        <v>10294</v>
      </c>
      <c r="O3219" s="356"/>
      <c r="P3219" s="356" t="s">
        <v>52</v>
      </c>
      <c r="Q3219" s="356"/>
      <c r="R3219" s="356"/>
      <c r="S3219" s="356"/>
      <c r="T3219" s="356"/>
      <c r="U3219" s="372"/>
      <c r="V3219" s="372"/>
      <c r="W3219" s="372"/>
      <c r="X3219" s="373"/>
      <c r="Y3219" s="348"/>
      <c r="Z3219" s="348"/>
      <c r="AA3219" s="348"/>
    </row>
    <row r="3220" s="331" customFormat="1" ht="17" customHeight="1" spans="1:27">
      <c r="A3220" s="550" t="s">
        <v>8140</v>
      </c>
      <c r="B3220" s="348" t="s">
        <v>31</v>
      </c>
      <c r="C3220" s="348" t="s">
        <v>3186</v>
      </c>
      <c r="D3220" s="352" t="s">
        <v>221</v>
      </c>
      <c r="E3220" s="336">
        <v>43688</v>
      </c>
      <c r="F3220" s="336">
        <v>43687</v>
      </c>
      <c r="G3220" s="350"/>
      <c r="H3220" s="334" t="s">
        <v>8141</v>
      </c>
      <c r="I3220" s="356">
        <v>13917063511</v>
      </c>
      <c r="J3220" s="361" t="s">
        <v>8142</v>
      </c>
      <c r="K3220" s="356">
        <v>1000</v>
      </c>
      <c r="L3220" s="419"/>
      <c r="M3220" s="419"/>
      <c r="N3220" s="362">
        <f t="shared" si="115"/>
        <v>0</v>
      </c>
      <c r="O3220" s="366" t="s">
        <v>52</v>
      </c>
      <c r="P3220" s="356"/>
      <c r="Q3220" s="356"/>
      <c r="R3220" s="356"/>
      <c r="S3220" s="356"/>
      <c r="T3220" s="356"/>
      <c r="U3220" s="372"/>
      <c r="V3220" s="372"/>
      <c r="W3220" s="372"/>
      <c r="X3220" s="373"/>
      <c r="Y3220" s="348"/>
      <c r="Z3220" s="348"/>
      <c r="AA3220" s="348"/>
    </row>
    <row r="3221" s="331" customFormat="1" ht="17" customHeight="1" spans="1:27">
      <c r="A3221" s="550" t="s">
        <v>8143</v>
      </c>
      <c r="B3221" s="348" t="s">
        <v>31</v>
      </c>
      <c r="C3221" s="348" t="s">
        <v>3186</v>
      </c>
      <c r="D3221" s="334" t="s">
        <v>33</v>
      </c>
      <c r="E3221" s="336">
        <v>43766</v>
      </c>
      <c r="F3221" s="336">
        <v>43687</v>
      </c>
      <c r="G3221" s="336">
        <v>43763</v>
      </c>
      <c r="H3221" s="334" t="s">
        <v>8144</v>
      </c>
      <c r="I3221" s="356">
        <v>18601686007</v>
      </c>
      <c r="J3221" s="361" t="s">
        <v>8145</v>
      </c>
      <c r="K3221" s="356">
        <v>1000</v>
      </c>
      <c r="L3221" s="334">
        <v>15300</v>
      </c>
      <c r="M3221" s="419"/>
      <c r="N3221" s="362">
        <f t="shared" si="115"/>
        <v>15300</v>
      </c>
      <c r="O3221" s="356"/>
      <c r="P3221" s="356" t="s">
        <v>52</v>
      </c>
      <c r="Q3221" s="356"/>
      <c r="R3221" s="356"/>
      <c r="S3221" s="356"/>
      <c r="T3221" s="356"/>
      <c r="U3221" s="372"/>
      <c r="V3221" s="372"/>
      <c r="W3221" s="372"/>
      <c r="X3221" s="373"/>
      <c r="Y3221" s="348"/>
      <c r="Z3221" s="348"/>
      <c r="AA3221" s="348"/>
    </row>
    <row r="3222" s="331" customFormat="1" ht="17" customHeight="1" spans="1:27">
      <c r="A3222" s="550" t="s">
        <v>8146</v>
      </c>
      <c r="B3222" s="348" t="s">
        <v>31</v>
      </c>
      <c r="C3222" s="348" t="s">
        <v>3186</v>
      </c>
      <c r="D3222" s="352" t="s">
        <v>221</v>
      </c>
      <c r="E3222" s="336">
        <v>43743</v>
      </c>
      <c r="F3222" s="336">
        <v>43687</v>
      </c>
      <c r="G3222" s="336">
        <v>43742</v>
      </c>
      <c r="H3222" s="334" t="s">
        <v>8147</v>
      </c>
      <c r="I3222" s="356">
        <v>13301611190</v>
      </c>
      <c r="J3222" s="361" t="s">
        <v>8148</v>
      </c>
      <c r="K3222" s="356">
        <v>1000</v>
      </c>
      <c r="L3222" s="334">
        <f>12125-736</f>
        <v>11389</v>
      </c>
      <c r="M3222" s="334">
        <v>736</v>
      </c>
      <c r="N3222" s="362">
        <f t="shared" si="115"/>
        <v>12125</v>
      </c>
      <c r="O3222" s="366" t="s">
        <v>52</v>
      </c>
      <c r="P3222" s="356"/>
      <c r="Q3222" s="356"/>
      <c r="R3222" s="356"/>
      <c r="S3222" s="356"/>
      <c r="T3222" s="356"/>
      <c r="U3222" s="372"/>
      <c r="V3222" s="372"/>
      <c r="W3222" s="372"/>
      <c r="X3222" s="373"/>
      <c r="Y3222" s="348"/>
      <c r="Z3222" s="348"/>
      <c r="AA3222" s="348"/>
    </row>
    <row r="3223" s="331" customFormat="1" ht="17" customHeight="1" spans="1:27">
      <c r="A3223" s="550" t="s">
        <v>8149</v>
      </c>
      <c r="B3223" s="348" t="s">
        <v>31</v>
      </c>
      <c r="C3223" s="348" t="s">
        <v>3186</v>
      </c>
      <c r="D3223" s="352" t="s">
        <v>221</v>
      </c>
      <c r="E3223" s="336">
        <v>43697</v>
      </c>
      <c r="F3223" s="336">
        <v>43687</v>
      </c>
      <c r="G3223" s="336">
        <v>43696</v>
      </c>
      <c r="H3223" s="334" t="s">
        <v>8150</v>
      </c>
      <c r="I3223" s="356">
        <v>13816989200</v>
      </c>
      <c r="J3223" s="361" t="s">
        <v>8151</v>
      </c>
      <c r="K3223" s="356">
        <v>1000</v>
      </c>
      <c r="L3223" s="334">
        <f>6731-1104</f>
        <v>5627</v>
      </c>
      <c r="M3223" s="334">
        <v>1104</v>
      </c>
      <c r="N3223" s="362">
        <f t="shared" si="115"/>
        <v>6731</v>
      </c>
      <c r="O3223" s="366"/>
      <c r="P3223" s="356"/>
      <c r="Q3223" s="356"/>
      <c r="R3223" s="356"/>
      <c r="S3223" s="356"/>
      <c r="T3223" s="356"/>
      <c r="U3223" s="372"/>
      <c r="V3223" s="372"/>
      <c r="W3223" s="372">
        <v>8.18</v>
      </c>
      <c r="X3223" s="373"/>
      <c r="Y3223" s="348"/>
      <c r="Z3223" s="348"/>
      <c r="AA3223" s="348"/>
    </row>
    <row r="3224" s="331" customFormat="1" ht="17" customHeight="1" spans="1:27">
      <c r="A3224" s="348"/>
      <c r="B3224" s="348" t="s">
        <v>31</v>
      </c>
      <c r="C3224" s="348" t="s">
        <v>220</v>
      </c>
      <c r="D3224" s="334" t="s">
        <v>33</v>
      </c>
      <c r="E3224" s="336">
        <v>43733</v>
      </c>
      <c r="F3224" s="336">
        <v>43688</v>
      </c>
      <c r="G3224" s="336">
        <v>43730</v>
      </c>
      <c r="H3224" s="334" t="s">
        <v>8152</v>
      </c>
      <c r="I3224" s="356">
        <v>15618672519</v>
      </c>
      <c r="J3224" s="361" t="s">
        <v>8153</v>
      </c>
      <c r="K3224" s="356">
        <v>1000</v>
      </c>
      <c r="L3224" s="334">
        <v>6989</v>
      </c>
      <c r="M3224" s="419"/>
      <c r="N3224" s="362">
        <f t="shared" si="115"/>
        <v>6989</v>
      </c>
      <c r="O3224" s="356"/>
      <c r="P3224" s="356"/>
      <c r="Q3224" s="356" t="s">
        <v>52</v>
      </c>
      <c r="R3224" s="356"/>
      <c r="S3224" s="356"/>
      <c r="T3224" s="356"/>
      <c r="U3224" s="372"/>
      <c r="V3224" s="372"/>
      <c r="W3224" s="372"/>
      <c r="X3224" s="373"/>
      <c r="Y3224" s="348"/>
      <c r="Z3224" s="348"/>
      <c r="AA3224" s="348"/>
    </row>
    <row r="3225" s="331" customFormat="1" ht="15" customHeight="1" spans="1:27">
      <c r="A3225" s="550" t="s">
        <v>8154</v>
      </c>
      <c r="B3225" s="348" t="s">
        <v>405</v>
      </c>
      <c r="C3225" s="348" t="s">
        <v>823</v>
      </c>
      <c r="D3225" s="352" t="s">
        <v>407</v>
      </c>
      <c r="E3225" s="336">
        <v>43713</v>
      </c>
      <c r="F3225" s="336">
        <v>43688</v>
      </c>
      <c r="G3225" s="336">
        <v>43708</v>
      </c>
      <c r="H3225" s="334" t="s">
        <v>8155</v>
      </c>
      <c r="I3225" s="356">
        <v>13818421811</v>
      </c>
      <c r="J3225" s="361" t="s">
        <v>8156</v>
      </c>
      <c r="K3225" s="356">
        <v>1000</v>
      </c>
      <c r="L3225" s="334">
        <v>21520</v>
      </c>
      <c r="M3225" s="419"/>
      <c r="N3225" s="362">
        <f t="shared" si="115"/>
        <v>21520</v>
      </c>
      <c r="O3225" s="356"/>
      <c r="P3225" s="356"/>
      <c r="Q3225" s="356" t="s">
        <v>52</v>
      </c>
      <c r="R3225" s="356"/>
      <c r="S3225" s="356"/>
      <c r="T3225" s="356"/>
      <c r="U3225" s="372"/>
      <c r="V3225" s="372"/>
      <c r="W3225" s="372"/>
      <c r="X3225" s="373"/>
      <c r="Y3225" s="348"/>
      <c r="Z3225" s="348"/>
      <c r="AA3225" s="348"/>
    </row>
    <row r="3226" s="331" customFormat="1" ht="17" customHeight="1" spans="1:27">
      <c r="A3226" s="348">
        <v>2068679</v>
      </c>
      <c r="B3226" s="348" t="s">
        <v>137</v>
      </c>
      <c r="C3226" s="348" t="s">
        <v>411</v>
      </c>
      <c r="D3226" s="334" t="s">
        <v>443</v>
      </c>
      <c r="E3226" s="336">
        <v>43759</v>
      </c>
      <c r="F3226" s="336">
        <v>43688</v>
      </c>
      <c r="G3226" s="336">
        <v>43758</v>
      </c>
      <c r="H3226" s="334" t="s">
        <v>8157</v>
      </c>
      <c r="I3226" s="356">
        <v>13918010251</v>
      </c>
      <c r="J3226" s="361" t="s">
        <v>8158</v>
      </c>
      <c r="K3226" s="356">
        <v>1000</v>
      </c>
      <c r="L3226" s="334">
        <v>14697</v>
      </c>
      <c r="M3226" s="419"/>
      <c r="N3226" s="362">
        <f t="shared" si="115"/>
        <v>14697</v>
      </c>
      <c r="O3226" s="356"/>
      <c r="P3226" s="356">
        <v>1</v>
      </c>
      <c r="Q3226" s="356"/>
      <c r="R3226" s="356"/>
      <c r="S3226" s="356"/>
      <c r="T3226" s="356"/>
      <c r="U3226" s="372"/>
      <c r="V3226" s="372"/>
      <c r="W3226" s="372"/>
      <c r="X3226" s="373"/>
      <c r="Y3226" s="348"/>
      <c r="Z3226" s="348"/>
      <c r="AA3226" s="348"/>
    </row>
    <row r="3227" s="331" customFormat="1" ht="17" customHeight="1" spans="1:27">
      <c r="A3227" s="348">
        <v>2068680</v>
      </c>
      <c r="B3227" s="348" t="s">
        <v>137</v>
      </c>
      <c r="C3227" s="348" t="s">
        <v>411</v>
      </c>
      <c r="D3227" s="352" t="s">
        <v>427</v>
      </c>
      <c r="E3227" s="336">
        <v>43688</v>
      </c>
      <c r="F3227" s="336">
        <v>43688</v>
      </c>
      <c r="G3227" s="350"/>
      <c r="H3227" s="334" t="s">
        <v>8159</v>
      </c>
      <c r="I3227" s="356">
        <v>13585920663</v>
      </c>
      <c r="J3227" s="361" t="s">
        <v>8160</v>
      </c>
      <c r="K3227" s="356">
        <v>1000</v>
      </c>
      <c r="L3227" s="419"/>
      <c r="M3227" s="419"/>
      <c r="N3227" s="362">
        <f t="shared" si="115"/>
        <v>0</v>
      </c>
      <c r="O3227" s="356"/>
      <c r="P3227" s="356"/>
      <c r="Q3227" s="356">
        <v>1</v>
      </c>
      <c r="R3227" s="356"/>
      <c r="S3227" s="356"/>
      <c r="T3227" s="356"/>
      <c r="U3227" s="336" t="s">
        <v>40</v>
      </c>
      <c r="V3227" s="372"/>
      <c r="W3227" s="372"/>
      <c r="X3227" s="373"/>
      <c r="Y3227" s="348"/>
      <c r="Z3227" s="348"/>
      <c r="AA3227" s="348"/>
    </row>
    <row r="3228" s="331" customFormat="1" ht="17" customHeight="1" spans="1:27">
      <c r="A3228" s="348">
        <v>2066241</v>
      </c>
      <c r="B3228" s="348" t="s">
        <v>94</v>
      </c>
      <c r="C3228" s="348" t="s">
        <v>95</v>
      </c>
      <c r="D3228" s="352" t="s">
        <v>49</v>
      </c>
      <c r="E3228" s="336">
        <v>43766</v>
      </c>
      <c r="F3228" s="336">
        <v>43688</v>
      </c>
      <c r="G3228" s="336">
        <v>43763</v>
      </c>
      <c r="H3228" s="334" t="s">
        <v>8161</v>
      </c>
      <c r="I3228" s="356">
        <v>15001771335</v>
      </c>
      <c r="J3228" s="361" t="s">
        <v>8162</v>
      </c>
      <c r="K3228" s="356">
        <v>1000</v>
      </c>
      <c r="L3228" s="334">
        <v>12990</v>
      </c>
      <c r="M3228" s="419"/>
      <c r="N3228" s="362">
        <f t="shared" si="115"/>
        <v>12990</v>
      </c>
      <c r="O3228" s="356"/>
      <c r="P3228" s="356"/>
      <c r="Q3228" s="366" t="s">
        <v>52</v>
      </c>
      <c r="R3228" s="356"/>
      <c r="S3228" s="356"/>
      <c r="T3228" s="356"/>
      <c r="U3228" s="372"/>
      <c r="V3228" s="372"/>
      <c r="W3228" s="372"/>
      <c r="X3228" s="373"/>
      <c r="Y3228" s="348"/>
      <c r="Z3228" s="348"/>
      <c r="AA3228" s="348"/>
    </row>
    <row r="3229" s="331" customFormat="1" ht="17" customHeight="1" spans="1:27">
      <c r="A3229" s="348">
        <v>2066242</v>
      </c>
      <c r="B3229" s="348" t="s">
        <v>94</v>
      </c>
      <c r="C3229" s="348" t="s">
        <v>95</v>
      </c>
      <c r="D3229" s="352" t="s">
        <v>49</v>
      </c>
      <c r="E3229" s="336">
        <v>43730</v>
      </c>
      <c r="F3229" s="336">
        <v>43688</v>
      </c>
      <c r="G3229" s="336">
        <v>43730</v>
      </c>
      <c r="H3229" s="334" t="s">
        <v>8163</v>
      </c>
      <c r="I3229" s="356">
        <v>18621554621</v>
      </c>
      <c r="J3229" s="361" t="s">
        <v>8164</v>
      </c>
      <c r="K3229" s="356">
        <v>1000</v>
      </c>
      <c r="L3229" s="334">
        <f>10162-1104</f>
        <v>9058</v>
      </c>
      <c r="M3229" s="334">
        <v>1104</v>
      </c>
      <c r="N3229" s="362">
        <f t="shared" si="115"/>
        <v>10162</v>
      </c>
      <c r="O3229" s="356"/>
      <c r="P3229" s="356"/>
      <c r="Q3229" s="356"/>
      <c r="R3229" s="366" t="s">
        <v>52</v>
      </c>
      <c r="S3229" s="356"/>
      <c r="T3229" s="356"/>
      <c r="U3229" s="372"/>
      <c r="V3229" s="372"/>
      <c r="W3229" s="372"/>
      <c r="X3229" s="373"/>
      <c r="Y3229" s="348"/>
      <c r="Z3229" s="348"/>
      <c r="AA3229" s="348"/>
    </row>
    <row r="3230" s="331" customFormat="1" ht="17" customHeight="1" spans="1:27">
      <c r="A3230" s="348"/>
      <c r="B3230" s="348" t="s">
        <v>2625</v>
      </c>
      <c r="C3230" s="348" t="s">
        <v>2626</v>
      </c>
      <c r="D3230" s="349" t="s">
        <v>44</v>
      </c>
      <c r="E3230" s="336">
        <v>43694</v>
      </c>
      <c r="F3230" s="336">
        <v>43688</v>
      </c>
      <c r="G3230" s="336">
        <v>43694</v>
      </c>
      <c r="H3230" s="334" t="s">
        <v>8165</v>
      </c>
      <c r="I3230" s="356">
        <v>13817152341</v>
      </c>
      <c r="J3230" s="361" t="s">
        <v>8166</v>
      </c>
      <c r="K3230" s="356">
        <v>2500</v>
      </c>
      <c r="L3230" s="334">
        <v>2500</v>
      </c>
      <c r="M3230" s="419"/>
      <c r="N3230" s="362">
        <f t="shared" si="115"/>
        <v>2500</v>
      </c>
      <c r="O3230" s="356"/>
      <c r="P3230" s="356"/>
      <c r="Q3230" s="356"/>
      <c r="R3230" s="356"/>
      <c r="S3230" s="356" t="s">
        <v>3660</v>
      </c>
      <c r="T3230" s="356"/>
      <c r="U3230" s="372"/>
      <c r="V3230" s="372"/>
      <c r="W3230" s="372"/>
      <c r="X3230" s="373"/>
      <c r="Y3230" s="348"/>
      <c r="Z3230" s="348"/>
      <c r="AA3230" s="348"/>
    </row>
    <row r="3231" s="331" customFormat="1" ht="17" customHeight="1" spans="1:27">
      <c r="A3231" s="550" t="s">
        <v>8167</v>
      </c>
      <c r="B3231" s="348" t="s">
        <v>2625</v>
      </c>
      <c r="C3231" s="348" t="s">
        <v>2626</v>
      </c>
      <c r="D3231" s="334" t="s">
        <v>2302</v>
      </c>
      <c r="E3231" s="336">
        <v>43715</v>
      </c>
      <c r="F3231" s="336">
        <v>43688</v>
      </c>
      <c r="G3231" s="336">
        <v>43715</v>
      </c>
      <c r="H3231" s="334" t="s">
        <v>8168</v>
      </c>
      <c r="I3231" s="356">
        <v>18721236561</v>
      </c>
      <c r="J3231" s="361" t="s">
        <v>8169</v>
      </c>
      <c r="K3231" s="356">
        <v>1000</v>
      </c>
      <c r="L3231" s="334">
        <v>14697</v>
      </c>
      <c r="M3231" s="419"/>
      <c r="N3231" s="362">
        <f t="shared" si="115"/>
        <v>14697</v>
      </c>
      <c r="O3231" s="356"/>
      <c r="P3231" s="356"/>
      <c r="Q3231" s="356" t="s">
        <v>3660</v>
      </c>
      <c r="R3231" s="356"/>
      <c r="S3231" s="356"/>
      <c r="T3231" s="356"/>
      <c r="U3231" s="372"/>
      <c r="V3231" s="372"/>
      <c r="W3231" s="372"/>
      <c r="X3231" s="373"/>
      <c r="Y3231" s="348"/>
      <c r="Z3231" s="348"/>
      <c r="AA3231" s="348"/>
    </row>
    <row r="3232" s="331" customFormat="1" ht="17" customHeight="1" spans="1:27">
      <c r="A3232" s="550" t="s">
        <v>8170</v>
      </c>
      <c r="B3232" s="348" t="s">
        <v>123</v>
      </c>
      <c r="C3232" s="348" t="s">
        <v>32</v>
      </c>
      <c r="D3232" s="352" t="s">
        <v>125</v>
      </c>
      <c r="E3232" s="336">
        <v>43691</v>
      </c>
      <c r="F3232" s="336">
        <v>43688</v>
      </c>
      <c r="G3232" s="336">
        <v>43690</v>
      </c>
      <c r="H3232" s="334" t="s">
        <v>8089</v>
      </c>
      <c r="I3232" s="356">
        <v>13971017096</v>
      </c>
      <c r="J3232" s="361" t="s">
        <v>8171</v>
      </c>
      <c r="K3232" s="356">
        <v>1000</v>
      </c>
      <c r="L3232" s="334">
        <v>3858</v>
      </c>
      <c r="M3232" s="419"/>
      <c r="N3232" s="362">
        <f t="shared" si="115"/>
        <v>3858</v>
      </c>
      <c r="O3232" s="356"/>
      <c r="P3232" s="356"/>
      <c r="Q3232" s="356"/>
      <c r="R3232" s="356"/>
      <c r="S3232" s="356" t="s">
        <v>52</v>
      </c>
      <c r="T3232" s="356"/>
      <c r="U3232" s="372"/>
      <c r="V3232" s="372"/>
      <c r="W3232" s="372"/>
      <c r="X3232" s="373"/>
      <c r="Y3232" s="348"/>
      <c r="Z3232" s="348"/>
      <c r="AA3232" s="348"/>
    </row>
    <row r="3233" s="331" customFormat="1" ht="17" customHeight="1" spans="1:27">
      <c r="A3233" s="550" t="s">
        <v>8172</v>
      </c>
      <c r="B3233" s="348" t="s">
        <v>31</v>
      </c>
      <c r="C3233" s="348" t="s">
        <v>377</v>
      </c>
      <c r="D3233" s="352" t="s">
        <v>221</v>
      </c>
      <c r="E3233" s="336">
        <v>43688</v>
      </c>
      <c r="F3233" s="336">
        <v>43688</v>
      </c>
      <c r="G3233" s="350"/>
      <c r="H3233" s="334" t="s">
        <v>8173</v>
      </c>
      <c r="I3233" s="356">
        <v>15001828495</v>
      </c>
      <c r="J3233" s="361" t="s">
        <v>8174</v>
      </c>
      <c r="K3233" s="356">
        <v>1000</v>
      </c>
      <c r="L3233" s="419"/>
      <c r="M3233" s="419"/>
      <c r="N3233" s="362">
        <f t="shared" si="115"/>
        <v>0</v>
      </c>
      <c r="O3233" s="356"/>
      <c r="P3233" s="356"/>
      <c r="Q3233" s="356"/>
      <c r="R3233" s="356"/>
      <c r="S3233" s="356" t="s">
        <v>52</v>
      </c>
      <c r="T3233" s="356"/>
      <c r="U3233" s="400" t="s">
        <v>8175</v>
      </c>
      <c r="V3233" s="372"/>
      <c r="W3233" s="372"/>
      <c r="X3233" s="373"/>
      <c r="Y3233" s="348"/>
      <c r="Z3233" s="348"/>
      <c r="AA3233" s="348"/>
    </row>
    <row r="3234" s="331" customFormat="1" ht="17" customHeight="1" spans="1:27">
      <c r="A3234" s="550" t="s">
        <v>8176</v>
      </c>
      <c r="B3234" s="348" t="s">
        <v>169</v>
      </c>
      <c r="C3234" s="348" t="s">
        <v>542</v>
      </c>
      <c r="D3234" s="352" t="s">
        <v>171</v>
      </c>
      <c r="E3234" s="336">
        <v>43766</v>
      </c>
      <c r="F3234" s="336">
        <v>43688</v>
      </c>
      <c r="G3234" s="336">
        <v>43765</v>
      </c>
      <c r="H3234" s="334" t="s">
        <v>8177</v>
      </c>
      <c r="I3234" s="356">
        <v>13816522929</v>
      </c>
      <c r="J3234" s="361" t="s">
        <v>8178</v>
      </c>
      <c r="K3234" s="356">
        <v>1000</v>
      </c>
      <c r="L3234" s="334">
        <v>8062</v>
      </c>
      <c r="M3234" s="419"/>
      <c r="N3234" s="362">
        <f t="shared" si="115"/>
        <v>8062</v>
      </c>
      <c r="O3234" s="356" t="s">
        <v>19</v>
      </c>
      <c r="P3234" s="356"/>
      <c r="Q3234" s="356"/>
      <c r="R3234" s="356"/>
      <c r="S3234" s="356"/>
      <c r="T3234" s="356"/>
      <c r="U3234" s="372"/>
      <c r="V3234" s="372"/>
      <c r="W3234" s="372"/>
      <c r="X3234" s="373"/>
      <c r="Y3234" s="348"/>
      <c r="Z3234" s="348"/>
      <c r="AA3234" s="348"/>
    </row>
    <row r="3235" s="331" customFormat="1" ht="17" customHeight="1" spans="1:27">
      <c r="A3235" s="348">
        <v>2067190</v>
      </c>
      <c r="B3235" s="348" t="s">
        <v>66</v>
      </c>
      <c r="C3235" s="348" t="s">
        <v>67</v>
      </c>
      <c r="D3235" s="352" t="s">
        <v>68</v>
      </c>
      <c r="E3235" s="336">
        <v>43695</v>
      </c>
      <c r="F3235" s="336">
        <v>43688</v>
      </c>
      <c r="G3235" s="336">
        <v>43694</v>
      </c>
      <c r="H3235" s="334" t="s">
        <v>8179</v>
      </c>
      <c r="I3235" s="356">
        <v>15601625711</v>
      </c>
      <c r="J3235" s="361" t="s">
        <v>8180</v>
      </c>
      <c r="K3235" s="356">
        <v>1000</v>
      </c>
      <c r="L3235" s="334">
        <v>14259</v>
      </c>
      <c r="M3235" s="419"/>
      <c r="N3235" s="362">
        <f t="shared" si="115"/>
        <v>14259</v>
      </c>
      <c r="O3235" s="356"/>
      <c r="P3235" s="356"/>
      <c r="Q3235" s="356"/>
      <c r="R3235" s="356"/>
      <c r="S3235" s="356"/>
      <c r="T3235" s="356"/>
      <c r="U3235" s="372"/>
      <c r="V3235" s="356"/>
      <c r="W3235" s="372"/>
      <c r="X3235" s="373"/>
      <c r="Y3235" s="348"/>
      <c r="Z3235" s="348"/>
      <c r="AA3235" s="348"/>
    </row>
    <row r="3236" s="331" customFormat="1" ht="17" customHeight="1" spans="1:27">
      <c r="A3236" s="348"/>
      <c r="B3236" s="348" t="s">
        <v>137</v>
      </c>
      <c r="C3236" s="348" t="s">
        <v>406</v>
      </c>
      <c r="D3236" s="349" t="s">
        <v>139</v>
      </c>
      <c r="E3236" s="336">
        <v>43691</v>
      </c>
      <c r="F3236" s="336">
        <v>43688</v>
      </c>
      <c r="G3236" s="336">
        <v>43690</v>
      </c>
      <c r="H3236" s="334" t="s">
        <v>8181</v>
      </c>
      <c r="I3236" s="356">
        <v>18516714801</v>
      </c>
      <c r="J3236" s="361" t="s">
        <v>8182</v>
      </c>
      <c r="K3236" s="356">
        <v>1000</v>
      </c>
      <c r="L3236" s="334">
        <f>10135-2748</f>
        <v>7387</v>
      </c>
      <c r="M3236" s="334">
        <v>2748</v>
      </c>
      <c r="N3236" s="362">
        <f t="shared" si="115"/>
        <v>10135</v>
      </c>
      <c r="O3236" s="356"/>
      <c r="P3236" s="356"/>
      <c r="Q3236" s="356">
        <v>1</v>
      </c>
      <c r="R3236" s="356"/>
      <c r="S3236" s="356"/>
      <c r="T3236" s="356"/>
      <c r="U3236" s="372"/>
      <c r="V3236" s="372"/>
      <c r="W3236" s="372"/>
      <c r="X3236" s="373"/>
      <c r="Y3236" s="348"/>
      <c r="Z3236" s="348"/>
      <c r="AA3236" s="348"/>
    </row>
    <row r="3237" s="57" customFormat="1" ht="17" customHeight="1" spans="1:27">
      <c r="A3237" s="550" t="s">
        <v>8183</v>
      </c>
      <c r="B3237" s="348" t="s">
        <v>137</v>
      </c>
      <c r="C3237" s="348" t="s">
        <v>411</v>
      </c>
      <c r="D3237" s="352" t="s">
        <v>427</v>
      </c>
      <c r="E3237" s="336">
        <v>43688</v>
      </c>
      <c r="F3237" s="336">
        <v>43688</v>
      </c>
      <c r="H3237" s="334" t="s">
        <v>8184</v>
      </c>
      <c r="I3237" s="356">
        <v>18017255570</v>
      </c>
      <c r="J3237" s="348" t="s">
        <v>8185</v>
      </c>
      <c r="K3237" s="356">
        <v>15815</v>
      </c>
      <c r="L3237" s="419"/>
      <c r="M3237" s="419"/>
      <c r="N3237" s="362">
        <f t="shared" si="115"/>
        <v>0</v>
      </c>
      <c r="O3237" s="356" t="s">
        <v>4293</v>
      </c>
      <c r="P3237" s="356">
        <v>1</v>
      </c>
      <c r="Q3237" s="356"/>
      <c r="R3237" s="356"/>
      <c r="S3237" s="356"/>
      <c r="T3237" s="356"/>
      <c r="U3237" s="372"/>
      <c r="V3237" s="372"/>
      <c r="W3237" s="372"/>
      <c r="X3237" s="373"/>
      <c r="Y3237" s="348"/>
      <c r="Z3237" s="348"/>
      <c r="AA3237" s="348"/>
    </row>
    <row r="3238" s="331" customFormat="1" ht="17" customHeight="1" spans="1:27">
      <c r="A3238" s="348"/>
      <c r="B3238" s="348" t="s">
        <v>153</v>
      </c>
      <c r="C3238" s="348" t="s">
        <v>302</v>
      </c>
      <c r="D3238" s="352" t="s">
        <v>155</v>
      </c>
      <c r="E3238" s="336">
        <v>43688</v>
      </c>
      <c r="F3238" s="336">
        <v>43688</v>
      </c>
      <c r="G3238" s="350"/>
      <c r="H3238" s="334" t="s">
        <v>8186</v>
      </c>
      <c r="I3238" s="356">
        <v>18149763515</v>
      </c>
      <c r="J3238" s="361" t="s">
        <v>8187</v>
      </c>
      <c r="K3238" s="356">
        <v>1000</v>
      </c>
      <c r="L3238" s="419"/>
      <c r="M3238" s="419"/>
      <c r="N3238" s="362">
        <f t="shared" si="115"/>
        <v>0</v>
      </c>
      <c r="O3238" s="356"/>
      <c r="P3238" s="356"/>
      <c r="Q3238" s="356"/>
      <c r="R3238" s="356"/>
      <c r="S3238" s="356"/>
      <c r="T3238" s="356"/>
      <c r="U3238" s="372" t="s">
        <v>12</v>
      </c>
      <c r="V3238" s="372"/>
      <c r="W3238" s="372"/>
      <c r="X3238" s="373"/>
      <c r="Y3238" s="348"/>
      <c r="Z3238" s="348"/>
      <c r="AA3238" s="348"/>
    </row>
    <row r="3239" s="331" customFormat="1" ht="17" customHeight="1" spans="1:27">
      <c r="A3239" s="348"/>
      <c r="B3239" s="348" t="s">
        <v>335</v>
      </c>
      <c r="C3239" s="334" t="s">
        <v>615</v>
      </c>
      <c r="D3239" s="349" t="s">
        <v>132</v>
      </c>
      <c r="E3239" s="336">
        <v>43688</v>
      </c>
      <c r="F3239" s="336"/>
      <c r="G3239" s="336">
        <v>43684</v>
      </c>
      <c r="H3239" s="334" t="s">
        <v>8188</v>
      </c>
      <c r="I3239" s="356">
        <v>17317134578</v>
      </c>
      <c r="J3239" s="361" t="s">
        <v>8189</v>
      </c>
      <c r="K3239" s="356"/>
      <c r="L3239" s="334">
        <v>11860</v>
      </c>
      <c r="M3239" s="334">
        <v>1140</v>
      </c>
      <c r="N3239" s="362">
        <f t="shared" si="115"/>
        <v>13000</v>
      </c>
      <c r="O3239" s="356"/>
      <c r="P3239" s="356"/>
      <c r="Q3239" s="356"/>
      <c r="R3239" s="356"/>
      <c r="S3239" s="356"/>
      <c r="T3239" s="356"/>
      <c r="U3239" s="372"/>
      <c r="V3239" s="372"/>
      <c r="W3239" s="372"/>
      <c r="X3239" s="373"/>
      <c r="Y3239" s="348"/>
      <c r="Z3239" s="348"/>
      <c r="AA3239" s="348"/>
    </row>
    <row r="3240" s="331" customFormat="1" ht="17" customHeight="1" spans="1:27">
      <c r="A3240" s="348"/>
      <c r="B3240" s="348" t="s">
        <v>805</v>
      </c>
      <c r="C3240" s="334" t="s">
        <v>4935</v>
      </c>
      <c r="D3240" s="349" t="s">
        <v>44</v>
      </c>
      <c r="E3240" s="336">
        <v>43688</v>
      </c>
      <c r="F3240" s="336"/>
      <c r="G3240" s="336">
        <v>43688</v>
      </c>
      <c r="H3240" s="334" t="s">
        <v>8190</v>
      </c>
      <c r="I3240" s="356">
        <v>13816101006</v>
      </c>
      <c r="J3240" s="361" t="s">
        <v>8191</v>
      </c>
      <c r="K3240" s="356"/>
      <c r="L3240" s="334">
        <v>33000</v>
      </c>
      <c r="M3240" s="419"/>
      <c r="N3240" s="362">
        <f t="shared" si="115"/>
        <v>33000</v>
      </c>
      <c r="O3240" s="356"/>
      <c r="P3240" s="356"/>
      <c r="Q3240" s="356"/>
      <c r="R3240" s="356"/>
      <c r="S3240" s="356"/>
      <c r="T3240" s="356"/>
      <c r="U3240" s="372"/>
      <c r="V3240" s="372"/>
      <c r="W3240" s="372"/>
      <c r="X3240" s="373"/>
      <c r="Y3240" s="348"/>
      <c r="Z3240" s="348"/>
      <c r="AA3240" s="348"/>
    </row>
    <row r="3241" s="331" customFormat="1" ht="17" customHeight="1" spans="1:27">
      <c r="A3241" s="348"/>
      <c r="B3241" s="348" t="s">
        <v>805</v>
      </c>
      <c r="C3241" s="334" t="s">
        <v>806</v>
      </c>
      <c r="D3241" s="349" t="s">
        <v>171</v>
      </c>
      <c r="E3241" s="336">
        <v>43688</v>
      </c>
      <c r="F3241" s="336"/>
      <c r="G3241" s="336">
        <v>43688</v>
      </c>
      <c r="H3241" s="334" t="s">
        <v>8192</v>
      </c>
      <c r="I3241" s="356">
        <v>18001903167</v>
      </c>
      <c r="J3241" s="361" t="s">
        <v>8193</v>
      </c>
      <c r="K3241" s="356"/>
      <c r="L3241" s="334">
        <v>23018</v>
      </c>
      <c r="M3241" s="419"/>
      <c r="N3241" s="362">
        <f t="shared" si="115"/>
        <v>23018</v>
      </c>
      <c r="O3241" s="356"/>
      <c r="P3241" s="356"/>
      <c r="Q3241" s="356"/>
      <c r="R3241" s="356"/>
      <c r="S3241" s="356"/>
      <c r="T3241" s="356"/>
      <c r="U3241" s="372"/>
      <c r="V3241" s="372"/>
      <c r="W3241" s="372"/>
      <c r="X3241" s="373"/>
      <c r="Y3241" s="348"/>
      <c r="Z3241" s="348"/>
      <c r="AA3241" s="348"/>
    </row>
    <row r="3242" s="331" customFormat="1" ht="17" customHeight="1" spans="1:27">
      <c r="A3242" s="348"/>
      <c r="B3242" s="348" t="s">
        <v>73</v>
      </c>
      <c r="C3242" s="334" t="s">
        <v>178</v>
      </c>
      <c r="D3242" s="349" t="s">
        <v>187</v>
      </c>
      <c r="E3242" s="336">
        <v>43688</v>
      </c>
      <c r="F3242" s="336"/>
      <c r="G3242" s="336">
        <v>43688</v>
      </c>
      <c r="H3242" s="334" t="s">
        <v>8194</v>
      </c>
      <c r="I3242" s="356">
        <v>18019116007</v>
      </c>
      <c r="J3242" s="361" t="s">
        <v>8195</v>
      </c>
      <c r="K3242" s="356"/>
      <c r="L3242" s="334">
        <v>17147</v>
      </c>
      <c r="M3242" s="419"/>
      <c r="N3242" s="362">
        <f t="shared" si="115"/>
        <v>17147</v>
      </c>
      <c r="O3242" s="356"/>
      <c r="P3242" s="356"/>
      <c r="Q3242" s="356"/>
      <c r="R3242" s="356"/>
      <c r="S3242" s="356"/>
      <c r="T3242" s="356"/>
      <c r="U3242" s="372"/>
      <c r="V3242" s="372"/>
      <c r="W3242" s="372"/>
      <c r="X3242" s="373"/>
      <c r="Y3242" s="348"/>
      <c r="Z3242" s="348"/>
      <c r="AA3242" s="348"/>
    </row>
    <row r="3243" s="331" customFormat="1" ht="17" customHeight="1" spans="1:27">
      <c r="A3243" s="348"/>
      <c r="B3243" s="348" t="s">
        <v>335</v>
      </c>
      <c r="C3243" s="334" t="s">
        <v>615</v>
      </c>
      <c r="D3243" s="349" t="s">
        <v>337</v>
      </c>
      <c r="E3243" s="336">
        <v>43688</v>
      </c>
      <c r="F3243" s="336"/>
      <c r="G3243" s="336">
        <v>43679</v>
      </c>
      <c r="H3243" s="334" t="s">
        <v>8196</v>
      </c>
      <c r="I3243" s="356">
        <v>13641699630</v>
      </c>
      <c r="J3243" s="361" t="s">
        <v>8197</v>
      </c>
      <c r="K3243" s="356"/>
      <c r="L3243" s="334">
        <v>10000</v>
      </c>
      <c r="M3243" s="419"/>
      <c r="N3243" s="362">
        <f t="shared" si="115"/>
        <v>10000</v>
      </c>
      <c r="O3243" s="356"/>
      <c r="P3243" s="356"/>
      <c r="Q3243" s="356"/>
      <c r="R3243" s="356"/>
      <c r="S3243" s="356"/>
      <c r="T3243" s="356"/>
      <c r="U3243" s="372"/>
      <c r="V3243" s="372"/>
      <c r="W3243" s="372"/>
      <c r="X3243" s="373"/>
      <c r="Y3243" s="348"/>
      <c r="Z3243" s="348"/>
      <c r="AA3243" s="348"/>
    </row>
    <row r="3244" s="331" customFormat="1" ht="17" customHeight="1" spans="1:27">
      <c r="A3244" s="348"/>
      <c r="B3244" s="348" t="s">
        <v>169</v>
      </c>
      <c r="C3244" s="334" t="s">
        <v>634</v>
      </c>
      <c r="D3244" s="349" t="s">
        <v>635</v>
      </c>
      <c r="E3244" s="336">
        <v>43688</v>
      </c>
      <c r="F3244" s="336" t="s">
        <v>800</v>
      </c>
      <c r="G3244" s="336">
        <v>43688</v>
      </c>
      <c r="H3244" s="334" t="s">
        <v>8198</v>
      </c>
      <c r="I3244" s="356">
        <v>19901702440</v>
      </c>
      <c r="J3244" s="361" t="s">
        <v>8199</v>
      </c>
      <c r="K3244" s="356"/>
      <c r="L3244" s="419"/>
      <c r="M3244" s="334">
        <v>-5000</v>
      </c>
      <c r="N3244" s="362">
        <f t="shared" si="115"/>
        <v>-5000</v>
      </c>
      <c r="O3244" s="356"/>
      <c r="P3244" s="356"/>
      <c r="Q3244" s="356"/>
      <c r="R3244" s="356"/>
      <c r="S3244" s="356"/>
      <c r="T3244" s="356"/>
      <c r="U3244" s="372"/>
      <c r="V3244" s="372"/>
      <c r="W3244" s="372"/>
      <c r="X3244" s="373"/>
      <c r="Y3244" s="348"/>
      <c r="Z3244" s="348"/>
      <c r="AA3244" s="348"/>
    </row>
    <row r="3245" s="331" customFormat="1" ht="17" customHeight="1" spans="1:27">
      <c r="A3245" s="348"/>
      <c r="B3245" s="348" t="s">
        <v>169</v>
      </c>
      <c r="C3245" s="334" t="s">
        <v>634</v>
      </c>
      <c r="D3245" s="349" t="s">
        <v>139</v>
      </c>
      <c r="E3245" s="336">
        <v>43688</v>
      </c>
      <c r="F3245" s="336" t="s">
        <v>800</v>
      </c>
      <c r="G3245" s="336">
        <v>43688</v>
      </c>
      <c r="H3245" s="334" t="s">
        <v>8198</v>
      </c>
      <c r="I3245" s="356">
        <v>19901702440</v>
      </c>
      <c r="J3245" s="361" t="s">
        <v>8199</v>
      </c>
      <c r="K3245" s="356"/>
      <c r="L3245" s="419"/>
      <c r="M3245" s="334">
        <v>9805</v>
      </c>
      <c r="N3245" s="362">
        <f t="shared" si="115"/>
        <v>9805</v>
      </c>
      <c r="O3245" s="356"/>
      <c r="P3245" s="356"/>
      <c r="Q3245" s="356"/>
      <c r="R3245" s="356"/>
      <c r="S3245" s="356"/>
      <c r="T3245" s="356"/>
      <c r="U3245" s="372"/>
      <c r="V3245" s="372"/>
      <c r="W3245" s="372"/>
      <c r="X3245" s="373"/>
      <c r="Y3245" s="348"/>
      <c r="Z3245" s="348"/>
      <c r="AA3245" s="348"/>
    </row>
    <row r="3246" s="331" customFormat="1" ht="17" customHeight="1" spans="1:27">
      <c r="A3246" s="348"/>
      <c r="B3246" s="348" t="s">
        <v>58</v>
      </c>
      <c r="C3246" s="334" t="s">
        <v>342</v>
      </c>
      <c r="D3246" s="349" t="s">
        <v>343</v>
      </c>
      <c r="E3246" s="336">
        <v>43688</v>
      </c>
      <c r="F3246" s="336" t="s">
        <v>800</v>
      </c>
      <c r="G3246" s="336">
        <v>43688</v>
      </c>
      <c r="H3246" s="334" t="s">
        <v>931</v>
      </c>
      <c r="I3246" s="356">
        <v>13064742278</v>
      </c>
      <c r="J3246" s="361" t="s">
        <v>932</v>
      </c>
      <c r="K3246" s="356"/>
      <c r="L3246" s="419"/>
      <c r="M3246" s="334">
        <v>1638</v>
      </c>
      <c r="N3246" s="362">
        <f t="shared" si="115"/>
        <v>1638</v>
      </c>
      <c r="O3246" s="356"/>
      <c r="P3246" s="356"/>
      <c r="Q3246" s="356"/>
      <c r="R3246" s="356"/>
      <c r="S3246" s="356"/>
      <c r="T3246" s="356"/>
      <c r="U3246" s="372"/>
      <c r="V3246" s="372"/>
      <c r="W3246" s="372"/>
      <c r="X3246" s="373"/>
      <c r="Y3246" s="348"/>
      <c r="Z3246" s="348"/>
      <c r="AA3246" s="348"/>
    </row>
    <row r="3247" s="331" customFormat="1" ht="17" customHeight="1" spans="1:27">
      <c r="A3247" s="348"/>
      <c r="B3247" s="348" t="s">
        <v>315</v>
      </c>
      <c r="C3247" s="334" t="s">
        <v>181</v>
      </c>
      <c r="D3247" s="349" t="s">
        <v>182</v>
      </c>
      <c r="E3247" s="336">
        <v>43688</v>
      </c>
      <c r="F3247" s="336" t="s">
        <v>800</v>
      </c>
      <c r="G3247" s="336">
        <v>43688</v>
      </c>
      <c r="H3247" s="334" t="s">
        <v>7562</v>
      </c>
      <c r="I3247" s="356">
        <v>13761348216</v>
      </c>
      <c r="J3247" s="361" t="s">
        <v>7563</v>
      </c>
      <c r="K3247" s="356"/>
      <c r="L3247" s="419"/>
      <c r="M3247" s="334">
        <v>1356</v>
      </c>
      <c r="N3247" s="362">
        <f t="shared" si="115"/>
        <v>1356</v>
      </c>
      <c r="O3247" s="356"/>
      <c r="P3247" s="356"/>
      <c r="Q3247" s="356"/>
      <c r="R3247" s="356"/>
      <c r="S3247" s="356"/>
      <c r="T3247" s="356"/>
      <c r="U3247" s="372"/>
      <c r="V3247" s="372"/>
      <c r="W3247" s="372"/>
      <c r="X3247" s="373"/>
      <c r="Y3247" s="348"/>
      <c r="Z3247" s="348"/>
      <c r="AA3247" s="348"/>
    </row>
    <row r="3248" s="331" customFormat="1" ht="17" customHeight="1" spans="1:27">
      <c r="A3248" s="348"/>
      <c r="B3248" s="348" t="s">
        <v>73</v>
      </c>
      <c r="C3248" s="334" t="s">
        <v>74</v>
      </c>
      <c r="D3248" s="349" t="s">
        <v>143</v>
      </c>
      <c r="E3248" s="336">
        <v>43688</v>
      </c>
      <c r="F3248" s="336" t="s">
        <v>800</v>
      </c>
      <c r="G3248" s="336">
        <v>43688</v>
      </c>
      <c r="H3248" s="334" t="s">
        <v>8200</v>
      </c>
      <c r="I3248" s="356">
        <v>13916028648</v>
      </c>
      <c r="J3248" s="361" t="s">
        <v>8201</v>
      </c>
      <c r="K3248" s="356"/>
      <c r="L3248" s="419"/>
      <c r="M3248" s="334">
        <v>619</v>
      </c>
      <c r="N3248" s="362">
        <f t="shared" si="115"/>
        <v>619</v>
      </c>
      <c r="O3248" s="356"/>
      <c r="P3248" s="356"/>
      <c r="Q3248" s="356"/>
      <c r="R3248" s="356"/>
      <c r="S3248" s="356"/>
      <c r="T3248" s="356"/>
      <c r="U3248" s="372"/>
      <c r="V3248" s="372"/>
      <c r="W3248" s="372"/>
      <c r="X3248" s="373"/>
      <c r="Y3248" s="348"/>
      <c r="Z3248" s="348"/>
      <c r="AA3248" s="348"/>
    </row>
    <row r="3249" s="331" customFormat="1" ht="17" customHeight="1" spans="1:27">
      <c r="A3249" s="348"/>
      <c r="B3249" s="348" t="s">
        <v>137</v>
      </c>
      <c r="C3249" s="334" t="s">
        <v>411</v>
      </c>
      <c r="D3249" s="349" t="s">
        <v>427</v>
      </c>
      <c r="E3249" s="336">
        <v>43683</v>
      </c>
      <c r="F3249" s="336" t="s">
        <v>800</v>
      </c>
      <c r="G3249" s="336">
        <v>43675</v>
      </c>
      <c r="H3249" s="334" t="s">
        <v>4852</v>
      </c>
      <c r="I3249" s="356">
        <v>18621910943</v>
      </c>
      <c r="J3249" s="361" t="s">
        <v>7664</v>
      </c>
      <c r="K3249" s="356"/>
      <c r="L3249" s="419"/>
      <c r="M3249" s="334">
        <v>-7460</v>
      </c>
      <c r="N3249" s="362">
        <f t="shared" si="115"/>
        <v>-7460</v>
      </c>
      <c r="O3249" s="356"/>
      <c r="P3249" s="356"/>
      <c r="Q3249" s="356"/>
      <c r="R3249" s="356"/>
      <c r="S3249" s="356"/>
      <c r="T3249" s="356"/>
      <c r="U3249" s="372"/>
      <c r="V3249" s="372"/>
      <c r="W3249" s="372"/>
      <c r="X3249" s="373"/>
      <c r="Y3249" s="348"/>
      <c r="Z3249" s="348"/>
      <c r="AA3249" s="348"/>
    </row>
    <row r="3250" s="331" customFormat="1" ht="17" customHeight="1" spans="1:27">
      <c r="A3250" s="348"/>
      <c r="B3250" s="348" t="s">
        <v>147</v>
      </c>
      <c r="C3250" s="334" t="s">
        <v>148</v>
      </c>
      <c r="D3250" s="349" t="s">
        <v>221</v>
      </c>
      <c r="E3250" s="336">
        <v>43684</v>
      </c>
      <c r="F3250" s="336" t="s">
        <v>800</v>
      </c>
      <c r="G3250" s="336">
        <v>43681</v>
      </c>
      <c r="H3250" s="334" t="s">
        <v>8202</v>
      </c>
      <c r="I3250" s="348">
        <v>13817135241</v>
      </c>
      <c r="J3250" s="361" t="s">
        <v>8203</v>
      </c>
      <c r="K3250" s="356"/>
      <c r="L3250" s="419"/>
      <c r="M3250" s="334">
        <v>-7073</v>
      </c>
      <c r="N3250" s="362">
        <f t="shared" si="115"/>
        <v>-7073</v>
      </c>
      <c r="O3250" s="356"/>
      <c r="P3250" s="356"/>
      <c r="Q3250" s="356"/>
      <c r="R3250" s="356"/>
      <c r="S3250" s="356"/>
      <c r="T3250" s="356"/>
      <c r="U3250" s="372"/>
      <c r="V3250" s="372"/>
      <c r="W3250" s="372"/>
      <c r="X3250" s="373"/>
      <c r="Y3250" s="348"/>
      <c r="Z3250" s="348"/>
      <c r="AA3250" s="348"/>
    </row>
    <row r="3251" s="331" customFormat="1" ht="17" customHeight="1" spans="1:27">
      <c r="A3251" s="348"/>
      <c r="B3251" s="348" t="s">
        <v>315</v>
      </c>
      <c r="C3251" s="348" t="s">
        <v>161</v>
      </c>
      <c r="D3251" s="352" t="s">
        <v>162</v>
      </c>
      <c r="E3251" s="336">
        <v>43766</v>
      </c>
      <c r="F3251" s="336">
        <v>43688</v>
      </c>
      <c r="G3251" s="336">
        <v>43765</v>
      </c>
      <c r="H3251" s="334" t="s">
        <v>8204</v>
      </c>
      <c r="I3251" s="356">
        <v>15821861792</v>
      </c>
      <c r="J3251" s="361" t="s">
        <v>8205</v>
      </c>
      <c r="K3251" s="356">
        <v>1000</v>
      </c>
      <c r="L3251" s="334">
        <v>19443</v>
      </c>
      <c r="M3251" s="419"/>
      <c r="N3251" s="362">
        <f t="shared" ref="N3251:N3304" si="116">L3251+M3251</f>
        <v>19443</v>
      </c>
      <c r="O3251" s="356"/>
      <c r="P3251" s="356">
        <v>1</v>
      </c>
      <c r="Q3251" s="356"/>
      <c r="R3251" s="356"/>
      <c r="S3251" s="356"/>
      <c r="T3251" s="356"/>
      <c r="U3251" s="372"/>
      <c r="V3251" s="372"/>
      <c r="W3251" s="372"/>
      <c r="X3251" s="373"/>
      <c r="Y3251" s="348"/>
      <c r="Z3251" s="348"/>
      <c r="AA3251" s="348"/>
    </row>
    <row r="3252" s="331" customFormat="1" ht="17" customHeight="1" spans="1:27">
      <c r="A3252" s="550" t="s">
        <v>8206</v>
      </c>
      <c r="B3252" s="348" t="s">
        <v>315</v>
      </c>
      <c r="C3252" s="348" t="s">
        <v>161</v>
      </c>
      <c r="D3252" s="352" t="s">
        <v>162</v>
      </c>
      <c r="E3252" s="336">
        <v>43797</v>
      </c>
      <c r="F3252" s="336">
        <v>43688</v>
      </c>
      <c r="G3252" s="336">
        <v>43796</v>
      </c>
      <c r="H3252" s="334" t="s">
        <v>8207</v>
      </c>
      <c r="I3252" s="356">
        <v>18817277735</v>
      </c>
      <c r="J3252" s="361" t="s">
        <v>8208</v>
      </c>
      <c r="K3252" s="356">
        <v>1000</v>
      </c>
      <c r="L3252" s="334">
        <v>29191</v>
      </c>
      <c r="M3252" s="419"/>
      <c r="N3252" s="362">
        <f t="shared" si="116"/>
        <v>29191</v>
      </c>
      <c r="O3252" s="356"/>
      <c r="P3252" s="356">
        <v>1</v>
      </c>
      <c r="Q3252" s="356"/>
      <c r="R3252" s="356"/>
      <c r="S3252" s="356"/>
      <c r="T3252" s="356"/>
      <c r="U3252" s="372"/>
      <c r="V3252" s="372"/>
      <c r="W3252" s="372"/>
      <c r="X3252" s="373"/>
      <c r="Y3252" s="348"/>
      <c r="Z3252" s="348"/>
      <c r="AA3252" s="348"/>
    </row>
    <row r="3253" s="331" customFormat="1" ht="17" customHeight="1" spans="1:27">
      <c r="A3253" s="550" t="s">
        <v>8209</v>
      </c>
      <c r="B3253" s="348" t="s">
        <v>315</v>
      </c>
      <c r="C3253" s="348" t="s">
        <v>161</v>
      </c>
      <c r="D3253" s="352" t="s">
        <v>162</v>
      </c>
      <c r="E3253" s="336">
        <v>43689</v>
      </c>
      <c r="F3253" s="336">
        <v>43688</v>
      </c>
      <c r="G3253" s="350" t="s">
        <v>69</v>
      </c>
      <c r="H3253" s="334" t="s">
        <v>4544</v>
      </c>
      <c r="I3253" s="356">
        <v>17821721376</v>
      </c>
      <c r="J3253" s="361" t="s">
        <v>8210</v>
      </c>
      <c r="K3253" s="356">
        <v>1000</v>
      </c>
      <c r="L3253" s="419"/>
      <c r="M3253" s="419"/>
      <c r="N3253" s="362">
        <f t="shared" si="116"/>
        <v>0</v>
      </c>
      <c r="O3253" s="356">
        <v>1</v>
      </c>
      <c r="P3253" s="356"/>
      <c r="Q3253" s="356"/>
      <c r="R3253" s="356"/>
      <c r="S3253" s="356"/>
      <c r="T3253" s="356"/>
      <c r="U3253" s="372"/>
      <c r="V3253" s="372"/>
      <c r="W3253" s="372"/>
      <c r="X3253" s="373"/>
      <c r="Y3253" s="348"/>
      <c r="Z3253" s="348"/>
      <c r="AA3253" s="348"/>
    </row>
    <row r="3254" s="331" customFormat="1" ht="17" customHeight="1" spans="1:27">
      <c r="A3254" s="550" t="s">
        <v>8211</v>
      </c>
      <c r="B3254" s="348" t="s">
        <v>315</v>
      </c>
      <c r="C3254" s="348" t="s">
        <v>275</v>
      </c>
      <c r="D3254" s="352" t="s">
        <v>162</v>
      </c>
      <c r="E3254" s="336">
        <v>43689</v>
      </c>
      <c r="F3254" s="336">
        <v>43688</v>
      </c>
      <c r="G3254" s="350" t="s">
        <v>69</v>
      </c>
      <c r="H3254" s="334" t="s">
        <v>8212</v>
      </c>
      <c r="I3254" s="356">
        <v>18164816337</v>
      </c>
      <c r="J3254" s="361" t="s">
        <v>8213</v>
      </c>
      <c r="K3254" s="356">
        <v>1000</v>
      </c>
      <c r="L3254" s="419"/>
      <c r="M3254" s="419"/>
      <c r="N3254" s="362">
        <f t="shared" si="116"/>
        <v>0</v>
      </c>
      <c r="O3254" s="356">
        <v>1</v>
      </c>
      <c r="P3254" s="356"/>
      <c r="Q3254" s="356"/>
      <c r="R3254" s="356"/>
      <c r="S3254" s="356"/>
      <c r="T3254" s="356"/>
      <c r="U3254" s="372"/>
      <c r="V3254" s="372"/>
      <c r="W3254" s="372"/>
      <c r="X3254" s="373"/>
      <c r="Y3254" s="348"/>
      <c r="Z3254" s="348"/>
      <c r="AA3254" s="348"/>
    </row>
    <row r="3255" s="331" customFormat="1" ht="17" customHeight="1" spans="1:27">
      <c r="A3255" s="550" t="s">
        <v>8214</v>
      </c>
      <c r="B3255" s="348" t="s">
        <v>315</v>
      </c>
      <c r="C3255" s="348" t="s">
        <v>275</v>
      </c>
      <c r="D3255" s="352" t="s">
        <v>162</v>
      </c>
      <c r="E3255" s="336">
        <v>43705</v>
      </c>
      <c r="F3255" s="336">
        <v>43688</v>
      </c>
      <c r="G3255" s="336">
        <v>43705</v>
      </c>
      <c r="H3255" s="334" t="s">
        <v>8215</v>
      </c>
      <c r="I3255" s="356">
        <v>18672155353</v>
      </c>
      <c r="J3255" s="361" t="s">
        <v>8216</v>
      </c>
      <c r="K3255" s="356">
        <v>1000</v>
      </c>
      <c r="L3255" s="334">
        <f>7648-1104</f>
        <v>6544</v>
      </c>
      <c r="M3255" s="334">
        <v>1104</v>
      </c>
      <c r="N3255" s="362">
        <f t="shared" si="116"/>
        <v>7648</v>
      </c>
      <c r="O3255" s="356">
        <v>1</v>
      </c>
      <c r="P3255" s="356"/>
      <c r="Q3255" s="356"/>
      <c r="R3255" s="356"/>
      <c r="S3255" s="356"/>
      <c r="T3255" s="356"/>
      <c r="U3255" s="372"/>
      <c r="V3255" s="372"/>
      <c r="W3255" s="372"/>
      <c r="X3255" s="373"/>
      <c r="Y3255" s="348"/>
      <c r="Z3255" s="348"/>
      <c r="AA3255" s="348"/>
    </row>
    <row r="3256" s="331" customFormat="1" ht="17" customHeight="1" spans="1:27">
      <c r="A3256" s="550" t="s">
        <v>8217</v>
      </c>
      <c r="B3256" s="348" t="s">
        <v>315</v>
      </c>
      <c r="C3256" s="348" t="s">
        <v>275</v>
      </c>
      <c r="D3256" s="352" t="s">
        <v>162</v>
      </c>
      <c r="E3256" s="336">
        <v>43707</v>
      </c>
      <c r="F3256" s="336">
        <v>43688</v>
      </c>
      <c r="G3256" s="336">
        <v>43668</v>
      </c>
      <c r="H3256" s="334" t="s">
        <v>5030</v>
      </c>
      <c r="I3256" s="356">
        <v>18616815633</v>
      </c>
      <c r="J3256" s="361" t="s">
        <v>8218</v>
      </c>
      <c r="K3256" s="356">
        <v>1000</v>
      </c>
      <c r="L3256" s="334">
        <v>8275</v>
      </c>
      <c r="M3256" s="419"/>
      <c r="N3256" s="362">
        <f t="shared" si="116"/>
        <v>8275</v>
      </c>
      <c r="O3256" s="356"/>
      <c r="P3256" s="356">
        <v>1</v>
      </c>
      <c r="Q3256" s="356"/>
      <c r="R3256" s="356"/>
      <c r="S3256" s="356"/>
      <c r="T3256" s="356"/>
      <c r="U3256" s="372"/>
      <c r="V3256" s="372"/>
      <c r="W3256" s="372"/>
      <c r="X3256" s="373"/>
      <c r="Y3256" s="348"/>
      <c r="Z3256" s="348"/>
      <c r="AA3256" s="348"/>
    </row>
    <row r="3257" s="331" customFormat="1" ht="17" customHeight="1" spans="1:27">
      <c r="A3257" s="550" t="s">
        <v>1027</v>
      </c>
      <c r="B3257" s="348" t="s">
        <v>315</v>
      </c>
      <c r="C3257" s="348" t="s">
        <v>275</v>
      </c>
      <c r="D3257" s="352" t="s">
        <v>162</v>
      </c>
      <c r="E3257" s="336">
        <v>43689</v>
      </c>
      <c r="F3257" s="336">
        <v>43688</v>
      </c>
      <c r="G3257" s="350" t="s">
        <v>69</v>
      </c>
      <c r="H3257" s="334" t="s">
        <v>8219</v>
      </c>
      <c r="I3257" s="356">
        <v>18721128979</v>
      </c>
      <c r="J3257" s="361" t="s">
        <v>8220</v>
      </c>
      <c r="K3257" s="356">
        <v>1000</v>
      </c>
      <c r="L3257" s="419"/>
      <c r="M3257" s="419"/>
      <c r="N3257" s="362">
        <f t="shared" si="116"/>
        <v>0</v>
      </c>
      <c r="O3257" s="356"/>
      <c r="P3257" s="356"/>
      <c r="Q3257" s="356">
        <v>1</v>
      </c>
      <c r="R3257" s="356"/>
      <c r="S3257" s="356"/>
      <c r="T3257" s="356"/>
      <c r="U3257" s="372"/>
      <c r="V3257" s="372"/>
      <c r="W3257" s="372"/>
      <c r="X3257" s="373"/>
      <c r="Y3257" s="348"/>
      <c r="Z3257" s="348"/>
      <c r="AA3257" s="348"/>
    </row>
    <row r="3258" s="331" customFormat="1" ht="17" customHeight="1" spans="1:27">
      <c r="A3258" s="348"/>
      <c r="B3258" s="348" t="s">
        <v>66</v>
      </c>
      <c r="C3258" s="348" t="s">
        <v>505</v>
      </c>
      <c r="D3258" s="352" t="s">
        <v>68</v>
      </c>
      <c r="E3258" s="336">
        <v>43694</v>
      </c>
      <c r="F3258" s="336">
        <v>43689</v>
      </c>
      <c r="G3258" s="336">
        <v>43693</v>
      </c>
      <c r="H3258" s="334" t="s">
        <v>6311</v>
      </c>
      <c r="I3258" s="356">
        <v>13024138372</v>
      </c>
      <c r="J3258" s="361" t="s">
        <v>8221</v>
      </c>
      <c r="K3258" s="356">
        <f>1000+1000</f>
        <v>2000</v>
      </c>
      <c r="L3258" s="334">
        <f>5934-736</f>
        <v>5198</v>
      </c>
      <c r="M3258" s="334">
        <v>736</v>
      </c>
      <c r="N3258" s="362">
        <f t="shared" si="116"/>
        <v>5934</v>
      </c>
      <c r="O3258" s="356"/>
      <c r="P3258" s="356"/>
      <c r="Q3258" s="356"/>
      <c r="R3258" s="356"/>
      <c r="S3258" s="356"/>
      <c r="T3258" s="356"/>
      <c r="U3258" s="372"/>
      <c r="V3258" s="356" t="s">
        <v>1328</v>
      </c>
      <c r="W3258" s="372"/>
      <c r="X3258" s="373"/>
      <c r="Y3258" s="348"/>
      <c r="Z3258" s="348"/>
      <c r="AA3258" s="348"/>
    </row>
    <row r="3259" s="331" customFormat="1" ht="17" customHeight="1" spans="1:27">
      <c r="A3259" s="550" t="s">
        <v>8222</v>
      </c>
      <c r="B3259" s="348" t="s">
        <v>123</v>
      </c>
      <c r="C3259" s="348" t="s">
        <v>32</v>
      </c>
      <c r="D3259" s="352" t="s">
        <v>125</v>
      </c>
      <c r="E3259" s="336">
        <v>43761</v>
      </c>
      <c r="F3259" s="336">
        <v>43688</v>
      </c>
      <c r="G3259" s="336">
        <v>43760</v>
      </c>
      <c r="H3259" s="334" t="s">
        <v>8223</v>
      </c>
      <c r="I3259" s="356">
        <v>13818518857</v>
      </c>
      <c r="J3259" s="361" t="s">
        <v>8224</v>
      </c>
      <c r="K3259" s="356">
        <v>1000</v>
      </c>
      <c r="L3259" s="334">
        <v>10816</v>
      </c>
      <c r="M3259" s="419"/>
      <c r="N3259" s="362">
        <f t="shared" si="116"/>
        <v>10816</v>
      </c>
      <c r="O3259" s="356"/>
      <c r="P3259" s="356"/>
      <c r="Q3259" s="356" t="s">
        <v>52</v>
      </c>
      <c r="R3259" s="356"/>
      <c r="S3259" s="356"/>
      <c r="T3259" s="356"/>
      <c r="U3259" s="372"/>
      <c r="V3259" s="372"/>
      <c r="W3259" s="372"/>
      <c r="X3259" s="373"/>
      <c r="Y3259" s="348"/>
      <c r="Z3259" s="348"/>
      <c r="AA3259" s="348"/>
    </row>
    <row r="3260" s="331" customFormat="1" ht="17" customHeight="1" spans="1:27">
      <c r="A3260" s="550" t="s">
        <v>8183</v>
      </c>
      <c r="B3260" s="348" t="s">
        <v>31</v>
      </c>
      <c r="C3260" s="348" t="s">
        <v>419</v>
      </c>
      <c r="D3260" s="349" t="s">
        <v>33</v>
      </c>
      <c r="E3260" s="336">
        <v>43695</v>
      </c>
      <c r="F3260" s="336">
        <v>43688</v>
      </c>
      <c r="G3260" s="336">
        <v>43694</v>
      </c>
      <c r="H3260" s="334" t="s">
        <v>8184</v>
      </c>
      <c r="I3260" s="356">
        <v>18017255570</v>
      </c>
      <c r="J3260" s="361" t="s">
        <v>8225</v>
      </c>
      <c r="K3260" s="356">
        <v>15815</v>
      </c>
      <c r="L3260" s="334">
        <f>17091-927</f>
        <v>16164</v>
      </c>
      <c r="M3260" s="334">
        <v>927</v>
      </c>
      <c r="N3260" s="362">
        <f t="shared" si="116"/>
        <v>17091</v>
      </c>
      <c r="O3260" s="356"/>
      <c r="P3260" s="356"/>
      <c r="Q3260" s="356"/>
      <c r="R3260" s="356"/>
      <c r="S3260" s="356"/>
      <c r="T3260" s="356"/>
      <c r="U3260" s="372"/>
      <c r="V3260" s="372"/>
      <c r="W3260" s="372"/>
      <c r="X3260" s="373"/>
      <c r="Y3260" s="348"/>
      <c r="Z3260" s="348"/>
      <c r="AA3260" s="348"/>
    </row>
    <row r="3261" s="331" customFormat="1" ht="17" customHeight="1" spans="1:27">
      <c r="A3261" s="550" t="s">
        <v>7621</v>
      </c>
      <c r="B3261" s="348" t="s">
        <v>31</v>
      </c>
      <c r="C3261" s="348" t="s">
        <v>419</v>
      </c>
      <c r="D3261" s="334" t="s">
        <v>954</v>
      </c>
      <c r="E3261" s="336">
        <v>43752</v>
      </c>
      <c r="F3261" s="336">
        <v>43688</v>
      </c>
      <c r="G3261" s="336">
        <v>43751</v>
      </c>
      <c r="H3261" s="334" t="s">
        <v>8226</v>
      </c>
      <c r="I3261" s="356">
        <v>15821824372</v>
      </c>
      <c r="J3261" s="361" t="s">
        <v>8227</v>
      </c>
      <c r="K3261" s="356">
        <v>1000</v>
      </c>
      <c r="L3261" s="334">
        <v>13017</v>
      </c>
      <c r="M3261" s="419"/>
      <c r="N3261" s="362">
        <f t="shared" si="116"/>
        <v>13017</v>
      </c>
      <c r="O3261" s="356"/>
      <c r="P3261" s="356"/>
      <c r="Q3261" s="356" t="s">
        <v>52</v>
      </c>
      <c r="R3261" s="356"/>
      <c r="S3261" s="356"/>
      <c r="T3261" s="356"/>
      <c r="U3261" s="372"/>
      <c r="V3261" s="372"/>
      <c r="W3261" s="372"/>
      <c r="X3261" s="373"/>
      <c r="Y3261" s="348"/>
      <c r="Z3261" s="348"/>
      <c r="AA3261" s="348"/>
    </row>
    <row r="3262" s="331" customFormat="1" ht="17" customHeight="1" spans="1:27">
      <c r="A3262" s="550" t="s">
        <v>8228</v>
      </c>
      <c r="B3262" s="348" t="s">
        <v>31</v>
      </c>
      <c r="C3262" s="348" t="s">
        <v>419</v>
      </c>
      <c r="D3262" s="334" t="s">
        <v>33</v>
      </c>
      <c r="E3262" s="336">
        <v>43737</v>
      </c>
      <c r="F3262" s="336">
        <v>43688</v>
      </c>
      <c r="G3262" s="336">
        <v>43736</v>
      </c>
      <c r="H3262" s="334" t="s">
        <v>8229</v>
      </c>
      <c r="I3262" s="356">
        <v>18705118799</v>
      </c>
      <c r="J3262" s="361" t="s">
        <v>8230</v>
      </c>
      <c r="K3262" s="356">
        <v>1000</v>
      </c>
      <c r="L3262" s="334">
        <v>14300</v>
      </c>
      <c r="M3262" s="419"/>
      <c r="N3262" s="362">
        <f t="shared" si="116"/>
        <v>14300</v>
      </c>
      <c r="O3262" s="356"/>
      <c r="P3262" s="356" t="s">
        <v>52</v>
      </c>
      <c r="Q3262" s="356"/>
      <c r="R3262" s="356"/>
      <c r="S3262" s="356"/>
      <c r="T3262" s="356"/>
      <c r="U3262" s="372"/>
      <c r="V3262" s="372"/>
      <c r="W3262" s="372"/>
      <c r="X3262" s="373"/>
      <c r="Y3262" s="348"/>
      <c r="Z3262" s="348"/>
      <c r="AA3262" s="348"/>
    </row>
    <row r="3263" s="331" customFormat="1" ht="17" customHeight="1" spans="1:27">
      <c r="A3263" s="348"/>
      <c r="B3263" s="348" t="s">
        <v>66</v>
      </c>
      <c r="C3263" s="348" t="s">
        <v>67</v>
      </c>
      <c r="D3263" s="334" t="s">
        <v>2302</v>
      </c>
      <c r="E3263" s="336">
        <v>43749</v>
      </c>
      <c r="F3263" s="336">
        <v>43688</v>
      </c>
      <c r="G3263" s="336">
        <v>43749</v>
      </c>
      <c r="H3263" s="334" t="s">
        <v>8231</v>
      </c>
      <c r="I3263" s="356">
        <v>13122981132</v>
      </c>
      <c r="J3263" s="361" t="s">
        <v>8232</v>
      </c>
      <c r="K3263" s="356">
        <v>1000</v>
      </c>
      <c r="L3263" s="334">
        <v>2029</v>
      </c>
      <c r="M3263" s="419"/>
      <c r="N3263" s="362">
        <f t="shared" si="116"/>
        <v>2029</v>
      </c>
      <c r="O3263" s="356"/>
      <c r="P3263" s="356"/>
      <c r="Q3263" s="356"/>
      <c r="R3263" s="356"/>
      <c r="S3263" s="356"/>
      <c r="T3263" s="356"/>
      <c r="U3263" s="372"/>
      <c r="V3263" s="372"/>
      <c r="W3263" s="372"/>
      <c r="X3263" s="373"/>
      <c r="Y3263" s="348"/>
      <c r="Z3263" s="348"/>
      <c r="AA3263" s="348"/>
    </row>
    <row r="3264" s="331" customFormat="1" ht="17" customHeight="1" spans="1:27">
      <c r="A3264" s="348"/>
      <c r="B3264" s="348" t="s">
        <v>315</v>
      </c>
      <c r="C3264" s="348" t="s">
        <v>181</v>
      </c>
      <c r="D3264" s="334" t="s">
        <v>162</v>
      </c>
      <c r="E3264" s="336">
        <v>43707</v>
      </c>
      <c r="F3264" s="336">
        <v>43688</v>
      </c>
      <c r="G3264" s="336">
        <v>43705</v>
      </c>
      <c r="H3264" s="334" t="s">
        <v>8233</v>
      </c>
      <c r="I3264" s="356">
        <v>13641856176</v>
      </c>
      <c r="J3264" s="361" t="s">
        <v>8234</v>
      </c>
      <c r="K3264" s="356">
        <v>1000</v>
      </c>
      <c r="L3264" s="334">
        <v>20500</v>
      </c>
      <c r="M3264" s="419"/>
      <c r="N3264" s="362">
        <f t="shared" si="116"/>
        <v>20500</v>
      </c>
      <c r="O3264" s="356"/>
      <c r="P3264" s="356"/>
      <c r="Q3264" s="356"/>
      <c r="R3264" s="356">
        <v>1</v>
      </c>
      <c r="S3264" s="356"/>
      <c r="T3264" s="356"/>
      <c r="U3264" s="372"/>
      <c r="V3264" s="372"/>
      <c r="W3264" s="372"/>
      <c r="X3264" s="373"/>
      <c r="Y3264" s="348"/>
      <c r="Z3264" s="348"/>
      <c r="AA3264" s="348"/>
    </row>
    <row r="3265" s="331" customFormat="1" ht="17" customHeight="1" spans="1:27">
      <c r="A3265" s="550" t="s">
        <v>6221</v>
      </c>
      <c r="B3265" s="348" t="s">
        <v>185</v>
      </c>
      <c r="C3265" s="348" t="s">
        <v>186</v>
      </c>
      <c r="D3265" s="352" t="s">
        <v>187</v>
      </c>
      <c r="E3265" s="336">
        <v>43708</v>
      </c>
      <c r="F3265" s="336">
        <v>43688</v>
      </c>
      <c r="G3265" s="336">
        <v>43708</v>
      </c>
      <c r="H3265" s="334" t="s">
        <v>8235</v>
      </c>
      <c r="I3265" s="356">
        <v>18516553160</v>
      </c>
      <c r="J3265" s="361" t="s">
        <v>8236</v>
      </c>
      <c r="K3265" s="356">
        <v>1000</v>
      </c>
      <c r="L3265" s="334">
        <v>12000</v>
      </c>
      <c r="M3265" s="419"/>
      <c r="N3265" s="362">
        <f t="shared" si="116"/>
        <v>12000</v>
      </c>
      <c r="O3265" s="356"/>
      <c r="P3265" s="356"/>
      <c r="Q3265" s="356"/>
      <c r="R3265" s="356" t="s">
        <v>52</v>
      </c>
      <c r="S3265" s="356"/>
      <c r="T3265" s="356"/>
      <c r="U3265" s="372"/>
      <c r="V3265" s="372"/>
      <c r="W3265" s="372"/>
      <c r="X3265" s="373"/>
      <c r="Y3265" s="348"/>
      <c r="Z3265" s="348"/>
      <c r="AA3265" s="348"/>
    </row>
    <row r="3266" s="331" customFormat="1" ht="17" customHeight="1" spans="1:27">
      <c r="A3266" s="550" t="s">
        <v>8237</v>
      </c>
      <c r="B3266" s="348" t="s">
        <v>31</v>
      </c>
      <c r="C3266" s="348" t="s">
        <v>377</v>
      </c>
      <c r="D3266" s="334" t="s">
        <v>33</v>
      </c>
      <c r="E3266" s="336">
        <v>43717</v>
      </c>
      <c r="F3266" s="336">
        <v>43688</v>
      </c>
      <c r="G3266" s="336">
        <v>43716</v>
      </c>
      <c r="H3266" s="334" t="s">
        <v>8238</v>
      </c>
      <c r="I3266" s="356">
        <v>13020125892</v>
      </c>
      <c r="J3266" s="361" t="s">
        <v>8239</v>
      </c>
      <c r="K3266" s="356">
        <v>1000</v>
      </c>
      <c r="L3266" s="334">
        <f>7614-736</f>
        <v>6878</v>
      </c>
      <c r="M3266" s="334">
        <v>736</v>
      </c>
      <c r="N3266" s="362">
        <f t="shared" si="116"/>
        <v>7614</v>
      </c>
      <c r="O3266" s="356"/>
      <c r="P3266" s="356"/>
      <c r="Q3266" s="356" t="s">
        <v>52</v>
      </c>
      <c r="R3266" s="356"/>
      <c r="S3266" s="356"/>
      <c r="T3266" s="356"/>
      <c r="U3266" s="372"/>
      <c r="V3266" s="372"/>
      <c r="W3266" s="372"/>
      <c r="X3266" s="373"/>
      <c r="Y3266" s="348"/>
      <c r="Z3266" s="348"/>
      <c r="AA3266" s="348"/>
    </row>
    <row r="3267" s="331" customFormat="1" ht="17" customHeight="1" spans="1:27">
      <c r="A3267" s="550" t="s">
        <v>8240</v>
      </c>
      <c r="B3267" s="348" t="s">
        <v>58</v>
      </c>
      <c r="C3267" s="348" t="s">
        <v>347</v>
      </c>
      <c r="D3267" s="352" t="s">
        <v>343</v>
      </c>
      <c r="E3267" s="336">
        <v>43689</v>
      </c>
      <c r="F3267" s="336">
        <v>43688</v>
      </c>
      <c r="G3267" s="350"/>
      <c r="H3267" s="334" t="s">
        <v>8241</v>
      </c>
      <c r="I3267" s="356">
        <v>17717821590</v>
      </c>
      <c r="J3267" s="361" t="s">
        <v>8242</v>
      </c>
      <c r="K3267" s="356">
        <v>1000</v>
      </c>
      <c r="L3267" s="419"/>
      <c r="M3267" s="419"/>
      <c r="N3267" s="362">
        <f t="shared" si="116"/>
        <v>0</v>
      </c>
      <c r="O3267" s="356"/>
      <c r="P3267" s="356" t="s">
        <v>52</v>
      </c>
      <c r="Q3267" s="356"/>
      <c r="R3267" s="356"/>
      <c r="S3267" s="356"/>
      <c r="T3267" s="356"/>
      <c r="U3267" s="372">
        <v>8.25</v>
      </c>
      <c r="V3267" s="372"/>
      <c r="W3267" s="372"/>
      <c r="X3267" s="373"/>
      <c r="Y3267" s="348"/>
      <c r="Z3267" s="348"/>
      <c r="AA3267" s="348"/>
    </row>
    <row r="3268" s="331" customFormat="1" ht="15" customHeight="1" spans="1:27">
      <c r="A3268" s="550" t="s">
        <v>8243</v>
      </c>
      <c r="B3268" s="348" t="s">
        <v>58</v>
      </c>
      <c r="C3268" s="348" t="s">
        <v>347</v>
      </c>
      <c r="D3268" s="352" t="s">
        <v>343</v>
      </c>
      <c r="E3268" s="336">
        <v>43733</v>
      </c>
      <c r="F3268" s="336">
        <v>43688</v>
      </c>
      <c r="G3268" s="336">
        <v>43732</v>
      </c>
      <c r="H3268" s="334" t="s">
        <v>8244</v>
      </c>
      <c r="I3268" s="356">
        <v>18616633765</v>
      </c>
      <c r="J3268" s="361" t="s">
        <v>8245</v>
      </c>
      <c r="K3268" s="356">
        <v>2000</v>
      </c>
      <c r="L3268" s="334">
        <v>8800</v>
      </c>
      <c r="M3268" s="419"/>
      <c r="N3268" s="362">
        <f t="shared" si="116"/>
        <v>8800</v>
      </c>
      <c r="O3268" s="356"/>
      <c r="P3268" s="356"/>
      <c r="Q3268" s="356" t="s">
        <v>52</v>
      </c>
      <c r="R3268" s="356"/>
      <c r="S3268" s="356"/>
      <c r="T3268" s="356"/>
      <c r="U3268" s="372"/>
      <c r="V3268" s="372"/>
      <c r="W3268" s="372"/>
      <c r="X3268" s="373"/>
      <c r="Y3268" s="348"/>
      <c r="Z3268" s="348"/>
      <c r="AA3268" s="348"/>
    </row>
    <row r="3269" s="331" customFormat="1" ht="17" customHeight="1" spans="1:27">
      <c r="A3269" s="550" t="s">
        <v>8246</v>
      </c>
      <c r="B3269" s="348" t="s">
        <v>35</v>
      </c>
      <c r="C3269" s="348" t="s">
        <v>328</v>
      </c>
      <c r="D3269" s="352" t="s">
        <v>37</v>
      </c>
      <c r="E3269" s="336">
        <v>43708</v>
      </c>
      <c r="F3269" s="336">
        <v>43688</v>
      </c>
      <c r="G3269" s="336">
        <v>43708</v>
      </c>
      <c r="H3269" s="334" t="s">
        <v>8247</v>
      </c>
      <c r="I3269" s="356">
        <v>18917219808</v>
      </c>
      <c r="J3269" s="361" t="s">
        <v>8248</v>
      </c>
      <c r="K3269" s="356">
        <v>1000</v>
      </c>
      <c r="L3269" s="334">
        <v>11000</v>
      </c>
      <c r="M3269" s="419"/>
      <c r="N3269" s="362">
        <f t="shared" si="116"/>
        <v>11000</v>
      </c>
      <c r="O3269" s="356" t="s">
        <v>52</v>
      </c>
      <c r="P3269" s="356"/>
      <c r="Q3269" s="356"/>
      <c r="R3269" s="356"/>
      <c r="S3269" s="356"/>
      <c r="T3269" s="356"/>
      <c r="U3269" s="372"/>
      <c r="V3269" s="372"/>
      <c r="W3269" s="372"/>
      <c r="X3269" s="373"/>
      <c r="Y3269" s="348"/>
      <c r="Z3269" s="348"/>
      <c r="AA3269" s="348"/>
    </row>
    <row r="3270" s="331" customFormat="1" ht="17" customHeight="1" spans="1:27">
      <c r="A3270" s="550" t="s">
        <v>8249</v>
      </c>
      <c r="B3270" s="348" t="s">
        <v>66</v>
      </c>
      <c r="C3270" s="348" t="s">
        <v>951</v>
      </c>
      <c r="D3270" s="334" t="s">
        <v>2302</v>
      </c>
      <c r="E3270" s="336">
        <v>43796</v>
      </c>
      <c r="F3270" s="336">
        <v>43688</v>
      </c>
      <c r="G3270" s="336">
        <v>43796</v>
      </c>
      <c r="H3270" s="334" t="s">
        <v>8250</v>
      </c>
      <c r="I3270" s="356">
        <v>15800804087</v>
      </c>
      <c r="J3270" s="361" t="s">
        <v>8251</v>
      </c>
      <c r="K3270" s="356">
        <v>1000</v>
      </c>
      <c r="L3270" s="334">
        <f>-4002+9039</f>
        <v>5037</v>
      </c>
      <c r="M3270" s="334">
        <v>4002</v>
      </c>
      <c r="N3270" s="362">
        <f t="shared" si="116"/>
        <v>9039</v>
      </c>
      <c r="O3270" s="356"/>
      <c r="P3270" s="356"/>
      <c r="Q3270" s="356"/>
      <c r="R3270" s="356"/>
      <c r="S3270" s="356"/>
      <c r="T3270" s="356"/>
      <c r="U3270" s="372"/>
      <c r="V3270" s="372"/>
      <c r="W3270" s="372"/>
      <c r="X3270" s="373"/>
      <c r="Y3270" s="348"/>
      <c r="Z3270" s="348"/>
      <c r="AA3270" s="348"/>
    </row>
    <row r="3271" s="331" customFormat="1" ht="17" customHeight="1" spans="1:27">
      <c r="A3271" s="550" t="s">
        <v>5801</v>
      </c>
      <c r="B3271" s="348" t="s">
        <v>185</v>
      </c>
      <c r="C3271" s="348" t="s">
        <v>186</v>
      </c>
      <c r="D3271" s="352" t="s">
        <v>187</v>
      </c>
      <c r="E3271" s="336">
        <v>43724</v>
      </c>
      <c r="F3271" s="336">
        <v>43688</v>
      </c>
      <c r="G3271" s="336">
        <v>43723</v>
      </c>
      <c r="H3271" s="334" t="s">
        <v>8252</v>
      </c>
      <c r="I3271" s="356">
        <v>17602122897</v>
      </c>
      <c r="J3271" s="361" t="s">
        <v>8253</v>
      </c>
      <c r="K3271" s="356">
        <v>1000</v>
      </c>
      <c r="L3271" s="334">
        <f>4220-736</f>
        <v>3484</v>
      </c>
      <c r="M3271" s="334">
        <v>736</v>
      </c>
      <c r="N3271" s="362">
        <f t="shared" si="116"/>
        <v>4220</v>
      </c>
      <c r="O3271" s="356"/>
      <c r="P3271" s="356" t="s">
        <v>52</v>
      </c>
      <c r="Q3271" s="356"/>
      <c r="R3271" s="356"/>
      <c r="S3271" s="356"/>
      <c r="T3271" s="356"/>
      <c r="U3271" s="372"/>
      <c r="V3271" s="372"/>
      <c r="W3271" s="372"/>
      <c r="X3271" s="373"/>
      <c r="Y3271" s="348"/>
      <c r="Z3271" s="348"/>
      <c r="AA3271" s="348"/>
    </row>
    <row r="3272" s="331" customFormat="1" ht="17" customHeight="1" spans="1:27">
      <c r="A3272" s="348"/>
      <c r="B3272" s="348" t="s">
        <v>137</v>
      </c>
      <c r="C3272" s="348" t="s">
        <v>138</v>
      </c>
      <c r="D3272" s="352" t="s">
        <v>139</v>
      </c>
      <c r="E3272" s="336">
        <v>43695</v>
      </c>
      <c r="F3272" s="336">
        <v>43688</v>
      </c>
      <c r="G3272" s="336">
        <v>43695</v>
      </c>
      <c r="H3272" s="334" t="s">
        <v>8254</v>
      </c>
      <c r="I3272" s="356">
        <v>13701691905</v>
      </c>
      <c r="J3272" s="361" t="s">
        <v>8255</v>
      </c>
      <c r="K3272" s="356">
        <v>1000</v>
      </c>
      <c r="L3272" s="334">
        <v>7403</v>
      </c>
      <c r="M3272" s="419"/>
      <c r="N3272" s="362">
        <f t="shared" si="116"/>
        <v>7403</v>
      </c>
      <c r="O3272" s="356"/>
      <c r="P3272" s="356"/>
      <c r="Q3272" s="356"/>
      <c r="R3272" s="356"/>
      <c r="S3272" s="356"/>
      <c r="T3272" s="356"/>
      <c r="U3272" s="372"/>
      <c r="V3272" s="372"/>
      <c r="W3272" s="372"/>
      <c r="X3272" s="373"/>
      <c r="Y3272" s="348"/>
      <c r="Z3272" s="348"/>
      <c r="AA3272" s="348"/>
    </row>
    <row r="3273" s="331" customFormat="1" ht="17" customHeight="1" spans="1:27">
      <c r="A3273" s="348">
        <v>2067192</v>
      </c>
      <c r="B3273" s="348" t="s">
        <v>66</v>
      </c>
      <c r="C3273" s="348" t="s">
        <v>951</v>
      </c>
      <c r="D3273" s="334" t="s">
        <v>1436</v>
      </c>
      <c r="E3273" s="336">
        <v>43733</v>
      </c>
      <c r="F3273" s="336">
        <v>43688</v>
      </c>
      <c r="G3273" s="336">
        <v>43733</v>
      </c>
      <c r="H3273" s="334" t="s">
        <v>8256</v>
      </c>
      <c r="I3273" s="356">
        <v>13601632654</v>
      </c>
      <c r="J3273" s="361" t="s">
        <v>8257</v>
      </c>
      <c r="K3273" s="356">
        <v>1000</v>
      </c>
      <c r="L3273" s="334">
        <v>7545</v>
      </c>
      <c r="M3273" s="419"/>
      <c r="N3273" s="362">
        <f t="shared" si="116"/>
        <v>7545</v>
      </c>
      <c r="O3273" s="356"/>
      <c r="P3273" s="356"/>
      <c r="Q3273" s="356"/>
      <c r="R3273" s="356"/>
      <c r="S3273" s="356"/>
      <c r="T3273" s="356"/>
      <c r="U3273" s="372"/>
      <c r="V3273" s="372"/>
      <c r="W3273" s="372"/>
      <c r="X3273" s="373"/>
      <c r="Y3273" s="348"/>
      <c r="Z3273" s="348"/>
      <c r="AA3273" s="348"/>
    </row>
    <row r="3274" s="331" customFormat="1" ht="17" customHeight="1" spans="1:27">
      <c r="A3274" s="550" t="s">
        <v>8258</v>
      </c>
      <c r="B3274" s="348" t="s">
        <v>153</v>
      </c>
      <c r="C3274" s="348" t="s">
        <v>154</v>
      </c>
      <c r="D3274" s="352" t="s">
        <v>155</v>
      </c>
      <c r="E3274" s="336">
        <v>43695</v>
      </c>
      <c r="F3274" s="336">
        <v>43688</v>
      </c>
      <c r="G3274" s="336">
        <v>43694</v>
      </c>
      <c r="H3274" s="334" t="s">
        <v>8259</v>
      </c>
      <c r="I3274" s="356">
        <v>18016004158</v>
      </c>
      <c r="J3274" s="361" t="s">
        <v>8260</v>
      </c>
      <c r="K3274" s="356">
        <v>2481</v>
      </c>
      <c r="L3274" s="334">
        <v>2781</v>
      </c>
      <c r="M3274" s="419"/>
      <c r="N3274" s="362">
        <f t="shared" si="116"/>
        <v>2781</v>
      </c>
      <c r="O3274" s="356"/>
      <c r="P3274" s="356"/>
      <c r="Q3274" s="356"/>
      <c r="R3274" s="356"/>
      <c r="S3274" s="356"/>
      <c r="T3274" s="356"/>
      <c r="U3274" s="372"/>
      <c r="V3274" s="372"/>
      <c r="W3274" s="372"/>
      <c r="X3274" s="373"/>
      <c r="Y3274" s="348"/>
      <c r="Z3274" s="348"/>
      <c r="AA3274" s="348"/>
    </row>
    <row r="3275" s="331" customFormat="1" ht="17" customHeight="1" spans="1:27">
      <c r="A3275" s="550" t="s">
        <v>8261</v>
      </c>
      <c r="B3275" s="348" t="s">
        <v>31</v>
      </c>
      <c r="C3275" s="348" t="s">
        <v>419</v>
      </c>
      <c r="D3275" s="334" t="s">
        <v>954</v>
      </c>
      <c r="E3275" s="336">
        <v>43729</v>
      </c>
      <c r="F3275" s="336">
        <v>43688</v>
      </c>
      <c r="G3275" s="336">
        <v>43728</v>
      </c>
      <c r="H3275" s="334" t="s">
        <v>8262</v>
      </c>
      <c r="I3275" s="356">
        <v>15801837604</v>
      </c>
      <c r="J3275" s="361" t="s">
        <v>8263</v>
      </c>
      <c r="K3275" s="356">
        <v>1000</v>
      </c>
      <c r="L3275" s="334">
        <v>7900</v>
      </c>
      <c r="M3275" s="419"/>
      <c r="N3275" s="362">
        <f t="shared" si="116"/>
        <v>7900</v>
      </c>
      <c r="O3275" s="356"/>
      <c r="P3275" s="356"/>
      <c r="Q3275" s="356" t="s">
        <v>52</v>
      </c>
      <c r="R3275" s="356"/>
      <c r="S3275" s="356"/>
      <c r="T3275" s="356"/>
      <c r="U3275" s="372"/>
      <c r="V3275" s="372"/>
      <c r="W3275" s="372"/>
      <c r="X3275" s="373"/>
      <c r="Y3275" s="348"/>
      <c r="Z3275" s="348"/>
      <c r="AA3275" s="348"/>
    </row>
    <row r="3276" s="331" customFormat="1" ht="17" customHeight="1" spans="1:27">
      <c r="A3276" s="550" t="s">
        <v>7385</v>
      </c>
      <c r="B3276" s="348" t="s">
        <v>31</v>
      </c>
      <c r="C3276" s="348" t="s">
        <v>419</v>
      </c>
      <c r="D3276" s="352" t="s">
        <v>221</v>
      </c>
      <c r="E3276" s="336">
        <v>43705</v>
      </c>
      <c r="F3276" s="336">
        <v>43688</v>
      </c>
      <c r="G3276" s="336">
        <v>43705</v>
      </c>
      <c r="H3276" s="334" t="s">
        <v>116</v>
      </c>
      <c r="I3276" s="356">
        <v>18706202896</v>
      </c>
      <c r="J3276" s="361" t="s">
        <v>8264</v>
      </c>
      <c r="K3276" s="356">
        <v>1000</v>
      </c>
      <c r="L3276" s="334">
        <v>10047</v>
      </c>
      <c r="M3276" s="419"/>
      <c r="N3276" s="362">
        <f t="shared" si="116"/>
        <v>10047</v>
      </c>
      <c r="O3276" s="356"/>
      <c r="P3276" s="356" t="s">
        <v>52</v>
      </c>
      <c r="Q3276" s="356"/>
      <c r="R3276" s="356"/>
      <c r="S3276" s="356"/>
      <c r="T3276" s="356"/>
      <c r="U3276" s="372"/>
      <c r="V3276" s="372"/>
      <c r="W3276" s="372"/>
      <c r="X3276" s="373"/>
      <c r="Y3276" s="348"/>
      <c r="Z3276" s="348"/>
      <c r="AA3276" s="348"/>
    </row>
    <row r="3277" s="331" customFormat="1" ht="17" customHeight="1" spans="1:27">
      <c r="A3277" s="550" t="s">
        <v>7457</v>
      </c>
      <c r="B3277" s="348" t="s">
        <v>31</v>
      </c>
      <c r="C3277" s="348" t="s">
        <v>419</v>
      </c>
      <c r="D3277" s="352" t="s">
        <v>221</v>
      </c>
      <c r="E3277" s="336">
        <v>43702</v>
      </c>
      <c r="F3277" s="336">
        <v>43688</v>
      </c>
      <c r="G3277" s="336">
        <v>43702</v>
      </c>
      <c r="H3277" s="334" t="s">
        <v>8265</v>
      </c>
      <c r="I3277" s="356">
        <v>15901921726</v>
      </c>
      <c r="J3277" s="361" t="s">
        <v>8266</v>
      </c>
      <c r="K3277" s="356">
        <v>1000</v>
      </c>
      <c r="L3277" s="334">
        <v>5227</v>
      </c>
      <c r="M3277" s="419"/>
      <c r="N3277" s="362">
        <f t="shared" si="116"/>
        <v>5227</v>
      </c>
      <c r="O3277" s="356"/>
      <c r="P3277" s="356"/>
      <c r="Q3277" s="356" t="s">
        <v>52</v>
      </c>
      <c r="R3277" s="356"/>
      <c r="S3277" s="356"/>
      <c r="T3277" s="356"/>
      <c r="U3277" s="372"/>
      <c r="V3277" s="372"/>
      <c r="W3277" s="372"/>
      <c r="X3277" s="373"/>
      <c r="Y3277" s="348"/>
      <c r="Z3277" s="348"/>
      <c r="AA3277" s="348"/>
    </row>
    <row r="3278" s="331" customFormat="1" ht="17" customHeight="1" spans="1:27">
      <c r="A3278" s="550" t="s">
        <v>8267</v>
      </c>
      <c r="B3278" s="348" t="s">
        <v>169</v>
      </c>
      <c r="C3278" s="348" t="s">
        <v>634</v>
      </c>
      <c r="D3278" s="352" t="s">
        <v>635</v>
      </c>
      <c r="E3278" s="336">
        <v>43719</v>
      </c>
      <c r="F3278" s="336">
        <v>43688</v>
      </c>
      <c r="G3278" s="336">
        <v>43718</v>
      </c>
      <c r="H3278" s="334" t="s">
        <v>8268</v>
      </c>
      <c r="I3278" s="356">
        <v>15821160121</v>
      </c>
      <c r="J3278" s="361" t="s">
        <v>8269</v>
      </c>
      <c r="K3278" s="356">
        <v>1000</v>
      </c>
      <c r="L3278" s="334">
        <v>6441</v>
      </c>
      <c r="M3278" s="419"/>
      <c r="N3278" s="362">
        <f t="shared" si="116"/>
        <v>6441</v>
      </c>
      <c r="O3278" s="356"/>
      <c r="P3278" s="356"/>
      <c r="Q3278" s="356"/>
      <c r="R3278" s="356"/>
      <c r="S3278" s="356"/>
      <c r="T3278" s="356"/>
      <c r="U3278" s="372"/>
      <c r="V3278" s="372" t="s">
        <v>1481</v>
      </c>
      <c r="W3278" s="372"/>
      <c r="X3278" s="373"/>
      <c r="Y3278" s="348"/>
      <c r="Z3278" s="348"/>
      <c r="AA3278" s="348"/>
    </row>
    <row r="3279" s="331" customFormat="1" ht="17" customHeight="1" spans="1:27">
      <c r="A3279" s="550" t="s">
        <v>665</v>
      </c>
      <c r="B3279" s="348" t="s">
        <v>31</v>
      </c>
      <c r="C3279" s="348" t="s">
        <v>419</v>
      </c>
      <c r="D3279" s="334" t="s">
        <v>954</v>
      </c>
      <c r="E3279" s="336">
        <v>43734</v>
      </c>
      <c r="F3279" s="336">
        <v>43688</v>
      </c>
      <c r="G3279" s="336">
        <v>43734</v>
      </c>
      <c r="H3279" s="334" t="s">
        <v>8270</v>
      </c>
      <c r="I3279" s="356">
        <v>13127541442</v>
      </c>
      <c r="J3279" s="334" t="s">
        <v>8271</v>
      </c>
      <c r="K3279" s="356">
        <v>2998</v>
      </c>
      <c r="L3279" s="334">
        <v>2123</v>
      </c>
      <c r="M3279" s="334">
        <v>2035</v>
      </c>
      <c r="N3279" s="362">
        <f t="shared" si="116"/>
        <v>4158</v>
      </c>
      <c r="O3279" s="356"/>
      <c r="P3279" s="356"/>
      <c r="Q3279" s="356"/>
      <c r="R3279" s="356" t="s">
        <v>52</v>
      </c>
      <c r="S3279" s="356"/>
      <c r="T3279" s="356"/>
      <c r="U3279" s="372"/>
      <c r="V3279" s="372"/>
      <c r="W3279" s="372"/>
      <c r="X3279" s="373"/>
      <c r="Y3279" s="348"/>
      <c r="Z3279" s="348"/>
      <c r="AA3279" s="348"/>
    </row>
    <row r="3280" s="331" customFormat="1" ht="17" customHeight="1" spans="1:27">
      <c r="A3280" s="550" t="s">
        <v>7535</v>
      </c>
      <c r="B3280" s="348" t="s">
        <v>31</v>
      </c>
      <c r="C3280" s="348" t="s">
        <v>419</v>
      </c>
      <c r="D3280" s="352" t="s">
        <v>221</v>
      </c>
      <c r="E3280" s="336">
        <v>43689</v>
      </c>
      <c r="F3280" s="336">
        <v>43688</v>
      </c>
      <c r="G3280" s="350"/>
      <c r="H3280" s="334" t="s">
        <v>8272</v>
      </c>
      <c r="I3280" s="356">
        <v>13917575166</v>
      </c>
      <c r="J3280" s="361" t="s">
        <v>8273</v>
      </c>
      <c r="K3280" s="356">
        <v>1000</v>
      </c>
      <c r="L3280" s="419"/>
      <c r="M3280" s="419"/>
      <c r="N3280" s="362">
        <f t="shared" si="116"/>
        <v>0</v>
      </c>
      <c r="O3280" s="356"/>
      <c r="P3280" s="356" t="s">
        <v>52</v>
      </c>
      <c r="Q3280" s="356"/>
      <c r="R3280" s="356"/>
      <c r="S3280" s="356"/>
      <c r="T3280" s="356"/>
      <c r="U3280" s="400" t="s">
        <v>8274</v>
      </c>
      <c r="V3280" s="372"/>
      <c r="W3280" s="372"/>
      <c r="X3280" s="373"/>
      <c r="Y3280" s="348"/>
      <c r="Z3280" s="348"/>
      <c r="AA3280" s="348"/>
    </row>
    <row r="3281" s="331" customFormat="1" ht="17" customHeight="1" spans="1:27">
      <c r="A3281" s="550" t="s">
        <v>8275</v>
      </c>
      <c r="B3281" s="348" t="s">
        <v>47</v>
      </c>
      <c r="C3281" s="348" t="s">
        <v>80</v>
      </c>
      <c r="D3281" s="352" t="s">
        <v>49</v>
      </c>
      <c r="E3281" s="336">
        <v>43704</v>
      </c>
      <c r="F3281" s="336">
        <v>43689</v>
      </c>
      <c r="G3281" s="350">
        <v>43704</v>
      </c>
      <c r="H3281" s="334" t="s">
        <v>8276</v>
      </c>
      <c r="I3281" s="356">
        <v>18001992625</v>
      </c>
      <c r="J3281" s="361" t="s">
        <v>8277</v>
      </c>
      <c r="K3281" s="356">
        <v>3000</v>
      </c>
      <c r="L3281" s="334">
        <f>20000-2208</f>
        <v>17792</v>
      </c>
      <c r="M3281" s="334">
        <v>2208</v>
      </c>
      <c r="N3281" s="362">
        <f t="shared" si="116"/>
        <v>20000</v>
      </c>
      <c r="O3281" s="356"/>
      <c r="P3281" s="356"/>
      <c r="Q3281" s="356"/>
      <c r="R3281" s="356" t="s">
        <v>52</v>
      </c>
      <c r="S3281" s="356"/>
      <c r="T3281" s="356"/>
      <c r="U3281" s="372"/>
      <c r="V3281" s="372"/>
      <c r="W3281" s="372"/>
      <c r="X3281" s="373"/>
      <c r="Y3281" s="348"/>
      <c r="Z3281" s="348"/>
      <c r="AA3281" s="348"/>
    </row>
    <row r="3282" s="331" customFormat="1" ht="17" customHeight="1" spans="1:27">
      <c r="A3282" s="550" t="s">
        <v>8278</v>
      </c>
      <c r="B3282" s="348" t="s">
        <v>31</v>
      </c>
      <c r="C3282" s="348" t="s">
        <v>2716</v>
      </c>
      <c r="D3282" s="334" t="s">
        <v>221</v>
      </c>
      <c r="E3282" s="336">
        <v>43759</v>
      </c>
      <c r="F3282" s="336">
        <v>43689</v>
      </c>
      <c r="G3282" s="336">
        <v>43758</v>
      </c>
      <c r="H3282" s="334" t="s">
        <v>8279</v>
      </c>
      <c r="I3282" s="356">
        <v>13501633710</v>
      </c>
      <c r="J3282" s="361" t="s">
        <v>8280</v>
      </c>
      <c r="K3282" s="356">
        <v>1000</v>
      </c>
      <c r="L3282" s="334">
        <v>10950</v>
      </c>
      <c r="M3282" s="334">
        <v>1840</v>
      </c>
      <c r="N3282" s="362">
        <f t="shared" si="116"/>
        <v>12790</v>
      </c>
      <c r="O3282" s="356"/>
      <c r="P3282" s="356" t="s">
        <v>52</v>
      </c>
      <c r="Q3282" s="356"/>
      <c r="R3282" s="356"/>
      <c r="S3282" s="356"/>
      <c r="T3282" s="356"/>
      <c r="U3282" s="372"/>
      <c r="V3282" s="372"/>
      <c r="W3282" s="372"/>
      <c r="X3282" s="373"/>
      <c r="Y3282" s="348"/>
      <c r="Z3282" s="348"/>
      <c r="AA3282" s="348"/>
    </row>
    <row r="3283" s="331" customFormat="1" ht="17" customHeight="1" spans="1:27">
      <c r="A3283" s="550" t="s">
        <v>4815</v>
      </c>
      <c r="B3283" s="348" t="s">
        <v>185</v>
      </c>
      <c r="C3283" s="348" t="s">
        <v>4146</v>
      </c>
      <c r="D3283" s="352" t="s">
        <v>187</v>
      </c>
      <c r="E3283" s="336">
        <v>43693</v>
      </c>
      <c r="F3283" s="336">
        <v>43689</v>
      </c>
      <c r="G3283" s="336">
        <v>43691</v>
      </c>
      <c r="H3283" s="334" t="s">
        <v>8281</v>
      </c>
      <c r="I3283" s="356">
        <v>13917665525</v>
      </c>
      <c r="J3283" s="361" t="s">
        <v>8282</v>
      </c>
      <c r="K3283" s="356">
        <v>1000</v>
      </c>
      <c r="L3283" s="334">
        <v>9199</v>
      </c>
      <c r="M3283" s="419"/>
      <c r="N3283" s="362">
        <f t="shared" si="116"/>
        <v>9199</v>
      </c>
      <c r="O3283" s="356"/>
      <c r="P3283" s="356"/>
      <c r="Q3283" s="356"/>
      <c r="R3283" s="356"/>
      <c r="S3283" s="356"/>
      <c r="T3283" s="356"/>
      <c r="U3283" s="372"/>
      <c r="V3283" s="372"/>
      <c r="W3283" s="372"/>
      <c r="X3283" s="373"/>
      <c r="Y3283" s="348"/>
      <c r="Z3283" s="348"/>
      <c r="AA3283" s="348"/>
    </row>
    <row r="3284" s="331" customFormat="1" ht="17" customHeight="1" spans="1:27">
      <c r="A3284" s="348">
        <v>2023544</v>
      </c>
      <c r="B3284" s="348" t="s">
        <v>185</v>
      </c>
      <c r="C3284" s="348" t="s">
        <v>4146</v>
      </c>
      <c r="D3284" s="352" t="s">
        <v>187</v>
      </c>
      <c r="E3284" s="336">
        <v>43708</v>
      </c>
      <c r="F3284" s="336">
        <v>43682</v>
      </c>
      <c r="G3284" s="336">
        <v>43707</v>
      </c>
      <c r="H3284" s="334" t="s">
        <v>8283</v>
      </c>
      <c r="I3284" s="356">
        <v>13661513020</v>
      </c>
      <c r="J3284" s="361" t="s">
        <v>8284</v>
      </c>
      <c r="K3284" s="356">
        <v>20000</v>
      </c>
      <c r="L3284" s="334">
        <v>20000</v>
      </c>
      <c r="M3284" s="419"/>
      <c r="N3284" s="362">
        <f t="shared" si="116"/>
        <v>20000</v>
      </c>
      <c r="O3284" s="366"/>
      <c r="P3284" s="366" t="s">
        <v>52</v>
      </c>
      <c r="Q3284" s="356"/>
      <c r="R3284" s="356"/>
      <c r="S3284" s="356"/>
      <c r="T3284" s="356"/>
      <c r="U3284" s="372"/>
      <c r="V3284" s="372"/>
      <c r="W3284" s="372"/>
      <c r="X3284" s="373"/>
      <c r="Y3284" s="348"/>
      <c r="Z3284" s="348"/>
      <c r="AA3284" s="348"/>
    </row>
    <row r="3285" s="331" customFormat="1" ht="17" customHeight="1" spans="1:27">
      <c r="A3285" s="550" t="s">
        <v>8285</v>
      </c>
      <c r="B3285" s="348" t="s">
        <v>123</v>
      </c>
      <c r="C3285" s="348" t="s">
        <v>902</v>
      </c>
      <c r="D3285" s="352" t="s">
        <v>125</v>
      </c>
      <c r="E3285" s="336">
        <v>43700</v>
      </c>
      <c r="F3285" s="336">
        <v>43689</v>
      </c>
      <c r="G3285" s="336">
        <v>43697</v>
      </c>
      <c r="H3285" s="334" t="s">
        <v>3233</v>
      </c>
      <c r="I3285" s="356">
        <v>13917956022</v>
      </c>
      <c r="J3285" s="361" t="s">
        <v>127</v>
      </c>
      <c r="K3285" s="356">
        <v>1000</v>
      </c>
      <c r="L3285" s="334">
        <f>8405-866</f>
        <v>7539</v>
      </c>
      <c r="M3285" s="334">
        <v>866</v>
      </c>
      <c r="N3285" s="362">
        <f t="shared" si="116"/>
        <v>8405</v>
      </c>
      <c r="O3285" s="356"/>
      <c r="P3285" s="356"/>
      <c r="Q3285" s="356"/>
      <c r="R3285" s="356"/>
      <c r="S3285" s="356" t="s">
        <v>52</v>
      </c>
      <c r="T3285" s="356"/>
      <c r="U3285" s="372"/>
      <c r="V3285" s="372"/>
      <c r="W3285" s="372"/>
      <c r="X3285" s="373"/>
      <c r="Y3285" s="348"/>
      <c r="Z3285" s="348"/>
      <c r="AA3285" s="348"/>
    </row>
    <row r="3286" s="331" customFormat="1" ht="15" customHeight="1" spans="1:27">
      <c r="A3286" s="550" t="s">
        <v>8286</v>
      </c>
      <c r="B3286" s="348" t="s">
        <v>58</v>
      </c>
      <c r="C3286" s="348" t="s">
        <v>794</v>
      </c>
      <c r="D3286" s="352" t="s">
        <v>110</v>
      </c>
      <c r="E3286" s="336">
        <v>43737</v>
      </c>
      <c r="F3286" s="336">
        <v>43689</v>
      </c>
      <c r="G3286" s="336">
        <v>43736</v>
      </c>
      <c r="H3286" s="334" t="s">
        <v>8287</v>
      </c>
      <c r="I3286" s="356">
        <v>13062766778</v>
      </c>
      <c r="J3286" s="361" t="s">
        <v>8288</v>
      </c>
      <c r="K3286" s="356">
        <v>1000</v>
      </c>
      <c r="L3286" s="334">
        <v>15249</v>
      </c>
      <c r="M3286" s="419"/>
      <c r="N3286" s="362">
        <f t="shared" si="116"/>
        <v>15249</v>
      </c>
      <c r="O3286" s="366" t="s">
        <v>52</v>
      </c>
      <c r="P3286" s="356"/>
      <c r="Q3286" s="356"/>
      <c r="R3286" s="356"/>
      <c r="S3286" s="356"/>
      <c r="T3286" s="356"/>
      <c r="U3286" s="372"/>
      <c r="V3286" s="372"/>
      <c r="W3286" s="372"/>
      <c r="X3286" s="373"/>
      <c r="Y3286" s="348"/>
      <c r="Z3286" s="348"/>
      <c r="AA3286" s="348"/>
    </row>
    <row r="3287" s="331" customFormat="1" ht="17" customHeight="1" spans="1:27">
      <c r="A3287" s="550" t="s">
        <v>7301</v>
      </c>
      <c r="B3287" s="348" t="s">
        <v>185</v>
      </c>
      <c r="C3287" s="348" t="s">
        <v>886</v>
      </c>
      <c r="D3287" s="352" t="s">
        <v>187</v>
      </c>
      <c r="E3287" s="336">
        <v>43759</v>
      </c>
      <c r="F3287" s="336">
        <v>43688</v>
      </c>
      <c r="G3287" s="336">
        <v>43751</v>
      </c>
      <c r="H3287" s="334" t="s">
        <v>8289</v>
      </c>
      <c r="I3287" s="356">
        <v>13764339558</v>
      </c>
      <c r="J3287" s="361" t="s">
        <v>8290</v>
      </c>
      <c r="K3287" s="356">
        <v>1000</v>
      </c>
      <c r="L3287" s="334">
        <v>26210</v>
      </c>
      <c r="M3287" s="334">
        <v>1104</v>
      </c>
      <c r="N3287" s="362">
        <f t="shared" si="116"/>
        <v>27314</v>
      </c>
      <c r="O3287" s="356"/>
      <c r="P3287" s="356" t="s">
        <v>52</v>
      </c>
      <c r="Q3287" s="356"/>
      <c r="R3287" s="356"/>
      <c r="S3287" s="356"/>
      <c r="T3287" s="356"/>
      <c r="U3287" s="372"/>
      <c r="V3287" s="372"/>
      <c r="W3287" s="372"/>
      <c r="X3287" s="373"/>
      <c r="Y3287" s="348"/>
      <c r="Z3287" s="348"/>
      <c r="AA3287" s="348"/>
    </row>
    <row r="3288" s="331" customFormat="1" ht="17" customHeight="1" spans="1:27">
      <c r="A3288" s="348"/>
      <c r="B3288" s="348" t="s">
        <v>2625</v>
      </c>
      <c r="C3288" s="348" t="s">
        <v>2626</v>
      </c>
      <c r="D3288" s="334" t="s">
        <v>337</v>
      </c>
      <c r="E3288" s="336">
        <v>43721</v>
      </c>
      <c r="F3288" s="336">
        <v>43689</v>
      </c>
      <c r="G3288" s="336">
        <v>43721</v>
      </c>
      <c r="H3288" s="334" t="s">
        <v>8291</v>
      </c>
      <c r="I3288" s="356">
        <v>13918192447</v>
      </c>
      <c r="J3288" s="361" t="s">
        <v>8292</v>
      </c>
      <c r="K3288" s="356">
        <v>3000</v>
      </c>
      <c r="L3288" s="334">
        <v>25000</v>
      </c>
      <c r="M3288" s="419"/>
      <c r="N3288" s="362">
        <f t="shared" si="116"/>
        <v>25000</v>
      </c>
      <c r="O3288" s="356"/>
      <c r="P3288" s="356"/>
      <c r="Q3288" s="356"/>
      <c r="R3288" s="356" t="s">
        <v>3660</v>
      </c>
      <c r="S3288" s="356"/>
      <c r="T3288" s="356"/>
      <c r="U3288" s="372"/>
      <c r="V3288" s="372"/>
      <c r="W3288" s="372"/>
      <c r="X3288" s="373"/>
      <c r="Y3288" s="348"/>
      <c r="Z3288" s="348"/>
      <c r="AA3288" s="348"/>
    </row>
    <row r="3289" s="331" customFormat="1" customHeight="1" spans="1:27">
      <c r="A3289" s="550" t="s">
        <v>8293</v>
      </c>
      <c r="B3289" s="348" t="s">
        <v>236</v>
      </c>
      <c r="C3289" s="348" t="s">
        <v>703</v>
      </c>
      <c r="D3289" s="352" t="s">
        <v>237</v>
      </c>
      <c r="E3289" s="336">
        <v>43689</v>
      </c>
      <c r="F3289" s="336">
        <v>43689</v>
      </c>
      <c r="G3289" s="356" t="s">
        <v>69</v>
      </c>
      <c r="H3289" s="334" t="s">
        <v>6404</v>
      </c>
      <c r="I3289" s="356">
        <v>18018652508</v>
      </c>
      <c r="J3289" s="361" t="s">
        <v>8294</v>
      </c>
      <c r="K3289" s="356">
        <v>1000</v>
      </c>
      <c r="L3289" s="419"/>
      <c r="M3289" s="419"/>
      <c r="N3289" s="362">
        <f t="shared" si="116"/>
        <v>0</v>
      </c>
      <c r="O3289" s="356"/>
      <c r="P3289" s="356"/>
      <c r="Q3289" s="356" t="s">
        <v>21</v>
      </c>
      <c r="R3289" s="356"/>
      <c r="S3289" s="356"/>
      <c r="T3289" s="356"/>
      <c r="U3289" s="372"/>
      <c r="V3289" s="372"/>
      <c r="W3289" s="372"/>
      <c r="X3289" s="373"/>
      <c r="Y3289" s="348"/>
      <c r="Z3289" s="348"/>
      <c r="AA3289" s="348"/>
    </row>
    <row r="3290" s="331" customFormat="1" ht="17" customHeight="1" spans="1:27">
      <c r="A3290" s="348"/>
      <c r="B3290" s="348" t="s">
        <v>335</v>
      </c>
      <c r="C3290" s="334" t="s">
        <v>399</v>
      </c>
      <c r="D3290" s="349" t="s">
        <v>271</v>
      </c>
      <c r="E3290" s="336">
        <v>43689</v>
      </c>
      <c r="F3290" s="336"/>
      <c r="G3290" s="336">
        <v>43688</v>
      </c>
      <c r="H3290" s="334" t="s">
        <v>8295</v>
      </c>
      <c r="I3290" s="356">
        <v>13701843967</v>
      </c>
      <c r="J3290" s="361" t="s">
        <v>8296</v>
      </c>
      <c r="K3290" s="356"/>
      <c r="L3290" s="334">
        <v>18276</v>
      </c>
      <c r="M3290" s="419"/>
      <c r="N3290" s="362">
        <f t="shared" si="116"/>
        <v>18276</v>
      </c>
      <c r="O3290" s="356"/>
      <c r="P3290" s="356"/>
      <c r="Q3290" s="356"/>
      <c r="R3290" s="356"/>
      <c r="S3290" s="356"/>
      <c r="T3290" s="356"/>
      <c r="U3290" s="372"/>
      <c r="V3290" s="372"/>
      <c r="W3290" s="372"/>
      <c r="X3290" s="373"/>
      <c r="Y3290" s="348"/>
      <c r="Z3290" s="348"/>
      <c r="AA3290" s="348"/>
    </row>
    <row r="3291" s="331" customFormat="1" ht="17" customHeight="1" spans="1:27">
      <c r="A3291" s="348"/>
      <c r="B3291" s="348" t="s">
        <v>31</v>
      </c>
      <c r="C3291" s="334" t="s">
        <v>32</v>
      </c>
      <c r="D3291" s="349" t="s">
        <v>33</v>
      </c>
      <c r="E3291" s="336">
        <v>43689</v>
      </c>
      <c r="F3291" s="336"/>
      <c r="G3291" s="336">
        <v>43689</v>
      </c>
      <c r="H3291" s="334" t="s">
        <v>8297</v>
      </c>
      <c r="I3291" s="356">
        <v>13761914518</v>
      </c>
      <c r="J3291" s="361" t="s">
        <v>8298</v>
      </c>
      <c r="K3291" s="356"/>
      <c r="L3291" s="334">
        <v>3999</v>
      </c>
      <c r="M3291" s="334"/>
      <c r="N3291" s="362">
        <f t="shared" si="116"/>
        <v>3999</v>
      </c>
      <c r="O3291" s="356"/>
      <c r="P3291" s="356"/>
      <c r="Q3291" s="356"/>
      <c r="R3291" s="356"/>
      <c r="S3291" s="356"/>
      <c r="T3291" s="356"/>
      <c r="U3291" s="372"/>
      <c r="V3291" s="372"/>
      <c r="W3291" s="372"/>
      <c r="X3291" s="373"/>
      <c r="Y3291" s="348"/>
      <c r="Z3291" s="348"/>
      <c r="AA3291" s="348"/>
    </row>
    <row r="3292" s="331" customFormat="1" ht="17" customHeight="1" spans="1:27">
      <c r="A3292" s="348"/>
      <c r="B3292" s="348" t="s">
        <v>354</v>
      </c>
      <c r="C3292" s="334" t="s">
        <v>355</v>
      </c>
      <c r="D3292" s="349" t="s">
        <v>356</v>
      </c>
      <c r="E3292" s="336">
        <v>43689</v>
      </c>
      <c r="F3292" s="336" t="s">
        <v>800</v>
      </c>
      <c r="G3292" s="336">
        <v>43688</v>
      </c>
      <c r="H3292" s="269" t="s">
        <v>8299</v>
      </c>
      <c r="I3292" s="356">
        <v>13127975151</v>
      </c>
      <c r="J3292" s="361" t="s">
        <v>8300</v>
      </c>
      <c r="K3292" s="356"/>
      <c r="L3292" s="419"/>
      <c r="M3292" s="334">
        <v>439</v>
      </c>
      <c r="N3292" s="362">
        <f t="shared" si="116"/>
        <v>439</v>
      </c>
      <c r="O3292" s="356"/>
      <c r="P3292" s="356"/>
      <c r="Q3292" s="356"/>
      <c r="R3292" s="356"/>
      <c r="S3292" s="356"/>
      <c r="T3292" s="356"/>
      <c r="U3292" s="372"/>
      <c r="V3292" s="372"/>
      <c r="W3292" s="372"/>
      <c r="X3292" s="373"/>
      <c r="Y3292" s="348"/>
      <c r="Z3292" s="348"/>
      <c r="AA3292" s="348"/>
    </row>
    <row r="3293" s="331" customFormat="1" ht="17" customHeight="1" spans="1:27">
      <c r="A3293" s="348"/>
      <c r="B3293" s="348" t="s">
        <v>31</v>
      </c>
      <c r="C3293" s="348" t="s">
        <v>220</v>
      </c>
      <c r="D3293" s="349" t="s">
        <v>33</v>
      </c>
      <c r="E3293" s="336">
        <v>43689</v>
      </c>
      <c r="F3293" s="336" t="s">
        <v>800</v>
      </c>
      <c r="G3293" s="336">
        <v>43688</v>
      </c>
      <c r="H3293" s="334" t="s">
        <v>2593</v>
      </c>
      <c r="I3293" s="356">
        <v>13918941136</v>
      </c>
      <c r="J3293" s="361" t="s">
        <v>8301</v>
      </c>
      <c r="K3293" s="356"/>
      <c r="L3293" s="419"/>
      <c r="M3293" s="334">
        <v>-686</v>
      </c>
      <c r="N3293" s="362">
        <f t="shared" si="116"/>
        <v>-686</v>
      </c>
      <c r="O3293" s="356"/>
      <c r="P3293" s="356"/>
      <c r="Q3293" s="356"/>
      <c r="R3293" s="356"/>
      <c r="S3293" s="356"/>
      <c r="T3293" s="356"/>
      <c r="U3293" s="372"/>
      <c r="V3293" s="372"/>
      <c r="W3293" s="372"/>
      <c r="X3293" s="373"/>
      <c r="Y3293" s="348"/>
      <c r="Z3293" s="348"/>
      <c r="AA3293" s="348"/>
    </row>
    <row r="3294" s="331" customFormat="1" ht="17" customHeight="1" spans="1:27">
      <c r="A3294" s="348"/>
      <c r="B3294" s="348" t="s">
        <v>153</v>
      </c>
      <c r="C3294" s="334" t="s">
        <v>154</v>
      </c>
      <c r="D3294" s="349" t="s">
        <v>155</v>
      </c>
      <c r="E3294" s="336">
        <v>43691</v>
      </c>
      <c r="F3294" s="336" t="s">
        <v>800</v>
      </c>
      <c r="G3294" s="336">
        <v>43688</v>
      </c>
      <c r="H3294" s="334" t="s">
        <v>2443</v>
      </c>
      <c r="I3294" s="356">
        <v>13917687226</v>
      </c>
      <c r="J3294" s="361" t="s">
        <v>8302</v>
      </c>
      <c r="K3294" s="356"/>
      <c r="L3294" s="419"/>
      <c r="M3294" s="334">
        <f>1104+2099</f>
        <v>3203</v>
      </c>
      <c r="N3294" s="362">
        <f t="shared" si="116"/>
        <v>3203</v>
      </c>
      <c r="O3294" s="356"/>
      <c r="P3294" s="356"/>
      <c r="Q3294" s="356"/>
      <c r="R3294" s="356"/>
      <c r="S3294" s="356"/>
      <c r="T3294" s="356"/>
      <c r="U3294" s="372"/>
      <c r="V3294" s="372"/>
      <c r="W3294" s="372"/>
      <c r="X3294" s="373"/>
      <c r="Y3294" s="348"/>
      <c r="Z3294" s="348"/>
      <c r="AA3294" s="348"/>
    </row>
    <row r="3295" s="331" customFormat="1" ht="17" customHeight="1" spans="1:27">
      <c r="A3295" s="348"/>
      <c r="B3295" s="348" t="s">
        <v>137</v>
      </c>
      <c r="C3295" s="348" t="s">
        <v>480</v>
      </c>
      <c r="D3295" s="349" t="s">
        <v>139</v>
      </c>
      <c r="E3295" s="336">
        <v>43689</v>
      </c>
      <c r="F3295" s="336" t="s">
        <v>800</v>
      </c>
      <c r="G3295" s="336">
        <v>43689</v>
      </c>
      <c r="H3295" s="269" t="s">
        <v>4915</v>
      </c>
      <c r="I3295" s="356">
        <v>13162781463</v>
      </c>
      <c r="J3295" s="361" t="s">
        <v>4916</v>
      </c>
      <c r="K3295" s="356"/>
      <c r="L3295" s="419"/>
      <c r="M3295" s="334">
        <v>1044</v>
      </c>
      <c r="N3295" s="362">
        <f t="shared" si="116"/>
        <v>1044</v>
      </c>
      <c r="O3295" s="356"/>
      <c r="P3295" s="356"/>
      <c r="Q3295" s="356"/>
      <c r="R3295" s="356"/>
      <c r="S3295" s="356"/>
      <c r="T3295" s="356"/>
      <c r="U3295" s="372"/>
      <c r="V3295" s="372"/>
      <c r="W3295" s="372"/>
      <c r="X3295" s="373"/>
      <c r="Y3295" s="348"/>
      <c r="Z3295" s="348"/>
      <c r="AA3295" s="348"/>
    </row>
    <row r="3296" s="331" customFormat="1" ht="17" customHeight="1" spans="1:27">
      <c r="A3296" s="348"/>
      <c r="B3296" s="348" t="s">
        <v>147</v>
      </c>
      <c r="C3296" s="348" t="s">
        <v>148</v>
      </c>
      <c r="D3296" s="349" t="s">
        <v>132</v>
      </c>
      <c r="E3296" s="336">
        <v>43689</v>
      </c>
      <c r="F3296" s="336" t="s">
        <v>800</v>
      </c>
      <c r="G3296" s="336">
        <v>43688</v>
      </c>
      <c r="H3296" s="334" t="s">
        <v>6932</v>
      </c>
      <c r="I3296" s="356">
        <v>18321996807</v>
      </c>
      <c r="J3296" s="361" t="s">
        <v>6933</v>
      </c>
      <c r="K3296" s="356"/>
      <c r="L3296" s="419"/>
      <c r="M3296" s="356">
        <f>1072+1128</f>
        <v>2200</v>
      </c>
      <c r="N3296" s="362">
        <f t="shared" si="116"/>
        <v>2200</v>
      </c>
      <c r="O3296" s="356"/>
      <c r="P3296" s="356"/>
      <c r="Q3296" s="356"/>
      <c r="R3296" s="356"/>
      <c r="S3296" s="356"/>
      <c r="T3296" s="356"/>
      <c r="U3296" s="372"/>
      <c r="V3296" s="372"/>
      <c r="W3296" s="372"/>
      <c r="X3296" s="373"/>
      <c r="Y3296" s="348"/>
      <c r="Z3296" s="348"/>
      <c r="AA3296" s="348"/>
    </row>
    <row r="3297" s="331" customFormat="1" ht="17" customHeight="1" spans="1:27">
      <c r="A3297" s="348"/>
      <c r="B3297" s="348" t="s">
        <v>169</v>
      </c>
      <c r="C3297" s="348" t="s">
        <v>634</v>
      </c>
      <c r="D3297" s="349" t="s">
        <v>635</v>
      </c>
      <c r="E3297" s="336">
        <v>43689</v>
      </c>
      <c r="F3297" s="336" t="s">
        <v>800</v>
      </c>
      <c r="G3297" s="336">
        <v>43689</v>
      </c>
      <c r="H3297" s="334" t="s">
        <v>8303</v>
      </c>
      <c r="I3297" s="356">
        <v>13916651791</v>
      </c>
      <c r="J3297" s="361" t="s">
        <v>8304</v>
      </c>
      <c r="K3297" s="356"/>
      <c r="L3297" s="419"/>
      <c r="M3297" s="334">
        <v>6729</v>
      </c>
      <c r="N3297" s="362">
        <f t="shared" si="116"/>
        <v>6729</v>
      </c>
      <c r="O3297" s="356"/>
      <c r="P3297" s="356"/>
      <c r="Q3297" s="356"/>
      <c r="R3297" s="356"/>
      <c r="S3297" s="356"/>
      <c r="T3297" s="356"/>
      <c r="U3297" s="372"/>
      <c r="V3297" s="372"/>
      <c r="W3297" s="372"/>
      <c r="X3297" s="373"/>
      <c r="Y3297" s="348"/>
      <c r="Z3297" s="348"/>
      <c r="AA3297" s="348"/>
    </row>
    <row r="3298" s="331" customFormat="1" ht="17" customHeight="1" spans="1:27">
      <c r="A3298" s="348"/>
      <c r="B3298" s="348" t="s">
        <v>147</v>
      </c>
      <c r="C3298" s="348" t="s">
        <v>148</v>
      </c>
      <c r="D3298" s="349" t="s">
        <v>37</v>
      </c>
      <c r="E3298" s="336">
        <v>43689</v>
      </c>
      <c r="F3298" s="336" t="s">
        <v>800</v>
      </c>
      <c r="G3298" s="336">
        <v>43688</v>
      </c>
      <c r="H3298" s="334" t="s">
        <v>6924</v>
      </c>
      <c r="I3298" s="356">
        <v>13917717417</v>
      </c>
      <c r="J3298" s="361" t="s">
        <v>6925</v>
      </c>
      <c r="K3298" s="356"/>
      <c r="L3298" s="419"/>
      <c r="M3298" s="334">
        <v>5197</v>
      </c>
      <c r="N3298" s="362">
        <f t="shared" si="116"/>
        <v>5197</v>
      </c>
      <c r="O3298" s="356"/>
      <c r="P3298" s="356"/>
      <c r="Q3298" s="356"/>
      <c r="R3298" s="356"/>
      <c r="S3298" s="356"/>
      <c r="T3298" s="356"/>
      <c r="U3298" s="372"/>
      <c r="V3298" s="372"/>
      <c r="W3298" s="372"/>
      <c r="X3298" s="373"/>
      <c r="Y3298" s="348"/>
      <c r="Z3298" s="348"/>
      <c r="AA3298" s="348"/>
    </row>
    <row r="3299" s="331" customFormat="1" ht="17" customHeight="1" spans="1:27">
      <c r="A3299" s="348"/>
      <c r="B3299" s="348" t="s">
        <v>169</v>
      </c>
      <c r="C3299" s="348" t="s">
        <v>8075</v>
      </c>
      <c r="D3299" s="349" t="s">
        <v>171</v>
      </c>
      <c r="E3299" s="336">
        <v>43689</v>
      </c>
      <c r="F3299" s="336" t="s">
        <v>800</v>
      </c>
      <c r="G3299" s="336">
        <v>43689</v>
      </c>
      <c r="H3299" s="334" t="s">
        <v>1265</v>
      </c>
      <c r="I3299" s="356">
        <v>13916054199</v>
      </c>
      <c r="J3299" s="361" t="s">
        <v>8076</v>
      </c>
      <c r="K3299" s="356"/>
      <c r="L3299" s="419"/>
      <c r="M3299" s="334">
        <v>-941</v>
      </c>
      <c r="N3299" s="362">
        <f t="shared" si="116"/>
        <v>-941</v>
      </c>
      <c r="O3299" s="356"/>
      <c r="P3299" s="356"/>
      <c r="Q3299" s="356"/>
      <c r="R3299" s="356"/>
      <c r="S3299" s="356"/>
      <c r="T3299" s="356"/>
      <c r="U3299" s="372"/>
      <c r="V3299" s="372"/>
      <c r="W3299" s="372"/>
      <c r="X3299" s="373"/>
      <c r="Y3299" s="348"/>
      <c r="Z3299" s="348"/>
      <c r="AA3299" s="348"/>
    </row>
    <row r="3300" s="331" customFormat="1" ht="15" customHeight="1" spans="1:27">
      <c r="A3300" s="550" t="s">
        <v>8305</v>
      </c>
      <c r="B3300" s="348" t="s">
        <v>405</v>
      </c>
      <c r="C3300" s="334" t="s">
        <v>1234</v>
      </c>
      <c r="D3300" s="334" t="s">
        <v>635</v>
      </c>
      <c r="E3300" s="336">
        <v>43806</v>
      </c>
      <c r="F3300" s="336">
        <v>43688</v>
      </c>
      <c r="G3300" s="336">
        <v>43800</v>
      </c>
      <c r="H3300" s="334" t="s">
        <v>8306</v>
      </c>
      <c r="I3300" s="356">
        <v>18930132110</v>
      </c>
      <c r="J3300" s="361" t="s">
        <v>8307</v>
      </c>
      <c r="K3300" s="356">
        <v>1000</v>
      </c>
      <c r="L3300" s="334">
        <v>8060</v>
      </c>
      <c r="M3300" s="419"/>
      <c r="N3300" s="362">
        <f t="shared" si="116"/>
        <v>8060</v>
      </c>
      <c r="O3300" s="356"/>
      <c r="P3300" s="356"/>
      <c r="Q3300" s="356" t="s">
        <v>52</v>
      </c>
      <c r="R3300" s="356"/>
      <c r="S3300" s="356"/>
      <c r="T3300" s="356"/>
      <c r="U3300" s="372"/>
      <c r="V3300" s="372"/>
      <c r="W3300" s="372"/>
      <c r="X3300" s="373"/>
      <c r="Y3300" s="348"/>
      <c r="Z3300" s="348"/>
      <c r="AA3300" s="348"/>
    </row>
    <row r="3301" s="331" customFormat="1" ht="17" customHeight="1" spans="1:27">
      <c r="A3301" s="550" t="s">
        <v>8308</v>
      </c>
      <c r="B3301" s="348" t="s">
        <v>73</v>
      </c>
      <c r="C3301" s="348" t="s">
        <v>178</v>
      </c>
      <c r="D3301" s="334" t="s">
        <v>717</v>
      </c>
      <c r="E3301" s="336">
        <v>43737</v>
      </c>
      <c r="F3301" s="336">
        <v>43690</v>
      </c>
      <c r="G3301" s="336">
        <v>43735</v>
      </c>
      <c r="H3301" s="334" t="s">
        <v>3435</v>
      </c>
      <c r="I3301" s="356">
        <v>13801621338</v>
      </c>
      <c r="J3301" s="361" t="s">
        <v>8309</v>
      </c>
      <c r="K3301" s="356">
        <v>1000</v>
      </c>
      <c r="L3301" s="334">
        <v>8458</v>
      </c>
      <c r="M3301" s="419"/>
      <c r="N3301" s="362">
        <f t="shared" si="116"/>
        <v>8458</v>
      </c>
      <c r="O3301" s="366" t="s">
        <v>52</v>
      </c>
      <c r="P3301" s="356"/>
      <c r="Q3301" s="356"/>
      <c r="R3301" s="356"/>
      <c r="S3301" s="356"/>
      <c r="T3301" s="356"/>
      <c r="U3301" s="372"/>
      <c r="V3301" s="372"/>
      <c r="W3301" s="372"/>
      <c r="X3301" s="373"/>
      <c r="Y3301" s="348"/>
      <c r="Z3301" s="348"/>
      <c r="AA3301" s="348"/>
    </row>
    <row r="3302" s="331" customFormat="1" ht="15" customHeight="1" spans="1:27">
      <c r="A3302" s="348"/>
      <c r="B3302" s="348" t="s">
        <v>405</v>
      </c>
      <c r="C3302" s="348" t="s">
        <v>1234</v>
      </c>
      <c r="D3302" s="352" t="s">
        <v>407</v>
      </c>
      <c r="E3302" s="336" t="s">
        <v>498</v>
      </c>
      <c r="F3302" s="336">
        <v>43688</v>
      </c>
      <c r="G3302" s="350"/>
      <c r="H3302" s="334" t="s">
        <v>8310</v>
      </c>
      <c r="I3302" s="356">
        <v>13795231926</v>
      </c>
      <c r="J3302" s="361" t="s">
        <v>8311</v>
      </c>
      <c r="K3302" s="356">
        <v>800</v>
      </c>
      <c r="L3302" s="419"/>
      <c r="M3302" s="419"/>
      <c r="N3302" s="362">
        <f t="shared" si="116"/>
        <v>0</v>
      </c>
      <c r="O3302" s="356"/>
      <c r="P3302" s="356"/>
      <c r="Q3302" s="356" t="s">
        <v>52</v>
      </c>
      <c r="R3302" s="356"/>
      <c r="S3302" s="356"/>
      <c r="T3302" s="356"/>
      <c r="U3302" s="372"/>
      <c r="V3302" s="372"/>
      <c r="W3302" s="372"/>
      <c r="X3302" s="373"/>
      <c r="Y3302" s="348"/>
      <c r="Z3302" s="348"/>
      <c r="AA3302" s="348"/>
    </row>
    <row r="3303" s="331" customFormat="1" ht="15" customHeight="1" spans="1:27">
      <c r="A3303" s="550" t="s">
        <v>8312</v>
      </c>
      <c r="B3303" s="348" t="s">
        <v>405</v>
      </c>
      <c r="C3303" s="348" t="s">
        <v>1234</v>
      </c>
      <c r="D3303" s="334" t="s">
        <v>110</v>
      </c>
      <c r="E3303" s="336">
        <v>43725</v>
      </c>
      <c r="F3303" s="336">
        <v>43688</v>
      </c>
      <c r="G3303" s="336">
        <v>43724</v>
      </c>
      <c r="H3303" s="334" t="s">
        <v>8313</v>
      </c>
      <c r="I3303" s="356">
        <v>18201774391</v>
      </c>
      <c r="J3303" s="361" t="s">
        <v>8314</v>
      </c>
      <c r="K3303" s="356">
        <v>1000</v>
      </c>
      <c r="L3303" s="334">
        <v>7458</v>
      </c>
      <c r="M3303" s="419"/>
      <c r="N3303" s="362">
        <f t="shared" si="116"/>
        <v>7458</v>
      </c>
      <c r="O3303" s="356"/>
      <c r="P3303" s="356"/>
      <c r="Q3303" s="356" t="s">
        <v>52</v>
      </c>
      <c r="R3303" s="356"/>
      <c r="S3303" s="356"/>
      <c r="T3303" s="356"/>
      <c r="U3303" s="372"/>
      <c r="V3303" s="372"/>
      <c r="W3303" s="372"/>
      <c r="X3303" s="373"/>
      <c r="Y3303" s="348"/>
      <c r="Z3303" s="348"/>
      <c r="AA3303" s="348"/>
    </row>
    <row r="3304" s="331" customFormat="1" ht="17" customHeight="1" spans="1:27">
      <c r="A3304" s="550" t="s">
        <v>8315</v>
      </c>
      <c r="B3304" s="348" t="s">
        <v>236</v>
      </c>
      <c r="C3304" s="348" t="s">
        <v>703</v>
      </c>
      <c r="D3304" s="349" t="s">
        <v>187</v>
      </c>
      <c r="E3304" s="336">
        <v>43699</v>
      </c>
      <c r="F3304" s="336" t="s">
        <v>800</v>
      </c>
      <c r="G3304" s="336">
        <v>43689</v>
      </c>
      <c r="H3304" s="334" t="s">
        <v>8316</v>
      </c>
      <c r="I3304" s="356">
        <v>18616338162</v>
      </c>
      <c r="J3304" s="361" t="s">
        <v>8317</v>
      </c>
      <c r="K3304" s="356">
        <v>17278</v>
      </c>
      <c r="L3304" s="419"/>
      <c r="M3304" s="334">
        <v>17278</v>
      </c>
      <c r="N3304" s="362">
        <f t="shared" si="116"/>
        <v>17278</v>
      </c>
      <c r="O3304" s="356"/>
      <c r="P3304" s="356"/>
      <c r="Q3304" s="356"/>
      <c r="R3304" s="356"/>
      <c r="S3304" s="356"/>
      <c r="T3304" s="356"/>
      <c r="U3304" s="372"/>
      <c r="V3304" s="372"/>
      <c r="W3304" s="372"/>
      <c r="X3304" s="373"/>
      <c r="Y3304" s="348"/>
      <c r="Z3304" s="348"/>
      <c r="AA3304" s="348"/>
    </row>
    <row r="3305" s="331" customFormat="1" ht="17" customHeight="1" spans="1:27">
      <c r="A3305" s="550" t="s">
        <v>1892</v>
      </c>
      <c r="B3305" s="348" t="s">
        <v>236</v>
      </c>
      <c r="C3305" s="348" t="s">
        <v>703</v>
      </c>
      <c r="D3305" s="349" t="s">
        <v>68</v>
      </c>
      <c r="E3305" s="336">
        <v>43692</v>
      </c>
      <c r="F3305" s="336">
        <v>43687</v>
      </c>
      <c r="G3305" s="336">
        <v>43689</v>
      </c>
      <c r="H3305" s="334" t="s">
        <v>8318</v>
      </c>
      <c r="I3305" s="356">
        <v>13764612090</v>
      </c>
      <c r="J3305" s="361" t="s">
        <v>8319</v>
      </c>
      <c r="K3305" s="356">
        <v>19000</v>
      </c>
      <c r="L3305" s="334">
        <v>19000</v>
      </c>
      <c r="M3305" s="419"/>
      <c r="N3305" s="362">
        <f t="shared" ref="N3305:N3346" si="117">L3305+M3305</f>
        <v>19000</v>
      </c>
      <c r="O3305" s="356"/>
      <c r="P3305" s="356"/>
      <c r="Q3305" s="356"/>
      <c r="R3305" s="356"/>
      <c r="S3305" s="356"/>
      <c r="T3305" s="356"/>
      <c r="U3305" s="372"/>
      <c r="V3305" s="372"/>
      <c r="W3305" s="372"/>
      <c r="X3305" s="373"/>
      <c r="Y3305" s="348"/>
      <c r="Z3305" s="348"/>
      <c r="AA3305" s="348"/>
    </row>
    <row r="3306" s="331" customFormat="1" ht="17" customHeight="1" spans="1:27">
      <c r="A3306" s="550" t="s">
        <v>8320</v>
      </c>
      <c r="B3306" s="348" t="s">
        <v>236</v>
      </c>
      <c r="C3306" s="348" t="s">
        <v>703</v>
      </c>
      <c r="D3306" s="334" t="s">
        <v>149</v>
      </c>
      <c r="E3306" s="336">
        <v>43708</v>
      </c>
      <c r="F3306" s="336">
        <v>43682</v>
      </c>
      <c r="G3306" s="336">
        <v>43696</v>
      </c>
      <c r="H3306" s="334" t="s">
        <v>8321</v>
      </c>
      <c r="I3306" s="356">
        <v>15050119522</v>
      </c>
      <c r="J3306" s="361" t="s">
        <v>8322</v>
      </c>
      <c r="K3306" s="356">
        <v>2427</v>
      </c>
      <c r="L3306" s="334">
        <v>7084</v>
      </c>
      <c r="M3306" s="419"/>
      <c r="N3306" s="362">
        <f t="shared" si="117"/>
        <v>7084</v>
      </c>
      <c r="O3306" s="356"/>
      <c r="P3306" s="356"/>
      <c r="Q3306" s="356"/>
      <c r="R3306" s="356"/>
      <c r="S3306" s="356"/>
      <c r="T3306" s="356"/>
      <c r="U3306" s="372"/>
      <c r="V3306" s="372"/>
      <c r="W3306" s="372"/>
      <c r="X3306" s="373"/>
      <c r="Y3306" s="348"/>
      <c r="Z3306" s="348"/>
      <c r="AA3306" s="348"/>
    </row>
    <row r="3307" s="331" customFormat="1" ht="15" customHeight="1" spans="1:27">
      <c r="A3307" s="550" t="s">
        <v>7657</v>
      </c>
      <c r="B3307" s="348" t="s">
        <v>405</v>
      </c>
      <c r="C3307" s="348" t="s">
        <v>8323</v>
      </c>
      <c r="D3307" s="352" t="s">
        <v>407</v>
      </c>
      <c r="E3307" s="336">
        <v>43735</v>
      </c>
      <c r="F3307" s="336">
        <v>43688</v>
      </c>
      <c r="G3307" s="336">
        <v>43731</v>
      </c>
      <c r="H3307" s="334" t="s">
        <v>8324</v>
      </c>
      <c r="I3307" s="356">
        <v>18516601597</v>
      </c>
      <c r="J3307" s="361" t="s">
        <v>8325</v>
      </c>
      <c r="K3307" s="356">
        <v>1000</v>
      </c>
      <c r="L3307" s="334">
        <f>9708-1472</f>
        <v>8236</v>
      </c>
      <c r="M3307" s="334">
        <v>1472</v>
      </c>
      <c r="N3307" s="362">
        <f t="shared" si="117"/>
        <v>9708</v>
      </c>
      <c r="O3307" s="356" t="s">
        <v>52</v>
      </c>
      <c r="P3307" s="356"/>
      <c r="Q3307" s="356"/>
      <c r="R3307" s="356"/>
      <c r="S3307" s="356"/>
      <c r="T3307" s="356"/>
      <c r="U3307" s="372"/>
      <c r="V3307" s="372"/>
      <c r="W3307" s="372"/>
      <c r="X3307" s="373"/>
      <c r="Y3307" s="348"/>
      <c r="Z3307" s="348"/>
      <c r="AA3307" s="348"/>
    </row>
    <row r="3308" s="331" customFormat="1" ht="15" customHeight="1" spans="1:27">
      <c r="A3308" s="348"/>
      <c r="B3308" s="348" t="s">
        <v>58</v>
      </c>
      <c r="C3308" s="348" t="s">
        <v>59</v>
      </c>
      <c r="D3308" s="334" t="s">
        <v>1436</v>
      </c>
      <c r="E3308" s="336">
        <v>43737</v>
      </c>
      <c r="F3308" s="336">
        <v>43688</v>
      </c>
      <c r="G3308" s="336">
        <v>43736</v>
      </c>
      <c r="H3308" s="334" t="s">
        <v>8326</v>
      </c>
      <c r="I3308" s="356">
        <v>17301853310</v>
      </c>
      <c r="J3308" s="361" t="s">
        <v>8327</v>
      </c>
      <c r="K3308" s="356">
        <v>2000</v>
      </c>
      <c r="L3308" s="334">
        <v>10000</v>
      </c>
      <c r="M3308" s="334">
        <v>1380</v>
      </c>
      <c r="N3308" s="362">
        <f t="shared" si="117"/>
        <v>11380</v>
      </c>
      <c r="O3308" s="366" t="s">
        <v>52</v>
      </c>
      <c r="P3308" s="356"/>
      <c r="Q3308" s="356"/>
      <c r="R3308" s="356"/>
      <c r="S3308" s="356"/>
      <c r="T3308" s="356"/>
      <c r="U3308" s="393" t="s">
        <v>40</v>
      </c>
      <c r="V3308" s="372"/>
      <c r="W3308" s="372"/>
      <c r="X3308" s="373"/>
      <c r="Y3308" s="348"/>
      <c r="Z3308" s="348"/>
      <c r="AA3308" s="348"/>
    </row>
    <row r="3309" s="57" customFormat="1" ht="17" customHeight="1" spans="1:27">
      <c r="A3309" s="348"/>
      <c r="B3309" s="348" t="s">
        <v>137</v>
      </c>
      <c r="C3309" s="348" t="s">
        <v>480</v>
      </c>
      <c r="D3309" s="352" t="s">
        <v>139</v>
      </c>
      <c r="E3309" s="336"/>
      <c r="F3309" s="336">
        <v>43688</v>
      </c>
      <c r="G3309" s="350"/>
      <c r="H3309" s="334" t="s">
        <v>8328</v>
      </c>
      <c r="I3309" s="356">
        <v>13817848486</v>
      </c>
      <c r="J3309" s="348" t="s">
        <v>8329</v>
      </c>
      <c r="K3309" s="356">
        <v>1000</v>
      </c>
      <c r="L3309" s="419"/>
      <c r="M3309" s="419"/>
      <c r="N3309" s="362">
        <f t="shared" si="117"/>
        <v>0</v>
      </c>
      <c r="O3309" s="356"/>
      <c r="P3309" s="356"/>
      <c r="Q3309" s="356">
        <v>1</v>
      </c>
      <c r="R3309" s="356"/>
      <c r="S3309" s="356"/>
      <c r="T3309" s="356"/>
      <c r="U3309" s="372" t="s">
        <v>12</v>
      </c>
      <c r="V3309" s="372"/>
      <c r="W3309" s="372"/>
      <c r="X3309" s="373"/>
      <c r="Y3309" s="348"/>
      <c r="Z3309" s="348"/>
      <c r="AA3309" s="348"/>
    </row>
    <row r="3310" s="331" customFormat="1" ht="15" customHeight="1" spans="1:27">
      <c r="A3310" s="550" t="s">
        <v>8330</v>
      </c>
      <c r="B3310" s="348" t="s">
        <v>58</v>
      </c>
      <c r="C3310" s="348" t="s">
        <v>342</v>
      </c>
      <c r="D3310" s="352" t="s">
        <v>343</v>
      </c>
      <c r="E3310" s="336">
        <v>43690</v>
      </c>
      <c r="F3310" s="336">
        <v>43690</v>
      </c>
      <c r="G3310" s="350"/>
      <c r="H3310" s="334" t="s">
        <v>8331</v>
      </c>
      <c r="I3310" s="356">
        <v>17098701699</v>
      </c>
      <c r="J3310" s="361" t="s">
        <v>8332</v>
      </c>
      <c r="K3310" s="356">
        <v>1000</v>
      </c>
      <c r="L3310" s="419"/>
      <c r="M3310" s="419"/>
      <c r="N3310" s="362">
        <f t="shared" si="117"/>
        <v>0</v>
      </c>
      <c r="O3310" s="356"/>
      <c r="P3310" s="356"/>
      <c r="Q3310" s="356"/>
      <c r="R3310" s="356"/>
      <c r="S3310" s="356"/>
      <c r="T3310" s="356" t="s">
        <v>52</v>
      </c>
      <c r="U3310" s="372"/>
      <c r="V3310" s="372"/>
      <c r="W3310" s="372"/>
      <c r="X3310" s="373"/>
      <c r="Y3310" s="348"/>
      <c r="Z3310" s="348"/>
      <c r="AA3310" s="348"/>
    </row>
    <row r="3311" s="331" customFormat="1" ht="17" customHeight="1" spans="1:27">
      <c r="A3311" s="550" t="s">
        <v>8333</v>
      </c>
      <c r="B3311" s="348" t="s">
        <v>87</v>
      </c>
      <c r="C3311" s="348" t="s">
        <v>1757</v>
      </c>
      <c r="D3311" s="334" t="s">
        <v>8334</v>
      </c>
      <c r="E3311" s="336">
        <v>43795</v>
      </c>
      <c r="F3311" s="336">
        <v>43688</v>
      </c>
      <c r="G3311" s="336">
        <v>43794</v>
      </c>
      <c r="H3311" s="334" t="s">
        <v>8335</v>
      </c>
      <c r="I3311" s="356">
        <v>18601729251</v>
      </c>
      <c r="J3311" s="361" t="s">
        <v>8336</v>
      </c>
      <c r="K3311" s="356">
        <v>1000</v>
      </c>
      <c r="L3311" s="334">
        <v>9480</v>
      </c>
      <c r="M3311" s="419"/>
      <c r="N3311" s="362">
        <f t="shared" si="117"/>
        <v>9480</v>
      </c>
      <c r="O3311" s="356"/>
      <c r="P3311" s="356" t="s">
        <v>52</v>
      </c>
      <c r="Q3311" s="356"/>
      <c r="R3311" s="356"/>
      <c r="S3311" s="356"/>
      <c r="T3311" s="356"/>
      <c r="U3311" s="372"/>
      <c r="V3311" s="372"/>
      <c r="W3311" s="372"/>
      <c r="X3311" s="373"/>
      <c r="Y3311" s="348"/>
      <c r="Z3311" s="348"/>
      <c r="AA3311" s="348"/>
    </row>
    <row r="3312" s="331" customFormat="1" ht="17" customHeight="1" spans="1:27">
      <c r="A3312" s="550" t="s">
        <v>8337</v>
      </c>
      <c r="B3312" s="348" t="s">
        <v>87</v>
      </c>
      <c r="C3312" s="348" t="s">
        <v>1757</v>
      </c>
      <c r="D3312" s="352" t="s">
        <v>89</v>
      </c>
      <c r="E3312" s="336">
        <v>43690</v>
      </c>
      <c r="F3312" s="336">
        <v>43688</v>
      </c>
      <c r="G3312" s="350"/>
      <c r="H3312" s="334" t="s">
        <v>8338</v>
      </c>
      <c r="I3312" s="356">
        <v>13814591960</v>
      </c>
      <c r="J3312" s="361" t="s">
        <v>8339</v>
      </c>
      <c r="K3312" s="356">
        <v>1000</v>
      </c>
      <c r="L3312" s="419"/>
      <c r="M3312" s="419"/>
      <c r="N3312" s="362">
        <f t="shared" si="117"/>
        <v>0</v>
      </c>
      <c r="O3312" s="356"/>
      <c r="P3312" s="356"/>
      <c r="Q3312" s="356"/>
      <c r="R3312" s="356"/>
      <c r="S3312" s="356"/>
      <c r="T3312" s="356"/>
      <c r="U3312" s="372" t="s">
        <v>8340</v>
      </c>
      <c r="V3312" s="372"/>
      <c r="W3312" s="372"/>
      <c r="X3312" s="373"/>
      <c r="Y3312" s="348"/>
      <c r="Z3312" s="348"/>
      <c r="AA3312" s="348"/>
    </row>
    <row r="3313" s="331" customFormat="1" ht="17" customHeight="1" spans="1:27">
      <c r="A3313" s="550" t="s">
        <v>8341</v>
      </c>
      <c r="B3313" s="348" t="s">
        <v>87</v>
      </c>
      <c r="C3313" s="348" t="s">
        <v>1757</v>
      </c>
      <c r="D3313" s="352" t="s">
        <v>89</v>
      </c>
      <c r="E3313" s="336">
        <v>43704</v>
      </c>
      <c r="F3313" s="336">
        <v>43688</v>
      </c>
      <c r="G3313" s="336">
        <v>43703</v>
      </c>
      <c r="H3313" s="334" t="s">
        <v>8342</v>
      </c>
      <c r="I3313" s="356">
        <v>13132919789</v>
      </c>
      <c r="J3313" s="361" t="s">
        <v>8343</v>
      </c>
      <c r="K3313" s="356">
        <v>1000</v>
      </c>
      <c r="L3313" s="334">
        <v>4557</v>
      </c>
      <c r="M3313" s="419"/>
      <c r="N3313" s="362">
        <f t="shared" si="117"/>
        <v>4557</v>
      </c>
      <c r="O3313" s="356"/>
      <c r="P3313" s="356"/>
      <c r="Q3313" s="356"/>
      <c r="R3313" s="356"/>
      <c r="S3313" s="356" t="s">
        <v>52</v>
      </c>
      <c r="T3313" s="356"/>
      <c r="U3313" s="372"/>
      <c r="V3313" s="372"/>
      <c r="W3313" s="372"/>
      <c r="X3313" s="373"/>
      <c r="Y3313" s="348"/>
      <c r="Z3313" s="348"/>
      <c r="AA3313" s="348"/>
    </row>
    <row r="3314" s="331" customFormat="1" ht="17" customHeight="1" spans="1:27">
      <c r="A3314" s="348"/>
      <c r="B3314" s="348" t="s">
        <v>87</v>
      </c>
      <c r="C3314" s="348" t="s">
        <v>466</v>
      </c>
      <c r="D3314" s="352" t="s">
        <v>89</v>
      </c>
      <c r="E3314" s="336">
        <v>43731</v>
      </c>
      <c r="F3314" s="336">
        <v>43688</v>
      </c>
      <c r="G3314" s="336">
        <v>43729</v>
      </c>
      <c r="H3314" s="334" t="s">
        <v>8344</v>
      </c>
      <c r="I3314" s="356">
        <v>13795487816</v>
      </c>
      <c r="J3314" s="361" t="s">
        <v>8345</v>
      </c>
      <c r="K3314" s="356">
        <v>1000</v>
      </c>
      <c r="L3314" s="334">
        <v>7824</v>
      </c>
      <c r="M3314" s="419"/>
      <c r="N3314" s="362">
        <f t="shared" si="117"/>
        <v>7824</v>
      </c>
      <c r="O3314" s="356"/>
      <c r="P3314" s="356"/>
      <c r="Q3314" s="356"/>
      <c r="R3314" s="356"/>
      <c r="S3314" s="356" t="s">
        <v>52</v>
      </c>
      <c r="T3314" s="356"/>
      <c r="U3314" s="372"/>
      <c r="V3314" s="372"/>
      <c r="W3314" s="372"/>
      <c r="X3314" s="373"/>
      <c r="Y3314" s="348"/>
      <c r="Z3314" s="348"/>
      <c r="AA3314" s="348"/>
    </row>
    <row r="3315" s="331" customFormat="1" ht="15" customHeight="1" spans="1:27">
      <c r="A3315" s="550" t="s">
        <v>7191</v>
      </c>
      <c r="B3315" s="348" t="s">
        <v>405</v>
      </c>
      <c r="C3315" s="348" t="s">
        <v>8323</v>
      </c>
      <c r="D3315" s="334" t="s">
        <v>110</v>
      </c>
      <c r="E3315" s="336">
        <v>43719</v>
      </c>
      <c r="F3315" s="336">
        <v>43686</v>
      </c>
      <c r="G3315" s="336">
        <v>43714</v>
      </c>
      <c r="H3315" s="334" t="s">
        <v>8346</v>
      </c>
      <c r="I3315" s="356">
        <v>13301910662</v>
      </c>
      <c r="J3315" s="361" t="s">
        <v>8347</v>
      </c>
      <c r="K3315" s="356">
        <v>3000</v>
      </c>
      <c r="L3315" s="334">
        <f>12122-736</f>
        <v>11386</v>
      </c>
      <c r="M3315" s="334">
        <v>736</v>
      </c>
      <c r="N3315" s="362">
        <f t="shared" si="117"/>
        <v>12122</v>
      </c>
      <c r="O3315" s="356" t="s">
        <v>52</v>
      </c>
      <c r="P3315" s="356"/>
      <c r="Q3315" s="356"/>
      <c r="R3315" s="356"/>
      <c r="S3315" s="356"/>
      <c r="T3315" s="356"/>
      <c r="U3315" s="372"/>
      <c r="V3315" s="372"/>
      <c r="W3315" s="372"/>
      <c r="X3315" s="373"/>
      <c r="Y3315" s="348"/>
      <c r="Z3315" s="348"/>
      <c r="AA3315" s="348"/>
    </row>
    <row r="3316" s="331" customFormat="1" ht="17" customHeight="1" spans="1:27">
      <c r="A3316" s="348">
        <v>2068857</v>
      </c>
      <c r="B3316" s="348" t="s">
        <v>66</v>
      </c>
      <c r="C3316" s="348" t="s">
        <v>505</v>
      </c>
      <c r="D3316" s="352" t="s">
        <v>68</v>
      </c>
      <c r="E3316" s="336">
        <v>43696</v>
      </c>
      <c r="F3316" s="336">
        <v>43690</v>
      </c>
      <c r="G3316" s="336">
        <v>43695</v>
      </c>
      <c r="H3316" s="334" t="s">
        <v>8348</v>
      </c>
      <c r="I3316" s="356">
        <v>18917286215</v>
      </c>
      <c r="J3316" s="361" t="s">
        <v>8349</v>
      </c>
      <c r="K3316" s="356">
        <f>5310+1998</f>
        <v>7308</v>
      </c>
      <c r="L3316" s="334">
        <v>9941</v>
      </c>
      <c r="M3316" s="419"/>
      <c r="N3316" s="362">
        <f t="shared" si="117"/>
        <v>9941</v>
      </c>
      <c r="O3316" s="356"/>
      <c r="P3316" s="356"/>
      <c r="Q3316" s="356"/>
      <c r="R3316" s="356"/>
      <c r="S3316" s="356"/>
      <c r="T3316" s="356"/>
      <c r="U3316" s="372"/>
      <c r="V3316" s="372"/>
      <c r="W3316" s="372"/>
      <c r="X3316" s="373"/>
      <c r="Y3316" s="348"/>
      <c r="Z3316" s="348"/>
      <c r="AA3316" s="348"/>
    </row>
    <row r="3317" s="331" customFormat="1" ht="17" customHeight="1" spans="1:27">
      <c r="A3317" s="348"/>
      <c r="B3317" s="348" t="s">
        <v>31</v>
      </c>
      <c r="C3317" s="348" t="s">
        <v>2716</v>
      </c>
      <c r="D3317" s="334" t="s">
        <v>221</v>
      </c>
      <c r="E3317" s="336">
        <v>43716</v>
      </c>
      <c r="F3317" s="336">
        <v>43690</v>
      </c>
      <c r="G3317" s="336">
        <v>43715</v>
      </c>
      <c r="H3317" s="334" t="s">
        <v>8350</v>
      </c>
      <c r="I3317" s="356">
        <v>13818053222</v>
      </c>
      <c r="J3317" s="361" t="s">
        <v>8351</v>
      </c>
      <c r="K3317" s="356">
        <v>1000</v>
      </c>
      <c r="L3317" s="334">
        <f>10127-804</f>
        <v>9323</v>
      </c>
      <c r="M3317" s="334">
        <v>804</v>
      </c>
      <c r="N3317" s="362">
        <f t="shared" si="117"/>
        <v>10127</v>
      </c>
      <c r="O3317" s="356"/>
      <c r="P3317" s="356" t="s">
        <v>52</v>
      </c>
      <c r="Q3317" s="356"/>
      <c r="R3317" s="356"/>
      <c r="S3317" s="356"/>
      <c r="T3317" s="356"/>
      <c r="U3317" s="372"/>
      <c r="V3317" s="372"/>
      <c r="W3317" s="372"/>
      <c r="X3317" s="373"/>
      <c r="Y3317" s="348"/>
      <c r="Z3317" s="348"/>
      <c r="AA3317" s="348"/>
    </row>
    <row r="3318" s="331" customFormat="1" ht="17" customHeight="1" spans="1:27">
      <c r="A3318" s="348">
        <v>2023542</v>
      </c>
      <c r="B3318" s="348" t="s">
        <v>185</v>
      </c>
      <c r="C3318" s="348" t="s">
        <v>4146</v>
      </c>
      <c r="D3318" s="352" t="s">
        <v>187</v>
      </c>
      <c r="E3318" s="336">
        <v>43751</v>
      </c>
      <c r="F3318" s="336">
        <v>43680</v>
      </c>
      <c r="G3318" s="336">
        <v>43751</v>
      </c>
      <c r="H3318" s="334" t="s">
        <v>8352</v>
      </c>
      <c r="I3318" s="356">
        <v>13653618399</v>
      </c>
      <c r="J3318" s="361" t="s">
        <v>8353</v>
      </c>
      <c r="K3318" s="356">
        <v>1000</v>
      </c>
      <c r="L3318" s="334">
        <v>53400</v>
      </c>
      <c r="M3318" s="419"/>
      <c r="N3318" s="362">
        <f t="shared" si="117"/>
        <v>53400</v>
      </c>
      <c r="O3318" s="356"/>
      <c r="P3318" s="356"/>
      <c r="Q3318" s="356"/>
      <c r="R3318" s="356"/>
      <c r="S3318" s="356"/>
      <c r="T3318" s="356"/>
      <c r="U3318" s="372"/>
      <c r="V3318" s="372"/>
      <c r="W3318" s="372"/>
      <c r="X3318" s="373"/>
      <c r="Y3318" s="348"/>
      <c r="Z3318" s="348"/>
      <c r="AA3318" s="348"/>
    </row>
    <row r="3319" s="331" customFormat="1" ht="17" customHeight="1" spans="1:27">
      <c r="A3319" s="550" t="s">
        <v>8354</v>
      </c>
      <c r="B3319" s="348" t="s">
        <v>169</v>
      </c>
      <c r="C3319" s="348" t="s">
        <v>8075</v>
      </c>
      <c r="D3319" s="352" t="s">
        <v>171</v>
      </c>
      <c r="E3319" s="336">
        <v>43708</v>
      </c>
      <c r="F3319" s="336">
        <v>43688</v>
      </c>
      <c r="G3319" s="336">
        <v>43708</v>
      </c>
      <c r="H3319" s="334" t="s">
        <v>8355</v>
      </c>
      <c r="I3319" s="356">
        <v>13774318898</v>
      </c>
      <c r="J3319" s="361" t="s">
        <v>8356</v>
      </c>
      <c r="K3319" s="356">
        <v>3999</v>
      </c>
      <c r="L3319" s="334">
        <v>3999</v>
      </c>
      <c r="M3319" s="419"/>
      <c r="N3319" s="362">
        <f t="shared" si="117"/>
        <v>3999</v>
      </c>
      <c r="O3319" s="356"/>
      <c r="P3319" s="356"/>
      <c r="Q3319" s="356" t="s">
        <v>21</v>
      </c>
      <c r="R3319" s="356"/>
      <c r="S3319" s="356"/>
      <c r="T3319" s="356"/>
      <c r="U3319" s="372"/>
      <c r="V3319" s="372"/>
      <c r="W3319" s="372"/>
      <c r="X3319" s="373"/>
      <c r="Y3319" s="348"/>
      <c r="Z3319" s="348"/>
      <c r="AA3319" s="348"/>
    </row>
    <row r="3320" s="331" customFormat="1" ht="17" customHeight="1" spans="1:27">
      <c r="A3320" s="550" t="s">
        <v>7298</v>
      </c>
      <c r="B3320" s="348" t="s">
        <v>185</v>
      </c>
      <c r="C3320" s="348" t="s">
        <v>1204</v>
      </c>
      <c r="D3320" s="352" t="s">
        <v>44</v>
      </c>
      <c r="E3320" s="336">
        <v>43723</v>
      </c>
      <c r="F3320" s="336">
        <v>43690</v>
      </c>
      <c r="G3320" s="336">
        <v>43709</v>
      </c>
      <c r="H3320" s="334" t="s">
        <v>8357</v>
      </c>
      <c r="I3320" s="356">
        <v>13012813570</v>
      </c>
      <c r="J3320" s="361" t="s">
        <v>8358</v>
      </c>
      <c r="K3320" s="356">
        <v>1000</v>
      </c>
      <c r="L3320" s="334">
        <f>15500-858</f>
        <v>14642</v>
      </c>
      <c r="M3320" s="334">
        <v>858</v>
      </c>
      <c r="N3320" s="362">
        <f t="shared" si="117"/>
        <v>15500</v>
      </c>
      <c r="O3320" s="356"/>
      <c r="P3320" s="356" t="s">
        <v>52</v>
      </c>
      <c r="Q3320" s="356"/>
      <c r="R3320" s="356"/>
      <c r="S3320" s="356"/>
      <c r="T3320" s="356"/>
      <c r="U3320" s="372"/>
      <c r="V3320" s="372"/>
      <c r="W3320" s="372"/>
      <c r="X3320" s="373"/>
      <c r="Y3320" s="348"/>
      <c r="Z3320" s="348"/>
      <c r="AA3320" s="348"/>
    </row>
    <row r="3321" s="331" customFormat="1" ht="17" customHeight="1" spans="1:27">
      <c r="A3321" s="550" t="s">
        <v>8359</v>
      </c>
      <c r="B3321" s="348" t="s">
        <v>137</v>
      </c>
      <c r="C3321" s="348" t="s">
        <v>2705</v>
      </c>
      <c r="D3321" s="334" t="s">
        <v>139</v>
      </c>
      <c r="E3321" s="336">
        <v>43707</v>
      </c>
      <c r="F3321" s="336">
        <v>43690</v>
      </c>
      <c r="G3321" s="336">
        <v>43697</v>
      </c>
      <c r="H3321" s="334" t="s">
        <v>8360</v>
      </c>
      <c r="I3321" s="356">
        <v>13501693773</v>
      </c>
      <c r="J3321" s="361" t="s">
        <v>8361</v>
      </c>
      <c r="K3321" s="356">
        <v>20000</v>
      </c>
      <c r="L3321" s="334">
        <v>35293</v>
      </c>
      <c r="M3321" s="419"/>
      <c r="N3321" s="362">
        <f t="shared" si="117"/>
        <v>35293</v>
      </c>
      <c r="O3321" s="356"/>
      <c r="P3321" s="356">
        <v>1</v>
      </c>
      <c r="Q3321" s="356"/>
      <c r="R3321" s="356"/>
      <c r="S3321" s="356"/>
      <c r="T3321" s="356"/>
      <c r="U3321" s="372"/>
      <c r="V3321" s="372"/>
      <c r="W3321" s="372"/>
      <c r="X3321" s="373"/>
      <c r="Y3321" s="348"/>
      <c r="Z3321" s="348"/>
      <c r="AA3321" s="348"/>
    </row>
    <row r="3322" s="331" customFormat="1" ht="15" customHeight="1" spans="1:27">
      <c r="A3322" s="550" t="s">
        <v>1030</v>
      </c>
      <c r="B3322" s="348" t="s">
        <v>58</v>
      </c>
      <c r="C3322" s="348" t="s">
        <v>794</v>
      </c>
      <c r="D3322" s="352" t="s">
        <v>110</v>
      </c>
      <c r="E3322" s="336">
        <v>43690</v>
      </c>
      <c r="F3322" s="336">
        <v>43688</v>
      </c>
      <c r="G3322" s="350">
        <v>43734</v>
      </c>
      <c r="H3322" s="334" t="s">
        <v>7496</v>
      </c>
      <c r="I3322" s="356">
        <v>13916865355</v>
      </c>
      <c r="J3322" s="361" t="s">
        <v>8362</v>
      </c>
      <c r="K3322" s="356">
        <v>1000</v>
      </c>
      <c r="L3322" s="419"/>
      <c r="M3322" s="419"/>
      <c r="N3322" s="362">
        <f t="shared" si="117"/>
        <v>0</v>
      </c>
      <c r="O3322" s="356"/>
      <c r="P3322" s="356"/>
      <c r="Q3322" s="366" t="s">
        <v>52</v>
      </c>
      <c r="R3322" s="356"/>
      <c r="S3322" s="356"/>
      <c r="T3322" s="356"/>
      <c r="U3322" s="372"/>
      <c r="V3322" s="372"/>
      <c r="W3322" s="372"/>
      <c r="X3322" s="373"/>
      <c r="Y3322" s="348"/>
      <c r="Z3322" s="348"/>
      <c r="AA3322" s="348"/>
    </row>
    <row r="3323" s="331" customFormat="1" ht="15" customHeight="1" spans="1:27">
      <c r="A3323" s="550" t="s">
        <v>8363</v>
      </c>
      <c r="B3323" s="348" t="s">
        <v>58</v>
      </c>
      <c r="C3323" s="348" t="s">
        <v>794</v>
      </c>
      <c r="D3323" s="439" t="s">
        <v>271</v>
      </c>
      <c r="E3323" s="440">
        <v>43839</v>
      </c>
      <c r="F3323" s="336">
        <v>43688</v>
      </c>
      <c r="G3323" s="440">
        <v>43838</v>
      </c>
      <c r="H3323" s="441" t="s">
        <v>8364</v>
      </c>
      <c r="I3323" s="356">
        <v>13162596261</v>
      </c>
      <c r="J3323" s="361" t="s">
        <v>8365</v>
      </c>
      <c r="K3323" s="356">
        <v>1000</v>
      </c>
      <c r="L3323" s="439">
        <v>16215</v>
      </c>
      <c r="M3323" s="419"/>
      <c r="N3323" s="362">
        <f t="shared" si="117"/>
        <v>16215</v>
      </c>
      <c r="O3323" s="356"/>
      <c r="P3323" s="366" t="s">
        <v>52</v>
      </c>
      <c r="Q3323" s="356"/>
      <c r="R3323" s="356"/>
      <c r="S3323" s="356"/>
      <c r="T3323" s="356"/>
      <c r="U3323" s="372"/>
      <c r="V3323" s="372"/>
      <c r="W3323" s="372"/>
      <c r="X3323" s="373"/>
      <c r="Y3323" s="348"/>
      <c r="Z3323" s="348"/>
      <c r="AA3323" s="348"/>
    </row>
    <row r="3324" s="331" customFormat="1" ht="17" customHeight="1" spans="1:27">
      <c r="A3324" s="550" t="s">
        <v>8366</v>
      </c>
      <c r="B3324" s="348" t="s">
        <v>58</v>
      </c>
      <c r="C3324" s="348" t="s">
        <v>794</v>
      </c>
      <c r="D3324" s="334" t="s">
        <v>343</v>
      </c>
      <c r="E3324" s="336">
        <v>43708</v>
      </c>
      <c r="F3324" s="336">
        <v>43689</v>
      </c>
      <c r="G3324" s="336">
        <v>43706</v>
      </c>
      <c r="H3324" s="334" t="s">
        <v>8367</v>
      </c>
      <c r="I3324" s="356">
        <v>13061695650</v>
      </c>
      <c r="J3324" s="361" t="s">
        <v>8368</v>
      </c>
      <c r="K3324" s="356">
        <v>1000</v>
      </c>
      <c r="L3324" s="334">
        <f>10829-1104</f>
        <v>9725</v>
      </c>
      <c r="M3324" s="334">
        <v>1104</v>
      </c>
      <c r="N3324" s="362">
        <f t="shared" si="117"/>
        <v>10829</v>
      </c>
      <c r="O3324" s="356"/>
      <c r="P3324" s="366"/>
      <c r="Q3324" s="366" t="s">
        <v>52</v>
      </c>
      <c r="R3324" s="356"/>
      <c r="S3324" s="356"/>
      <c r="T3324" s="356"/>
      <c r="U3324" s="372"/>
      <c r="V3324" s="372"/>
      <c r="W3324" s="372"/>
      <c r="X3324" s="373"/>
      <c r="Y3324" s="348"/>
      <c r="Z3324" s="348"/>
      <c r="AA3324" s="348"/>
    </row>
    <row r="3325" s="331" customFormat="1" ht="17" customHeight="1" spans="1:27">
      <c r="A3325" s="550" t="s">
        <v>8369</v>
      </c>
      <c r="B3325" s="348" t="s">
        <v>137</v>
      </c>
      <c r="C3325" s="348" t="s">
        <v>2705</v>
      </c>
      <c r="D3325" s="349" t="s">
        <v>191</v>
      </c>
      <c r="E3325" s="336">
        <v>43698</v>
      </c>
      <c r="F3325" s="336">
        <v>43688</v>
      </c>
      <c r="G3325" s="336">
        <v>43696</v>
      </c>
      <c r="H3325" s="334" t="s">
        <v>8370</v>
      </c>
      <c r="I3325" s="356" t="s">
        <v>8371</v>
      </c>
      <c r="J3325" s="361" t="s">
        <v>8372</v>
      </c>
      <c r="K3325" s="356">
        <v>1000</v>
      </c>
      <c r="L3325" s="334">
        <v>16459</v>
      </c>
      <c r="M3325" s="419"/>
      <c r="N3325" s="362">
        <f t="shared" si="117"/>
        <v>16459</v>
      </c>
      <c r="O3325" s="356"/>
      <c r="P3325" s="356"/>
      <c r="Q3325" s="356"/>
      <c r="R3325" s="356">
        <v>1</v>
      </c>
      <c r="S3325" s="356"/>
      <c r="T3325" s="356"/>
      <c r="U3325" s="372"/>
      <c r="V3325" s="372"/>
      <c r="W3325" s="372"/>
      <c r="X3325" s="373"/>
      <c r="Y3325" s="348"/>
      <c r="Z3325" s="348"/>
      <c r="AA3325" s="348"/>
    </row>
    <row r="3326" s="331" customFormat="1" ht="17" customHeight="1" spans="1:27">
      <c r="A3326" s="348"/>
      <c r="B3326" s="348" t="s">
        <v>405</v>
      </c>
      <c r="C3326" s="348" t="s">
        <v>1234</v>
      </c>
      <c r="D3326" s="352" t="s">
        <v>407</v>
      </c>
      <c r="E3326" s="336">
        <v>43703</v>
      </c>
      <c r="F3326" s="336">
        <v>43681</v>
      </c>
      <c r="G3326" s="336">
        <v>43698</v>
      </c>
      <c r="H3326" s="334" t="s">
        <v>8373</v>
      </c>
      <c r="I3326" s="356">
        <v>15900528349</v>
      </c>
      <c r="J3326" s="361" t="s">
        <v>8374</v>
      </c>
      <c r="K3326" s="356">
        <v>3000</v>
      </c>
      <c r="L3326" s="334">
        <v>7023</v>
      </c>
      <c r="M3326" s="419"/>
      <c r="N3326" s="362">
        <f t="shared" si="117"/>
        <v>7023</v>
      </c>
      <c r="O3326" s="356"/>
      <c r="P3326" s="356"/>
      <c r="Q3326" s="356"/>
      <c r="R3326" s="356"/>
      <c r="S3326" s="356" t="s">
        <v>52</v>
      </c>
      <c r="T3326" s="356"/>
      <c r="U3326" s="372"/>
      <c r="V3326" s="372"/>
      <c r="W3326" s="372"/>
      <c r="X3326" s="373"/>
      <c r="Y3326" s="348"/>
      <c r="Z3326" s="348"/>
      <c r="AA3326" s="348"/>
    </row>
    <row r="3327" s="331" customFormat="1" ht="17" customHeight="1" spans="1:27">
      <c r="A3327" s="550" t="s">
        <v>8375</v>
      </c>
      <c r="B3327" s="348" t="s">
        <v>73</v>
      </c>
      <c r="C3327" s="348" t="s">
        <v>178</v>
      </c>
      <c r="D3327" s="352" t="s">
        <v>75</v>
      </c>
      <c r="E3327" s="336">
        <v>43737</v>
      </c>
      <c r="F3327" s="336">
        <v>43687</v>
      </c>
      <c r="G3327" s="336">
        <v>43737</v>
      </c>
      <c r="H3327" s="334" t="s">
        <v>8376</v>
      </c>
      <c r="I3327" s="356">
        <v>13714669625</v>
      </c>
      <c r="J3327" s="361" t="s">
        <v>8377</v>
      </c>
      <c r="K3327" s="356">
        <v>1000</v>
      </c>
      <c r="L3327" s="334">
        <v>14922</v>
      </c>
      <c r="M3327" s="419"/>
      <c r="N3327" s="362">
        <f t="shared" si="117"/>
        <v>14922</v>
      </c>
      <c r="O3327" s="366" t="s">
        <v>52</v>
      </c>
      <c r="P3327" s="356"/>
      <c r="Q3327" s="356"/>
      <c r="R3327" s="356"/>
      <c r="S3327" s="356"/>
      <c r="T3327" s="356"/>
      <c r="U3327" s="372"/>
      <c r="V3327" s="372"/>
      <c r="W3327" s="372"/>
      <c r="X3327" s="373"/>
      <c r="Y3327" s="348"/>
      <c r="Z3327" s="348"/>
      <c r="AA3327" s="348"/>
    </row>
    <row r="3328" s="331" customFormat="1" ht="17" customHeight="1" spans="1:27">
      <c r="A3328" s="550" t="s">
        <v>8378</v>
      </c>
      <c r="B3328" s="348" t="s">
        <v>31</v>
      </c>
      <c r="C3328" s="348" t="s">
        <v>2716</v>
      </c>
      <c r="D3328" s="352" t="s">
        <v>33</v>
      </c>
      <c r="E3328" s="336">
        <v>43690</v>
      </c>
      <c r="F3328" s="336">
        <v>43690</v>
      </c>
      <c r="G3328" s="350"/>
      <c r="H3328" s="334" t="s">
        <v>8379</v>
      </c>
      <c r="I3328" s="356">
        <v>13611910759</v>
      </c>
      <c r="J3328" s="361" t="s">
        <v>8380</v>
      </c>
      <c r="K3328" s="356">
        <v>1000</v>
      </c>
      <c r="L3328" s="419"/>
      <c r="M3328" s="419"/>
      <c r="N3328" s="362">
        <f t="shared" si="117"/>
        <v>0</v>
      </c>
      <c r="O3328" s="356"/>
      <c r="P3328" s="356"/>
      <c r="Q3328" s="356"/>
      <c r="R3328" s="356"/>
      <c r="S3328" s="356"/>
      <c r="T3328" s="366" t="s">
        <v>52</v>
      </c>
      <c r="U3328" s="400" t="s">
        <v>1796</v>
      </c>
      <c r="V3328" s="372"/>
      <c r="W3328" s="372"/>
      <c r="X3328" s="373"/>
      <c r="Y3328" s="348"/>
      <c r="Z3328" s="348"/>
      <c r="AA3328" s="348"/>
    </row>
    <row r="3329" s="331" customFormat="1" ht="17" customHeight="1" spans="1:27">
      <c r="A3329" s="550" t="s">
        <v>8381</v>
      </c>
      <c r="B3329" s="348" t="s">
        <v>73</v>
      </c>
      <c r="C3329" s="334" t="s">
        <v>178</v>
      </c>
      <c r="D3329" s="352" t="s">
        <v>75</v>
      </c>
      <c r="E3329" s="336">
        <v>43695</v>
      </c>
      <c r="F3329" s="336">
        <v>43694</v>
      </c>
      <c r="G3329" s="442"/>
      <c r="H3329" s="334" t="s">
        <v>8382</v>
      </c>
      <c r="I3329" s="356">
        <v>13564523979</v>
      </c>
      <c r="J3329" s="361" t="s">
        <v>8383</v>
      </c>
      <c r="K3329" s="356">
        <v>1000</v>
      </c>
      <c r="L3329" s="419"/>
      <c r="M3329" s="419"/>
      <c r="N3329" s="362">
        <f t="shared" si="117"/>
        <v>0</v>
      </c>
      <c r="O3329" s="366" t="s">
        <v>52</v>
      </c>
      <c r="P3329" s="356"/>
      <c r="Q3329" s="356"/>
      <c r="R3329" s="356"/>
      <c r="S3329" s="356"/>
      <c r="T3329" s="356"/>
      <c r="U3329" s="372"/>
      <c r="V3329" s="372"/>
      <c r="W3329" s="372"/>
      <c r="X3329" s="373"/>
      <c r="Y3329" s="348"/>
      <c r="Z3329" s="348"/>
      <c r="AA3329" s="348"/>
    </row>
    <row r="3330" s="331" customFormat="1" ht="17" customHeight="1" spans="1:27">
      <c r="A3330" s="550" t="s">
        <v>761</v>
      </c>
      <c r="B3330" s="348" t="s">
        <v>169</v>
      </c>
      <c r="C3330" s="348" t="s">
        <v>634</v>
      </c>
      <c r="D3330" s="349" t="s">
        <v>635</v>
      </c>
      <c r="E3330" s="336">
        <v>43692</v>
      </c>
      <c r="F3330" s="336">
        <v>43690</v>
      </c>
      <c r="G3330" s="336">
        <v>43692</v>
      </c>
      <c r="H3330" s="334" t="s">
        <v>8384</v>
      </c>
      <c r="I3330" s="356">
        <v>13564209065</v>
      </c>
      <c r="J3330" s="361" t="s">
        <v>8385</v>
      </c>
      <c r="K3330" s="356">
        <v>1000</v>
      </c>
      <c r="L3330" s="334">
        <v>5043</v>
      </c>
      <c r="M3330" s="419"/>
      <c r="N3330" s="362">
        <f t="shared" si="117"/>
        <v>5043</v>
      </c>
      <c r="O3330" s="356"/>
      <c r="P3330" s="356"/>
      <c r="Q3330" s="356"/>
      <c r="R3330" s="356"/>
      <c r="S3330" s="356"/>
      <c r="T3330" s="356"/>
      <c r="U3330" s="372"/>
      <c r="V3330" s="372"/>
      <c r="W3330" s="372"/>
      <c r="X3330" s="373"/>
      <c r="Y3330" s="348"/>
      <c r="Z3330" s="348"/>
      <c r="AA3330" s="348"/>
    </row>
    <row r="3331" s="331" customFormat="1" ht="17" customHeight="1" spans="1:27">
      <c r="A3331" s="348"/>
      <c r="B3331" s="348" t="s">
        <v>87</v>
      </c>
      <c r="C3331" s="334" t="s">
        <v>1757</v>
      </c>
      <c r="D3331" s="349" t="s">
        <v>89</v>
      </c>
      <c r="E3331" s="336">
        <v>43690</v>
      </c>
      <c r="F3331" s="336"/>
      <c r="G3331" s="336">
        <v>43689</v>
      </c>
      <c r="H3331" s="334" t="s">
        <v>8386</v>
      </c>
      <c r="I3331" s="356">
        <v>15152000004</v>
      </c>
      <c r="J3331" s="361" t="s">
        <v>8387</v>
      </c>
      <c r="K3331" s="356"/>
      <c r="L3331" s="334">
        <v>11356</v>
      </c>
      <c r="M3331" s="334">
        <v>893</v>
      </c>
      <c r="N3331" s="362">
        <f t="shared" si="117"/>
        <v>12249</v>
      </c>
      <c r="O3331" s="356"/>
      <c r="P3331" s="356"/>
      <c r="Q3331" s="356"/>
      <c r="R3331" s="356"/>
      <c r="S3331" s="356"/>
      <c r="T3331" s="356"/>
      <c r="U3331" s="372"/>
      <c r="V3331" s="372"/>
      <c r="W3331" s="372"/>
      <c r="X3331" s="373"/>
      <c r="Y3331" s="348"/>
      <c r="Z3331" s="348"/>
      <c r="AA3331" s="348"/>
    </row>
    <row r="3332" s="331" customFormat="1" ht="17" customHeight="1" spans="1:27">
      <c r="A3332" s="348"/>
      <c r="B3332" s="348" t="s">
        <v>87</v>
      </c>
      <c r="C3332" s="334" t="s">
        <v>199</v>
      </c>
      <c r="D3332" s="349" t="s">
        <v>89</v>
      </c>
      <c r="E3332" s="336">
        <v>43690</v>
      </c>
      <c r="F3332" s="336"/>
      <c r="G3332" s="336">
        <v>43690</v>
      </c>
      <c r="H3332" s="334" t="s">
        <v>8388</v>
      </c>
      <c r="I3332" s="356">
        <v>13918452381</v>
      </c>
      <c r="J3332" s="361" t="s">
        <v>8389</v>
      </c>
      <c r="K3332" s="356"/>
      <c r="L3332" s="334">
        <f>4000-760</f>
        <v>3240</v>
      </c>
      <c r="M3332" s="334">
        <v>760</v>
      </c>
      <c r="N3332" s="362">
        <f t="shared" si="117"/>
        <v>4000</v>
      </c>
      <c r="O3332" s="356"/>
      <c r="P3332" s="356"/>
      <c r="Q3332" s="356"/>
      <c r="R3332" s="356"/>
      <c r="S3332" s="356"/>
      <c r="T3332" s="356"/>
      <c r="U3332" s="372"/>
      <c r="V3332" s="372"/>
      <c r="W3332" s="372"/>
      <c r="X3332" s="373"/>
      <c r="Y3332" s="348"/>
      <c r="Z3332" s="348"/>
      <c r="AA3332" s="348"/>
    </row>
    <row r="3333" s="331" customFormat="1" ht="17" customHeight="1" spans="1:27">
      <c r="A3333" s="348"/>
      <c r="B3333" s="348" t="s">
        <v>87</v>
      </c>
      <c r="C3333" s="334" t="s">
        <v>199</v>
      </c>
      <c r="D3333" s="349" t="s">
        <v>89</v>
      </c>
      <c r="E3333" s="336">
        <v>43690</v>
      </c>
      <c r="F3333" s="336"/>
      <c r="G3333" s="336">
        <v>43690</v>
      </c>
      <c r="H3333" s="334" t="s">
        <v>8390</v>
      </c>
      <c r="I3333" s="356">
        <v>13816178636</v>
      </c>
      <c r="J3333" s="361" t="s">
        <v>8391</v>
      </c>
      <c r="K3333" s="356"/>
      <c r="L3333" s="334">
        <v>10648</v>
      </c>
      <c r="M3333" s="419"/>
      <c r="N3333" s="362">
        <f t="shared" si="117"/>
        <v>10648</v>
      </c>
      <c r="O3333" s="356"/>
      <c r="P3333" s="356"/>
      <c r="Q3333" s="356"/>
      <c r="R3333" s="356"/>
      <c r="S3333" s="356"/>
      <c r="T3333" s="356"/>
      <c r="U3333" s="372"/>
      <c r="V3333" s="372"/>
      <c r="W3333" s="372"/>
      <c r="X3333" s="373"/>
      <c r="Y3333" s="348"/>
      <c r="Z3333" s="348"/>
      <c r="AA3333" s="348"/>
    </row>
    <row r="3334" s="331" customFormat="1" ht="17" customHeight="1" spans="1:27">
      <c r="A3334" s="348"/>
      <c r="B3334" s="348" t="s">
        <v>58</v>
      </c>
      <c r="C3334" s="334" t="s">
        <v>109</v>
      </c>
      <c r="D3334" s="349" t="s">
        <v>110</v>
      </c>
      <c r="E3334" s="336">
        <v>43690</v>
      </c>
      <c r="F3334" s="336"/>
      <c r="G3334" s="336">
        <v>43688</v>
      </c>
      <c r="H3334" s="334" t="s">
        <v>1667</v>
      </c>
      <c r="I3334" s="356">
        <v>13681975588</v>
      </c>
      <c r="J3334" s="361" t="s">
        <v>8392</v>
      </c>
      <c r="K3334" s="356"/>
      <c r="L3334" s="334">
        <v>24962</v>
      </c>
      <c r="M3334" s="419"/>
      <c r="N3334" s="362">
        <f t="shared" si="117"/>
        <v>24962</v>
      </c>
      <c r="O3334" s="356"/>
      <c r="P3334" s="356"/>
      <c r="Q3334" s="356"/>
      <c r="R3334" s="356"/>
      <c r="S3334" s="356"/>
      <c r="T3334" s="356"/>
      <c r="U3334" s="372"/>
      <c r="V3334" s="372"/>
      <c r="W3334" s="372"/>
      <c r="X3334" s="373"/>
      <c r="Y3334" s="348"/>
      <c r="Z3334" s="348"/>
      <c r="AA3334" s="348"/>
    </row>
    <row r="3335" s="331" customFormat="1" ht="17" customHeight="1" spans="1:27">
      <c r="A3335" s="348"/>
      <c r="B3335" s="348" t="s">
        <v>236</v>
      </c>
      <c r="C3335" s="334" t="s">
        <v>703</v>
      </c>
      <c r="D3335" s="349" t="s">
        <v>37</v>
      </c>
      <c r="E3335" s="336">
        <v>43690</v>
      </c>
      <c r="F3335" s="336" t="s">
        <v>800</v>
      </c>
      <c r="G3335" s="336">
        <v>43688</v>
      </c>
      <c r="H3335" s="334" t="s">
        <v>6086</v>
      </c>
      <c r="I3335" s="356">
        <v>13611738560</v>
      </c>
      <c r="J3335" s="361" t="s">
        <v>8393</v>
      </c>
      <c r="K3335" s="356"/>
      <c r="L3335" s="419"/>
      <c r="M3335" s="334">
        <v>-14000</v>
      </c>
      <c r="N3335" s="362">
        <f t="shared" si="117"/>
        <v>-14000</v>
      </c>
      <c r="O3335" s="356"/>
      <c r="P3335" s="356"/>
      <c r="Q3335" s="356"/>
      <c r="R3335" s="356"/>
      <c r="S3335" s="356"/>
      <c r="T3335" s="356"/>
      <c r="U3335" s="372"/>
      <c r="V3335" s="372"/>
      <c r="W3335" s="372"/>
      <c r="X3335" s="373"/>
      <c r="Y3335" s="348"/>
      <c r="Z3335" s="348"/>
      <c r="AA3335" s="348"/>
    </row>
    <row r="3336" s="331" customFormat="1" ht="17" customHeight="1" spans="1:27">
      <c r="A3336" s="348"/>
      <c r="B3336" s="348" t="s">
        <v>236</v>
      </c>
      <c r="C3336" s="334" t="s">
        <v>703</v>
      </c>
      <c r="D3336" s="349" t="s">
        <v>187</v>
      </c>
      <c r="E3336" s="336">
        <v>43690</v>
      </c>
      <c r="F3336" s="336" t="s">
        <v>800</v>
      </c>
      <c r="G3336" s="336">
        <v>43688</v>
      </c>
      <c r="H3336" s="334" t="s">
        <v>6086</v>
      </c>
      <c r="I3336" s="356">
        <v>13611738560</v>
      </c>
      <c r="J3336" s="361" t="s">
        <v>8393</v>
      </c>
      <c r="K3336" s="356"/>
      <c r="L3336" s="419"/>
      <c r="M3336" s="334">
        <f>2172-736+14000+736</f>
        <v>16172</v>
      </c>
      <c r="N3336" s="362">
        <f t="shared" si="117"/>
        <v>16172</v>
      </c>
      <c r="O3336" s="356"/>
      <c r="P3336" s="356"/>
      <c r="Q3336" s="356"/>
      <c r="R3336" s="356"/>
      <c r="S3336" s="356"/>
      <c r="T3336" s="356"/>
      <c r="U3336" s="372"/>
      <c r="V3336" s="372"/>
      <c r="W3336" s="372"/>
      <c r="X3336" s="373"/>
      <c r="Y3336" s="348"/>
      <c r="Z3336" s="348"/>
      <c r="AA3336" s="348"/>
    </row>
    <row r="3337" s="331" customFormat="1" ht="17" customHeight="1" spans="1:27">
      <c r="A3337" s="348"/>
      <c r="B3337" s="348" t="s">
        <v>31</v>
      </c>
      <c r="C3337" s="348" t="s">
        <v>220</v>
      </c>
      <c r="D3337" s="349" t="s">
        <v>221</v>
      </c>
      <c r="E3337" s="336">
        <v>43690</v>
      </c>
      <c r="F3337" s="336" t="s">
        <v>800</v>
      </c>
      <c r="G3337" s="336">
        <v>43690</v>
      </c>
      <c r="H3337" s="334" t="s">
        <v>5329</v>
      </c>
      <c r="I3337" s="356" t="s">
        <v>8394</v>
      </c>
      <c r="J3337" s="361" t="s">
        <v>5330</v>
      </c>
      <c r="K3337" s="356"/>
      <c r="L3337" s="419"/>
      <c r="M3337" s="334">
        <v>1542</v>
      </c>
      <c r="N3337" s="362">
        <f t="shared" si="117"/>
        <v>1542</v>
      </c>
      <c r="O3337" s="356"/>
      <c r="P3337" s="356"/>
      <c r="Q3337" s="356"/>
      <c r="R3337" s="356"/>
      <c r="S3337" s="356"/>
      <c r="T3337" s="356"/>
      <c r="U3337" s="372"/>
      <c r="V3337" s="372"/>
      <c r="W3337" s="372"/>
      <c r="X3337" s="373"/>
      <c r="Y3337" s="348"/>
      <c r="Z3337" s="348"/>
      <c r="AA3337" s="348"/>
    </row>
    <row r="3338" s="331" customFormat="1" ht="17" customHeight="1" spans="1:27">
      <c r="A3338" s="348"/>
      <c r="B3338" s="348" t="s">
        <v>123</v>
      </c>
      <c r="C3338" s="334" t="s">
        <v>902</v>
      </c>
      <c r="D3338" s="352" t="s">
        <v>125</v>
      </c>
      <c r="E3338" s="336">
        <v>43690</v>
      </c>
      <c r="F3338" s="336" t="s">
        <v>800</v>
      </c>
      <c r="G3338" s="336">
        <v>43690</v>
      </c>
      <c r="H3338" s="334" t="s">
        <v>8395</v>
      </c>
      <c r="I3338" s="356">
        <v>18301906732</v>
      </c>
      <c r="J3338" s="361" t="s">
        <v>8396</v>
      </c>
      <c r="K3338" s="356"/>
      <c r="L3338" s="419"/>
      <c r="M3338" s="334">
        <v>800</v>
      </c>
      <c r="N3338" s="362">
        <f t="shared" si="117"/>
        <v>800</v>
      </c>
      <c r="O3338" s="356"/>
      <c r="P3338" s="356"/>
      <c r="Q3338" s="356"/>
      <c r="R3338" s="356"/>
      <c r="S3338" s="356"/>
      <c r="T3338" s="356"/>
      <c r="U3338" s="372"/>
      <c r="V3338" s="372"/>
      <c r="W3338" s="372"/>
      <c r="X3338" s="373"/>
      <c r="Y3338" s="348"/>
      <c r="Z3338" s="348"/>
      <c r="AA3338" s="348"/>
    </row>
    <row r="3339" s="331" customFormat="1" ht="17" customHeight="1" spans="1:27">
      <c r="A3339" s="348"/>
      <c r="B3339" s="348" t="s">
        <v>58</v>
      </c>
      <c r="C3339" s="334" t="s">
        <v>347</v>
      </c>
      <c r="D3339" s="349" t="s">
        <v>75</v>
      </c>
      <c r="E3339" s="336">
        <v>43691</v>
      </c>
      <c r="F3339" s="336" t="s">
        <v>800</v>
      </c>
      <c r="G3339" s="336">
        <v>43690</v>
      </c>
      <c r="H3339" s="334" t="s">
        <v>8397</v>
      </c>
      <c r="I3339" s="356">
        <v>18918169318</v>
      </c>
      <c r="J3339" s="361" t="s">
        <v>8398</v>
      </c>
      <c r="K3339" s="356"/>
      <c r="L3339" s="419"/>
      <c r="M3339" s="334">
        <f>21500+152</f>
        <v>21652</v>
      </c>
      <c r="N3339" s="362">
        <f t="shared" si="117"/>
        <v>21652</v>
      </c>
      <c r="O3339" s="356"/>
      <c r="P3339" s="356"/>
      <c r="Q3339" s="356"/>
      <c r="R3339" s="356"/>
      <c r="S3339" s="356"/>
      <c r="T3339" s="356"/>
      <c r="U3339" s="372"/>
      <c r="V3339" s="372"/>
      <c r="W3339" s="372"/>
      <c r="X3339" s="373"/>
      <c r="Y3339" s="348"/>
      <c r="Z3339" s="348"/>
      <c r="AA3339" s="348"/>
    </row>
    <row r="3340" s="331" customFormat="1" ht="17" customHeight="1" spans="1:27">
      <c r="A3340" s="348"/>
      <c r="B3340" s="348" t="s">
        <v>31</v>
      </c>
      <c r="C3340" s="334" t="s">
        <v>419</v>
      </c>
      <c r="D3340" s="349" t="s">
        <v>356</v>
      </c>
      <c r="E3340" s="336">
        <v>43691</v>
      </c>
      <c r="F3340" s="336" t="s">
        <v>800</v>
      </c>
      <c r="G3340" s="336">
        <v>43690</v>
      </c>
      <c r="H3340" s="334" t="s">
        <v>8399</v>
      </c>
      <c r="I3340" s="356" t="s">
        <v>8400</v>
      </c>
      <c r="J3340" s="361" t="s">
        <v>8401</v>
      </c>
      <c r="K3340" s="356"/>
      <c r="L3340" s="419"/>
      <c r="M3340" s="334">
        <v>176</v>
      </c>
      <c r="N3340" s="362">
        <f t="shared" si="117"/>
        <v>176</v>
      </c>
      <c r="O3340" s="356"/>
      <c r="P3340" s="356"/>
      <c r="Q3340" s="356"/>
      <c r="R3340" s="356"/>
      <c r="S3340" s="356"/>
      <c r="T3340" s="356"/>
      <c r="U3340" s="372"/>
      <c r="V3340" s="372"/>
      <c r="W3340" s="372"/>
      <c r="X3340" s="373"/>
      <c r="Y3340" s="348"/>
      <c r="Z3340" s="348"/>
      <c r="AA3340" s="348"/>
    </row>
    <row r="3341" s="333" customFormat="1" ht="17" customHeight="1" spans="1:27">
      <c r="A3341" s="348" t="s">
        <v>8402</v>
      </c>
      <c r="B3341" s="348" t="s">
        <v>66</v>
      </c>
      <c r="C3341" s="348" t="s">
        <v>67</v>
      </c>
      <c r="D3341" s="352" t="s">
        <v>68</v>
      </c>
      <c r="E3341" s="336">
        <v>43163</v>
      </c>
      <c r="F3341" s="336">
        <v>43163</v>
      </c>
      <c r="G3341" s="350"/>
      <c r="H3341" s="334" t="s">
        <v>2219</v>
      </c>
      <c r="I3341" s="356">
        <v>13774466119</v>
      </c>
      <c r="J3341" s="361" t="s">
        <v>8403</v>
      </c>
      <c r="K3341" s="356">
        <v>500</v>
      </c>
      <c r="L3341" s="419"/>
      <c r="M3341" s="419"/>
      <c r="N3341" s="362">
        <f t="shared" si="117"/>
        <v>0</v>
      </c>
      <c r="O3341" s="356"/>
      <c r="P3341" s="356"/>
      <c r="Q3341" s="356"/>
      <c r="R3341" s="356"/>
      <c r="S3341" s="356"/>
      <c r="T3341" s="356"/>
      <c r="U3341" s="356" t="s">
        <v>8404</v>
      </c>
      <c r="V3341" s="372"/>
      <c r="W3341" s="372"/>
      <c r="X3341" s="373"/>
      <c r="Y3341" s="348"/>
      <c r="Z3341" s="348"/>
      <c r="AA3341" s="348"/>
    </row>
    <row r="3342" s="333" customFormat="1" ht="17" customHeight="1" spans="1:27">
      <c r="A3342" s="348">
        <v>2066339</v>
      </c>
      <c r="B3342" s="348" t="s">
        <v>66</v>
      </c>
      <c r="C3342" s="348" t="s">
        <v>67</v>
      </c>
      <c r="D3342" s="352" t="s">
        <v>1436</v>
      </c>
      <c r="E3342" s="336">
        <v>43221</v>
      </c>
      <c r="F3342" s="336">
        <v>43221</v>
      </c>
      <c r="G3342" s="350"/>
      <c r="H3342" s="334" t="s">
        <v>8405</v>
      </c>
      <c r="I3342" s="356">
        <v>13621808248</v>
      </c>
      <c r="J3342" s="361" t="s">
        <v>8406</v>
      </c>
      <c r="K3342" s="356">
        <v>1000</v>
      </c>
      <c r="L3342" s="419"/>
      <c r="M3342" s="419"/>
      <c r="N3342" s="362">
        <f t="shared" si="117"/>
        <v>0</v>
      </c>
      <c r="O3342" s="356" t="s">
        <v>8407</v>
      </c>
      <c r="P3342" s="356"/>
      <c r="Q3342" s="356"/>
      <c r="R3342" s="356"/>
      <c r="S3342" s="356"/>
      <c r="T3342" s="356"/>
      <c r="U3342" s="372"/>
      <c r="V3342" s="372"/>
      <c r="W3342" s="372"/>
      <c r="X3342" s="373"/>
      <c r="Y3342" s="348"/>
      <c r="Z3342" s="348"/>
      <c r="AA3342" s="348"/>
    </row>
    <row r="3343" s="333" customFormat="1" ht="17" customHeight="1" spans="1:27">
      <c r="A3343" s="348">
        <v>2068124</v>
      </c>
      <c r="B3343" s="348" t="s">
        <v>66</v>
      </c>
      <c r="C3343" s="348" t="s">
        <v>67</v>
      </c>
      <c r="D3343" s="352" t="s">
        <v>1436</v>
      </c>
      <c r="E3343" s="336">
        <v>43527</v>
      </c>
      <c r="F3343" s="336">
        <v>43527</v>
      </c>
      <c r="G3343" s="350"/>
      <c r="H3343" s="334" t="s">
        <v>1890</v>
      </c>
      <c r="I3343" s="356">
        <v>13801887955</v>
      </c>
      <c r="J3343" s="361" t="s">
        <v>1891</v>
      </c>
      <c r="K3343" s="356">
        <v>1000</v>
      </c>
      <c r="L3343" s="419"/>
      <c r="M3343" s="419"/>
      <c r="N3343" s="362">
        <f t="shared" si="117"/>
        <v>0</v>
      </c>
      <c r="O3343" s="356" t="s">
        <v>8408</v>
      </c>
      <c r="P3343" s="356"/>
      <c r="Q3343" s="356"/>
      <c r="R3343" s="356"/>
      <c r="S3343" s="356"/>
      <c r="T3343" s="356"/>
      <c r="U3343" s="372"/>
      <c r="V3343" s="372"/>
      <c r="W3343" s="372"/>
      <c r="X3343" s="373"/>
      <c r="Y3343" s="348"/>
      <c r="Z3343" s="348"/>
      <c r="AA3343" s="348"/>
    </row>
    <row r="3344" s="333" customFormat="1" ht="17" customHeight="1" spans="1:27">
      <c r="A3344" s="348">
        <v>2068123</v>
      </c>
      <c r="B3344" s="348" t="s">
        <v>66</v>
      </c>
      <c r="C3344" s="348" t="s">
        <v>67</v>
      </c>
      <c r="D3344" s="352" t="s">
        <v>68</v>
      </c>
      <c r="E3344" s="336">
        <v>43526</v>
      </c>
      <c r="F3344" s="336">
        <v>43526</v>
      </c>
      <c r="G3344" s="350"/>
      <c r="H3344" s="334" t="s">
        <v>8409</v>
      </c>
      <c r="I3344" s="356">
        <v>13524361377</v>
      </c>
      <c r="J3344" s="361" t="s">
        <v>8410</v>
      </c>
      <c r="K3344" s="356">
        <v>1000</v>
      </c>
      <c r="L3344" s="419"/>
      <c r="M3344" s="419"/>
      <c r="N3344" s="362">
        <f t="shared" si="117"/>
        <v>0</v>
      </c>
      <c r="O3344" s="356"/>
      <c r="P3344" s="356"/>
      <c r="Q3344" s="356"/>
      <c r="R3344" s="366" t="s">
        <v>52</v>
      </c>
      <c r="S3344" s="356"/>
      <c r="T3344" s="356"/>
      <c r="U3344" s="372" t="s">
        <v>63</v>
      </c>
      <c r="V3344" s="372"/>
      <c r="W3344" s="372"/>
      <c r="X3344" s="373"/>
      <c r="Y3344" s="348"/>
      <c r="Z3344" s="348"/>
      <c r="AA3344" s="348"/>
    </row>
    <row r="3345" s="333" customFormat="1" ht="17" customHeight="1" spans="1:27">
      <c r="A3345" s="348"/>
      <c r="B3345" s="348" t="s">
        <v>66</v>
      </c>
      <c r="C3345" s="348" t="s">
        <v>67</v>
      </c>
      <c r="D3345" s="352" t="s">
        <v>1436</v>
      </c>
      <c r="E3345" s="336">
        <v>43737</v>
      </c>
      <c r="F3345" s="336">
        <v>43666</v>
      </c>
      <c r="G3345" s="336">
        <v>43736</v>
      </c>
      <c r="H3345" s="334" t="s">
        <v>8411</v>
      </c>
      <c r="I3345" s="356">
        <v>17717808527</v>
      </c>
      <c r="J3345" s="334" t="s">
        <v>8412</v>
      </c>
      <c r="K3345" s="356">
        <v>1000</v>
      </c>
      <c r="L3345" s="334">
        <f>3816-536</f>
        <v>3280</v>
      </c>
      <c r="M3345" s="334">
        <v>536</v>
      </c>
      <c r="N3345" s="362">
        <f t="shared" si="117"/>
        <v>3816</v>
      </c>
      <c r="O3345" s="356"/>
      <c r="P3345" s="356"/>
      <c r="Q3345" s="356"/>
      <c r="R3345" s="356"/>
      <c r="S3345" s="356"/>
      <c r="T3345" s="356"/>
      <c r="U3345" s="372"/>
      <c r="V3345" s="372"/>
      <c r="W3345" s="372"/>
      <c r="X3345" s="373"/>
      <c r="Y3345" s="348"/>
      <c r="Z3345" s="348"/>
      <c r="AA3345" s="348"/>
    </row>
    <row r="3346" s="333" customFormat="1" ht="17" customHeight="1" spans="1:27">
      <c r="A3346" s="348">
        <v>2068836</v>
      </c>
      <c r="B3346" s="348" t="s">
        <v>66</v>
      </c>
      <c r="C3346" s="348" t="s">
        <v>119</v>
      </c>
      <c r="D3346" s="334" t="s">
        <v>2302</v>
      </c>
      <c r="E3346" s="336">
        <v>43761</v>
      </c>
      <c r="F3346" s="336">
        <v>43410</v>
      </c>
      <c r="G3346" s="336">
        <v>43761</v>
      </c>
      <c r="H3346" s="334" t="s">
        <v>8413</v>
      </c>
      <c r="I3346" s="356">
        <v>15000453321</v>
      </c>
      <c r="J3346" s="361" t="s">
        <v>8414</v>
      </c>
      <c r="K3346" s="356">
        <v>1000</v>
      </c>
      <c r="L3346" s="334">
        <v>7627</v>
      </c>
      <c r="M3346" s="419"/>
      <c r="N3346" s="362">
        <f t="shared" si="117"/>
        <v>7627</v>
      </c>
      <c r="O3346" s="356"/>
      <c r="P3346" s="356"/>
      <c r="Q3346" s="356" t="s">
        <v>21</v>
      </c>
      <c r="R3346" s="356"/>
      <c r="S3346" s="356"/>
      <c r="T3346" s="356"/>
      <c r="U3346" s="372"/>
      <c r="V3346" s="372"/>
      <c r="W3346" s="372"/>
      <c r="X3346" s="373"/>
      <c r="Y3346" s="348"/>
      <c r="Z3346" s="348"/>
      <c r="AA3346" s="348"/>
    </row>
    <row r="3347" s="331" customFormat="1" ht="17" customHeight="1" spans="1:27">
      <c r="A3347" s="550" t="s">
        <v>8415</v>
      </c>
      <c r="B3347" s="348" t="s">
        <v>185</v>
      </c>
      <c r="C3347" s="348" t="s">
        <v>1204</v>
      </c>
      <c r="D3347" s="334" t="s">
        <v>187</v>
      </c>
      <c r="E3347" s="336">
        <v>43735</v>
      </c>
      <c r="F3347" s="336">
        <v>43688</v>
      </c>
      <c r="G3347" s="336">
        <v>43732</v>
      </c>
      <c r="H3347" s="334" t="s">
        <v>8416</v>
      </c>
      <c r="I3347" s="356">
        <v>18918188612</v>
      </c>
      <c r="J3347" s="361" t="s">
        <v>8417</v>
      </c>
      <c r="K3347" s="356">
        <v>1000</v>
      </c>
      <c r="L3347" s="334">
        <v>64500</v>
      </c>
      <c r="M3347" s="419"/>
      <c r="N3347" s="362">
        <f t="shared" ref="N3347:N3367" si="118">L3347+M3347</f>
        <v>64500</v>
      </c>
      <c r="O3347" s="356"/>
      <c r="P3347" s="356"/>
      <c r="Q3347" s="356"/>
      <c r="R3347" s="356"/>
      <c r="S3347" s="356" t="s">
        <v>52</v>
      </c>
      <c r="T3347" s="356"/>
      <c r="U3347" s="372"/>
      <c r="V3347" s="372"/>
      <c r="W3347" s="372"/>
      <c r="X3347" s="373"/>
      <c r="Y3347" s="348"/>
      <c r="Z3347" s="348"/>
      <c r="AA3347" s="348"/>
    </row>
    <row r="3348" s="331" customFormat="1" ht="17" customHeight="1" spans="1:27">
      <c r="A3348" s="550" t="s">
        <v>8418</v>
      </c>
      <c r="B3348" s="348" t="s">
        <v>185</v>
      </c>
      <c r="C3348" s="348" t="s">
        <v>886</v>
      </c>
      <c r="D3348" s="334" t="s">
        <v>37</v>
      </c>
      <c r="E3348" s="336">
        <v>43723</v>
      </c>
      <c r="F3348" s="336">
        <v>43688</v>
      </c>
      <c r="G3348" s="336">
        <v>43722</v>
      </c>
      <c r="H3348" s="334" t="s">
        <v>8419</v>
      </c>
      <c r="I3348" s="356">
        <v>13391217277</v>
      </c>
      <c r="J3348" s="361" t="s">
        <v>8420</v>
      </c>
      <c r="K3348" s="356">
        <v>1000</v>
      </c>
      <c r="L3348" s="334">
        <f>7387-804</f>
        <v>6583</v>
      </c>
      <c r="M3348" s="334">
        <v>804</v>
      </c>
      <c r="N3348" s="362">
        <f t="shared" si="118"/>
        <v>7387</v>
      </c>
      <c r="O3348" s="356"/>
      <c r="P3348" s="356"/>
      <c r="Q3348" s="356" t="s">
        <v>52</v>
      </c>
      <c r="R3348" s="356"/>
      <c r="S3348" s="356"/>
      <c r="T3348" s="356"/>
      <c r="U3348" s="372"/>
      <c r="V3348" s="372"/>
      <c r="W3348" s="372"/>
      <c r="X3348" s="373"/>
      <c r="Y3348" s="348"/>
      <c r="Z3348" s="348"/>
      <c r="AA3348" s="348"/>
    </row>
    <row r="3349" s="331" customFormat="1" ht="17" customHeight="1" spans="1:27">
      <c r="A3349" s="348">
        <v>2024169</v>
      </c>
      <c r="B3349" s="348" t="s">
        <v>137</v>
      </c>
      <c r="C3349" s="348" t="s">
        <v>406</v>
      </c>
      <c r="D3349" s="334" t="s">
        <v>443</v>
      </c>
      <c r="E3349" s="336">
        <v>43708</v>
      </c>
      <c r="F3349" s="336">
        <v>43691</v>
      </c>
      <c r="G3349" s="336">
        <v>43708</v>
      </c>
      <c r="H3349" s="334" t="s">
        <v>8421</v>
      </c>
      <c r="I3349" s="356">
        <v>13003153300</v>
      </c>
      <c r="J3349" s="361" t="s">
        <v>8422</v>
      </c>
      <c r="K3349" s="356">
        <v>6896</v>
      </c>
      <c r="L3349" s="334">
        <f>12333-1104</f>
        <v>11229</v>
      </c>
      <c r="M3349" s="334">
        <v>1104</v>
      </c>
      <c r="N3349" s="362">
        <f t="shared" si="118"/>
        <v>12333</v>
      </c>
      <c r="O3349" s="356"/>
      <c r="P3349" s="356"/>
      <c r="Q3349" s="356"/>
      <c r="R3349" s="356"/>
      <c r="S3349" s="356"/>
      <c r="T3349" s="356"/>
      <c r="U3349" s="372"/>
      <c r="V3349" s="372"/>
      <c r="W3349" s="372"/>
      <c r="X3349" s="373"/>
      <c r="Y3349" s="348"/>
      <c r="Z3349" s="348"/>
      <c r="AA3349" s="348"/>
    </row>
    <row r="3350" s="331" customFormat="1" ht="17" customHeight="1" spans="1:27">
      <c r="A3350" s="550" t="s">
        <v>8423</v>
      </c>
      <c r="B3350" s="348" t="s">
        <v>185</v>
      </c>
      <c r="C3350" s="348" t="s">
        <v>886</v>
      </c>
      <c r="D3350" s="352" t="s">
        <v>187</v>
      </c>
      <c r="E3350" s="336">
        <v>43691</v>
      </c>
      <c r="F3350" s="336">
        <v>43691</v>
      </c>
      <c r="G3350" s="350"/>
      <c r="H3350" s="334" t="s">
        <v>8424</v>
      </c>
      <c r="I3350" s="356">
        <v>13916774229</v>
      </c>
      <c r="J3350" s="361" t="s">
        <v>8425</v>
      </c>
      <c r="K3350" s="356">
        <v>1000</v>
      </c>
      <c r="L3350" s="419"/>
      <c r="M3350" s="419"/>
      <c r="N3350" s="362">
        <f t="shared" si="118"/>
        <v>0</v>
      </c>
      <c r="O3350" s="356"/>
      <c r="P3350" s="356" t="s">
        <v>52</v>
      </c>
      <c r="Q3350" s="356"/>
      <c r="R3350" s="356"/>
      <c r="S3350" s="356"/>
      <c r="T3350" s="356"/>
      <c r="U3350" s="372" t="s">
        <v>889</v>
      </c>
      <c r="V3350" s="372"/>
      <c r="W3350" s="372"/>
      <c r="X3350" s="373"/>
      <c r="Y3350" s="348"/>
      <c r="Z3350" s="348"/>
      <c r="AA3350" s="348"/>
    </row>
    <row r="3351" s="331" customFormat="1" ht="17" customHeight="1" spans="1:27">
      <c r="A3351" s="550" t="s">
        <v>8426</v>
      </c>
      <c r="B3351" s="348" t="s">
        <v>185</v>
      </c>
      <c r="C3351" s="348" t="s">
        <v>886</v>
      </c>
      <c r="D3351" s="352" t="s">
        <v>187</v>
      </c>
      <c r="E3351" s="336">
        <v>43697</v>
      </c>
      <c r="F3351" s="336">
        <v>43691</v>
      </c>
      <c r="G3351" s="336">
        <v>43697</v>
      </c>
      <c r="H3351" s="334" t="s">
        <v>8427</v>
      </c>
      <c r="I3351" s="356">
        <v>13761288214</v>
      </c>
      <c r="J3351" s="361" t="s">
        <v>8428</v>
      </c>
      <c r="K3351" s="356">
        <v>1000</v>
      </c>
      <c r="L3351" s="334">
        <f>4244-760</f>
        <v>3484</v>
      </c>
      <c r="M3351" s="334">
        <v>760</v>
      </c>
      <c r="N3351" s="362">
        <f t="shared" si="118"/>
        <v>4244</v>
      </c>
      <c r="O3351" s="356"/>
      <c r="P3351" s="356"/>
      <c r="Q3351" s="356"/>
      <c r="R3351" s="356"/>
      <c r="S3351" s="356"/>
      <c r="T3351" s="356"/>
      <c r="U3351" s="372"/>
      <c r="V3351" s="372"/>
      <c r="W3351" s="372"/>
      <c r="X3351" s="373"/>
      <c r="Y3351" s="348"/>
      <c r="Z3351" s="348"/>
      <c r="AA3351" s="348"/>
    </row>
    <row r="3352" s="331" customFormat="1" ht="17" customHeight="1" spans="1:27">
      <c r="A3352" s="348"/>
      <c r="B3352" s="348" t="s">
        <v>185</v>
      </c>
      <c r="C3352" s="348" t="s">
        <v>886</v>
      </c>
      <c r="D3352" s="352" t="s">
        <v>187</v>
      </c>
      <c r="E3352" s="336">
        <v>43716</v>
      </c>
      <c r="F3352" s="336">
        <v>43691</v>
      </c>
      <c r="G3352" s="336">
        <v>43715</v>
      </c>
      <c r="H3352" s="334" t="s">
        <v>8429</v>
      </c>
      <c r="I3352" s="356">
        <v>15021935979</v>
      </c>
      <c r="J3352" s="361" t="s">
        <v>8430</v>
      </c>
      <c r="K3352" s="356">
        <v>1000</v>
      </c>
      <c r="L3352" s="334">
        <v>4000</v>
      </c>
      <c r="M3352" s="419"/>
      <c r="N3352" s="362">
        <f t="shared" si="118"/>
        <v>4000</v>
      </c>
      <c r="O3352" s="356"/>
      <c r="P3352" s="356"/>
      <c r="Q3352" s="356"/>
      <c r="R3352" s="356" t="s">
        <v>52</v>
      </c>
      <c r="S3352" s="356"/>
      <c r="T3352" s="356"/>
      <c r="U3352" s="372"/>
      <c r="V3352" s="372"/>
      <c r="W3352" s="372"/>
      <c r="X3352" s="373"/>
      <c r="Y3352" s="348"/>
      <c r="Z3352" s="348"/>
      <c r="AA3352" s="348"/>
    </row>
    <row r="3353" s="331" customFormat="1" ht="17" customHeight="1" spans="1:27">
      <c r="A3353" s="550" t="s">
        <v>4872</v>
      </c>
      <c r="B3353" s="348" t="s">
        <v>185</v>
      </c>
      <c r="C3353" s="348" t="s">
        <v>1204</v>
      </c>
      <c r="D3353" s="352" t="s">
        <v>44</v>
      </c>
      <c r="E3353" s="336">
        <v>43704</v>
      </c>
      <c r="F3353" s="336">
        <v>43691</v>
      </c>
      <c r="G3353" s="336">
        <v>43703</v>
      </c>
      <c r="H3353" s="334" t="s">
        <v>8431</v>
      </c>
      <c r="I3353" s="356">
        <v>18301958587</v>
      </c>
      <c r="J3353" s="361" t="s">
        <v>8432</v>
      </c>
      <c r="K3353" s="356">
        <v>1000</v>
      </c>
      <c r="L3353" s="334">
        <f>11480-804</f>
        <v>10676</v>
      </c>
      <c r="M3353" s="334">
        <v>804</v>
      </c>
      <c r="N3353" s="362">
        <f t="shared" si="118"/>
        <v>11480</v>
      </c>
      <c r="O3353" s="356"/>
      <c r="P3353" s="356"/>
      <c r="Q3353" s="356"/>
      <c r="R3353" s="356" t="s">
        <v>52</v>
      </c>
      <c r="S3353" s="356"/>
      <c r="T3353" s="356"/>
      <c r="U3353" s="372"/>
      <c r="V3353" s="372"/>
      <c r="W3353" s="372"/>
      <c r="X3353" s="373"/>
      <c r="Y3353" s="348"/>
      <c r="Z3353" s="348"/>
      <c r="AA3353" s="348"/>
    </row>
    <row r="3354" s="331" customFormat="1" ht="17" customHeight="1" spans="1:27">
      <c r="A3354" s="550" t="s">
        <v>8433</v>
      </c>
      <c r="B3354" s="348" t="s">
        <v>185</v>
      </c>
      <c r="C3354" s="348" t="s">
        <v>886</v>
      </c>
      <c r="D3354" s="352" t="s">
        <v>187</v>
      </c>
      <c r="E3354" s="336">
        <v>43767</v>
      </c>
      <c r="F3354" s="336">
        <v>43688</v>
      </c>
      <c r="G3354" s="336">
        <v>43765</v>
      </c>
      <c r="H3354" s="334" t="s">
        <v>8434</v>
      </c>
      <c r="I3354" s="356">
        <v>13564196606</v>
      </c>
      <c r="J3354" s="361" t="s">
        <v>8435</v>
      </c>
      <c r="K3354" s="356">
        <v>1000</v>
      </c>
      <c r="L3354" s="334">
        <v>22804</v>
      </c>
      <c r="M3354" s="419"/>
      <c r="N3354" s="362">
        <f t="shared" si="118"/>
        <v>22804</v>
      </c>
      <c r="O3354" s="356"/>
      <c r="P3354" s="356" t="s">
        <v>52</v>
      </c>
      <c r="Q3354" s="356"/>
      <c r="R3354" s="356"/>
      <c r="S3354" s="356"/>
      <c r="T3354" s="356"/>
      <c r="U3354" s="372"/>
      <c r="V3354" s="372"/>
      <c r="W3354" s="372"/>
      <c r="X3354" s="373"/>
      <c r="Y3354" s="348"/>
      <c r="Z3354" s="348"/>
      <c r="AA3354" s="348"/>
    </row>
    <row r="3355" s="331" customFormat="1" ht="17" customHeight="1" spans="1:27">
      <c r="A3355" s="550" t="s">
        <v>8436</v>
      </c>
      <c r="B3355" s="348" t="s">
        <v>185</v>
      </c>
      <c r="C3355" s="348" t="s">
        <v>886</v>
      </c>
      <c r="D3355" s="352" t="s">
        <v>187</v>
      </c>
      <c r="E3355" s="336">
        <v>43765</v>
      </c>
      <c r="F3355" s="336">
        <v>43688</v>
      </c>
      <c r="G3355" s="336">
        <v>43764</v>
      </c>
      <c r="H3355" s="334" t="s">
        <v>8437</v>
      </c>
      <c r="I3355" s="356">
        <v>13817174043</v>
      </c>
      <c r="J3355" s="361" t="s">
        <v>8438</v>
      </c>
      <c r="K3355" s="356">
        <v>1000</v>
      </c>
      <c r="L3355" s="334">
        <v>10500</v>
      </c>
      <c r="M3355" s="419"/>
      <c r="N3355" s="362">
        <f t="shared" si="118"/>
        <v>10500</v>
      </c>
      <c r="O3355" s="356"/>
      <c r="P3355" s="356"/>
      <c r="Q3355" s="356"/>
      <c r="R3355" s="356" t="s">
        <v>52</v>
      </c>
      <c r="S3355" s="356"/>
      <c r="T3355" s="356"/>
      <c r="U3355" s="372"/>
      <c r="V3355" s="372"/>
      <c r="W3355" s="372"/>
      <c r="X3355" s="373"/>
      <c r="Y3355" s="348"/>
      <c r="Z3355" s="348"/>
      <c r="AA3355" s="348"/>
    </row>
    <row r="3356" s="331" customFormat="1" ht="17" customHeight="1" spans="1:27">
      <c r="A3356" s="550" t="s">
        <v>1927</v>
      </c>
      <c r="B3356" s="348" t="s">
        <v>185</v>
      </c>
      <c r="C3356" s="348" t="s">
        <v>886</v>
      </c>
      <c r="D3356" s="352" t="s">
        <v>187</v>
      </c>
      <c r="E3356" s="336">
        <v>43723</v>
      </c>
      <c r="F3356" s="336">
        <v>43688</v>
      </c>
      <c r="G3356" s="336">
        <v>43722</v>
      </c>
      <c r="H3356" s="334" t="s">
        <v>8439</v>
      </c>
      <c r="I3356" s="356">
        <v>13042169597</v>
      </c>
      <c r="J3356" s="361" t="s">
        <v>8440</v>
      </c>
      <c r="K3356" s="356">
        <v>1000</v>
      </c>
      <c r="L3356" s="334">
        <v>22038</v>
      </c>
      <c r="M3356" s="419"/>
      <c r="N3356" s="362">
        <f t="shared" si="118"/>
        <v>22038</v>
      </c>
      <c r="O3356" s="356"/>
      <c r="P3356" s="356"/>
      <c r="Q3356" s="356"/>
      <c r="R3356" s="356" t="s">
        <v>52</v>
      </c>
      <c r="S3356" s="356"/>
      <c r="T3356" s="356"/>
      <c r="U3356" s="372"/>
      <c r="V3356" s="372"/>
      <c r="W3356" s="372"/>
      <c r="X3356" s="373"/>
      <c r="Y3356" s="348"/>
      <c r="Z3356" s="348"/>
      <c r="AA3356" s="348"/>
    </row>
    <row r="3357" s="332" customFormat="1" ht="17" customHeight="1" spans="1:27">
      <c r="A3357" s="550" t="s">
        <v>8441</v>
      </c>
      <c r="B3357" s="348" t="s">
        <v>42</v>
      </c>
      <c r="C3357" s="348" t="s">
        <v>43</v>
      </c>
      <c r="D3357" s="334" t="s">
        <v>207</v>
      </c>
      <c r="E3357" s="336">
        <v>43781</v>
      </c>
      <c r="F3357" s="336">
        <v>43688</v>
      </c>
      <c r="G3357" s="336">
        <v>43780</v>
      </c>
      <c r="H3357" s="334" t="s">
        <v>8442</v>
      </c>
      <c r="I3357" s="356">
        <v>13052467147</v>
      </c>
      <c r="J3357" s="361" t="s">
        <v>8443</v>
      </c>
      <c r="K3357" s="356">
        <v>1000</v>
      </c>
      <c r="L3357" s="334">
        <v>11319</v>
      </c>
      <c r="M3357" s="419"/>
      <c r="N3357" s="362">
        <f t="shared" si="118"/>
        <v>11319</v>
      </c>
      <c r="O3357" s="356"/>
      <c r="P3357" s="356" t="s">
        <v>1526</v>
      </c>
      <c r="Q3357" s="356"/>
      <c r="R3357" s="356"/>
      <c r="S3357" s="356"/>
      <c r="T3357" s="356"/>
      <c r="U3357" s="372"/>
      <c r="V3357" s="372"/>
      <c r="W3357" s="372"/>
      <c r="X3357" s="373"/>
      <c r="Y3357" s="348"/>
      <c r="Z3357" s="348"/>
      <c r="AA3357" s="348"/>
    </row>
    <row r="3358" s="331" customFormat="1" ht="17" customHeight="1" spans="1:27">
      <c r="A3358" s="550" t="s">
        <v>8444</v>
      </c>
      <c r="B3358" s="348" t="s">
        <v>359</v>
      </c>
      <c r="C3358" s="348" t="s">
        <v>3018</v>
      </c>
      <c r="D3358" s="352" t="s">
        <v>361</v>
      </c>
      <c r="E3358" s="336">
        <v>43691</v>
      </c>
      <c r="F3358" s="336">
        <v>43691</v>
      </c>
      <c r="G3358" s="350"/>
      <c r="H3358" s="334" t="s">
        <v>8445</v>
      </c>
      <c r="I3358" s="356">
        <v>18930665615</v>
      </c>
      <c r="J3358" s="361" t="s">
        <v>8446</v>
      </c>
      <c r="K3358" s="356">
        <v>1000</v>
      </c>
      <c r="L3358" s="419"/>
      <c r="M3358" s="419"/>
      <c r="N3358" s="362">
        <f t="shared" si="118"/>
        <v>0</v>
      </c>
      <c r="O3358" s="356"/>
      <c r="P3358" s="356"/>
      <c r="Q3358" s="356"/>
      <c r="R3358" s="356" t="s">
        <v>22</v>
      </c>
      <c r="S3358" s="356"/>
      <c r="T3358" s="356"/>
      <c r="U3358" s="372" t="s">
        <v>8447</v>
      </c>
      <c r="V3358" s="372"/>
      <c r="W3358" s="372"/>
      <c r="X3358" s="373"/>
      <c r="Y3358" s="348"/>
      <c r="Z3358" s="348"/>
      <c r="AA3358" s="348"/>
    </row>
    <row r="3359" s="331" customFormat="1" ht="17" customHeight="1" spans="1:27">
      <c r="A3359" s="348"/>
      <c r="B3359" s="348" t="s">
        <v>405</v>
      </c>
      <c r="C3359" s="348" t="s">
        <v>823</v>
      </c>
      <c r="D3359" s="352" t="s">
        <v>407</v>
      </c>
      <c r="E3359" s="336">
        <v>43696</v>
      </c>
      <c r="F3359" s="336">
        <v>43691</v>
      </c>
      <c r="G3359" s="350">
        <v>43694</v>
      </c>
      <c r="H3359" s="334" t="s">
        <v>8448</v>
      </c>
      <c r="I3359" s="356">
        <v>18018626506</v>
      </c>
      <c r="J3359" s="361" t="s">
        <v>8449</v>
      </c>
      <c r="K3359" s="356">
        <v>3000</v>
      </c>
      <c r="L3359" s="334">
        <v>7903</v>
      </c>
      <c r="M3359" s="419"/>
      <c r="N3359" s="362">
        <f t="shared" si="118"/>
        <v>7903</v>
      </c>
      <c r="O3359" s="356"/>
      <c r="P3359" s="356"/>
      <c r="Q3359" s="356"/>
      <c r="R3359" s="356"/>
      <c r="S3359" s="356"/>
      <c r="T3359" s="356"/>
      <c r="U3359" s="372"/>
      <c r="V3359" s="372"/>
      <c r="W3359" s="372"/>
      <c r="X3359" s="373"/>
      <c r="Y3359" s="348"/>
      <c r="Z3359" s="348"/>
      <c r="AA3359" s="348"/>
    </row>
    <row r="3360" s="331" customFormat="1" ht="17" customHeight="1" spans="1:27">
      <c r="A3360" s="550" t="s">
        <v>8450</v>
      </c>
      <c r="B3360" s="348" t="s">
        <v>185</v>
      </c>
      <c r="C3360" s="348" t="s">
        <v>886</v>
      </c>
      <c r="D3360" s="349" t="s">
        <v>44</v>
      </c>
      <c r="E3360" s="336">
        <v>43702</v>
      </c>
      <c r="F3360" s="336">
        <v>43691</v>
      </c>
      <c r="G3360" s="336">
        <v>43702</v>
      </c>
      <c r="H3360" s="334" t="s">
        <v>5433</v>
      </c>
      <c r="I3360" s="356">
        <v>17717583504</v>
      </c>
      <c r="J3360" s="361" t="s">
        <v>8451</v>
      </c>
      <c r="K3360" s="356">
        <v>1161</v>
      </c>
      <c r="L3360" s="334">
        <v>4120</v>
      </c>
      <c r="M3360" s="419"/>
      <c r="N3360" s="362">
        <f t="shared" si="118"/>
        <v>4120</v>
      </c>
      <c r="O3360" s="356" t="s">
        <v>52</v>
      </c>
      <c r="P3360" s="356"/>
      <c r="Q3360" s="356"/>
      <c r="R3360" s="356"/>
      <c r="S3360" s="356"/>
      <c r="T3360" s="356"/>
      <c r="U3360" s="372"/>
      <c r="V3360" s="372"/>
      <c r="W3360" s="372"/>
      <c r="X3360" s="373"/>
      <c r="Y3360" s="348"/>
      <c r="Z3360" s="348"/>
      <c r="AA3360" s="348"/>
    </row>
    <row r="3361" s="331" customFormat="1" ht="17" customHeight="1" spans="1:27">
      <c r="A3361" s="348"/>
      <c r="B3361" s="348" t="s">
        <v>31</v>
      </c>
      <c r="C3361" s="348" t="s">
        <v>220</v>
      </c>
      <c r="D3361" s="352" t="s">
        <v>221</v>
      </c>
      <c r="E3361" s="336">
        <v>43711</v>
      </c>
      <c r="F3361" s="336">
        <v>43691</v>
      </c>
      <c r="G3361" s="336">
        <v>43709</v>
      </c>
      <c r="H3361" s="334" t="s">
        <v>8452</v>
      </c>
      <c r="I3361" s="356">
        <v>13818978917</v>
      </c>
      <c r="J3361" s="361" t="s">
        <v>8453</v>
      </c>
      <c r="K3361" s="356">
        <v>1000</v>
      </c>
      <c r="L3361" s="334">
        <v>24219</v>
      </c>
      <c r="M3361" s="419"/>
      <c r="N3361" s="362">
        <f t="shared" si="118"/>
        <v>24219</v>
      </c>
      <c r="O3361" s="356"/>
      <c r="P3361" s="356"/>
      <c r="Q3361" s="366" t="s">
        <v>52</v>
      </c>
      <c r="R3361" s="356"/>
      <c r="S3361" s="356"/>
      <c r="T3361" s="356"/>
      <c r="U3361" s="372"/>
      <c r="V3361" s="372"/>
      <c r="W3361" s="372"/>
      <c r="X3361" s="373"/>
      <c r="Y3361" s="348"/>
      <c r="Z3361" s="348"/>
      <c r="AA3361" s="348"/>
    </row>
    <row r="3362" s="331" customFormat="1" ht="17" customHeight="1" spans="1:27">
      <c r="A3362" s="550" t="s">
        <v>8454</v>
      </c>
      <c r="B3362" s="348" t="s">
        <v>31</v>
      </c>
      <c r="C3362" s="348" t="s">
        <v>220</v>
      </c>
      <c r="D3362" s="352" t="s">
        <v>221</v>
      </c>
      <c r="E3362" s="336">
        <v>43691</v>
      </c>
      <c r="F3362" s="336">
        <v>43691</v>
      </c>
      <c r="G3362" s="350"/>
      <c r="H3362" s="334" t="s">
        <v>8455</v>
      </c>
      <c r="I3362" s="356">
        <v>17701672388</v>
      </c>
      <c r="J3362" s="361" t="s">
        <v>8456</v>
      </c>
      <c r="K3362" s="356">
        <v>1000</v>
      </c>
      <c r="L3362" s="419"/>
      <c r="M3362" s="419"/>
      <c r="N3362" s="362">
        <f t="shared" si="118"/>
        <v>0</v>
      </c>
      <c r="O3362" s="356"/>
      <c r="P3362" s="356"/>
      <c r="Q3362" s="366" t="s">
        <v>52</v>
      </c>
      <c r="R3362" s="356"/>
      <c r="S3362" s="356"/>
      <c r="T3362" s="356"/>
      <c r="U3362" s="373" t="s">
        <v>63</v>
      </c>
      <c r="V3362" s="372"/>
      <c r="W3362" s="372"/>
      <c r="X3362" s="373"/>
      <c r="Y3362" s="348"/>
      <c r="Z3362" s="348"/>
      <c r="AA3362" s="348"/>
    </row>
    <row r="3363" s="331" customFormat="1" ht="17" customHeight="1" spans="1:27">
      <c r="A3363" s="550" t="s">
        <v>8457</v>
      </c>
      <c r="B3363" s="348" t="s">
        <v>169</v>
      </c>
      <c r="C3363" s="348" t="s">
        <v>542</v>
      </c>
      <c r="D3363" s="352" t="s">
        <v>171</v>
      </c>
      <c r="E3363" s="336">
        <v>43698</v>
      </c>
      <c r="F3363" s="336">
        <v>43691</v>
      </c>
      <c r="G3363" s="336">
        <v>43698</v>
      </c>
      <c r="H3363" s="334" t="s">
        <v>8458</v>
      </c>
      <c r="I3363" s="356">
        <v>18516171707</v>
      </c>
      <c r="J3363" s="361" t="s">
        <v>8459</v>
      </c>
      <c r="K3363" s="356">
        <v>1000</v>
      </c>
      <c r="L3363" s="334">
        <f>12607-804</f>
        <v>11803</v>
      </c>
      <c r="M3363" s="334">
        <v>804</v>
      </c>
      <c r="N3363" s="362">
        <f t="shared" si="118"/>
        <v>12607</v>
      </c>
      <c r="O3363" s="356"/>
      <c r="P3363" s="356"/>
      <c r="Q3363" s="356"/>
      <c r="R3363" s="356"/>
      <c r="S3363" s="356"/>
      <c r="T3363" s="356"/>
      <c r="U3363" s="372"/>
      <c r="V3363" s="372"/>
      <c r="W3363" s="372"/>
      <c r="X3363" s="373"/>
      <c r="Y3363" s="348"/>
      <c r="Z3363" s="348"/>
      <c r="AA3363" s="348"/>
    </row>
    <row r="3364" s="331" customFormat="1" ht="17" customHeight="1" spans="1:27">
      <c r="A3364" s="348"/>
      <c r="B3364" s="348" t="s">
        <v>94</v>
      </c>
      <c r="C3364" s="334" t="s">
        <v>101</v>
      </c>
      <c r="D3364" s="352" t="s">
        <v>49</v>
      </c>
      <c r="E3364" s="336">
        <v>43691</v>
      </c>
      <c r="F3364" s="336"/>
      <c r="G3364" s="336">
        <v>43691</v>
      </c>
      <c r="H3364" s="334" t="s">
        <v>8460</v>
      </c>
      <c r="I3364" s="356">
        <v>13524536566</v>
      </c>
      <c r="J3364" s="361" t="s">
        <v>8461</v>
      </c>
      <c r="K3364" s="356"/>
      <c r="L3364" s="334">
        <f>13000-1340</f>
        <v>11660</v>
      </c>
      <c r="M3364" s="334">
        <v>1340</v>
      </c>
      <c r="N3364" s="362">
        <f t="shared" si="118"/>
        <v>13000</v>
      </c>
      <c r="O3364" s="356"/>
      <c r="P3364" s="356"/>
      <c r="Q3364" s="356"/>
      <c r="R3364" s="356"/>
      <c r="S3364" s="356"/>
      <c r="T3364" s="356"/>
      <c r="U3364" s="372"/>
      <c r="V3364" s="372"/>
      <c r="W3364" s="372"/>
      <c r="X3364" s="373"/>
      <c r="Y3364" s="348"/>
      <c r="Z3364" s="348"/>
      <c r="AA3364" s="348"/>
    </row>
    <row r="3365" s="331" customFormat="1" ht="17" customHeight="1" spans="1:27">
      <c r="A3365" s="348"/>
      <c r="B3365" s="348" t="s">
        <v>73</v>
      </c>
      <c r="C3365" s="334" t="s">
        <v>74</v>
      </c>
      <c r="D3365" s="349" t="s">
        <v>717</v>
      </c>
      <c r="E3365" s="336">
        <v>43691</v>
      </c>
      <c r="F3365" s="336" t="s">
        <v>800</v>
      </c>
      <c r="G3365" s="336">
        <v>43686</v>
      </c>
      <c r="H3365" s="334" t="s">
        <v>8462</v>
      </c>
      <c r="I3365" s="356">
        <v>18721795961</v>
      </c>
      <c r="J3365" s="361" t="s">
        <v>8463</v>
      </c>
      <c r="K3365" s="356"/>
      <c r="L3365" s="334"/>
      <c r="M3365" s="334">
        <f>-23331</f>
        <v>-23331</v>
      </c>
      <c r="N3365" s="362">
        <f t="shared" si="118"/>
        <v>-23331</v>
      </c>
      <c r="O3365" s="356"/>
      <c r="P3365" s="356"/>
      <c r="Q3365" s="356"/>
      <c r="R3365" s="356"/>
      <c r="S3365" s="356"/>
      <c r="T3365" s="356"/>
      <c r="U3365" s="372"/>
      <c r="V3365" s="372"/>
      <c r="W3365" s="372"/>
      <c r="X3365" s="373"/>
      <c r="Y3365" s="348"/>
      <c r="Z3365" s="348"/>
      <c r="AA3365" s="348"/>
    </row>
    <row r="3366" s="331" customFormat="1" ht="17" customHeight="1" spans="1:27">
      <c r="A3366" s="348"/>
      <c r="B3366" s="348" t="s">
        <v>315</v>
      </c>
      <c r="C3366" s="334" t="s">
        <v>161</v>
      </c>
      <c r="D3366" s="349" t="s">
        <v>162</v>
      </c>
      <c r="E3366" s="336">
        <v>43691</v>
      </c>
      <c r="F3366" s="336" t="s">
        <v>800</v>
      </c>
      <c r="G3366" s="336">
        <v>43691</v>
      </c>
      <c r="H3366" s="334" t="s">
        <v>6696</v>
      </c>
      <c r="I3366" s="356">
        <v>15921566756</v>
      </c>
      <c r="J3366" s="361" t="s">
        <v>8464</v>
      </c>
      <c r="K3366" s="356"/>
      <c r="L3366" s="419"/>
      <c r="M3366" s="334">
        <v>1601</v>
      </c>
      <c r="N3366" s="362">
        <f t="shared" si="118"/>
        <v>1601</v>
      </c>
      <c r="O3366" s="356"/>
      <c r="P3366" s="356"/>
      <c r="Q3366" s="356"/>
      <c r="R3366" s="356"/>
      <c r="S3366" s="356"/>
      <c r="T3366" s="356"/>
      <c r="U3366" s="372"/>
      <c r="V3366" s="372"/>
      <c r="W3366" s="372"/>
      <c r="X3366" s="373"/>
      <c r="Y3366" s="348"/>
      <c r="Z3366" s="348"/>
      <c r="AA3366" s="348"/>
    </row>
    <row r="3367" s="331" customFormat="1" ht="17" customHeight="1" spans="1:27">
      <c r="A3367" s="348"/>
      <c r="B3367" s="348" t="s">
        <v>2625</v>
      </c>
      <c r="C3367" s="348" t="s">
        <v>2626</v>
      </c>
      <c r="D3367" s="349" t="s">
        <v>635</v>
      </c>
      <c r="E3367" s="336">
        <v>43691</v>
      </c>
      <c r="F3367" s="336" t="s">
        <v>800</v>
      </c>
      <c r="G3367" s="336">
        <v>43691</v>
      </c>
      <c r="H3367" s="334" t="s">
        <v>3871</v>
      </c>
      <c r="I3367" s="356">
        <v>13801850877</v>
      </c>
      <c r="J3367" s="361" t="s">
        <v>8465</v>
      </c>
      <c r="K3367" s="356"/>
      <c r="L3367" s="419"/>
      <c r="M3367" s="334">
        <v>1483</v>
      </c>
      <c r="N3367" s="362">
        <f t="shared" si="118"/>
        <v>1483</v>
      </c>
      <c r="O3367" s="356"/>
      <c r="P3367" s="356"/>
      <c r="Q3367" s="356"/>
      <c r="R3367" s="356"/>
      <c r="S3367" s="356"/>
      <c r="T3367" s="356"/>
      <c r="U3367" s="372"/>
      <c r="V3367" s="372"/>
      <c r="W3367" s="372"/>
      <c r="X3367" s="373"/>
      <c r="Y3367" s="348"/>
      <c r="Z3367" s="348"/>
      <c r="AA3367" s="348"/>
    </row>
    <row r="3368" s="331" customFormat="1" ht="17" customHeight="1" spans="1:27">
      <c r="A3368" s="550" t="s">
        <v>8466</v>
      </c>
      <c r="B3368" s="348" t="s">
        <v>87</v>
      </c>
      <c r="C3368" s="348" t="s">
        <v>199</v>
      </c>
      <c r="D3368" s="349" t="s">
        <v>89</v>
      </c>
      <c r="E3368" s="336">
        <v>43692</v>
      </c>
      <c r="F3368" s="336">
        <v>43691</v>
      </c>
      <c r="G3368" s="350">
        <v>43691</v>
      </c>
      <c r="H3368" s="334" t="s">
        <v>8467</v>
      </c>
      <c r="I3368" s="356">
        <v>15618886737</v>
      </c>
      <c r="J3368" s="361" t="s">
        <v>8468</v>
      </c>
      <c r="K3368" s="356">
        <v>8208</v>
      </c>
      <c r="L3368" s="334">
        <v>8208</v>
      </c>
      <c r="M3368" s="419"/>
      <c r="N3368" s="362">
        <f t="shared" ref="N3368:N3398" si="119">L3368+M3368</f>
        <v>8208</v>
      </c>
      <c r="O3368" s="356"/>
      <c r="P3368" s="356"/>
      <c r="Q3368" s="356"/>
      <c r="R3368" s="356"/>
      <c r="S3368" s="356"/>
      <c r="T3368" s="356"/>
      <c r="U3368" s="372"/>
      <c r="V3368" s="372"/>
      <c r="W3368" s="372"/>
      <c r="X3368" s="373"/>
      <c r="Y3368" s="348"/>
      <c r="Z3368" s="348"/>
      <c r="AA3368" s="348"/>
    </row>
    <row r="3369" s="331" customFormat="1" ht="17" customHeight="1" spans="1:27">
      <c r="A3369" s="550" t="s">
        <v>8469</v>
      </c>
      <c r="B3369" s="348" t="s">
        <v>123</v>
      </c>
      <c r="C3369" s="348" t="s">
        <v>902</v>
      </c>
      <c r="D3369" s="352" t="s">
        <v>125</v>
      </c>
      <c r="E3369" s="336">
        <v>43701</v>
      </c>
      <c r="F3369" s="336">
        <v>43691</v>
      </c>
      <c r="G3369" s="336">
        <v>43701</v>
      </c>
      <c r="H3369" s="334" t="s">
        <v>8470</v>
      </c>
      <c r="I3369" s="356">
        <v>13917694166</v>
      </c>
      <c r="J3369" s="361" t="s">
        <v>8471</v>
      </c>
      <c r="K3369" s="356">
        <v>24000</v>
      </c>
      <c r="L3369" s="334">
        <f>25100-3440</f>
        <v>21660</v>
      </c>
      <c r="M3369" s="334">
        <v>3440</v>
      </c>
      <c r="N3369" s="362">
        <f t="shared" si="119"/>
        <v>25100</v>
      </c>
      <c r="O3369" s="356"/>
      <c r="P3369" s="356"/>
      <c r="Q3369" s="366" t="s">
        <v>52</v>
      </c>
      <c r="R3369" s="356"/>
      <c r="S3369" s="356"/>
      <c r="T3369" s="356"/>
      <c r="U3369" s="372"/>
      <c r="V3369" s="372"/>
      <c r="W3369" s="372"/>
      <c r="X3369" s="373"/>
      <c r="Y3369" s="348"/>
      <c r="Z3369" s="348"/>
      <c r="AA3369" s="348"/>
    </row>
    <row r="3370" s="331" customFormat="1" ht="17" customHeight="1" spans="1:27">
      <c r="A3370" s="348">
        <v>2066955</v>
      </c>
      <c r="B3370" s="348" t="s">
        <v>335</v>
      </c>
      <c r="C3370" s="348" t="s">
        <v>615</v>
      </c>
      <c r="D3370" s="349" t="s">
        <v>635</v>
      </c>
      <c r="E3370" s="336">
        <v>43702</v>
      </c>
      <c r="F3370" s="336">
        <v>43692</v>
      </c>
      <c r="G3370" s="336">
        <v>43700</v>
      </c>
      <c r="H3370" s="334" t="s">
        <v>8472</v>
      </c>
      <c r="I3370" s="356">
        <v>18502129199</v>
      </c>
      <c r="J3370" s="361" t="s">
        <v>8473</v>
      </c>
      <c r="K3370" s="356">
        <v>1000</v>
      </c>
      <c r="L3370" s="334">
        <v>4700</v>
      </c>
      <c r="M3370" s="419"/>
      <c r="N3370" s="362">
        <f t="shared" si="119"/>
        <v>4700</v>
      </c>
      <c r="O3370" s="356"/>
      <c r="P3370" s="356"/>
      <c r="Q3370" s="356"/>
      <c r="R3370" s="356"/>
      <c r="S3370" s="356"/>
      <c r="T3370" s="356"/>
      <c r="U3370" s="372"/>
      <c r="V3370" s="372"/>
      <c r="W3370" s="372"/>
      <c r="X3370" s="373"/>
      <c r="Y3370" s="348"/>
      <c r="Z3370" s="348"/>
      <c r="AA3370" s="348"/>
    </row>
    <row r="3371" s="331" customFormat="1" ht="17" customHeight="1" spans="1:27">
      <c r="A3371" s="348"/>
      <c r="B3371" s="348" t="s">
        <v>87</v>
      </c>
      <c r="C3371" s="348" t="s">
        <v>199</v>
      </c>
      <c r="D3371" s="352" t="s">
        <v>89</v>
      </c>
      <c r="E3371" s="336">
        <v>43731</v>
      </c>
      <c r="F3371" s="336">
        <v>43692</v>
      </c>
      <c r="G3371" s="336">
        <v>43730</v>
      </c>
      <c r="H3371" s="334" t="s">
        <v>8474</v>
      </c>
      <c r="I3371" s="356" t="s">
        <v>8475</v>
      </c>
      <c r="J3371" s="361" t="s">
        <v>8476</v>
      </c>
      <c r="K3371" s="356">
        <v>1000</v>
      </c>
      <c r="L3371" s="334">
        <v>15177</v>
      </c>
      <c r="M3371" s="419"/>
      <c r="N3371" s="362">
        <f t="shared" si="119"/>
        <v>15177</v>
      </c>
      <c r="O3371" s="411" t="s">
        <v>52</v>
      </c>
      <c r="P3371" s="356"/>
      <c r="Q3371" s="356"/>
      <c r="R3371" s="356"/>
      <c r="S3371" s="356"/>
      <c r="T3371" s="356"/>
      <c r="U3371" s="372"/>
      <c r="V3371" s="372"/>
      <c r="W3371" s="372"/>
      <c r="X3371" s="373"/>
      <c r="Y3371" s="348"/>
      <c r="Z3371" s="348"/>
      <c r="AA3371" s="348"/>
    </row>
    <row r="3372" s="331" customFormat="1" ht="17" customHeight="1" spans="1:27">
      <c r="A3372" s="550" t="s">
        <v>4514</v>
      </c>
      <c r="B3372" s="348" t="s">
        <v>185</v>
      </c>
      <c r="C3372" s="348" t="s">
        <v>4146</v>
      </c>
      <c r="D3372" s="352" t="s">
        <v>187</v>
      </c>
      <c r="E3372" s="336">
        <v>43824</v>
      </c>
      <c r="F3372" s="336">
        <v>43688</v>
      </c>
      <c r="G3372" s="336">
        <v>43822</v>
      </c>
      <c r="H3372" s="334" t="s">
        <v>8477</v>
      </c>
      <c r="I3372" s="356">
        <v>13916184733</v>
      </c>
      <c r="J3372" s="361" t="s">
        <v>8478</v>
      </c>
      <c r="K3372" s="356">
        <v>1000</v>
      </c>
      <c r="L3372" s="334">
        <v>1000</v>
      </c>
      <c r="M3372" s="419"/>
      <c r="N3372" s="362">
        <f t="shared" si="119"/>
        <v>1000</v>
      </c>
      <c r="O3372" s="356"/>
      <c r="P3372" s="356" t="s">
        <v>52</v>
      </c>
      <c r="Q3372" s="356"/>
      <c r="R3372" s="356"/>
      <c r="S3372" s="356"/>
      <c r="T3372" s="356"/>
      <c r="U3372" s="372"/>
      <c r="V3372" s="372"/>
      <c r="W3372" s="372"/>
      <c r="X3372" s="373"/>
      <c r="Y3372" s="348"/>
      <c r="Z3372" s="348"/>
      <c r="AA3372" s="348"/>
    </row>
    <row r="3373" s="331" customFormat="1" ht="17" customHeight="1" spans="1:27">
      <c r="A3373" s="550" t="s">
        <v>8479</v>
      </c>
      <c r="B3373" s="348" t="s">
        <v>185</v>
      </c>
      <c r="C3373" s="348" t="s">
        <v>4146</v>
      </c>
      <c r="D3373" s="352" t="s">
        <v>187</v>
      </c>
      <c r="E3373" s="336">
        <v>43692</v>
      </c>
      <c r="F3373" s="336">
        <v>43692</v>
      </c>
      <c r="G3373" s="350"/>
      <c r="H3373" s="334" t="s">
        <v>8480</v>
      </c>
      <c r="I3373" s="356">
        <v>16602128638</v>
      </c>
      <c r="J3373" s="361" t="s">
        <v>8481</v>
      </c>
      <c r="K3373" s="356">
        <v>1000</v>
      </c>
      <c r="L3373" s="419"/>
      <c r="M3373" s="419"/>
      <c r="N3373" s="362">
        <f t="shared" si="119"/>
        <v>0</v>
      </c>
      <c r="O3373" s="356"/>
      <c r="P3373" s="356"/>
      <c r="Q3373" s="356" t="s">
        <v>52</v>
      </c>
      <c r="R3373" s="356"/>
      <c r="S3373" s="356"/>
      <c r="T3373" s="356"/>
      <c r="U3373" s="372" t="s">
        <v>12</v>
      </c>
      <c r="V3373" s="372"/>
      <c r="W3373" s="372"/>
      <c r="X3373" s="373"/>
      <c r="Y3373" s="348"/>
      <c r="Z3373" s="348"/>
      <c r="AA3373" s="348"/>
    </row>
    <row r="3374" s="331" customFormat="1" ht="17" customHeight="1" spans="1:27">
      <c r="A3374" s="348"/>
      <c r="B3374" s="348" t="s">
        <v>185</v>
      </c>
      <c r="C3374" s="348" t="s">
        <v>4146</v>
      </c>
      <c r="D3374" s="352" t="s">
        <v>187</v>
      </c>
      <c r="E3374" s="336">
        <v>43742</v>
      </c>
      <c r="F3374" s="336">
        <v>43687</v>
      </c>
      <c r="G3374" s="336">
        <v>43740</v>
      </c>
      <c r="H3374" s="334" t="s">
        <v>8482</v>
      </c>
      <c r="I3374" s="356">
        <v>13761023801</v>
      </c>
      <c r="J3374" s="361" t="s">
        <v>8483</v>
      </c>
      <c r="K3374" s="356">
        <v>1000</v>
      </c>
      <c r="L3374" s="334">
        <v>14610</v>
      </c>
      <c r="M3374" s="419"/>
      <c r="N3374" s="362">
        <f t="shared" si="119"/>
        <v>14610</v>
      </c>
      <c r="O3374" s="356"/>
      <c r="P3374" s="356" t="s">
        <v>52</v>
      </c>
      <c r="Q3374" s="356"/>
      <c r="R3374" s="356"/>
      <c r="S3374" s="356"/>
      <c r="T3374" s="356"/>
      <c r="U3374" s="372"/>
      <c r="V3374" s="372"/>
      <c r="W3374" s="372"/>
      <c r="X3374" s="373"/>
      <c r="Y3374" s="348"/>
      <c r="Z3374" s="348"/>
      <c r="AA3374" s="348"/>
    </row>
    <row r="3375" s="331" customFormat="1" ht="17" customHeight="1" spans="1:27">
      <c r="A3375" s="550" t="s">
        <v>8484</v>
      </c>
      <c r="B3375" s="348" t="s">
        <v>185</v>
      </c>
      <c r="C3375" s="348" t="s">
        <v>4146</v>
      </c>
      <c r="D3375" s="352" t="s">
        <v>187</v>
      </c>
      <c r="E3375" s="336">
        <v>43692</v>
      </c>
      <c r="F3375" s="336">
        <v>43686</v>
      </c>
      <c r="G3375" s="350"/>
      <c r="H3375" s="334" t="s">
        <v>8485</v>
      </c>
      <c r="I3375" s="356">
        <v>13917254832</v>
      </c>
      <c r="J3375" s="361"/>
      <c r="K3375" s="356">
        <v>1000</v>
      </c>
      <c r="L3375" s="419"/>
      <c r="M3375" s="419"/>
      <c r="N3375" s="362">
        <f t="shared" si="119"/>
        <v>0</v>
      </c>
      <c r="O3375" s="356" t="s">
        <v>52</v>
      </c>
      <c r="P3375" s="356"/>
      <c r="Q3375" s="356"/>
      <c r="R3375" s="356"/>
      <c r="S3375" s="356"/>
      <c r="T3375" s="356"/>
      <c r="U3375" s="400" t="s">
        <v>8486</v>
      </c>
      <c r="V3375" s="372"/>
      <c r="W3375" s="374">
        <v>43696</v>
      </c>
      <c r="X3375" s="373"/>
      <c r="Y3375" s="348"/>
      <c r="Z3375" s="348"/>
      <c r="AA3375" s="348"/>
    </row>
    <row r="3376" s="331" customFormat="1" ht="17" customHeight="1" spans="1:27">
      <c r="A3376" s="550" t="s">
        <v>2238</v>
      </c>
      <c r="B3376" s="348" t="s">
        <v>185</v>
      </c>
      <c r="C3376" s="348" t="s">
        <v>4146</v>
      </c>
      <c r="D3376" s="352" t="s">
        <v>187</v>
      </c>
      <c r="E3376" s="336">
        <v>43737</v>
      </c>
      <c r="F3376" s="336">
        <v>43685</v>
      </c>
      <c r="G3376" s="336">
        <v>43736</v>
      </c>
      <c r="H3376" s="334" t="s">
        <v>8487</v>
      </c>
      <c r="I3376" s="356">
        <v>13761681773</v>
      </c>
      <c r="J3376" s="361" t="s">
        <v>8488</v>
      </c>
      <c r="K3376" s="356">
        <v>1000</v>
      </c>
      <c r="L3376" s="334">
        <v>55500</v>
      </c>
      <c r="M3376" s="419"/>
      <c r="N3376" s="362">
        <f t="shared" si="119"/>
        <v>55500</v>
      </c>
      <c r="O3376" s="356"/>
      <c r="P3376" s="356"/>
      <c r="Q3376" s="356"/>
      <c r="R3376" s="366" t="s">
        <v>52</v>
      </c>
      <c r="S3376" s="356"/>
      <c r="T3376" s="356"/>
      <c r="U3376" s="372"/>
      <c r="V3376" s="372"/>
      <c r="W3376" s="372"/>
      <c r="X3376" s="373"/>
      <c r="Y3376" s="348"/>
      <c r="Z3376" s="348"/>
      <c r="AA3376" s="348"/>
    </row>
    <row r="3377" s="331" customFormat="1" ht="17" customHeight="1" spans="1:27">
      <c r="A3377" s="550" t="s">
        <v>8489</v>
      </c>
      <c r="B3377" s="348" t="s">
        <v>31</v>
      </c>
      <c r="C3377" s="334" t="s">
        <v>419</v>
      </c>
      <c r="D3377" s="334" t="s">
        <v>954</v>
      </c>
      <c r="E3377" s="336">
        <v>43707</v>
      </c>
      <c r="F3377" s="336">
        <v>43692</v>
      </c>
      <c r="G3377" s="336">
        <v>43707</v>
      </c>
      <c r="H3377" s="348" t="s">
        <v>8490</v>
      </c>
      <c r="I3377" s="356">
        <v>13795382230</v>
      </c>
      <c r="J3377" s="361" t="s">
        <v>8491</v>
      </c>
      <c r="K3377" s="356">
        <v>2330</v>
      </c>
      <c r="L3377" s="334">
        <v>2630</v>
      </c>
      <c r="M3377" s="419"/>
      <c r="N3377" s="362">
        <f t="shared" si="119"/>
        <v>2630</v>
      </c>
      <c r="O3377" s="356"/>
      <c r="P3377" s="356"/>
      <c r="Q3377" s="356"/>
      <c r="R3377" s="366" t="s">
        <v>52</v>
      </c>
      <c r="S3377" s="356"/>
      <c r="T3377" s="356"/>
      <c r="U3377" s="372"/>
      <c r="V3377" s="372"/>
      <c r="W3377" s="372"/>
      <c r="X3377" s="373"/>
      <c r="Y3377" s="348"/>
      <c r="Z3377" s="348"/>
      <c r="AA3377" s="348"/>
    </row>
    <row r="3378" s="331" customFormat="1" ht="17" customHeight="1" spans="1:27">
      <c r="A3378" s="348"/>
      <c r="B3378" s="348" t="s">
        <v>123</v>
      </c>
      <c r="C3378" s="334" t="s">
        <v>115</v>
      </c>
      <c r="D3378" s="352" t="s">
        <v>125</v>
      </c>
      <c r="E3378" s="336">
        <v>43692</v>
      </c>
      <c r="F3378" s="336">
        <v>43688</v>
      </c>
      <c r="G3378" s="350"/>
      <c r="H3378" s="348" t="s">
        <v>8492</v>
      </c>
      <c r="I3378" s="356">
        <v>13501824479</v>
      </c>
      <c r="J3378" s="361" t="s">
        <v>8493</v>
      </c>
      <c r="K3378" s="356">
        <v>1000</v>
      </c>
      <c r="L3378" s="419"/>
      <c r="M3378" s="419"/>
      <c r="N3378" s="362">
        <f t="shared" si="119"/>
        <v>0</v>
      </c>
      <c r="O3378" s="356"/>
      <c r="P3378" s="356"/>
      <c r="Q3378" s="366" t="s">
        <v>52</v>
      </c>
      <c r="R3378" s="356"/>
      <c r="S3378" s="356"/>
      <c r="T3378" s="356"/>
      <c r="U3378" s="393" t="s">
        <v>40</v>
      </c>
      <c r="V3378" s="372"/>
      <c r="W3378" s="372"/>
      <c r="X3378" s="373"/>
      <c r="Y3378" s="348"/>
      <c r="Z3378" s="348"/>
      <c r="AA3378" s="348"/>
    </row>
    <row r="3379" s="331" customFormat="1" ht="17" customHeight="1" spans="1:27">
      <c r="A3379" s="348"/>
      <c r="B3379" s="348" t="s">
        <v>123</v>
      </c>
      <c r="C3379" s="348" t="s">
        <v>32</v>
      </c>
      <c r="D3379" s="352" t="s">
        <v>125</v>
      </c>
      <c r="E3379" s="336">
        <v>43742</v>
      </c>
      <c r="F3379" s="336">
        <v>43688</v>
      </c>
      <c r="G3379" s="336">
        <v>43741</v>
      </c>
      <c r="H3379" s="334" t="s">
        <v>5020</v>
      </c>
      <c r="I3379" s="356">
        <v>15021702612</v>
      </c>
      <c r="J3379" s="361" t="s">
        <v>8494</v>
      </c>
      <c r="K3379" s="356">
        <v>1000</v>
      </c>
      <c r="L3379" s="334">
        <f>10800-1104</f>
        <v>9696</v>
      </c>
      <c r="M3379" s="334">
        <v>1104</v>
      </c>
      <c r="N3379" s="362">
        <f t="shared" si="119"/>
        <v>10800</v>
      </c>
      <c r="O3379" s="356"/>
      <c r="P3379" s="356"/>
      <c r="Q3379" s="366" t="s">
        <v>52</v>
      </c>
      <c r="R3379" s="356"/>
      <c r="S3379" s="356"/>
      <c r="T3379" s="356"/>
      <c r="U3379" s="372"/>
      <c r="V3379" s="372"/>
      <c r="W3379" s="372"/>
      <c r="X3379" s="373"/>
      <c r="Y3379" s="348"/>
      <c r="Z3379" s="348"/>
      <c r="AA3379" s="348"/>
    </row>
    <row r="3380" s="331" customFormat="1" ht="17" customHeight="1" spans="1:27">
      <c r="A3380" s="348"/>
      <c r="B3380" s="348" t="s">
        <v>137</v>
      </c>
      <c r="C3380" s="348" t="s">
        <v>2705</v>
      </c>
      <c r="D3380" s="349" t="s">
        <v>191</v>
      </c>
      <c r="E3380" s="336">
        <v>43693</v>
      </c>
      <c r="F3380" s="336">
        <v>43692</v>
      </c>
      <c r="G3380" s="336">
        <v>43692</v>
      </c>
      <c r="H3380" s="334" t="s">
        <v>8495</v>
      </c>
      <c r="I3380" s="356" t="s">
        <v>8496</v>
      </c>
      <c r="J3380" s="361" t="s">
        <v>8497</v>
      </c>
      <c r="K3380" s="356">
        <v>1000</v>
      </c>
      <c r="L3380" s="334">
        <v>15701</v>
      </c>
      <c r="M3380" s="419"/>
      <c r="N3380" s="362">
        <f t="shared" si="119"/>
        <v>15701</v>
      </c>
      <c r="O3380" s="356"/>
      <c r="P3380" s="356"/>
      <c r="Q3380" s="356"/>
      <c r="R3380" s="356"/>
      <c r="S3380" s="356"/>
      <c r="T3380" s="356"/>
      <c r="U3380" s="372"/>
      <c r="V3380" s="372"/>
      <c r="W3380" s="372"/>
      <c r="X3380" s="373"/>
      <c r="Y3380" s="348"/>
      <c r="Z3380" s="348"/>
      <c r="AA3380" s="348"/>
    </row>
    <row r="3381" s="331" customFormat="1" ht="17" customHeight="1" spans="1:27">
      <c r="A3381" s="348"/>
      <c r="B3381" s="348" t="s">
        <v>153</v>
      </c>
      <c r="C3381" s="348" t="s">
        <v>302</v>
      </c>
      <c r="D3381" s="352" t="s">
        <v>155</v>
      </c>
      <c r="E3381" s="336">
        <v>43716</v>
      </c>
      <c r="F3381" s="336">
        <v>43692</v>
      </c>
      <c r="G3381" s="336">
        <v>43716</v>
      </c>
      <c r="H3381" s="334" t="s">
        <v>8498</v>
      </c>
      <c r="I3381" s="356">
        <v>13761478237</v>
      </c>
      <c r="J3381" s="361" t="s">
        <v>8499</v>
      </c>
      <c r="K3381" s="356">
        <v>1000</v>
      </c>
      <c r="L3381" s="334">
        <v>7500</v>
      </c>
      <c r="M3381" s="419"/>
      <c r="N3381" s="362">
        <f t="shared" si="119"/>
        <v>7500</v>
      </c>
      <c r="O3381" s="356"/>
      <c r="P3381" s="356"/>
      <c r="Q3381" s="356"/>
      <c r="R3381" s="356"/>
      <c r="S3381" s="356"/>
      <c r="T3381" s="356"/>
      <c r="U3381" s="372"/>
      <c r="V3381" s="372"/>
      <c r="W3381" s="372"/>
      <c r="X3381" s="373"/>
      <c r="Y3381" s="348"/>
      <c r="Z3381" s="348"/>
      <c r="AA3381" s="348"/>
    </row>
    <row r="3382" s="331" customFormat="1" ht="17" customHeight="1" spans="1:27">
      <c r="A3382" s="550" t="s">
        <v>8500</v>
      </c>
      <c r="B3382" s="348" t="s">
        <v>153</v>
      </c>
      <c r="C3382" s="348" t="s">
        <v>154</v>
      </c>
      <c r="D3382" s="352" t="s">
        <v>155</v>
      </c>
      <c r="E3382" s="336">
        <v>43695</v>
      </c>
      <c r="F3382" s="336">
        <v>43692</v>
      </c>
      <c r="G3382" s="336">
        <v>43693</v>
      </c>
      <c r="H3382" s="334" t="s">
        <v>8501</v>
      </c>
      <c r="I3382" s="356">
        <v>18078069881</v>
      </c>
      <c r="J3382" s="361" t="s">
        <v>8502</v>
      </c>
      <c r="K3382" s="356">
        <v>18000</v>
      </c>
      <c r="L3382" s="334">
        <f>18651-1104</f>
        <v>17547</v>
      </c>
      <c r="M3382" s="334">
        <v>1104</v>
      </c>
      <c r="N3382" s="362">
        <f t="shared" si="119"/>
        <v>18651</v>
      </c>
      <c r="O3382" s="356"/>
      <c r="P3382" s="356"/>
      <c r="Q3382" s="356"/>
      <c r="R3382" s="356"/>
      <c r="S3382" s="356"/>
      <c r="T3382" s="356"/>
      <c r="U3382" s="372"/>
      <c r="V3382" s="372"/>
      <c r="W3382" s="372"/>
      <c r="X3382" s="373"/>
      <c r="Y3382" s="348"/>
      <c r="Z3382" s="348"/>
      <c r="AA3382" s="348"/>
    </row>
    <row r="3383" s="331" customFormat="1" ht="17" customHeight="1" spans="1:27">
      <c r="A3383" s="550" t="s">
        <v>8503</v>
      </c>
      <c r="B3383" s="348" t="s">
        <v>205</v>
      </c>
      <c r="C3383" s="348" t="s">
        <v>1467</v>
      </c>
      <c r="D3383" s="349" t="s">
        <v>407</v>
      </c>
      <c r="E3383" s="336">
        <v>43703</v>
      </c>
      <c r="F3383" s="336">
        <v>43692</v>
      </c>
      <c r="G3383" s="336">
        <v>43701</v>
      </c>
      <c r="H3383" s="334" t="s">
        <v>8504</v>
      </c>
      <c r="I3383" s="356">
        <v>13361902558</v>
      </c>
      <c r="J3383" s="361" t="s">
        <v>8505</v>
      </c>
      <c r="K3383" s="356">
        <v>5000</v>
      </c>
      <c r="L3383" s="334">
        <f>7422-1140</f>
        <v>6282</v>
      </c>
      <c r="M3383" s="334">
        <v>1140</v>
      </c>
      <c r="N3383" s="362">
        <f t="shared" si="119"/>
        <v>7422</v>
      </c>
      <c r="O3383" s="356"/>
      <c r="P3383" s="356"/>
      <c r="Q3383" s="356"/>
      <c r="R3383" s="356"/>
      <c r="S3383" s="356"/>
      <c r="T3383" s="356"/>
      <c r="U3383" s="372"/>
      <c r="V3383" s="372"/>
      <c r="W3383" s="372"/>
      <c r="X3383" s="373"/>
      <c r="Y3383" s="348"/>
      <c r="Z3383" s="348"/>
      <c r="AA3383" s="348"/>
    </row>
    <row r="3384" s="331" customFormat="1" ht="17" customHeight="1" spans="1:27">
      <c r="A3384" s="550" t="s">
        <v>8506</v>
      </c>
      <c r="B3384" s="348" t="s">
        <v>123</v>
      </c>
      <c r="C3384" s="348" t="s">
        <v>902</v>
      </c>
      <c r="D3384" s="352" t="s">
        <v>125</v>
      </c>
      <c r="E3384" s="336">
        <v>43805</v>
      </c>
      <c r="F3384" s="336">
        <v>43692</v>
      </c>
      <c r="G3384" s="336">
        <v>43804</v>
      </c>
      <c r="H3384" s="334" t="s">
        <v>8507</v>
      </c>
      <c r="I3384" s="356">
        <v>13764539195</v>
      </c>
      <c r="J3384" s="361" t="s">
        <v>8508</v>
      </c>
      <c r="K3384" s="356">
        <v>1000</v>
      </c>
      <c r="L3384" s="334">
        <v>12110</v>
      </c>
      <c r="M3384" s="419"/>
      <c r="N3384" s="362">
        <f t="shared" si="119"/>
        <v>12110</v>
      </c>
      <c r="O3384" s="356"/>
      <c r="P3384" s="356"/>
      <c r="Q3384" s="366"/>
      <c r="R3384" s="366" t="s">
        <v>52</v>
      </c>
      <c r="S3384" s="356"/>
      <c r="T3384" s="356"/>
      <c r="U3384" s="372"/>
      <c r="V3384" s="372"/>
      <c r="W3384" s="372"/>
      <c r="X3384" s="373"/>
      <c r="Y3384" s="348"/>
      <c r="Z3384" s="348"/>
      <c r="AA3384" s="348"/>
    </row>
    <row r="3385" s="331" customFormat="1" ht="17" customHeight="1" spans="1:27">
      <c r="A3385" s="348">
        <v>2066244</v>
      </c>
      <c r="B3385" s="348" t="s">
        <v>94</v>
      </c>
      <c r="C3385" s="348" t="s">
        <v>3196</v>
      </c>
      <c r="D3385" s="352" t="s">
        <v>49</v>
      </c>
      <c r="E3385" s="336">
        <v>43692</v>
      </c>
      <c r="F3385" s="336">
        <v>43692</v>
      </c>
      <c r="G3385" s="372" t="s">
        <v>69</v>
      </c>
      <c r="H3385" s="334" t="s">
        <v>8509</v>
      </c>
      <c r="I3385" s="356">
        <v>13601768570</v>
      </c>
      <c r="J3385" s="361" t="s">
        <v>8510</v>
      </c>
      <c r="K3385" s="356">
        <v>1000</v>
      </c>
      <c r="L3385" s="419"/>
      <c r="M3385" s="419"/>
      <c r="N3385" s="362">
        <f t="shared" si="119"/>
        <v>0</v>
      </c>
      <c r="O3385" s="356"/>
      <c r="P3385" s="356"/>
      <c r="Q3385" s="356"/>
      <c r="R3385" s="366"/>
      <c r="S3385" s="356"/>
      <c r="T3385" s="356"/>
      <c r="U3385" s="372"/>
      <c r="V3385" s="372"/>
      <c r="W3385" s="372"/>
      <c r="X3385" s="373"/>
      <c r="Y3385" s="348"/>
      <c r="Z3385" s="348"/>
      <c r="AA3385" s="348"/>
    </row>
    <row r="3386" s="331" customFormat="1" ht="17" customHeight="1" spans="1:27">
      <c r="A3386" s="550" t="s">
        <v>8511</v>
      </c>
      <c r="B3386" s="348" t="s">
        <v>31</v>
      </c>
      <c r="C3386" s="348" t="s">
        <v>3186</v>
      </c>
      <c r="D3386" s="352" t="s">
        <v>221</v>
      </c>
      <c r="E3386" s="336">
        <v>43692</v>
      </c>
      <c r="F3386" s="336">
        <v>43692</v>
      </c>
      <c r="G3386" s="350"/>
      <c r="H3386" s="334" t="s">
        <v>8512</v>
      </c>
      <c r="I3386" s="356">
        <v>18017165151</v>
      </c>
      <c r="J3386" s="361" t="s">
        <v>8513</v>
      </c>
      <c r="K3386" s="356">
        <v>1000</v>
      </c>
      <c r="L3386" s="419"/>
      <c r="M3386" s="419"/>
      <c r="N3386" s="362">
        <f t="shared" si="119"/>
        <v>0</v>
      </c>
      <c r="O3386" s="356"/>
      <c r="P3386" s="356"/>
      <c r="Q3386" s="356"/>
      <c r="R3386" s="356"/>
      <c r="S3386" s="356"/>
      <c r="T3386" s="356"/>
      <c r="U3386" s="372">
        <v>8.17</v>
      </c>
      <c r="V3386" s="372"/>
      <c r="W3386" s="372"/>
      <c r="X3386" s="373"/>
      <c r="Y3386" s="348"/>
      <c r="Z3386" s="348"/>
      <c r="AA3386" s="348"/>
    </row>
    <row r="3387" s="331" customFormat="1" ht="17" customHeight="1" spans="1:27">
      <c r="A3387" s="348">
        <v>2023512</v>
      </c>
      <c r="B3387" s="348" t="s">
        <v>185</v>
      </c>
      <c r="C3387" s="348" t="s">
        <v>886</v>
      </c>
      <c r="D3387" s="349" t="s">
        <v>187</v>
      </c>
      <c r="E3387" s="336">
        <v>43692</v>
      </c>
      <c r="F3387" s="336">
        <v>43668</v>
      </c>
      <c r="G3387" s="350">
        <v>43692</v>
      </c>
      <c r="H3387" s="334" t="s">
        <v>3965</v>
      </c>
      <c r="I3387" s="356">
        <v>18502159511</v>
      </c>
      <c r="J3387" s="361" t="s">
        <v>8514</v>
      </c>
      <c r="K3387" s="356">
        <v>1299</v>
      </c>
      <c r="L3387" s="334">
        <v>12363</v>
      </c>
      <c r="M3387" s="419"/>
      <c r="N3387" s="362">
        <f t="shared" si="119"/>
        <v>12363</v>
      </c>
      <c r="O3387" s="356"/>
      <c r="P3387" s="356"/>
      <c r="Q3387" s="356"/>
      <c r="R3387" s="356"/>
      <c r="S3387" s="356"/>
      <c r="T3387" s="356"/>
      <c r="U3387" s="372"/>
      <c r="V3387" s="372"/>
      <c r="W3387" s="372"/>
      <c r="X3387" s="373"/>
      <c r="Y3387" s="348"/>
      <c r="Z3387" s="348"/>
      <c r="AA3387" s="348"/>
    </row>
    <row r="3388" s="331" customFormat="1" ht="17" customHeight="1" spans="1:27">
      <c r="A3388" s="348"/>
      <c r="B3388" s="348" t="s">
        <v>243</v>
      </c>
      <c r="C3388" s="334" t="s">
        <v>309</v>
      </c>
      <c r="D3388" s="352" t="s">
        <v>49</v>
      </c>
      <c r="E3388" s="336">
        <v>43692</v>
      </c>
      <c r="F3388" s="336"/>
      <c r="G3388" s="336">
        <v>43684</v>
      </c>
      <c r="H3388" s="334" t="s">
        <v>8515</v>
      </c>
      <c r="I3388" s="356">
        <v>13301655998</v>
      </c>
      <c r="J3388" s="361" t="s">
        <v>8516</v>
      </c>
      <c r="K3388" s="356"/>
      <c r="L3388" s="334">
        <f>24600-1472</f>
        <v>23128</v>
      </c>
      <c r="M3388" s="334">
        <v>1472</v>
      </c>
      <c r="N3388" s="362">
        <f t="shared" si="119"/>
        <v>24600</v>
      </c>
      <c r="O3388" s="356"/>
      <c r="P3388" s="356"/>
      <c r="Q3388" s="356"/>
      <c r="R3388" s="356"/>
      <c r="S3388" s="356"/>
      <c r="T3388" s="356"/>
      <c r="U3388" s="372"/>
      <c r="V3388" s="372"/>
      <c r="W3388" s="372"/>
      <c r="X3388" s="373"/>
      <c r="Y3388" s="348"/>
      <c r="Z3388" s="348"/>
      <c r="AA3388" s="348"/>
    </row>
    <row r="3389" s="331" customFormat="1" ht="17" customHeight="1" spans="1:27">
      <c r="A3389" s="348"/>
      <c r="B3389" s="348" t="s">
        <v>6313</v>
      </c>
      <c r="C3389" s="334" t="s">
        <v>7871</v>
      </c>
      <c r="D3389" s="352" t="s">
        <v>6313</v>
      </c>
      <c r="E3389" s="336">
        <v>43692</v>
      </c>
      <c r="F3389" s="336"/>
      <c r="G3389" s="336">
        <v>43691</v>
      </c>
      <c r="H3389" s="334" t="s">
        <v>8517</v>
      </c>
      <c r="I3389" s="356">
        <v>15821399876</v>
      </c>
      <c r="J3389" s="361" t="s">
        <v>8518</v>
      </c>
      <c r="K3389" s="356"/>
      <c r="L3389" s="334">
        <f>10421-2399-96</f>
        <v>7926</v>
      </c>
      <c r="M3389" s="334">
        <f>2399+96</f>
        <v>2495</v>
      </c>
      <c r="N3389" s="362">
        <f t="shared" si="119"/>
        <v>10421</v>
      </c>
      <c r="O3389" s="356"/>
      <c r="P3389" s="356"/>
      <c r="Q3389" s="356"/>
      <c r="R3389" s="356"/>
      <c r="S3389" s="356"/>
      <c r="T3389" s="356"/>
      <c r="U3389" s="372"/>
      <c r="V3389" s="372"/>
      <c r="W3389" s="372"/>
      <c r="X3389" s="373"/>
      <c r="Y3389" s="348"/>
      <c r="Z3389" s="348"/>
      <c r="AA3389" s="348"/>
    </row>
    <row r="3390" s="331" customFormat="1" ht="17" customHeight="1" spans="1:27">
      <c r="A3390" s="348"/>
      <c r="B3390" s="348" t="s">
        <v>31</v>
      </c>
      <c r="C3390" s="348" t="s">
        <v>220</v>
      </c>
      <c r="D3390" s="349" t="s">
        <v>221</v>
      </c>
      <c r="E3390" s="336">
        <v>43692</v>
      </c>
      <c r="F3390" s="336" t="s">
        <v>800</v>
      </c>
      <c r="G3390" s="336">
        <v>43600</v>
      </c>
      <c r="H3390" s="334" t="s">
        <v>6828</v>
      </c>
      <c r="I3390" s="356">
        <v>18930556001</v>
      </c>
      <c r="J3390" s="361" t="s">
        <v>6829</v>
      </c>
      <c r="K3390" s="356"/>
      <c r="L3390" s="419"/>
      <c r="M3390" s="334">
        <v>8949</v>
      </c>
      <c r="N3390" s="362">
        <f t="shared" si="119"/>
        <v>8949</v>
      </c>
      <c r="O3390" s="356"/>
      <c r="P3390" s="356"/>
      <c r="Q3390" s="356"/>
      <c r="R3390" s="356"/>
      <c r="S3390" s="356"/>
      <c r="T3390" s="356"/>
      <c r="U3390" s="372"/>
      <c r="V3390" s="372"/>
      <c r="W3390" s="372"/>
      <c r="X3390" s="373"/>
      <c r="Y3390" s="348"/>
      <c r="Z3390" s="348"/>
      <c r="AA3390" s="348"/>
    </row>
    <row r="3391" s="331" customFormat="1" ht="17" customHeight="1" spans="1:27">
      <c r="A3391" s="348"/>
      <c r="B3391" s="348" t="s">
        <v>281</v>
      </c>
      <c r="C3391" s="334" t="s">
        <v>517</v>
      </c>
      <c r="D3391" s="349" t="s">
        <v>518</v>
      </c>
      <c r="E3391" s="336">
        <v>43692</v>
      </c>
      <c r="F3391" s="336" t="s">
        <v>800</v>
      </c>
      <c r="G3391" s="336">
        <v>43691</v>
      </c>
      <c r="H3391" s="334" t="s">
        <v>8519</v>
      </c>
      <c r="I3391" s="356">
        <v>13901658180</v>
      </c>
      <c r="J3391" s="361" t="s">
        <v>8520</v>
      </c>
      <c r="K3391" s="356"/>
      <c r="L3391" s="419"/>
      <c r="M3391" s="334">
        <v>4436</v>
      </c>
      <c r="N3391" s="362">
        <f t="shared" si="119"/>
        <v>4436</v>
      </c>
      <c r="O3391" s="356"/>
      <c r="P3391" s="356"/>
      <c r="Q3391" s="356"/>
      <c r="R3391" s="356"/>
      <c r="S3391" s="356"/>
      <c r="T3391" s="356"/>
      <c r="U3391" s="372"/>
      <c r="V3391" s="372"/>
      <c r="W3391" s="372"/>
      <c r="X3391" s="373"/>
      <c r="Y3391" s="348"/>
      <c r="Z3391" s="348"/>
      <c r="AA3391" s="348"/>
    </row>
    <row r="3392" s="331" customFormat="1" ht="17" customHeight="1" spans="1:27">
      <c r="A3392" s="348"/>
      <c r="B3392" s="348" t="s">
        <v>137</v>
      </c>
      <c r="C3392" s="348" t="s">
        <v>138</v>
      </c>
      <c r="D3392" s="349" t="s">
        <v>75</v>
      </c>
      <c r="E3392" s="336">
        <v>43692</v>
      </c>
      <c r="F3392" s="336" t="s">
        <v>800</v>
      </c>
      <c r="G3392" s="336">
        <v>43692</v>
      </c>
      <c r="H3392" s="334" t="s">
        <v>2258</v>
      </c>
      <c r="I3392" s="356">
        <v>13916866178</v>
      </c>
      <c r="J3392" s="361" t="s">
        <v>2259</v>
      </c>
      <c r="K3392" s="356"/>
      <c r="L3392" s="419"/>
      <c r="M3392" s="334">
        <f>14352-2770+18</f>
        <v>11600</v>
      </c>
      <c r="N3392" s="362">
        <f t="shared" si="119"/>
        <v>11600</v>
      </c>
      <c r="O3392" s="356"/>
      <c r="P3392" s="356"/>
      <c r="Q3392" s="356"/>
      <c r="R3392" s="356"/>
      <c r="S3392" s="356"/>
      <c r="T3392" s="356"/>
      <c r="U3392" s="372"/>
      <c r="V3392" s="372"/>
      <c r="W3392" s="372"/>
      <c r="X3392" s="373"/>
      <c r="Y3392" s="348"/>
      <c r="Z3392" s="348"/>
      <c r="AA3392" s="348"/>
    </row>
    <row r="3393" s="331" customFormat="1" ht="17" customHeight="1" spans="1:27">
      <c r="A3393" s="348"/>
      <c r="B3393" s="348" t="s">
        <v>185</v>
      </c>
      <c r="C3393" s="334" t="s">
        <v>1530</v>
      </c>
      <c r="D3393" s="349" t="s">
        <v>187</v>
      </c>
      <c r="E3393" s="336">
        <v>43692</v>
      </c>
      <c r="F3393" s="336" t="s">
        <v>800</v>
      </c>
      <c r="G3393" s="336">
        <v>43690</v>
      </c>
      <c r="H3393" s="334" t="s">
        <v>8521</v>
      </c>
      <c r="I3393" s="356">
        <v>18049958995</v>
      </c>
      <c r="J3393" s="361" t="s">
        <v>8522</v>
      </c>
      <c r="K3393" s="356"/>
      <c r="L3393" s="419"/>
      <c r="M3393" s="334">
        <v>735</v>
      </c>
      <c r="N3393" s="362">
        <f t="shared" si="119"/>
        <v>735</v>
      </c>
      <c r="O3393" s="356"/>
      <c r="P3393" s="356"/>
      <c r="Q3393" s="356"/>
      <c r="R3393" s="356"/>
      <c r="S3393" s="356"/>
      <c r="T3393" s="356"/>
      <c r="U3393" s="372"/>
      <c r="V3393" s="372"/>
      <c r="W3393" s="372"/>
      <c r="X3393" s="373"/>
      <c r="Y3393" s="348"/>
      <c r="Z3393" s="348"/>
      <c r="AA3393" s="348"/>
    </row>
    <row r="3394" s="331" customFormat="1" ht="17" customHeight="1" spans="1:27">
      <c r="A3394" s="348"/>
      <c r="B3394" s="348" t="s">
        <v>58</v>
      </c>
      <c r="C3394" s="334" t="s">
        <v>794</v>
      </c>
      <c r="D3394" s="349" t="s">
        <v>75</v>
      </c>
      <c r="E3394" s="336">
        <v>43692</v>
      </c>
      <c r="F3394" s="336" t="s">
        <v>800</v>
      </c>
      <c r="G3394" s="336">
        <v>43692</v>
      </c>
      <c r="H3394" s="334" t="s">
        <v>8523</v>
      </c>
      <c r="I3394" s="356">
        <v>13761698617</v>
      </c>
      <c r="J3394" s="361" t="s">
        <v>8524</v>
      </c>
      <c r="K3394" s="356"/>
      <c r="L3394" s="419"/>
      <c r="M3394" s="334">
        <v>2861</v>
      </c>
      <c r="N3394" s="362">
        <f t="shared" si="119"/>
        <v>2861</v>
      </c>
      <c r="O3394" s="356"/>
      <c r="P3394" s="356"/>
      <c r="Q3394" s="356"/>
      <c r="R3394" s="356"/>
      <c r="S3394" s="356"/>
      <c r="T3394" s="356"/>
      <c r="U3394" s="372"/>
      <c r="V3394" s="372"/>
      <c r="W3394" s="372"/>
      <c r="X3394" s="373"/>
      <c r="Y3394" s="348"/>
      <c r="Z3394" s="348"/>
      <c r="AA3394" s="348"/>
    </row>
    <row r="3395" s="331" customFormat="1" ht="17" customHeight="1" spans="1:27">
      <c r="A3395" s="348"/>
      <c r="B3395" s="348" t="s">
        <v>185</v>
      </c>
      <c r="C3395" s="348" t="s">
        <v>886</v>
      </c>
      <c r="D3395" s="349" t="s">
        <v>187</v>
      </c>
      <c r="E3395" s="336">
        <v>43692</v>
      </c>
      <c r="F3395" s="336" t="s">
        <v>800</v>
      </c>
      <c r="G3395" s="336">
        <v>43691</v>
      </c>
      <c r="H3395" s="334" t="s">
        <v>8525</v>
      </c>
      <c r="I3395" s="356">
        <v>13967878896</v>
      </c>
      <c r="J3395" s="361" t="s">
        <v>8526</v>
      </c>
      <c r="K3395" s="356"/>
      <c r="L3395" s="419"/>
      <c r="M3395" s="334">
        <v>31200</v>
      </c>
      <c r="N3395" s="362">
        <f t="shared" si="119"/>
        <v>31200</v>
      </c>
      <c r="O3395" s="356"/>
      <c r="P3395" s="356"/>
      <c r="Q3395" s="356"/>
      <c r="R3395" s="356"/>
      <c r="S3395" s="356"/>
      <c r="T3395" s="356"/>
      <c r="U3395" s="372"/>
      <c r="V3395" s="372"/>
      <c r="W3395" s="372"/>
      <c r="X3395" s="373"/>
      <c r="Y3395" s="348"/>
      <c r="Z3395" s="348"/>
      <c r="AA3395" s="348"/>
    </row>
    <row r="3396" s="331" customFormat="1" ht="17" customHeight="1" spans="1:27">
      <c r="A3396" s="348"/>
      <c r="B3396" s="348" t="s">
        <v>315</v>
      </c>
      <c r="C3396" s="334" t="s">
        <v>230</v>
      </c>
      <c r="D3396" s="349" t="s">
        <v>182</v>
      </c>
      <c r="E3396" s="336">
        <v>43692</v>
      </c>
      <c r="F3396" s="336" t="s">
        <v>800</v>
      </c>
      <c r="G3396" s="336">
        <v>43692</v>
      </c>
      <c r="H3396" s="334" t="s">
        <v>4366</v>
      </c>
      <c r="I3396" s="356">
        <v>13916101063</v>
      </c>
      <c r="J3396" s="361" t="s">
        <v>8527</v>
      </c>
      <c r="K3396" s="356"/>
      <c r="L3396" s="419"/>
      <c r="M3396" s="334">
        <v>-74106</v>
      </c>
      <c r="N3396" s="362">
        <f t="shared" si="119"/>
        <v>-74106</v>
      </c>
      <c r="O3396" s="356"/>
      <c r="P3396" s="356"/>
      <c r="Q3396" s="356"/>
      <c r="R3396" s="356"/>
      <c r="S3396" s="356"/>
      <c r="T3396" s="356"/>
      <c r="U3396" s="372"/>
      <c r="V3396" s="372"/>
      <c r="W3396" s="372"/>
      <c r="X3396" s="373"/>
      <c r="Y3396" s="348"/>
      <c r="Z3396" s="348"/>
      <c r="AA3396" s="348"/>
    </row>
    <row r="3397" s="331" customFormat="1" ht="17" customHeight="1" spans="1:27">
      <c r="A3397" s="348"/>
      <c r="B3397" s="348" t="s">
        <v>315</v>
      </c>
      <c r="C3397" s="334" t="s">
        <v>230</v>
      </c>
      <c r="D3397" s="349" t="s">
        <v>132</v>
      </c>
      <c r="E3397" s="336">
        <v>43692</v>
      </c>
      <c r="F3397" s="336" t="s">
        <v>800</v>
      </c>
      <c r="G3397" s="336">
        <v>43692</v>
      </c>
      <c r="H3397" s="334" t="s">
        <v>4366</v>
      </c>
      <c r="I3397" s="356">
        <v>13916101063</v>
      </c>
      <c r="J3397" s="361" t="s">
        <v>8527</v>
      </c>
      <c r="K3397" s="356"/>
      <c r="L3397" s="419"/>
      <c r="M3397" s="334">
        <v>19525</v>
      </c>
      <c r="N3397" s="362">
        <f t="shared" si="119"/>
        <v>19525</v>
      </c>
      <c r="O3397" s="356"/>
      <c r="P3397" s="356"/>
      <c r="Q3397" s="356"/>
      <c r="R3397" s="356"/>
      <c r="S3397" s="356"/>
      <c r="T3397" s="356"/>
      <c r="U3397" s="372"/>
      <c r="V3397" s="372"/>
      <c r="W3397" s="372"/>
      <c r="X3397" s="373"/>
      <c r="Y3397" s="348"/>
      <c r="Z3397" s="348"/>
      <c r="AA3397" s="348"/>
    </row>
    <row r="3398" s="331" customFormat="1" ht="17" customHeight="1" spans="1:27">
      <c r="A3398" s="348"/>
      <c r="B3398" s="348" t="s">
        <v>66</v>
      </c>
      <c r="C3398" s="334" t="s">
        <v>505</v>
      </c>
      <c r="D3398" s="349" t="s">
        <v>68</v>
      </c>
      <c r="E3398" s="336">
        <v>43692</v>
      </c>
      <c r="F3398" s="336" t="s">
        <v>800</v>
      </c>
      <c r="G3398" s="336">
        <v>43692</v>
      </c>
      <c r="H3398" s="334" t="s">
        <v>3314</v>
      </c>
      <c r="I3398" s="356">
        <v>18016495642</v>
      </c>
      <c r="J3398" s="361" t="s">
        <v>8528</v>
      </c>
      <c r="K3398" s="356"/>
      <c r="L3398" s="419"/>
      <c r="M3398" s="334">
        <v>102</v>
      </c>
      <c r="N3398" s="362">
        <f t="shared" si="119"/>
        <v>102</v>
      </c>
      <c r="O3398" s="356"/>
      <c r="P3398" s="356"/>
      <c r="Q3398" s="356"/>
      <c r="R3398" s="356"/>
      <c r="S3398" s="356"/>
      <c r="T3398" s="356"/>
      <c r="U3398" s="372"/>
      <c r="V3398" s="372"/>
      <c r="W3398" s="372"/>
      <c r="X3398" s="373"/>
      <c r="Y3398" s="348"/>
      <c r="Z3398" s="348"/>
      <c r="AA3398" s="348"/>
    </row>
    <row r="3399" s="331" customFormat="1" ht="17" customHeight="1" spans="1:27">
      <c r="A3399" s="550" t="s">
        <v>8529</v>
      </c>
      <c r="B3399" s="334" t="s">
        <v>58</v>
      </c>
      <c r="C3399" s="334" t="s">
        <v>347</v>
      </c>
      <c r="D3399" s="334" t="s">
        <v>343</v>
      </c>
      <c r="E3399" s="336">
        <v>43724</v>
      </c>
      <c r="F3399" s="336">
        <v>43693</v>
      </c>
      <c r="G3399" s="336">
        <v>43723</v>
      </c>
      <c r="H3399" s="334" t="s">
        <v>6787</v>
      </c>
      <c r="I3399" s="356">
        <v>15800577206</v>
      </c>
      <c r="J3399" s="361" t="s">
        <v>8530</v>
      </c>
      <c r="K3399" s="356">
        <v>1000</v>
      </c>
      <c r="L3399" s="334">
        <v>17611</v>
      </c>
      <c r="M3399" s="419"/>
      <c r="N3399" s="362">
        <f t="shared" ref="N3399:N3431" si="120">L3399+M3399</f>
        <v>17611</v>
      </c>
      <c r="O3399" s="356"/>
      <c r="P3399" s="366" t="s">
        <v>52</v>
      </c>
      <c r="Q3399" s="356"/>
      <c r="R3399" s="356"/>
      <c r="S3399" s="356"/>
      <c r="T3399" s="356"/>
      <c r="U3399" s="372"/>
      <c r="V3399" s="372"/>
      <c r="W3399" s="372"/>
      <c r="X3399" s="373"/>
      <c r="Y3399" s="348"/>
      <c r="Z3399" s="348"/>
      <c r="AA3399" s="348"/>
    </row>
    <row r="3400" s="331" customFormat="1" ht="17" customHeight="1" spans="1:27">
      <c r="A3400" s="550" t="s">
        <v>8531</v>
      </c>
      <c r="B3400" s="348" t="s">
        <v>73</v>
      </c>
      <c r="C3400" s="348" t="s">
        <v>74</v>
      </c>
      <c r="D3400" s="334" t="s">
        <v>717</v>
      </c>
      <c r="E3400" s="336">
        <v>43737</v>
      </c>
      <c r="F3400" s="336">
        <v>43693</v>
      </c>
      <c r="G3400" s="336">
        <v>43737</v>
      </c>
      <c r="H3400" s="334" t="s">
        <v>8532</v>
      </c>
      <c r="I3400" s="334">
        <v>15317321131</v>
      </c>
      <c r="J3400" s="361" t="s">
        <v>8533</v>
      </c>
      <c r="K3400" s="356">
        <v>1000</v>
      </c>
      <c r="L3400" s="334">
        <f>4346-736</f>
        <v>3610</v>
      </c>
      <c r="M3400" s="334">
        <v>736</v>
      </c>
      <c r="N3400" s="362">
        <f t="shared" si="120"/>
        <v>4346</v>
      </c>
      <c r="O3400" s="356"/>
      <c r="P3400" s="366" t="s">
        <v>52</v>
      </c>
      <c r="Q3400" s="356"/>
      <c r="R3400" s="356"/>
      <c r="S3400" s="356"/>
      <c r="T3400" s="356"/>
      <c r="U3400" s="372"/>
      <c r="V3400" s="372"/>
      <c r="W3400" s="372"/>
      <c r="X3400" s="373"/>
      <c r="Y3400" s="348"/>
      <c r="Z3400" s="348"/>
      <c r="AA3400" s="348"/>
    </row>
    <row r="3401" s="331" customFormat="1" ht="17" customHeight="1" spans="1:27">
      <c r="A3401" s="348"/>
      <c r="B3401" s="348" t="s">
        <v>185</v>
      </c>
      <c r="C3401" s="348" t="s">
        <v>1133</v>
      </c>
      <c r="D3401" s="352" t="s">
        <v>44</v>
      </c>
      <c r="E3401" s="336">
        <v>43704</v>
      </c>
      <c r="F3401" s="336">
        <v>43692</v>
      </c>
      <c r="G3401" s="336">
        <v>43703</v>
      </c>
      <c r="H3401" s="348" t="s">
        <v>8534</v>
      </c>
      <c r="I3401" s="356">
        <v>18655498812</v>
      </c>
      <c r="J3401" s="361" t="s">
        <v>8535</v>
      </c>
      <c r="K3401" s="356">
        <v>20000</v>
      </c>
      <c r="L3401" s="334">
        <v>20000</v>
      </c>
      <c r="M3401" s="419"/>
      <c r="N3401" s="362">
        <f t="shared" si="120"/>
        <v>20000</v>
      </c>
      <c r="O3401" s="366"/>
      <c r="P3401" s="356" t="s">
        <v>52</v>
      </c>
      <c r="Q3401" s="356"/>
      <c r="R3401" s="356"/>
      <c r="S3401" s="356"/>
      <c r="T3401" s="356"/>
      <c r="U3401" s="372"/>
      <c r="V3401" s="372"/>
      <c r="W3401" s="372"/>
      <c r="X3401" s="373"/>
      <c r="Y3401" s="348"/>
      <c r="Z3401" s="348"/>
      <c r="AA3401" s="348"/>
    </row>
    <row r="3402" s="331" customFormat="1" ht="17" customHeight="1" spans="1:27">
      <c r="A3402" s="550" t="s">
        <v>8536</v>
      </c>
      <c r="B3402" s="348" t="s">
        <v>58</v>
      </c>
      <c r="C3402" s="348" t="s">
        <v>109</v>
      </c>
      <c r="D3402" s="349" t="s">
        <v>271</v>
      </c>
      <c r="E3402" s="336">
        <v>43695</v>
      </c>
      <c r="F3402" s="336">
        <v>43692</v>
      </c>
      <c r="G3402" s="336">
        <v>43695</v>
      </c>
      <c r="H3402" s="334" t="s">
        <v>3470</v>
      </c>
      <c r="I3402" s="356">
        <v>13764039458</v>
      </c>
      <c r="J3402" s="361" t="s">
        <v>8537</v>
      </c>
      <c r="K3402" s="356">
        <v>1000</v>
      </c>
      <c r="L3402" s="334">
        <v>11965</v>
      </c>
      <c r="M3402" s="419"/>
      <c r="N3402" s="362">
        <f t="shared" si="120"/>
        <v>11965</v>
      </c>
      <c r="O3402" s="356"/>
      <c r="P3402" s="356"/>
      <c r="Q3402" s="356"/>
      <c r="R3402" s="356"/>
      <c r="S3402" s="356"/>
      <c r="T3402" s="356"/>
      <c r="U3402" s="372"/>
      <c r="V3402" s="372"/>
      <c r="W3402" s="372"/>
      <c r="X3402" s="373"/>
      <c r="Y3402" s="348"/>
      <c r="Z3402" s="348"/>
      <c r="AA3402" s="348"/>
    </row>
    <row r="3403" s="331" customFormat="1" ht="17" customHeight="1" spans="1:27">
      <c r="A3403" s="550" t="s">
        <v>1948</v>
      </c>
      <c r="B3403" s="348" t="s">
        <v>315</v>
      </c>
      <c r="C3403" s="348" t="s">
        <v>161</v>
      </c>
      <c r="D3403" s="352" t="s">
        <v>162</v>
      </c>
      <c r="E3403" s="336">
        <v>43705</v>
      </c>
      <c r="F3403" s="336">
        <v>43692</v>
      </c>
      <c r="G3403" s="336">
        <v>43705</v>
      </c>
      <c r="H3403" s="334" t="s">
        <v>8538</v>
      </c>
      <c r="I3403" s="356">
        <v>13818408683</v>
      </c>
      <c r="J3403" s="361" t="s">
        <v>8539</v>
      </c>
      <c r="K3403" s="356">
        <v>1000</v>
      </c>
      <c r="L3403" s="334">
        <v>12000</v>
      </c>
      <c r="M3403" s="419"/>
      <c r="N3403" s="362">
        <f t="shared" si="120"/>
        <v>12000</v>
      </c>
      <c r="O3403" s="356"/>
      <c r="P3403" s="356"/>
      <c r="Q3403" s="356"/>
      <c r="R3403" s="356">
        <v>1</v>
      </c>
      <c r="S3403" s="356"/>
      <c r="T3403" s="356"/>
      <c r="U3403" s="372"/>
      <c r="V3403" s="372"/>
      <c r="W3403" s="372"/>
      <c r="X3403" s="373"/>
      <c r="Y3403" s="348"/>
      <c r="Z3403" s="348"/>
      <c r="AA3403" s="348"/>
    </row>
    <row r="3404" s="331" customFormat="1" ht="17" customHeight="1" spans="1:27">
      <c r="A3404" s="550" t="s">
        <v>8540</v>
      </c>
      <c r="B3404" s="348" t="s">
        <v>31</v>
      </c>
      <c r="C3404" s="348" t="s">
        <v>220</v>
      </c>
      <c r="D3404" s="334" t="s">
        <v>337</v>
      </c>
      <c r="E3404" s="336">
        <v>43734</v>
      </c>
      <c r="F3404" s="336">
        <v>43692</v>
      </c>
      <c r="G3404" s="336">
        <v>43731</v>
      </c>
      <c r="H3404" s="334" t="s">
        <v>8541</v>
      </c>
      <c r="I3404" s="356">
        <v>13512130018</v>
      </c>
      <c r="J3404" s="361" t="s">
        <v>8542</v>
      </c>
      <c r="K3404" s="356">
        <v>1000</v>
      </c>
      <c r="L3404" s="334">
        <f>32548-1876</f>
        <v>30672</v>
      </c>
      <c r="M3404" s="334">
        <v>1876</v>
      </c>
      <c r="N3404" s="362">
        <f t="shared" si="120"/>
        <v>32548</v>
      </c>
      <c r="O3404" s="356"/>
      <c r="P3404" s="356"/>
      <c r="Q3404" s="366" t="s">
        <v>52</v>
      </c>
      <c r="R3404" s="356"/>
      <c r="S3404" s="356"/>
      <c r="T3404" s="356"/>
      <c r="U3404" s="372"/>
      <c r="V3404" s="372"/>
      <c r="W3404" s="372"/>
      <c r="X3404" s="373"/>
      <c r="Y3404" s="348"/>
      <c r="Z3404" s="348"/>
      <c r="AA3404" s="348"/>
    </row>
    <row r="3405" s="331" customFormat="1" ht="15" customHeight="1" spans="1:27">
      <c r="A3405" s="550" t="s">
        <v>8543</v>
      </c>
      <c r="B3405" s="348" t="s">
        <v>58</v>
      </c>
      <c r="C3405" s="348" t="s">
        <v>161</v>
      </c>
      <c r="D3405" s="334" t="s">
        <v>343</v>
      </c>
      <c r="E3405" s="336">
        <v>43738</v>
      </c>
      <c r="F3405" s="336">
        <v>43692</v>
      </c>
      <c r="G3405" s="336">
        <v>43738</v>
      </c>
      <c r="H3405" s="334" t="s">
        <v>8544</v>
      </c>
      <c r="I3405" s="356">
        <v>13801905868</v>
      </c>
      <c r="J3405" s="361" t="s">
        <v>8545</v>
      </c>
      <c r="K3405" s="356">
        <v>50000</v>
      </c>
      <c r="L3405" s="334">
        <v>48280</v>
      </c>
      <c r="M3405" s="419"/>
      <c r="N3405" s="362">
        <f t="shared" si="120"/>
        <v>48280</v>
      </c>
      <c r="O3405" s="356"/>
      <c r="P3405" s="356"/>
      <c r="Q3405" s="366" t="s">
        <v>52</v>
      </c>
      <c r="R3405" s="356"/>
      <c r="S3405" s="356"/>
      <c r="T3405" s="356"/>
      <c r="U3405" s="372"/>
      <c r="V3405" s="372"/>
      <c r="W3405" s="372"/>
      <c r="X3405" s="373"/>
      <c r="Y3405" s="348"/>
      <c r="Z3405" s="348"/>
      <c r="AA3405" s="348"/>
    </row>
    <row r="3406" s="331" customFormat="1" ht="17" customHeight="1" spans="1:27">
      <c r="A3406" s="550" t="s">
        <v>8546</v>
      </c>
      <c r="B3406" s="348" t="s">
        <v>31</v>
      </c>
      <c r="C3406" s="348" t="s">
        <v>2716</v>
      </c>
      <c r="D3406" s="352" t="s">
        <v>33</v>
      </c>
      <c r="E3406" s="336">
        <v>43760</v>
      </c>
      <c r="F3406" s="336">
        <v>43692</v>
      </c>
      <c r="G3406" s="336">
        <v>43758</v>
      </c>
      <c r="H3406" s="334" t="s">
        <v>8547</v>
      </c>
      <c r="I3406" s="356">
        <v>13501813689</v>
      </c>
      <c r="J3406" s="361" t="s">
        <v>8548</v>
      </c>
      <c r="K3406" s="356">
        <v>1000</v>
      </c>
      <c r="L3406" s="334">
        <v>9175</v>
      </c>
      <c r="M3406" s="419"/>
      <c r="N3406" s="362">
        <f t="shared" si="120"/>
        <v>9175</v>
      </c>
      <c r="O3406" s="356"/>
      <c r="P3406" s="356"/>
      <c r="Q3406" s="356"/>
      <c r="R3406" s="366" t="s">
        <v>52</v>
      </c>
      <c r="S3406" s="356"/>
      <c r="T3406" s="356"/>
      <c r="U3406" s="372"/>
      <c r="V3406" s="372"/>
      <c r="W3406" s="372"/>
      <c r="X3406" s="373"/>
      <c r="Y3406" s="348"/>
      <c r="Z3406" s="348"/>
      <c r="AA3406" s="348"/>
    </row>
    <row r="3407" s="331" customFormat="1" ht="17" customHeight="1" spans="1:27">
      <c r="A3407" s="348"/>
      <c r="B3407" s="348" t="s">
        <v>137</v>
      </c>
      <c r="C3407" s="348" t="s">
        <v>480</v>
      </c>
      <c r="D3407" s="349" t="s">
        <v>443</v>
      </c>
      <c r="E3407" s="336">
        <v>43701</v>
      </c>
      <c r="F3407" s="336">
        <v>43692</v>
      </c>
      <c r="G3407" s="336">
        <v>43701</v>
      </c>
      <c r="H3407" s="334" t="s">
        <v>8549</v>
      </c>
      <c r="I3407" s="356">
        <v>13916001139</v>
      </c>
      <c r="J3407" s="361" t="s">
        <v>8550</v>
      </c>
      <c r="K3407" s="356">
        <v>3500</v>
      </c>
      <c r="L3407" s="334">
        <v>16800</v>
      </c>
      <c r="M3407" s="419"/>
      <c r="N3407" s="362">
        <f t="shared" si="120"/>
        <v>16800</v>
      </c>
      <c r="O3407" s="356"/>
      <c r="P3407" s="356"/>
      <c r="Q3407" s="356"/>
      <c r="R3407" s="356"/>
      <c r="S3407" s="356"/>
      <c r="T3407" s="356"/>
      <c r="U3407" s="372"/>
      <c r="V3407" s="372"/>
      <c r="W3407" s="372"/>
      <c r="X3407" s="373"/>
      <c r="Y3407" s="348"/>
      <c r="Z3407" s="348"/>
      <c r="AA3407" s="348"/>
    </row>
    <row r="3408" s="331" customFormat="1" ht="17" customHeight="1" spans="1:27">
      <c r="A3408" s="348"/>
      <c r="B3408" s="348" t="s">
        <v>87</v>
      </c>
      <c r="C3408" s="348" t="s">
        <v>199</v>
      </c>
      <c r="D3408" s="352" t="s">
        <v>89</v>
      </c>
      <c r="E3408" s="336">
        <v>43729</v>
      </c>
      <c r="F3408" s="336">
        <v>43693</v>
      </c>
      <c r="G3408" s="336">
        <v>43729</v>
      </c>
      <c r="H3408" s="334" t="s">
        <v>8551</v>
      </c>
      <c r="I3408" s="356">
        <v>18917252363</v>
      </c>
      <c r="J3408" s="361" t="s">
        <v>8552</v>
      </c>
      <c r="K3408" s="356">
        <v>8356.15</v>
      </c>
      <c r="L3408" s="334">
        <v>11021</v>
      </c>
      <c r="M3408" s="419"/>
      <c r="N3408" s="362">
        <f t="shared" si="120"/>
        <v>11021</v>
      </c>
      <c r="O3408" s="356"/>
      <c r="P3408" s="411" t="s">
        <v>52</v>
      </c>
      <c r="Q3408" s="411"/>
      <c r="R3408" s="356"/>
      <c r="S3408" s="356"/>
      <c r="T3408" s="356"/>
      <c r="U3408" s="372"/>
      <c r="V3408" s="372"/>
      <c r="W3408" s="372"/>
      <c r="X3408" s="373"/>
      <c r="Y3408" s="348"/>
      <c r="Z3408" s="348"/>
      <c r="AA3408" s="348"/>
    </row>
    <row r="3409" s="331" customFormat="1" ht="17" customHeight="1" spans="1:27">
      <c r="A3409" s="348">
        <v>2066628</v>
      </c>
      <c r="B3409" s="348" t="s">
        <v>335</v>
      </c>
      <c r="C3409" s="348" t="s">
        <v>399</v>
      </c>
      <c r="D3409" s="352" t="s">
        <v>337</v>
      </c>
      <c r="E3409" s="336">
        <v>43695</v>
      </c>
      <c r="F3409" s="336">
        <v>43688</v>
      </c>
      <c r="G3409" s="336">
        <v>43694</v>
      </c>
      <c r="H3409" s="334" t="s">
        <v>8553</v>
      </c>
      <c r="I3409" s="356">
        <v>18621767486</v>
      </c>
      <c r="J3409" s="361" t="s">
        <v>8554</v>
      </c>
      <c r="K3409" s="356">
        <v>1000</v>
      </c>
      <c r="L3409" s="334">
        <f>10097-1472</f>
        <v>8625</v>
      </c>
      <c r="M3409" s="334">
        <v>1472</v>
      </c>
      <c r="N3409" s="362">
        <f t="shared" si="120"/>
        <v>10097</v>
      </c>
      <c r="O3409" s="356"/>
      <c r="P3409" s="356"/>
      <c r="Q3409" s="356"/>
      <c r="R3409" s="356"/>
      <c r="S3409" s="356"/>
      <c r="T3409" s="356"/>
      <c r="U3409" s="372"/>
      <c r="V3409" s="372"/>
      <c r="W3409" s="372"/>
      <c r="X3409" s="373"/>
      <c r="Y3409" s="348"/>
      <c r="Z3409" s="348"/>
      <c r="AA3409" s="348"/>
    </row>
    <row r="3410" s="331" customFormat="1" ht="17" customHeight="1" spans="1:27">
      <c r="A3410" s="550" t="s">
        <v>8555</v>
      </c>
      <c r="B3410" s="348" t="s">
        <v>73</v>
      </c>
      <c r="C3410" s="348" t="s">
        <v>178</v>
      </c>
      <c r="D3410" s="334" t="s">
        <v>68</v>
      </c>
      <c r="E3410" s="336">
        <v>43721</v>
      </c>
      <c r="F3410" s="336">
        <v>43693</v>
      </c>
      <c r="G3410" s="336">
        <v>43720</v>
      </c>
      <c r="H3410" s="334" t="s">
        <v>8556</v>
      </c>
      <c r="I3410" s="356">
        <v>13611845240</v>
      </c>
      <c r="J3410" s="361" t="s">
        <v>8557</v>
      </c>
      <c r="K3410" s="356">
        <v>1000</v>
      </c>
      <c r="L3410" s="334">
        <f>4826-736</f>
        <v>4090</v>
      </c>
      <c r="M3410" s="334">
        <v>736</v>
      </c>
      <c r="N3410" s="362">
        <f t="shared" si="120"/>
        <v>4826</v>
      </c>
      <c r="O3410" s="356"/>
      <c r="P3410" s="366" t="s">
        <v>52</v>
      </c>
      <c r="Q3410" s="356"/>
      <c r="R3410" s="356"/>
      <c r="S3410" s="356"/>
      <c r="T3410" s="356"/>
      <c r="U3410" s="372"/>
      <c r="V3410" s="372"/>
      <c r="W3410" s="372"/>
      <c r="X3410" s="373"/>
      <c r="Y3410" s="348"/>
      <c r="Z3410" s="348"/>
      <c r="AA3410" s="348"/>
    </row>
    <row r="3411" s="331" customFormat="1" ht="17" customHeight="1" spans="1:27">
      <c r="A3411" s="550" t="s">
        <v>8558</v>
      </c>
      <c r="B3411" s="348" t="s">
        <v>123</v>
      </c>
      <c r="C3411" s="348" t="s">
        <v>32</v>
      </c>
      <c r="D3411" s="352" t="s">
        <v>125</v>
      </c>
      <c r="E3411" s="336">
        <v>43693</v>
      </c>
      <c r="F3411" s="336">
        <v>43693</v>
      </c>
      <c r="G3411" s="350"/>
      <c r="H3411" s="334" t="s">
        <v>8559</v>
      </c>
      <c r="I3411" s="356">
        <v>15618206861</v>
      </c>
      <c r="J3411" s="361" t="s">
        <v>8560</v>
      </c>
      <c r="K3411" s="356">
        <v>1000</v>
      </c>
      <c r="L3411" s="419"/>
      <c r="M3411" s="419"/>
      <c r="N3411" s="362">
        <f t="shared" si="120"/>
        <v>0</v>
      </c>
      <c r="O3411" s="356"/>
      <c r="P3411" s="366" t="s">
        <v>52</v>
      </c>
      <c r="Q3411" s="356"/>
      <c r="R3411" s="356"/>
      <c r="S3411" s="356"/>
      <c r="T3411" s="356"/>
      <c r="U3411" s="372" t="s">
        <v>12</v>
      </c>
      <c r="V3411" s="372"/>
      <c r="W3411" s="372"/>
      <c r="X3411" s="373"/>
      <c r="Y3411" s="348"/>
      <c r="Z3411" s="348"/>
      <c r="AA3411" s="348"/>
    </row>
    <row r="3412" s="331" customFormat="1" ht="17" customHeight="1" spans="1:27">
      <c r="A3412" s="550" t="s">
        <v>8561</v>
      </c>
      <c r="B3412" s="348" t="s">
        <v>87</v>
      </c>
      <c r="C3412" s="348" t="s">
        <v>199</v>
      </c>
      <c r="D3412" s="352" t="s">
        <v>89</v>
      </c>
      <c r="E3412" s="336">
        <v>43693</v>
      </c>
      <c r="F3412" s="336">
        <v>43693</v>
      </c>
      <c r="G3412" s="350"/>
      <c r="H3412" s="334" t="s">
        <v>8562</v>
      </c>
      <c r="I3412" s="356">
        <v>13381826777</v>
      </c>
      <c r="J3412" s="361" t="s">
        <v>8563</v>
      </c>
      <c r="K3412" s="356">
        <v>1000</v>
      </c>
      <c r="L3412" s="419"/>
      <c r="M3412" s="419"/>
      <c r="N3412" s="362">
        <f t="shared" si="120"/>
        <v>0</v>
      </c>
      <c r="O3412" s="356"/>
      <c r="P3412" s="356"/>
      <c r="Q3412" s="356"/>
      <c r="R3412" s="356"/>
      <c r="S3412" s="356"/>
      <c r="T3412" s="356"/>
      <c r="U3412" s="372" t="s">
        <v>12</v>
      </c>
      <c r="V3412" s="372"/>
      <c r="W3412" s="372"/>
      <c r="X3412" s="373"/>
      <c r="Y3412" s="348"/>
      <c r="Z3412" s="348"/>
      <c r="AA3412" s="348"/>
    </row>
    <row r="3413" s="331" customFormat="1" ht="17" customHeight="1" spans="1:27">
      <c r="A3413" s="550" t="s">
        <v>8564</v>
      </c>
      <c r="B3413" s="348" t="s">
        <v>87</v>
      </c>
      <c r="C3413" s="348" t="s">
        <v>199</v>
      </c>
      <c r="D3413" s="352" t="s">
        <v>89</v>
      </c>
      <c r="E3413" s="336">
        <v>43696</v>
      </c>
      <c r="F3413" s="336">
        <v>43693</v>
      </c>
      <c r="G3413" s="336">
        <v>43695</v>
      </c>
      <c r="H3413" s="334" t="s">
        <v>8565</v>
      </c>
      <c r="I3413" s="356">
        <v>17717375062</v>
      </c>
      <c r="J3413" s="361" t="s">
        <v>8566</v>
      </c>
      <c r="K3413" s="356">
        <v>1000</v>
      </c>
      <c r="L3413" s="334">
        <f>5703-760</f>
        <v>4943</v>
      </c>
      <c r="M3413" s="334">
        <f>1435+760</f>
        <v>2195</v>
      </c>
      <c r="N3413" s="362">
        <f t="shared" si="120"/>
        <v>7138</v>
      </c>
      <c r="O3413" s="356"/>
      <c r="P3413" s="356"/>
      <c r="Q3413" s="356"/>
      <c r="R3413" s="356"/>
      <c r="S3413" s="356"/>
      <c r="T3413" s="356"/>
      <c r="U3413" s="372"/>
      <c r="V3413" s="372"/>
      <c r="W3413" s="372"/>
      <c r="X3413" s="373"/>
      <c r="Y3413" s="348"/>
      <c r="Z3413" s="348"/>
      <c r="AA3413" s="348"/>
    </row>
    <row r="3414" s="331" customFormat="1" ht="17" customHeight="1" spans="1:27">
      <c r="A3414" s="550" t="s">
        <v>1416</v>
      </c>
      <c r="B3414" s="348" t="s">
        <v>58</v>
      </c>
      <c r="C3414" s="348" t="s">
        <v>794</v>
      </c>
      <c r="D3414" s="352" t="s">
        <v>110</v>
      </c>
      <c r="E3414" s="336">
        <v>43696</v>
      </c>
      <c r="F3414" s="336">
        <v>43693</v>
      </c>
      <c r="G3414" s="336">
        <v>43694</v>
      </c>
      <c r="H3414" s="334" t="s">
        <v>8567</v>
      </c>
      <c r="I3414" s="356">
        <v>18001902377</v>
      </c>
      <c r="J3414" s="361" t="s">
        <v>8568</v>
      </c>
      <c r="K3414" s="356">
        <v>1000</v>
      </c>
      <c r="L3414" s="334">
        <v>13189</v>
      </c>
      <c r="M3414" s="419"/>
      <c r="N3414" s="362">
        <f t="shared" si="120"/>
        <v>13189</v>
      </c>
      <c r="O3414" s="356"/>
      <c r="P3414" s="366" t="s">
        <v>52</v>
      </c>
      <c r="Q3414" s="356"/>
      <c r="R3414" s="356"/>
      <c r="S3414" s="356"/>
      <c r="T3414" s="356"/>
      <c r="U3414" s="372"/>
      <c r="V3414" s="372"/>
      <c r="W3414" s="372"/>
      <c r="X3414" s="373"/>
      <c r="Y3414" s="348"/>
      <c r="Z3414" s="348"/>
      <c r="AA3414" s="348"/>
    </row>
    <row r="3415" s="331" customFormat="1" ht="17" customHeight="1" spans="1:27">
      <c r="A3415" s="348"/>
      <c r="B3415" s="348" t="s">
        <v>31</v>
      </c>
      <c r="C3415" s="348" t="s">
        <v>220</v>
      </c>
      <c r="D3415" s="334" t="s">
        <v>33</v>
      </c>
      <c r="E3415" s="336">
        <v>43721</v>
      </c>
      <c r="F3415" s="336">
        <v>43693</v>
      </c>
      <c r="G3415" s="336">
        <v>43720</v>
      </c>
      <c r="H3415" s="334" t="s">
        <v>8569</v>
      </c>
      <c r="I3415" s="356">
        <v>13918071410</v>
      </c>
      <c r="J3415" s="334" t="s">
        <v>8570</v>
      </c>
      <c r="K3415" s="356">
        <v>1000</v>
      </c>
      <c r="L3415" s="334">
        <f>19600+35400</f>
        <v>55000</v>
      </c>
      <c r="M3415" s="419"/>
      <c r="N3415" s="362">
        <f t="shared" si="120"/>
        <v>55000</v>
      </c>
      <c r="O3415" s="356"/>
      <c r="P3415" s="356"/>
      <c r="Q3415" s="356"/>
      <c r="R3415" s="356"/>
      <c r="S3415" s="356"/>
      <c r="T3415" s="356"/>
      <c r="U3415" s="372"/>
      <c r="V3415" s="372"/>
      <c r="W3415" s="385" t="s">
        <v>52</v>
      </c>
      <c r="X3415" s="373"/>
      <c r="Y3415" s="348"/>
      <c r="Z3415" s="348"/>
      <c r="AA3415" s="348"/>
    </row>
    <row r="3416" s="331" customFormat="1" ht="17" customHeight="1" spans="1:27">
      <c r="A3416" s="550" t="s">
        <v>8571</v>
      </c>
      <c r="B3416" s="348" t="s">
        <v>31</v>
      </c>
      <c r="C3416" s="348" t="s">
        <v>251</v>
      </c>
      <c r="D3416" s="352" t="s">
        <v>33</v>
      </c>
      <c r="E3416" s="336">
        <v>43737</v>
      </c>
      <c r="F3416" s="336">
        <v>43693</v>
      </c>
      <c r="G3416" s="336">
        <v>43737</v>
      </c>
      <c r="H3416" s="334" t="s">
        <v>8572</v>
      </c>
      <c r="I3416" s="356">
        <v>13817153045</v>
      </c>
      <c r="J3416" s="334" t="s">
        <v>8573</v>
      </c>
      <c r="K3416" s="356">
        <v>1000</v>
      </c>
      <c r="L3416" s="334">
        <v>20000</v>
      </c>
      <c r="M3416" s="419"/>
      <c r="N3416" s="362">
        <f t="shared" si="120"/>
        <v>20000</v>
      </c>
      <c r="O3416" s="356"/>
      <c r="P3416" s="366" t="s">
        <v>52</v>
      </c>
      <c r="Q3416" s="356"/>
      <c r="R3416" s="356"/>
      <c r="S3416" s="356"/>
      <c r="T3416" s="356"/>
      <c r="U3416" s="372"/>
      <c r="V3416" s="372"/>
      <c r="W3416" s="372"/>
      <c r="X3416" s="373"/>
      <c r="Y3416" s="348"/>
      <c r="Z3416" s="348"/>
      <c r="AA3416" s="348"/>
    </row>
    <row r="3417" s="331" customFormat="1" ht="17" customHeight="1" spans="1:27">
      <c r="A3417" s="348"/>
      <c r="B3417" s="348" t="s">
        <v>335</v>
      </c>
      <c r="C3417" s="334" t="s">
        <v>399</v>
      </c>
      <c r="D3417" s="349" t="s">
        <v>75</v>
      </c>
      <c r="E3417" s="336">
        <v>43693</v>
      </c>
      <c r="F3417" s="336"/>
      <c r="G3417" s="336">
        <v>43692</v>
      </c>
      <c r="H3417" s="334" t="s">
        <v>8328</v>
      </c>
      <c r="I3417" s="356">
        <v>13501786216</v>
      </c>
      <c r="J3417" s="361" t="s">
        <v>8574</v>
      </c>
      <c r="K3417" s="356"/>
      <c r="L3417" s="334">
        <v>113965</v>
      </c>
      <c r="M3417" s="419"/>
      <c r="N3417" s="362">
        <f t="shared" si="120"/>
        <v>113965</v>
      </c>
      <c r="O3417" s="356"/>
      <c r="P3417" s="356"/>
      <c r="Q3417" s="356"/>
      <c r="R3417" s="356"/>
      <c r="S3417" s="356"/>
      <c r="T3417" s="356"/>
      <c r="U3417" s="372"/>
      <c r="V3417" s="372"/>
      <c r="W3417" s="372"/>
      <c r="X3417" s="373"/>
      <c r="Y3417" s="348"/>
      <c r="Z3417" s="348"/>
      <c r="AA3417" s="348"/>
    </row>
    <row r="3418" s="331" customFormat="1" ht="17" customHeight="1" spans="1:27">
      <c r="A3418" s="348"/>
      <c r="B3418" s="348" t="s">
        <v>153</v>
      </c>
      <c r="C3418" s="334" t="s">
        <v>302</v>
      </c>
      <c r="D3418" s="349" t="s">
        <v>155</v>
      </c>
      <c r="E3418" s="336">
        <v>43693</v>
      </c>
      <c r="F3418" s="336"/>
      <c r="G3418" s="336">
        <v>43692</v>
      </c>
      <c r="H3418" s="334" t="s">
        <v>8575</v>
      </c>
      <c r="I3418" s="356">
        <v>18918637362</v>
      </c>
      <c r="J3418" s="361" t="s">
        <v>8576</v>
      </c>
      <c r="K3418" s="356"/>
      <c r="L3418" s="334">
        <v>7896</v>
      </c>
      <c r="M3418" s="334"/>
      <c r="N3418" s="362">
        <f t="shared" si="120"/>
        <v>7896</v>
      </c>
      <c r="O3418" s="356"/>
      <c r="P3418" s="356"/>
      <c r="Q3418" s="356"/>
      <c r="R3418" s="356"/>
      <c r="S3418" s="356"/>
      <c r="T3418" s="356"/>
      <c r="U3418" s="372"/>
      <c r="V3418" s="372"/>
      <c r="W3418" s="372"/>
      <c r="X3418" s="373"/>
      <c r="Y3418" s="348"/>
      <c r="Z3418" s="348"/>
      <c r="AA3418" s="348"/>
    </row>
    <row r="3419" s="331" customFormat="1" ht="17" customHeight="1" spans="1:27">
      <c r="A3419" s="348"/>
      <c r="B3419" s="348" t="s">
        <v>73</v>
      </c>
      <c r="C3419" s="334" t="s">
        <v>74</v>
      </c>
      <c r="D3419" s="349" t="s">
        <v>143</v>
      </c>
      <c r="E3419" s="336">
        <v>43693</v>
      </c>
      <c r="F3419" s="336"/>
      <c r="G3419" s="336">
        <v>43693</v>
      </c>
      <c r="H3419" s="334" t="s">
        <v>4471</v>
      </c>
      <c r="I3419" s="356">
        <v>13671796066</v>
      </c>
      <c r="J3419" s="361" t="s">
        <v>8577</v>
      </c>
      <c r="K3419" s="356"/>
      <c r="L3419" s="334">
        <f>17502-736</f>
        <v>16766</v>
      </c>
      <c r="M3419" s="334">
        <v>736</v>
      </c>
      <c r="N3419" s="362">
        <f t="shared" si="120"/>
        <v>17502</v>
      </c>
      <c r="O3419" s="356"/>
      <c r="P3419" s="356"/>
      <c r="Q3419" s="356"/>
      <c r="R3419" s="356"/>
      <c r="S3419" s="356"/>
      <c r="T3419" s="356"/>
      <c r="U3419" s="372"/>
      <c r="V3419" s="372"/>
      <c r="W3419" s="372"/>
      <c r="X3419" s="373"/>
      <c r="Y3419" s="348"/>
      <c r="Z3419" s="348"/>
      <c r="AA3419" s="348"/>
    </row>
    <row r="3420" s="331" customFormat="1" ht="17" customHeight="1" spans="1:27">
      <c r="A3420" s="348"/>
      <c r="B3420" s="348" t="s">
        <v>42</v>
      </c>
      <c r="C3420" s="334" t="s">
        <v>43</v>
      </c>
      <c r="D3420" s="349" t="s">
        <v>89</v>
      </c>
      <c r="E3420" s="336">
        <v>43693</v>
      </c>
      <c r="F3420" s="336" t="s">
        <v>800</v>
      </c>
      <c r="G3420" s="336">
        <v>43692</v>
      </c>
      <c r="H3420" s="334" t="s">
        <v>8578</v>
      </c>
      <c r="I3420" s="356">
        <v>13701766733</v>
      </c>
      <c r="J3420" s="361" t="s">
        <v>8579</v>
      </c>
      <c r="K3420" s="356"/>
      <c r="L3420" s="419"/>
      <c r="M3420" s="334">
        <v>146</v>
      </c>
      <c r="N3420" s="362">
        <f t="shared" si="120"/>
        <v>146</v>
      </c>
      <c r="O3420" s="356"/>
      <c r="P3420" s="356"/>
      <c r="Q3420" s="356"/>
      <c r="R3420" s="356"/>
      <c r="S3420" s="356"/>
      <c r="T3420" s="356"/>
      <c r="U3420" s="372"/>
      <c r="V3420" s="372"/>
      <c r="W3420" s="372"/>
      <c r="X3420" s="373"/>
      <c r="Y3420" s="348"/>
      <c r="Z3420" s="348"/>
      <c r="AA3420" s="348"/>
    </row>
    <row r="3421" s="331" customFormat="1" ht="17" customHeight="1" spans="1:27">
      <c r="A3421" s="348"/>
      <c r="B3421" s="348" t="s">
        <v>66</v>
      </c>
      <c r="C3421" s="334" t="s">
        <v>951</v>
      </c>
      <c r="D3421" s="349" t="s">
        <v>68</v>
      </c>
      <c r="E3421" s="336">
        <v>43693</v>
      </c>
      <c r="F3421" s="336" t="s">
        <v>800</v>
      </c>
      <c r="G3421" s="336">
        <v>43692</v>
      </c>
      <c r="H3421" s="334" t="s">
        <v>8580</v>
      </c>
      <c r="I3421" s="356">
        <v>15821658527</v>
      </c>
      <c r="J3421" s="361" t="s">
        <v>8581</v>
      </c>
      <c r="K3421" s="356"/>
      <c r="L3421" s="419"/>
      <c r="M3421" s="334">
        <v>263</v>
      </c>
      <c r="N3421" s="362">
        <f t="shared" si="120"/>
        <v>263</v>
      </c>
      <c r="O3421" s="356"/>
      <c r="P3421" s="356"/>
      <c r="Q3421" s="356"/>
      <c r="R3421" s="356"/>
      <c r="S3421" s="356"/>
      <c r="T3421" s="356"/>
      <c r="U3421" s="372"/>
      <c r="V3421" s="372"/>
      <c r="W3421" s="372"/>
      <c r="X3421" s="373"/>
      <c r="Y3421" s="348"/>
      <c r="Z3421" s="348"/>
      <c r="AA3421" s="348"/>
    </row>
    <row r="3422" s="331" customFormat="1" ht="17" customHeight="1" spans="1:27">
      <c r="A3422" s="348"/>
      <c r="B3422" s="348" t="s">
        <v>354</v>
      </c>
      <c r="C3422" s="348" t="s">
        <v>355</v>
      </c>
      <c r="D3422" s="349" t="s">
        <v>343</v>
      </c>
      <c r="E3422" s="336">
        <v>43693</v>
      </c>
      <c r="F3422" s="336" t="s">
        <v>800</v>
      </c>
      <c r="G3422" s="336">
        <v>43689</v>
      </c>
      <c r="H3422" s="334" t="s">
        <v>8582</v>
      </c>
      <c r="I3422" s="356">
        <v>13916068502</v>
      </c>
      <c r="J3422" s="361" t="s">
        <v>6498</v>
      </c>
      <c r="K3422" s="356"/>
      <c r="L3422" s="419"/>
      <c r="M3422" s="334">
        <v>-52</v>
      </c>
      <c r="N3422" s="362">
        <f t="shared" si="120"/>
        <v>-52</v>
      </c>
      <c r="O3422" s="356"/>
      <c r="P3422" s="356"/>
      <c r="Q3422" s="356"/>
      <c r="R3422" s="356"/>
      <c r="S3422" s="356"/>
      <c r="T3422" s="356"/>
      <c r="U3422" s="372"/>
      <c r="V3422" s="372"/>
      <c r="W3422" s="372"/>
      <c r="X3422" s="373"/>
      <c r="Y3422" s="348"/>
      <c r="Z3422" s="348"/>
      <c r="AA3422" s="348"/>
    </row>
    <row r="3423" s="331" customFormat="1" ht="17" customHeight="1" spans="1:27">
      <c r="A3423" s="348"/>
      <c r="B3423" s="348" t="s">
        <v>35</v>
      </c>
      <c r="C3423" s="334" t="s">
        <v>36</v>
      </c>
      <c r="D3423" s="349" t="s">
        <v>187</v>
      </c>
      <c r="E3423" s="336">
        <v>43693</v>
      </c>
      <c r="F3423" s="336" t="s">
        <v>800</v>
      </c>
      <c r="G3423" s="336">
        <v>43661</v>
      </c>
      <c r="H3423" s="334" t="s">
        <v>971</v>
      </c>
      <c r="I3423" s="356">
        <v>13651911115</v>
      </c>
      <c r="J3423" s="361" t="s">
        <v>972</v>
      </c>
      <c r="K3423" s="356"/>
      <c r="L3423" s="419"/>
      <c r="M3423" s="334">
        <v>6005</v>
      </c>
      <c r="N3423" s="362">
        <f t="shared" si="120"/>
        <v>6005</v>
      </c>
      <c r="O3423" s="356"/>
      <c r="P3423" s="356"/>
      <c r="Q3423" s="356"/>
      <c r="R3423" s="356"/>
      <c r="S3423" s="356"/>
      <c r="T3423" s="356"/>
      <c r="U3423" s="372"/>
      <c r="V3423" s="372"/>
      <c r="W3423" s="372"/>
      <c r="X3423" s="373"/>
      <c r="Y3423" s="348"/>
      <c r="Z3423" s="348"/>
      <c r="AA3423" s="348"/>
    </row>
    <row r="3424" s="331" customFormat="1" ht="17" customHeight="1" spans="1:27">
      <c r="A3424" s="348"/>
      <c r="B3424" s="348" t="s">
        <v>87</v>
      </c>
      <c r="C3424" s="334" t="s">
        <v>466</v>
      </c>
      <c r="D3424" s="349" t="s">
        <v>89</v>
      </c>
      <c r="E3424" s="336">
        <v>43693</v>
      </c>
      <c r="F3424" s="336" t="s">
        <v>800</v>
      </c>
      <c r="G3424" s="336">
        <v>43692</v>
      </c>
      <c r="H3424" s="334" t="s">
        <v>6663</v>
      </c>
      <c r="I3424" s="356">
        <v>18964685681</v>
      </c>
      <c r="J3424" s="361" t="s">
        <v>6664</v>
      </c>
      <c r="K3424" s="356"/>
      <c r="L3424" s="419"/>
      <c r="M3424" s="334">
        <v>1599</v>
      </c>
      <c r="N3424" s="362">
        <f t="shared" si="120"/>
        <v>1599</v>
      </c>
      <c r="O3424" s="356"/>
      <c r="P3424" s="356"/>
      <c r="Q3424" s="356"/>
      <c r="R3424" s="356"/>
      <c r="S3424" s="356"/>
      <c r="T3424" s="356"/>
      <c r="U3424" s="372"/>
      <c r="V3424" s="372"/>
      <c r="W3424" s="372"/>
      <c r="X3424" s="373"/>
      <c r="Y3424" s="348"/>
      <c r="Z3424" s="348"/>
      <c r="AA3424" s="348"/>
    </row>
    <row r="3425" s="331" customFormat="1" ht="17" customHeight="1" spans="1:27">
      <c r="A3425" s="348"/>
      <c r="B3425" s="348" t="s">
        <v>73</v>
      </c>
      <c r="C3425" s="334" t="s">
        <v>74</v>
      </c>
      <c r="D3425" s="349" t="s">
        <v>143</v>
      </c>
      <c r="E3425" s="336">
        <v>43693</v>
      </c>
      <c r="F3425" s="336" t="s">
        <v>800</v>
      </c>
      <c r="G3425" s="336">
        <v>43692</v>
      </c>
      <c r="H3425" s="334" t="s">
        <v>8583</v>
      </c>
      <c r="I3425" s="356">
        <v>15317089776</v>
      </c>
      <c r="J3425" s="361" t="s">
        <v>8584</v>
      </c>
      <c r="K3425" s="356"/>
      <c r="L3425" s="419"/>
      <c r="M3425" s="334">
        <v>445</v>
      </c>
      <c r="N3425" s="362">
        <f t="shared" si="120"/>
        <v>445</v>
      </c>
      <c r="O3425" s="356"/>
      <c r="P3425" s="356"/>
      <c r="Q3425" s="356"/>
      <c r="R3425" s="356"/>
      <c r="S3425" s="356"/>
      <c r="T3425" s="356"/>
      <c r="U3425" s="372"/>
      <c r="V3425" s="372"/>
      <c r="W3425" s="372"/>
      <c r="X3425" s="373"/>
      <c r="Y3425" s="348"/>
      <c r="Z3425" s="348"/>
      <c r="AA3425" s="348"/>
    </row>
    <row r="3426" s="331" customFormat="1" ht="17" customHeight="1" spans="1:27">
      <c r="A3426" s="348"/>
      <c r="B3426" s="348" t="s">
        <v>137</v>
      </c>
      <c r="C3426" s="334" t="s">
        <v>2705</v>
      </c>
      <c r="D3426" s="349" t="s">
        <v>139</v>
      </c>
      <c r="E3426" s="336">
        <v>43693</v>
      </c>
      <c r="F3426" s="336"/>
      <c r="G3426" s="336">
        <v>43693</v>
      </c>
      <c r="H3426" s="334" t="s">
        <v>5307</v>
      </c>
      <c r="I3426" s="356">
        <v>17616592620</v>
      </c>
      <c r="J3426" s="361" t="s">
        <v>5308</v>
      </c>
      <c r="K3426" s="356"/>
      <c r="L3426" s="334">
        <v>-10000</v>
      </c>
      <c r="M3426" s="419"/>
      <c r="N3426" s="362">
        <f t="shared" si="120"/>
        <v>-10000</v>
      </c>
      <c r="O3426" s="356"/>
      <c r="P3426" s="356"/>
      <c r="Q3426" s="356"/>
      <c r="R3426" s="356"/>
      <c r="S3426" s="356"/>
      <c r="T3426" s="356"/>
      <c r="U3426" s="372"/>
      <c r="V3426" s="372"/>
      <c r="W3426" s="372"/>
      <c r="X3426" s="373"/>
      <c r="Y3426" s="348"/>
      <c r="Z3426" s="348"/>
      <c r="AA3426" s="348"/>
    </row>
    <row r="3427" s="331" customFormat="1" ht="17" customHeight="1" spans="1:27">
      <c r="A3427" s="348"/>
      <c r="B3427" s="348" t="s">
        <v>137</v>
      </c>
      <c r="C3427" s="334" t="s">
        <v>2705</v>
      </c>
      <c r="D3427" s="349" t="s">
        <v>191</v>
      </c>
      <c r="E3427" s="336">
        <v>43693</v>
      </c>
      <c r="F3427" s="336" t="s">
        <v>800</v>
      </c>
      <c r="G3427" s="336">
        <v>43693</v>
      </c>
      <c r="H3427" s="334" t="s">
        <v>5307</v>
      </c>
      <c r="I3427" s="356">
        <v>17616592620</v>
      </c>
      <c r="J3427" s="361" t="s">
        <v>5308</v>
      </c>
      <c r="K3427" s="356"/>
      <c r="L3427" s="334"/>
      <c r="M3427" s="334">
        <v>8864</v>
      </c>
      <c r="N3427" s="362">
        <f t="shared" si="120"/>
        <v>8864</v>
      </c>
      <c r="O3427" s="356"/>
      <c r="P3427" s="356"/>
      <c r="Q3427" s="356"/>
      <c r="R3427" s="356"/>
      <c r="S3427" s="356"/>
      <c r="T3427" s="356"/>
      <c r="U3427" s="372"/>
      <c r="V3427" s="372"/>
      <c r="W3427" s="372"/>
      <c r="X3427" s="373"/>
      <c r="Y3427" s="348"/>
      <c r="Z3427" s="348"/>
      <c r="AA3427" s="348"/>
    </row>
    <row r="3428" s="331" customFormat="1" ht="17" customHeight="1" spans="1:27">
      <c r="A3428" s="348"/>
      <c r="B3428" s="348" t="s">
        <v>58</v>
      </c>
      <c r="C3428" s="348" t="s">
        <v>794</v>
      </c>
      <c r="D3428" s="349" t="s">
        <v>343</v>
      </c>
      <c r="E3428" s="336">
        <v>43693</v>
      </c>
      <c r="F3428" s="336" t="s">
        <v>800</v>
      </c>
      <c r="G3428" s="336">
        <v>43693</v>
      </c>
      <c r="H3428" s="334" t="s">
        <v>2662</v>
      </c>
      <c r="I3428" s="356">
        <v>13819058310</v>
      </c>
      <c r="J3428" s="361" t="s">
        <v>2663</v>
      </c>
      <c r="K3428" s="356"/>
      <c r="L3428" s="419"/>
      <c r="M3428" s="334">
        <v>1029</v>
      </c>
      <c r="N3428" s="362">
        <f t="shared" si="120"/>
        <v>1029</v>
      </c>
      <c r="O3428" s="356"/>
      <c r="P3428" s="356"/>
      <c r="Q3428" s="356"/>
      <c r="R3428" s="356"/>
      <c r="S3428" s="356"/>
      <c r="T3428" s="356"/>
      <c r="U3428" s="372"/>
      <c r="V3428" s="372"/>
      <c r="W3428" s="372"/>
      <c r="X3428" s="373"/>
      <c r="Y3428" s="348"/>
      <c r="Z3428" s="348"/>
      <c r="AA3428" s="348"/>
    </row>
    <row r="3429" s="331" customFormat="1" ht="17" customHeight="1" spans="1:27">
      <c r="A3429" s="348"/>
      <c r="B3429" s="348" t="s">
        <v>66</v>
      </c>
      <c r="C3429" s="334" t="s">
        <v>1749</v>
      </c>
      <c r="D3429" s="349" t="s">
        <v>68</v>
      </c>
      <c r="E3429" s="336">
        <v>43693</v>
      </c>
      <c r="F3429" s="336" t="s">
        <v>800</v>
      </c>
      <c r="G3429" s="336">
        <v>43689</v>
      </c>
      <c r="H3429" s="334" t="s">
        <v>5710</v>
      </c>
      <c r="I3429" s="356">
        <v>17621642299</v>
      </c>
      <c r="J3429" s="361" t="s">
        <v>8585</v>
      </c>
      <c r="K3429" s="356"/>
      <c r="L3429" s="419"/>
      <c r="M3429" s="334">
        <v>2700</v>
      </c>
      <c r="N3429" s="362">
        <f t="shared" si="120"/>
        <v>2700</v>
      </c>
      <c r="O3429" s="356"/>
      <c r="P3429" s="356"/>
      <c r="Q3429" s="356"/>
      <c r="R3429" s="356"/>
      <c r="S3429" s="356"/>
      <c r="T3429" s="356"/>
      <c r="U3429" s="372"/>
      <c r="V3429" s="372"/>
      <c r="W3429" s="372"/>
      <c r="X3429" s="373"/>
      <c r="Y3429" s="348"/>
      <c r="Z3429" s="348"/>
      <c r="AA3429" s="348"/>
    </row>
    <row r="3430" s="331" customFormat="1" ht="17" customHeight="1" spans="1:27">
      <c r="A3430" s="348"/>
      <c r="B3430" s="348" t="s">
        <v>58</v>
      </c>
      <c r="C3430" s="334" t="s">
        <v>342</v>
      </c>
      <c r="D3430" s="349" t="s">
        <v>110</v>
      </c>
      <c r="E3430" s="336">
        <v>43693</v>
      </c>
      <c r="F3430" s="336" t="s">
        <v>800</v>
      </c>
      <c r="G3430" s="336">
        <v>43693</v>
      </c>
      <c r="H3430" s="334" t="s">
        <v>8586</v>
      </c>
      <c r="I3430" s="356">
        <v>18321979686</v>
      </c>
      <c r="J3430" s="361" t="s">
        <v>8587</v>
      </c>
      <c r="K3430" s="356"/>
      <c r="L3430" s="419"/>
      <c r="M3430" s="334">
        <v>2142</v>
      </c>
      <c r="N3430" s="362">
        <f t="shared" si="120"/>
        <v>2142</v>
      </c>
      <c r="O3430" s="356"/>
      <c r="P3430" s="356"/>
      <c r="Q3430" s="356"/>
      <c r="R3430" s="356"/>
      <c r="S3430" s="356"/>
      <c r="T3430" s="356"/>
      <c r="U3430" s="372"/>
      <c r="V3430" s="372"/>
      <c r="W3430" s="372"/>
      <c r="X3430" s="373"/>
      <c r="Y3430" s="348"/>
      <c r="Z3430" s="348"/>
      <c r="AA3430" s="348"/>
    </row>
    <row r="3431" s="331" customFormat="1" ht="17" customHeight="1" spans="1:27">
      <c r="A3431" s="348"/>
      <c r="B3431" s="348" t="s">
        <v>147</v>
      </c>
      <c r="C3431" s="348" t="s">
        <v>148</v>
      </c>
      <c r="D3431" s="349" t="s">
        <v>37</v>
      </c>
      <c r="E3431" s="336">
        <v>43693</v>
      </c>
      <c r="F3431" s="336" t="s">
        <v>800</v>
      </c>
      <c r="G3431" s="336">
        <v>43693</v>
      </c>
      <c r="H3431" s="334" t="s">
        <v>6924</v>
      </c>
      <c r="I3431" s="356">
        <v>13917717417</v>
      </c>
      <c r="J3431" s="361" t="s">
        <v>6925</v>
      </c>
      <c r="K3431" s="356"/>
      <c r="L3431" s="419"/>
      <c r="M3431" s="334">
        <f>-1552</f>
        <v>-1552</v>
      </c>
      <c r="N3431" s="362">
        <f t="shared" si="120"/>
        <v>-1552</v>
      </c>
      <c r="O3431" s="356"/>
      <c r="P3431" s="356"/>
      <c r="Q3431" s="356"/>
      <c r="R3431" s="356"/>
      <c r="S3431" s="356"/>
      <c r="T3431" s="356"/>
      <c r="U3431" s="372"/>
      <c r="V3431" s="372"/>
      <c r="W3431" s="372"/>
      <c r="X3431" s="373"/>
      <c r="Y3431" s="348"/>
      <c r="Z3431" s="348"/>
      <c r="AA3431" s="348"/>
    </row>
    <row r="3432" s="331" customFormat="1" ht="17" customHeight="1" spans="1:27">
      <c r="A3432" s="348">
        <v>2066214</v>
      </c>
      <c r="B3432" s="348" t="s">
        <v>243</v>
      </c>
      <c r="C3432" s="348" t="s">
        <v>309</v>
      </c>
      <c r="D3432" s="352" t="s">
        <v>49</v>
      </c>
      <c r="E3432" s="336">
        <v>43694</v>
      </c>
      <c r="F3432" s="336">
        <v>43682</v>
      </c>
      <c r="G3432" s="350">
        <v>43684</v>
      </c>
      <c r="H3432" s="334" t="s">
        <v>8515</v>
      </c>
      <c r="I3432" s="356">
        <v>13301655998</v>
      </c>
      <c r="J3432" s="361" t="s">
        <v>8588</v>
      </c>
      <c r="K3432" s="356">
        <v>15000</v>
      </c>
      <c r="L3432" s="419"/>
      <c r="M3432" s="419"/>
      <c r="N3432" s="362">
        <f t="shared" ref="N3432:N3472" si="121">L3432+M3432</f>
        <v>0</v>
      </c>
      <c r="O3432" s="356"/>
      <c r="P3432" s="356"/>
      <c r="Q3432" s="356"/>
      <c r="R3432" s="356"/>
      <c r="S3432" s="356"/>
      <c r="T3432" s="356"/>
      <c r="U3432" s="372"/>
      <c r="V3432" s="372"/>
      <c r="W3432" s="372"/>
      <c r="X3432" s="373"/>
      <c r="Y3432" s="348"/>
      <c r="Z3432" s="348"/>
      <c r="AA3432" s="348"/>
    </row>
    <row r="3433" s="331" customFormat="1" ht="17" customHeight="1" spans="1:27">
      <c r="A3433" s="348">
        <v>2067604</v>
      </c>
      <c r="B3433" s="348" t="s">
        <v>243</v>
      </c>
      <c r="C3433" s="348" t="s">
        <v>304</v>
      </c>
      <c r="D3433" s="352" t="s">
        <v>49</v>
      </c>
      <c r="E3433" s="336">
        <v>43694</v>
      </c>
      <c r="F3433" s="336">
        <v>43688</v>
      </c>
      <c r="G3433" s="350"/>
      <c r="H3433" s="334" t="s">
        <v>8589</v>
      </c>
      <c r="I3433" s="356">
        <v>18917809006</v>
      </c>
      <c r="J3433" s="361" t="s">
        <v>8590</v>
      </c>
      <c r="K3433" s="356">
        <v>1000</v>
      </c>
      <c r="L3433" s="419"/>
      <c r="M3433" s="419"/>
      <c r="N3433" s="362">
        <f t="shared" si="121"/>
        <v>0</v>
      </c>
      <c r="O3433" s="356"/>
      <c r="P3433" s="356"/>
      <c r="Q3433" s="356"/>
      <c r="R3433" s="356"/>
      <c r="S3433" s="356"/>
      <c r="T3433" s="356"/>
      <c r="U3433" s="372" t="s">
        <v>6630</v>
      </c>
      <c r="V3433" s="372"/>
      <c r="W3433" s="372"/>
      <c r="X3433" s="373"/>
      <c r="Y3433" s="348"/>
      <c r="Z3433" s="348"/>
      <c r="AA3433" s="348"/>
    </row>
    <row r="3434" s="331" customFormat="1" ht="17" customHeight="1" spans="1:27">
      <c r="A3434" s="348">
        <v>2066218</v>
      </c>
      <c r="B3434" s="348" t="s">
        <v>243</v>
      </c>
      <c r="C3434" s="348" t="s">
        <v>244</v>
      </c>
      <c r="D3434" s="352" t="s">
        <v>49</v>
      </c>
      <c r="E3434" s="336">
        <v>43696</v>
      </c>
      <c r="F3434" s="336" t="s">
        <v>800</v>
      </c>
      <c r="G3434" s="336">
        <v>43696</v>
      </c>
      <c r="H3434" s="334" t="s">
        <v>8591</v>
      </c>
      <c r="I3434" s="356">
        <v>18918800098</v>
      </c>
      <c r="J3434" s="361" t="s">
        <v>8592</v>
      </c>
      <c r="K3434" s="356">
        <v>2699</v>
      </c>
      <c r="L3434" s="419"/>
      <c r="M3434" s="334">
        <v>2967</v>
      </c>
      <c r="N3434" s="362">
        <f t="shared" si="121"/>
        <v>2967</v>
      </c>
      <c r="O3434" s="356"/>
      <c r="P3434" s="356"/>
      <c r="Q3434" s="356"/>
      <c r="R3434" s="356"/>
      <c r="S3434" s="356"/>
      <c r="T3434" s="356"/>
      <c r="U3434" s="372"/>
      <c r="V3434" s="372"/>
      <c r="W3434" s="372"/>
      <c r="X3434" s="373"/>
      <c r="Y3434" s="348"/>
      <c r="Z3434" s="348"/>
      <c r="AA3434" s="348"/>
    </row>
    <row r="3435" s="331" customFormat="1" ht="17" customHeight="1" spans="1:27">
      <c r="A3435" s="348">
        <v>2066221</v>
      </c>
      <c r="B3435" s="348" t="s">
        <v>243</v>
      </c>
      <c r="C3435" s="348" t="s">
        <v>309</v>
      </c>
      <c r="D3435" s="352" t="s">
        <v>49</v>
      </c>
      <c r="E3435" s="336">
        <v>43746</v>
      </c>
      <c r="F3435" s="336">
        <v>43694</v>
      </c>
      <c r="G3435" s="336">
        <v>43746</v>
      </c>
      <c r="H3435" s="334" t="s">
        <v>8593</v>
      </c>
      <c r="I3435" s="356">
        <v>13918734818</v>
      </c>
      <c r="J3435" s="361" t="s">
        <v>8594</v>
      </c>
      <c r="K3435" s="356">
        <v>1000</v>
      </c>
      <c r="L3435" s="334">
        <v>6984</v>
      </c>
      <c r="M3435" s="419"/>
      <c r="N3435" s="362">
        <f t="shared" si="121"/>
        <v>6984</v>
      </c>
      <c r="O3435" s="356" t="s">
        <v>52</v>
      </c>
      <c r="P3435" s="356"/>
      <c r="Q3435" s="356"/>
      <c r="R3435" s="356"/>
      <c r="S3435" s="356"/>
      <c r="T3435" s="356"/>
      <c r="U3435" s="372"/>
      <c r="V3435" s="372"/>
      <c r="W3435" s="372"/>
      <c r="X3435" s="373"/>
      <c r="Y3435" s="348"/>
      <c r="Z3435" s="348"/>
      <c r="AA3435" s="348"/>
    </row>
    <row r="3436" s="331" customFormat="1" ht="17" customHeight="1" spans="1:27">
      <c r="A3436" s="550" t="s">
        <v>8595</v>
      </c>
      <c r="B3436" s="348" t="s">
        <v>805</v>
      </c>
      <c r="C3436" s="348" t="s">
        <v>4935</v>
      </c>
      <c r="D3436" s="352" t="s">
        <v>171</v>
      </c>
      <c r="E3436" s="336">
        <v>43719</v>
      </c>
      <c r="F3436" s="336">
        <v>43694</v>
      </c>
      <c r="G3436" s="336">
        <v>43718</v>
      </c>
      <c r="H3436" s="334" t="s">
        <v>8596</v>
      </c>
      <c r="I3436" s="356">
        <v>18121198178</v>
      </c>
      <c r="J3436" s="361" t="s">
        <v>8597</v>
      </c>
      <c r="K3436" s="356">
        <v>1000</v>
      </c>
      <c r="L3436" s="334">
        <f>16600-1072</f>
        <v>15528</v>
      </c>
      <c r="M3436" s="334">
        <v>1072</v>
      </c>
      <c r="N3436" s="362">
        <f t="shared" si="121"/>
        <v>16600</v>
      </c>
      <c r="O3436" s="356"/>
      <c r="P3436" s="430" t="s">
        <v>52</v>
      </c>
      <c r="Q3436" s="356"/>
      <c r="R3436" s="356"/>
      <c r="S3436" s="356"/>
      <c r="T3436" s="356"/>
      <c r="U3436" s="372"/>
      <c r="V3436" s="372"/>
      <c r="W3436" s="372"/>
      <c r="X3436" s="373"/>
      <c r="Y3436" s="348"/>
      <c r="Z3436" s="348"/>
      <c r="AA3436" s="348"/>
    </row>
    <row r="3437" s="57" customFormat="1" ht="17" customHeight="1" spans="1:27">
      <c r="A3437" s="550" t="s">
        <v>8598</v>
      </c>
      <c r="B3437" s="348" t="s">
        <v>137</v>
      </c>
      <c r="C3437" s="348" t="s">
        <v>861</v>
      </c>
      <c r="D3437" s="352" t="s">
        <v>427</v>
      </c>
      <c r="E3437" s="336">
        <v>43694</v>
      </c>
      <c r="F3437" s="336">
        <v>43694</v>
      </c>
      <c r="G3437" s="350"/>
      <c r="H3437" s="334" t="s">
        <v>8599</v>
      </c>
      <c r="I3437" s="356">
        <v>13916942098</v>
      </c>
      <c r="J3437" s="348" t="s">
        <v>8600</v>
      </c>
      <c r="K3437" s="356">
        <v>1000</v>
      </c>
      <c r="L3437" s="419"/>
      <c r="M3437" s="419"/>
      <c r="N3437" s="362">
        <f t="shared" si="121"/>
        <v>0</v>
      </c>
      <c r="O3437" s="356"/>
      <c r="P3437" s="356"/>
      <c r="Q3437" s="356">
        <v>1</v>
      </c>
      <c r="R3437" s="356"/>
      <c r="S3437" s="356"/>
      <c r="T3437" s="356"/>
      <c r="U3437" s="372" t="s">
        <v>12</v>
      </c>
      <c r="V3437" s="372"/>
      <c r="W3437" s="372"/>
      <c r="X3437" s="373"/>
      <c r="Y3437" s="348"/>
      <c r="Z3437" s="348"/>
      <c r="AA3437" s="348"/>
    </row>
    <row r="3438" s="331" customFormat="1" ht="17" customHeight="1" spans="1:27">
      <c r="A3438" s="348"/>
      <c r="B3438" s="348" t="s">
        <v>2625</v>
      </c>
      <c r="C3438" s="348" t="s">
        <v>2626</v>
      </c>
      <c r="D3438" s="334" t="s">
        <v>2302</v>
      </c>
      <c r="E3438" s="336">
        <v>43713</v>
      </c>
      <c r="F3438" s="336">
        <v>43694</v>
      </c>
      <c r="G3438" s="336">
        <v>43712</v>
      </c>
      <c r="H3438" s="334" t="s">
        <v>8601</v>
      </c>
      <c r="I3438" s="356">
        <v>13818053868</v>
      </c>
      <c r="J3438" s="361" t="s">
        <v>8602</v>
      </c>
      <c r="K3438" s="356">
        <v>1000</v>
      </c>
      <c r="L3438" s="334">
        <v>6654</v>
      </c>
      <c r="M3438" s="419"/>
      <c r="N3438" s="362">
        <f t="shared" si="121"/>
        <v>6654</v>
      </c>
      <c r="O3438" s="356"/>
      <c r="P3438" s="356"/>
      <c r="Q3438" s="356"/>
      <c r="R3438" s="356"/>
      <c r="S3438" s="356"/>
      <c r="T3438" s="356"/>
      <c r="U3438" s="372"/>
      <c r="V3438" s="372"/>
      <c r="W3438" s="374">
        <v>43712</v>
      </c>
      <c r="X3438" s="373"/>
      <c r="Y3438" s="348"/>
      <c r="Z3438" s="348"/>
      <c r="AA3438" s="348"/>
    </row>
    <row r="3439" s="331" customFormat="1" ht="17" customHeight="1" spans="1:27">
      <c r="A3439" s="550" t="s">
        <v>8603</v>
      </c>
      <c r="B3439" s="348" t="s">
        <v>2625</v>
      </c>
      <c r="C3439" s="348" t="s">
        <v>2626</v>
      </c>
      <c r="D3439" s="334" t="s">
        <v>337</v>
      </c>
      <c r="E3439" s="336">
        <v>43774</v>
      </c>
      <c r="F3439" s="336">
        <v>43693</v>
      </c>
      <c r="G3439" s="336">
        <v>43773</v>
      </c>
      <c r="H3439" s="334" t="s">
        <v>8604</v>
      </c>
      <c r="I3439" s="356">
        <v>13611853163</v>
      </c>
      <c r="J3439" s="361" t="s">
        <v>8605</v>
      </c>
      <c r="K3439" s="356">
        <v>1000</v>
      </c>
      <c r="L3439" s="334">
        <v>7266</v>
      </c>
      <c r="M3439" s="419"/>
      <c r="N3439" s="362">
        <f t="shared" si="121"/>
        <v>7266</v>
      </c>
      <c r="O3439" s="356"/>
      <c r="P3439" s="356" t="s">
        <v>3660</v>
      </c>
      <c r="Q3439" s="356"/>
      <c r="R3439" s="356"/>
      <c r="S3439" s="356"/>
      <c r="T3439" s="356"/>
      <c r="U3439" s="372"/>
      <c r="V3439" s="372"/>
      <c r="W3439" s="372"/>
      <c r="X3439" s="373"/>
      <c r="Y3439" s="348"/>
      <c r="Z3439" s="348"/>
      <c r="AA3439" s="348"/>
    </row>
    <row r="3440" s="331" customFormat="1" ht="17" customHeight="1" spans="1:27">
      <c r="A3440" s="550" t="s">
        <v>8606</v>
      </c>
      <c r="B3440" s="348" t="s">
        <v>315</v>
      </c>
      <c r="C3440" s="348" t="s">
        <v>161</v>
      </c>
      <c r="D3440" s="352" t="s">
        <v>162</v>
      </c>
      <c r="E3440" s="336">
        <v>43696</v>
      </c>
      <c r="F3440" s="336">
        <v>43694</v>
      </c>
      <c r="G3440" s="336">
        <v>43695</v>
      </c>
      <c r="H3440" s="334" t="s">
        <v>8607</v>
      </c>
      <c r="I3440" s="356">
        <v>18616797346</v>
      </c>
      <c r="J3440" s="361" t="s">
        <v>8608</v>
      </c>
      <c r="K3440" s="356">
        <v>1000</v>
      </c>
      <c r="L3440" s="334">
        <v>5119</v>
      </c>
      <c r="M3440" s="419"/>
      <c r="N3440" s="362">
        <f t="shared" si="121"/>
        <v>5119</v>
      </c>
      <c r="O3440" s="356"/>
      <c r="P3440" s="356"/>
      <c r="Q3440" s="356"/>
      <c r="R3440" s="356"/>
      <c r="S3440" s="356"/>
      <c r="T3440" s="356"/>
      <c r="U3440" s="372"/>
      <c r="V3440" s="372"/>
      <c r="W3440" s="372"/>
      <c r="X3440" s="373"/>
      <c r="Y3440" s="348"/>
      <c r="Z3440" s="348"/>
      <c r="AA3440" s="348"/>
    </row>
    <row r="3441" s="331" customFormat="1" ht="17" customHeight="1" spans="1:27">
      <c r="A3441" s="348"/>
      <c r="B3441" s="348" t="s">
        <v>137</v>
      </c>
      <c r="C3441" s="348" t="s">
        <v>8609</v>
      </c>
      <c r="D3441" s="349" t="s">
        <v>427</v>
      </c>
      <c r="E3441" s="336">
        <v>43695</v>
      </c>
      <c r="F3441" s="336">
        <v>43694</v>
      </c>
      <c r="G3441" s="336">
        <v>43695</v>
      </c>
      <c r="H3441" s="334" t="s">
        <v>8610</v>
      </c>
      <c r="I3441" s="356">
        <v>19921676557</v>
      </c>
      <c r="J3441" s="361" t="s">
        <v>8611</v>
      </c>
      <c r="K3441" s="356">
        <v>1000</v>
      </c>
      <c r="L3441" s="334">
        <f>8040-1072</f>
        <v>6968</v>
      </c>
      <c r="M3441" s="334">
        <v>1072</v>
      </c>
      <c r="N3441" s="362">
        <f t="shared" si="121"/>
        <v>8040</v>
      </c>
      <c r="O3441" s="356"/>
      <c r="P3441" s="356"/>
      <c r="Q3441" s="356"/>
      <c r="R3441" s="356"/>
      <c r="S3441" s="356"/>
      <c r="T3441" s="356"/>
      <c r="U3441" s="372"/>
      <c r="V3441" s="372"/>
      <c r="W3441" s="372"/>
      <c r="X3441" s="373"/>
      <c r="Y3441" s="348"/>
      <c r="Z3441" s="348"/>
      <c r="AA3441" s="348"/>
    </row>
    <row r="3442" s="331" customFormat="1" ht="15" customHeight="1" spans="1:27">
      <c r="A3442" s="550" t="s">
        <v>8612</v>
      </c>
      <c r="B3442" s="348" t="s">
        <v>58</v>
      </c>
      <c r="C3442" s="348" t="s">
        <v>109</v>
      </c>
      <c r="D3442" s="352" t="s">
        <v>110</v>
      </c>
      <c r="E3442" s="336">
        <v>43694</v>
      </c>
      <c r="F3442" s="336">
        <v>43692</v>
      </c>
      <c r="G3442" s="350"/>
      <c r="H3442" s="334" t="s">
        <v>8613</v>
      </c>
      <c r="I3442" s="356">
        <v>13916166594</v>
      </c>
      <c r="J3442" s="361" t="s">
        <v>8614</v>
      </c>
      <c r="K3442" s="356">
        <v>1000</v>
      </c>
      <c r="L3442" s="419"/>
      <c r="M3442" s="419"/>
      <c r="N3442" s="362">
        <f t="shared" si="121"/>
        <v>0</v>
      </c>
      <c r="O3442" s="366" t="s">
        <v>52</v>
      </c>
      <c r="P3442" s="356"/>
      <c r="Q3442" s="356"/>
      <c r="R3442" s="356"/>
      <c r="S3442" s="356"/>
      <c r="T3442" s="356"/>
      <c r="U3442" s="372"/>
      <c r="V3442" s="372"/>
      <c r="W3442" s="372"/>
      <c r="X3442" s="373"/>
      <c r="Y3442" s="348"/>
      <c r="Z3442" s="348"/>
      <c r="AA3442" s="348"/>
    </row>
    <row r="3443" s="331" customFormat="1" ht="17" customHeight="1" spans="1:27">
      <c r="A3443" s="348">
        <v>2066956</v>
      </c>
      <c r="B3443" s="348" t="s">
        <v>335</v>
      </c>
      <c r="C3443" s="348" t="s">
        <v>615</v>
      </c>
      <c r="D3443" s="352" t="s">
        <v>337</v>
      </c>
      <c r="E3443" s="336">
        <v>43694</v>
      </c>
      <c r="F3443" s="336">
        <v>43694</v>
      </c>
      <c r="G3443" s="350"/>
      <c r="H3443" s="334" t="s">
        <v>8615</v>
      </c>
      <c r="I3443" s="356">
        <v>17717061320</v>
      </c>
      <c r="J3443" s="361" t="s">
        <v>8616</v>
      </c>
      <c r="K3443" s="356">
        <v>1000</v>
      </c>
      <c r="L3443" s="419"/>
      <c r="M3443" s="419"/>
      <c r="N3443" s="362">
        <f t="shared" si="121"/>
        <v>0</v>
      </c>
      <c r="O3443" s="356"/>
      <c r="P3443" s="356" t="s">
        <v>1526</v>
      </c>
      <c r="Q3443" s="356"/>
      <c r="R3443" s="356"/>
      <c r="S3443" s="356"/>
      <c r="T3443" s="356"/>
      <c r="U3443" s="356" t="s">
        <v>40</v>
      </c>
      <c r="V3443" s="372"/>
      <c r="W3443" s="372"/>
      <c r="X3443" s="373"/>
      <c r="Y3443" s="348"/>
      <c r="Z3443" s="348"/>
      <c r="AA3443" s="348"/>
    </row>
    <row r="3444" s="331" customFormat="1" ht="17" customHeight="1" spans="1:27">
      <c r="A3444" s="348"/>
      <c r="B3444" s="348" t="s">
        <v>35</v>
      </c>
      <c r="C3444" s="348" t="s">
        <v>328</v>
      </c>
      <c r="D3444" s="334" t="s">
        <v>443</v>
      </c>
      <c r="E3444" s="336">
        <v>43720</v>
      </c>
      <c r="F3444" s="336">
        <v>43694</v>
      </c>
      <c r="G3444" s="336">
        <v>43719</v>
      </c>
      <c r="H3444" s="334" t="s">
        <v>8617</v>
      </c>
      <c r="I3444" s="356">
        <v>13761397182</v>
      </c>
      <c r="J3444" s="361" t="s">
        <v>8618</v>
      </c>
      <c r="K3444" s="356">
        <v>5000</v>
      </c>
      <c r="L3444" s="334">
        <v>6267</v>
      </c>
      <c r="M3444" s="419"/>
      <c r="N3444" s="362">
        <f t="shared" si="121"/>
        <v>6267</v>
      </c>
      <c r="O3444" s="356"/>
      <c r="P3444" s="356" t="s">
        <v>52</v>
      </c>
      <c r="Q3444" s="356"/>
      <c r="R3444" s="356"/>
      <c r="S3444" s="356"/>
      <c r="T3444" s="356"/>
      <c r="U3444" s="372"/>
      <c r="V3444" s="372"/>
      <c r="W3444" s="372"/>
      <c r="X3444" s="373"/>
      <c r="Y3444" s="348"/>
      <c r="Z3444" s="348"/>
      <c r="AA3444" s="348"/>
    </row>
    <row r="3445" s="331" customFormat="1" ht="17" customHeight="1" spans="1:27">
      <c r="A3445" s="550" t="s">
        <v>4917</v>
      </c>
      <c r="B3445" s="348" t="s">
        <v>185</v>
      </c>
      <c r="C3445" s="348" t="s">
        <v>1204</v>
      </c>
      <c r="D3445" s="352" t="s">
        <v>44</v>
      </c>
      <c r="E3445" s="336">
        <v>43708</v>
      </c>
      <c r="F3445" s="336">
        <v>43691</v>
      </c>
      <c r="G3445" s="336">
        <v>43707</v>
      </c>
      <c r="H3445" s="334" t="s">
        <v>8619</v>
      </c>
      <c r="I3445" s="356">
        <v>13321998959</v>
      </c>
      <c r="J3445" s="361" t="s">
        <v>8620</v>
      </c>
      <c r="K3445" s="356">
        <v>7000</v>
      </c>
      <c r="L3445" s="334">
        <f>7000-736</f>
        <v>6264</v>
      </c>
      <c r="M3445" s="334">
        <v>736</v>
      </c>
      <c r="N3445" s="362">
        <f t="shared" si="121"/>
        <v>7000</v>
      </c>
      <c r="O3445" s="356"/>
      <c r="P3445" s="366" t="s">
        <v>52</v>
      </c>
      <c r="Q3445" s="356"/>
      <c r="R3445" s="356"/>
      <c r="S3445" s="356"/>
      <c r="T3445" s="356"/>
      <c r="U3445" s="372"/>
      <c r="V3445" s="372"/>
      <c r="W3445" s="372"/>
      <c r="X3445" s="373"/>
      <c r="Y3445" s="348"/>
      <c r="Z3445" s="348"/>
      <c r="AA3445" s="348"/>
    </row>
    <row r="3446" s="331" customFormat="1" ht="17" customHeight="1" spans="1:27">
      <c r="A3446" s="550" t="s">
        <v>8621</v>
      </c>
      <c r="B3446" s="348" t="s">
        <v>137</v>
      </c>
      <c r="C3446" s="348" t="s">
        <v>480</v>
      </c>
      <c r="D3446" s="349" t="s">
        <v>443</v>
      </c>
      <c r="E3446" s="336">
        <v>43697</v>
      </c>
      <c r="F3446" s="336">
        <v>43694</v>
      </c>
      <c r="G3446" s="336">
        <v>43696</v>
      </c>
      <c r="H3446" s="334" t="s">
        <v>8622</v>
      </c>
      <c r="I3446" s="356">
        <v>15900476767</v>
      </c>
      <c r="J3446" s="361" t="s">
        <v>8623</v>
      </c>
      <c r="K3446" s="356">
        <v>1000</v>
      </c>
      <c r="L3446" s="334">
        <f>4120-760</f>
        <v>3360</v>
      </c>
      <c r="M3446" s="334">
        <v>760</v>
      </c>
      <c r="N3446" s="362">
        <f t="shared" si="121"/>
        <v>4120</v>
      </c>
      <c r="O3446" s="356"/>
      <c r="P3446" s="356"/>
      <c r="Q3446" s="356"/>
      <c r="R3446" s="356"/>
      <c r="S3446" s="356"/>
      <c r="T3446" s="356"/>
      <c r="U3446" s="372"/>
      <c r="V3446" s="372"/>
      <c r="W3446" s="372"/>
      <c r="X3446" s="373"/>
      <c r="Y3446" s="348"/>
      <c r="Z3446" s="348"/>
      <c r="AA3446" s="348"/>
    </row>
    <row r="3447" s="331" customFormat="1" ht="17" customHeight="1" spans="1:27">
      <c r="A3447" s="550" t="s">
        <v>8624</v>
      </c>
      <c r="B3447" s="348" t="s">
        <v>185</v>
      </c>
      <c r="C3447" s="348" t="s">
        <v>1204</v>
      </c>
      <c r="D3447" s="352" t="s">
        <v>44</v>
      </c>
      <c r="E3447" s="336">
        <v>43738</v>
      </c>
      <c r="F3447" s="336">
        <v>43694</v>
      </c>
      <c r="G3447" s="336">
        <v>43738</v>
      </c>
      <c r="H3447" s="334" t="s">
        <v>8625</v>
      </c>
      <c r="I3447" s="356">
        <v>13761292450</v>
      </c>
      <c r="J3447" s="361" t="s">
        <v>8626</v>
      </c>
      <c r="K3447" s="356">
        <v>1000</v>
      </c>
      <c r="L3447" s="334">
        <v>8000</v>
      </c>
      <c r="M3447" s="419"/>
      <c r="N3447" s="362">
        <f t="shared" si="121"/>
        <v>8000</v>
      </c>
      <c r="O3447" s="356"/>
      <c r="P3447" s="356"/>
      <c r="Q3447" s="356"/>
      <c r="R3447" s="366" t="s">
        <v>52</v>
      </c>
      <c r="S3447" s="356"/>
      <c r="T3447" s="356"/>
      <c r="U3447" s="372"/>
      <c r="V3447" s="372"/>
      <c r="W3447" s="372"/>
      <c r="X3447" s="373"/>
      <c r="Y3447" s="348"/>
      <c r="Z3447" s="348"/>
      <c r="AA3447" s="348"/>
    </row>
    <row r="3448" s="331" customFormat="1" ht="17" customHeight="1" spans="1:27">
      <c r="A3448" s="348">
        <v>2066957</v>
      </c>
      <c r="B3448" s="348" t="s">
        <v>335</v>
      </c>
      <c r="C3448" s="348" t="s">
        <v>615</v>
      </c>
      <c r="D3448" s="352" t="s">
        <v>337</v>
      </c>
      <c r="E3448" s="336">
        <v>43694</v>
      </c>
      <c r="F3448" s="336">
        <v>43694</v>
      </c>
      <c r="G3448" s="350"/>
      <c r="H3448" s="334" t="s">
        <v>8627</v>
      </c>
      <c r="I3448" s="356">
        <v>13917059462</v>
      </c>
      <c r="J3448" s="361" t="s">
        <v>8628</v>
      </c>
      <c r="K3448" s="356">
        <v>1000</v>
      </c>
      <c r="L3448" s="419"/>
      <c r="M3448" s="419"/>
      <c r="N3448" s="362">
        <f t="shared" si="121"/>
        <v>0</v>
      </c>
      <c r="O3448" s="356"/>
      <c r="P3448" s="356"/>
      <c r="Q3448" s="356"/>
      <c r="R3448" s="356" t="s">
        <v>22</v>
      </c>
      <c r="S3448" s="356"/>
      <c r="T3448" s="356"/>
      <c r="U3448" s="393" t="s">
        <v>40</v>
      </c>
      <c r="V3448" s="372"/>
      <c r="W3448" s="372"/>
      <c r="X3448" s="373"/>
      <c r="Y3448" s="348"/>
      <c r="Z3448" s="348"/>
      <c r="AA3448" s="348"/>
    </row>
    <row r="3449" s="331" customFormat="1" ht="17" customHeight="1" spans="1:27">
      <c r="A3449" s="550" t="s">
        <v>4647</v>
      </c>
      <c r="B3449" s="348" t="s">
        <v>185</v>
      </c>
      <c r="C3449" s="348" t="s">
        <v>186</v>
      </c>
      <c r="D3449" s="349" t="s">
        <v>44</v>
      </c>
      <c r="E3449" s="336">
        <v>43703</v>
      </c>
      <c r="F3449" s="336">
        <v>43691</v>
      </c>
      <c r="G3449" s="336">
        <v>43702</v>
      </c>
      <c r="H3449" s="334" t="s">
        <v>8629</v>
      </c>
      <c r="I3449" s="356">
        <v>13701980979</v>
      </c>
      <c r="J3449" s="361" t="s">
        <v>8630</v>
      </c>
      <c r="K3449" s="356">
        <v>1399</v>
      </c>
      <c r="L3449" s="334">
        <v>2061</v>
      </c>
      <c r="M3449" s="419"/>
      <c r="N3449" s="362">
        <f t="shared" si="121"/>
        <v>2061</v>
      </c>
      <c r="O3449" s="356"/>
      <c r="P3449" s="356"/>
      <c r="Q3449" s="356"/>
      <c r="R3449" s="356"/>
      <c r="S3449" s="356"/>
      <c r="T3449" s="356"/>
      <c r="U3449" s="372"/>
      <c r="V3449" s="372"/>
      <c r="W3449" s="374">
        <v>43701</v>
      </c>
      <c r="X3449" s="373"/>
      <c r="Y3449" s="348"/>
      <c r="Z3449" s="348"/>
      <c r="AA3449" s="348"/>
    </row>
    <row r="3450" s="331" customFormat="1" ht="17" customHeight="1" spans="1:27">
      <c r="A3450" s="550" t="s">
        <v>8631</v>
      </c>
      <c r="B3450" s="348" t="s">
        <v>185</v>
      </c>
      <c r="C3450" s="348" t="s">
        <v>186</v>
      </c>
      <c r="D3450" s="352" t="s">
        <v>187</v>
      </c>
      <c r="E3450" s="336">
        <v>43731</v>
      </c>
      <c r="F3450" s="336">
        <v>43686</v>
      </c>
      <c r="G3450" s="336">
        <v>43730</v>
      </c>
      <c r="H3450" s="334" t="s">
        <v>8632</v>
      </c>
      <c r="I3450" s="356">
        <v>18017645957</v>
      </c>
      <c r="J3450" s="361" t="s">
        <v>8633</v>
      </c>
      <c r="K3450" s="356">
        <v>1000</v>
      </c>
      <c r="L3450" s="334">
        <f>7134-1140</f>
        <v>5994</v>
      </c>
      <c r="M3450" s="334">
        <v>1140</v>
      </c>
      <c r="N3450" s="362">
        <f t="shared" si="121"/>
        <v>7134</v>
      </c>
      <c r="O3450" s="356"/>
      <c r="P3450" s="366" t="s">
        <v>52</v>
      </c>
      <c r="Q3450" s="356"/>
      <c r="R3450" s="356"/>
      <c r="S3450" s="356"/>
      <c r="T3450" s="356"/>
      <c r="U3450" s="372"/>
      <c r="V3450" s="372"/>
      <c r="W3450" s="372"/>
      <c r="X3450" s="373"/>
      <c r="Y3450" s="348"/>
      <c r="Z3450" s="348"/>
      <c r="AA3450" s="348"/>
    </row>
    <row r="3451" s="331" customFormat="1" ht="17" customHeight="1" spans="1:27">
      <c r="A3451" s="550" t="s">
        <v>8634</v>
      </c>
      <c r="B3451" s="348" t="s">
        <v>31</v>
      </c>
      <c r="C3451" s="348" t="s">
        <v>419</v>
      </c>
      <c r="D3451" s="349" t="s">
        <v>33</v>
      </c>
      <c r="E3451" s="336">
        <v>43699</v>
      </c>
      <c r="F3451" s="336">
        <v>43694</v>
      </c>
      <c r="G3451" s="336">
        <v>43698</v>
      </c>
      <c r="H3451" s="334" t="s">
        <v>8635</v>
      </c>
      <c r="I3451" s="356">
        <v>13524176918</v>
      </c>
      <c r="J3451" s="361" t="s">
        <v>8636</v>
      </c>
      <c r="K3451" s="356">
        <v>1000</v>
      </c>
      <c r="L3451" s="334">
        <v>6472</v>
      </c>
      <c r="M3451" s="419"/>
      <c r="N3451" s="362">
        <f t="shared" si="121"/>
        <v>6472</v>
      </c>
      <c r="O3451" s="356"/>
      <c r="P3451" s="356"/>
      <c r="Q3451" s="356"/>
      <c r="R3451" s="366" t="s">
        <v>52</v>
      </c>
      <c r="S3451" s="356"/>
      <c r="T3451" s="356"/>
      <c r="U3451" s="372"/>
      <c r="V3451" s="372"/>
      <c r="W3451" s="372"/>
      <c r="X3451" s="373"/>
      <c r="Y3451" s="348"/>
      <c r="Z3451" s="348"/>
      <c r="AA3451" s="348"/>
    </row>
    <row r="3452" s="331" customFormat="1" ht="17" customHeight="1" spans="1:27">
      <c r="A3452" s="348"/>
      <c r="B3452" s="348" t="s">
        <v>35</v>
      </c>
      <c r="C3452" s="348" t="s">
        <v>392</v>
      </c>
      <c r="D3452" s="352" t="s">
        <v>37</v>
      </c>
      <c r="E3452" s="336">
        <v>43702</v>
      </c>
      <c r="F3452" s="336">
        <v>43694</v>
      </c>
      <c r="G3452" s="336">
        <v>43702</v>
      </c>
      <c r="H3452" s="334" t="s">
        <v>8637</v>
      </c>
      <c r="I3452" s="356">
        <v>13048503309</v>
      </c>
      <c r="J3452" s="367" t="s">
        <v>8638</v>
      </c>
      <c r="K3452" s="356">
        <v>6936</v>
      </c>
      <c r="L3452" s="334">
        <v>10500</v>
      </c>
      <c r="M3452" s="419"/>
      <c r="N3452" s="362">
        <f t="shared" si="121"/>
        <v>10500</v>
      </c>
      <c r="O3452" s="356"/>
      <c r="P3452" s="356"/>
      <c r="Q3452" s="356" t="s">
        <v>52</v>
      </c>
      <c r="R3452" s="356"/>
      <c r="S3452" s="356"/>
      <c r="T3452" s="356"/>
      <c r="U3452" s="372"/>
      <c r="V3452" s="372"/>
      <c r="W3452" s="372"/>
      <c r="X3452" s="373"/>
      <c r="Y3452" s="348"/>
      <c r="Z3452" s="348"/>
      <c r="AA3452" s="348"/>
    </row>
    <row r="3453" s="331" customFormat="1" ht="17" customHeight="1" spans="1:27">
      <c r="A3453" s="550" t="s">
        <v>8639</v>
      </c>
      <c r="B3453" s="348" t="s">
        <v>31</v>
      </c>
      <c r="C3453" s="348" t="s">
        <v>220</v>
      </c>
      <c r="D3453" s="352" t="s">
        <v>221</v>
      </c>
      <c r="E3453" s="336">
        <v>43734</v>
      </c>
      <c r="F3453" s="336">
        <v>43694</v>
      </c>
      <c r="G3453" s="336">
        <v>43734</v>
      </c>
      <c r="H3453" s="334" t="s">
        <v>8640</v>
      </c>
      <c r="I3453" s="356">
        <v>13918769945</v>
      </c>
      <c r="J3453" s="361" t="s">
        <v>8641</v>
      </c>
      <c r="K3453" s="356">
        <v>1000</v>
      </c>
      <c r="L3453" s="334">
        <f>7503-804</f>
        <v>6699</v>
      </c>
      <c r="M3453" s="334">
        <v>804</v>
      </c>
      <c r="N3453" s="362">
        <f t="shared" si="121"/>
        <v>7503</v>
      </c>
      <c r="O3453" s="356"/>
      <c r="P3453" s="356"/>
      <c r="Q3453" s="366" t="s">
        <v>52</v>
      </c>
      <c r="R3453" s="356"/>
      <c r="S3453" s="356"/>
      <c r="T3453" s="356"/>
      <c r="U3453" s="372"/>
      <c r="V3453" s="372"/>
      <c r="W3453" s="372"/>
      <c r="X3453" s="373"/>
      <c r="Y3453" s="348"/>
      <c r="Z3453" s="348"/>
      <c r="AA3453" s="348"/>
    </row>
    <row r="3454" s="331" customFormat="1" ht="17" customHeight="1" spans="1:27">
      <c r="A3454" s="550" t="s">
        <v>8642</v>
      </c>
      <c r="B3454" s="348" t="s">
        <v>2625</v>
      </c>
      <c r="C3454" s="348" t="s">
        <v>2626</v>
      </c>
      <c r="D3454" s="352" t="s">
        <v>44</v>
      </c>
      <c r="E3454" s="336">
        <v>43695</v>
      </c>
      <c r="F3454" s="336">
        <v>43694</v>
      </c>
      <c r="G3454" s="336">
        <v>43695</v>
      </c>
      <c r="H3454" s="334" t="s">
        <v>8643</v>
      </c>
      <c r="I3454" s="356">
        <v>13818841437</v>
      </c>
      <c r="J3454" s="361" t="s">
        <v>8644</v>
      </c>
      <c r="K3454" s="356">
        <v>3000</v>
      </c>
      <c r="L3454" s="334">
        <v>10760</v>
      </c>
      <c r="M3454" s="334">
        <v>560</v>
      </c>
      <c r="N3454" s="362">
        <f t="shared" si="121"/>
        <v>11320</v>
      </c>
      <c r="O3454" s="356"/>
      <c r="P3454" s="356"/>
      <c r="Q3454" s="356"/>
      <c r="R3454" s="356"/>
      <c r="S3454" s="356"/>
      <c r="T3454" s="356"/>
      <c r="U3454" s="372"/>
      <c r="V3454" s="372"/>
      <c r="W3454" s="372"/>
      <c r="X3454" s="373"/>
      <c r="Y3454" s="348"/>
      <c r="Z3454" s="348"/>
      <c r="AA3454" s="348"/>
    </row>
    <row r="3455" s="331" customFormat="1" ht="17" customHeight="1" spans="1:27">
      <c r="A3455" s="348"/>
      <c r="B3455" s="348" t="s">
        <v>2625</v>
      </c>
      <c r="C3455" s="348" t="s">
        <v>2626</v>
      </c>
      <c r="D3455" s="349" t="s">
        <v>44</v>
      </c>
      <c r="E3455" s="336">
        <v>43703</v>
      </c>
      <c r="F3455" s="336">
        <v>43694</v>
      </c>
      <c r="G3455" s="336">
        <v>43703</v>
      </c>
      <c r="H3455" s="334" t="s">
        <v>8645</v>
      </c>
      <c r="I3455" s="356">
        <v>13701621905</v>
      </c>
      <c r="J3455" s="361" t="s">
        <v>8646</v>
      </c>
      <c r="K3455" s="356">
        <v>3000</v>
      </c>
      <c r="L3455" s="334">
        <v>7000</v>
      </c>
      <c r="M3455" s="419"/>
      <c r="N3455" s="362">
        <f t="shared" si="121"/>
        <v>7000</v>
      </c>
      <c r="O3455" s="356"/>
      <c r="P3455" s="356" t="s">
        <v>7918</v>
      </c>
      <c r="Q3455" s="356"/>
      <c r="R3455" s="356"/>
      <c r="S3455" s="356"/>
      <c r="T3455" s="356"/>
      <c r="U3455" s="372"/>
      <c r="V3455" s="372"/>
      <c r="W3455" s="372"/>
      <c r="X3455" s="373"/>
      <c r="Y3455" s="348"/>
      <c r="Z3455" s="348"/>
      <c r="AA3455" s="348"/>
    </row>
    <row r="3456" s="331" customFormat="1" ht="17" customHeight="1" spans="1:27">
      <c r="A3456" s="348"/>
      <c r="B3456" s="348" t="s">
        <v>2625</v>
      </c>
      <c r="C3456" s="348" t="s">
        <v>2626</v>
      </c>
      <c r="D3456" s="334" t="s">
        <v>44</v>
      </c>
      <c r="E3456" s="336">
        <v>43759</v>
      </c>
      <c r="F3456" s="336">
        <v>43694</v>
      </c>
      <c r="G3456" s="336">
        <v>43758</v>
      </c>
      <c r="H3456" s="334" t="s">
        <v>8647</v>
      </c>
      <c r="I3456" s="356">
        <v>15552793636</v>
      </c>
      <c r="J3456" s="361" t="s">
        <v>8648</v>
      </c>
      <c r="K3456" s="356">
        <v>6000</v>
      </c>
      <c r="L3456" s="334">
        <v>9363</v>
      </c>
      <c r="M3456" s="419"/>
      <c r="N3456" s="362">
        <f t="shared" si="121"/>
        <v>9363</v>
      </c>
      <c r="O3456" s="356"/>
      <c r="P3456" s="356"/>
      <c r="Q3456" s="356" t="s">
        <v>3660</v>
      </c>
      <c r="R3456" s="356"/>
      <c r="S3456" s="356"/>
      <c r="T3456" s="356"/>
      <c r="U3456" s="372"/>
      <c r="V3456" s="372"/>
      <c r="W3456" s="372"/>
      <c r="X3456" s="373"/>
      <c r="Y3456" s="348"/>
      <c r="Z3456" s="348"/>
      <c r="AA3456" s="348"/>
    </row>
    <row r="3457" s="331" customFormat="1" ht="17" customHeight="1" spans="1:27">
      <c r="A3457" s="550" t="s">
        <v>8649</v>
      </c>
      <c r="B3457" s="348" t="s">
        <v>66</v>
      </c>
      <c r="C3457" s="348" t="s">
        <v>119</v>
      </c>
      <c r="D3457" s="352" t="s">
        <v>68</v>
      </c>
      <c r="E3457" s="336">
        <v>43741</v>
      </c>
      <c r="F3457" s="336">
        <v>43694</v>
      </c>
      <c r="G3457" s="336">
        <v>43739</v>
      </c>
      <c r="H3457" s="334" t="s">
        <v>8650</v>
      </c>
      <c r="I3457" s="356">
        <v>13335765316</v>
      </c>
      <c r="J3457" s="361" t="s">
        <v>8651</v>
      </c>
      <c r="K3457" s="356">
        <v>5000</v>
      </c>
      <c r="L3457" s="334">
        <v>12143</v>
      </c>
      <c r="M3457" s="419"/>
      <c r="N3457" s="362">
        <f t="shared" si="121"/>
        <v>12143</v>
      </c>
      <c r="O3457" s="356"/>
      <c r="P3457" s="356"/>
      <c r="Q3457" s="356" t="s">
        <v>21</v>
      </c>
      <c r="R3457" s="356"/>
      <c r="S3457" s="356"/>
      <c r="T3457" s="356"/>
      <c r="U3457" s="372"/>
      <c r="V3457" s="372"/>
      <c r="W3457" s="372"/>
      <c r="X3457" s="373"/>
      <c r="Y3457" s="348"/>
      <c r="Z3457" s="348"/>
      <c r="AA3457" s="348"/>
    </row>
    <row r="3458" s="332" customFormat="1" ht="17" customHeight="1" spans="1:27">
      <c r="A3458" s="550" t="s">
        <v>8652</v>
      </c>
      <c r="B3458" s="348" t="s">
        <v>42</v>
      </c>
      <c r="C3458" s="348" t="s">
        <v>43</v>
      </c>
      <c r="D3458" s="352" t="s">
        <v>125</v>
      </c>
      <c r="E3458" s="336">
        <v>43708</v>
      </c>
      <c r="F3458" s="336">
        <v>43694</v>
      </c>
      <c r="G3458" s="336">
        <v>43708</v>
      </c>
      <c r="H3458" s="334" t="s">
        <v>8653</v>
      </c>
      <c r="I3458" s="356">
        <v>13916350216</v>
      </c>
      <c r="J3458" s="361" t="s">
        <v>8654</v>
      </c>
      <c r="K3458" s="356">
        <v>5940</v>
      </c>
      <c r="L3458" s="334">
        <v>5940</v>
      </c>
      <c r="M3458" s="419"/>
      <c r="N3458" s="362">
        <f t="shared" si="121"/>
        <v>5940</v>
      </c>
      <c r="O3458" s="356"/>
      <c r="P3458" s="356" t="s">
        <v>1526</v>
      </c>
      <c r="Q3458" s="356"/>
      <c r="R3458" s="356"/>
      <c r="S3458" s="356"/>
      <c r="T3458" s="356"/>
      <c r="U3458" s="372"/>
      <c r="V3458" s="372"/>
      <c r="W3458" s="372"/>
      <c r="X3458" s="373"/>
      <c r="Y3458" s="348"/>
      <c r="Z3458" s="348"/>
      <c r="AA3458" s="348"/>
    </row>
    <row r="3459" s="331" customFormat="1" ht="17" customHeight="1" spans="1:27">
      <c r="A3459" s="348"/>
      <c r="B3459" s="348" t="s">
        <v>31</v>
      </c>
      <c r="C3459" s="348" t="s">
        <v>220</v>
      </c>
      <c r="D3459" s="352" t="s">
        <v>221</v>
      </c>
      <c r="E3459" s="336">
        <v>43694</v>
      </c>
      <c r="F3459" s="336">
        <v>43694</v>
      </c>
      <c r="G3459" s="350"/>
      <c r="H3459" s="334" t="s">
        <v>8655</v>
      </c>
      <c r="I3459" s="356">
        <v>13512164243</v>
      </c>
      <c r="J3459" s="361" t="s">
        <v>8656</v>
      </c>
      <c r="K3459" s="356">
        <v>1000</v>
      </c>
      <c r="L3459" s="419"/>
      <c r="M3459" s="419"/>
      <c r="N3459" s="362">
        <f t="shared" si="121"/>
        <v>0</v>
      </c>
      <c r="O3459" s="356"/>
      <c r="P3459" s="356"/>
      <c r="Q3459" s="356"/>
      <c r="R3459" s="356"/>
      <c r="S3459" s="356"/>
      <c r="T3459" s="356"/>
      <c r="U3459" s="400" t="s">
        <v>8657</v>
      </c>
      <c r="V3459" s="366" t="s">
        <v>52</v>
      </c>
      <c r="W3459" s="372"/>
      <c r="X3459" s="373"/>
      <c r="Y3459" s="348"/>
      <c r="Z3459" s="348"/>
      <c r="AA3459" s="348"/>
    </row>
    <row r="3460" s="331" customFormat="1" ht="17" customHeight="1" spans="1:27">
      <c r="A3460" s="348"/>
      <c r="B3460" s="348" t="s">
        <v>137</v>
      </c>
      <c r="C3460" s="348" t="s">
        <v>138</v>
      </c>
      <c r="D3460" s="334" t="s">
        <v>2381</v>
      </c>
      <c r="E3460" s="336">
        <v>43759</v>
      </c>
      <c r="F3460" s="336">
        <v>43694</v>
      </c>
      <c r="G3460" s="336">
        <v>43759</v>
      </c>
      <c r="H3460" s="334" t="s">
        <v>8658</v>
      </c>
      <c r="I3460" s="356">
        <v>17702166920</v>
      </c>
      <c r="J3460" s="361" t="s">
        <v>8659</v>
      </c>
      <c r="K3460" s="356">
        <v>1000</v>
      </c>
      <c r="L3460" s="334">
        <v>7513</v>
      </c>
      <c r="M3460" s="419"/>
      <c r="N3460" s="362">
        <f t="shared" si="121"/>
        <v>7513</v>
      </c>
      <c r="O3460" s="356">
        <v>1</v>
      </c>
      <c r="P3460" s="356"/>
      <c r="Q3460" s="356"/>
      <c r="R3460" s="356"/>
      <c r="S3460" s="356"/>
      <c r="T3460" s="356"/>
      <c r="U3460" s="372"/>
      <c r="V3460" s="372"/>
      <c r="W3460" s="372"/>
      <c r="X3460" s="373"/>
      <c r="Y3460" s="348"/>
      <c r="Z3460" s="348"/>
      <c r="AA3460" s="348"/>
    </row>
    <row r="3461" s="331" customFormat="1" ht="17" customHeight="1" spans="1:27">
      <c r="A3461" s="348"/>
      <c r="B3461" s="348" t="s">
        <v>35</v>
      </c>
      <c r="C3461" s="334" t="s">
        <v>36</v>
      </c>
      <c r="D3461" s="349" t="s">
        <v>187</v>
      </c>
      <c r="E3461" s="336">
        <v>43694</v>
      </c>
      <c r="F3461" s="336"/>
      <c r="G3461" s="336">
        <v>43693</v>
      </c>
      <c r="H3461" s="334" t="s">
        <v>8660</v>
      </c>
      <c r="I3461" s="356">
        <v>15522135221</v>
      </c>
      <c r="J3461" s="361" t="s">
        <v>8661</v>
      </c>
      <c r="K3461" s="356"/>
      <c r="L3461" s="334">
        <f>130000-3929.2</f>
        <v>126070.8</v>
      </c>
      <c r="M3461" s="334">
        <v>3929.2</v>
      </c>
      <c r="N3461" s="362">
        <f t="shared" si="121"/>
        <v>130000</v>
      </c>
      <c r="O3461" s="356"/>
      <c r="P3461" s="356"/>
      <c r="Q3461" s="356"/>
      <c r="R3461" s="356"/>
      <c r="S3461" s="356"/>
      <c r="T3461" s="356"/>
      <c r="U3461" s="372"/>
      <c r="V3461" s="372"/>
      <c r="W3461" s="372"/>
      <c r="X3461" s="373"/>
      <c r="Y3461" s="348"/>
      <c r="Z3461" s="348"/>
      <c r="AA3461" s="348"/>
    </row>
    <row r="3462" s="331" customFormat="1" ht="17" customHeight="1" spans="1:27">
      <c r="A3462" s="348"/>
      <c r="B3462" s="348" t="s">
        <v>405</v>
      </c>
      <c r="C3462" s="348" t="s">
        <v>1234</v>
      </c>
      <c r="D3462" s="349" t="s">
        <v>407</v>
      </c>
      <c r="E3462" s="336">
        <v>43694</v>
      </c>
      <c r="F3462" s="336" t="s">
        <v>800</v>
      </c>
      <c r="G3462" s="350">
        <v>43677</v>
      </c>
      <c r="H3462" s="334" t="s">
        <v>7296</v>
      </c>
      <c r="I3462" s="356">
        <v>15151631665</v>
      </c>
      <c r="J3462" s="361" t="s">
        <v>7297</v>
      </c>
      <c r="K3462" s="356"/>
      <c r="L3462" s="419"/>
      <c r="M3462" s="334">
        <v>-900</v>
      </c>
      <c r="N3462" s="362">
        <f t="shared" si="121"/>
        <v>-900</v>
      </c>
      <c r="O3462" s="356"/>
      <c r="P3462" s="356"/>
      <c r="Q3462" s="356"/>
      <c r="R3462" s="356"/>
      <c r="S3462" s="356"/>
      <c r="T3462" s="356"/>
      <c r="U3462" s="372"/>
      <c r="V3462" s="372"/>
      <c r="W3462" s="372"/>
      <c r="X3462" s="373"/>
      <c r="Y3462" s="348"/>
      <c r="Z3462" s="348"/>
      <c r="AA3462" s="348"/>
    </row>
    <row r="3463" s="331" customFormat="1" ht="17" customHeight="1" spans="1:27">
      <c r="A3463" s="348"/>
      <c r="B3463" s="348" t="s">
        <v>94</v>
      </c>
      <c r="C3463" s="334" t="s">
        <v>101</v>
      </c>
      <c r="D3463" s="349" t="s">
        <v>143</v>
      </c>
      <c r="E3463" s="336">
        <v>43694</v>
      </c>
      <c r="F3463" s="336" t="s">
        <v>800</v>
      </c>
      <c r="G3463" s="336">
        <v>43674</v>
      </c>
      <c r="H3463" s="334" t="s">
        <v>4130</v>
      </c>
      <c r="I3463" s="356">
        <v>18917872481</v>
      </c>
      <c r="J3463" s="361" t="s">
        <v>4131</v>
      </c>
      <c r="K3463" s="356"/>
      <c r="L3463" s="419"/>
      <c r="M3463" s="334">
        <v>12412</v>
      </c>
      <c r="N3463" s="362">
        <f t="shared" si="121"/>
        <v>12412</v>
      </c>
      <c r="O3463" s="356"/>
      <c r="P3463" s="356"/>
      <c r="Q3463" s="356"/>
      <c r="R3463" s="356"/>
      <c r="S3463" s="356"/>
      <c r="T3463" s="356"/>
      <c r="U3463" s="372"/>
      <c r="V3463" s="372"/>
      <c r="W3463" s="372"/>
      <c r="X3463" s="373"/>
      <c r="Y3463" s="348"/>
      <c r="Z3463" s="348"/>
      <c r="AA3463" s="348"/>
    </row>
    <row r="3464" s="331" customFormat="1" ht="17" customHeight="1" spans="1:27">
      <c r="A3464" s="348"/>
      <c r="B3464" s="348" t="s">
        <v>42</v>
      </c>
      <c r="C3464" s="334" t="s">
        <v>43</v>
      </c>
      <c r="D3464" s="349" t="s">
        <v>44</v>
      </c>
      <c r="E3464" s="336">
        <v>43694</v>
      </c>
      <c r="F3464" s="336" t="s">
        <v>800</v>
      </c>
      <c r="G3464" s="336">
        <v>43693</v>
      </c>
      <c r="H3464" s="334" t="s">
        <v>2892</v>
      </c>
      <c r="I3464" s="356">
        <v>13371919529</v>
      </c>
      <c r="J3464" s="361" t="s">
        <v>2893</v>
      </c>
      <c r="K3464" s="356"/>
      <c r="L3464" s="419"/>
      <c r="M3464" s="334">
        <v>2151</v>
      </c>
      <c r="N3464" s="362">
        <f t="shared" si="121"/>
        <v>2151</v>
      </c>
      <c r="O3464" s="356"/>
      <c r="P3464" s="356"/>
      <c r="Q3464" s="356"/>
      <c r="R3464" s="356"/>
      <c r="S3464" s="356"/>
      <c r="T3464" s="356"/>
      <c r="U3464" s="372"/>
      <c r="V3464" s="372"/>
      <c r="W3464" s="372"/>
      <c r="X3464" s="373"/>
      <c r="Y3464" s="348"/>
      <c r="Z3464" s="348"/>
      <c r="AA3464" s="348"/>
    </row>
    <row r="3465" s="331" customFormat="1" ht="17" customHeight="1" spans="1:27">
      <c r="A3465" s="348"/>
      <c r="B3465" s="348" t="s">
        <v>58</v>
      </c>
      <c r="C3465" s="334" t="s">
        <v>347</v>
      </c>
      <c r="D3465" s="349" t="s">
        <v>60</v>
      </c>
      <c r="E3465" s="336">
        <v>43694</v>
      </c>
      <c r="F3465" s="336" t="s">
        <v>800</v>
      </c>
      <c r="G3465" s="336">
        <v>43693</v>
      </c>
      <c r="H3465" s="334" t="s">
        <v>8662</v>
      </c>
      <c r="I3465" s="356">
        <v>13482891495</v>
      </c>
      <c r="J3465" s="361" t="s">
        <v>8663</v>
      </c>
      <c r="K3465" s="356"/>
      <c r="L3465" s="419"/>
      <c r="M3465" s="334">
        <v>1980</v>
      </c>
      <c r="N3465" s="362">
        <f t="shared" si="121"/>
        <v>1980</v>
      </c>
      <c r="O3465" s="356"/>
      <c r="P3465" s="356"/>
      <c r="Q3465" s="356"/>
      <c r="R3465" s="356"/>
      <c r="S3465" s="356"/>
      <c r="T3465" s="356"/>
      <c r="U3465" s="372"/>
      <c r="V3465" s="372"/>
      <c r="W3465" s="372"/>
      <c r="X3465" s="373"/>
      <c r="Y3465" s="348"/>
      <c r="Z3465" s="348"/>
      <c r="AA3465" s="348"/>
    </row>
    <row r="3466" s="331" customFormat="1" ht="17" customHeight="1" spans="1:27">
      <c r="A3466" s="348"/>
      <c r="B3466" s="348" t="s">
        <v>726</v>
      </c>
      <c r="C3466" s="348" t="s">
        <v>727</v>
      </c>
      <c r="D3466" s="349" t="s">
        <v>271</v>
      </c>
      <c r="E3466" s="336">
        <v>43694</v>
      </c>
      <c r="F3466" s="336" t="s">
        <v>800</v>
      </c>
      <c r="G3466" s="336">
        <v>43694</v>
      </c>
      <c r="H3466" s="334" t="s">
        <v>4768</v>
      </c>
      <c r="I3466" s="356">
        <v>18989452828</v>
      </c>
      <c r="J3466" s="361" t="s">
        <v>8664</v>
      </c>
      <c r="K3466" s="356"/>
      <c r="L3466" s="419"/>
      <c r="M3466" s="334">
        <v>159</v>
      </c>
      <c r="N3466" s="362">
        <f t="shared" si="121"/>
        <v>159</v>
      </c>
      <c r="O3466" s="356"/>
      <c r="P3466" s="356"/>
      <c r="Q3466" s="356"/>
      <c r="R3466" s="356"/>
      <c r="S3466" s="356"/>
      <c r="T3466" s="356"/>
      <c r="U3466" s="372"/>
      <c r="V3466" s="372"/>
      <c r="W3466" s="372"/>
      <c r="X3466" s="373"/>
      <c r="Y3466" s="348"/>
      <c r="Z3466" s="348"/>
      <c r="AA3466" s="348"/>
    </row>
    <row r="3467" s="331" customFormat="1" ht="17" customHeight="1" spans="1:27">
      <c r="A3467" s="348"/>
      <c r="B3467" s="348" t="s">
        <v>726</v>
      </c>
      <c r="C3467" s="348" t="s">
        <v>727</v>
      </c>
      <c r="D3467" s="349" t="s">
        <v>271</v>
      </c>
      <c r="E3467" s="336">
        <v>43694</v>
      </c>
      <c r="F3467" s="336" t="s">
        <v>800</v>
      </c>
      <c r="G3467" s="336">
        <v>43693</v>
      </c>
      <c r="H3467" s="334" t="s">
        <v>6598</v>
      </c>
      <c r="I3467" s="356" t="s">
        <v>8665</v>
      </c>
      <c r="J3467" s="361" t="s">
        <v>8666</v>
      </c>
      <c r="K3467" s="356"/>
      <c r="L3467" s="419"/>
      <c r="M3467" s="334">
        <v>5733</v>
      </c>
      <c r="N3467" s="362">
        <f t="shared" si="121"/>
        <v>5733</v>
      </c>
      <c r="O3467" s="356"/>
      <c r="P3467" s="356"/>
      <c r="Q3467" s="356"/>
      <c r="R3467" s="356"/>
      <c r="S3467" s="356"/>
      <c r="T3467" s="356"/>
      <c r="U3467" s="372"/>
      <c r="V3467" s="372"/>
      <c r="W3467" s="372"/>
      <c r="X3467" s="373"/>
      <c r="Y3467" s="348"/>
      <c r="Z3467" s="348"/>
      <c r="AA3467" s="348"/>
    </row>
    <row r="3468" s="331" customFormat="1" ht="17" customHeight="1" spans="1:27">
      <c r="A3468" s="348"/>
      <c r="B3468" s="348" t="s">
        <v>354</v>
      </c>
      <c r="C3468" s="348" t="s">
        <v>355</v>
      </c>
      <c r="D3468" s="349" t="s">
        <v>343</v>
      </c>
      <c r="E3468" s="336">
        <v>43694</v>
      </c>
      <c r="F3468" s="336" t="s">
        <v>800</v>
      </c>
      <c r="G3468" s="336">
        <v>43693</v>
      </c>
      <c r="H3468" s="334" t="s">
        <v>5143</v>
      </c>
      <c r="I3468" s="356">
        <v>13621762875</v>
      </c>
      <c r="J3468" s="361" t="s">
        <v>8667</v>
      </c>
      <c r="K3468" s="356"/>
      <c r="L3468" s="419"/>
      <c r="M3468" s="334">
        <f>3000+348</f>
        <v>3348</v>
      </c>
      <c r="N3468" s="362">
        <f t="shared" si="121"/>
        <v>3348</v>
      </c>
      <c r="O3468" s="356"/>
      <c r="P3468" s="356"/>
      <c r="Q3468" s="356"/>
      <c r="R3468" s="356"/>
      <c r="S3468" s="356"/>
      <c r="T3468" s="356"/>
      <c r="U3468" s="372"/>
      <c r="V3468" s="372"/>
      <c r="W3468" s="372"/>
      <c r="X3468" s="373"/>
      <c r="Y3468" s="348"/>
      <c r="Z3468" s="348"/>
      <c r="AA3468" s="348"/>
    </row>
    <row r="3469" s="331" customFormat="1" ht="17" customHeight="1" spans="1:27">
      <c r="A3469" s="348"/>
      <c r="B3469" s="348" t="s">
        <v>185</v>
      </c>
      <c r="C3469" s="334" t="s">
        <v>1620</v>
      </c>
      <c r="D3469" s="349" t="s">
        <v>44</v>
      </c>
      <c r="E3469" s="336">
        <v>43694</v>
      </c>
      <c r="F3469" s="336" t="s">
        <v>800</v>
      </c>
      <c r="G3469" s="336">
        <v>43694</v>
      </c>
      <c r="H3469" s="334" t="s">
        <v>4127</v>
      </c>
      <c r="I3469" s="356">
        <v>13564391173</v>
      </c>
      <c r="J3469" s="361" t="s">
        <v>4128</v>
      </c>
      <c r="K3469" s="356"/>
      <c r="L3469" s="419"/>
      <c r="M3469" s="334">
        <v>1170</v>
      </c>
      <c r="N3469" s="362">
        <f t="shared" si="121"/>
        <v>1170</v>
      </c>
      <c r="O3469" s="356"/>
      <c r="P3469" s="356"/>
      <c r="Q3469" s="356"/>
      <c r="R3469" s="356"/>
      <c r="S3469" s="356"/>
      <c r="T3469" s="356"/>
      <c r="U3469" s="372"/>
      <c r="V3469" s="372"/>
      <c r="W3469" s="372"/>
      <c r="X3469" s="373"/>
      <c r="Y3469" s="348"/>
      <c r="Z3469" s="348"/>
      <c r="AA3469" s="348"/>
    </row>
    <row r="3470" s="331" customFormat="1" ht="17" customHeight="1" spans="1:27">
      <c r="A3470" s="348"/>
      <c r="B3470" s="348" t="s">
        <v>31</v>
      </c>
      <c r="C3470" s="334" t="s">
        <v>32</v>
      </c>
      <c r="D3470" s="349" t="s">
        <v>33</v>
      </c>
      <c r="E3470" s="336">
        <v>43694</v>
      </c>
      <c r="F3470" s="336" t="s">
        <v>800</v>
      </c>
      <c r="G3470" s="336">
        <v>43693</v>
      </c>
      <c r="H3470" s="334" t="s">
        <v>8668</v>
      </c>
      <c r="I3470" s="356">
        <v>13818288062</v>
      </c>
      <c r="J3470" s="361" t="s">
        <v>8669</v>
      </c>
      <c r="K3470" s="356"/>
      <c r="L3470" s="419"/>
      <c r="M3470" s="334">
        <v>242</v>
      </c>
      <c r="N3470" s="362">
        <f t="shared" si="121"/>
        <v>242</v>
      </c>
      <c r="O3470" s="356"/>
      <c r="P3470" s="356"/>
      <c r="Q3470" s="356"/>
      <c r="R3470" s="356"/>
      <c r="S3470" s="356"/>
      <c r="T3470" s="356"/>
      <c r="U3470" s="372"/>
      <c r="V3470" s="372"/>
      <c r="W3470" s="372"/>
      <c r="X3470" s="373"/>
      <c r="Y3470" s="348"/>
      <c r="Z3470" s="348"/>
      <c r="AA3470" s="348"/>
    </row>
    <row r="3471" s="331" customFormat="1" ht="17" customHeight="1" spans="1:27">
      <c r="A3471" s="348"/>
      <c r="B3471" s="348" t="s">
        <v>73</v>
      </c>
      <c r="C3471" s="334" t="s">
        <v>178</v>
      </c>
      <c r="D3471" s="349" t="s">
        <v>5695</v>
      </c>
      <c r="E3471" s="336">
        <v>43694</v>
      </c>
      <c r="F3471" s="336" t="s">
        <v>800</v>
      </c>
      <c r="G3471" s="336">
        <v>43694</v>
      </c>
      <c r="H3471" s="334" t="s">
        <v>8670</v>
      </c>
      <c r="I3471" s="356">
        <v>13370067700</v>
      </c>
      <c r="J3471" s="361" t="s">
        <v>8671</v>
      </c>
      <c r="K3471" s="356"/>
      <c r="L3471" s="419"/>
      <c r="M3471" s="334">
        <v>124</v>
      </c>
      <c r="N3471" s="362">
        <f t="shared" si="121"/>
        <v>124</v>
      </c>
      <c r="O3471" s="356"/>
      <c r="P3471" s="356"/>
      <c r="Q3471" s="356"/>
      <c r="R3471" s="356"/>
      <c r="S3471" s="356"/>
      <c r="T3471" s="356"/>
      <c r="U3471" s="372"/>
      <c r="V3471" s="372"/>
      <c r="W3471" s="372"/>
      <c r="X3471" s="373"/>
      <c r="Y3471" s="348"/>
      <c r="Z3471" s="348"/>
      <c r="AA3471" s="348"/>
    </row>
    <row r="3472" s="331" customFormat="1" ht="17" customHeight="1" spans="1:27">
      <c r="A3472" s="348"/>
      <c r="B3472" s="348" t="s">
        <v>42</v>
      </c>
      <c r="C3472" s="334" t="s">
        <v>43</v>
      </c>
      <c r="D3472" s="349" t="s">
        <v>125</v>
      </c>
      <c r="E3472" s="336">
        <v>43694</v>
      </c>
      <c r="F3472" s="336" t="s">
        <v>800</v>
      </c>
      <c r="G3472" s="336">
        <v>43694</v>
      </c>
      <c r="H3472" s="334" t="s">
        <v>5239</v>
      </c>
      <c r="I3472" s="356">
        <v>15821499476</v>
      </c>
      <c r="J3472" s="361" t="s">
        <v>5240</v>
      </c>
      <c r="K3472" s="356"/>
      <c r="L3472" s="419"/>
      <c r="M3472" s="334">
        <v>3500</v>
      </c>
      <c r="N3472" s="362">
        <f t="shared" si="121"/>
        <v>3500</v>
      </c>
      <c r="O3472" s="356"/>
      <c r="P3472" s="356"/>
      <c r="Q3472" s="356"/>
      <c r="R3472" s="356"/>
      <c r="S3472" s="356"/>
      <c r="T3472" s="356"/>
      <c r="U3472" s="372"/>
      <c r="V3472" s="372"/>
      <c r="W3472" s="372"/>
      <c r="X3472" s="373"/>
      <c r="Y3472" s="348"/>
      <c r="Z3472" s="348"/>
      <c r="AA3472" s="348"/>
    </row>
    <row r="3473" s="331" customFormat="1" ht="17" customHeight="1" spans="1:27">
      <c r="A3473" s="348">
        <v>2023175</v>
      </c>
      <c r="B3473" s="348" t="s">
        <v>153</v>
      </c>
      <c r="C3473" s="334" t="s">
        <v>302</v>
      </c>
      <c r="D3473" s="349" t="s">
        <v>155</v>
      </c>
      <c r="E3473" s="336">
        <v>43695</v>
      </c>
      <c r="F3473" s="336">
        <v>43485</v>
      </c>
      <c r="G3473" s="350">
        <v>43695</v>
      </c>
      <c r="H3473" s="334" t="s">
        <v>8672</v>
      </c>
      <c r="I3473" s="356">
        <v>13661658026</v>
      </c>
      <c r="J3473" s="361" t="s">
        <v>8673</v>
      </c>
      <c r="K3473" s="356">
        <v>500</v>
      </c>
      <c r="L3473" s="334">
        <v>19733</v>
      </c>
      <c r="M3473" s="419"/>
      <c r="N3473" s="362">
        <f t="shared" ref="N3473:N3504" si="122">L3473+M3473</f>
        <v>19733</v>
      </c>
      <c r="O3473" s="356"/>
      <c r="P3473" s="356"/>
      <c r="Q3473" s="356"/>
      <c r="R3473" s="356"/>
      <c r="S3473" s="356"/>
      <c r="T3473" s="356"/>
      <c r="U3473" s="372"/>
      <c r="V3473" s="372"/>
      <c r="W3473" s="372"/>
      <c r="X3473" s="373"/>
      <c r="Y3473" s="348"/>
      <c r="Z3473" s="348"/>
      <c r="AA3473" s="348"/>
    </row>
    <row r="3474" s="331" customFormat="1" ht="17" customHeight="1" spans="1:27">
      <c r="A3474" s="348">
        <v>2066959</v>
      </c>
      <c r="B3474" s="348" t="s">
        <v>335</v>
      </c>
      <c r="C3474" s="334" t="s">
        <v>615</v>
      </c>
      <c r="D3474" s="349" t="s">
        <v>337</v>
      </c>
      <c r="E3474" s="336">
        <v>43695</v>
      </c>
      <c r="F3474" s="336">
        <v>43694</v>
      </c>
      <c r="G3474" s="350">
        <v>43694</v>
      </c>
      <c r="H3474" s="334" t="s">
        <v>8674</v>
      </c>
      <c r="I3474" s="356">
        <v>13918407208</v>
      </c>
      <c r="J3474" s="361" t="s">
        <v>8675</v>
      </c>
      <c r="K3474" s="356">
        <v>21220</v>
      </c>
      <c r="L3474" s="334">
        <v>21220</v>
      </c>
      <c r="M3474" s="334"/>
      <c r="N3474" s="362">
        <f t="shared" si="122"/>
        <v>21220</v>
      </c>
      <c r="O3474" s="356"/>
      <c r="P3474" s="356"/>
      <c r="Q3474" s="356"/>
      <c r="R3474" s="356"/>
      <c r="S3474" s="356"/>
      <c r="T3474" s="356"/>
      <c r="U3474" s="372"/>
      <c r="V3474" s="372"/>
      <c r="W3474" s="372"/>
      <c r="X3474" s="373"/>
      <c r="Y3474" s="348"/>
      <c r="Z3474" s="348"/>
      <c r="AA3474" s="348"/>
    </row>
    <row r="3475" s="331" customFormat="1" ht="17" customHeight="1" spans="1:27">
      <c r="A3475" s="550" t="s">
        <v>8676</v>
      </c>
      <c r="B3475" s="348" t="s">
        <v>35</v>
      </c>
      <c r="C3475" s="334" t="s">
        <v>36</v>
      </c>
      <c r="D3475" s="334" t="s">
        <v>187</v>
      </c>
      <c r="E3475" s="336">
        <v>43704</v>
      </c>
      <c r="F3475" s="336">
        <v>43694</v>
      </c>
      <c r="G3475" s="350">
        <v>43694</v>
      </c>
      <c r="H3475" s="334" t="s">
        <v>8677</v>
      </c>
      <c r="I3475" s="356">
        <v>17717536129</v>
      </c>
      <c r="J3475" s="361" t="s">
        <v>8678</v>
      </c>
      <c r="K3475" s="356">
        <v>18705</v>
      </c>
      <c r="L3475" s="334">
        <v>18705</v>
      </c>
      <c r="M3475" s="419"/>
      <c r="N3475" s="362">
        <f t="shared" si="122"/>
        <v>18705</v>
      </c>
      <c r="O3475" s="356"/>
      <c r="P3475" s="356"/>
      <c r="Q3475" s="356"/>
      <c r="R3475" s="356"/>
      <c r="S3475" s="356"/>
      <c r="T3475" s="356"/>
      <c r="U3475" s="372"/>
      <c r="V3475" s="372"/>
      <c r="W3475" s="372"/>
      <c r="X3475" s="373"/>
      <c r="Y3475" s="348"/>
      <c r="Z3475" s="348"/>
      <c r="AA3475" s="348"/>
    </row>
    <row r="3476" s="331" customFormat="1" ht="17" customHeight="1" spans="1:27">
      <c r="A3476" s="550" t="s">
        <v>4886</v>
      </c>
      <c r="B3476" s="348" t="s">
        <v>185</v>
      </c>
      <c r="C3476" s="334" t="s">
        <v>1620</v>
      </c>
      <c r="D3476" s="352" t="s">
        <v>44</v>
      </c>
      <c r="E3476" s="336">
        <v>43697</v>
      </c>
      <c r="F3476" s="336">
        <v>43694</v>
      </c>
      <c r="G3476" s="336">
        <v>43696</v>
      </c>
      <c r="H3476" s="334" t="s">
        <v>8679</v>
      </c>
      <c r="I3476" s="356">
        <v>13916567027</v>
      </c>
      <c r="J3476" s="361" t="s">
        <v>8680</v>
      </c>
      <c r="K3476" s="356">
        <v>18000</v>
      </c>
      <c r="L3476" s="334">
        <v>19000</v>
      </c>
      <c r="M3476" s="334">
        <v>1340</v>
      </c>
      <c r="N3476" s="362">
        <f t="shared" si="122"/>
        <v>20340</v>
      </c>
      <c r="O3476" s="356"/>
      <c r="P3476" s="356"/>
      <c r="Q3476" s="356"/>
      <c r="R3476" s="356"/>
      <c r="S3476" s="356"/>
      <c r="T3476" s="356"/>
      <c r="U3476" s="372"/>
      <c r="V3476" s="372"/>
      <c r="W3476" s="372"/>
      <c r="X3476" s="373"/>
      <c r="Y3476" s="348"/>
      <c r="Z3476" s="348"/>
      <c r="AA3476" s="348"/>
    </row>
    <row r="3477" s="331" customFormat="1" ht="15" customHeight="1" spans="1:27">
      <c r="A3477" s="550" t="s">
        <v>3707</v>
      </c>
      <c r="B3477" s="348" t="s">
        <v>405</v>
      </c>
      <c r="C3477" s="334" t="s">
        <v>1234</v>
      </c>
      <c r="D3477" s="352" t="s">
        <v>407</v>
      </c>
      <c r="E3477" s="336">
        <v>43721</v>
      </c>
      <c r="F3477" s="336">
        <v>43694</v>
      </c>
      <c r="G3477" s="336">
        <v>43720</v>
      </c>
      <c r="H3477" s="334" t="s">
        <v>8681</v>
      </c>
      <c r="I3477" s="356">
        <v>13681686954</v>
      </c>
      <c r="J3477" s="361" t="s">
        <v>8682</v>
      </c>
      <c r="K3477" s="356">
        <v>3000</v>
      </c>
      <c r="L3477" s="334">
        <f>8842-804</f>
        <v>8038</v>
      </c>
      <c r="M3477" s="334">
        <v>804</v>
      </c>
      <c r="N3477" s="362">
        <f t="shared" si="122"/>
        <v>8842</v>
      </c>
      <c r="O3477" s="356"/>
      <c r="P3477" s="356"/>
      <c r="Q3477" s="356" t="s">
        <v>52</v>
      </c>
      <c r="R3477" s="356"/>
      <c r="S3477" s="356"/>
      <c r="T3477" s="356"/>
      <c r="U3477" s="372"/>
      <c r="V3477" s="372"/>
      <c r="W3477" s="372"/>
      <c r="X3477" s="373"/>
      <c r="Y3477" s="348"/>
      <c r="Z3477" s="348"/>
      <c r="AA3477" s="348"/>
    </row>
    <row r="3478" s="331" customFormat="1" ht="17" customHeight="1" spans="1:27">
      <c r="A3478" s="550" t="s">
        <v>8683</v>
      </c>
      <c r="B3478" s="348" t="s">
        <v>73</v>
      </c>
      <c r="C3478" s="334" t="s">
        <v>178</v>
      </c>
      <c r="D3478" s="334" t="s">
        <v>75</v>
      </c>
      <c r="E3478" s="336">
        <v>43735</v>
      </c>
      <c r="F3478" s="336">
        <v>43694</v>
      </c>
      <c r="G3478" s="336">
        <v>43735</v>
      </c>
      <c r="H3478" s="334" t="s">
        <v>8684</v>
      </c>
      <c r="I3478" s="356">
        <v>18616788605</v>
      </c>
      <c r="J3478" s="361" t="s">
        <v>8685</v>
      </c>
      <c r="K3478" s="356">
        <v>1000</v>
      </c>
      <c r="L3478" s="334">
        <f>16852-1140</f>
        <v>15712</v>
      </c>
      <c r="M3478" s="334">
        <f>-217+1140</f>
        <v>923</v>
      </c>
      <c r="N3478" s="362">
        <f t="shared" si="122"/>
        <v>16635</v>
      </c>
      <c r="O3478" s="366" t="s">
        <v>52</v>
      </c>
      <c r="P3478" s="356"/>
      <c r="Q3478" s="356"/>
      <c r="R3478" s="356"/>
      <c r="S3478" s="356"/>
      <c r="T3478" s="356"/>
      <c r="U3478" s="372"/>
      <c r="V3478" s="372"/>
      <c r="W3478" s="372"/>
      <c r="X3478" s="373"/>
      <c r="Y3478" s="348"/>
      <c r="Z3478" s="348"/>
      <c r="AA3478" s="348"/>
    </row>
    <row r="3479" s="331" customFormat="1" ht="17" customHeight="1" spans="1:27">
      <c r="A3479" s="550" t="s">
        <v>8686</v>
      </c>
      <c r="B3479" s="348" t="s">
        <v>73</v>
      </c>
      <c r="C3479" s="334" t="s">
        <v>178</v>
      </c>
      <c r="D3479" s="334" t="s">
        <v>717</v>
      </c>
      <c r="E3479" s="336">
        <v>43727</v>
      </c>
      <c r="F3479" s="336">
        <v>43694</v>
      </c>
      <c r="G3479" s="336">
        <v>43727</v>
      </c>
      <c r="H3479" s="334" t="s">
        <v>5030</v>
      </c>
      <c r="I3479" s="356">
        <v>13700127675</v>
      </c>
      <c r="J3479" s="361" t="s">
        <v>8687</v>
      </c>
      <c r="K3479" s="356">
        <v>1000</v>
      </c>
      <c r="L3479" s="334">
        <f>12134-1140</f>
        <v>10994</v>
      </c>
      <c r="M3479" s="334">
        <v>1140</v>
      </c>
      <c r="N3479" s="362">
        <f t="shared" si="122"/>
        <v>12134</v>
      </c>
      <c r="O3479" s="366" t="s">
        <v>52</v>
      </c>
      <c r="P3479" s="356"/>
      <c r="Q3479" s="356"/>
      <c r="R3479" s="356"/>
      <c r="S3479" s="356"/>
      <c r="T3479" s="356"/>
      <c r="U3479" s="372"/>
      <c r="V3479" s="372"/>
      <c r="W3479" s="372"/>
      <c r="X3479" s="373"/>
      <c r="Y3479" s="348"/>
      <c r="Z3479" s="348"/>
      <c r="AA3479" s="348"/>
    </row>
    <row r="3480" s="331" customFormat="1" ht="17" customHeight="1" spans="1:27">
      <c r="A3480" s="550" t="s">
        <v>8688</v>
      </c>
      <c r="B3480" s="348" t="s">
        <v>315</v>
      </c>
      <c r="C3480" s="334" t="s">
        <v>181</v>
      </c>
      <c r="D3480" s="334" t="s">
        <v>132</v>
      </c>
      <c r="E3480" s="336">
        <v>43801</v>
      </c>
      <c r="F3480" s="336">
        <v>43695</v>
      </c>
      <c r="G3480" s="336">
        <v>43800</v>
      </c>
      <c r="H3480" s="334" t="s">
        <v>8689</v>
      </c>
      <c r="I3480" s="356">
        <v>18702199336</v>
      </c>
      <c r="J3480" s="361" t="s">
        <v>8690</v>
      </c>
      <c r="K3480" s="356">
        <v>1000</v>
      </c>
      <c r="L3480" s="334">
        <v>31689</v>
      </c>
      <c r="M3480" s="419"/>
      <c r="N3480" s="362">
        <f t="shared" si="122"/>
        <v>31689</v>
      </c>
      <c r="O3480" s="356"/>
      <c r="P3480" s="356"/>
      <c r="Q3480" s="356">
        <v>1</v>
      </c>
      <c r="R3480" s="356"/>
      <c r="S3480" s="356"/>
      <c r="T3480" s="356"/>
      <c r="U3480" s="372"/>
      <c r="V3480" s="372"/>
      <c r="W3480" s="372"/>
      <c r="X3480" s="373"/>
      <c r="Y3480" s="348"/>
      <c r="Z3480" s="348"/>
      <c r="AA3480" s="348"/>
    </row>
    <row r="3481" s="331" customFormat="1" ht="17" customHeight="1" spans="1:27">
      <c r="A3481" s="550" t="s">
        <v>8691</v>
      </c>
      <c r="B3481" s="348" t="s">
        <v>315</v>
      </c>
      <c r="C3481" s="334" t="s">
        <v>181</v>
      </c>
      <c r="D3481" s="352" t="s">
        <v>182</v>
      </c>
      <c r="E3481" s="336">
        <v>43717</v>
      </c>
      <c r="F3481" s="336">
        <v>43694</v>
      </c>
      <c r="G3481" s="336">
        <v>43716</v>
      </c>
      <c r="H3481" s="334" t="s">
        <v>8692</v>
      </c>
      <c r="I3481" s="356">
        <v>13512195933</v>
      </c>
      <c r="J3481" s="361" t="s">
        <v>8693</v>
      </c>
      <c r="K3481" s="356">
        <v>1667</v>
      </c>
      <c r="L3481" s="334">
        <v>3630</v>
      </c>
      <c r="M3481" s="419"/>
      <c r="N3481" s="362">
        <f t="shared" si="122"/>
        <v>3630</v>
      </c>
      <c r="O3481" s="356"/>
      <c r="P3481" s="356"/>
      <c r="Q3481" s="356">
        <v>1</v>
      </c>
      <c r="R3481" s="356"/>
      <c r="S3481" s="356"/>
      <c r="T3481" s="356"/>
      <c r="U3481" s="372"/>
      <c r="V3481" s="372"/>
      <c r="W3481" s="372"/>
      <c r="X3481" s="373"/>
      <c r="Y3481" s="348"/>
      <c r="Z3481" s="348"/>
      <c r="AA3481" s="348"/>
    </row>
    <row r="3482" s="331" customFormat="1" ht="17" customHeight="1" spans="1:27">
      <c r="A3482" s="550" t="s">
        <v>7595</v>
      </c>
      <c r="B3482" s="348" t="s">
        <v>315</v>
      </c>
      <c r="C3482" s="334" t="s">
        <v>181</v>
      </c>
      <c r="D3482" s="352" t="s">
        <v>182</v>
      </c>
      <c r="E3482" s="336">
        <v>43738</v>
      </c>
      <c r="F3482" s="336">
        <v>43694</v>
      </c>
      <c r="G3482" s="336">
        <v>43738</v>
      </c>
      <c r="H3482" s="334" t="s">
        <v>8694</v>
      </c>
      <c r="I3482" s="356">
        <v>18601665599</v>
      </c>
      <c r="J3482" s="361" t="s">
        <v>8695</v>
      </c>
      <c r="K3482" s="356">
        <v>1000</v>
      </c>
      <c r="L3482" s="334">
        <v>4572</v>
      </c>
      <c r="M3482" s="419"/>
      <c r="N3482" s="362">
        <f t="shared" si="122"/>
        <v>4572</v>
      </c>
      <c r="O3482" s="356"/>
      <c r="P3482" s="356"/>
      <c r="Q3482" s="356">
        <v>1</v>
      </c>
      <c r="R3482" s="356"/>
      <c r="S3482" s="356"/>
      <c r="T3482" s="356"/>
      <c r="U3482" s="372"/>
      <c r="V3482" s="372"/>
      <c r="W3482" s="372"/>
      <c r="X3482" s="373"/>
      <c r="Y3482" s="348"/>
      <c r="Z3482" s="348"/>
      <c r="AA3482" s="348"/>
    </row>
    <row r="3483" s="331" customFormat="1" ht="17" customHeight="1" spans="1:27">
      <c r="A3483" s="550" t="s">
        <v>8696</v>
      </c>
      <c r="B3483" s="348" t="s">
        <v>726</v>
      </c>
      <c r="C3483" s="334" t="s">
        <v>727</v>
      </c>
      <c r="D3483" s="334" t="s">
        <v>271</v>
      </c>
      <c r="E3483" s="336">
        <v>43737</v>
      </c>
      <c r="F3483" s="336">
        <v>43695</v>
      </c>
      <c r="G3483" s="336">
        <v>43737</v>
      </c>
      <c r="H3483" s="334" t="s">
        <v>8697</v>
      </c>
      <c r="I3483" s="356">
        <v>13564314530</v>
      </c>
      <c r="J3483" s="361" t="s">
        <v>8698</v>
      </c>
      <c r="K3483" s="356">
        <v>11714</v>
      </c>
      <c r="L3483" s="334">
        <v>11714</v>
      </c>
      <c r="M3483" s="419"/>
      <c r="N3483" s="362">
        <f t="shared" si="122"/>
        <v>11714</v>
      </c>
      <c r="O3483" s="356" t="s">
        <v>19</v>
      </c>
      <c r="P3483" s="356"/>
      <c r="Q3483" s="356"/>
      <c r="R3483" s="356"/>
      <c r="S3483" s="356"/>
      <c r="T3483" s="356"/>
      <c r="U3483" s="372"/>
      <c r="V3483" s="372"/>
      <c r="W3483" s="372"/>
      <c r="X3483" s="373"/>
      <c r="Y3483" s="348"/>
      <c r="Z3483" s="348"/>
      <c r="AA3483" s="348"/>
    </row>
    <row r="3484" s="331" customFormat="1" ht="17" customHeight="1" spans="1:27">
      <c r="A3484" s="348"/>
      <c r="B3484" s="348" t="s">
        <v>31</v>
      </c>
      <c r="C3484" s="334" t="s">
        <v>220</v>
      </c>
      <c r="D3484" s="352" t="s">
        <v>221</v>
      </c>
      <c r="E3484" s="336">
        <v>43761</v>
      </c>
      <c r="F3484" s="336">
        <v>43694</v>
      </c>
      <c r="G3484" s="336">
        <v>43761</v>
      </c>
      <c r="H3484" s="334" t="s">
        <v>8699</v>
      </c>
      <c r="I3484" s="356">
        <v>15858876088</v>
      </c>
      <c r="J3484" s="361" t="s">
        <v>8700</v>
      </c>
      <c r="K3484" s="356">
        <v>1000</v>
      </c>
      <c r="L3484" s="334">
        <v>7918</v>
      </c>
      <c r="M3484" s="419"/>
      <c r="N3484" s="362">
        <f t="shared" si="122"/>
        <v>7918</v>
      </c>
      <c r="O3484" s="356"/>
      <c r="P3484" s="356"/>
      <c r="Q3484" s="366" t="s">
        <v>52</v>
      </c>
      <c r="R3484" s="356"/>
      <c r="S3484" s="356"/>
      <c r="T3484" s="356"/>
      <c r="U3484" s="372"/>
      <c r="V3484" s="372"/>
      <c r="W3484" s="372"/>
      <c r="X3484" s="373"/>
      <c r="Y3484" s="348"/>
      <c r="Z3484" s="348"/>
      <c r="AA3484" s="348"/>
    </row>
    <row r="3485" s="331" customFormat="1" ht="17" customHeight="1" spans="1:27">
      <c r="A3485" s="550" t="s">
        <v>8333</v>
      </c>
      <c r="B3485" s="348" t="s">
        <v>123</v>
      </c>
      <c r="C3485" s="334" t="s">
        <v>902</v>
      </c>
      <c r="D3485" s="352" t="s">
        <v>125</v>
      </c>
      <c r="E3485" s="336">
        <v>43702</v>
      </c>
      <c r="F3485" s="336">
        <v>43694</v>
      </c>
      <c r="G3485" s="336">
        <v>43702</v>
      </c>
      <c r="H3485" s="334" t="s">
        <v>8701</v>
      </c>
      <c r="I3485" s="356">
        <v>18017755966</v>
      </c>
      <c r="J3485" s="361" t="s">
        <v>8702</v>
      </c>
      <c r="K3485" s="356">
        <v>1000</v>
      </c>
      <c r="L3485" s="334">
        <v>4170</v>
      </c>
      <c r="M3485" s="419"/>
      <c r="N3485" s="362">
        <f t="shared" si="122"/>
        <v>4170</v>
      </c>
      <c r="O3485" s="356"/>
      <c r="P3485" s="366" t="s">
        <v>52</v>
      </c>
      <c r="Q3485" s="356"/>
      <c r="R3485" s="356"/>
      <c r="S3485" s="356"/>
      <c r="T3485" s="356"/>
      <c r="U3485" s="372"/>
      <c r="V3485" s="372"/>
      <c r="W3485" s="372"/>
      <c r="X3485" s="373"/>
      <c r="Y3485" s="348"/>
      <c r="Z3485" s="348"/>
      <c r="AA3485" s="348"/>
    </row>
    <row r="3486" s="331" customFormat="1" ht="17" customHeight="1" spans="1:27">
      <c r="A3486" s="348">
        <v>2022501</v>
      </c>
      <c r="B3486" s="348" t="s">
        <v>73</v>
      </c>
      <c r="C3486" s="334" t="s">
        <v>74</v>
      </c>
      <c r="D3486" s="349" t="s">
        <v>132</v>
      </c>
      <c r="E3486" s="336">
        <v>43702</v>
      </c>
      <c r="F3486" s="336">
        <v>43694</v>
      </c>
      <c r="G3486" s="336">
        <v>43702</v>
      </c>
      <c r="H3486" s="334" t="s">
        <v>8703</v>
      </c>
      <c r="I3486" s="356">
        <v>13917090389</v>
      </c>
      <c r="J3486" s="361" t="s">
        <v>8704</v>
      </c>
      <c r="K3486" s="356">
        <v>1000</v>
      </c>
      <c r="L3486" s="334">
        <v>17215</v>
      </c>
      <c r="M3486" s="419"/>
      <c r="N3486" s="362">
        <f t="shared" si="122"/>
        <v>17215</v>
      </c>
      <c r="O3486" s="366" t="s">
        <v>52</v>
      </c>
      <c r="P3486" s="356"/>
      <c r="Q3486" s="356"/>
      <c r="R3486" s="356"/>
      <c r="S3486" s="356"/>
      <c r="T3486" s="356"/>
      <c r="U3486" s="372"/>
      <c r="V3486" s="372"/>
      <c r="W3486" s="372"/>
      <c r="X3486" s="373"/>
      <c r="Y3486" s="348"/>
      <c r="Z3486" s="348"/>
      <c r="AA3486" s="348"/>
    </row>
    <row r="3487" s="331" customFormat="1" ht="17" customHeight="1" spans="1:27">
      <c r="A3487" s="550" t="s">
        <v>8705</v>
      </c>
      <c r="B3487" s="348" t="s">
        <v>66</v>
      </c>
      <c r="C3487" s="334" t="s">
        <v>505</v>
      </c>
      <c r="D3487" s="334" t="s">
        <v>2302</v>
      </c>
      <c r="E3487" s="336">
        <v>43738</v>
      </c>
      <c r="F3487" s="336">
        <v>43694</v>
      </c>
      <c r="G3487" s="336">
        <v>43738</v>
      </c>
      <c r="H3487" s="334" t="s">
        <v>8706</v>
      </c>
      <c r="I3487" s="356">
        <v>13661766074</v>
      </c>
      <c r="J3487" s="361" t="s">
        <v>8707</v>
      </c>
      <c r="K3487" s="356">
        <v>12800</v>
      </c>
      <c r="L3487" s="334">
        <f>16346-5556</f>
        <v>10790</v>
      </c>
      <c r="M3487" s="334">
        <v>5556</v>
      </c>
      <c r="N3487" s="362">
        <f t="shared" si="122"/>
        <v>16346</v>
      </c>
      <c r="O3487" s="356"/>
      <c r="P3487" s="356" t="s">
        <v>1526</v>
      </c>
      <c r="Q3487" s="356"/>
      <c r="R3487" s="356"/>
      <c r="S3487" s="356"/>
      <c r="T3487" s="356"/>
      <c r="U3487" s="372"/>
      <c r="V3487" s="372"/>
      <c r="W3487" s="372"/>
      <c r="X3487" s="373"/>
      <c r="Y3487" s="348"/>
      <c r="Z3487" s="348"/>
      <c r="AA3487" s="348"/>
    </row>
    <row r="3488" s="331" customFormat="1" ht="17" customHeight="1" spans="1:27">
      <c r="A3488" s="550" t="s">
        <v>4702</v>
      </c>
      <c r="B3488" s="348" t="s">
        <v>73</v>
      </c>
      <c r="C3488" s="334" t="s">
        <v>74</v>
      </c>
      <c r="D3488" s="352" t="s">
        <v>75</v>
      </c>
      <c r="E3488" s="336">
        <v>43695</v>
      </c>
      <c r="F3488" s="336">
        <v>43694</v>
      </c>
      <c r="G3488" s="442"/>
      <c r="H3488" s="334" t="s">
        <v>8708</v>
      </c>
      <c r="I3488" s="356">
        <v>18321755265</v>
      </c>
      <c r="J3488" s="361" t="s">
        <v>8709</v>
      </c>
      <c r="K3488" s="356">
        <v>1000</v>
      </c>
      <c r="L3488" s="419"/>
      <c r="M3488" s="419"/>
      <c r="N3488" s="362">
        <f t="shared" si="122"/>
        <v>0</v>
      </c>
      <c r="O3488" s="366" t="s">
        <v>52</v>
      </c>
      <c r="P3488" s="356"/>
      <c r="Q3488" s="356"/>
      <c r="R3488" s="356"/>
      <c r="S3488" s="356"/>
      <c r="T3488" s="356"/>
      <c r="U3488" s="372"/>
      <c r="V3488" s="372"/>
      <c r="W3488" s="372"/>
      <c r="X3488" s="373"/>
      <c r="Y3488" s="348"/>
      <c r="Z3488" s="348"/>
      <c r="AA3488" s="348"/>
    </row>
    <row r="3489" s="331" customFormat="1" ht="17" customHeight="1" spans="1:27">
      <c r="A3489" s="550" t="s">
        <v>8710</v>
      </c>
      <c r="B3489" s="348" t="s">
        <v>73</v>
      </c>
      <c r="C3489" s="334" t="s">
        <v>74</v>
      </c>
      <c r="D3489" s="352" t="s">
        <v>75</v>
      </c>
      <c r="E3489" s="336">
        <v>43695</v>
      </c>
      <c r="F3489" s="336">
        <v>43694</v>
      </c>
      <c r="G3489" s="442"/>
      <c r="H3489" s="334" t="s">
        <v>8711</v>
      </c>
      <c r="I3489" s="356">
        <v>18616503110</v>
      </c>
      <c r="J3489" s="361" t="s">
        <v>8712</v>
      </c>
      <c r="K3489" s="356">
        <v>1000</v>
      </c>
      <c r="L3489" s="419"/>
      <c r="M3489" s="419"/>
      <c r="N3489" s="362">
        <f t="shared" si="122"/>
        <v>0</v>
      </c>
      <c r="O3489" s="356"/>
      <c r="P3489" s="356"/>
      <c r="Q3489" s="366" t="s">
        <v>52</v>
      </c>
      <c r="R3489" s="356"/>
      <c r="S3489" s="356"/>
      <c r="T3489" s="356"/>
      <c r="U3489" s="372"/>
      <c r="V3489" s="372"/>
      <c r="W3489" s="372"/>
      <c r="X3489" s="373"/>
      <c r="Y3489" s="348"/>
      <c r="Z3489" s="348"/>
      <c r="AA3489" s="348"/>
    </row>
    <row r="3490" s="331" customFormat="1" ht="17" customHeight="1" spans="1:27">
      <c r="A3490" s="348">
        <v>2022509</v>
      </c>
      <c r="B3490" s="348" t="s">
        <v>73</v>
      </c>
      <c r="C3490" s="348" t="s">
        <v>178</v>
      </c>
      <c r="D3490" s="352" t="s">
        <v>75</v>
      </c>
      <c r="E3490" s="336">
        <v>43696</v>
      </c>
      <c r="F3490" s="336">
        <v>43330</v>
      </c>
      <c r="G3490" s="350" t="s">
        <v>69</v>
      </c>
      <c r="H3490" s="334" t="s">
        <v>7757</v>
      </c>
      <c r="I3490" s="356">
        <v>13817588090</v>
      </c>
      <c r="J3490" s="361" t="s">
        <v>8713</v>
      </c>
      <c r="K3490" s="356">
        <v>1000</v>
      </c>
      <c r="L3490" s="419"/>
      <c r="M3490" s="419"/>
      <c r="N3490" s="362">
        <f t="shared" si="122"/>
        <v>0</v>
      </c>
      <c r="O3490" s="366" t="s">
        <v>52</v>
      </c>
      <c r="P3490" s="356"/>
      <c r="Q3490" s="356"/>
      <c r="R3490" s="356"/>
      <c r="S3490" s="356"/>
      <c r="T3490" s="356"/>
      <c r="U3490" s="372"/>
      <c r="V3490" s="372"/>
      <c r="W3490" s="372"/>
      <c r="X3490" s="373"/>
      <c r="Y3490" s="348"/>
      <c r="Z3490" s="348"/>
      <c r="AA3490" s="348"/>
    </row>
    <row r="3491" s="331" customFormat="1" ht="17" customHeight="1" spans="1:27">
      <c r="A3491" s="550" t="s">
        <v>8714</v>
      </c>
      <c r="B3491" s="348" t="s">
        <v>73</v>
      </c>
      <c r="C3491" s="334" t="s">
        <v>74</v>
      </c>
      <c r="D3491" s="352" t="s">
        <v>717</v>
      </c>
      <c r="E3491" s="336">
        <v>43695</v>
      </c>
      <c r="F3491" s="336">
        <v>43694</v>
      </c>
      <c r="G3491" s="442"/>
      <c r="H3491" s="334" t="s">
        <v>8715</v>
      </c>
      <c r="I3491" s="356">
        <v>13045691032</v>
      </c>
      <c r="J3491" s="361" t="s">
        <v>8716</v>
      </c>
      <c r="K3491" s="356">
        <v>1000</v>
      </c>
      <c r="L3491" s="419"/>
      <c r="M3491" s="419"/>
      <c r="N3491" s="362">
        <f t="shared" si="122"/>
        <v>0</v>
      </c>
      <c r="O3491" s="366" t="s">
        <v>52</v>
      </c>
      <c r="P3491" s="356"/>
      <c r="Q3491" s="356"/>
      <c r="R3491" s="356"/>
      <c r="S3491" s="356"/>
      <c r="T3491" s="356"/>
      <c r="U3491" s="393" t="s">
        <v>40</v>
      </c>
      <c r="V3491" s="372"/>
      <c r="W3491" s="372"/>
      <c r="X3491" s="373"/>
      <c r="Y3491" s="348"/>
      <c r="Z3491" s="348"/>
      <c r="AA3491" s="348"/>
    </row>
    <row r="3492" s="331" customFormat="1" ht="17" customHeight="1" spans="1:27">
      <c r="A3492" s="550" t="s">
        <v>8717</v>
      </c>
      <c r="B3492" s="348" t="s">
        <v>35</v>
      </c>
      <c r="C3492" s="334" t="s">
        <v>36</v>
      </c>
      <c r="D3492" s="352" t="s">
        <v>37</v>
      </c>
      <c r="E3492" s="336">
        <v>43704</v>
      </c>
      <c r="F3492" s="336">
        <v>43694</v>
      </c>
      <c r="G3492" s="336">
        <v>43696</v>
      </c>
      <c r="H3492" s="334" t="s">
        <v>8718</v>
      </c>
      <c r="I3492" s="356">
        <v>13916086231</v>
      </c>
      <c r="J3492" s="361" t="s">
        <v>8719</v>
      </c>
      <c r="K3492" s="356">
        <v>3500</v>
      </c>
      <c r="L3492" s="334">
        <f>7044-1104</f>
        <v>5940</v>
      </c>
      <c r="M3492" s="334">
        <v>1104</v>
      </c>
      <c r="N3492" s="362">
        <f t="shared" si="122"/>
        <v>7044</v>
      </c>
      <c r="O3492" s="356"/>
      <c r="P3492" s="356" t="s">
        <v>52</v>
      </c>
      <c r="Q3492" s="356"/>
      <c r="R3492" s="356"/>
      <c r="S3492" s="356"/>
      <c r="T3492" s="356"/>
      <c r="U3492" s="372"/>
      <c r="V3492" s="372"/>
      <c r="W3492" s="372"/>
      <c r="X3492" s="373"/>
      <c r="Y3492" s="348"/>
      <c r="Z3492" s="348"/>
      <c r="AA3492" s="348"/>
    </row>
    <row r="3493" s="331" customFormat="1" ht="17" customHeight="1" spans="1:27">
      <c r="A3493" s="550" t="s">
        <v>8720</v>
      </c>
      <c r="B3493" s="348" t="s">
        <v>35</v>
      </c>
      <c r="C3493" s="334" t="s">
        <v>36</v>
      </c>
      <c r="D3493" s="352" t="s">
        <v>37</v>
      </c>
      <c r="E3493" s="336">
        <v>43695</v>
      </c>
      <c r="F3493" s="336">
        <v>43694</v>
      </c>
      <c r="G3493" s="442"/>
      <c r="H3493" s="334" t="s">
        <v>8721</v>
      </c>
      <c r="I3493" s="356">
        <v>13801659195</v>
      </c>
      <c r="J3493" s="361" t="s">
        <v>8722</v>
      </c>
      <c r="K3493" s="356">
        <v>5000</v>
      </c>
      <c r="L3493" s="419"/>
      <c r="M3493" s="419"/>
      <c r="N3493" s="362">
        <f t="shared" si="122"/>
        <v>0</v>
      </c>
      <c r="O3493" s="356"/>
      <c r="P3493" s="356"/>
      <c r="Q3493" s="356"/>
      <c r="R3493" s="356"/>
      <c r="S3493" s="356"/>
      <c r="T3493" s="356"/>
      <c r="U3493" s="372" t="s">
        <v>40</v>
      </c>
      <c r="V3493" s="372"/>
      <c r="W3493" s="372"/>
      <c r="X3493" s="373"/>
      <c r="Y3493" s="348"/>
      <c r="Z3493" s="348"/>
      <c r="AA3493" s="348"/>
    </row>
    <row r="3494" s="331" customFormat="1" ht="17" customHeight="1" spans="1:27">
      <c r="A3494" s="550" t="s">
        <v>8723</v>
      </c>
      <c r="B3494" s="348" t="s">
        <v>31</v>
      </c>
      <c r="C3494" s="334" t="s">
        <v>3186</v>
      </c>
      <c r="D3494" s="334" t="s">
        <v>33</v>
      </c>
      <c r="E3494" s="336">
        <v>43704</v>
      </c>
      <c r="F3494" s="336">
        <v>43694</v>
      </c>
      <c r="G3494" s="336">
        <v>43701</v>
      </c>
      <c r="H3494" s="334" t="s">
        <v>8724</v>
      </c>
      <c r="I3494" s="356" t="s">
        <v>8725</v>
      </c>
      <c r="J3494" s="361" t="s">
        <v>8726</v>
      </c>
      <c r="K3494" s="356">
        <v>7000</v>
      </c>
      <c r="L3494" s="334">
        <f>7486-1104</f>
        <v>6382</v>
      </c>
      <c r="M3494" s="334">
        <v>1104</v>
      </c>
      <c r="N3494" s="362">
        <f t="shared" si="122"/>
        <v>7486</v>
      </c>
      <c r="O3494" s="356"/>
      <c r="P3494" s="356"/>
      <c r="Q3494" s="356"/>
      <c r="R3494" s="356"/>
      <c r="S3494" s="366" t="s">
        <v>52</v>
      </c>
      <c r="T3494" s="356"/>
      <c r="U3494" s="372"/>
      <c r="V3494" s="372"/>
      <c r="W3494" s="372"/>
      <c r="X3494" s="373"/>
      <c r="Y3494" s="348"/>
      <c r="Z3494" s="348"/>
      <c r="AA3494" s="348"/>
    </row>
    <row r="3495" s="331" customFormat="1" ht="17" customHeight="1" spans="1:27">
      <c r="A3495" s="348"/>
      <c r="B3495" s="348" t="s">
        <v>31</v>
      </c>
      <c r="C3495" s="334" t="s">
        <v>419</v>
      </c>
      <c r="D3495" s="352" t="s">
        <v>221</v>
      </c>
      <c r="E3495" s="336">
        <v>43695</v>
      </c>
      <c r="F3495" s="336">
        <v>43694</v>
      </c>
      <c r="G3495" s="442"/>
      <c r="H3495" s="334" t="s">
        <v>8727</v>
      </c>
      <c r="I3495" s="356">
        <v>18930138139</v>
      </c>
      <c r="J3495" s="361" t="s">
        <v>8728</v>
      </c>
      <c r="K3495" s="356">
        <v>1000</v>
      </c>
      <c r="L3495" s="419"/>
      <c r="M3495" s="419"/>
      <c r="N3495" s="362">
        <f t="shared" si="122"/>
        <v>0</v>
      </c>
      <c r="O3495" s="356"/>
      <c r="P3495" s="366" t="s">
        <v>52</v>
      </c>
      <c r="Q3495" s="356"/>
      <c r="R3495" s="356"/>
      <c r="S3495" s="356"/>
      <c r="T3495" s="356"/>
      <c r="U3495" s="400" t="s">
        <v>1796</v>
      </c>
      <c r="V3495" s="372"/>
      <c r="W3495" s="372"/>
      <c r="X3495" s="373"/>
      <c r="Y3495" s="348"/>
      <c r="Z3495" s="348"/>
      <c r="AA3495" s="348"/>
    </row>
    <row r="3496" s="331" customFormat="1" ht="17" customHeight="1" spans="1:27">
      <c r="A3496" s="550" t="s">
        <v>7592</v>
      </c>
      <c r="B3496" s="348" t="s">
        <v>31</v>
      </c>
      <c r="C3496" s="334" t="s">
        <v>3186</v>
      </c>
      <c r="D3496" s="334" t="s">
        <v>33</v>
      </c>
      <c r="E3496" s="336">
        <v>43736</v>
      </c>
      <c r="F3496" s="336">
        <v>43694</v>
      </c>
      <c r="G3496" s="336">
        <v>43736</v>
      </c>
      <c r="H3496" s="334" t="s">
        <v>8729</v>
      </c>
      <c r="I3496" s="356">
        <v>13524702445</v>
      </c>
      <c r="J3496" s="361" t="s">
        <v>8730</v>
      </c>
      <c r="K3496" s="356">
        <v>10000</v>
      </c>
      <c r="L3496" s="334">
        <v>10000</v>
      </c>
      <c r="M3496" s="419"/>
      <c r="N3496" s="362">
        <f t="shared" si="122"/>
        <v>10000</v>
      </c>
      <c r="O3496" s="356"/>
      <c r="P3496" s="366" t="s">
        <v>52</v>
      </c>
      <c r="Q3496" s="356"/>
      <c r="R3496" s="356"/>
      <c r="S3496" s="356"/>
      <c r="T3496" s="356"/>
      <c r="U3496" s="372"/>
      <c r="V3496" s="372"/>
      <c r="W3496" s="372">
        <v>8.18</v>
      </c>
      <c r="X3496" s="373"/>
      <c r="Y3496" s="348"/>
      <c r="Z3496" s="348"/>
      <c r="AA3496" s="348"/>
    </row>
    <row r="3497" s="331" customFormat="1" ht="17" customHeight="1" spans="1:27">
      <c r="A3497" s="348"/>
      <c r="B3497" s="348" t="s">
        <v>31</v>
      </c>
      <c r="C3497" s="334" t="s">
        <v>3186</v>
      </c>
      <c r="D3497" s="334" t="s">
        <v>954</v>
      </c>
      <c r="E3497" s="336">
        <v>43709</v>
      </c>
      <c r="F3497" s="336">
        <v>43694</v>
      </c>
      <c r="G3497" s="336">
        <v>43709</v>
      </c>
      <c r="H3497" s="334" t="s">
        <v>8731</v>
      </c>
      <c r="I3497" s="356">
        <v>18616916828</v>
      </c>
      <c r="J3497" s="361" t="s">
        <v>8732</v>
      </c>
      <c r="K3497" s="356">
        <v>1000</v>
      </c>
      <c r="L3497" s="334">
        <f>12677-736</f>
        <v>11941</v>
      </c>
      <c r="M3497" s="334">
        <f>-1590+736</f>
        <v>-854</v>
      </c>
      <c r="N3497" s="362">
        <f t="shared" si="122"/>
        <v>11087</v>
      </c>
      <c r="O3497" s="356"/>
      <c r="P3497" s="356"/>
      <c r="Q3497" s="356"/>
      <c r="R3497" s="356"/>
      <c r="S3497" s="356"/>
      <c r="T3497" s="356"/>
      <c r="U3497" s="372"/>
      <c r="V3497" s="372"/>
      <c r="W3497" s="372"/>
      <c r="X3497" s="373"/>
      <c r="Y3497" s="348"/>
      <c r="Z3497" s="348"/>
      <c r="AA3497" s="348"/>
    </row>
    <row r="3498" s="331" customFormat="1" ht="17" customHeight="1" spans="1:27">
      <c r="A3498" s="550" t="s">
        <v>8733</v>
      </c>
      <c r="B3498" s="348" t="s">
        <v>31</v>
      </c>
      <c r="C3498" s="334" t="s">
        <v>3186</v>
      </c>
      <c r="D3498" s="352" t="s">
        <v>221</v>
      </c>
      <c r="E3498" s="336">
        <v>43695</v>
      </c>
      <c r="F3498" s="336">
        <v>43694</v>
      </c>
      <c r="G3498" s="442"/>
      <c r="H3498" s="334" t="s">
        <v>8734</v>
      </c>
      <c r="I3498" s="356">
        <v>13262961817</v>
      </c>
      <c r="J3498" s="361" t="s">
        <v>8735</v>
      </c>
      <c r="K3498" s="356">
        <v>1000</v>
      </c>
      <c r="L3498" s="419"/>
      <c r="M3498" s="419"/>
      <c r="N3498" s="362">
        <f t="shared" si="122"/>
        <v>0</v>
      </c>
      <c r="O3498" s="366" t="s">
        <v>52</v>
      </c>
      <c r="P3498" s="356"/>
      <c r="Q3498" s="356"/>
      <c r="R3498" s="356"/>
      <c r="S3498" s="356"/>
      <c r="T3498" s="356"/>
      <c r="U3498" s="336" t="s">
        <v>40</v>
      </c>
      <c r="V3498" s="372"/>
      <c r="W3498" s="372"/>
      <c r="X3498" s="373"/>
      <c r="Y3498" s="348"/>
      <c r="Z3498" s="348"/>
      <c r="AA3498" s="348"/>
    </row>
    <row r="3499" s="331" customFormat="1" ht="17" customHeight="1" spans="1:27">
      <c r="A3499" s="550" t="s">
        <v>1021</v>
      </c>
      <c r="B3499" s="348" t="s">
        <v>31</v>
      </c>
      <c r="C3499" s="334" t="s">
        <v>3186</v>
      </c>
      <c r="D3499" s="352" t="s">
        <v>221</v>
      </c>
      <c r="E3499" s="336">
        <v>43708</v>
      </c>
      <c r="F3499" s="336">
        <v>43694</v>
      </c>
      <c r="G3499" s="336">
        <v>43708</v>
      </c>
      <c r="H3499" s="334" t="s">
        <v>8736</v>
      </c>
      <c r="I3499" s="356">
        <v>13795275689</v>
      </c>
      <c r="J3499" s="361" t="s">
        <v>8737</v>
      </c>
      <c r="K3499" s="356">
        <v>1000</v>
      </c>
      <c r="L3499" s="334">
        <v>12000</v>
      </c>
      <c r="M3499" s="419"/>
      <c r="N3499" s="362">
        <f t="shared" si="122"/>
        <v>12000</v>
      </c>
      <c r="O3499" s="356"/>
      <c r="P3499" s="366" t="s">
        <v>52</v>
      </c>
      <c r="Q3499" s="356"/>
      <c r="R3499" s="356"/>
      <c r="S3499" s="356"/>
      <c r="T3499" s="356"/>
      <c r="U3499" s="372"/>
      <c r="V3499" s="372"/>
      <c r="W3499" s="372"/>
      <c r="X3499" s="373"/>
      <c r="Y3499" s="348"/>
      <c r="Z3499" s="348"/>
      <c r="AA3499" s="348"/>
    </row>
    <row r="3500" s="331" customFormat="1" ht="17" customHeight="1" spans="1:27">
      <c r="A3500" s="550" t="s">
        <v>1011</v>
      </c>
      <c r="B3500" s="348" t="s">
        <v>31</v>
      </c>
      <c r="C3500" s="334" t="s">
        <v>48</v>
      </c>
      <c r="D3500" s="352" t="s">
        <v>33</v>
      </c>
      <c r="E3500" s="336">
        <v>43730</v>
      </c>
      <c r="F3500" s="336">
        <v>43694</v>
      </c>
      <c r="G3500" s="336">
        <v>43729</v>
      </c>
      <c r="H3500" s="334" t="s">
        <v>8738</v>
      </c>
      <c r="I3500" s="356">
        <v>13918236828</v>
      </c>
      <c r="J3500" s="361" t="s">
        <v>8739</v>
      </c>
      <c r="K3500" s="356">
        <v>5000</v>
      </c>
      <c r="L3500" s="334">
        <v>21521</v>
      </c>
      <c r="M3500" s="419"/>
      <c r="N3500" s="362">
        <f t="shared" si="122"/>
        <v>21521</v>
      </c>
      <c r="O3500" s="356"/>
      <c r="P3500" s="356"/>
      <c r="Q3500" s="356"/>
      <c r="R3500" s="356"/>
      <c r="S3500" s="356"/>
      <c r="T3500" s="356"/>
      <c r="U3500" s="372"/>
      <c r="V3500" s="372"/>
      <c r="W3500" s="372"/>
      <c r="X3500" s="373"/>
      <c r="Y3500" s="348"/>
      <c r="Z3500" s="348"/>
      <c r="AA3500" s="348"/>
    </row>
    <row r="3501" s="331" customFormat="1" ht="15" customHeight="1" spans="1:27">
      <c r="A3501" s="550" t="s">
        <v>8740</v>
      </c>
      <c r="B3501" s="348" t="s">
        <v>58</v>
      </c>
      <c r="C3501" s="334" t="s">
        <v>109</v>
      </c>
      <c r="D3501" s="352" t="s">
        <v>110</v>
      </c>
      <c r="E3501" s="336">
        <v>43695</v>
      </c>
      <c r="F3501" s="336">
        <v>43695</v>
      </c>
      <c r="G3501" s="442"/>
      <c r="H3501" s="334" t="s">
        <v>8741</v>
      </c>
      <c r="I3501" s="356">
        <v>18621909791</v>
      </c>
      <c r="J3501" s="361" t="s">
        <v>8742</v>
      </c>
      <c r="K3501" s="356">
        <v>1000</v>
      </c>
      <c r="L3501" s="419"/>
      <c r="M3501" s="419"/>
      <c r="N3501" s="362">
        <f t="shared" si="122"/>
        <v>0</v>
      </c>
      <c r="O3501" s="356"/>
      <c r="P3501" s="356"/>
      <c r="Q3501" s="366" t="s">
        <v>52</v>
      </c>
      <c r="R3501" s="356"/>
      <c r="S3501" s="356"/>
      <c r="T3501" s="356"/>
      <c r="U3501" s="372"/>
      <c r="V3501" s="372"/>
      <c r="W3501" s="372"/>
      <c r="X3501" s="373"/>
      <c r="Y3501" s="348"/>
      <c r="Z3501" s="348"/>
      <c r="AA3501" s="348"/>
    </row>
    <row r="3502" s="331" customFormat="1" ht="17" customHeight="1" spans="1:27">
      <c r="A3502" s="550" t="s">
        <v>828</v>
      </c>
      <c r="B3502" s="348" t="s">
        <v>169</v>
      </c>
      <c r="C3502" s="334" t="s">
        <v>8075</v>
      </c>
      <c r="D3502" s="352" t="s">
        <v>171</v>
      </c>
      <c r="E3502" s="336">
        <v>43695</v>
      </c>
      <c r="F3502" s="336">
        <v>43694</v>
      </c>
      <c r="G3502" s="442"/>
      <c r="H3502" s="334" t="s">
        <v>8743</v>
      </c>
      <c r="I3502" s="356">
        <v>18616645999</v>
      </c>
      <c r="J3502" s="361" t="s">
        <v>8744</v>
      </c>
      <c r="K3502" s="356">
        <v>1200</v>
      </c>
      <c r="L3502" s="419"/>
      <c r="M3502" s="419"/>
      <c r="N3502" s="362">
        <f t="shared" si="122"/>
        <v>0</v>
      </c>
      <c r="O3502" s="356"/>
      <c r="P3502" s="356"/>
      <c r="Q3502" s="356" t="s">
        <v>21</v>
      </c>
      <c r="R3502" s="356"/>
      <c r="S3502" s="356"/>
      <c r="T3502" s="356"/>
      <c r="U3502" s="356" t="s">
        <v>12</v>
      </c>
      <c r="V3502" s="372"/>
      <c r="W3502" s="372"/>
      <c r="X3502" s="373"/>
      <c r="Y3502" s="348"/>
      <c r="Z3502" s="348"/>
      <c r="AA3502" s="348"/>
    </row>
    <row r="3503" s="331" customFormat="1" ht="15" customHeight="1" spans="1:27">
      <c r="A3503" s="550" t="s">
        <v>8745</v>
      </c>
      <c r="B3503" s="348" t="s">
        <v>58</v>
      </c>
      <c r="C3503" s="334" t="s">
        <v>347</v>
      </c>
      <c r="D3503" s="352" t="s">
        <v>343</v>
      </c>
      <c r="E3503" s="336">
        <v>43695</v>
      </c>
      <c r="F3503" s="336">
        <v>43694</v>
      </c>
      <c r="G3503" s="442"/>
      <c r="H3503" s="334" t="s">
        <v>8746</v>
      </c>
      <c r="I3503" s="356">
        <v>13918314991</v>
      </c>
      <c r="J3503" s="361" t="s">
        <v>8747</v>
      </c>
      <c r="K3503" s="356">
        <v>1000</v>
      </c>
      <c r="L3503" s="419"/>
      <c r="M3503" s="419"/>
      <c r="N3503" s="362">
        <f t="shared" si="122"/>
        <v>0</v>
      </c>
      <c r="O3503" s="356"/>
      <c r="P3503" s="356"/>
      <c r="Q3503" s="366" t="s">
        <v>52</v>
      </c>
      <c r="R3503" s="356"/>
      <c r="S3503" s="356"/>
      <c r="T3503" s="356"/>
      <c r="U3503" s="372"/>
      <c r="V3503" s="372"/>
      <c r="W3503" s="372"/>
      <c r="X3503" s="373"/>
      <c r="Y3503" s="348"/>
      <c r="Z3503" s="348"/>
      <c r="AA3503" s="348"/>
    </row>
    <row r="3504" s="331" customFormat="1" ht="17" customHeight="1" spans="1:27">
      <c r="A3504" s="550" t="s">
        <v>8748</v>
      </c>
      <c r="B3504" s="348" t="s">
        <v>58</v>
      </c>
      <c r="C3504" s="334" t="s">
        <v>347</v>
      </c>
      <c r="D3504" s="349" t="s">
        <v>271</v>
      </c>
      <c r="E3504" s="336">
        <v>43696</v>
      </c>
      <c r="F3504" s="336">
        <v>43694</v>
      </c>
      <c r="G3504" s="336">
        <v>43695</v>
      </c>
      <c r="H3504" s="334" t="s">
        <v>3368</v>
      </c>
      <c r="I3504" s="356">
        <v>13391025199</v>
      </c>
      <c r="J3504" s="361" t="s">
        <v>8749</v>
      </c>
      <c r="K3504" s="356">
        <v>10000</v>
      </c>
      <c r="L3504" s="334">
        <v>11045</v>
      </c>
      <c r="M3504" s="419"/>
      <c r="N3504" s="362">
        <f t="shared" si="122"/>
        <v>11045</v>
      </c>
      <c r="O3504" s="366" t="s">
        <v>52</v>
      </c>
      <c r="P3504" s="356"/>
      <c r="Q3504" s="356"/>
      <c r="R3504" s="356"/>
      <c r="S3504" s="356"/>
      <c r="T3504" s="356"/>
      <c r="U3504" s="372"/>
      <c r="V3504" s="372">
        <v>8.15</v>
      </c>
      <c r="W3504" s="372"/>
      <c r="X3504" s="373"/>
      <c r="Y3504" s="348"/>
      <c r="Z3504" s="348"/>
      <c r="AA3504" s="348"/>
    </row>
    <row r="3505" s="331" customFormat="1" ht="17" customHeight="1" spans="1:27">
      <c r="A3505" s="348"/>
      <c r="B3505" s="348" t="s">
        <v>35</v>
      </c>
      <c r="C3505" s="334" t="s">
        <v>328</v>
      </c>
      <c r="D3505" s="352" t="s">
        <v>37</v>
      </c>
      <c r="E3505" s="336">
        <v>43794</v>
      </c>
      <c r="F3505" s="336">
        <v>43694</v>
      </c>
      <c r="G3505" s="336">
        <v>43792</v>
      </c>
      <c r="H3505" s="334" t="s">
        <v>8750</v>
      </c>
      <c r="I3505" s="356">
        <v>17521076732</v>
      </c>
      <c r="J3505" s="361" t="s">
        <v>8751</v>
      </c>
      <c r="K3505" s="356">
        <v>3000</v>
      </c>
      <c r="L3505" s="334">
        <v>16553</v>
      </c>
      <c r="M3505" s="419"/>
      <c r="N3505" s="362">
        <f t="shared" ref="N3505:N3536" si="123">L3505+M3505</f>
        <v>16553</v>
      </c>
      <c r="O3505" s="356"/>
      <c r="P3505" s="356"/>
      <c r="Q3505" s="356"/>
      <c r="R3505" s="356" t="s">
        <v>52</v>
      </c>
      <c r="S3505" s="356"/>
      <c r="T3505" s="356"/>
      <c r="U3505" s="372"/>
      <c r="V3505" s="372"/>
      <c r="W3505" s="372"/>
      <c r="X3505" s="373"/>
      <c r="Y3505" s="348"/>
      <c r="Z3505" s="348"/>
      <c r="AA3505" s="348"/>
    </row>
    <row r="3506" s="331" customFormat="1" ht="17" customHeight="1" spans="1:27">
      <c r="A3506" s="348"/>
      <c r="B3506" s="348" t="s">
        <v>31</v>
      </c>
      <c r="C3506" s="334" t="s">
        <v>251</v>
      </c>
      <c r="D3506" s="352" t="s">
        <v>33</v>
      </c>
      <c r="E3506" s="336">
        <v>43695</v>
      </c>
      <c r="F3506" s="336">
        <v>43694</v>
      </c>
      <c r="G3506" s="442"/>
      <c r="H3506" s="334" t="s">
        <v>8752</v>
      </c>
      <c r="I3506" s="356">
        <v>15601725691</v>
      </c>
      <c r="J3506" s="361" t="s">
        <v>8753</v>
      </c>
      <c r="K3506" s="356">
        <v>1000</v>
      </c>
      <c r="L3506" s="419"/>
      <c r="M3506" s="419"/>
      <c r="N3506" s="362">
        <f t="shared" si="123"/>
        <v>0</v>
      </c>
      <c r="O3506" s="356"/>
      <c r="P3506" s="356"/>
      <c r="Q3506" s="356"/>
      <c r="R3506" s="366" t="s">
        <v>52</v>
      </c>
      <c r="S3506" s="356"/>
      <c r="T3506" s="356"/>
      <c r="U3506" s="372"/>
      <c r="V3506" s="372"/>
      <c r="W3506" s="372"/>
      <c r="X3506" s="373"/>
      <c r="Y3506" s="348"/>
      <c r="Z3506" s="348"/>
      <c r="AA3506" s="348"/>
    </row>
    <row r="3507" s="331" customFormat="1" ht="17" customHeight="1" spans="1:27">
      <c r="A3507" s="348"/>
      <c r="B3507" s="348" t="s">
        <v>31</v>
      </c>
      <c r="C3507" s="334" t="s">
        <v>251</v>
      </c>
      <c r="D3507" s="352" t="s">
        <v>33</v>
      </c>
      <c r="E3507" s="336">
        <v>43695</v>
      </c>
      <c r="F3507" s="336">
        <v>43694</v>
      </c>
      <c r="G3507" s="442"/>
      <c r="H3507" s="334" t="s">
        <v>8752</v>
      </c>
      <c r="I3507" s="356">
        <v>15601725691</v>
      </c>
      <c r="J3507" s="361" t="s">
        <v>8754</v>
      </c>
      <c r="K3507" s="356">
        <v>1000</v>
      </c>
      <c r="L3507" s="419"/>
      <c r="M3507" s="419"/>
      <c r="N3507" s="362">
        <f t="shared" si="123"/>
        <v>0</v>
      </c>
      <c r="O3507" s="356"/>
      <c r="P3507" s="356"/>
      <c r="Q3507" s="366" t="s">
        <v>52</v>
      </c>
      <c r="R3507" s="356"/>
      <c r="S3507" s="356"/>
      <c r="T3507" s="356"/>
      <c r="U3507" s="372"/>
      <c r="V3507" s="372"/>
      <c r="W3507" s="372"/>
      <c r="X3507" s="373"/>
      <c r="Y3507" s="348"/>
      <c r="Z3507" s="348"/>
      <c r="AA3507" s="348"/>
    </row>
    <row r="3508" s="331" customFormat="1" ht="15" customHeight="1" spans="1:27">
      <c r="A3508" s="550" t="s">
        <v>8755</v>
      </c>
      <c r="B3508" s="348" t="s">
        <v>58</v>
      </c>
      <c r="C3508" s="334" t="s">
        <v>59</v>
      </c>
      <c r="D3508" s="349" t="s">
        <v>271</v>
      </c>
      <c r="E3508" s="336">
        <v>43695</v>
      </c>
      <c r="F3508" s="336">
        <v>43694</v>
      </c>
      <c r="G3508" s="442"/>
      <c r="H3508" s="334" t="s">
        <v>8756</v>
      </c>
      <c r="I3508" s="356">
        <v>17765183213</v>
      </c>
      <c r="J3508" s="361" t="s">
        <v>8757</v>
      </c>
      <c r="K3508" s="356">
        <v>2098</v>
      </c>
      <c r="L3508" s="419"/>
      <c r="M3508" s="419"/>
      <c r="N3508" s="362">
        <f t="shared" si="123"/>
        <v>0</v>
      </c>
      <c r="O3508" s="366" t="s">
        <v>52</v>
      </c>
      <c r="P3508" s="356"/>
      <c r="Q3508" s="356"/>
      <c r="R3508" s="356"/>
      <c r="S3508" s="356"/>
      <c r="T3508" s="356"/>
      <c r="U3508" s="413">
        <v>43769</v>
      </c>
      <c r="V3508" s="372"/>
      <c r="W3508" s="372"/>
      <c r="X3508" s="373"/>
      <c r="Y3508" s="348"/>
      <c r="Z3508" s="348"/>
      <c r="AA3508" s="348"/>
    </row>
    <row r="3509" s="331" customFormat="1" ht="17" customHeight="1" spans="1:27">
      <c r="A3509" s="348">
        <v>2067646</v>
      </c>
      <c r="B3509" s="348" t="s">
        <v>5435</v>
      </c>
      <c r="C3509" s="334" t="s">
        <v>1728</v>
      </c>
      <c r="D3509" s="349" t="s">
        <v>149</v>
      </c>
      <c r="E3509" s="336">
        <v>43701</v>
      </c>
      <c r="F3509" s="336">
        <v>43694</v>
      </c>
      <c r="G3509" s="336">
        <v>43701</v>
      </c>
      <c r="H3509" s="334" t="s">
        <v>4555</v>
      </c>
      <c r="I3509" s="356">
        <v>13661928383</v>
      </c>
      <c r="J3509" s="361" t="s">
        <v>4556</v>
      </c>
      <c r="K3509" s="356">
        <v>2427</v>
      </c>
      <c r="L3509" s="334">
        <v>2427</v>
      </c>
      <c r="M3509" s="419"/>
      <c r="N3509" s="362">
        <f t="shared" si="123"/>
        <v>2427</v>
      </c>
      <c r="O3509" s="356"/>
      <c r="P3509" s="356"/>
      <c r="Q3509" s="356"/>
      <c r="R3509" s="356"/>
      <c r="S3509" s="356"/>
      <c r="T3509" s="356"/>
      <c r="U3509" s="372"/>
      <c r="V3509" s="372"/>
      <c r="W3509" s="372"/>
      <c r="X3509" s="373"/>
      <c r="Y3509" s="348"/>
      <c r="Z3509" s="348"/>
      <c r="AA3509" s="348"/>
    </row>
    <row r="3510" s="331" customFormat="1" ht="17" customHeight="1" spans="1:27">
      <c r="A3510" s="550" t="s">
        <v>8758</v>
      </c>
      <c r="B3510" s="348" t="s">
        <v>31</v>
      </c>
      <c r="C3510" s="334" t="s">
        <v>2716</v>
      </c>
      <c r="D3510" s="334" t="s">
        <v>221</v>
      </c>
      <c r="E3510" s="336">
        <v>43708</v>
      </c>
      <c r="F3510" s="336">
        <v>43694</v>
      </c>
      <c r="G3510" s="336">
        <v>43708</v>
      </c>
      <c r="H3510" s="334" t="s">
        <v>8759</v>
      </c>
      <c r="I3510" s="356">
        <v>13817903778</v>
      </c>
      <c r="J3510" s="361" t="s">
        <v>8760</v>
      </c>
      <c r="K3510" s="356">
        <v>11640</v>
      </c>
      <c r="L3510" s="334">
        <v>11640</v>
      </c>
      <c r="M3510" s="419"/>
      <c r="N3510" s="362">
        <f t="shared" si="123"/>
        <v>11640</v>
      </c>
      <c r="O3510" s="356"/>
      <c r="P3510" s="356"/>
      <c r="Q3510" s="356"/>
      <c r="R3510" s="366" t="s">
        <v>52</v>
      </c>
      <c r="S3510" s="356"/>
      <c r="T3510" s="356"/>
      <c r="U3510" s="372"/>
      <c r="V3510" s="372"/>
      <c r="W3510" s="372"/>
      <c r="X3510" s="373"/>
      <c r="Y3510" s="348"/>
      <c r="Z3510" s="348"/>
      <c r="AA3510" s="348"/>
    </row>
    <row r="3511" s="331" customFormat="1" ht="17" customHeight="1" spans="1:27">
      <c r="A3511" s="550" t="s">
        <v>8761</v>
      </c>
      <c r="B3511" s="348" t="s">
        <v>354</v>
      </c>
      <c r="C3511" s="334" t="s">
        <v>355</v>
      </c>
      <c r="D3511" s="352" t="s">
        <v>149</v>
      </c>
      <c r="E3511" s="336">
        <v>43697</v>
      </c>
      <c r="F3511" s="336">
        <v>43693</v>
      </c>
      <c r="G3511" s="336">
        <v>43697</v>
      </c>
      <c r="H3511" s="334" t="s">
        <v>8762</v>
      </c>
      <c r="I3511" s="356">
        <v>18616358825</v>
      </c>
      <c r="J3511" s="361" t="s">
        <v>8763</v>
      </c>
      <c r="K3511" s="356">
        <v>4420</v>
      </c>
      <c r="L3511" s="334">
        <f>4020-536</f>
        <v>3484</v>
      </c>
      <c r="M3511" s="334">
        <v>536</v>
      </c>
      <c r="N3511" s="362">
        <f t="shared" si="123"/>
        <v>4020</v>
      </c>
      <c r="O3511" s="356"/>
      <c r="P3511" s="356"/>
      <c r="Q3511" s="356"/>
      <c r="R3511" s="356"/>
      <c r="S3511" s="356"/>
      <c r="T3511" s="356"/>
      <c r="U3511" s="372"/>
      <c r="V3511" s="372"/>
      <c r="W3511" s="372"/>
      <c r="X3511" s="373"/>
      <c r="Y3511" s="348"/>
      <c r="Z3511" s="348"/>
      <c r="AA3511" s="348"/>
    </row>
    <row r="3512" s="331" customFormat="1" ht="17" customHeight="1" spans="1:27">
      <c r="A3512" s="348"/>
      <c r="B3512" s="348" t="s">
        <v>31</v>
      </c>
      <c r="C3512" s="334" t="s">
        <v>2716</v>
      </c>
      <c r="D3512" s="334" t="s">
        <v>954</v>
      </c>
      <c r="E3512" s="336">
        <v>43731</v>
      </c>
      <c r="F3512" s="336">
        <v>43694</v>
      </c>
      <c r="G3512" s="336">
        <v>43729</v>
      </c>
      <c r="H3512" s="334" t="s">
        <v>8764</v>
      </c>
      <c r="I3512" s="356">
        <v>13901811361</v>
      </c>
      <c r="J3512" s="361" t="s">
        <v>8765</v>
      </c>
      <c r="K3512" s="356">
        <v>1000</v>
      </c>
      <c r="L3512" s="334">
        <v>13243</v>
      </c>
      <c r="M3512" s="419"/>
      <c r="N3512" s="362">
        <f t="shared" si="123"/>
        <v>13243</v>
      </c>
      <c r="O3512" s="356"/>
      <c r="P3512" s="356"/>
      <c r="Q3512" s="366" t="s">
        <v>52</v>
      </c>
      <c r="R3512" s="356"/>
      <c r="S3512" s="356"/>
      <c r="T3512" s="356"/>
      <c r="U3512" s="372"/>
      <c r="V3512" s="372"/>
      <c r="W3512" s="372"/>
      <c r="X3512" s="373"/>
      <c r="Y3512" s="348"/>
      <c r="Z3512" s="348"/>
      <c r="AA3512" s="348"/>
    </row>
    <row r="3513" s="331" customFormat="1" ht="17" customHeight="1" spans="1:27">
      <c r="A3513" s="550" t="s">
        <v>8766</v>
      </c>
      <c r="B3513" s="348" t="s">
        <v>31</v>
      </c>
      <c r="C3513" s="334" t="s">
        <v>2716</v>
      </c>
      <c r="D3513" s="334" t="s">
        <v>954</v>
      </c>
      <c r="E3513" s="336">
        <v>43769</v>
      </c>
      <c r="F3513" s="336">
        <v>43694</v>
      </c>
      <c r="G3513" s="336">
        <v>43769</v>
      </c>
      <c r="H3513" s="334" t="s">
        <v>8767</v>
      </c>
      <c r="I3513" s="356">
        <v>13816096272</v>
      </c>
      <c r="J3513" s="361" t="s">
        <v>8768</v>
      </c>
      <c r="K3513" s="356">
        <v>10000</v>
      </c>
      <c r="L3513" s="334">
        <v>10000</v>
      </c>
      <c r="M3513" s="419"/>
      <c r="N3513" s="362">
        <f t="shared" si="123"/>
        <v>10000</v>
      </c>
      <c r="O3513" s="366" t="s">
        <v>52</v>
      </c>
      <c r="P3513" s="356"/>
      <c r="Q3513" s="356"/>
      <c r="R3513" s="356"/>
      <c r="S3513" s="356"/>
      <c r="T3513" s="356"/>
      <c r="U3513" s="372"/>
      <c r="V3513" s="372"/>
      <c r="W3513" s="372"/>
      <c r="X3513" s="373"/>
      <c r="Y3513" s="348"/>
      <c r="Z3513" s="348"/>
      <c r="AA3513" s="348"/>
    </row>
    <row r="3514" s="331" customFormat="1" ht="17" customHeight="1" spans="1:27">
      <c r="A3514" s="550" t="s">
        <v>8769</v>
      </c>
      <c r="B3514" s="348" t="s">
        <v>31</v>
      </c>
      <c r="C3514" s="334" t="s">
        <v>2716</v>
      </c>
      <c r="D3514" s="352" t="s">
        <v>33</v>
      </c>
      <c r="E3514" s="336">
        <v>43695</v>
      </c>
      <c r="F3514" s="336">
        <v>43694</v>
      </c>
      <c r="G3514" s="442"/>
      <c r="H3514" s="334" t="s">
        <v>8770</v>
      </c>
      <c r="I3514" s="356">
        <v>18001979096</v>
      </c>
      <c r="J3514" s="361" t="s">
        <v>8771</v>
      </c>
      <c r="K3514" s="356">
        <v>1000</v>
      </c>
      <c r="L3514" s="419"/>
      <c r="M3514" s="419"/>
      <c r="N3514" s="362">
        <f t="shared" si="123"/>
        <v>0</v>
      </c>
      <c r="O3514" s="356"/>
      <c r="P3514" s="366" t="s">
        <v>52</v>
      </c>
      <c r="Q3514" s="356"/>
      <c r="R3514" s="356"/>
      <c r="S3514" s="356"/>
      <c r="T3514" s="356"/>
      <c r="U3514" s="372"/>
      <c r="V3514" s="372"/>
      <c r="W3514" s="372"/>
      <c r="X3514" s="373"/>
      <c r="Y3514" s="348"/>
      <c r="Z3514" s="348"/>
      <c r="AA3514" s="348"/>
    </row>
    <row r="3515" s="331" customFormat="1" ht="17" customHeight="1" spans="1:27">
      <c r="A3515" s="550" t="s">
        <v>8772</v>
      </c>
      <c r="B3515" s="348" t="s">
        <v>2625</v>
      </c>
      <c r="C3515" s="334" t="s">
        <v>2626</v>
      </c>
      <c r="D3515" s="349" t="s">
        <v>44</v>
      </c>
      <c r="E3515" s="336">
        <v>43697</v>
      </c>
      <c r="F3515" s="336">
        <v>43695</v>
      </c>
      <c r="G3515" s="336">
        <v>43696</v>
      </c>
      <c r="H3515" s="334" t="s">
        <v>8773</v>
      </c>
      <c r="I3515" s="356">
        <v>15021982300</v>
      </c>
      <c r="J3515" s="361" t="s">
        <v>8774</v>
      </c>
      <c r="K3515" s="356">
        <v>1000</v>
      </c>
      <c r="L3515" s="334">
        <v>8600</v>
      </c>
      <c r="M3515" s="419"/>
      <c r="N3515" s="362">
        <f t="shared" si="123"/>
        <v>8600</v>
      </c>
      <c r="O3515" s="356"/>
      <c r="P3515" s="356"/>
      <c r="Q3515" s="356"/>
      <c r="R3515" s="356"/>
      <c r="S3515" s="356"/>
      <c r="T3515" s="356"/>
      <c r="U3515" s="372"/>
      <c r="V3515" s="372"/>
      <c r="W3515" s="374">
        <v>43696</v>
      </c>
      <c r="X3515" s="373"/>
      <c r="Y3515" s="348"/>
      <c r="Z3515" s="348"/>
      <c r="AA3515" s="348"/>
    </row>
    <row r="3516" s="331" customFormat="1" ht="17" customHeight="1" spans="1:27">
      <c r="A3516" s="550" t="s">
        <v>8775</v>
      </c>
      <c r="B3516" s="348" t="s">
        <v>66</v>
      </c>
      <c r="C3516" s="334" t="s">
        <v>119</v>
      </c>
      <c r="D3516" s="352" t="s">
        <v>68</v>
      </c>
      <c r="E3516" s="336">
        <v>43699</v>
      </c>
      <c r="F3516" s="336">
        <v>43695</v>
      </c>
      <c r="G3516" s="336">
        <v>43699</v>
      </c>
      <c r="H3516" s="334" t="s">
        <v>8776</v>
      </c>
      <c r="I3516" s="356">
        <v>13331819132</v>
      </c>
      <c r="J3516" s="361" t="s">
        <v>8777</v>
      </c>
      <c r="K3516" s="356">
        <v>8175</v>
      </c>
      <c r="L3516" s="334">
        <v>8175</v>
      </c>
      <c r="M3516" s="419"/>
      <c r="N3516" s="362">
        <f t="shared" si="123"/>
        <v>8175</v>
      </c>
      <c r="O3516" s="356"/>
      <c r="P3516" s="356"/>
      <c r="Q3516" s="356"/>
      <c r="R3516" s="356"/>
      <c r="S3516" s="356"/>
      <c r="T3516" s="356"/>
      <c r="U3516" s="372"/>
      <c r="V3516" s="372"/>
      <c r="W3516" s="372"/>
      <c r="X3516" s="373"/>
      <c r="Y3516" s="348"/>
      <c r="Z3516" s="348"/>
      <c r="AA3516" s="348"/>
    </row>
    <row r="3517" s="331" customFormat="1" ht="17" customHeight="1" spans="1:27">
      <c r="A3517" s="550" t="s">
        <v>8778</v>
      </c>
      <c r="B3517" s="348" t="s">
        <v>2625</v>
      </c>
      <c r="C3517" s="334" t="s">
        <v>2626</v>
      </c>
      <c r="D3517" s="334" t="s">
        <v>337</v>
      </c>
      <c r="E3517" s="336">
        <v>43727</v>
      </c>
      <c r="F3517" s="336">
        <v>43695</v>
      </c>
      <c r="G3517" s="336">
        <v>43726</v>
      </c>
      <c r="H3517" s="334" t="s">
        <v>8779</v>
      </c>
      <c r="I3517" s="356">
        <v>15821025828</v>
      </c>
      <c r="J3517" s="361" t="s">
        <v>8780</v>
      </c>
      <c r="K3517" s="356">
        <v>1000</v>
      </c>
      <c r="L3517" s="334">
        <f>6000-760</f>
        <v>5240</v>
      </c>
      <c r="M3517" s="334">
        <v>760</v>
      </c>
      <c r="N3517" s="362">
        <f t="shared" si="123"/>
        <v>6000</v>
      </c>
      <c r="O3517" s="356"/>
      <c r="P3517" s="356"/>
      <c r="Q3517" s="356"/>
      <c r="R3517" s="356" t="s">
        <v>3660</v>
      </c>
      <c r="S3517" s="356"/>
      <c r="T3517" s="356"/>
      <c r="U3517" s="372"/>
      <c r="V3517" s="372"/>
      <c r="W3517" s="372"/>
      <c r="X3517" s="373"/>
      <c r="Y3517" s="348"/>
      <c r="Z3517" s="348"/>
      <c r="AA3517" s="348"/>
    </row>
    <row r="3518" s="331" customFormat="1" ht="17" customHeight="1" spans="1:27">
      <c r="A3518" s="348">
        <v>2066960</v>
      </c>
      <c r="B3518" s="348" t="s">
        <v>335</v>
      </c>
      <c r="C3518" s="334" t="s">
        <v>615</v>
      </c>
      <c r="D3518" s="352" t="s">
        <v>337</v>
      </c>
      <c r="E3518" s="336">
        <v>43729</v>
      </c>
      <c r="F3518" s="336">
        <v>43695</v>
      </c>
      <c r="G3518" s="336">
        <v>43729</v>
      </c>
      <c r="H3518" s="334" t="s">
        <v>8781</v>
      </c>
      <c r="I3518" s="356">
        <v>18221061610</v>
      </c>
      <c r="J3518" s="361" t="s">
        <v>8782</v>
      </c>
      <c r="K3518" s="356">
        <v>1000</v>
      </c>
      <c r="L3518" s="334">
        <v>4321</v>
      </c>
      <c r="M3518" s="419"/>
      <c r="N3518" s="362">
        <f t="shared" si="123"/>
        <v>4321</v>
      </c>
      <c r="O3518" s="356"/>
      <c r="P3518" s="356"/>
      <c r="Q3518" s="356"/>
      <c r="R3518" s="356" t="s">
        <v>1526</v>
      </c>
      <c r="S3518" s="356"/>
      <c r="T3518" s="356"/>
      <c r="U3518" s="372"/>
      <c r="V3518" s="372"/>
      <c r="W3518" s="372"/>
      <c r="X3518" s="373"/>
      <c r="Y3518" s="348"/>
      <c r="Z3518" s="348"/>
      <c r="AA3518" s="348"/>
    </row>
    <row r="3519" s="331" customFormat="1" ht="17" customHeight="1" spans="1:27">
      <c r="A3519" s="550" t="s">
        <v>8783</v>
      </c>
      <c r="B3519" s="348" t="s">
        <v>87</v>
      </c>
      <c r="C3519" s="334" t="s">
        <v>466</v>
      </c>
      <c r="D3519" s="352" t="s">
        <v>89</v>
      </c>
      <c r="E3519" s="336">
        <v>43696</v>
      </c>
      <c r="F3519" s="336">
        <v>43694</v>
      </c>
      <c r="G3519" s="336">
        <v>43696</v>
      </c>
      <c r="H3519" s="334" t="s">
        <v>8784</v>
      </c>
      <c r="I3519" s="356">
        <v>15618388973</v>
      </c>
      <c r="J3519" s="361" t="s">
        <v>8785</v>
      </c>
      <c r="K3519" s="356">
        <v>3500</v>
      </c>
      <c r="L3519" s="334">
        <v>11342</v>
      </c>
      <c r="M3519" s="419"/>
      <c r="N3519" s="362">
        <f t="shared" si="123"/>
        <v>11342</v>
      </c>
      <c r="O3519" s="356"/>
      <c r="P3519" s="356"/>
      <c r="Q3519" s="356"/>
      <c r="R3519" s="356"/>
      <c r="S3519" s="356"/>
      <c r="T3519" s="356"/>
      <c r="U3519" s="372"/>
      <c r="V3519" s="372"/>
      <c r="W3519" s="372"/>
      <c r="X3519" s="373"/>
      <c r="Y3519" s="348"/>
      <c r="Z3519" s="348"/>
      <c r="AA3519" s="348"/>
    </row>
    <row r="3520" s="331" customFormat="1" ht="17" customHeight="1" spans="1:27">
      <c r="A3520" s="550" t="s">
        <v>8786</v>
      </c>
      <c r="B3520" s="348" t="s">
        <v>87</v>
      </c>
      <c r="C3520" s="334" t="s">
        <v>466</v>
      </c>
      <c r="D3520" s="352" t="s">
        <v>89</v>
      </c>
      <c r="E3520" s="336">
        <v>43696</v>
      </c>
      <c r="F3520" s="336">
        <v>43694</v>
      </c>
      <c r="G3520" s="336">
        <v>43694</v>
      </c>
      <c r="H3520" s="334" t="s">
        <v>8787</v>
      </c>
      <c r="I3520" s="356">
        <v>13916605540</v>
      </c>
      <c r="J3520" s="361" t="s">
        <v>8788</v>
      </c>
      <c r="K3520" s="356">
        <v>3500</v>
      </c>
      <c r="L3520" s="334">
        <v>36708</v>
      </c>
      <c r="M3520" s="419"/>
      <c r="N3520" s="362">
        <f t="shared" si="123"/>
        <v>36708</v>
      </c>
      <c r="O3520" s="356"/>
      <c r="P3520" s="356"/>
      <c r="Q3520" s="356"/>
      <c r="R3520" s="356"/>
      <c r="S3520" s="356"/>
      <c r="T3520" s="356"/>
      <c r="U3520" s="372"/>
      <c r="V3520" s="372"/>
      <c r="W3520" s="372"/>
      <c r="X3520" s="373"/>
      <c r="Y3520" s="348"/>
      <c r="Z3520" s="348"/>
      <c r="AA3520" s="348"/>
    </row>
    <row r="3521" s="331" customFormat="1" ht="17" customHeight="1" spans="1:27">
      <c r="A3521" s="550" t="s">
        <v>8789</v>
      </c>
      <c r="B3521" s="348" t="s">
        <v>66</v>
      </c>
      <c r="C3521" s="334" t="s">
        <v>1749</v>
      </c>
      <c r="D3521" s="334" t="s">
        <v>1436</v>
      </c>
      <c r="E3521" s="336">
        <v>43745</v>
      </c>
      <c r="F3521" s="336">
        <v>43695</v>
      </c>
      <c r="G3521" s="336">
        <v>43745</v>
      </c>
      <c r="H3521" s="334" t="s">
        <v>8790</v>
      </c>
      <c r="I3521" s="356">
        <v>13681896198</v>
      </c>
      <c r="J3521" s="361" t="s">
        <v>8791</v>
      </c>
      <c r="K3521" s="356">
        <v>1000</v>
      </c>
      <c r="L3521" s="334">
        <v>10000</v>
      </c>
      <c r="M3521" s="419"/>
      <c r="N3521" s="362">
        <f t="shared" si="123"/>
        <v>10000</v>
      </c>
      <c r="O3521" s="356"/>
      <c r="P3521" s="356"/>
      <c r="Q3521" s="356"/>
      <c r="R3521" s="356"/>
      <c r="S3521" s="366" t="s">
        <v>52</v>
      </c>
      <c r="T3521" s="356"/>
      <c r="U3521" s="372"/>
      <c r="V3521" s="372"/>
      <c r="W3521" s="372"/>
      <c r="X3521" s="373"/>
      <c r="Y3521" s="348"/>
      <c r="Z3521" s="348"/>
      <c r="AA3521" s="348"/>
    </row>
    <row r="3522" s="331" customFormat="1" ht="17" customHeight="1" spans="1:27">
      <c r="A3522" s="550" t="s">
        <v>8792</v>
      </c>
      <c r="B3522" s="348" t="s">
        <v>123</v>
      </c>
      <c r="C3522" s="334" t="s">
        <v>902</v>
      </c>
      <c r="D3522" s="352" t="s">
        <v>125</v>
      </c>
      <c r="E3522" s="336">
        <v>43704</v>
      </c>
      <c r="F3522" s="336">
        <v>43695</v>
      </c>
      <c r="G3522" s="336">
        <v>43703</v>
      </c>
      <c r="H3522" s="334" t="s">
        <v>8793</v>
      </c>
      <c r="I3522" s="356">
        <v>15001997730</v>
      </c>
      <c r="J3522" s="361" t="s">
        <v>8794</v>
      </c>
      <c r="K3522" s="356">
        <v>6000</v>
      </c>
      <c r="L3522" s="334">
        <f>7147-536</f>
        <v>6611</v>
      </c>
      <c r="M3522" s="334">
        <v>536</v>
      </c>
      <c r="N3522" s="362">
        <f t="shared" si="123"/>
        <v>7147</v>
      </c>
      <c r="O3522" s="356"/>
      <c r="P3522" s="366"/>
      <c r="Q3522" s="356"/>
      <c r="R3522" s="356"/>
      <c r="S3522" s="366" t="s">
        <v>52</v>
      </c>
      <c r="T3522" s="356"/>
      <c r="U3522" s="372"/>
      <c r="V3522" s="372"/>
      <c r="W3522" s="372"/>
      <c r="X3522" s="373"/>
      <c r="Y3522" s="348"/>
      <c r="Z3522" s="348"/>
      <c r="AA3522" s="348"/>
    </row>
    <row r="3523" s="331" customFormat="1" ht="17" customHeight="1" spans="1:27">
      <c r="A3523" s="550" t="s">
        <v>8795</v>
      </c>
      <c r="B3523" s="348" t="s">
        <v>31</v>
      </c>
      <c r="C3523" s="334" t="s">
        <v>220</v>
      </c>
      <c r="D3523" s="352" t="s">
        <v>221</v>
      </c>
      <c r="E3523" s="336">
        <v>43729</v>
      </c>
      <c r="F3523" s="336">
        <v>43695</v>
      </c>
      <c r="G3523" s="336">
        <v>43729</v>
      </c>
      <c r="H3523" s="334" t="s">
        <v>8796</v>
      </c>
      <c r="I3523" s="356">
        <v>13564240567</v>
      </c>
      <c r="J3523" s="361" t="s">
        <v>8797</v>
      </c>
      <c r="K3523" s="356">
        <v>10000</v>
      </c>
      <c r="L3523" s="334">
        <v>18462</v>
      </c>
      <c r="M3523" s="419"/>
      <c r="N3523" s="362">
        <f t="shared" si="123"/>
        <v>18462</v>
      </c>
      <c r="O3523" s="356"/>
      <c r="P3523" s="356"/>
      <c r="Q3523" s="366" t="s">
        <v>52</v>
      </c>
      <c r="R3523" s="356"/>
      <c r="S3523" s="356"/>
      <c r="T3523" s="356"/>
      <c r="U3523" s="372"/>
      <c r="V3523" s="372"/>
      <c r="W3523" s="372"/>
      <c r="X3523" s="373"/>
      <c r="Y3523" s="348"/>
      <c r="Z3523" s="348"/>
      <c r="AA3523" s="348"/>
    </row>
    <row r="3524" s="331" customFormat="1" ht="17" customHeight="1" spans="1:27">
      <c r="A3524" s="348"/>
      <c r="B3524" s="348" t="s">
        <v>726</v>
      </c>
      <c r="C3524" s="334" t="s">
        <v>727</v>
      </c>
      <c r="D3524" s="334" t="s">
        <v>271</v>
      </c>
      <c r="E3524" s="336">
        <v>43738</v>
      </c>
      <c r="F3524" s="336">
        <v>43695</v>
      </c>
      <c r="G3524" s="336">
        <v>43736</v>
      </c>
      <c r="H3524" s="334" t="s">
        <v>8798</v>
      </c>
      <c r="I3524" s="356">
        <v>18602103399</v>
      </c>
      <c r="J3524" s="361" t="s">
        <v>8799</v>
      </c>
      <c r="K3524" s="356">
        <v>9500</v>
      </c>
      <c r="L3524" s="334">
        <v>9241</v>
      </c>
      <c r="M3524" s="419"/>
      <c r="N3524" s="362">
        <f t="shared" si="123"/>
        <v>9241</v>
      </c>
      <c r="O3524" s="356"/>
      <c r="P3524" s="356" t="s">
        <v>1526</v>
      </c>
      <c r="Q3524" s="356"/>
      <c r="R3524" s="356"/>
      <c r="S3524" s="356"/>
      <c r="T3524" s="356"/>
      <c r="U3524" s="372"/>
      <c r="V3524" s="372"/>
      <c r="W3524" s="372"/>
      <c r="X3524" s="373"/>
      <c r="Y3524" s="348"/>
      <c r="Z3524" s="348"/>
      <c r="AA3524" s="348"/>
    </row>
    <row r="3525" s="331" customFormat="1" ht="17" customHeight="1" spans="1:27">
      <c r="A3525" s="348"/>
      <c r="B3525" s="348" t="s">
        <v>2625</v>
      </c>
      <c r="C3525" s="334" t="s">
        <v>2626</v>
      </c>
      <c r="D3525" s="372" t="s">
        <v>44</v>
      </c>
      <c r="E3525" s="336">
        <v>43695</v>
      </c>
      <c r="F3525" s="336">
        <v>43695</v>
      </c>
      <c r="G3525" s="336">
        <v>43736</v>
      </c>
      <c r="H3525" s="334" t="s">
        <v>8800</v>
      </c>
      <c r="I3525" s="356">
        <v>18918271583</v>
      </c>
      <c r="J3525" s="361" t="s">
        <v>8801</v>
      </c>
      <c r="K3525" s="356">
        <v>1000</v>
      </c>
      <c r="L3525" s="419"/>
      <c r="M3525" s="419"/>
      <c r="N3525" s="362">
        <f t="shared" si="123"/>
        <v>0</v>
      </c>
      <c r="O3525" s="356"/>
      <c r="P3525" s="356" t="s">
        <v>3660</v>
      </c>
      <c r="Q3525" s="356"/>
      <c r="R3525" s="356"/>
      <c r="S3525" s="356"/>
      <c r="T3525" s="356"/>
      <c r="U3525" s="372"/>
      <c r="V3525" s="372"/>
      <c r="W3525" s="372"/>
      <c r="X3525" s="373"/>
      <c r="Y3525" s="348"/>
      <c r="Z3525" s="348"/>
      <c r="AA3525" s="348"/>
    </row>
    <row r="3526" s="331" customFormat="1" ht="17" customHeight="1" spans="1:27">
      <c r="A3526" s="348"/>
      <c r="B3526" s="348" t="s">
        <v>153</v>
      </c>
      <c r="C3526" s="334" t="s">
        <v>154</v>
      </c>
      <c r="D3526" s="352" t="s">
        <v>155</v>
      </c>
      <c r="E3526" s="336">
        <v>43697</v>
      </c>
      <c r="F3526" s="336">
        <v>43695</v>
      </c>
      <c r="G3526" s="336">
        <v>43697</v>
      </c>
      <c r="H3526" s="334" t="s">
        <v>8802</v>
      </c>
      <c r="I3526" s="356">
        <v>18964790913</v>
      </c>
      <c r="J3526" s="361" t="s">
        <v>8803</v>
      </c>
      <c r="K3526" s="356">
        <v>1000</v>
      </c>
      <c r="L3526" s="334">
        <f>6791-536</f>
        <v>6255</v>
      </c>
      <c r="M3526" s="334">
        <v>536</v>
      </c>
      <c r="N3526" s="362">
        <f t="shared" si="123"/>
        <v>6791</v>
      </c>
      <c r="O3526" s="356"/>
      <c r="P3526" s="356"/>
      <c r="Q3526" s="356"/>
      <c r="R3526" s="356"/>
      <c r="S3526" s="356"/>
      <c r="T3526" s="356"/>
      <c r="U3526" s="372"/>
      <c r="V3526" s="372"/>
      <c r="W3526" s="372"/>
      <c r="X3526" s="373"/>
      <c r="Y3526" s="348"/>
      <c r="Z3526" s="348"/>
      <c r="AA3526" s="348"/>
    </row>
    <row r="3527" s="331" customFormat="1" ht="17" customHeight="1" spans="1:27">
      <c r="A3527" s="550" t="s">
        <v>8804</v>
      </c>
      <c r="B3527" s="348" t="s">
        <v>185</v>
      </c>
      <c r="C3527" s="334" t="s">
        <v>1620</v>
      </c>
      <c r="D3527" s="352" t="s">
        <v>44</v>
      </c>
      <c r="E3527" s="336">
        <v>43697</v>
      </c>
      <c r="F3527" s="336">
        <v>43695</v>
      </c>
      <c r="G3527" s="336">
        <v>43697</v>
      </c>
      <c r="H3527" s="334" t="s">
        <v>8805</v>
      </c>
      <c r="I3527" s="356">
        <v>13816700940</v>
      </c>
      <c r="J3527" s="361" t="s">
        <v>8806</v>
      </c>
      <c r="K3527" s="356">
        <v>2000</v>
      </c>
      <c r="L3527" s="334">
        <v>3030</v>
      </c>
      <c r="M3527" s="419"/>
      <c r="N3527" s="362">
        <f t="shared" si="123"/>
        <v>3030</v>
      </c>
      <c r="O3527" s="356"/>
      <c r="P3527" s="356"/>
      <c r="Q3527" s="356"/>
      <c r="R3527" s="356"/>
      <c r="S3527" s="356"/>
      <c r="T3527" s="356"/>
      <c r="U3527" s="372"/>
      <c r="V3527" s="372"/>
      <c r="W3527" s="372"/>
      <c r="X3527" s="373"/>
      <c r="Y3527" s="348"/>
      <c r="Z3527" s="348"/>
      <c r="AA3527" s="348"/>
    </row>
    <row r="3528" s="331" customFormat="1" ht="17" customHeight="1" spans="1:27">
      <c r="A3528" s="550" t="s">
        <v>8807</v>
      </c>
      <c r="B3528" s="348" t="s">
        <v>185</v>
      </c>
      <c r="C3528" s="334" t="s">
        <v>1133</v>
      </c>
      <c r="D3528" s="334" t="s">
        <v>2302</v>
      </c>
      <c r="E3528" s="336">
        <v>43719</v>
      </c>
      <c r="F3528" s="336">
        <v>43695</v>
      </c>
      <c r="G3528" s="336">
        <v>43717</v>
      </c>
      <c r="H3528" s="334" t="s">
        <v>8808</v>
      </c>
      <c r="I3528" s="356">
        <v>13918387864</v>
      </c>
      <c r="J3528" s="361" t="s">
        <v>8809</v>
      </c>
      <c r="K3528" s="356">
        <v>1100</v>
      </c>
      <c r="L3528" s="334">
        <v>3940</v>
      </c>
      <c r="M3528" s="419"/>
      <c r="N3528" s="362">
        <f t="shared" si="123"/>
        <v>3940</v>
      </c>
      <c r="O3528" s="366" t="s">
        <v>52</v>
      </c>
      <c r="P3528" s="356"/>
      <c r="Q3528" s="356"/>
      <c r="R3528" s="356"/>
      <c r="S3528" s="356"/>
      <c r="T3528" s="356"/>
      <c r="U3528" s="372"/>
      <c r="V3528" s="372"/>
      <c r="W3528" s="372"/>
      <c r="X3528" s="373"/>
      <c r="Y3528" s="348"/>
      <c r="Z3528" s="348"/>
      <c r="AA3528" s="348"/>
    </row>
    <row r="3529" s="331" customFormat="1" ht="17" customHeight="1" spans="1:27">
      <c r="A3529" s="550" t="s">
        <v>8810</v>
      </c>
      <c r="B3529" s="348" t="s">
        <v>335</v>
      </c>
      <c r="C3529" s="334" t="s">
        <v>615</v>
      </c>
      <c r="D3529" s="352" t="s">
        <v>337</v>
      </c>
      <c r="E3529" s="336">
        <v>43722</v>
      </c>
      <c r="F3529" s="336">
        <v>43695</v>
      </c>
      <c r="G3529" s="336">
        <v>43721</v>
      </c>
      <c r="H3529" s="334" t="s">
        <v>8811</v>
      </c>
      <c r="I3529" s="356">
        <v>13501829254</v>
      </c>
      <c r="J3529" s="361" t="s">
        <v>8812</v>
      </c>
      <c r="K3529" s="356">
        <v>1000</v>
      </c>
      <c r="L3529" s="334">
        <f>23199-1520</f>
        <v>21679</v>
      </c>
      <c r="M3529" s="334">
        <v>1520</v>
      </c>
      <c r="N3529" s="362">
        <f t="shared" si="123"/>
        <v>23199</v>
      </c>
      <c r="O3529" s="356"/>
      <c r="P3529" s="356"/>
      <c r="Q3529" s="356"/>
      <c r="R3529" s="356" t="s">
        <v>22</v>
      </c>
      <c r="S3529" s="356"/>
      <c r="T3529" s="356"/>
      <c r="U3529" s="372"/>
      <c r="V3529" s="372"/>
      <c r="W3529" s="372"/>
      <c r="X3529" s="373"/>
      <c r="Y3529" s="348"/>
      <c r="Z3529" s="348"/>
      <c r="AA3529" s="348"/>
    </row>
    <row r="3530" s="331" customFormat="1" ht="17" customHeight="1" spans="1:27">
      <c r="A3530" s="348"/>
      <c r="B3530" s="348" t="s">
        <v>153</v>
      </c>
      <c r="C3530" s="334" t="s">
        <v>302</v>
      </c>
      <c r="D3530" s="352" t="s">
        <v>155</v>
      </c>
      <c r="E3530" s="336">
        <v>43696</v>
      </c>
      <c r="F3530" s="336">
        <v>43695</v>
      </c>
      <c r="G3530" s="336">
        <v>43695</v>
      </c>
      <c r="H3530" s="334" t="s">
        <v>8813</v>
      </c>
      <c r="I3530" s="356">
        <v>13818682533</v>
      </c>
      <c r="J3530" s="361" t="s">
        <v>8814</v>
      </c>
      <c r="K3530" s="356">
        <v>1717</v>
      </c>
      <c r="L3530" s="334">
        <v>1717</v>
      </c>
      <c r="M3530" s="419"/>
      <c r="N3530" s="362">
        <f t="shared" si="123"/>
        <v>1717</v>
      </c>
      <c r="O3530" s="356"/>
      <c r="P3530" s="356"/>
      <c r="Q3530" s="356"/>
      <c r="R3530" s="356"/>
      <c r="S3530" s="356"/>
      <c r="T3530" s="356"/>
      <c r="U3530" s="372"/>
      <c r="V3530" s="372"/>
      <c r="W3530" s="372"/>
      <c r="X3530" s="373"/>
      <c r="Y3530" s="348"/>
      <c r="Z3530" s="348"/>
      <c r="AA3530" s="348"/>
    </row>
    <row r="3531" s="331" customFormat="1" ht="17" customHeight="1" spans="1:27">
      <c r="A3531" s="550" t="s">
        <v>8815</v>
      </c>
      <c r="B3531" s="348" t="s">
        <v>359</v>
      </c>
      <c r="C3531" s="334" t="s">
        <v>3018</v>
      </c>
      <c r="D3531" s="352" t="s">
        <v>361</v>
      </c>
      <c r="E3531" s="336">
        <v>43708</v>
      </c>
      <c r="F3531" s="336">
        <v>43695</v>
      </c>
      <c r="G3531" s="336">
        <v>43708</v>
      </c>
      <c r="H3531" s="334" t="s">
        <v>8816</v>
      </c>
      <c r="I3531" s="356">
        <v>18049904256</v>
      </c>
      <c r="J3531" s="361" t="s">
        <v>8817</v>
      </c>
      <c r="K3531" s="356">
        <v>1000</v>
      </c>
      <c r="L3531" s="334">
        <v>4876</v>
      </c>
      <c r="M3531" s="419"/>
      <c r="N3531" s="362">
        <f t="shared" si="123"/>
        <v>4876</v>
      </c>
      <c r="O3531" s="356"/>
      <c r="P3531" s="356"/>
      <c r="Q3531" s="356"/>
      <c r="R3531" s="356"/>
      <c r="S3531" s="356" t="s">
        <v>23</v>
      </c>
      <c r="T3531" s="356"/>
      <c r="U3531" s="372"/>
      <c r="V3531" s="372"/>
      <c r="W3531" s="372"/>
      <c r="X3531" s="373"/>
      <c r="Y3531" s="348"/>
      <c r="Z3531" s="348"/>
      <c r="AA3531" s="348"/>
    </row>
    <row r="3532" s="331" customFormat="1" ht="17" customHeight="1" spans="1:27">
      <c r="A3532" s="348"/>
      <c r="B3532" s="348" t="s">
        <v>66</v>
      </c>
      <c r="C3532" s="334" t="s">
        <v>505</v>
      </c>
      <c r="D3532" s="334" t="s">
        <v>1436</v>
      </c>
      <c r="E3532" s="336">
        <v>43708</v>
      </c>
      <c r="F3532" s="336">
        <v>43695</v>
      </c>
      <c r="G3532" s="336">
        <v>43708</v>
      </c>
      <c r="H3532" s="334" t="s">
        <v>8818</v>
      </c>
      <c r="I3532" s="356">
        <v>18721781900</v>
      </c>
      <c r="J3532" s="361" t="s">
        <v>8819</v>
      </c>
      <c r="K3532" s="356">
        <v>4216</v>
      </c>
      <c r="L3532" s="334">
        <v>4216</v>
      </c>
      <c r="M3532" s="419"/>
      <c r="N3532" s="362">
        <f t="shared" si="123"/>
        <v>4216</v>
      </c>
      <c r="O3532" s="356"/>
      <c r="P3532" s="356" t="s">
        <v>1526</v>
      </c>
      <c r="Q3532" s="356"/>
      <c r="R3532" s="356"/>
      <c r="S3532" s="356"/>
      <c r="T3532" s="356"/>
      <c r="U3532" s="372"/>
      <c r="V3532" s="372"/>
      <c r="W3532" s="372"/>
      <c r="X3532" s="373"/>
      <c r="Y3532" s="348"/>
      <c r="Z3532" s="348"/>
      <c r="AA3532" s="348"/>
    </row>
    <row r="3533" s="331" customFormat="1" ht="17" customHeight="1" spans="1:27">
      <c r="A3533" s="348"/>
      <c r="B3533" s="348" t="s">
        <v>66</v>
      </c>
      <c r="C3533" s="334" t="s">
        <v>505</v>
      </c>
      <c r="D3533" s="334" t="s">
        <v>143</v>
      </c>
      <c r="E3533" s="336">
        <v>43708</v>
      </c>
      <c r="F3533" s="336">
        <v>43695</v>
      </c>
      <c r="G3533" s="336">
        <v>43708</v>
      </c>
      <c r="H3533" s="334" t="s">
        <v>8820</v>
      </c>
      <c r="I3533" s="356">
        <v>13818549176</v>
      </c>
      <c r="J3533" s="361" t="s">
        <v>8821</v>
      </c>
      <c r="K3533" s="356">
        <v>20000</v>
      </c>
      <c r="L3533" s="334">
        <v>20000</v>
      </c>
      <c r="M3533" s="419"/>
      <c r="N3533" s="362">
        <f t="shared" si="123"/>
        <v>20000</v>
      </c>
      <c r="O3533" s="356" t="s">
        <v>19</v>
      </c>
      <c r="P3533" s="356"/>
      <c r="Q3533" s="356"/>
      <c r="R3533" s="356"/>
      <c r="S3533" s="356"/>
      <c r="T3533" s="356"/>
      <c r="U3533" s="372"/>
      <c r="V3533" s="372"/>
      <c r="W3533" s="372"/>
      <c r="X3533" s="373"/>
      <c r="Y3533" s="348"/>
      <c r="Z3533" s="348"/>
      <c r="AA3533" s="348"/>
    </row>
    <row r="3534" s="331" customFormat="1" ht="17" customHeight="1" spans="1:27">
      <c r="A3534" s="550" t="s">
        <v>8822</v>
      </c>
      <c r="B3534" s="348" t="s">
        <v>42</v>
      </c>
      <c r="C3534" s="334" t="s">
        <v>43</v>
      </c>
      <c r="D3534" s="352" t="s">
        <v>44</v>
      </c>
      <c r="E3534" s="336">
        <v>43698</v>
      </c>
      <c r="F3534" s="336">
        <v>43695</v>
      </c>
      <c r="G3534" s="336">
        <v>43698</v>
      </c>
      <c r="H3534" s="334" t="s">
        <v>8823</v>
      </c>
      <c r="I3534" s="356">
        <v>15021051816</v>
      </c>
      <c r="J3534" s="361" t="s">
        <v>8824</v>
      </c>
      <c r="K3534" s="356">
        <v>1000</v>
      </c>
      <c r="L3534" s="334">
        <f>4058-268</f>
        <v>3790</v>
      </c>
      <c r="M3534" s="334">
        <v>268</v>
      </c>
      <c r="N3534" s="362">
        <f t="shared" si="123"/>
        <v>4058</v>
      </c>
      <c r="O3534" s="356"/>
      <c r="P3534" s="356"/>
      <c r="Q3534" s="356"/>
      <c r="R3534" s="356"/>
      <c r="S3534" s="356"/>
      <c r="T3534" s="356"/>
      <c r="U3534" s="372"/>
      <c r="V3534" s="372"/>
      <c r="W3534" s="372"/>
      <c r="X3534" s="373"/>
      <c r="Y3534" s="348"/>
      <c r="Z3534" s="348"/>
      <c r="AA3534" s="348"/>
    </row>
    <row r="3535" s="332" customFormat="1" ht="17" customHeight="1" spans="1:27">
      <c r="A3535" s="550" t="s">
        <v>8825</v>
      </c>
      <c r="B3535" s="348" t="s">
        <v>42</v>
      </c>
      <c r="C3535" s="334" t="s">
        <v>43</v>
      </c>
      <c r="D3535" s="352" t="s">
        <v>125</v>
      </c>
      <c r="E3535" s="336">
        <v>43708</v>
      </c>
      <c r="F3535" s="336">
        <v>43695</v>
      </c>
      <c r="G3535" s="336">
        <v>43708</v>
      </c>
      <c r="H3535" s="334" t="s">
        <v>7477</v>
      </c>
      <c r="I3535" s="356">
        <v>13681755090</v>
      </c>
      <c r="J3535" s="361" t="s">
        <v>8826</v>
      </c>
      <c r="K3535" s="356">
        <v>15223</v>
      </c>
      <c r="L3535" s="334">
        <f>15148-2014</f>
        <v>13134</v>
      </c>
      <c r="M3535" s="334">
        <v>2014</v>
      </c>
      <c r="N3535" s="362">
        <f t="shared" si="123"/>
        <v>15148</v>
      </c>
      <c r="O3535" s="356"/>
      <c r="P3535" s="356"/>
      <c r="Q3535" s="356"/>
      <c r="R3535" s="356"/>
      <c r="S3535" s="356"/>
      <c r="T3535" s="356"/>
      <c r="U3535" s="372"/>
      <c r="V3535" s="372" t="s">
        <v>8827</v>
      </c>
      <c r="W3535" s="372"/>
      <c r="X3535" s="373"/>
      <c r="Y3535" s="348"/>
      <c r="Z3535" s="348"/>
      <c r="AA3535" s="348"/>
    </row>
    <row r="3536" s="331" customFormat="1" ht="17" customHeight="1" spans="1:27">
      <c r="A3536" s="550" t="s">
        <v>598</v>
      </c>
      <c r="B3536" s="348" t="s">
        <v>153</v>
      </c>
      <c r="C3536" s="334" t="s">
        <v>302</v>
      </c>
      <c r="D3536" s="352" t="s">
        <v>155</v>
      </c>
      <c r="E3536" s="336">
        <v>43707</v>
      </c>
      <c r="F3536" s="336">
        <v>43688</v>
      </c>
      <c r="G3536" s="336">
        <v>43707</v>
      </c>
      <c r="H3536" s="334" t="s">
        <v>8828</v>
      </c>
      <c r="I3536" s="356">
        <v>14721116987</v>
      </c>
      <c r="J3536" s="361" t="s">
        <v>8829</v>
      </c>
      <c r="K3536" s="356">
        <f>1000+5000</f>
        <v>6000</v>
      </c>
      <c r="L3536" s="334">
        <v>5884</v>
      </c>
      <c r="M3536" s="419"/>
      <c r="N3536" s="362">
        <f t="shared" si="123"/>
        <v>5884</v>
      </c>
      <c r="O3536" s="356"/>
      <c r="P3536" s="356"/>
      <c r="Q3536" s="356" t="s">
        <v>21</v>
      </c>
      <c r="R3536" s="356"/>
      <c r="S3536" s="356"/>
      <c r="T3536" s="356"/>
      <c r="U3536" s="372"/>
      <c r="V3536" s="372"/>
      <c r="W3536" s="372"/>
      <c r="X3536" s="373"/>
      <c r="Y3536" s="348"/>
      <c r="Z3536" s="348"/>
      <c r="AA3536" s="348"/>
    </row>
    <row r="3537" s="331" customFormat="1" ht="17" customHeight="1" spans="1:27">
      <c r="A3537" s="550" t="s">
        <v>8830</v>
      </c>
      <c r="B3537" s="348" t="s">
        <v>137</v>
      </c>
      <c r="C3537" s="334" t="s">
        <v>480</v>
      </c>
      <c r="D3537" s="352" t="s">
        <v>139</v>
      </c>
      <c r="E3537" s="336">
        <v>43703</v>
      </c>
      <c r="F3537" s="336">
        <v>43695</v>
      </c>
      <c r="G3537" s="336">
        <v>43701</v>
      </c>
      <c r="H3537" s="334" t="s">
        <v>8831</v>
      </c>
      <c r="I3537" s="356">
        <v>18602195656</v>
      </c>
      <c r="J3537" s="361" t="s">
        <v>8832</v>
      </c>
      <c r="K3537" s="356">
        <v>20000</v>
      </c>
      <c r="L3537" s="334">
        <v>27000</v>
      </c>
      <c r="M3537" s="334">
        <v>-1474</v>
      </c>
      <c r="N3537" s="362">
        <f t="shared" ref="N3537:N3581" si="124">L3537+M3537</f>
        <v>25526</v>
      </c>
      <c r="O3537" s="356"/>
      <c r="P3537" s="356">
        <v>1</v>
      </c>
      <c r="Q3537" s="356"/>
      <c r="R3537" s="356"/>
      <c r="S3537" s="356"/>
      <c r="T3537" s="356"/>
      <c r="U3537" s="372"/>
      <c r="V3537" s="372"/>
      <c r="W3537" s="372"/>
      <c r="X3537" s="373"/>
      <c r="Y3537" s="348"/>
      <c r="Z3537" s="348"/>
      <c r="AA3537" s="348"/>
    </row>
    <row r="3538" s="331" customFormat="1" ht="17" customHeight="1" spans="1:27">
      <c r="A3538" s="348"/>
      <c r="B3538" s="348" t="s">
        <v>137</v>
      </c>
      <c r="C3538" s="334" t="s">
        <v>480</v>
      </c>
      <c r="D3538" s="334" t="s">
        <v>443</v>
      </c>
      <c r="E3538" s="336">
        <v>43749</v>
      </c>
      <c r="F3538" s="336">
        <v>43695</v>
      </c>
      <c r="G3538" s="336">
        <v>43749</v>
      </c>
      <c r="H3538" s="334" t="s">
        <v>8833</v>
      </c>
      <c r="I3538" s="334">
        <v>18616329605</v>
      </c>
      <c r="J3538" s="334" t="s">
        <v>8834</v>
      </c>
      <c r="K3538" s="356">
        <v>1000</v>
      </c>
      <c r="L3538" s="334">
        <v>4096</v>
      </c>
      <c r="M3538" s="334">
        <v>2167</v>
      </c>
      <c r="N3538" s="362">
        <f t="shared" si="124"/>
        <v>6263</v>
      </c>
      <c r="O3538" s="356"/>
      <c r="P3538" s="356"/>
      <c r="Q3538" s="356">
        <v>1</v>
      </c>
      <c r="R3538" s="356"/>
      <c r="S3538" s="356"/>
      <c r="T3538" s="356"/>
      <c r="U3538" s="372"/>
      <c r="V3538" s="372"/>
      <c r="W3538" s="372"/>
      <c r="X3538" s="373"/>
      <c r="Y3538" s="348"/>
      <c r="Z3538" s="348"/>
      <c r="AA3538" s="348"/>
    </row>
    <row r="3539" s="331" customFormat="1" ht="17" customHeight="1" spans="1:27">
      <c r="A3539" s="348"/>
      <c r="B3539" s="348" t="s">
        <v>185</v>
      </c>
      <c r="C3539" s="348" t="s">
        <v>886</v>
      </c>
      <c r="D3539" s="352" t="s">
        <v>187</v>
      </c>
      <c r="E3539" s="336">
        <v>43700</v>
      </c>
      <c r="F3539" s="336">
        <v>43695</v>
      </c>
      <c r="G3539" s="336">
        <v>43699</v>
      </c>
      <c r="H3539" s="334" t="s">
        <v>6072</v>
      </c>
      <c r="I3539" s="356">
        <v>13501674799</v>
      </c>
      <c r="J3539" s="361" t="s">
        <v>8835</v>
      </c>
      <c r="K3539" s="356">
        <v>11000</v>
      </c>
      <c r="L3539" s="334">
        <v>11964</v>
      </c>
      <c r="M3539" s="419"/>
      <c r="N3539" s="362">
        <f t="shared" si="124"/>
        <v>11964</v>
      </c>
      <c r="O3539" s="356"/>
      <c r="P3539" s="356"/>
      <c r="Q3539" s="356"/>
      <c r="R3539" s="356"/>
      <c r="S3539" s="356"/>
      <c r="T3539" s="356"/>
      <c r="U3539" s="372"/>
      <c r="V3539" s="372"/>
      <c r="W3539" s="374">
        <v>43691</v>
      </c>
      <c r="X3539" s="373"/>
      <c r="Y3539" s="348"/>
      <c r="Z3539" s="348"/>
      <c r="AA3539" s="348"/>
    </row>
    <row r="3540" s="331" customFormat="1" ht="17" customHeight="1" spans="1:27">
      <c r="A3540" s="550" t="s">
        <v>8836</v>
      </c>
      <c r="B3540" s="348" t="s">
        <v>94</v>
      </c>
      <c r="C3540" s="334" t="s">
        <v>101</v>
      </c>
      <c r="D3540" s="334" t="s">
        <v>407</v>
      </c>
      <c r="E3540" s="336">
        <v>43794</v>
      </c>
      <c r="F3540" s="336">
        <v>43695</v>
      </c>
      <c r="G3540" s="336">
        <v>43792</v>
      </c>
      <c r="H3540" s="334" t="s">
        <v>8837</v>
      </c>
      <c r="I3540" s="356">
        <v>13761015457</v>
      </c>
      <c r="J3540" s="361" t="s">
        <v>8838</v>
      </c>
      <c r="K3540" s="356">
        <v>1000</v>
      </c>
      <c r="L3540" s="334">
        <v>10793</v>
      </c>
      <c r="M3540" s="334">
        <v>8735</v>
      </c>
      <c r="N3540" s="362">
        <f t="shared" si="124"/>
        <v>19528</v>
      </c>
      <c r="O3540" s="356"/>
      <c r="P3540" s="356"/>
      <c r="Q3540" s="356"/>
      <c r="R3540" s="366" t="s">
        <v>52</v>
      </c>
      <c r="S3540" s="356"/>
      <c r="T3540" s="356"/>
      <c r="U3540" s="372"/>
      <c r="V3540" s="372"/>
      <c r="W3540" s="372"/>
      <c r="X3540" s="373"/>
      <c r="Y3540" s="348"/>
      <c r="Z3540" s="348"/>
      <c r="AA3540" s="348"/>
    </row>
    <row r="3541" s="331" customFormat="1" ht="17" customHeight="1" spans="1:27">
      <c r="A3541" s="348">
        <v>2066246</v>
      </c>
      <c r="B3541" s="348" t="s">
        <v>94</v>
      </c>
      <c r="C3541" s="334" t="s">
        <v>101</v>
      </c>
      <c r="D3541" s="352" t="s">
        <v>49</v>
      </c>
      <c r="E3541" s="336">
        <v>43699</v>
      </c>
      <c r="F3541" s="336">
        <v>43695</v>
      </c>
      <c r="G3541" s="336">
        <v>43699</v>
      </c>
      <c r="H3541" s="334" t="s">
        <v>8839</v>
      </c>
      <c r="I3541" s="356">
        <v>15800970009</v>
      </c>
      <c r="J3541" s="361" t="s">
        <v>8840</v>
      </c>
      <c r="K3541" s="356">
        <v>1000</v>
      </c>
      <c r="L3541" s="334">
        <v>13597</v>
      </c>
      <c r="M3541" s="419"/>
      <c r="N3541" s="362">
        <f t="shared" si="124"/>
        <v>13597</v>
      </c>
      <c r="O3541" s="356"/>
      <c r="P3541" s="356"/>
      <c r="Q3541" s="356"/>
      <c r="R3541" s="356"/>
      <c r="S3541" s="356"/>
      <c r="T3541" s="356"/>
      <c r="U3541" s="372"/>
      <c r="V3541" s="372"/>
      <c r="W3541" s="372"/>
      <c r="X3541" s="373"/>
      <c r="Y3541" s="348"/>
      <c r="Z3541" s="348"/>
      <c r="AA3541" s="348"/>
    </row>
    <row r="3542" s="331" customFormat="1" ht="17" customHeight="1" spans="1:27">
      <c r="A3542" s="348">
        <v>2066247</v>
      </c>
      <c r="B3542" s="348" t="s">
        <v>94</v>
      </c>
      <c r="C3542" s="334" t="s">
        <v>101</v>
      </c>
      <c r="D3542" s="352" t="s">
        <v>49</v>
      </c>
      <c r="E3542" s="336">
        <v>43797</v>
      </c>
      <c r="F3542" s="336">
        <v>43695</v>
      </c>
      <c r="G3542" s="336">
        <v>43797</v>
      </c>
      <c r="H3542" s="334" t="s">
        <v>8841</v>
      </c>
      <c r="I3542" s="356">
        <v>13606776982</v>
      </c>
      <c r="J3542" s="361" t="s">
        <v>8842</v>
      </c>
      <c r="K3542" s="356">
        <v>20000</v>
      </c>
      <c r="L3542" s="334">
        <v>47700</v>
      </c>
      <c r="M3542" s="419"/>
      <c r="N3542" s="362">
        <f t="shared" si="124"/>
        <v>47700</v>
      </c>
      <c r="O3542" s="356"/>
      <c r="P3542" s="356"/>
      <c r="Q3542" s="366" t="s">
        <v>52</v>
      </c>
      <c r="R3542" s="356"/>
      <c r="S3542" s="356"/>
      <c r="T3542" s="356"/>
      <c r="U3542" s="372"/>
      <c r="V3542" s="372"/>
      <c r="W3542" s="372"/>
      <c r="X3542" s="373"/>
      <c r="Y3542" s="348"/>
      <c r="Z3542" s="348"/>
      <c r="AA3542" s="348"/>
    </row>
    <row r="3543" s="331" customFormat="1" ht="17" customHeight="1" spans="1:27">
      <c r="A3543" s="550" t="s">
        <v>8843</v>
      </c>
      <c r="B3543" s="348" t="s">
        <v>94</v>
      </c>
      <c r="C3543" s="334" t="s">
        <v>101</v>
      </c>
      <c r="D3543" s="352" t="s">
        <v>49</v>
      </c>
      <c r="E3543" s="336">
        <v>43727</v>
      </c>
      <c r="F3543" s="336">
        <v>43695</v>
      </c>
      <c r="G3543" s="336">
        <v>43719</v>
      </c>
      <c r="H3543" s="334" t="s">
        <v>8844</v>
      </c>
      <c r="I3543" s="356">
        <v>13917749068</v>
      </c>
      <c r="J3543" s="361" t="s">
        <v>8845</v>
      </c>
      <c r="K3543" s="356">
        <v>1000</v>
      </c>
      <c r="L3543" s="334">
        <f>31460-1472</f>
        <v>29988</v>
      </c>
      <c r="M3543" s="334">
        <v>1472</v>
      </c>
      <c r="N3543" s="362">
        <f t="shared" si="124"/>
        <v>31460</v>
      </c>
      <c r="O3543" s="356"/>
      <c r="P3543" s="356"/>
      <c r="Q3543" s="356"/>
      <c r="R3543" s="356"/>
      <c r="S3543" s="356"/>
      <c r="T3543" s="356"/>
      <c r="U3543" s="372"/>
      <c r="V3543" s="372"/>
      <c r="W3543" s="372"/>
      <c r="X3543" s="373"/>
      <c r="Y3543" s="348"/>
      <c r="Z3543" s="348"/>
      <c r="AA3543" s="348"/>
    </row>
    <row r="3544" s="331" customFormat="1" ht="17" customHeight="1" spans="1:27">
      <c r="A3544" s="550" t="s">
        <v>8846</v>
      </c>
      <c r="B3544" s="348" t="s">
        <v>47</v>
      </c>
      <c r="C3544" s="334" t="s">
        <v>53</v>
      </c>
      <c r="D3544" s="352" t="s">
        <v>49</v>
      </c>
      <c r="E3544" s="336">
        <v>43700</v>
      </c>
      <c r="F3544" s="336">
        <v>43695</v>
      </c>
      <c r="G3544" s="336">
        <v>43700</v>
      </c>
      <c r="H3544" s="334" t="s">
        <v>8847</v>
      </c>
      <c r="I3544" s="356">
        <v>18964552401</v>
      </c>
      <c r="J3544" s="361" t="s">
        <v>8848</v>
      </c>
      <c r="K3544" s="356">
        <v>1000</v>
      </c>
      <c r="L3544" s="334">
        <f>12767-2208</f>
        <v>10559</v>
      </c>
      <c r="M3544" s="334">
        <v>2208</v>
      </c>
      <c r="N3544" s="362">
        <f t="shared" si="124"/>
        <v>12767</v>
      </c>
      <c r="O3544" s="356"/>
      <c r="P3544" s="356"/>
      <c r="Q3544" s="356"/>
      <c r="R3544" s="356"/>
      <c r="S3544" s="356" t="s">
        <v>52</v>
      </c>
      <c r="T3544" s="356"/>
      <c r="U3544" s="372"/>
      <c r="V3544" s="372"/>
      <c r="W3544" s="372"/>
      <c r="X3544" s="373"/>
      <c r="Y3544" s="348"/>
      <c r="Z3544" s="348"/>
      <c r="AA3544" s="348"/>
    </row>
    <row r="3545" s="331" customFormat="1" ht="17" customHeight="1" spans="1:27">
      <c r="A3545" s="550" t="s">
        <v>8849</v>
      </c>
      <c r="B3545" s="348" t="s">
        <v>47</v>
      </c>
      <c r="C3545" s="334" t="s">
        <v>80</v>
      </c>
      <c r="D3545" s="352" t="s">
        <v>49</v>
      </c>
      <c r="E3545" s="336">
        <v>43701</v>
      </c>
      <c r="F3545" s="336">
        <v>43694</v>
      </c>
      <c r="G3545" s="336">
        <v>43700</v>
      </c>
      <c r="H3545" s="334" t="s">
        <v>2409</v>
      </c>
      <c r="I3545" s="356">
        <v>13585596776</v>
      </c>
      <c r="J3545" s="361" t="s">
        <v>8850</v>
      </c>
      <c r="K3545" s="356">
        <v>10000</v>
      </c>
      <c r="L3545" s="334">
        <v>11756</v>
      </c>
      <c r="M3545" s="334">
        <v>1472</v>
      </c>
      <c r="N3545" s="362">
        <f t="shared" si="124"/>
        <v>13228</v>
      </c>
      <c r="O3545" s="356"/>
      <c r="P3545" s="356"/>
      <c r="Q3545" s="356"/>
      <c r="R3545" s="356"/>
      <c r="S3545" s="356" t="s">
        <v>52</v>
      </c>
      <c r="T3545" s="356"/>
      <c r="U3545" s="372"/>
      <c r="V3545" s="372"/>
      <c r="W3545" s="372"/>
      <c r="X3545" s="373"/>
      <c r="Y3545" s="348"/>
      <c r="Z3545" s="348"/>
      <c r="AA3545" s="348"/>
    </row>
    <row r="3546" s="331" customFormat="1" ht="17" customHeight="1" spans="1:27">
      <c r="A3546" s="550" t="s">
        <v>8851</v>
      </c>
      <c r="B3546" s="348" t="s">
        <v>47</v>
      </c>
      <c r="C3546" s="334" t="s">
        <v>80</v>
      </c>
      <c r="D3546" s="352" t="s">
        <v>49</v>
      </c>
      <c r="E3546" s="336">
        <v>43695</v>
      </c>
      <c r="F3546" s="336">
        <v>43695</v>
      </c>
      <c r="G3546" s="442"/>
      <c r="H3546" s="334" t="s">
        <v>8852</v>
      </c>
      <c r="I3546" s="356">
        <v>15901720123</v>
      </c>
      <c r="J3546" s="361" t="s">
        <v>8853</v>
      </c>
      <c r="K3546" s="356">
        <v>1000</v>
      </c>
      <c r="L3546" s="419"/>
      <c r="M3546" s="419"/>
      <c r="N3546" s="362">
        <f t="shared" si="124"/>
        <v>0</v>
      </c>
      <c r="O3546" s="356"/>
      <c r="P3546" s="356"/>
      <c r="Q3546" s="356" t="s">
        <v>52</v>
      </c>
      <c r="R3546" s="356"/>
      <c r="S3546" s="356"/>
      <c r="T3546" s="356"/>
      <c r="U3546" s="372"/>
      <c r="V3546" s="372"/>
      <c r="W3546" s="372"/>
      <c r="X3546" s="373"/>
      <c r="Y3546" s="348"/>
      <c r="Z3546" s="348"/>
      <c r="AA3546" s="348"/>
    </row>
    <row r="3547" s="331" customFormat="1" ht="17" customHeight="1" spans="1:27">
      <c r="A3547" s="550" t="s">
        <v>8854</v>
      </c>
      <c r="B3547" s="348" t="s">
        <v>94</v>
      </c>
      <c r="C3547" s="334" t="s">
        <v>95</v>
      </c>
      <c r="D3547" s="352" t="s">
        <v>49</v>
      </c>
      <c r="E3547" s="336">
        <v>43695</v>
      </c>
      <c r="F3547" s="336">
        <v>43695</v>
      </c>
      <c r="G3547" s="442"/>
      <c r="H3547" s="334" t="s">
        <v>8855</v>
      </c>
      <c r="I3547" s="356">
        <v>13524603242</v>
      </c>
      <c r="J3547" s="361" t="s">
        <v>8856</v>
      </c>
      <c r="K3547" s="356">
        <v>1000</v>
      </c>
      <c r="L3547" s="419"/>
      <c r="M3547" s="419"/>
      <c r="N3547" s="362">
        <f t="shared" si="124"/>
        <v>0</v>
      </c>
      <c r="O3547" s="356"/>
      <c r="P3547" s="366" t="s">
        <v>52</v>
      </c>
      <c r="Q3547" s="356"/>
      <c r="R3547" s="356"/>
      <c r="S3547" s="356"/>
      <c r="T3547" s="356"/>
      <c r="U3547" s="372" t="s">
        <v>1913</v>
      </c>
      <c r="V3547" s="372"/>
      <c r="W3547" s="372"/>
      <c r="X3547" s="373"/>
      <c r="Y3547" s="348"/>
      <c r="Z3547" s="348"/>
      <c r="AA3547" s="348"/>
    </row>
    <row r="3548" s="331" customFormat="1" ht="17" customHeight="1" spans="1:27">
      <c r="A3548" s="550" t="s">
        <v>8857</v>
      </c>
      <c r="B3548" s="348" t="s">
        <v>66</v>
      </c>
      <c r="C3548" s="334" t="s">
        <v>67</v>
      </c>
      <c r="D3548" s="349" t="s">
        <v>1436</v>
      </c>
      <c r="E3548" s="336">
        <v>43698</v>
      </c>
      <c r="F3548" s="336">
        <v>43695</v>
      </c>
      <c r="G3548" s="336">
        <v>43697</v>
      </c>
      <c r="H3548" s="334" t="s">
        <v>8858</v>
      </c>
      <c r="I3548" s="356">
        <v>15872234648</v>
      </c>
      <c r="J3548" s="361" t="s">
        <v>8859</v>
      </c>
      <c r="K3548" s="356">
        <v>1000</v>
      </c>
      <c r="L3548" s="334">
        <v>4648</v>
      </c>
      <c r="M3548" s="419"/>
      <c r="N3548" s="362">
        <f t="shared" si="124"/>
        <v>4648</v>
      </c>
      <c r="O3548" s="356"/>
      <c r="P3548" s="356"/>
      <c r="Q3548" s="356"/>
      <c r="R3548" s="356"/>
      <c r="S3548" s="356"/>
      <c r="T3548" s="356"/>
      <c r="U3548" s="372"/>
      <c r="V3548" s="372"/>
      <c r="W3548" s="372"/>
      <c r="X3548" s="373"/>
      <c r="Y3548" s="348"/>
      <c r="Z3548" s="348"/>
      <c r="AA3548" s="348"/>
    </row>
    <row r="3549" s="331" customFormat="1" ht="17" customHeight="1" spans="1:27">
      <c r="A3549" s="550" t="s">
        <v>8860</v>
      </c>
      <c r="B3549" s="348" t="s">
        <v>66</v>
      </c>
      <c r="C3549" s="334" t="s">
        <v>67</v>
      </c>
      <c r="D3549" s="334" t="s">
        <v>1436</v>
      </c>
      <c r="E3549" s="336">
        <v>43709</v>
      </c>
      <c r="F3549" s="336">
        <v>43695</v>
      </c>
      <c r="G3549" s="336">
        <v>43709</v>
      </c>
      <c r="H3549" s="334" t="s">
        <v>8861</v>
      </c>
      <c r="I3549" s="356">
        <v>13918392516</v>
      </c>
      <c r="J3549" s="361" t="s">
        <v>8862</v>
      </c>
      <c r="K3549" s="356">
        <v>1000</v>
      </c>
      <c r="L3549" s="334">
        <v>4262</v>
      </c>
      <c r="M3549" s="419"/>
      <c r="N3549" s="362">
        <f t="shared" si="124"/>
        <v>4262</v>
      </c>
      <c r="O3549" s="356"/>
      <c r="P3549" s="356"/>
      <c r="Q3549" s="356"/>
      <c r="R3549" s="356"/>
      <c r="S3549" s="356"/>
      <c r="T3549" s="356"/>
      <c r="U3549" s="372"/>
      <c r="V3549" s="356" t="s">
        <v>8863</v>
      </c>
      <c r="W3549" s="372"/>
      <c r="X3549" s="373"/>
      <c r="Y3549" s="348"/>
      <c r="Z3549" s="348"/>
      <c r="AA3549" s="348"/>
    </row>
    <row r="3550" s="331" customFormat="1" ht="17" customHeight="1" spans="1:27">
      <c r="A3550" s="550" t="s">
        <v>8864</v>
      </c>
      <c r="B3550" s="348" t="s">
        <v>185</v>
      </c>
      <c r="C3550" s="334" t="s">
        <v>186</v>
      </c>
      <c r="D3550" s="352" t="s">
        <v>187</v>
      </c>
      <c r="E3550" s="336">
        <v>43699</v>
      </c>
      <c r="F3550" s="336">
        <v>43695</v>
      </c>
      <c r="G3550" s="336">
        <v>43698</v>
      </c>
      <c r="H3550" s="334" t="s">
        <v>8865</v>
      </c>
      <c r="I3550" s="356">
        <v>15000905816</v>
      </c>
      <c r="J3550" s="361" t="s">
        <v>8866</v>
      </c>
      <c r="K3550" s="356">
        <v>5000</v>
      </c>
      <c r="L3550" s="334">
        <v>9847</v>
      </c>
      <c r="M3550" s="419"/>
      <c r="N3550" s="362">
        <f t="shared" si="124"/>
        <v>9847</v>
      </c>
      <c r="O3550" s="356"/>
      <c r="P3550" s="356"/>
      <c r="Q3550" s="356"/>
      <c r="R3550" s="356"/>
      <c r="S3550" s="356"/>
      <c r="T3550" s="356"/>
      <c r="U3550" s="372"/>
      <c r="V3550" s="372"/>
      <c r="W3550" s="372"/>
      <c r="X3550" s="373"/>
      <c r="Y3550" s="348"/>
      <c r="Z3550" s="348"/>
      <c r="AA3550" s="348"/>
    </row>
    <row r="3551" s="331" customFormat="1" ht="17" customHeight="1" spans="1:27">
      <c r="A3551" s="550" t="s">
        <v>5223</v>
      </c>
      <c r="B3551" s="348" t="s">
        <v>147</v>
      </c>
      <c r="C3551" s="334" t="s">
        <v>148</v>
      </c>
      <c r="D3551" s="334" t="s">
        <v>207</v>
      </c>
      <c r="E3551" s="336">
        <v>43738</v>
      </c>
      <c r="F3551" s="336">
        <v>43695</v>
      </c>
      <c r="G3551" s="336">
        <v>43738</v>
      </c>
      <c r="H3551" s="334" t="s">
        <v>8867</v>
      </c>
      <c r="I3551" s="356">
        <v>15618905032</v>
      </c>
      <c r="J3551" s="361" t="s">
        <v>8868</v>
      </c>
      <c r="K3551" s="356">
        <v>4220</v>
      </c>
      <c r="L3551" s="334">
        <v>4220</v>
      </c>
      <c r="M3551" s="419"/>
      <c r="N3551" s="362">
        <f t="shared" si="124"/>
        <v>4220</v>
      </c>
      <c r="O3551" s="356" t="s">
        <v>19</v>
      </c>
      <c r="P3551" s="356"/>
      <c r="Q3551" s="356"/>
      <c r="R3551" s="356"/>
      <c r="S3551" s="356"/>
      <c r="T3551" s="356"/>
      <c r="U3551" s="372"/>
      <c r="V3551" s="372"/>
      <c r="W3551" s="372"/>
      <c r="X3551" s="373"/>
      <c r="Y3551" s="348"/>
      <c r="Z3551" s="348"/>
      <c r="AA3551" s="348"/>
    </row>
    <row r="3552" s="331" customFormat="1" ht="17" customHeight="1" spans="1:27">
      <c r="A3552" s="550" t="s">
        <v>8869</v>
      </c>
      <c r="B3552" s="348" t="s">
        <v>137</v>
      </c>
      <c r="C3552" s="334" t="s">
        <v>406</v>
      </c>
      <c r="D3552" s="334" t="s">
        <v>139</v>
      </c>
      <c r="E3552" s="336">
        <v>43768</v>
      </c>
      <c r="F3552" s="336">
        <v>43695</v>
      </c>
      <c r="G3552" s="336">
        <v>43766</v>
      </c>
      <c r="H3552" s="334" t="s">
        <v>8870</v>
      </c>
      <c r="I3552" s="356">
        <v>18621918567</v>
      </c>
      <c r="J3552" s="361" t="s">
        <v>8871</v>
      </c>
      <c r="K3552" s="356">
        <v>1000</v>
      </c>
      <c r="L3552" s="334">
        <v>14120</v>
      </c>
      <c r="M3552" s="419"/>
      <c r="N3552" s="362">
        <f t="shared" si="124"/>
        <v>14120</v>
      </c>
      <c r="O3552" s="356"/>
      <c r="P3552" s="356">
        <v>1</v>
      </c>
      <c r="Q3552" s="356"/>
      <c r="R3552" s="356"/>
      <c r="S3552" s="356"/>
      <c r="T3552" s="356"/>
      <c r="U3552" s="372"/>
      <c r="V3552" s="372"/>
      <c r="W3552" s="372"/>
      <c r="X3552" s="373"/>
      <c r="Y3552" s="348"/>
      <c r="Z3552" s="348"/>
      <c r="AA3552" s="348"/>
    </row>
    <row r="3553" s="331" customFormat="1" ht="17" customHeight="1" spans="1:27">
      <c r="A3553" s="550" t="s">
        <v>8872</v>
      </c>
      <c r="B3553" s="348" t="s">
        <v>66</v>
      </c>
      <c r="C3553" s="334" t="s">
        <v>119</v>
      </c>
      <c r="D3553" s="334" t="s">
        <v>1436</v>
      </c>
      <c r="E3553" s="336">
        <v>43737</v>
      </c>
      <c r="F3553" s="336">
        <v>43695</v>
      </c>
      <c r="G3553" s="336">
        <v>43737</v>
      </c>
      <c r="H3553" s="334" t="s">
        <v>8873</v>
      </c>
      <c r="I3553" s="356">
        <v>13918015873</v>
      </c>
      <c r="J3553" s="361" t="s">
        <v>8874</v>
      </c>
      <c r="K3553" s="356">
        <v>13000</v>
      </c>
      <c r="L3553" s="334">
        <v>13000</v>
      </c>
      <c r="M3553" s="419"/>
      <c r="N3553" s="362">
        <f t="shared" si="124"/>
        <v>13000</v>
      </c>
      <c r="O3553" s="356"/>
      <c r="P3553" s="356" t="s">
        <v>1526</v>
      </c>
      <c r="Q3553" s="356"/>
      <c r="R3553" s="356"/>
      <c r="S3553" s="356"/>
      <c r="T3553" s="356"/>
      <c r="U3553" s="372"/>
      <c r="V3553" s="372"/>
      <c r="W3553" s="372"/>
      <c r="X3553" s="373"/>
      <c r="Y3553" s="348"/>
      <c r="Z3553" s="348"/>
      <c r="AA3553" s="348"/>
    </row>
    <row r="3554" s="331" customFormat="1" ht="17" customHeight="1" spans="1:27">
      <c r="A3554" s="550" t="s">
        <v>8875</v>
      </c>
      <c r="B3554" s="348" t="s">
        <v>185</v>
      </c>
      <c r="C3554" s="348" t="s">
        <v>886</v>
      </c>
      <c r="D3554" s="352" t="s">
        <v>187</v>
      </c>
      <c r="E3554" s="336">
        <v>43695</v>
      </c>
      <c r="F3554" s="336">
        <v>43695</v>
      </c>
      <c r="G3554" s="442"/>
      <c r="H3554" s="334" t="s">
        <v>8876</v>
      </c>
      <c r="I3554" s="356">
        <v>13701754224</v>
      </c>
      <c r="J3554" s="361" t="s">
        <v>8877</v>
      </c>
      <c r="K3554" s="356">
        <v>0</v>
      </c>
      <c r="L3554" s="419"/>
      <c r="M3554" s="419"/>
      <c r="N3554" s="362">
        <f t="shared" si="124"/>
        <v>0</v>
      </c>
      <c r="O3554" s="356"/>
      <c r="P3554" s="356"/>
      <c r="Q3554" s="356" t="s">
        <v>52</v>
      </c>
      <c r="R3554" s="356"/>
      <c r="S3554" s="356"/>
      <c r="T3554" s="356"/>
      <c r="U3554" s="374">
        <v>43723</v>
      </c>
      <c r="V3554" s="372"/>
      <c r="W3554" s="372"/>
      <c r="X3554" s="373"/>
      <c r="Y3554" s="348"/>
      <c r="Z3554" s="348"/>
      <c r="AA3554" s="348"/>
    </row>
    <row r="3555" s="331" customFormat="1" ht="17" customHeight="1" spans="1:27">
      <c r="A3555" s="348"/>
      <c r="B3555" s="348" t="s">
        <v>123</v>
      </c>
      <c r="C3555" s="334" t="s">
        <v>32</v>
      </c>
      <c r="D3555" s="352" t="s">
        <v>125</v>
      </c>
      <c r="E3555" s="336">
        <v>43695</v>
      </c>
      <c r="F3555" s="336">
        <v>43695</v>
      </c>
      <c r="G3555" s="372" t="s">
        <v>69</v>
      </c>
      <c r="H3555" s="334" t="s">
        <v>8878</v>
      </c>
      <c r="I3555" s="356">
        <v>15901801534</v>
      </c>
      <c r="J3555" s="361" t="s">
        <v>8879</v>
      </c>
      <c r="K3555" s="356">
        <v>1000</v>
      </c>
      <c r="L3555" s="419"/>
      <c r="M3555" s="419"/>
      <c r="N3555" s="362">
        <f t="shared" si="124"/>
        <v>0</v>
      </c>
      <c r="O3555" s="356"/>
      <c r="P3555" s="356"/>
      <c r="Q3555" s="356"/>
      <c r="R3555" s="356"/>
      <c r="S3555" s="356"/>
      <c r="T3555" s="366" t="s">
        <v>52</v>
      </c>
      <c r="U3555" s="372"/>
      <c r="V3555" s="372"/>
      <c r="W3555" s="372"/>
      <c r="X3555" s="373"/>
      <c r="Y3555" s="348"/>
      <c r="Z3555" s="348"/>
      <c r="AA3555" s="348"/>
    </row>
    <row r="3556" s="331" customFormat="1" ht="17" customHeight="1" spans="1:27">
      <c r="A3556" s="348"/>
      <c r="B3556" s="348" t="s">
        <v>66</v>
      </c>
      <c r="C3556" s="334" t="s">
        <v>505</v>
      </c>
      <c r="D3556" s="334" t="s">
        <v>2302</v>
      </c>
      <c r="E3556" s="336">
        <v>43752</v>
      </c>
      <c r="F3556" s="336">
        <v>43695</v>
      </c>
      <c r="G3556" s="336">
        <v>43751</v>
      </c>
      <c r="H3556" s="334" t="s">
        <v>8880</v>
      </c>
      <c r="I3556" s="356">
        <v>18930565465</v>
      </c>
      <c r="J3556" s="361" t="s">
        <v>8881</v>
      </c>
      <c r="K3556" s="356">
        <v>3000</v>
      </c>
      <c r="L3556" s="334">
        <v>3029</v>
      </c>
      <c r="M3556" s="419"/>
      <c r="N3556" s="362">
        <f t="shared" si="124"/>
        <v>3029</v>
      </c>
      <c r="O3556" s="356"/>
      <c r="P3556" s="356" t="s">
        <v>1526</v>
      </c>
      <c r="Q3556" s="356"/>
      <c r="R3556" s="356"/>
      <c r="S3556" s="356"/>
      <c r="T3556" s="356"/>
      <c r="U3556" s="372"/>
      <c r="V3556" s="372"/>
      <c r="W3556" s="372"/>
      <c r="X3556" s="373"/>
      <c r="Y3556" s="348"/>
      <c r="Z3556" s="348"/>
      <c r="AA3556" s="348"/>
    </row>
    <row r="3557" s="331" customFormat="1" ht="17" customHeight="1" spans="1:27">
      <c r="A3557" s="550" t="s">
        <v>8882</v>
      </c>
      <c r="B3557" s="348" t="s">
        <v>42</v>
      </c>
      <c r="C3557" s="334" t="s">
        <v>43</v>
      </c>
      <c r="D3557" s="352" t="s">
        <v>44</v>
      </c>
      <c r="E3557" s="336">
        <v>43695</v>
      </c>
      <c r="F3557" s="336">
        <v>43695</v>
      </c>
      <c r="G3557" s="442"/>
      <c r="H3557" s="334" t="s">
        <v>8883</v>
      </c>
      <c r="I3557" s="356">
        <v>18930876829</v>
      </c>
      <c r="J3557" s="361" t="s">
        <v>8884</v>
      </c>
      <c r="K3557" s="356">
        <v>1000</v>
      </c>
      <c r="L3557" s="419"/>
      <c r="M3557" s="419"/>
      <c r="N3557" s="362">
        <f t="shared" si="124"/>
        <v>0</v>
      </c>
      <c r="O3557" s="356"/>
      <c r="P3557" s="356"/>
      <c r="Q3557" s="356"/>
      <c r="R3557" s="356"/>
      <c r="S3557" s="356"/>
      <c r="T3557" s="356"/>
      <c r="U3557" s="372" t="s">
        <v>555</v>
      </c>
      <c r="V3557" s="372"/>
      <c r="W3557" s="372"/>
      <c r="X3557" s="373"/>
      <c r="Y3557" s="348"/>
      <c r="Z3557" s="348"/>
      <c r="AA3557" s="348"/>
    </row>
    <row r="3558" s="331" customFormat="1" ht="17" customHeight="1" spans="1:27">
      <c r="A3558" s="550" t="s">
        <v>8885</v>
      </c>
      <c r="B3558" s="348" t="s">
        <v>94</v>
      </c>
      <c r="C3558" s="334" t="s">
        <v>95</v>
      </c>
      <c r="D3558" s="352" t="s">
        <v>49</v>
      </c>
      <c r="E3558" s="336">
        <v>43695</v>
      </c>
      <c r="F3558" s="336">
        <v>43695</v>
      </c>
      <c r="G3558" s="442"/>
      <c r="H3558" s="334" t="s">
        <v>8886</v>
      </c>
      <c r="I3558" s="356">
        <v>13918117242</v>
      </c>
      <c r="J3558" s="361" t="s">
        <v>8887</v>
      </c>
      <c r="K3558" s="356">
        <v>1000</v>
      </c>
      <c r="L3558" s="419"/>
      <c r="M3558" s="419"/>
      <c r="N3558" s="362">
        <f t="shared" si="124"/>
        <v>0</v>
      </c>
      <c r="O3558" s="356"/>
      <c r="P3558" s="366"/>
      <c r="Q3558" s="366"/>
      <c r="R3558" s="356"/>
      <c r="S3558" s="366"/>
      <c r="T3558" s="356"/>
      <c r="U3558" s="372"/>
      <c r="V3558" s="372"/>
      <c r="W3558" s="372">
        <v>2.15</v>
      </c>
      <c r="X3558" s="373"/>
      <c r="Y3558" s="348"/>
      <c r="Z3558" s="348"/>
      <c r="AA3558" s="348"/>
    </row>
    <row r="3559" s="331" customFormat="1" ht="17" customHeight="1" spans="1:27">
      <c r="A3559" s="550" t="s">
        <v>8888</v>
      </c>
      <c r="B3559" s="348" t="s">
        <v>47</v>
      </c>
      <c r="C3559" s="334" t="s">
        <v>2399</v>
      </c>
      <c r="D3559" s="352" t="s">
        <v>49</v>
      </c>
      <c r="E3559" s="336">
        <v>43759</v>
      </c>
      <c r="F3559" s="336">
        <v>43695</v>
      </c>
      <c r="G3559" s="336">
        <v>43754</v>
      </c>
      <c r="H3559" s="334" t="s">
        <v>8889</v>
      </c>
      <c r="I3559" s="356" t="s">
        <v>8890</v>
      </c>
      <c r="J3559" s="361" t="s">
        <v>8891</v>
      </c>
      <c r="K3559" s="356">
        <v>1000</v>
      </c>
      <c r="L3559" s="334">
        <v>10300</v>
      </c>
      <c r="M3559" s="419"/>
      <c r="N3559" s="362">
        <f t="shared" si="124"/>
        <v>10300</v>
      </c>
      <c r="O3559" s="356"/>
      <c r="P3559" s="356"/>
      <c r="Q3559" s="356"/>
      <c r="R3559" s="356" t="s">
        <v>52</v>
      </c>
      <c r="S3559" s="356"/>
      <c r="T3559" s="356"/>
      <c r="U3559" s="372"/>
      <c r="V3559" s="372"/>
      <c r="W3559" s="372"/>
      <c r="X3559" s="373"/>
      <c r="Y3559" s="348"/>
      <c r="Z3559" s="348"/>
      <c r="AA3559" s="348"/>
    </row>
    <row r="3560" s="331" customFormat="1" ht="17" customHeight="1" spans="1:27">
      <c r="A3560" s="348"/>
      <c r="B3560" s="348" t="s">
        <v>169</v>
      </c>
      <c r="C3560" s="334" t="s">
        <v>634</v>
      </c>
      <c r="D3560" s="349" t="s">
        <v>635</v>
      </c>
      <c r="E3560" s="336">
        <v>43695</v>
      </c>
      <c r="F3560" s="336"/>
      <c r="G3560" s="336">
        <v>43694</v>
      </c>
      <c r="H3560" s="334" t="s">
        <v>8892</v>
      </c>
      <c r="I3560" s="356" t="s">
        <v>8893</v>
      </c>
      <c r="J3560" s="361" t="s">
        <v>8894</v>
      </c>
      <c r="K3560" s="356"/>
      <c r="L3560" s="334">
        <v>7094</v>
      </c>
      <c r="M3560" s="334">
        <v>1392</v>
      </c>
      <c r="N3560" s="362">
        <f t="shared" si="124"/>
        <v>8486</v>
      </c>
      <c r="O3560" s="356"/>
      <c r="P3560" s="356"/>
      <c r="Q3560" s="356"/>
      <c r="R3560" s="356"/>
      <c r="S3560" s="356"/>
      <c r="T3560" s="356"/>
      <c r="U3560" s="372"/>
      <c r="V3560" s="372"/>
      <c r="W3560" s="372"/>
      <c r="X3560" s="373"/>
      <c r="Y3560" s="348"/>
      <c r="Z3560" s="348"/>
      <c r="AA3560" s="348"/>
    </row>
    <row r="3561" s="331" customFormat="1" ht="17" customHeight="1" spans="1:27">
      <c r="A3561" s="348"/>
      <c r="B3561" s="348" t="s">
        <v>153</v>
      </c>
      <c r="C3561" s="334" t="s">
        <v>302</v>
      </c>
      <c r="D3561" s="349" t="s">
        <v>155</v>
      </c>
      <c r="E3561" s="336">
        <v>43695</v>
      </c>
      <c r="F3561" s="336"/>
      <c r="G3561" s="336">
        <v>43694</v>
      </c>
      <c r="H3561" s="334" t="s">
        <v>8895</v>
      </c>
      <c r="I3561" s="356">
        <v>13601648813</v>
      </c>
      <c r="J3561" s="361" t="s">
        <v>8896</v>
      </c>
      <c r="K3561" s="356"/>
      <c r="L3561" s="334">
        <v>8783</v>
      </c>
      <c r="M3561" s="419"/>
      <c r="N3561" s="362">
        <f t="shared" si="124"/>
        <v>8783</v>
      </c>
      <c r="O3561" s="356"/>
      <c r="P3561" s="356"/>
      <c r="Q3561" s="356"/>
      <c r="R3561" s="356"/>
      <c r="S3561" s="356"/>
      <c r="T3561" s="356"/>
      <c r="U3561" s="372"/>
      <c r="V3561" s="372"/>
      <c r="W3561" s="372"/>
      <c r="X3561" s="373"/>
      <c r="Y3561" s="348"/>
      <c r="Z3561" s="348"/>
      <c r="AA3561" s="348"/>
    </row>
    <row r="3562" s="331" customFormat="1" ht="17" customHeight="1" spans="1:27">
      <c r="A3562" s="348"/>
      <c r="B3562" s="348" t="s">
        <v>137</v>
      </c>
      <c r="C3562" s="334" t="s">
        <v>480</v>
      </c>
      <c r="D3562" s="349" t="s">
        <v>139</v>
      </c>
      <c r="E3562" s="336">
        <v>43695</v>
      </c>
      <c r="F3562" s="336"/>
      <c r="G3562" s="336">
        <v>43694</v>
      </c>
      <c r="H3562" s="334" t="s">
        <v>8897</v>
      </c>
      <c r="I3562" s="356">
        <v>15216890775</v>
      </c>
      <c r="J3562" s="361" t="s">
        <v>8898</v>
      </c>
      <c r="K3562" s="356"/>
      <c r="L3562" s="334">
        <f>13300-1070.88</f>
        <v>12229.12</v>
      </c>
      <c r="M3562" s="334">
        <v>1070.88</v>
      </c>
      <c r="N3562" s="362">
        <f t="shared" si="124"/>
        <v>13300</v>
      </c>
      <c r="O3562" s="356"/>
      <c r="P3562" s="356"/>
      <c r="Q3562" s="356"/>
      <c r="R3562" s="356"/>
      <c r="S3562" s="356"/>
      <c r="T3562" s="356"/>
      <c r="U3562" s="372"/>
      <c r="V3562" s="372"/>
      <c r="W3562" s="372"/>
      <c r="X3562" s="373"/>
      <c r="Y3562" s="348"/>
      <c r="Z3562" s="348"/>
      <c r="AA3562" s="348"/>
    </row>
    <row r="3563" s="331" customFormat="1" ht="17" customHeight="1" spans="1:27">
      <c r="A3563" s="348"/>
      <c r="B3563" s="348" t="s">
        <v>315</v>
      </c>
      <c r="C3563" s="334" t="s">
        <v>722</v>
      </c>
      <c r="D3563" s="349" t="s">
        <v>149</v>
      </c>
      <c r="E3563" s="336">
        <v>43695</v>
      </c>
      <c r="F3563" s="336"/>
      <c r="G3563" s="336">
        <v>43694</v>
      </c>
      <c r="H3563" s="334" t="s">
        <v>8899</v>
      </c>
      <c r="I3563" s="356">
        <v>13980776949</v>
      </c>
      <c r="J3563" s="361" t="s">
        <v>8900</v>
      </c>
      <c r="K3563" s="356"/>
      <c r="L3563" s="334">
        <v>4031</v>
      </c>
      <c r="M3563" s="419"/>
      <c r="N3563" s="362">
        <f t="shared" si="124"/>
        <v>4031</v>
      </c>
      <c r="O3563" s="356"/>
      <c r="P3563" s="356"/>
      <c r="Q3563" s="356"/>
      <c r="R3563" s="356"/>
      <c r="S3563" s="356"/>
      <c r="T3563" s="356"/>
      <c r="U3563" s="372"/>
      <c r="V3563" s="372"/>
      <c r="W3563" s="372"/>
      <c r="X3563" s="373"/>
      <c r="Y3563" s="348"/>
      <c r="Z3563" s="348"/>
      <c r="AA3563" s="348"/>
    </row>
    <row r="3564" s="331" customFormat="1" ht="17" customHeight="1" spans="1:27">
      <c r="A3564" s="348"/>
      <c r="B3564" s="348" t="s">
        <v>805</v>
      </c>
      <c r="C3564" s="334" t="s">
        <v>806</v>
      </c>
      <c r="D3564" s="349" t="s">
        <v>171</v>
      </c>
      <c r="E3564" s="336">
        <v>43695</v>
      </c>
      <c r="F3564" s="336"/>
      <c r="G3564" s="336">
        <v>43664</v>
      </c>
      <c r="H3564" s="334" t="s">
        <v>8901</v>
      </c>
      <c r="I3564" s="356">
        <v>18621217755</v>
      </c>
      <c r="J3564" s="361" t="s">
        <v>8902</v>
      </c>
      <c r="K3564" s="356"/>
      <c r="L3564" s="334">
        <v>23640</v>
      </c>
      <c r="M3564" s="419"/>
      <c r="N3564" s="362">
        <f t="shared" si="124"/>
        <v>23640</v>
      </c>
      <c r="O3564" s="356"/>
      <c r="P3564" s="356"/>
      <c r="Q3564" s="356"/>
      <c r="R3564" s="356"/>
      <c r="S3564" s="356"/>
      <c r="T3564" s="356"/>
      <c r="U3564" s="372"/>
      <c r="V3564" s="372"/>
      <c r="W3564" s="372"/>
      <c r="X3564" s="373"/>
      <c r="Y3564" s="348"/>
      <c r="Z3564" s="348"/>
      <c r="AA3564" s="348"/>
    </row>
    <row r="3565" s="331" customFormat="1" ht="17" customHeight="1" spans="1:27">
      <c r="A3565" s="348"/>
      <c r="B3565" s="348" t="s">
        <v>805</v>
      </c>
      <c r="C3565" s="334" t="s">
        <v>806</v>
      </c>
      <c r="D3565" s="349" t="s">
        <v>427</v>
      </c>
      <c r="E3565" s="336">
        <v>43695</v>
      </c>
      <c r="F3565" s="336"/>
      <c r="G3565" s="336">
        <v>43695</v>
      </c>
      <c r="H3565" s="334" t="s">
        <v>8903</v>
      </c>
      <c r="I3565" s="356">
        <v>13764166068</v>
      </c>
      <c r="J3565" s="361" t="s">
        <v>8904</v>
      </c>
      <c r="K3565" s="356"/>
      <c r="L3565" s="334">
        <v>24000</v>
      </c>
      <c r="M3565" s="419"/>
      <c r="N3565" s="362">
        <f t="shared" si="124"/>
        <v>24000</v>
      </c>
      <c r="O3565" s="356"/>
      <c r="P3565" s="356"/>
      <c r="Q3565" s="356"/>
      <c r="R3565" s="356"/>
      <c r="S3565" s="356"/>
      <c r="T3565" s="356"/>
      <c r="U3565" s="372"/>
      <c r="V3565" s="372"/>
      <c r="W3565" s="372"/>
      <c r="X3565" s="373"/>
      <c r="Y3565" s="348"/>
      <c r="Z3565" s="348"/>
      <c r="AA3565" s="348"/>
    </row>
    <row r="3566" s="331" customFormat="1" ht="17" customHeight="1" spans="1:27">
      <c r="A3566" s="348"/>
      <c r="B3566" s="348" t="s">
        <v>5435</v>
      </c>
      <c r="C3566" s="334" t="s">
        <v>1728</v>
      </c>
      <c r="D3566" s="349" t="s">
        <v>149</v>
      </c>
      <c r="E3566" s="336">
        <v>43695</v>
      </c>
      <c r="F3566" s="336"/>
      <c r="G3566" s="336">
        <v>43695</v>
      </c>
      <c r="H3566" s="334" t="s">
        <v>8905</v>
      </c>
      <c r="I3566" s="356">
        <v>13764401611</v>
      </c>
      <c r="J3566" s="361" t="s">
        <v>8906</v>
      </c>
      <c r="K3566" s="356"/>
      <c r="L3566" s="334">
        <f>5662-368</f>
        <v>5294</v>
      </c>
      <c r="M3566" s="334">
        <v>368</v>
      </c>
      <c r="N3566" s="362">
        <f t="shared" si="124"/>
        <v>5662</v>
      </c>
      <c r="O3566" s="356"/>
      <c r="P3566" s="356"/>
      <c r="Q3566" s="356"/>
      <c r="R3566" s="356"/>
      <c r="S3566" s="356"/>
      <c r="T3566" s="356"/>
      <c r="U3566" s="372"/>
      <c r="V3566" s="372"/>
      <c r="W3566" s="372"/>
      <c r="X3566" s="373"/>
      <c r="Y3566" s="348"/>
      <c r="Z3566" s="348"/>
      <c r="AA3566" s="348"/>
    </row>
    <row r="3567" s="331" customFormat="1" ht="17" customHeight="1" spans="1:27">
      <c r="A3567" s="348"/>
      <c r="B3567" s="348" t="s">
        <v>315</v>
      </c>
      <c r="C3567" s="334" t="s">
        <v>722</v>
      </c>
      <c r="D3567" s="349" t="s">
        <v>182</v>
      </c>
      <c r="E3567" s="336">
        <v>43695</v>
      </c>
      <c r="F3567" s="336"/>
      <c r="G3567" s="336">
        <v>43694</v>
      </c>
      <c r="H3567" s="334" t="s">
        <v>8907</v>
      </c>
      <c r="I3567" s="356">
        <v>18616025011</v>
      </c>
      <c r="J3567" s="361" t="s">
        <v>8908</v>
      </c>
      <c r="K3567" s="356"/>
      <c r="L3567" s="334">
        <v>9288</v>
      </c>
      <c r="M3567" s="334"/>
      <c r="N3567" s="362">
        <f t="shared" si="124"/>
        <v>9288</v>
      </c>
      <c r="O3567" s="356"/>
      <c r="P3567" s="356"/>
      <c r="Q3567" s="356"/>
      <c r="R3567" s="356"/>
      <c r="S3567" s="356"/>
      <c r="T3567" s="356"/>
      <c r="U3567" s="372"/>
      <c r="V3567" s="372"/>
      <c r="W3567" s="372"/>
      <c r="X3567" s="373"/>
      <c r="Y3567" s="348"/>
      <c r="Z3567" s="348"/>
      <c r="AA3567" s="348"/>
    </row>
    <row r="3568" s="331" customFormat="1" ht="17" customHeight="1" spans="1:27">
      <c r="A3568" s="348"/>
      <c r="B3568" s="348" t="s">
        <v>58</v>
      </c>
      <c r="C3568" s="334" t="s">
        <v>342</v>
      </c>
      <c r="D3568" s="349" t="s">
        <v>5695</v>
      </c>
      <c r="E3568" s="336">
        <v>43695</v>
      </c>
      <c r="F3568" s="336" t="s">
        <v>800</v>
      </c>
      <c r="G3568" s="336">
        <v>43695</v>
      </c>
      <c r="H3568" s="334" t="s">
        <v>8909</v>
      </c>
      <c r="I3568" s="356">
        <v>13764163870</v>
      </c>
      <c r="J3568" s="361" t="s">
        <v>8910</v>
      </c>
      <c r="K3568" s="356"/>
      <c r="L3568" s="419"/>
      <c r="M3568" s="334">
        <v>-12861</v>
      </c>
      <c r="N3568" s="362">
        <f t="shared" si="124"/>
        <v>-12861</v>
      </c>
      <c r="O3568" s="356"/>
      <c r="P3568" s="356"/>
      <c r="Q3568" s="356"/>
      <c r="R3568" s="356"/>
      <c r="S3568" s="356"/>
      <c r="T3568" s="356"/>
      <c r="U3568" s="372"/>
      <c r="V3568" s="372"/>
      <c r="W3568" s="372"/>
      <c r="X3568" s="373"/>
      <c r="Y3568" s="348"/>
      <c r="Z3568" s="348"/>
      <c r="AA3568" s="348"/>
    </row>
    <row r="3569" s="331" customFormat="1" ht="17" customHeight="1" spans="1:27">
      <c r="A3569" s="348"/>
      <c r="B3569" s="348" t="s">
        <v>58</v>
      </c>
      <c r="C3569" s="334" t="s">
        <v>342</v>
      </c>
      <c r="D3569" s="349" t="s">
        <v>343</v>
      </c>
      <c r="E3569" s="336">
        <v>43695</v>
      </c>
      <c r="F3569" s="336" t="s">
        <v>800</v>
      </c>
      <c r="G3569" s="336">
        <v>43695</v>
      </c>
      <c r="H3569" s="334" t="s">
        <v>8909</v>
      </c>
      <c r="I3569" s="356">
        <v>13764163870</v>
      </c>
      <c r="J3569" s="361" t="s">
        <v>8910</v>
      </c>
      <c r="K3569" s="356"/>
      <c r="L3569" s="419"/>
      <c r="M3569" s="334">
        <f>28965+12861</f>
        <v>41826</v>
      </c>
      <c r="N3569" s="362">
        <f t="shared" si="124"/>
        <v>41826</v>
      </c>
      <c r="O3569" s="356"/>
      <c r="P3569" s="356"/>
      <c r="Q3569" s="356"/>
      <c r="R3569" s="356"/>
      <c r="S3569" s="356"/>
      <c r="T3569" s="356"/>
      <c r="U3569" s="372"/>
      <c r="V3569" s="372"/>
      <c r="W3569" s="372"/>
      <c r="X3569" s="373"/>
      <c r="Y3569" s="348"/>
      <c r="Z3569" s="348"/>
      <c r="AA3569" s="348"/>
    </row>
    <row r="3570" s="331" customFormat="1" ht="17" customHeight="1" spans="1:27">
      <c r="A3570" s="348"/>
      <c r="B3570" s="348" t="s">
        <v>31</v>
      </c>
      <c r="C3570" s="334" t="s">
        <v>419</v>
      </c>
      <c r="D3570" s="349" t="s">
        <v>187</v>
      </c>
      <c r="E3570" s="336">
        <v>43695</v>
      </c>
      <c r="F3570" s="336" t="s">
        <v>800</v>
      </c>
      <c r="G3570" s="336">
        <v>43694</v>
      </c>
      <c r="H3570" s="334" t="s">
        <v>6927</v>
      </c>
      <c r="I3570" s="356">
        <v>13761224153</v>
      </c>
      <c r="J3570" s="361" t="s">
        <v>6928</v>
      </c>
      <c r="K3570" s="356"/>
      <c r="L3570" s="419"/>
      <c r="M3570" s="334">
        <v>14090</v>
      </c>
      <c r="N3570" s="362">
        <f t="shared" si="124"/>
        <v>14090</v>
      </c>
      <c r="O3570" s="356"/>
      <c r="P3570" s="356"/>
      <c r="Q3570" s="356"/>
      <c r="R3570" s="356"/>
      <c r="S3570" s="356"/>
      <c r="T3570" s="356"/>
      <c r="U3570" s="372"/>
      <c r="V3570" s="372"/>
      <c r="W3570" s="372"/>
      <c r="X3570" s="373"/>
      <c r="Y3570" s="348"/>
      <c r="Z3570" s="348"/>
      <c r="AA3570" s="348"/>
    </row>
    <row r="3571" s="331" customFormat="1" ht="17" customHeight="1" spans="1:27">
      <c r="A3571" s="348"/>
      <c r="B3571" s="348" t="s">
        <v>137</v>
      </c>
      <c r="C3571" s="334" t="s">
        <v>406</v>
      </c>
      <c r="D3571" s="349" t="s">
        <v>139</v>
      </c>
      <c r="E3571" s="336">
        <v>43695</v>
      </c>
      <c r="F3571" s="336" t="s">
        <v>800</v>
      </c>
      <c r="G3571" s="336">
        <v>43694</v>
      </c>
      <c r="H3571" s="334" t="s">
        <v>6005</v>
      </c>
      <c r="I3571" s="356">
        <v>18019248012</v>
      </c>
      <c r="J3571" s="361" t="s">
        <v>6006</v>
      </c>
      <c r="K3571" s="356"/>
      <c r="L3571" s="419"/>
      <c r="M3571" s="334">
        <f>-1958+736</f>
        <v>-1222</v>
      </c>
      <c r="N3571" s="362">
        <f t="shared" si="124"/>
        <v>-1222</v>
      </c>
      <c r="O3571" s="356"/>
      <c r="P3571" s="356"/>
      <c r="Q3571" s="356"/>
      <c r="R3571" s="356"/>
      <c r="S3571" s="356"/>
      <c r="T3571" s="356"/>
      <c r="U3571" s="372"/>
      <c r="V3571" s="372"/>
      <c r="W3571" s="372"/>
      <c r="X3571" s="373"/>
      <c r="Y3571" s="348"/>
      <c r="Z3571" s="348"/>
      <c r="AA3571" s="348"/>
    </row>
    <row r="3572" s="331" customFormat="1" ht="17" customHeight="1" spans="1:27">
      <c r="A3572" s="348"/>
      <c r="B3572" s="348" t="s">
        <v>137</v>
      </c>
      <c r="C3572" s="334" t="s">
        <v>480</v>
      </c>
      <c r="D3572" s="349" t="s">
        <v>171</v>
      </c>
      <c r="E3572" s="336">
        <v>43695</v>
      </c>
      <c r="F3572" s="336" t="s">
        <v>800</v>
      </c>
      <c r="G3572" s="336">
        <v>43694</v>
      </c>
      <c r="H3572" s="334" t="s">
        <v>6816</v>
      </c>
      <c r="I3572" s="356">
        <v>13611993884</v>
      </c>
      <c r="J3572" s="361" t="s">
        <v>6817</v>
      </c>
      <c r="K3572" s="356"/>
      <c r="L3572" s="419"/>
      <c r="M3572" s="334">
        <v>-16200</v>
      </c>
      <c r="N3572" s="362">
        <f t="shared" si="124"/>
        <v>-16200</v>
      </c>
      <c r="O3572" s="356"/>
      <c r="P3572" s="356"/>
      <c r="Q3572" s="356"/>
      <c r="R3572" s="356"/>
      <c r="S3572" s="356"/>
      <c r="T3572" s="356"/>
      <c r="U3572" s="372"/>
      <c r="V3572" s="372"/>
      <c r="W3572" s="372"/>
      <c r="X3572" s="373"/>
      <c r="Y3572" s="348"/>
      <c r="Z3572" s="348"/>
      <c r="AA3572" s="348"/>
    </row>
    <row r="3573" s="331" customFormat="1" ht="17" customHeight="1" spans="1:27">
      <c r="A3573" s="348"/>
      <c r="B3573" s="348" t="s">
        <v>137</v>
      </c>
      <c r="C3573" s="334" t="s">
        <v>480</v>
      </c>
      <c r="D3573" s="349" t="s">
        <v>139</v>
      </c>
      <c r="E3573" s="336">
        <v>43695</v>
      </c>
      <c r="F3573" s="336" t="s">
        <v>800</v>
      </c>
      <c r="G3573" s="336">
        <v>43694</v>
      </c>
      <c r="H3573" s="334" t="s">
        <v>6816</v>
      </c>
      <c r="I3573" s="356">
        <v>13611993884</v>
      </c>
      <c r="J3573" s="361" t="s">
        <v>6817</v>
      </c>
      <c r="K3573" s="356"/>
      <c r="L3573" s="419"/>
      <c r="M3573" s="334">
        <f>17879-2800</f>
        <v>15079</v>
      </c>
      <c r="N3573" s="362">
        <f t="shared" si="124"/>
        <v>15079</v>
      </c>
      <c r="O3573" s="356"/>
      <c r="P3573" s="356"/>
      <c r="Q3573" s="356"/>
      <c r="R3573" s="356"/>
      <c r="S3573" s="356"/>
      <c r="T3573" s="356"/>
      <c r="U3573" s="372"/>
      <c r="V3573" s="372"/>
      <c r="W3573" s="372"/>
      <c r="X3573" s="373"/>
      <c r="Y3573" s="348"/>
      <c r="Z3573" s="348"/>
      <c r="AA3573" s="348"/>
    </row>
    <row r="3574" s="331" customFormat="1" ht="17" customHeight="1" spans="1:27">
      <c r="A3574" s="348"/>
      <c r="B3574" s="348" t="s">
        <v>137</v>
      </c>
      <c r="C3574" s="334" t="s">
        <v>480</v>
      </c>
      <c r="D3574" s="349" t="s">
        <v>139</v>
      </c>
      <c r="E3574" s="336">
        <v>43695</v>
      </c>
      <c r="F3574" s="336" t="s">
        <v>800</v>
      </c>
      <c r="G3574" s="336">
        <v>43694</v>
      </c>
      <c r="H3574" s="334" t="s">
        <v>6818</v>
      </c>
      <c r="I3574" s="356">
        <v>13524655107</v>
      </c>
      <c r="J3574" s="361" t="s">
        <v>8911</v>
      </c>
      <c r="K3574" s="356"/>
      <c r="L3574" s="419"/>
      <c r="M3574" s="334">
        <f>-676+1114</f>
        <v>438</v>
      </c>
      <c r="N3574" s="362">
        <f t="shared" si="124"/>
        <v>438</v>
      </c>
      <c r="O3574" s="356"/>
      <c r="P3574" s="356"/>
      <c r="Q3574" s="356"/>
      <c r="R3574" s="356"/>
      <c r="S3574" s="356"/>
      <c r="T3574" s="356"/>
      <c r="U3574" s="372"/>
      <c r="V3574" s="372"/>
      <c r="W3574" s="372"/>
      <c r="X3574" s="373"/>
      <c r="Y3574" s="348"/>
      <c r="Z3574" s="348"/>
      <c r="AA3574" s="348"/>
    </row>
    <row r="3575" s="331" customFormat="1" ht="17" customHeight="1" spans="1:27">
      <c r="A3575" s="348"/>
      <c r="B3575" s="348" t="s">
        <v>87</v>
      </c>
      <c r="C3575" s="334" t="s">
        <v>466</v>
      </c>
      <c r="D3575" s="349" t="s">
        <v>89</v>
      </c>
      <c r="E3575" s="336">
        <v>43695</v>
      </c>
      <c r="F3575" s="336" t="s">
        <v>800</v>
      </c>
      <c r="G3575" s="336">
        <v>43693</v>
      </c>
      <c r="H3575" s="334" t="s">
        <v>8912</v>
      </c>
      <c r="I3575" s="356">
        <v>13917539393</v>
      </c>
      <c r="J3575" s="361" t="s">
        <v>8913</v>
      </c>
      <c r="K3575" s="356"/>
      <c r="L3575" s="419"/>
      <c r="M3575" s="334">
        <v>1119</v>
      </c>
      <c r="N3575" s="362">
        <f t="shared" si="124"/>
        <v>1119</v>
      </c>
      <c r="O3575" s="356"/>
      <c r="P3575" s="356"/>
      <c r="Q3575" s="356"/>
      <c r="R3575" s="356"/>
      <c r="S3575" s="356"/>
      <c r="T3575" s="356"/>
      <c r="U3575" s="372"/>
      <c r="V3575" s="372"/>
      <c r="W3575" s="372"/>
      <c r="X3575" s="373"/>
      <c r="Y3575" s="348"/>
      <c r="Z3575" s="348"/>
      <c r="AA3575" s="348"/>
    </row>
    <row r="3576" s="331" customFormat="1" ht="17" customHeight="1" spans="1:27">
      <c r="A3576" s="348"/>
      <c r="B3576" s="348" t="s">
        <v>66</v>
      </c>
      <c r="C3576" s="334" t="s">
        <v>505</v>
      </c>
      <c r="D3576" s="349" t="s">
        <v>143</v>
      </c>
      <c r="E3576" s="336">
        <v>43695</v>
      </c>
      <c r="F3576" s="336" t="s">
        <v>800</v>
      </c>
      <c r="G3576" s="336">
        <v>43694</v>
      </c>
      <c r="H3576" s="334" t="s">
        <v>8914</v>
      </c>
      <c r="I3576" s="356">
        <v>13818231070</v>
      </c>
      <c r="J3576" s="361" t="s">
        <v>8915</v>
      </c>
      <c r="K3576" s="356"/>
      <c r="L3576" s="419"/>
      <c r="M3576" s="334">
        <f>6900+1400</f>
        <v>8300</v>
      </c>
      <c r="N3576" s="362">
        <f t="shared" si="124"/>
        <v>8300</v>
      </c>
      <c r="O3576" s="356"/>
      <c r="P3576" s="356"/>
      <c r="Q3576" s="356"/>
      <c r="R3576" s="356"/>
      <c r="S3576" s="356"/>
      <c r="T3576" s="356"/>
      <c r="U3576" s="372"/>
      <c r="V3576" s="372"/>
      <c r="W3576" s="372"/>
      <c r="X3576" s="373"/>
      <c r="Y3576" s="348"/>
      <c r="Z3576" s="348"/>
      <c r="AA3576" s="348"/>
    </row>
    <row r="3577" s="331" customFormat="1" ht="17" customHeight="1" spans="1:27">
      <c r="A3577" s="348"/>
      <c r="B3577" s="348" t="s">
        <v>123</v>
      </c>
      <c r="C3577" s="334" t="s">
        <v>902</v>
      </c>
      <c r="D3577" s="352" t="s">
        <v>125</v>
      </c>
      <c r="E3577" s="336">
        <v>43695</v>
      </c>
      <c r="F3577" s="336" t="s">
        <v>800</v>
      </c>
      <c r="G3577" s="336">
        <v>43695</v>
      </c>
      <c r="H3577" s="334" t="s">
        <v>8916</v>
      </c>
      <c r="I3577" s="356">
        <v>13764205897</v>
      </c>
      <c r="J3577" s="361" t="s">
        <v>8917</v>
      </c>
      <c r="K3577" s="356"/>
      <c r="L3577" s="419"/>
      <c r="M3577" s="334">
        <v>1499</v>
      </c>
      <c r="N3577" s="362">
        <f t="shared" si="124"/>
        <v>1499</v>
      </c>
      <c r="O3577" s="356"/>
      <c r="P3577" s="356"/>
      <c r="Q3577" s="356"/>
      <c r="R3577" s="356"/>
      <c r="S3577" s="356"/>
      <c r="T3577" s="356"/>
      <c r="U3577" s="372"/>
      <c r="V3577" s="372"/>
      <c r="W3577" s="372"/>
      <c r="X3577" s="373"/>
      <c r="Y3577" s="348"/>
      <c r="Z3577" s="348"/>
      <c r="AA3577" s="348"/>
    </row>
    <row r="3578" s="331" customFormat="1" ht="17" customHeight="1" spans="1:27">
      <c r="A3578" s="348"/>
      <c r="B3578" s="348" t="s">
        <v>153</v>
      </c>
      <c r="C3578" s="334" t="s">
        <v>302</v>
      </c>
      <c r="D3578" s="349" t="s">
        <v>155</v>
      </c>
      <c r="E3578" s="336">
        <v>43695</v>
      </c>
      <c r="F3578" s="336" t="s">
        <v>800</v>
      </c>
      <c r="G3578" s="336">
        <v>43692</v>
      </c>
      <c r="H3578" s="334" t="s">
        <v>8918</v>
      </c>
      <c r="I3578" s="356">
        <v>18678965187</v>
      </c>
      <c r="J3578" s="361" t="s">
        <v>8919</v>
      </c>
      <c r="K3578" s="356"/>
      <c r="L3578" s="419"/>
      <c r="M3578" s="334">
        <v>1527</v>
      </c>
      <c r="N3578" s="362">
        <f t="shared" si="124"/>
        <v>1527</v>
      </c>
      <c r="O3578" s="356"/>
      <c r="P3578" s="356"/>
      <c r="Q3578" s="356"/>
      <c r="R3578" s="356"/>
      <c r="S3578" s="356"/>
      <c r="T3578" s="356"/>
      <c r="U3578" s="372"/>
      <c r="V3578" s="372"/>
      <c r="W3578" s="372"/>
      <c r="X3578" s="373"/>
      <c r="Y3578" s="348"/>
      <c r="Z3578" s="348"/>
      <c r="AA3578" s="348"/>
    </row>
    <row r="3579" s="331" customFormat="1" ht="17" customHeight="1" spans="1:27">
      <c r="A3579" s="348"/>
      <c r="B3579" s="348" t="s">
        <v>153</v>
      </c>
      <c r="C3579" s="334" t="s">
        <v>302</v>
      </c>
      <c r="D3579" s="352" t="s">
        <v>155</v>
      </c>
      <c r="E3579" s="336">
        <v>43695</v>
      </c>
      <c r="F3579" s="336" t="s">
        <v>800</v>
      </c>
      <c r="G3579" s="336">
        <v>43695</v>
      </c>
      <c r="H3579" s="334" t="s">
        <v>8920</v>
      </c>
      <c r="I3579" s="356">
        <v>18101796806</v>
      </c>
      <c r="J3579" s="361" t="s">
        <v>8921</v>
      </c>
      <c r="K3579" s="356"/>
      <c r="L3579" s="419"/>
      <c r="M3579" s="334">
        <v>11575</v>
      </c>
      <c r="N3579" s="362">
        <f t="shared" si="124"/>
        <v>11575</v>
      </c>
      <c r="O3579" s="356"/>
      <c r="P3579" s="356"/>
      <c r="Q3579" s="356"/>
      <c r="R3579" s="356"/>
      <c r="S3579" s="356"/>
      <c r="T3579" s="356"/>
      <c r="U3579" s="372"/>
      <c r="V3579" s="372"/>
      <c r="W3579" s="372"/>
      <c r="X3579" s="373"/>
      <c r="Y3579" s="348"/>
      <c r="Z3579" s="348"/>
      <c r="AA3579" s="348"/>
    </row>
    <row r="3580" s="331" customFormat="1" ht="17" customHeight="1" spans="1:27">
      <c r="A3580" s="550" t="s">
        <v>8922</v>
      </c>
      <c r="B3580" s="348" t="s">
        <v>405</v>
      </c>
      <c r="C3580" s="348" t="s">
        <v>1234</v>
      </c>
      <c r="D3580" s="349" t="s">
        <v>407</v>
      </c>
      <c r="E3580" s="336">
        <v>43696</v>
      </c>
      <c r="F3580" s="336">
        <v>43653</v>
      </c>
      <c r="G3580" s="350">
        <v>43693</v>
      </c>
      <c r="H3580" s="334" t="s">
        <v>8923</v>
      </c>
      <c r="I3580" s="356">
        <v>13386060010</v>
      </c>
      <c r="J3580" s="361" t="s">
        <v>8924</v>
      </c>
      <c r="K3580" s="356">
        <v>500</v>
      </c>
      <c r="L3580" s="334">
        <v>6066</v>
      </c>
      <c r="M3580" s="419"/>
      <c r="N3580" s="362">
        <f t="shared" si="124"/>
        <v>6066</v>
      </c>
      <c r="O3580" s="356"/>
      <c r="P3580" s="356"/>
      <c r="Q3580" s="356"/>
      <c r="R3580" s="356"/>
      <c r="S3580" s="356"/>
      <c r="T3580" s="356"/>
      <c r="U3580" s="372"/>
      <c r="V3580" s="372"/>
      <c r="W3580" s="372"/>
      <c r="X3580" s="373"/>
      <c r="Y3580" s="348"/>
      <c r="Z3580" s="348"/>
      <c r="AA3580" s="348"/>
    </row>
    <row r="3581" s="331" customFormat="1" ht="17" customHeight="1" spans="1:27">
      <c r="A3581" s="348"/>
      <c r="B3581" s="348" t="s">
        <v>31</v>
      </c>
      <c r="C3581" s="348" t="s">
        <v>220</v>
      </c>
      <c r="D3581" s="349" t="s">
        <v>221</v>
      </c>
      <c r="E3581" s="336">
        <v>43696</v>
      </c>
      <c r="F3581" s="336">
        <v>43664</v>
      </c>
      <c r="G3581" s="350">
        <v>43695</v>
      </c>
      <c r="H3581" s="334" t="s">
        <v>8925</v>
      </c>
      <c r="I3581" s="356">
        <v>15618909306</v>
      </c>
      <c r="J3581" s="361" t="s">
        <v>8926</v>
      </c>
      <c r="K3581" s="356">
        <v>500</v>
      </c>
      <c r="L3581" s="334">
        <v>8270</v>
      </c>
      <c r="M3581" s="419"/>
      <c r="N3581" s="362">
        <f t="shared" si="124"/>
        <v>8270</v>
      </c>
      <c r="O3581" s="356"/>
      <c r="P3581" s="356"/>
      <c r="Q3581" s="356"/>
      <c r="R3581" s="356"/>
      <c r="S3581" s="356"/>
      <c r="T3581" s="356"/>
      <c r="U3581" s="372"/>
      <c r="V3581" s="372"/>
      <c r="W3581" s="372"/>
      <c r="X3581" s="373"/>
      <c r="Y3581" s="348"/>
      <c r="Z3581" s="348"/>
      <c r="AA3581" s="348"/>
    </row>
    <row r="3582" s="331" customFormat="1" ht="17" customHeight="1" spans="1:27">
      <c r="A3582" s="550" t="s">
        <v>8927</v>
      </c>
      <c r="B3582" s="348" t="s">
        <v>236</v>
      </c>
      <c r="C3582" s="348" t="s">
        <v>195</v>
      </c>
      <c r="D3582" s="349" t="s">
        <v>37</v>
      </c>
      <c r="E3582" s="336">
        <v>43696</v>
      </c>
      <c r="F3582" s="336">
        <v>43687</v>
      </c>
      <c r="G3582" s="350">
        <v>43691</v>
      </c>
      <c r="H3582" s="334" t="s">
        <v>8928</v>
      </c>
      <c r="I3582" s="356">
        <v>15900981088</v>
      </c>
      <c r="J3582" s="361" t="s">
        <v>8929</v>
      </c>
      <c r="K3582" s="356">
        <v>500</v>
      </c>
      <c r="L3582" s="334">
        <f>2408-368</f>
        <v>2040</v>
      </c>
      <c r="M3582" s="334">
        <v>368</v>
      </c>
      <c r="N3582" s="362">
        <f t="shared" ref="N3582:N3622" si="125">L3582+M3582</f>
        <v>2408</v>
      </c>
      <c r="O3582" s="356"/>
      <c r="P3582" s="356"/>
      <c r="Q3582" s="356"/>
      <c r="R3582" s="356"/>
      <c r="S3582" s="356"/>
      <c r="T3582" s="356"/>
      <c r="U3582" s="372"/>
      <c r="V3582" s="372"/>
      <c r="W3582" s="372"/>
      <c r="X3582" s="373"/>
      <c r="Y3582" s="348"/>
      <c r="Z3582" s="348"/>
      <c r="AA3582" s="348"/>
    </row>
    <row r="3583" s="331" customFormat="1" ht="17" customHeight="1" spans="1:27">
      <c r="A3583" s="550" t="s">
        <v>8930</v>
      </c>
      <c r="B3583" s="348" t="s">
        <v>87</v>
      </c>
      <c r="C3583" s="348" t="s">
        <v>199</v>
      </c>
      <c r="D3583" s="352" t="s">
        <v>89</v>
      </c>
      <c r="E3583" s="336">
        <v>43696</v>
      </c>
      <c r="F3583" s="336">
        <v>43695</v>
      </c>
      <c r="G3583" s="350">
        <v>43695</v>
      </c>
      <c r="H3583" s="334" t="s">
        <v>8931</v>
      </c>
      <c r="I3583" s="356">
        <v>13621768196</v>
      </c>
      <c r="J3583" s="361" t="s">
        <v>8932</v>
      </c>
      <c r="K3583" s="356">
        <v>40000</v>
      </c>
      <c r="L3583" s="334">
        <v>40000</v>
      </c>
      <c r="M3583" s="419"/>
      <c r="N3583" s="362">
        <f t="shared" si="125"/>
        <v>40000</v>
      </c>
      <c r="O3583" s="356"/>
      <c r="P3583" s="356"/>
      <c r="Q3583" s="356"/>
      <c r="R3583" s="356"/>
      <c r="S3583" s="356"/>
      <c r="T3583" s="356"/>
      <c r="U3583" s="372"/>
      <c r="V3583" s="372"/>
      <c r="W3583" s="372"/>
      <c r="X3583" s="373"/>
      <c r="Y3583" s="348"/>
      <c r="Z3583" s="348"/>
      <c r="AA3583" s="348"/>
    </row>
    <row r="3584" s="331" customFormat="1" ht="17" customHeight="1" spans="1:27">
      <c r="A3584" s="550" t="s">
        <v>8933</v>
      </c>
      <c r="B3584" s="348" t="s">
        <v>42</v>
      </c>
      <c r="C3584" s="348" t="s">
        <v>43</v>
      </c>
      <c r="D3584" s="352" t="s">
        <v>44</v>
      </c>
      <c r="E3584" s="336">
        <v>43786</v>
      </c>
      <c r="F3584" s="336">
        <v>43696</v>
      </c>
      <c r="G3584" s="336">
        <v>43785</v>
      </c>
      <c r="H3584" s="334" t="s">
        <v>8934</v>
      </c>
      <c r="I3584" s="356">
        <v>15721216866</v>
      </c>
      <c r="J3584" s="361" t="s">
        <v>8935</v>
      </c>
      <c r="K3584" s="356">
        <v>1000</v>
      </c>
      <c r="L3584" s="334">
        <v>9217</v>
      </c>
      <c r="M3584" s="419"/>
      <c r="N3584" s="362">
        <f t="shared" si="125"/>
        <v>9217</v>
      </c>
      <c r="O3584" s="356"/>
      <c r="P3584" s="356"/>
      <c r="Q3584" s="356"/>
      <c r="R3584" s="356"/>
      <c r="S3584" s="356"/>
      <c r="T3584" s="356"/>
      <c r="U3584" s="372"/>
      <c r="V3584" s="372"/>
      <c r="W3584" s="372"/>
      <c r="X3584" s="373"/>
      <c r="Y3584" s="348"/>
      <c r="Z3584" s="348"/>
      <c r="AA3584" s="348"/>
    </row>
    <row r="3585" s="331" customFormat="1" ht="17" customHeight="1" spans="1:27">
      <c r="A3585" s="348"/>
      <c r="B3585" s="348" t="s">
        <v>123</v>
      </c>
      <c r="C3585" s="348" t="s">
        <v>2301</v>
      </c>
      <c r="D3585" s="352" t="s">
        <v>125</v>
      </c>
      <c r="E3585" s="336">
        <v>43696</v>
      </c>
      <c r="F3585" s="336">
        <v>43695</v>
      </c>
      <c r="G3585" s="350"/>
      <c r="H3585" s="334" t="s">
        <v>2850</v>
      </c>
      <c r="I3585" s="356">
        <v>18676022163</v>
      </c>
      <c r="J3585" s="361" t="s">
        <v>8936</v>
      </c>
      <c r="K3585" s="356">
        <v>1000</v>
      </c>
      <c r="L3585" s="419"/>
      <c r="M3585" s="419"/>
      <c r="N3585" s="362">
        <f t="shared" si="125"/>
        <v>0</v>
      </c>
      <c r="O3585" s="356"/>
      <c r="P3585" s="356"/>
      <c r="Q3585" s="356"/>
      <c r="R3585" s="366" t="s">
        <v>52</v>
      </c>
      <c r="S3585" s="356"/>
      <c r="T3585" s="356"/>
      <c r="U3585" s="353" t="s">
        <v>12</v>
      </c>
      <c r="V3585" s="372"/>
      <c r="W3585" s="372"/>
      <c r="X3585" s="373"/>
      <c r="Y3585" s="348"/>
      <c r="Z3585" s="348"/>
      <c r="AA3585" s="348"/>
    </row>
    <row r="3586" s="331" customFormat="1" ht="17" customHeight="1" spans="1:27">
      <c r="A3586" s="550" t="s">
        <v>8937</v>
      </c>
      <c r="B3586" s="348" t="s">
        <v>169</v>
      </c>
      <c r="C3586" s="348" t="s">
        <v>542</v>
      </c>
      <c r="D3586" s="349" t="s">
        <v>171</v>
      </c>
      <c r="E3586" s="336">
        <v>43696</v>
      </c>
      <c r="F3586" s="336">
        <v>43695</v>
      </c>
      <c r="G3586" s="336">
        <v>43695</v>
      </c>
      <c r="H3586" s="334" t="s">
        <v>8938</v>
      </c>
      <c r="I3586" s="356">
        <v>15800803331</v>
      </c>
      <c r="J3586" s="361" t="s">
        <v>8939</v>
      </c>
      <c r="K3586" s="356">
        <v>38000</v>
      </c>
      <c r="L3586" s="334">
        <f>38053-1782.2</f>
        <v>36270.8</v>
      </c>
      <c r="M3586" s="334">
        <v>1782.2</v>
      </c>
      <c r="N3586" s="362">
        <f t="shared" si="125"/>
        <v>38053</v>
      </c>
      <c r="O3586" s="356"/>
      <c r="P3586" s="356"/>
      <c r="Q3586" s="356"/>
      <c r="R3586" s="356"/>
      <c r="S3586" s="356"/>
      <c r="T3586" s="356"/>
      <c r="U3586" s="372"/>
      <c r="V3586" s="372"/>
      <c r="W3586" s="372"/>
      <c r="X3586" s="373"/>
      <c r="Y3586" s="348"/>
      <c r="Z3586" s="348"/>
      <c r="AA3586" s="348"/>
    </row>
    <row r="3587" s="331" customFormat="1" ht="17" customHeight="1" spans="1:27">
      <c r="A3587" s="550" t="s">
        <v>8940</v>
      </c>
      <c r="B3587" s="348" t="s">
        <v>405</v>
      </c>
      <c r="C3587" s="348" t="s">
        <v>823</v>
      </c>
      <c r="D3587" s="352" t="s">
        <v>407</v>
      </c>
      <c r="E3587" s="336">
        <v>43696</v>
      </c>
      <c r="F3587" s="336">
        <v>43696</v>
      </c>
      <c r="G3587" s="350" t="s">
        <v>8941</v>
      </c>
      <c r="H3587" s="334" t="s">
        <v>8942</v>
      </c>
      <c r="I3587" s="356">
        <v>1862113198</v>
      </c>
      <c r="J3587" s="361" t="s">
        <v>8943</v>
      </c>
      <c r="K3587" s="356">
        <v>10000</v>
      </c>
      <c r="L3587" s="419"/>
      <c r="M3587" s="419"/>
      <c r="N3587" s="362">
        <f t="shared" si="125"/>
        <v>0</v>
      </c>
      <c r="O3587" s="356"/>
      <c r="P3587" s="356"/>
      <c r="Q3587" s="356"/>
      <c r="R3587" s="356"/>
      <c r="S3587" s="356"/>
      <c r="T3587" s="356"/>
      <c r="U3587" s="372"/>
      <c r="V3587" s="372"/>
      <c r="W3587" s="372"/>
      <c r="X3587" s="373"/>
      <c r="Y3587" s="348"/>
      <c r="Z3587" s="348"/>
      <c r="AA3587" s="348"/>
    </row>
    <row r="3588" s="331" customFormat="1" ht="15" customHeight="1" spans="1:27">
      <c r="A3588" s="550" t="s">
        <v>8944</v>
      </c>
      <c r="B3588" s="348" t="s">
        <v>405</v>
      </c>
      <c r="C3588" s="348" t="s">
        <v>498</v>
      </c>
      <c r="D3588" s="352" t="s">
        <v>407</v>
      </c>
      <c r="E3588" s="336">
        <v>43696</v>
      </c>
      <c r="F3588" s="336">
        <v>43330</v>
      </c>
      <c r="G3588" s="350"/>
      <c r="H3588" s="334" t="s">
        <v>8945</v>
      </c>
      <c r="I3588" s="356">
        <v>13429262160</v>
      </c>
      <c r="J3588" s="361" t="s">
        <v>8946</v>
      </c>
      <c r="K3588" s="356">
        <v>1000</v>
      </c>
      <c r="L3588" s="419"/>
      <c r="M3588" s="419"/>
      <c r="N3588" s="362">
        <f t="shared" si="125"/>
        <v>0</v>
      </c>
      <c r="O3588" s="356"/>
      <c r="P3588" s="356" t="s">
        <v>52</v>
      </c>
      <c r="Q3588" s="356"/>
      <c r="R3588" s="356"/>
      <c r="S3588" s="356"/>
      <c r="T3588" s="356"/>
      <c r="U3588" s="372"/>
      <c r="V3588" s="372"/>
      <c r="W3588" s="372"/>
      <c r="X3588" s="373"/>
      <c r="Y3588" s="348"/>
      <c r="Z3588" s="348"/>
      <c r="AA3588" s="348"/>
    </row>
    <row r="3589" s="331" customFormat="1" ht="15" customHeight="1" spans="1:27">
      <c r="A3589" s="550" t="s">
        <v>8947</v>
      </c>
      <c r="B3589" s="348" t="s">
        <v>405</v>
      </c>
      <c r="C3589" s="334" t="s">
        <v>8323</v>
      </c>
      <c r="D3589" s="352" t="s">
        <v>407</v>
      </c>
      <c r="E3589" s="336">
        <v>43712</v>
      </c>
      <c r="F3589" s="336">
        <v>43695</v>
      </c>
      <c r="G3589" s="350">
        <v>43712</v>
      </c>
      <c r="H3589" s="334" t="s">
        <v>8948</v>
      </c>
      <c r="I3589" s="356">
        <v>18521598454</v>
      </c>
      <c r="J3589" s="361" t="s">
        <v>8949</v>
      </c>
      <c r="K3589" s="356">
        <v>2999</v>
      </c>
      <c r="L3589" s="334">
        <v>2999</v>
      </c>
      <c r="M3589" s="419"/>
      <c r="N3589" s="362">
        <f t="shared" si="125"/>
        <v>2999</v>
      </c>
      <c r="O3589" s="356"/>
      <c r="P3589" s="356" t="s">
        <v>52</v>
      </c>
      <c r="Q3589" s="356"/>
      <c r="R3589" s="356"/>
      <c r="S3589" s="356"/>
      <c r="T3589" s="356"/>
      <c r="U3589" s="372"/>
      <c r="V3589" s="372"/>
      <c r="W3589" s="372"/>
      <c r="X3589" s="373"/>
      <c r="Y3589" s="348"/>
      <c r="Z3589" s="348"/>
      <c r="AA3589" s="348"/>
    </row>
    <row r="3590" s="331" customFormat="1" ht="17" customHeight="1" spans="1:27">
      <c r="A3590" s="550" t="s">
        <v>4950</v>
      </c>
      <c r="B3590" s="334" t="s">
        <v>185</v>
      </c>
      <c r="C3590" s="348" t="s">
        <v>1133</v>
      </c>
      <c r="D3590" s="352" t="s">
        <v>44</v>
      </c>
      <c r="E3590" s="336">
        <v>43704</v>
      </c>
      <c r="F3590" s="336">
        <v>43695</v>
      </c>
      <c r="G3590" s="336">
        <v>43703</v>
      </c>
      <c r="H3590" s="334" t="s">
        <v>3152</v>
      </c>
      <c r="I3590" s="356">
        <v>13901604489</v>
      </c>
      <c r="J3590" s="361" t="s">
        <v>8950</v>
      </c>
      <c r="K3590" s="356">
        <v>30000</v>
      </c>
      <c r="L3590" s="334">
        <v>30000</v>
      </c>
      <c r="M3590" s="419"/>
      <c r="N3590" s="362">
        <f t="shared" si="125"/>
        <v>30000</v>
      </c>
      <c r="O3590" s="356"/>
      <c r="P3590" s="356"/>
      <c r="Q3590" s="356"/>
      <c r="R3590" s="356"/>
      <c r="S3590" s="356"/>
      <c r="T3590" s="356"/>
      <c r="U3590" s="372"/>
      <c r="V3590" s="372"/>
      <c r="W3590" s="372"/>
      <c r="X3590" s="373"/>
      <c r="Y3590" s="348"/>
      <c r="Z3590" s="348"/>
      <c r="AA3590" s="348"/>
    </row>
    <row r="3591" s="331" customFormat="1" ht="17" customHeight="1" spans="1:27">
      <c r="A3591" s="550" t="s">
        <v>8951</v>
      </c>
      <c r="B3591" s="348" t="s">
        <v>66</v>
      </c>
      <c r="C3591" s="348" t="s">
        <v>951</v>
      </c>
      <c r="D3591" s="352" t="s">
        <v>68</v>
      </c>
      <c r="E3591" s="336">
        <v>43696</v>
      </c>
      <c r="F3591" s="336">
        <v>43514</v>
      </c>
      <c r="G3591" s="350"/>
      <c r="H3591" s="334" t="s">
        <v>8952</v>
      </c>
      <c r="I3591" s="356">
        <v>18621775667</v>
      </c>
      <c r="J3591" s="361" t="s">
        <v>8953</v>
      </c>
      <c r="K3591" s="356">
        <v>1000</v>
      </c>
      <c r="L3591" s="419"/>
      <c r="M3591" s="419"/>
      <c r="N3591" s="362">
        <f t="shared" si="125"/>
        <v>0</v>
      </c>
      <c r="O3591" s="356"/>
      <c r="P3591" s="356"/>
      <c r="Q3591" s="356"/>
      <c r="R3591" s="356"/>
      <c r="S3591" s="356"/>
      <c r="T3591" s="356"/>
      <c r="U3591" s="372" t="s">
        <v>12</v>
      </c>
      <c r="V3591" s="372"/>
      <c r="W3591" s="372"/>
      <c r="X3591" s="373"/>
      <c r="Y3591" s="348"/>
      <c r="Z3591" s="348"/>
      <c r="AA3591" s="348"/>
    </row>
    <row r="3592" s="331" customFormat="1" ht="17" customHeight="1" spans="1:27">
      <c r="A3592" s="550" t="s">
        <v>8954</v>
      </c>
      <c r="B3592" s="348" t="s">
        <v>31</v>
      </c>
      <c r="C3592" s="348" t="s">
        <v>3186</v>
      </c>
      <c r="D3592" s="352" t="s">
        <v>221</v>
      </c>
      <c r="E3592" s="336">
        <v>43724</v>
      </c>
      <c r="F3592" s="336">
        <v>43695</v>
      </c>
      <c r="G3592" s="336">
        <v>43722</v>
      </c>
      <c r="H3592" s="334" t="s">
        <v>8955</v>
      </c>
      <c r="I3592" s="356">
        <v>13818196106</v>
      </c>
      <c r="J3592" s="361" t="s">
        <v>8956</v>
      </c>
      <c r="K3592" s="356">
        <v>1000</v>
      </c>
      <c r="L3592" s="334">
        <v>13701</v>
      </c>
      <c r="M3592" s="419"/>
      <c r="N3592" s="362">
        <f t="shared" si="125"/>
        <v>13701</v>
      </c>
      <c r="O3592" s="356"/>
      <c r="P3592" s="356"/>
      <c r="Q3592" s="356"/>
      <c r="R3592" s="356"/>
      <c r="S3592" s="356"/>
      <c r="T3592" s="356"/>
      <c r="U3592" s="372"/>
      <c r="V3592" s="372"/>
      <c r="W3592" s="372"/>
      <c r="X3592" s="373"/>
      <c r="Y3592" s="348"/>
      <c r="Z3592" s="348"/>
      <c r="AA3592" s="348"/>
    </row>
    <row r="3593" s="331" customFormat="1" ht="17" customHeight="1" spans="1:27">
      <c r="A3593" s="550" t="s">
        <v>8957</v>
      </c>
      <c r="B3593" s="348" t="s">
        <v>35</v>
      </c>
      <c r="C3593" s="348" t="s">
        <v>328</v>
      </c>
      <c r="D3593" s="352" t="s">
        <v>37</v>
      </c>
      <c r="E3593" s="336">
        <v>43696</v>
      </c>
      <c r="F3593" s="336">
        <v>43696</v>
      </c>
      <c r="G3593" s="350" t="s">
        <v>69</v>
      </c>
      <c r="H3593" s="334" t="s">
        <v>8958</v>
      </c>
      <c r="I3593" s="356">
        <v>13701779986</v>
      </c>
      <c r="J3593" s="361" t="s">
        <v>8959</v>
      </c>
      <c r="K3593" s="356">
        <v>1000</v>
      </c>
      <c r="L3593" s="419"/>
      <c r="M3593" s="419"/>
      <c r="N3593" s="362">
        <f t="shared" si="125"/>
        <v>0</v>
      </c>
      <c r="O3593" s="356"/>
      <c r="Q3593" s="356" t="s">
        <v>52</v>
      </c>
      <c r="R3593" s="356"/>
      <c r="S3593" s="356"/>
      <c r="T3593" s="356"/>
      <c r="U3593" s="372"/>
      <c r="V3593" s="372"/>
      <c r="W3593" s="372"/>
      <c r="X3593" s="373"/>
      <c r="Y3593" s="348"/>
      <c r="Z3593" s="348"/>
      <c r="AA3593" s="348"/>
    </row>
    <row r="3594" s="331" customFormat="1" ht="17" customHeight="1" spans="1:27">
      <c r="A3594" s="550" t="s">
        <v>8960</v>
      </c>
      <c r="B3594" s="348" t="s">
        <v>315</v>
      </c>
      <c r="C3594" s="348" t="s">
        <v>181</v>
      </c>
      <c r="D3594" s="352" t="s">
        <v>182</v>
      </c>
      <c r="E3594" s="336">
        <v>43780</v>
      </c>
      <c r="F3594" s="336">
        <v>43695</v>
      </c>
      <c r="G3594" s="336">
        <v>43779</v>
      </c>
      <c r="H3594" s="334" t="s">
        <v>8961</v>
      </c>
      <c r="I3594" s="356">
        <v>15821391300</v>
      </c>
      <c r="J3594" s="361" t="s">
        <v>8962</v>
      </c>
      <c r="K3594" s="356">
        <v>1000</v>
      </c>
      <c r="L3594" s="334">
        <v>15893</v>
      </c>
      <c r="M3594" s="419"/>
      <c r="N3594" s="362">
        <f t="shared" si="125"/>
        <v>15893</v>
      </c>
      <c r="O3594" s="356">
        <v>1</v>
      </c>
      <c r="P3594" s="356"/>
      <c r="Q3594" s="356"/>
      <c r="R3594" s="356"/>
      <c r="S3594" s="356"/>
      <c r="T3594" s="356"/>
      <c r="U3594" s="372"/>
      <c r="V3594" s="372"/>
      <c r="W3594" s="372"/>
      <c r="X3594" s="373"/>
      <c r="Y3594" s="348"/>
      <c r="Z3594" s="348"/>
      <c r="AA3594" s="348"/>
    </row>
    <row r="3595" s="331" customFormat="1" ht="17" customHeight="1" spans="1:27">
      <c r="A3595" s="550" t="s">
        <v>7753</v>
      </c>
      <c r="B3595" s="348" t="s">
        <v>315</v>
      </c>
      <c r="C3595" s="348" t="s">
        <v>161</v>
      </c>
      <c r="D3595" s="352" t="s">
        <v>162</v>
      </c>
      <c r="E3595" s="336">
        <v>43696</v>
      </c>
      <c r="F3595" s="336">
        <v>43684</v>
      </c>
      <c r="G3595" s="350" t="s">
        <v>69</v>
      </c>
      <c r="H3595" s="334" t="s">
        <v>8963</v>
      </c>
      <c r="I3595" s="356">
        <v>18017311110</v>
      </c>
      <c r="J3595" s="361" t="s">
        <v>8964</v>
      </c>
      <c r="K3595" s="356">
        <v>30000</v>
      </c>
      <c r="L3595" s="419"/>
      <c r="M3595" s="419"/>
      <c r="N3595" s="362">
        <f t="shared" si="125"/>
        <v>0</v>
      </c>
      <c r="O3595" s="356">
        <v>1</v>
      </c>
      <c r="P3595" s="356"/>
      <c r="Q3595" s="356"/>
      <c r="R3595" s="356"/>
      <c r="S3595" s="356"/>
      <c r="T3595" s="356"/>
      <c r="U3595" s="372"/>
      <c r="V3595" s="372"/>
      <c r="W3595" s="372"/>
      <c r="X3595" s="373"/>
      <c r="Y3595" s="348"/>
      <c r="Z3595" s="348"/>
      <c r="AA3595" s="348"/>
    </row>
    <row r="3596" s="57" customFormat="1" ht="17" customHeight="1" spans="1:27">
      <c r="A3596" s="348"/>
      <c r="B3596" s="348" t="s">
        <v>137</v>
      </c>
      <c r="C3596" s="348" t="s">
        <v>861</v>
      </c>
      <c r="D3596" s="334" t="s">
        <v>2381</v>
      </c>
      <c r="E3596" s="336">
        <v>43793</v>
      </c>
      <c r="F3596" s="336">
        <v>43695</v>
      </c>
      <c r="G3596" s="336">
        <v>43793</v>
      </c>
      <c r="H3596" s="334" t="s">
        <v>8965</v>
      </c>
      <c r="I3596" s="356">
        <v>18521560390</v>
      </c>
      <c r="J3596" s="348" t="s">
        <v>8966</v>
      </c>
      <c r="K3596" s="356">
        <v>1399</v>
      </c>
      <c r="L3596" s="334">
        <v>4280</v>
      </c>
      <c r="M3596" s="419"/>
      <c r="N3596" s="362">
        <f t="shared" si="125"/>
        <v>4280</v>
      </c>
      <c r="O3596" s="356"/>
      <c r="P3596" s="356"/>
      <c r="Q3596" s="356"/>
      <c r="R3596" s="356">
        <v>1</v>
      </c>
      <c r="S3596" s="356"/>
      <c r="T3596" s="356"/>
      <c r="U3596" s="372"/>
      <c r="V3596" s="372"/>
      <c r="W3596" s="372"/>
      <c r="X3596" s="373"/>
      <c r="Y3596" s="348"/>
      <c r="Z3596" s="348"/>
      <c r="AA3596" s="348"/>
    </row>
    <row r="3597" s="331" customFormat="1" ht="17" customHeight="1" spans="1:27">
      <c r="A3597" s="550" t="s">
        <v>8967</v>
      </c>
      <c r="B3597" s="348" t="s">
        <v>315</v>
      </c>
      <c r="C3597" s="348" t="s">
        <v>181</v>
      </c>
      <c r="D3597" s="349" t="s">
        <v>89</v>
      </c>
      <c r="E3597" s="336">
        <v>43700</v>
      </c>
      <c r="F3597" s="336">
        <v>43695</v>
      </c>
      <c r="G3597" s="336">
        <v>43695</v>
      </c>
      <c r="H3597" s="334" t="s">
        <v>3201</v>
      </c>
      <c r="I3597" s="356">
        <v>13801941376</v>
      </c>
      <c r="J3597" s="361" t="s">
        <v>8968</v>
      </c>
      <c r="K3597" s="356">
        <v>20000</v>
      </c>
      <c r="L3597" s="334">
        <f>24398-2576</f>
        <v>21822</v>
      </c>
      <c r="M3597" s="334">
        <v>2576</v>
      </c>
      <c r="N3597" s="362">
        <f t="shared" si="125"/>
        <v>24398</v>
      </c>
      <c r="O3597" s="356"/>
      <c r="P3597" s="356"/>
      <c r="Q3597" s="356"/>
      <c r="R3597" s="356"/>
      <c r="S3597" s="356"/>
      <c r="T3597" s="356"/>
      <c r="U3597" s="372"/>
      <c r="V3597" s="372"/>
      <c r="W3597" s="372"/>
      <c r="X3597" s="373"/>
      <c r="Y3597" s="348"/>
      <c r="Z3597" s="348"/>
      <c r="AA3597" s="348"/>
    </row>
    <row r="3598" s="331" customFormat="1" ht="17" customHeight="1" spans="1:27">
      <c r="A3598" s="550" t="s">
        <v>8969</v>
      </c>
      <c r="B3598" s="348" t="s">
        <v>315</v>
      </c>
      <c r="C3598" s="348" t="s">
        <v>161</v>
      </c>
      <c r="D3598" s="352" t="s">
        <v>162</v>
      </c>
      <c r="E3598" s="336">
        <v>43705</v>
      </c>
      <c r="F3598" s="336">
        <v>43695</v>
      </c>
      <c r="G3598" s="336">
        <v>43705</v>
      </c>
      <c r="H3598" s="334" t="s">
        <v>8970</v>
      </c>
      <c r="I3598" s="356">
        <v>1381791698</v>
      </c>
      <c r="J3598" s="361" t="s">
        <v>8971</v>
      </c>
      <c r="K3598" s="356">
        <v>10500</v>
      </c>
      <c r="L3598" s="334">
        <v>10000</v>
      </c>
      <c r="M3598" s="419"/>
      <c r="N3598" s="362">
        <f t="shared" si="125"/>
        <v>10000</v>
      </c>
      <c r="O3598" s="356"/>
      <c r="P3598" s="356"/>
      <c r="Q3598" s="356">
        <v>1</v>
      </c>
      <c r="R3598" s="356"/>
      <c r="S3598" s="356"/>
      <c r="T3598" s="356"/>
      <c r="U3598" s="372"/>
      <c r="V3598" s="372"/>
      <c r="W3598" s="372"/>
      <c r="X3598" s="373"/>
      <c r="Y3598" s="348"/>
      <c r="Z3598" s="348"/>
      <c r="AA3598" s="348"/>
    </row>
    <row r="3599" s="331" customFormat="1" ht="17" customHeight="1" spans="1:27">
      <c r="A3599" s="550" t="s">
        <v>8972</v>
      </c>
      <c r="B3599" s="348" t="s">
        <v>66</v>
      </c>
      <c r="C3599" s="348" t="s">
        <v>951</v>
      </c>
      <c r="D3599" s="352" t="s">
        <v>68</v>
      </c>
      <c r="E3599" s="336">
        <v>43696</v>
      </c>
      <c r="F3599" s="336">
        <v>43696</v>
      </c>
      <c r="G3599" s="350"/>
      <c r="H3599" s="334" t="s">
        <v>8973</v>
      </c>
      <c r="I3599" s="356">
        <v>13611781446</v>
      </c>
      <c r="J3599" s="361" t="s">
        <v>8974</v>
      </c>
      <c r="K3599" s="356">
        <v>1000</v>
      </c>
      <c r="L3599" s="419"/>
      <c r="M3599" s="419"/>
      <c r="N3599" s="362">
        <f t="shared" si="125"/>
        <v>0</v>
      </c>
      <c r="O3599" s="356"/>
      <c r="P3599" s="356"/>
      <c r="Q3599" s="356"/>
      <c r="R3599" s="356"/>
      <c r="S3599" s="356"/>
      <c r="T3599" s="356"/>
      <c r="U3599" s="372"/>
      <c r="V3599" s="372"/>
      <c r="W3599" s="372"/>
      <c r="X3599" s="373"/>
      <c r="Y3599" s="348"/>
      <c r="Z3599" s="348"/>
      <c r="AA3599" s="348"/>
    </row>
    <row r="3600" s="331" customFormat="1" ht="17" customHeight="1" spans="1:27">
      <c r="A3600" s="550" t="s">
        <v>8975</v>
      </c>
      <c r="B3600" s="348" t="s">
        <v>315</v>
      </c>
      <c r="C3600" s="348" t="s">
        <v>161</v>
      </c>
      <c r="D3600" s="352" t="s">
        <v>162</v>
      </c>
      <c r="E3600" s="336">
        <v>43696</v>
      </c>
      <c r="F3600" s="336">
        <v>43695</v>
      </c>
      <c r="G3600" s="350" t="s">
        <v>69</v>
      </c>
      <c r="H3600" s="334" t="s">
        <v>8976</v>
      </c>
      <c r="I3600" s="356">
        <v>15901671213</v>
      </c>
      <c r="J3600" s="361" t="s">
        <v>8977</v>
      </c>
      <c r="K3600" s="356">
        <v>10000</v>
      </c>
      <c r="L3600" s="419"/>
      <c r="M3600" s="419"/>
      <c r="N3600" s="362">
        <f t="shared" si="125"/>
        <v>0</v>
      </c>
      <c r="O3600" s="356"/>
      <c r="P3600" s="356">
        <v>1</v>
      </c>
      <c r="Q3600" s="356"/>
      <c r="R3600" s="356"/>
      <c r="S3600" s="356"/>
      <c r="T3600" s="356"/>
      <c r="U3600" s="372"/>
      <c r="V3600" s="372"/>
      <c r="W3600" s="372"/>
      <c r="X3600" s="373"/>
      <c r="Y3600" s="348"/>
      <c r="Z3600" s="348"/>
      <c r="AA3600" s="348"/>
    </row>
    <row r="3601" s="331" customFormat="1" ht="17" customHeight="1" spans="1:27">
      <c r="A3601" s="348"/>
      <c r="B3601" s="348" t="s">
        <v>31</v>
      </c>
      <c r="C3601" s="348" t="s">
        <v>377</v>
      </c>
      <c r="D3601" s="334" t="s">
        <v>33</v>
      </c>
      <c r="E3601" s="336">
        <v>43765</v>
      </c>
      <c r="F3601" s="336">
        <v>43695</v>
      </c>
      <c r="G3601" s="336">
        <v>43764</v>
      </c>
      <c r="H3601" s="334" t="s">
        <v>8978</v>
      </c>
      <c r="I3601" s="356">
        <v>13918104248</v>
      </c>
      <c r="J3601" s="361" t="s">
        <v>8979</v>
      </c>
      <c r="K3601" s="356">
        <v>1000</v>
      </c>
      <c r="L3601" s="334">
        <v>6938</v>
      </c>
      <c r="M3601" s="419"/>
      <c r="N3601" s="362">
        <f t="shared" si="125"/>
        <v>6938</v>
      </c>
      <c r="O3601" s="356"/>
      <c r="P3601" s="356"/>
      <c r="Q3601" s="356"/>
      <c r="R3601" s="356"/>
      <c r="S3601" s="356"/>
      <c r="T3601" s="356"/>
      <c r="U3601" s="372"/>
      <c r="V3601" s="372"/>
      <c r="W3601" s="372"/>
      <c r="X3601" s="373"/>
      <c r="Y3601" s="348"/>
      <c r="Z3601" s="348"/>
      <c r="AA3601" s="348"/>
    </row>
    <row r="3602" s="331" customFormat="1" ht="17" customHeight="1" spans="1:27">
      <c r="A3602" s="550" t="s">
        <v>8980</v>
      </c>
      <c r="B3602" s="348" t="s">
        <v>31</v>
      </c>
      <c r="C3602" s="348" t="s">
        <v>377</v>
      </c>
      <c r="D3602" s="334" t="s">
        <v>33</v>
      </c>
      <c r="E3602" s="336">
        <v>43722</v>
      </c>
      <c r="F3602" s="336">
        <v>43695</v>
      </c>
      <c r="G3602" s="336">
        <v>43721</v>
      </c>
      <c r="H3602" s="334" t="s">
        <v>8981</v>
      </c>
      <c r="I3602" s="356">
        <v>13621671504</v>
      </c>
      <c r="J3602" s="361" t="s">
        <v>8982</v>
      </c>
      <c r="K3602" s="356">
        <v>5000</v>
      </c>
      <c r="L3602" s="334">
        <f>17779-1340</f>
        <v>16439</v>
      </c>
      <c r="M3602" s="334">
        <v>1340</v>
      </c>
      <c r="N3602" s="362">
        <f t="shared" si="125"/>
        <v>17779</v>
      </c>
      <c r="O3602" s="356"/>
      <c r="P3602" s="356"/>
      <c r="Q3602" s="356"/>
      <c r="R3602" s="356"/>
      <c r="S3602" s="356"/>
      <c r="T3602" s="356"/>
      <c r="U3602" s="372"/>
      <c r="V3602" s="372"/>
      <c r="W3602" s="372"/>
      <c r="X3602" s="373"/>
      <c r="Y3602" s="348"/>
      <c r="Z3602" s="348"/>
      <c r="AA3602" s="348"/>
    </row>
    <row r="3603" s="331" customFormat="1" ht="17" customHeight="1" spans="1:27">
      <c r="A3603" s="550" t="s">
        <v>7595</v>
      </c>
      <c r="B3603" s="348" t="s">
        <v>169</v>
      </c>
      <c r="C3603" s="348" t="s">
        <v>542</v>
      </c>
      <c r="D3603" s="352" t="s">
        <v>171</v>
      </c>
      <c r="E3603" s="336">
        <v>43696</v>
      </c>
      <c r="F3603" s="336">
        <v>43695</v>
      </c>
      <c r="G3603" s="350"/>
      <c r="H3603" s="334" t="s">
        <v>8983</v>
      </c>
      <c r="I3603" s="356">
        <v>18025308220</v>
      </c>
      <c r="J3603" s="361" t="s">
        <v>8984</v>
      </c>
      <c r="K3603" s="356">
        <v>1000</v>
      </c>
      <c r="L3603" s="419"/>
      <c r="M3603" s="419"/>
      <c r="N3603" s="362">
        <f t="shared" si="125"/>
        <v>0</v>
      </c>
      <c r="O3603" s="356" t="s">
        <v>19</v>
      </c>
      <c r="P3603" s="356"/>
      <c r="Q3603" s="356"/>
      <c r="R3603" s="356"/>
      <c r="S3603" s="356"/>
      <c r="T3603" s="356"/>
      <c r="U3603" s="372"/>
      <c r="V3603" s="372"/>
      <c r="W3603" s="372"/>
      <c r="X3603" s="373"/>
      <c r="Y3603" s="348"/>
      <c r="Z3603" s="348"/>
      <c r="AA3603" s="348"/>
    </row>
    <row r="3604" s="331" customFormat="1" ht="17" customHeight="1" spans="1:27">
      <c r="A3604" s="550" t="s">
        <v>8985</v>
      </c>
      <c r="B3604" s="348" t="s">
        <v>169</v>
      </c>
      <c r="C3604" s="348" t="s">
        <v>542</v>
      </c>
      <c r="D3604" s="352" t="s">
        <v>171</v>
      </c>
      <c r="E3604" s="336">
        <v>43780</v>
      </c>
      <c r="F3604" s="336">
        <v>43695</v>
      </c>
      <c r="G3604" s="336">
        <v>43779</v>
      </c>
      <c r="H3604" s="334" t="s">
        <v>8986</v>
      </c>
      <c r="I3604" s="356">
        <v>15121089001</v>
      </c>
      <c r="J3604" s="361" t="s">
        <v>8987</v>
      </c>
      <c r="K3604" s="356">
        <v>1000</v>
      </c>
      <c r="L3604" s="334">
        <v>4198</v>
      </c>
      <c r="M3604" s="419"/>
      <c r="N3604" s="362">
        <f t="shared" si="125"/>
        <v>4198</v>
      </c>
      <c r="O3604" s="356" t="s">
        <v>19</v>
      </c>
      <c r="P3604" s="356"/>
      <c r="Q3604" s="356"/>
      <c r="R3604" s="356"/>
      <c r="S3604" s="356"/>
      <c r="T3604" s="356"/>
      <c r="U3604" s="372"/>
      <c r="V3604" s="372"/>
      <c r="W3604" s="372"/>
      <c r="X3604" s="373"/>
      <c r="Y3604" s="348"/>
      <c r="Z3604" s="348"/>
      <c r="AA3604" s="348"/>
    </row>
    <row r="3605" s="331" customFormat="1" ht="17" customHeight="1" spans="1:27">
      <c r="A3605" s="550" t="s">
        <v>8988</v>
      </c>
      <c r="B3605" s="348" t="s">
        <v>315</v>
      </c>
      <c r="C3605" s="348" t="s">
        <v>230</v>
      </c>
      <c r="D3605" s="352" t="s">
        <v>182</v>
      </c>
      <c r="E3605" s="336">
        <v>43696</v>
      </c>
      <c r="F3605" s="336">
        <v>43695</v>
      </c>
      <c r="G3605" s="350"/>
      <c r="H3605" s="334" t="s">
        <v>8989</v>
      </c>
      <c r="I3605" s="356">
        <v>13585726045</v>
      </c>
      <c r="J3605" s="361" t="s">
        <v>8990</v>
      </c>
      <c r="K3605" s="356">
        <v>1000</v>
      </c>
      <c r="L3605" s="419"/>
      <c r="M3605" s="419"/>
      <c r="N3605" s="362">
        <f t="shared" si="125"/>
        <v>0</v>
      </c>
      <c r="O3605" s="356"/>
      <c r="P3605" s="356"/>
      <c r="Q3605" s="356">
        <v>1</v>
      </c>
      <c r="R3605" s="356"/>
      <c r="S3605" s="356"/>
      <c r="T3605" s="356"/>
      <c r="U3605" s="372" t="s">
        <v>12</v>
      </c>
      <c r="V3605" s="372"/>
      <c r="W3605" s="372"/>
      <c r="X3605" s="373"/>
      <c r="Y3605" s="348"/>
      <c r="Z3605" s="348"/>
      <c r="AA3605" s="348"/>
    </row>
    <row r="3606" s="331" customFormat="1" ht="17" customHeight="1" spans="1:27">
      <c r="A3606" s="550" t="s">
        <v>8991</v>
      </c>
      <c r="B3606" s="348" t="s">
        <v>315</v>
      </c>
      <c r="C3606" s="348" t="s">
        <v>230</v>
      </c>
      <c r="D3606" s="352" t="s">
        <v>182</v>
      </c>
      <c r="E3606" s="336">
        <v>43713</v>
      </c>
      <c r="F3606" s="336">
        <v>43694</v>
      </c>
      <c r="G3606" s="336">
        <v>43712</v>
      </c>
      <c r="H3606" s="334" t="s">
        <v>8992</v>
      </c>
      <c r="I3606" s="356">
        <v>18016386739</v>
      </c>
      <c r="J3606" s="361" t="s">
        <v>8993</v>
      </c>
      <c r="K3606" s="356">
        <v>15000</v>
      </c>
      <c r="L3606" s="334">
        <v>19449</v>
      </c>
      <c r="M3606" s="419"/>
      <c r="N3606" s="362">
        <f t="shared" si="125"/>
        <v>19449</v>
      </c>
      <c r="O3606" s="356"/>
      <c r="P3606" s="356"/>
      <c r="Q3606" s="356">
        <v>1</v>
      </c>
      <c r="R3606" s="356"/>
      <c r="S3606" s="356"/>
      <c r="T3606" s="356"/>
      <c r="U3606" s="372"/>
      <c r="V3606" s="372"/>
      <c r="W3606" s="372"/>
      <c r="X3606" s="373"/>
      <c r="Y3606" s="348"/>
      <c r="Z3606" s="348"/>
      <c r="AA3606" s="348"/>
    </row>
    <row r="3607" s="331" customFormat="1" ht="17" customHeight="1" spans="1:27">
      <c r="A3607" s="550" t="s">
        <v>8994</v>
      </c>
      <c r="B3607" s="348" t="s">
        <v>73</v>
      </c>
      <c r="C3607" s="348" t="s">
        <v>74</v>
      </c>
      <c r="D3607" s="352" t="s">
        <v>143</v>
      </c>
      <c r="E3607" s="336">
        <v>43706</v>
      </c>
      <c r="F3607" s="336">
        <v>43695</v>
      </c>
      <c r="G3607" s="336">
        <v>43703</v>
      </c>
      <c r="H3607" s="334" t="s">
        <v>8995</v>
      </c>
      <c r="I3607" s="356">
        <v>1316222259</v>
      </c>
      <c r="J3607" s="361" t="s">
        <v>8996</v>
      </c>
      <c r="K3607" s="356">
        <v>1000</v>
      </c>
      <c r="L3607" s="334">
        <v>18947</v>
      </c>
      <c r="M3607" s="419"/>
      <c r="N3607" s="362">
        <f t="shared" si="125"/>
        <v>18947</v>
      </c>
      <c r="O3607" s="366" t="s">
        <v>52</v>
      </c>
      <c r="P3607" s="356"/>
      <c r="Q3607" s="356"/>
      <c r="R3607" s="356"/>
      <c r="S3607" s="356"/>
      <c r="T3607" s="356"/>
      <c r="U3607" s="372"/>
      <c r="V3607" s="372"/>
      <c r="W3607" s="372"/>
      <c r="X3607" s="373"/>
      <c r="Y3607" s="348"/>
      <c r="Z3607" s="348"/>
      <c r="AA3607" s="348"/>
    </row>
    <row r="3608" s="331" customFormat="1" ht="17" customHeight="1" spans="1:27">
      <c r="A3608" s="348">
        <v>2022504</v>
      </c>
      <c r="B3608" s="348" t="s">
        <v>73</v>
      </c>
      <c r="C3608" s="348" t="s">
        <v>74</v>
      </c>
      <c r="D3608" s="352" t="s">
        <v>75</v>
      </c>
      <c r="E3608" s="336">
        <v>43696</v>
      </c>
      <c r="F3608" s="336">
        <v>43695</v>
      </c>
      <c r="G3608" s="350" t="s">
        <v>69</v>
      </c>
      <c r="H3608" s="334" t="s">
        <v>8997</v>
      </c>
      <c r="I3608" s="356">
        <v>13311771580</v>
      </c>
      <c r="J3608" s="361" t="s">
        <v>8998</v>
      </c>
      <c r="K3608" s="356">
        <v>1000</v>
      </c>
      <c r="L3608" s="419"/>
      <c r="M3608" s="419"/>
      <c r="N3608" s="362">
        <f t="shared" si="125"/>
        <v>0</v>
      </c>
      <c r="O3608" s="356"/>
      <c r="P3608" s="356"/>
      <c r="Q3608" s="366" t="s">
        <v>52</v>
      </c>
      <c r="R3608" s="356"/>
      <c r="S3608" s="356"/>
      <c r="T3608" s="356"/>
      <c r="U3608" s="372"/>
      <c r="V3608" s="372"/>
      <c r="W3608" s="372"/>
      <c r="X3608" s="373"/>
      <c r="Y3608" s="348"/>
      <c r="Z3608" s="348"/>
      <c r="AA3608" s="348"/>
    </row>
    <row r="3609" s="331" customFormat="1" ht="17" customHeight="1" spans="1:27">
      <c r="A3609" s="348">
        <v>2022507</v>
      </c>
      <c r="B3609" s="348" t="s">
        <v>73</v>
      </c>
      <c r="C3609" s="348" t="s">
        <v>178</v>
      </c>
      <c r="D3609" s="334" t="s">
        <v>717</v>
      </c>
      <c r="E3609" s="336">
        <v>43721</v>
      </c>
      <c r="F3609" s="336">
        <v>43695</v>
      </c>
      <c r="G3609" s="336">
        <v>43719</v>
      </c>
      <c r="H3609" s="334" t="s">
        <v>8999</v>
      </c>
      <c r="I3609" s="356">
        <v>13601995285</v>
      </c>
      <c r="J3609" s="361" t="s">
        <v>9000</v>
      </c>
      <c r="K3609" s="356">
        <v>1000</v>
      </c>
      <c r="L3609" s="334">
        <v>19023</v>
      </c>
      <c r="M3609" s="419"/>
      <c r="N3609" s="362">
        <f t="shared" si="125"/>
        <v>19023</v>
      </c>
      <c r="O3609" s="366" t="s">
        <v>52</v>
      </c>
      <c r="P3609" s="356"/>
      <c r="Q3609" s="356"/>
      <c r="R3609" s="356"/>
      <c r="S3609" s="356"/>
      <c r="T3609" s="356"/>
      <c r="U3609" s="372"/>
      <c r="V3609" s="372"/>
      <c r="W3609" s="372"/>
      <c r="X3609" s="373"/>
      <c r="Y3609" s="348"/>
      <c r="Z3609" s="348"/>
      <c r="AA3609" s="348"/>
    </row>
    <row r="3610" s="331" customFormat="1" ht="17" customHeight="1" spans="1:27">
      <c r="A3610" s="550" t="s">
        <v>8875</v>
      </c>
      <c r="B3610" s="348" t="s">
        <v>73</v>
      </c>
      <c r="C3610" s="348" t="s">
        <v>178</v>
      </c>
      <c r="D3610" s="334" t="s">
        <v>33</v>
      </c>
      <c r="E3610" s="336">
        <v>43736</v>
      </c>
      <c r="F3610" s="336">
        <v>43695</v>
      </c>
      <c r="G3610" s="336">
        <v>43736</v>
      </c>
      <c r="H3610" s="334" t="s">
        <v>9001</v>
      </c>
      <c r="I3610" s="356">
        <v>13916115832</v>
      </c>
      <c r="J3610" s="361" t="s">
        <v>9002</v>
      </c>
      <c r="K3610" s="356">
        <v>1000</v>
      </c>
      <c r="L3610" s="334">
        <f>12029-1140</f>
        <v>10889</v>
      </c>
      <c r="M3610" s="334">
        <v>1140</v>
      </c>
      <c r="N3610" s="362">
        <f t="shared" si="125"/>
        <v>12029</v>
      </c>
      <c r="O3610" s="366" t="s">
        <v>52</v>
      </c>
      <c r="P3610" s="356"/>
      <c r="Q3610" s="356"/>
      <c r="R3610" s="356"/>
      <c r="S3610" s="356"/>
      <c r="T3610" s="356"/>
      <c r="U3610" s="372"/>
      <c r="V3610" s="372"/>
      <c r="W3610" s="372"/>
      <c r="X3610" s="373"/>
      <c r="Y3610" s="348"/>
      <c r="Z3610" s="348"/>
      <c r="AA3610" s="348"/>
    </row>
    <row r="3611" s="331" customFormat="1" ht="17" customHeight="1" spans="1:27">
      <c r="A3611" s="550" t="s">
        <v>9003</v>
      </c>
      <c r="B3611" s="348" t="s">
        <v>73</v>
      </c>
      <c r="C3611" s="348" t="s">
        <v>74</v>
      </c>
      <c r="D3611" s="334" t="s">
        <v>717</v>
      </c>
      <c r="E3611" s="336">
        <v>43738</v>
      </c>
      <c r="F3611" s="336">
        <v>43695</v>
      </c>
      <c r="G3611" s="336">
        <v>43738</v>
      </c>
      <c r="H3611" s="334" t="s">
        <v>9004</v>
      </c>
      <c r="I3611" s="356">
        <v>13701999888</v>
      </c>
      <c r="J3611" s="361" t="s">
        <v>9005</v>
      </c>
      <c r="K3611" s="356">
        <v>1000</v>
      </c>
      <c r="L3611" s="334">
        <v>86028</v>
      </c>
      <c r="M3611" s="419"/>
      <c r="N3611" s="362">
        <f t="shared" si="125"/>
        <v>86028</v>
      </c>
      <c r="O3611" s="366" t="s">
        <v>52</v>
      </c>
      <c r="P3611" s="356"/>
      <c r="Q3611" s="356"/>
      <c r="R3611" s="356"/>
      <c r="S3611" s="356"/>
      <c r="T3611" s="356"/>
      <c r="U3611" s="372"/>
      <c r="V3611" s="372"/>
      <c r="W3611" s="372"/>
      <c r="X3611" s="373"/>
      <c r="Y3611" s="348"/>
      <c r="Z3611" s="348"/>
      <c r="AA3611" s="348"/>
    </row>
    <row r="3612" s="331" customFormat="1" ht="17" customHeight="1" spans="1:27">
      <c r="A3612" s="550" t="s">
        <v>9006</v>
      </c>
      <c r="B3612" s="348" t="s">
        <v>315</v>
      </c>
      <c r="C3612" s="348" t="s">
        <v>230</v>
      </c>
      <c r="D3612" s="334" t="s">
        <v>1431</v>
      </c>
      <c r="E3612" s="336">
        <v>43756</v>
      </c>
      <c r="F3612" s="336">
        <v>43695</v>
      </c>
      <c r="G3612" s="336">
        <v>43754</v>
      </c>
      <c r="H3612" s="334" t="s">
        <v>9007</v>
      </c>
      <c r="I3612" s="356">
        <v>1302112207</v>
      </c>
      <c r="J3612" s="361" t="s">
        <v>9008</v>
      </c>
      <c r="K3612" s="356">
        <v>1000</v>
      </c>
      <c r="L3612" s="334">
        <v>12770</v>
      </c>
      <c r="M3612" s="419"/>
      <c r="N3612" s="362">
        <f t="shared" si="125"/>
        <v>12770</v>
      </c>
      <c r="O3612" s="356"/>
      <c r="P3612" s="356"/>
      <c r="Q3612" s="356">
        <v>1</v>
      </c>
      <c r="R3612" s="356"/>
      <c r="S3612" s="356"/>
      <c r="T3612" s="356"/>
      <c r="U3612" s="372"/>
      <c r="V3612" s="372"/>
      <c r="W3612" s="372"/>
      <c r="X3612" s="373"/>
      <c r="Y3612" s="348"/>
      <c r="Z3612" s="348"/>
      <c r="AA3612" s="348"/>
    </row>
    <row r="3613" s="331" customFormat="1" ht="17" customHeight="1" spans="1:27">
      <c r="A3613" s="348">
        <v>2022502</v>
      </c>
      <c r="B3613" s="348" t="s">
        <v>73</v>
      </c>
      <c r="C3613" s="348" t="s">
        <v>178</v>
      </c>
      <c r="D3613" s="352" t="s">
        <v>75</v>
      </c>
      <c r="E3613" s="336">
        <v>43737</v>
      </c>
      <c r="F3613" s="336">
        <v>43695</v>
      </c>
      <c r="G3613" s="336">
        <v>43736</v>
      </c>
      <c r="H3613" s="334" t="s">
        <v>9009</v>
      </c>
      <c r="I3613" s="356">
        <v>13741734158</v>
      </c>
      <c r="J3613" s="361" t="s">
        <v>9010</v>
      </c>
      <c r="K3613" s="356">
        <v>1000</v>
      </c>
      <c r="L3613" s="334">
        <v>33264</v>
      </c>
      <c r="M3613" s="419"/>
      <c r="N3613" s="362">
        <f t="shared" si="125"/>
        <v>33264</v>
      </c>
      <c r="O3613" s="366" t="s">
        <v>52</v>
      </c>
      <c r="P3613" s="356"/>
      <c r="Q3613" s="356"/>
      <c r="R3613" s="356"/>
      <c r="S3613" s="356"/>
      <c r="T3613" s="356"/>
      <c r="U3613" s="372"/>
      <c r="V3613" s="372"/>
      <c r="W3613" s="372"/>
      <c r="X3613" s="373"/>
      <c r="Y3613" s="348"/>
      <c r="Z3613" s="348"/>
      <c r="AA3613" s="348"/>
    </row>
    <row r="3614" s="331" customFormat="1" ht="17" customHeight="1" spans="1:27">
      <c r="A3614" s="550" t="s">
        <v>9011</v>
      </c>
      <c r="B3614" s="348" t="s">
        <v>31</v>
      </c>
      <c r="C3614" s="348" t="s">
        <v>419</v>
      </c>
      <c r="D3614" s="352" t="s">
        <v>221</v>
      </c>
      <c r="E3614" s="336">
        <v>43716</v>
      </c>
      <c r="F3614" s="336">
        <v>43695</v>
      </c>
      <c r="G3614" s="336">
        <v>43715</v>
      </c>
      <c r="H3614" s="334" t="s">
        <v>9012</v>
      </c>
      <c r="I3614" s="356">
        <v>13916897836</v>
      </c>
      <c r="J3614" s="361" t="s">
        <v>9013</v>
      </c>
      <c r="K3614" s="356">
        <f>500+9600</f>
        <v>10100</v>
      </c>
      <c r="L3614" s="334">
        <v>13970</v>
      </c>
      <c r="M3614" s="419"/>
      <c r="N3614" s="362">
        <f t="shared" si="125"/>
        <v>13970</v>
      </c>
      <c r="O3614" s="356"/>
      <c r="P3614" s="356"/>
      <c r="Q3614" s="356"/>
      <c r="R3614" s="356"/>
      <c r="S3614" s="356"/>
      <c r="T3614" s="356"/>
      <c r="U3614" s="372"/>
      <c r="V3614" s="372"/>
      <c r="W3614" s="372"/>
      <c r="X3614" s="373"/>
      <c r="Y3614" s="348"/>
      <c r="Z3614" s="348"/>
      <c r="AA3614" s="348"/>
    </row>
    <row r="3615" s="331" customFormat="1" ht="17" customHeight="1" spans="1:27">
      <c r="A3615" s="348">
        <v>2022503</v>
      </c>
      <c r="B3615" s="348" t="s">
        <v>73</v>
      </c>
      <c r="C3615" s="348" t="s">
        <v>178</v>
      </c>
      <c r="D3615" s="352" t="s">
        <v>125</v>
      </c>
      <c r="E3615" s="336">
        <v>43783</v>
      </c>
      <c r="F3615" s="336">
        <v>43695</v>
      </c>
      <c r="G3615" s="336">
        <v>43783</v>
      </c>
      <c r="H3615" s="334" t="s">
        <v>9014</v>
      </c>
      <c r="I3615" s="356">
        <v>13601627153</v>
      </c>
      <c r="J3615" s="361" t="s">
        <v>9015</v>
      </c>
      <c r="K3615" s="356">
        <v>1000</v>
      </c>
      <c r="L3615" s="334">
        <v>15306</v>
      </c>
      <c r="M3615" s="419"/>
      <c r="N3615" s="362">
        <f t="shared" si="125"/>
        <v>15306</v>
      </c>
      <c r="O3615" s="366" t="s">
        <v>52</v>
      </c>
      <c r="P3615" s="356"/>
      <c r="Q3615" s="356"/>
      <c r="R3615" s="356"/>
      <c r="S3615" s="356"/>
      <c r="T3615" s="356"/>
      <c r="U3615" s="372"/>
      <c r="V3615" s="372"/>
      <c r="W3615" s="372"/>
      <c r="X3615" s="373"/>
      <c r="Y3615" s="348"/>
      <c r="Z3615" s="348"/>
      <c r="AA3615" s="348"/>
    </row>
    <row r="3616" s="331" customFormat="1" ht="17" customHeight="1" spans="1:27">
      <c r="A3616" s="348">
        <v>2022506</v>
      </c>
      <c r="B3616" s="348" t="s">
        <v>73</v>
      </c>
      <c r="C3616" s="348" t="s">
        <v>178</v>
      </c>
      <c r="D3616" s="334" t="s">
        <v>187</v>
      </c>
      <c r="E3616" s="336">
        <v>43769</v>
      </c>
      <c r="F3616" s="336">
        <v>43695</v>
      </c>
      <c r="G3616" s="336">
        <v>43768</v>
      </c>
      <c r="H3616" s="334" t="s">
        <v>9016</v>
      </c>
      <c r="I3616" s="356">
        <v>13918065176</v>
      </c>
      <c r="J3616" s="361" t="s">
        <v>9017</v>
      </c>
      <c r="K3616" s="356">
        <v>1000</v>
      </c>
      <c r="L3616" s="334">
        <v>34140</v>
      </c>
      <c r="M3616" s="419"/>
      <c r="N3616" s="362">
        <f t="shared" si="125"/>
        <v>34140</v>
      </c>
      <c r="O3616" s="366" t="s">
        <v>52</v>
      </c>
      <c r="P3616" s="356"/>
      <c r="Q3616" s="356"/>
      <c r="R3616" s="356"/>
      <c r="S3616" s="356"/>
      <c r="T3616" s="356"/>
      <c r="U3616" s="372"/>
      <c r="V3616" s="372"/>
      <c r="W3616" s="372"/>
      <c r="X3616" s="373"/>
      <c r="Y3616" s="348"/>
      <c r="Z3616" s="348"/>
      <c r="AA3616" s="348"/>
    </row>
    <row r="3617" s="331" customFormat="1" ht="17" customHeight="1" spans="1:27">
      <c r="A3617" s="348">
        <v>2022510</v>
      </c>
      <c r="B3617" s="348" t="s">
        <v>73</v>
      </c>
      <c r="C3617" s="348" t="s">
        <v>74</v>
      </c>
      <c r="D3617" s="352" t="s">
        <v>75</v>
      </c>
      <c r="E3617" s="336">
        <v>43751</v>
      </c>
      <c r="F3617" s="336">
        <v>43695</v>
      </c>
      <c r="G3617" s="336">
        <v>43751</v>
      </c>
      <c r="H3617" s="334" t="s">
        <v>9018</v>
      </c>
      <c r="I3617" s="356">
        <v>18917993620</v>
      </c>
      <c r="J3617" s="361" t="s">
        <v>9019</v>
      </c>
      <c r="K3617" s="356">
        <v>1000</v>
      </c>
      <c r="L3617" s="334">
        <v>12659</v>
      </c>
      <c r="M3617" s="419"/>
      <c r="N3617" s="362">
        <f t="shared" si="125"/>
        <v>12659</v>
      </c>
      <c r="O3617" s="356"/>
      <c r="P3617" s="366" t="s">
        <v>52</v>
      </c>
      <c r="Q3617" s="356"/>
      <c r="R3617" s="356"/>
      <c r="S3617" s="356"/>
      <c r="T3617" s="356"/>
      <c r="U3617" s="372"/>
      <c r="V3617" s="372"/>
      <c r="W3617" s="372"/>
      <c r="X3617" s="373"/>
      <c r="Y3617" s="348"/>
      <c r="Z3617" s="348"/>
      <c r="AA3617" s="348"/>
    </row>
    <row r="3618" s="331" customFormat="1" ht="17" customHeight="1" spans="1:27">
      <c r="A3618" s="550" t="s">
        <v>4689</v>
      </c>
      <c r="B3618" s="348" t="s">
        <v>73</v>
      </c>
      <c r="C3618" s="348" t="s">
        <v>74</v>
      </c>
      <c r="D3618" s="352" t="s">
        <v>75</v>
      </c>
      <c r="E3618" s="336">
        <v>43696</v>
      </c>
      <c r="F3618" s="336">
        <v>43695</v>
      </c>
      <c r="G3618" s="350"/>
      <c r="H3618" s="334" t="s">
        <v>9020</v>
      </c>
      <c r="I3618" s="356">
        <v>13818608667</v>
      </c>
      <c r="J3618" s="361" t="s">
        <v>9021</v>
      </c>
      <c r="K3618" s="356">
        <v>1000</v>
      </c>
      <c r="L3618" s="419"/>
      <c r="M3618" s="419"/>
      <c r="N3618" s="362">
        <f t="shared" si="125"/>
        <v>0</v>
      </c>
      <c r="O3618" s="356"/>
      <c r="P3618" s="356"/>
      <c r="Q3618" s="366" t="s">
        <v>52</v>
      </c>
      <c r="R3618" s="356"/>
      <c r="S3618" s="356"/>
      <c r="T3618" s="356"/>
      <c r="U3618" s="372"/>
      <c r="V3618" s="372"/>
      <c r="W3618" s="372"/>
      <c r="X3618" s="373"/>
      <c r="Y3618" s="348"/>
      <c r="Z3618" s="348"/>
      <c r="AA3618" s="348"/>
    </row>
    <row r="3619" s="331" customFormat="1" ht="17" customHeight="1" spans="1:28">
      <c r="A3619" s="550" t="s">
        <v>9022</v>
      </c>
      <c r="B3619" s="334" t="s">
        <v>73</v>
      </c>
      <c r="C3619" s="334" t="s">
        <v>74</v>
      </c>
      <c r="D3619" s="352" t="s">
        <v>75</v>
      </c>
      <c r="E3619" s="336">
        <v>43709</v>
      </c>
      <c r="F3619" s="336">
        <v>43709</v>
      </c>
      <c r="G3619" s="350"/>
      <c r="H3619" s="334" t="s">
        <v>9023</v>
      </c>
      <c r="I3619" s="334">
        <v>15317956797</v>
      </c>
      <c r="J3619" s="367" t="s">
        <v>9024</v>
      </c>
      <c r="K3619" s="334">
        <v>1000</v>
      </c>
      <c r="L3619" s="338"/>
      <c r="M3619" s="338"/>
      <c r="N3619" s="362">
        <f t="shared" si="125"/>
        <v>0</v>
      </c>
      <c r="O3619" s="366" t="s">
        <v>52</v>
      </c>
      <c r="P3619" s="330"/>
      <c r="Q3619" s="330"/>
      <c r="R3619" s="330"/>
      <c r="S3619" s="330"/>
      <c r="T3619" s="330"/>
      <c r="U3619" s="330"/>
      <c r="V3619" s="330"/>
      <c r="W3619" s="330"/>
      <c r="X3619" s="339"/>
      <c r="Y3619" s="330"/>
      <c r="Z3619" s="330"/>
      <c r="AA3619" s="330"/>
      <c r="AB3619" s="443"/>
    </row>
    <row r="3620" s="331" customFormat="1" ht="17" customHeight="1" spans="1:27">
      <c r="A3620" s="550" t="s">
        <v>9025</v>
      </c>
      <c r="B3620" s="348" t="s">
        <v>73</v>
      </c>
      <c r="C3620" s="348" t="s">
        <v>74</v>
      </c>
      <c r="D3620" s="334" t="s">
        <v>75</v>
      </c>
      <c r="E3620" s="336">
        <v>43736</v>
      </c>
      <c r="F3620" s="336">
        <v>43695</v>
      </c>
      <c r="G3620" s="336">
        <v>43734</v>
      </c>
      <c r="H3620" s="334" t="s">
        <v>9026</v>
      </c>
      <c r="I3620" s="356">
        <v>13899873321</v>
      </c>
      <c r="J3620" s="361" t="s">
        <v>9027</v>
      </c>
      <c r="K3620" s="356">
        <v>1000</v>
      </c>
      <c r="L3620" s="334">
        <v>10228</v>
      </c>
      <c r="M3620" s="419"/>
      <c r="N3620" s="362">
        <f t="shared" si="125"/>
        <v>10228</v>
      </c>
      <c r="O3620" s="356"/>
      <c r="P3620" s="356"/>
      <c r="Q3620" s="366" t="s">
        <v>52</v>
      </c>
      <c r="R3620" s="356"/>
      <c r="S3620" s="356"/>
      <c r="T3620" s="356"/>
      <c r="U3620" s="372"/>
      <c r="V3620" s="372"/>
      <c r="W3620" s="372"/>
      <c r="X3620" s="373"/>
      <c r="Y3620" s="348"/>
      <c r="Z3620" s="348"/>
      <c r="AA3620" s="348"/>
    </row>
    <row r="3621" s="331" customFormat="1" ht="17" customHeight="1" spans="1:27">
      <c r="A3621" s="550" t="s">
        <v>9028</v>
      </c>
      <c r="B3621" s="348" t="s">
        <v>73</v>
      </c>
      <c r="C3621" s="348" t="s">
        <v>74</v>
      </c>
      <c r="D3621" s="334" t="s">
        <v>1431</v>
      </c>
      <c r="E3621" s="336">
        <v>43721</v>
      </c>
      <c r="F3621" s="336">
        <v>43695</v>
      </c>
      <c r="G3621" s="336">
        <v>43720</v>
      </c>
      <c r="H3621" s="334" t="s">
        <v>9029</v>
      </c>
      <c r="I3621" s="552" t="s">
        <v>9030</v>
      </c>
      <c r="J3621" s="361" t="s">
        <v>9031</v>
      </c>
      <c r="K3621" s="356">
        <v>1000</v>
      </c>
      <c r="L3621" s="334">
        <v>6292</v>
      </c>
      <c r="M3621" s="419"/>
      <c r="N3621" s="362">
        <f t="shared" si="125"/>
        <v>6292</v>
      </c>
      <c r="O3621" s="356"/>
      <c r="P3621" s="366" t="s">
        <v>52</v>
      </c>
      <c r="Q3621" s="356"/>
      <c r="R3621" s="356"/>
      <c r="S3621" s="356"/>
      <c r="T3621" s="356"/>
      <c r="U3621" s="372"/>
      <c r="V3621" s="372"/>
      <c r="W3621" s="372"/>
      <c r="X3621" s="373"/>
      <c r="Y3621" s="348"/>
      <c r="Z3621" s="348"/>
      <c r="AA3621" s="348"/>
    </row>
    <row r="3622" s="331" customFormat="1" ht="17" customHeight="1" spans="1:27">
      <c r="A3622" s="348">
        <v>2022508</v>
      </c>
      <c r="B3622" s="348" t="s">
        <v>73</v>
      </c>
      <c r="C3622" s="348" t="s">
        <v>74</v>
      </c>
      <c r="D3622" s="352" t="s">
        <v>75</v>
      </c>
      <c r="E3622" s="336">
        <v>43696</v>
      </c>
      <c r="F3622" s="336">
        <v>43695</v>
      </c>
      <c r="G3622" s="350" t="s">
        <v>69</v>
      </c>
      <c r="H3622" s="334" t="s">
        <v>9032</v>
      </c>
      <c r="I3622" s="356">
        <v>1331992155</v>
      </c>
      <c r="J3622" s="361" t="s">
        <v>9033</v>
      </c>
      <c r="K3622" s="356">
        <v>1000</v>
      </c>
      <c r="L3622" s="419"/>
      <c r="M3622" s="419"/>
      <c r="N3622" s="362">
        <f t="shared" ref="N3622:N3648" si="126">L3622+M3622</f>
        <v>0</v>
      </c>
      <c r="O3622" s="356"/>
      <c r="P3622" s="366" t="s">
        <v>52</v>
      </c>
      <c r="Q3622" s="356"/>
      <c r="R3622" s="356"/>
      <c r="S3622" s="356"/>
      <c r="T3622" s="356"/>
      <c r="U3622" s="372"/>
      <c r="V3622" s="372"/>
      <c r="W3622" s="372"/>
      <c r="X3622" s="373"/>
      <c r="Y3622" s="348"/>
      <c r="Z3622" s="348"/>
      <c r="AA3622" s="348"/>
    </row>
    <row r="3623" s="331" customFormat="1" ht="17" customHeight="1" spans="1:27">
      <c r="A3623" s="550" t="s">
        <v>9034</v>
      </c>
      <c r="B3623" s="348" t="s">
        <v>205</v>
      </c>
      <c r="C3623" s="348" t="s">
        <v>1467</v>
      </c>
      <c r="D3623" s="334" t="s">
        <v>89</v>
      </c>
      <c r="E3623" s="336">
        <v>43724</v>
      </c>
      <c r="F3623" s="336">
        <v>43695</v>
      </c>
      <c r="G3623" s="336">
        <v>43724</v>
      </c>
      <c r="H3623" s="334" t="s">
        <v>9035</v>
      </c>
      <c r="I3623" s="356">
        <v>13816825397</v>
      </c>
      <c r="J3623" s="361" t="s">
        <v>9036</v>
      </c>
      <c r="K3623" s="356">
        <v>4715</v>
      </c>
      <c r="L3623" s="334">
        <v>4239</v>
      </c>
      <c r="M3623" s="419"/>
      <c r="N3623" s="362">
        <f t="shared" si="126"/>
        <v>4239</v>
      </c>
      <c r="O3623" s="356"/>
      <c r="P3623" s="356" t="s">
        <v>1526</v>
      </c>
      <c r="Q3623" s="356"/>
      <c r="R3623" s="356"/>
      <c r="S3623" s="356"/>
      <c r="T3623" s="356"/>
      <c r="U3623" s="372"/>
      <c r="V3623" s="372"/>
      <c r="W3623" s="372"/>
      <c r="X3623" s="373"/>
      <c r="Y3623" s="348"/>
      <c r="Z3623" s="348"/>
      <c r="AA3623" s="348"/>
    </row>
    <row r="3624" s="331" customFormat="1" ht="17" customHeight="1" spans="1:27">
      <c r="A3624" s="550" t="s">
        <v>9037</v>
      </c>
      <c r="B3624" s="348" t="s">
        <v>205</v>
      </c>
      <c r="C3624" s="348" t="s">
        <v>1467</v>
      </c>
      <c r="D3624" s="349" t="s">
        <v>207</v>
      </c>
      <c r="E3624" s="336">
        <v>43696</v>
      </c>
      <c r="F3624" s="336">
        <v>43331</v>
      </c>
      <c r="G3624" s="356" t="s">
        <v>469</v>
      </c>
      <c r="H3624" s="334" t="s">
        <v>9038</v>
      </c>
      <c r="I3624" s="356">
        <v>19755716723</v>
      </c>
      <c r="J3624" s="361" t="s">
        <v>9039</v>
      </c>
      <c r="K3624" s="356">
        <v>5844</v>
      </c>
      <c r="L3624" s="419"/>
      <c r="M3624" s="419"/>
      <c r="N3624" s="362">
        <f t="shared" si="126"/>
        <v>0</v>
      </c>
      <c r="O3624" s="356"/>
      <c r="P3624" s="356"/>
      <c r="Q3624" s="356"/>
      <c r="R3624" s="356"/>
      <c r="S3624" s="356"/>
      <c r="T3624" s="356"/>
      <c r="U3624" s="372"/>
      <c r="V3624" s="372"/>
      <c r="W3624" s="372"/>
      <c r="X3624" s="373"/>
      <c r="Y3624" s="348"/>
      <c r="Z3624" s="348"/>
      <c r="AA3624" s="348"/>
    </row>
    <row r="3625" s="331" customFormat="1" ht="17" customHeight="1" spans="1:27">
      <c r="A3625" s="550" t="s">
        <v>9040</v>
      </c>
      <c r="B3625" s="348" t="s">
        <v>315</v>
      </c>
      <c r="C3625" s="348" t="s">
        <v>161</v>
      </c>
      <c r="D3625" s="352" t="s">
        <v>162</v>
      </c>
      <c r="E3625" s="336">
        <v>43708</v>
      </c>
      <c r="F3625" s="336">
        <v>43695</v>
      </c>
      <c r="G3625" s="336">
        <v>43708</v>
      </c>
      <c r="H3625" s="334" t="s">
        <v>9041</v>
      </c>
      <c r="I3625" s="356">
        <v>13816677919</v>
      </c>
      <c r="J3625" s="361" t="s">
        <v>9042</v>
      </c>
      <c r="K3625" s="356">
        <v>2798</v>
      </c>
      <c r="L3625" s="334">
        <v>7173</v>
      </c>
      <c r="M3625" s="419"/>
      <c r="N3625" s="362">
        <f t="shared" si="126"/>
        <v>7173</v>
      </c>
      <c r="O3625" s="356">
        <v>1</v>
      </c>
      <c r="P3625" s="356"/>
      <c r="Q3625" s="356"/>
      <c r="R3625" s="356"/>
      <c r="S3625" s="356"/>
      <c r="T3625" s="356"/>
      <c r="U3625" s="372"/>
      <c r="V3625" s="372"/>
      <c r="W3625" s="372"/>
      <c r="X3625" s="373"/>
      <c r="Y3625" s="348"/>
      <c r="Z3625" s="348"/>
      <c r="AA3625" s="348"/>
    </row>
    <row r="3626" s="331" customFormat="1" ht="17" customHeight="1" spans="1:27">
      <c r="A3626" s="550" t="s">
        <v>9043</v>
      </c>
      <c r="B3626" s="348" t="s">
        <v>315</v>
      </c>
      <c r="C3626" s="348" t="s">
        <v>161</v>
      </c>
      <c r="D3626" s="334" t="s">
        <v>1431</v>
      </c>
      <c r="E3626" s="336">
        <v>43768</v>
      </c>
      <c r="F3626" s="336">
        <v>43695</v>
      </c>
      <c r="G3626" s="336">
        <v>43767</v>
      </c>
      <c r="H3626" s="334" t="s">
        <v>9044</v>
      </c>
      <c r="I3626" s="356">
        <v>13671880602</v>
      </c>
      <c r="J3626" s="361" t="s">
        <v>9045</v>
      </c>
      <c r="K3626" s="356">
        <v>1000</v>
      </c>
      <c r="L3626" s="334">
        <v>2154</v>
      </c>
      <c r="M3626" s="334">
        <v>1934</v>
      </c>
      <c r="N3626" s="362">
        <f t="shared" si="126"/>
        <v>4088</v>
      </c>
      <c r="O3626" s="356">
        <v>1</v>
      </c>
      <c r="P3626" s="356"/>
      <c r="Q3626" s="356"/>
      <c r="R3626" s="356"/>
      <c r="S3626" s="356"/>
      <c r="T3626" s="356"/>
      <c r="U3626" s="372"/>
      <c r="V3626" s="372"/>
      <c r="W3626" s="372"/>
      <c r="X3626" s="373"/>
      <c r="Y3626" s="348"/>
      <c r="Z3626" s="348"/>
      <c r="AA3626" s="348"/>
    </row>
    <row r="3627" s="331" customFormat="1" ht="17" customHeight="1" spans="1:27">
      <c r="A3627" s="348"/>
      <c r="B3627" s="348" t="s">
        <v>87</v>
      </c>
      <c r="C3627" s="348" t="s">
        <v>498</v>
      </c>
      <c r="D3627" s="352" t="s">
        <v>89</v>
      </c>
      <c r="E3627" s="336">
        <v>43696</v>
      </c>
      <c r="F3627" s="336">
        <v>43695</v>
      </c>
      <c r="G3627" s="350"/>
      <c r="H3627" s="334" t="s">
        <v>9046</v>
      </c>
      <c r="I3627" s="356">
        <v>18916975870</v>
      </c>
      <c r="J3627" s="361" t="s">
        <v>9047</v>
      </c>
      <c r="K3627" s="356">
        <v>1000</v>
      </c>
      <c r="L3627" s="419"/>
      <c r="M3627" s="419"/>
      <c r="N3627" s="362">
        <f t="shared" si="126"/>
        <v>0</v>
      </c>
      <c r="O3627" s="411" t="s">
        <v>52</v>
      </c>
      <c r="P3627" s="411"/>
      <c r="Q3627" s="356"/>
      <c r="R3627" s="356"/>
      <c r="S3627" s="356"/>
      <c r="T3627" s="356"/>
      <c r="U3627" s="372"/>
      <c r="V3627" s="372"/>
      <c r="W3627" s="372"/>
      <c r="X3627" s="373"/>
      <c r="Y3627" s="348"/>
      <c r="Z3627" s="348"/>
      <c r="AA3627" s="348"/>
    </row>
    <row r="3628" s="331" customFormat="1" ht="17" customHeight="1" spans="1:27">
      <c r="A3628" s="348">
        <v>2066629</v>
      </c>
      <c r="B3628" s="348" t="s">
        <v>335</v>
      </c>
      <c r="C3628" s="348" t="s">
        <v>9048</v>
      </c>
      <c r="D3628" s="352" t="s">
        <v>337</v>
      </c>
      <c r="E3628" s="336">
        <v>43696</v>
      </c>
      <c r="F3628" s="336">
        <v>43696</v>
      </c>
      <c r="G3628" s="356" t="s">
        <v>400</v>
      </c>
      <c r="H3628" s="334" t="s">
        <v>9049</v>
      </c>
      <c r="I3628" s="356">
        <v>13501622828</v>
      </c>
      <c r="J3628" s="361" t="s">
        <v>9050</v>
      </c>
      <c r="K3628" s="356">
        <v>1000</v>
      </c>
      <c r="L3628" s="419"/>
      <c r="M3628" s="419"/>
      <c r="N3628" s="362">
        <f t="shared" si="126"/>
        <v>0</v>
      </c>
      <c r="O3628" s="356"/>
      <c r="P3628" s="356"/>
      <c r="Q3628" s="356"/>
      <c r="R3628" s="356"/>
      <c r="S3628" s="356"/>
      <c r="T3628" s="356"/>
      <c r="U3628" s="372"/>
      <c r="V3628" s="372"/>
      <c r="W3628" s="372"/>
      <c r="X3628" s="373"/>
      <c r="Y3628" s="348"/>
      <c r="Z3628" s="348"/>
      <c r="AA3628" s="348"/>
    </row>
    <row r="3629" s="331" customFormat="1" ht="17" customHeight="1" spans="1:27">
      <c r="A3629" s="550" t="s">
        <v>8985</v>
      </c>
      <c r="B3629" s="348" t="s">
        <v>315</v>
      </c>
      <c r="C3629" s="348" t="s">
        <v>366</v>
      </c>
      <c r="D3629" s="352" t="s">
        <v>132</v>
      </c>
      <c r="E3629" s="336">
        <v>43721</v>
      </c>
      <c r="F3629" s="336">
        <v>43694</v>
      </c>
      <c r="G3629" s="336">
        <v>43720</v>
      </c>
      <c r="H3629" s="334" t="s">
        <v>9051</v>
      </c>
      <c r="I3629" s="356">
        <v>13661502341</v>
      </c>
      <c r="J3629" s="361" t="s">
        <v>9052</v>
      </c>
      <c r="K3629" s="356">
        <v>1000</v>
      </c>
      <c r="L3629" s="334">
        <v>10247</v>
      </c>
      <c r="M3629" s="419"/>
      <c r="N3629" s="362">
        <f t="shared" si="126"/>
        <v>10247</v>
      </c>
      <c r="O3629" s="356">
        <v>1</v>
      </c>
      <c r="P3629" s="356"/>
      <c r="Q3629" s="356"/>
      <c r="R3629" s="356"/>
      <c r="S3629" s="356"/>
      <c r="T3629" s="356"/>
      <c r="U3629" s="372"/>
      <c r="V3629" s="372"/>
      <c r="W3629" s="372"/>
      <c r="X3629" s="373"/>
      <c r="Y3629" s="348"/>
      <c r="Z3629" s="348"/>
      <c r="AA3629" s="348"/>
    </row>
    <row r="3630" s="331" customFormat="1" ht="17" customHeight="1" spans="1:27">
      <c r="A3630" s="550" t="s">
        <v>9053</v>
      </c>
      <c r="B3630" s="348" t="s">
        <v>169</v>
      </c>
      <c r="C3630" s="348" t="s">
        <v>634</v>
      </c>
      <c r="D3630" s="352" t="s">
        <v>635</v>
      </c>
      <c r="E3630" s="336">
        <v>43696</v>
      </c>
      <c r="F3630" s="336">
        <v>43696</v>
      </c>
      <c r="G3630" s="372" t="s">
        <v>69</v>
      </c>
      <c r="H3630" s="334" t="s">
        <v>8892</v>
      </c>
      <c r="I3630" s="356">
        <v>15216823479</v>
      </c>
      <c r="J3630" s="361" t="s">
        <v>9054</v>
      </c>
      <c r="K3630" s="356">
        <v>1000</v>
      </c>
      <c r="L3630" s="419"/>
      <c r="M3630" s="419"/>
      <c r="N3630" s="362">
        <f t="shared" si="126"/>
        <v>0</v>
      </c>
      <c r="O3630" s="356"/>
      <c r="P3630" s="356"/>
      <c r="Q3630" s="356"/>
      <c r="R3630" s="356"/>
      <c r="S3630" s="356"/>
      <c r="T3630" s="356"/>
      <c r="U3630" s="372"/>
      <c r="V3630" s="372"/>
      <c r="W3630" s="372"/>
      <c r="X3630" s="373"/>
      <c r="Y3630" s="348"/>
      <c r="Z3630" s="348"/>
      <c r="AA3630" s="348"/>
    </row>
    <row r="3631" s="331" customFormat="1" ht="17" customHeight="1" spans="1:27">
      <c r="A3631" s="550" t="s">
        <v>2279</v>
      </c>
      <c r="B3631" s="348" t="s">
        <v>58</v>
      </c>
      <c r="C3631" s="348" t="s">
        <v>347</v>
      </c>
      <c r="D3631" s="352" t="s">
        <v>343</v>
      </c>
      <c r="E3631" s="336">
        <v>43708</v>
      </c>
      <c r="F3631" s="336">
        <v>43695</v>
      </c>
      <c r="G3631" s="336">
        <v>43708</v>
      </c>
      <c r="H3631" s="334" t="s">
        <v>9055</v>
      </c>
      <c r="I3631" s="356">
        <v>13916288036</v>
      </c>
      <c r="J3631" s="361" t="s">
        <v>9056</v>
      </c>
      <c r="K3631" s="356">
        <v>20000</v>
      </c>
      <c r="L3631" s="334">
        <f>19695-1840</f>
        <v>17855</v>
      </c>
      <c r="M3631" s="334">
        <v>1840</v>
      </c>
      <c r="N3631" s="362">
        <f t="shared" si="126"/>
        <v>19695</v>
      </c>
      <c r="O3631" s="356"/>
      <c r="P3631" s="366" t="s">
        <v>52</v>
      </c>
      <c r="Q3631" s="356"/>
      <c r="R3631" s="356"/>
      <c r="S3631" s="356"/>
      <c r="T3631" s="356"/>
      <c r="U3631" s="372"/>
      <c r="V3631" s="372"/>
      <c r="W3631" s="372"/>
      <c r="X3631" s="373"/>
      <c r="Y3631" s="348"/>
      <c r="Z3631" s="348"/>
      <c r="AA3631" s="348"/>
    </row>
    <row r="3632" s="331" customFormat="1" ht="15" customHeight="1" spans="1:27">
      <c r="A3632" s="550" t="s">
        <v>9057</v>
      </c>
      <c r="B3632" s="348" t="s">
        <v>58</v>
      </c>
      <c r="C3632" s="348" t="s">
        <v>347</v>
      </c>
      <c r="D3632" s="352" t="s">
        <v>343</v>
      </c>
      <c r="E3632" s="336">
        <v>43737</v>
      </c>
      <c r="F3632" s="336">
        <v>43695</v>
      </c>
      <c r="G3632" s="336">
        <v>43681</v>
      </c>
      <c r="H3632" s="334" t="s">
        <v>9058</v>
      </c>
      <c r="I3632" s="356">
        <v>18621580455</v>
      </c>
      <c r="J3632" s="361" t="s">
        <v>9059</v>
      </c>
      <c r="K3632" s="356">
        <v>12500</v>
      </c>
      <c r="L3632" s="334">
        <v>12500</v>
      </c>
      <c r="M3632" s="419"/>
      <c r="N3632" s="362">
        <f t="shared" si="126"/>
        <v>12500</v>
      </c>
      <c r="O3632" s="356"/>
      <c r="P3632" s="366" t="s">
        <v>52</v>
      </c>
      <c r="Q3632" s="356"/>
      <c r="R3632" s="356"/>
      <c r="S3632" s="356"/>
      <c r="T3632" s="356"/>
      <c r="U3632" s="372"/>
      <c r="V3632" s="372"/>
      <c r="W3632" s="372"/>
      <c r="X3632" s="373"/>
      <c r="Y3632" s="348"/>
      <c r="Z3632" s="348"/>
      <c r="AA3632" s="348"/>
    </row>
    <row r="3633" s="331" customFormat="1" ht="15" customHeight="1" spans="1:27">
      <c r="A3633" s="348"/>
      <c r="B3633" s="348" t="s">
        <v>58</v>
      </c>
      <c r="C3633" s="348" t="s">
        <v>347</v>
      </c>
      <c r="D3633" s="352" t="s">
        <v>343</v>
      </c>
      <c r="E3633" s="336">
        <v>43738</v>
      </c>
      <c r="F3633" s="336">
        <v>43695</v>
      </c>
      <c r="G3633" s="336">
        <v>43737</v>
      </c>
      <c r="H3633" s="334" t="s">
        <v>3368</v>
      </c>
      <c r="I3633" s="356">
        <v>13963119347</v>
      </c>
      <c r="J3633" s="361" t="s">
        <v>9060</v>
      </c>
      <c r="K3633" s="356">
        <v>1000</v>
      </c>
      <c r="L3633" s="334">
        <f>15000-1072</f>
        <v>13928</v>
      </c>
      <c r="M3633" s="334">
        <v>1072</v>
      </c>
      <c r="N3633" s="362">
        <f t="shared" si="126"/>
        <v>15000</v>
      </c>
      <c r="O3633" s="366" t="s">
        <v>52</v>
      </c>
      <c r="P3633" s="356"/>
      <c r="Q3633" s="356"/>
      <c r="R3633" s="356"/>
      <c r="S3633" s="356"/>
      <c r="T3633" s="356"/>
      <c r="U3633" s="372"/>
      <c r="V3633" s="372"/>
      <c r="W3633" s="372"/>
      <c r="X3633" s="373"/>
      <c r="Y3633" s="348"/>
      <c r="Z3633" s="348"/>
      <c r="AA3633" s="348"/>
    </row>
    <row r="3634" s="331" customFormat="1" ht="17" customHeight="1" spans="1:27">
      <c r="A3634" s="550" t="s">
        <v>9061</v>
      </c>
      <c r="B3634" s="348" t="s">
        <v>726</v>
      </c>
      <c r="C3634" s="348" t="s">
        <v>727</v>
      </c>
      <c r="D3634" s="334" t="s">
        <v>271</v>
      </c>
      <c r="E3634" s="336">
        <v>43787</v>
      </c>
      <c r="F3634" s="336">
        <v>43695</v>
      </c>
      <c r="G3634" s="336">
        <v>43787</v>
      </c>
      <c r="H3634" s="334" t="s">
        <v>9062</v>
      </c>
      <c r="I3634" s="356">
        <v>13664899129</v>
      </c>
      <c r="J3634" s="361" t="s">
        <v>9063</v>
      </c>
      <c r="K3634" s="356">
        <v>78211</v>
      </c>
      <c r="L3634" s="334">
        <v>74000</v>
      </c>
      <c r="M3634" s="419"/>
      <c r="N3634" s="362">
        <f t="shared" si="126"/>
        <v>74000</v>
      </c>
      <c r="O3634" s="356"/>
      <c r="P3634" s="356"/>
      <c r="Q3634" s="356" t="s">
        <v>21</v>
      </c>
      <c r="R3634" s="356"/>
      <c r="S3634" s="356"/>
      <c r="T3634" s="356"/>
      <c r="U3634" s="372"/>
      <c r="V3634" s="372"/>
      <c r="W3634" s="372"/>
      <c r="X3634" s="373"/>
      <c r="Y3634" s="348"/>
      <c r="Z3634" s="348"/>
      <c r="AA3634" s="348"/>
    </row>
    <row r="3635" s="331" customFormat="1" ht="15" customHeight="1" spans="1:27">
      <c r="A3635" s="550" t="s">
        <v>9064</v>
      </c>
      <c r="B3635" s="348" t="s">
        <v>58</v>
      </c>
      <c r="C3635" s="348" t="s">
        <v>342</v>
      </c>
      <c r="D3635" s="352" t="s">
        <v>110</v>
      </c>
      <c r="E3635" s="336">
        <v>43745</v>
      </c>
      <c r="F3635" s="336">
        <v>43695</v>
      </c>
      <c r="G3635" s="336">
        <v>43745</v>
      </c>
      <c r="H3635" s="334" t="s">
        <v>9065</v>
      </c>
      <c r="I3635" s="356">
        <v>13918339507</v>
      </c>
      <c r="J3635" s="361" t="s">
        <v>9066</v>
      </c>
      <c r="K3635" s="356">
        <v>12000</v>
      </c>
      <c r="L3635" s="334">
        <v>11332</v>
      </c>
      <c r="M3635" s="419"/>
      <c r="N3635" s="362">
        <f t="shared" si="126"/>
        <v>11332</v>
      </c>
      <c r="O3635" s="366"/>
      <c r="P3635" s="366" t="s">
        <v>52</v>
      </c>
      <c r="Q3635" s="356"/>
      <c r="R3635" s="356"/>
      <c r="S3635" s="356"/>
      <c r="T3635" s="356"/>
      <c r="U3635" s="372"/>
      <c r="V3635" s="372"/>
      <c r="W3635" s="372"/>
      <c r="X3635" s="373"/>
      <c r="Y3635" s="348"/>
      <c r="Z3635" s="348"/>
      <c r="AA3635" s="348"/>
    </row>
    <row r="3636" s="331" customFormat="1" ht="17" customHeight="1" spans="1:27">
      <c r="A3636" s="550" t="s">
        <v>9067</v>
      </c>
      <c r="B3636" s="348" t="s">
        <v>236</v>
      </c>
      <c r="C3636" s="348" t="s">
        <v>195</v>
      </c>
      <c r="D3636" s="334" t="s">
        <v>207</v>
      </c>
      <c r="E3636" s="336">
        <v>43799</v>
      </c>
      <c r="F3636" s="336">
        <v>43690</v>
      </c>
      <c r="G3636" s="336">
        <v>43798</v>
      </c>
      <c r="H3636" s="334" t="s">
        <v>9068</v>
      </c>
      <c r="I3636" s="356">
        <v>17717920445</v>
      </c>
      <c r="J3636" s="361" t="s">
        <v>9069</v>
      </c>
      <c r="K3636" s="356">
        <v>1000</v>
      </c>
      <c r="L3636" s="334">
        <v>3960</v>
      </c>
      <c r="M3636" s="419"/>
      <c r="N3636" s="362">
        <f t="shared" si="126"/>
        <v>3960</v>
      </c>
      <c r="O3636" s="356"/>
      <c r="P3636" s="356"/>
      <c r="Q3636" s="356"/>
      <c r="R3636" s="356"/>
      <c r="S3636" s="356"/>
      <c r="T3636" s="356"/>
      <c r="U3636" s="372"/>
      <c r="V3636" s="356"/>
      <c r="W3636" s="356" t="s">
        <v>1472</v>
      </c>
      <c r="X3636" s="373"/>
      <c r="Y3636" s="348"/>
      <c r="Z3636" s="348"/>
      <c r="AA3636" s="348"/>
    </row>
    <row r="3637" s="331" customFormat="1" ht="17" customHeight="1" spans="1:27">
      <c r="A3637" s="550" t="s">
        <v>9070</v>
      </c>
      <c r="B3637" s="348" t="s">
        <v>236</v>
      </c>
      <c r="C3637" s="348" t="s">
        <v>195</v>
      </c>
      <c r="D3637" s="352" t="s">
        <v>125</v>
      </c>
      <c r="E3637" s="336">
        <v>43708</v>
      </c>
      <c r="F3637" s="336">
        <v>43694</v>
      </c>
      <c r="G3637" s="336">
        <v>43708</v>
      </c>
      <c r="H3637" s="334" t="s">
        <v>9071</v>
      </c>
      <c r="I3637" s="356">
        <v>15601600277</v>
      </c>
      <c r="J3637" s="361" t="s">
        <v>9072</v>
      </c>
      <c r="K3637" s="356">
        <v>23000</v>
      </c>
      <c r="L3637" s="334">
        <v>23000</v>
      </c>
      <c r="M3637" s="419"/>
      <c r="N3637" s="362">
        <f t="shared" si="126"/>
        <v>23000</v>
      </c>
      <c r="O3637" s="356"/>
      <c r="P3637" s="356"/>
      <c r="Q3637" s="356" t="s">
        <v>21</v>
      </c>
      <c r="R3637" s="356"/>
      <c r="S3637" s="356"/>
      <c r="T3637" s="356"/>
      <c r="U3637" s="372"/>
      <c r="V3637" s="372"/>
      <c r="W3637" s="372"/>
      <c r="X3637" s="373"/>
      <c r="Y3637" s="348"/>
      <c r="Z3637" s="348"/>
      <c r="AA3637" s="348"/>
    </row>
    <row r="3638" s="331" customFormat="1" ht="17" customHeight="1" spans="1:27">
      <c r="A3638" s="550" t="s">
        <v>6036</v>
      </c>
      <c r="B3638" s="348" t="s">
        <v>169</v>
      </c>
      <c r="C3638" s="348" t="s">
        <v>634</v>
      </c>
      <c r="D3638" s="352" t="s">
        <v>635</v>
      </c>
      <c r="E3638" s="336">
        <v>43752</v>
      </c>
      <c r="F3638" s="336">
        <v>43695</v>
      </c>
      <c r="G3638" s="336">
        <v>43751</v>
      </c>
      <c r="H3638" s="334" t="s">
        <v>9073</v>
      </c>
      <c r="I3638" s="356">
        <v>13817506550</v>
      </c>
      <c r="J3638" s="361" t="s">
        <v>9074</v>
      </c>
      <c r="K3638" s="356">
        <v>1000</v>
      </c>
      <c r="L3638" s="334">
        <v>8000</v>
      </c>
      <c r="M3638" s="419"/>
      <c r="N3638" s="362">
        <f t="shared" si="126"/>
        <v>8000</v>
      </c>
      <c r="O3638" s="356" t="s">
        <v>19</v>
      </c>
      <c r="P3638" s="356"/>
      <c r="Q3638" s="356"/>
      <c r="R3638" s="356"/>
      <c r="S3638" s="356"/>
      <c r="T3638" s="356"/>
      <c r="U3638" s="372"/>
      <c r="V3638" s="372"/>
      <c r="W3638" s="372"/>
      <c r="X3638" s="373"/>
      <c r="Y3638" s="348"/>
      <c r="Z3638" s="348"/>
      <c r="AA3638" s="348"/>
    </row>
    <row r="3639" s="331" customFormat="1" ht="17" customHeight="1" spans="1:27">
      <c r="A3639" s="550" t="s">
        <v>826</v>
      </c>
      <c r="B3639" s="348" t="s">
        <v>169</v>
      </c>
      <c r="C3639" s="348" t="s">
        <v>634</v>
      </c>
      <c r="D3639" s="334" t="s">
        <v>171</v>
      </c>
      <c r="E3639" s="336">
        <v>43761</v>
      </c>
      <c r="F3639" s="336">
        <v>43696</v>
      </c>
      <c r="G3639" s="336">
        <v>43760</v>
      </c>
      <c r="H3639" s="334" t="s">
        <v>9075</v>
      </c>
      <c r="I3639" s="356">
        <v>18616827057</v>
      </c>
      <c r="J3639" s="361" t="s">
        <v>9076</v>
      </c>
      <c r="K3639" s="356">
        <v>1000</v>
      </c>
      <c r="L3639" s="334">
        <v>4287</v>
      </c>
      <c r="M3639" s="419"/>
      <c r="N3639" s="362">
        <f t="shared" si="126"/>
        <v>4287</v>
      </c>
      <c r="O3639" s="356" t="s">
        <v>19</v>
      </c>
      <c r="P3639" s="356"/>
      <c r="Q3639" s="356"/>
      <c r="R3639" s="356"/>
      <c r="S3639" s="356"/>
      <c r="T3639" s="356"/>
      <c r="U3639" s="372"/>
      <c r="V3639" s="372"/>
      <c r="W3639" s="372"/>
      <c r="X3639" s="373"/>
      <c r="Y3639" s="348"/>
      <c r="Z3639" s="348"/>
      <c r="AA3639" s="348"/>
    </row>
    <row r="3640" s="331" customFormat="1" ht="17" customHeight="1" spans="1:27">
      <c r="A3640" s="550" t="s">
        <v>7598</v>
      </c>
      <c r="B3640" s="348" t="s">
        <v>169</v>
      </c>
      <c r="C3640" s="348" t="s">
        <v>634</v>
      </c>
      <c r="D3640" s="352" t="s">
        <v>635</v>
      </c>
      <c r="E3640" s="336">
        <v>43703</v>
      </c>
      <c r="F3640" s="336">
        <v>43696</v>
      </c>
      <c r="G3640" s="336">
        <v>43702</v>
      </c>
      <c r="H3640" s="334" t="s">
        <v>9077</v>
      </c>
      <c r="I3640" s="356">
        <v>13918337078</v>
      </c>
      <c r="J3640" s="361" t="s">
        <v>9078</v>
      </c>
      <c r="K3640" s="356">
        <v>1000</v>
      </c>
      <c r="L3640" s="334">
        <v>19173</v>
      </c>
      <c r="M3640" s="419"/>
      <c r="N3640" s="362">
        <f t="shared" si="126"/>
        <v>19173</v>
      </c>
      <c r="O3640" s="356" t="s">
        <v>19</v>
      </c>
      <c r="P3640" s="356"/>
      <c r="Q3640" s="356"/>
      <c r="R3640" s="356"/>
      <c r="S3640" s="356"/>
      <c r="T3640" s="356"/>
      <c r="U3640" s="372"/>
      <c r="V3640" s="372"/>
      <c r="W3640" s="372"/>
      <c r="X3640" s="373"/>
      <c r="Y3640" s="348"/>
      <c r="Z3640" s="348"/>
      <c r="AA3640" s="348"/>
    </row>
    <row r="3641" s="331" customFormat="1" ht="17" customHeight="1" spans="1:27">
      <c r="A3641" s="550" t="s">
        <v>8691</v>
      </c>
      <c r="B3641" s="348" t="s">
        <v>169</v>
      </c>
      <c r="C3641" s="348" t="s">
        <v>634</v>
      </c>
      <c r="D3641" s="349" t="s">
        <v>171</v>
      </c>
      <c r="E3641" s="336">
        <v>43696</v>
      </c>
      <c r="F3641" s="336">
        <v>43695</v>
      </c>
      <c r="G3641" s="336">
        <v>43695</v>
      </c>
      <c r="H3641" s="334" t="s">
        <v>9079</v>
      </c>
      <c r="I3641" s="356">
        <v>13916182204</v>
      </c>
      <c r="J3641" s="361" t="s">
        <v>9080</v>
      </c>
      <c r="K3641" s="356">
        <v>44763</v>
      </c>
      <c r="L3641" s="334">
        <v>44763</v>
      </c>
      <c r="M3641" s="419"/>
      <c r="N3641" s="362">
        <f t="shared" si="126"/>
        <v>44763</v>
      </c>
      <c r="O3641" s="356"/>
      <c r="P3641" s="356"/>
      <c r="Q3641" s="356"/>
      <c r="R3641" s="356"/>
      <c r="S3641" s="356"/>
      <c r="T3641" s="356"/>
      <c r="U3641" s="372"/>
      <c r="V3641" s="372"/>
      <c r="W3641" s="372"/>
      <c r="X3641" s="373"/>
      <c r="Y3641" s="348"/>
      <c r="Z3641" s="348"/>
      <c r="AA3641" s="348"/>
    </row>
    <row r="3642" s="331" customFormat="1" ht="17" customHeight="1" spans="1:27">
      <c r="A3642" s="550" t="s">
        <v>9081</v>
      </c>
      <c r="B3642" s="348" t="s">
        <v>315</v>
      </c>
      <c r="C3642" s="348" t="s">
        <v>181</v>
      </c>
      <c r="D3642" s="352" t="s">
        <v>182</v>
      </c>
      <c r="E3642" s="336">
        <v>43738</v>
      </c>
      <c r="F3642" s="336">
        <v>43695</v>
      </c>
      <c r="G3642" s="336">
        <v>43738</v>
      </c>
      <c r="H3642" s="334" t="s">
        <v>9082</v>
      </c>
      <c r="I3642" s="356">
        <v>1361648519</v>
      </c>
      <c r="J3642" s="361" t="s">
        <v>9083</v>
      </c>
      <c r="K3642" s="356">
        <v>5500</v>
      </c>
      <c r="L3642" s="334">
        <v>5000</v>
      </c>
      <c r="M3642" s="419"/>
      <c r="N3642" s="362">
        <f t="shared" si="126"/>
        <v>5000</v>
      </c>
      <c r="O3642" s="356">
        <v>1</v>
      </c>
      <c r="P3642" s="356"/>
      <c r="Q3642" s="356"/>
      <c r="R3642" s="356"/>
      <c r="S3642" s="356"/>
      <c r="T3642" s="356"/>
      <c r="U3642" s="372"/>
      <c r="V3642" s="372"/>
      <c r="W3642" s="372"/>
      <c r="X3642" s="373"/>
      <c r="Y3642" s="348"/>
      <c r="Z3642" s="348"/>
      <c r="AA3642" s="348"/>
    </row>
    <row r="3643" s="331" customFormat="1" ht="17" customHeight="1" spans="1:27">
      <c r="A3643" s="550" t="s">
        <v>2903</v>
      </c>
      <c r="B3643" s="348" t="s">
        <v>315</v>
      </c>
      <c r="C3643" s="348" t="s">
        <v>366</v>
      </c>
      <c r="D3643" s="352" t="s">
        <v>132</v>
      </c>
      <c r="E3643" s="336">
        <v>43704</v>
      </c>
      <c r="F3643" s="336">
        <v>43695</v>
      </c>
      <c r="G3643" s="336">
        <v>43701</v>
      </c>
      <c r="H3643" s="334" t="s">
        <v>9084</v>
      </c>
      <c r="I3643" s="356">
        <v>13901888948</v>
      </c>
      <c r="J3643" s="361" t="s">
        <v>9085</v>
      </c>
      <c r="K3643" s="356">
        <v>4500</v>
      </c>
      <c r="L3643" s="334">
        <v>5204</v>
      </c>
      <c r="M3643" s="419"/>
      <c r="N3643" s="362">
        <f t="shared" si="126"/>
        <v>5204</v>
      </c>
      <c r="O3643" s="356"/>
      <c r="P3643" s="356"/>
      <c r="Q3643" s="356"/>
      <c r="R3643" s="356">
        <v>1</v>
      </c>
      <c r="S3643" s="356"/>
      <c r="T3643" s="356"/>
      <c r="U3643" s="372"/>
      <c r="V3643" s="372"/>
      <c r="W3643" s="372"/>
      <c r="X3643" s="373"/>
      <c r="Y3643" s="348"/>
      <c r="Z3643" s="348"/>
      <c r="AA3643" s="348"/>
    </row>
    <row r="3644" s="331" customFormat="1" ht="17" customHeight="1" spans="1:27">
      <c r="A3644" s="550" t="s">
        <v>9086</v>
      </c>
      <c r="B3644" s="348" t="s">
        <v>31</v>
      </c>
      <c r="C3644" s="348" t="s">
        <v>220</v>
      </c>
      <c r="D3644" s="352" t="s">
        <v>221</v>
      </c>
      <c r="E3644" s="336">
        <v>43696</v>
      </c>
      <c r="F3644" s="336">
        <v>43695</v>
      </c>
      <c r="G3644" s="350"/>
      <c r="H3644" s="334" t="s">
        <v>9087</v>
      </c>
      <c r="I3644" s="356">
        <v>13917753263</v>
      </c>
      <c r="J3644" s="361" t="s">
        <v>9088</v>
      </c>
      <c r="K3644" s="356">
        <v>1000</v>
      </c>
      <c r="L3644" s="419"/>
      <c r="M3644" s="419"/>
      <c r="N3644" s="362">
        <f t="shared" si="126"/>
        <v>0</v>
      </c>
      <c r="O3644" s="356"/>
      <c r="P3644" s="356"/>
      <c r="Q3644" s="356"/>
      <c r="R3644" s="356"/>
      <c r="S3644" s="356"/>
      <c r="T3644" s="356"/>
      <c r="U3644" s="372" t="s">
        <v>12</v>
      </c>
      <c r="V3644" s="372"/>
      <c r="W3644" s="372"/>
      <c r="X3644" s="373"/>
      <c r="Y3644" s="348"/>
      <c r="Z3644" s="348"/>
      <c r="AA3644" s="348"/>
    </row>
    <row r="3645" s="331" customFormat="1" ht="17" customHeight="1" spans="1:27">
      <c r="A3645" s="550" t="s">
        <v>9089</v>
      </c>
      <c r="B3645" s="348" t="s">
        <v>354</v>
      </c>
      <c r="C3645" s="348" t="s">
        <v>355</v>
      </c>
      <c r="D3645" s="352" t="s">
        <v>149</v>
      </c>
      <c r="E3645" s="336">
        <v>43696</v>
      </c>
      <c r="F3645" s="336">
        <v>43695</v>
      </c>
      <c r="G3645" s="350"/>
      <c r="H3645" s="334" t="s">
        <v>9090</v>
      </c>
      <c r="I3645" s="356">
        <v>16621011525</v>
      </c>
      <c r="J3645" s="361" t="s">
        <v>9091</v>
      </c>
      <c r="K3645" s="356">
        <v>3000</v>
      </c>
      <c r="L3645" s="419"/>
      <c r="M3645" s="419"/>
      <c r="N3645" s="362">
        <f t="shared" si="126"/>
        <v>0</v>
      </c>
      <c r="O3645" s="356"/>
      <c r="P3645" s="356"/>
      <c r="Q3645" s="356"/>
      <c r="R3645" s="356"/>
      <c r="S3645" s="356"/>
      <c r="T3645" s="356"/>
      <c r="U3645" s="372"/>
      <c r="V3645" s="372"/>
      <c r="W3645" s="372"/>
      <c r="X3645" s="373"/>
      <c r="Y3645" s="348"/>
      <c r="Z3645" s="348"/>
      <c r="AA3645" s="348"/>
    </row>
    <row r="3646" s="331" customFormat="1" ht="17" customHeight="1" spans="1:27">
      <c r="A3646" s="550" t="s">
        <v>9092</v>
      </c>
      <c r="B3646" s="348" t="s">
        <v>31</v>
      </c>
      <c r="C3646" s="348" t="s">
        <v>3186</v>
      </c>
      <c r="D3646" s="334" t="s">
        <v>33</v>
      </c>
      <c r="E3646" s="336">
        <v>43766</v>
      </c>
      <c r="F3646" s="336">
        <v>43695</v>
      </c>
      <c r="G3646" s="336">
        <v>43765</v>
      </c>
      <c r="H3646" s="334" t="s">
        <v>9093</v>
      </c>
      <c r="I3646" s="356">
        <v>15618840077</v>
      </c>
      <c r="J3646" s="361" t="s">
        <v>9094</v>
      </c>
      <c r="K3646" s="356">
        <v>1000</v>
      </c>
      <c r="L3646" s="334">
        <v>10632</v>
      </c>
      <c r="M3646" s="419"/>
      <c r="N3646" s="362">
        <f t="shared" si="126"/>
        <v>10632</v>
      </c>
      <c r="O3646" s="356"/>
      <c r="P3646" s="356"/>
      <c r="Q3646" s="356"/>
      <c r="R3646" s="356"/>
      <c r="S3646" s="356"/>
      <c r="T3646" s="356"/>
      <c r="U3646" s="372"/>
      <c r="V3646" s="372"/>
      <c r="W3646" s="372"/>
      <c r="X3646" s="373"/>
      <c r="Y3646" s="348"/>
      <c r="Z3646" s="348"/>
      <c r="AA3646" s="348"/>
    </row>
    <row r="3647" s="331" customFormat="1" ht="17" customHeight="1" spans="1:27">
      <c r="A3647" s="550" t="s">
        <v>1975</v>
      </c>
      <c r="B3647" s="348" t="s">
        <v>315</v>
      </c>
      <c r="C3647" s="348" t="s">
        <v>722</v>
      </c>
      <c r="D3647" s="349" t="s">
        <v>132</v>
      </c>
      <c r="E3647" s="336">
        <v>43723</v>
      </c>
      <c r="F3647" s="336">
        <v>43694</v>
      </c>
      <c r="G3647" s="336">
        <v>43723</v>
      </c>
      <c r="H3647" s="334" t="s">
        <v>9095</v>
      </c>
      <c r="I3647" s="356">
        <v>18801730042</v>
      </c>
      <c r="J3647" s="361" t="s">
        <v>9096</v>
      </c>
      <c r="K3647" s="356">
        <v>1000</v>
      </c>
      <c r="L3647" s="334">
        <f>4220-736</f>
        <v>3484</v>
      </c>
      <c r="M3647" s="334">
        <v>736</v>
      </c>
      <c r="N3647" s="362">
        <f t="shared" si="126"/>
        <v>4220</v>
      </c>
      <c r="O3647" s="356">
        <v>1</v>
      </c>
      <c r="P3647" s="356"/>
      <c r="Q3647" s="356"/>
      <c r="R3647" s="356"/>
      <c r="S3647" s="356"/>
      <c r="T3647" s="356"/>
      <c r="U3647" s="372"/>
      <c r="V3647" s="372"/>
      <c r="W3647" s="372"/>
      <c r="X3647" s="373"/>
      <c r="Y3647" s="348"/>
      <c r="Z3647" s="348"/>
      <c r="AA3647" s="348"/>
    </row>
    <row r="3648" s="331" customFormat="1" ht="17" customHeight="1" spans="1:27">
      <c r="A3648" s="348"/>
      <c r="B3648" s="348" t="s">
        <v>35</v>
      </c>
      <c r="C3648" s="348" t="s">
        <v>392</v>
      </c>
      <c r="D3648" s="352" t="s">
        <v>37</v>
      </c>
      <c r="E3648" s="336">
        <v>43725</v>
      </c>
      <c r="F3648" s="336">
        <v>43694</v>
      </c>
      <c r="G3648" s="336">
        <v>43723</v>
      </c>
      <c r="H3648" s="334" t="s">
        <v>9097</v>
      </c>
      <c r="I3648" s="356">
        <v>13795415807</v>
      </c>
      <c r="J3648" s="361" t="s">
        <v>9098</v>
      </c>
      <c r="K3648" s="356">
        <v>7174</v>
      </c>
      <c r="L3648" s="334">
        <f>10368-1104</f>
        <v>9264</v>
      </c>
      <c r="M3648" s="334">
        <v>1104</v>
      </c>
      <c r="N3648" s="362">
        <f t="shared" si="126"/>
        <v>10368</v>
      </c>
      <c r="O3648" s="356"/>
      <c r="P3648" s="356" t="s">
        <v>52</v>
      </c>
      <c r="Q3648" s="356"/>
      <c r="R3648" s="356"/>
      <c r="S3648" s="356"/>
      <c r="T3648" s="356"/>
      <c r="U3648" s="372"/>
      <c r="V3648" s="372"/>
      <c r="W3648" s="372"/>
      <c r="X3648" s="373"/>
      <c r="Y3648" s="348"/>
      <c r="Z3648" s="348"/>
      <c r="AA3648" s="348"/>
    </row>
    <row r="3649" s="331" customFormat="1" ht="17" customHeight="1" spans="1:27">
      <c r="A3649" s="550" t="s">
        <v>9099</v>
      </c>
      <c r="B3649" s="348" t="s">
        <v>315</v>
      </c>
      <c r="C3649" s="348" t="s">
        <v>230</v>
      </c>
      <c r="D3649" s="352" t="s">
        <v>182</v>
      </c>
      <c r="E3649" s="336">
        <v>43711</v>
      </c>
      <c r="F3649" s="336">
        <v>43695</v>
      </c>
      <c r="G3649" s="336">
        <v>43711</v>
      </c>
      <c r="H3649" s="334" t="s">
        <v>9100</v>
      </c>
      <c r="I3649" s="356">
        <v>15618664800</v>
      </c>
      <c r="J3649" s="361" t="s">
        <v>9101</v>
      </c>
      <c r="K3649" s="356">
        <f>1000+1000</f>
        <v>2000</v>
      </c>
      <c r="L3649" s="334">
        <f>22867-536</f>
        <v>22331</v>
      </c>
      <c r="M3649" s="334">
        <v>536</v>
      </c>
      <c r="N3649" s="362">
        <f t="shared" ref="N3649:N3669" si="127">L3649+M3649</f>
        <v>22867</v>
      </c>
      <c r="O3649" s="356"/>
      <c r="P3649" s="356"/>
      <c r="Q3649" s="356"/>
      <c r="R3649" s="356">
        <v>1</v>
      </c>
      <c r="S3649" s="356"/>
      <c r="T3649" s="356"/>
      <c r="U3649" s="372"/>
      <c r="V3649" s="372"/>
      <c r="W3649" s="372"/>
      <c r="X3649" s="373"/>
      <c r="Y3649" s="348"/>
      <c r="Z3649" s="348"/>
      <c r="AA3649" s="348"/>
    </row>
    <row r="3650" s="331" customFormat="1" ht="17" customHeight="1" spans="1:27">
      <c r="A3650" s="550" t="s">
        <v>9102</v>
      </c>
      <c r="B3650" s="348" t="s">
        <v>137</v>
      </c>
      <c r="C3650" s="348" t="s">
        <v>2705</v>
      </c>
      <c r="D3650" s="349" t="s">
        <v>443</v>
      </c>
      <c r="E3650" s="336">
        <v>43738</v>
      </c>
      <c r="F3650" s="336">
        <v>43726</v>
      </c>
      <c r="G3650" s="336">
        <v>43738</v>
      </c>
      <c r="H3650" s="334" t="s">
        <v>9103</v>
      </c>
      <c r="I3650" s="356">
        <v>13524567446</v>
      </c>
      <c r="J3650" s="361" t="s">
        <v>9104</v>
      </c>
      <c r="K3650" s="356">
        <v>13000</v>
      </c>
      <c r="L3650" s="334">
        <v>17986</v>
      </c>
      <c r="M3650" s="419"/>
      <c r="N3650" s="362">
        <f t="shared" si="127"/>
        <v>17986</v>
      </c>
      <c r="O3650" s="356"/>
      <c r="P3650" s="356"/>
      <c r="Q3650" s="356"/>
      <c r="R3650" s="356"/>
      <c r="S3650" s="356">
        <v>1</v>
      </c>
      <c r="T3650" s="356"/>
      <c r="U3650" s="372"/>
      <c r="V3650" s="372"/>
      <c r="W3650" s="372"/>
      <c r="X3650" s="373"/>
      <c r="Y3650" s="348"/>
      <c r="Z3650" s="348"/>
      <c r="AA3650" s="348"/>
    </row>
    <row r="3651" s="331" customFormat="1" ht="17" customHeight="1" spans="1:27">
      <c r="A3651" s="550" t="s">
        <v>5994</v>
      </c>
      <c r="B3651" s="348" t="s">
        <v>185</v>
      </c>
      <c r="C3651" s="348" t="s">
        <v>1620</v>
      </c>
      <c r="D3651" s="352" t="s">
        <v>44</v>
      </c>
      <c r="E3651" s="336">
        <v>43707</v>
      </c>
      <c r="F3651" s="336">
        <v>43695</v>
      </c>
      <c r="G3651" s="336">
        <v>43707</v>
      </c>
      <c r="H3651" s="334" t="s">
        <v>9105</v>
      </c>
      <c r="I3651" s="356">
        <v>13917771135</v>
      </c>
      <c r="J3651" s="361" t="s">
        <v>9106</v>
      </c>
      <c r="K3651" s="356">
        <v>12000</v>
      </c>
      <c r="L3651" s="334">
        <v>12000</v>
      </c>
      <c r="M3651" s="419"/>
      <c r="N3651" s="362">
        <f t="shared" si="127"/>
        <v>12000</v>
      </c>
      <c r="O3651" s="356" t="s">
        <v>52</v>
      </c>
      <c r="P3651" s="356"/>
      <c r="Q3651" s="356"/>
      <c r="R3651" s="356"/>
      <c r="S3651" s="356"/>
      <c r="T3651" s="356"/>
      <c r="U3651" s="372"/>
      <c r="V3651" s="372"/>
      <c r="W3651" s="372"/>
      <c r="X3651" s="373"/>
      <c r="Y3651" s="348"/>
      <c r="Z3651" s="348"/>
      <c r="AA3651" s="348"/>
    </row>
    <row r="3652" s="331" customFormat="1" ht="17" customHeight="1" spans="1:27">
      <c r="A3652" s="550" t="s">
        <v>8466</v>
      </c>
      <c r="B3652" s="348" t="s">
        <v>123</v>
      </c>
      <c r="C3652" s="348" t="s">
        <v>32</v>
      </c>
      <c r="D3652" s="352" t="s">
        <v>125</v>
      </c>
      <c r="E3652" s="336">
        <v>43701</v>
      </c>
      <c r="F3652" s="336">
        <v>43695</v>
      </c>
      <c r="G3652" s="336">
        <v>43701</v>
      </c>
      <c r="H3652" s="334" t="s">
        <v>9107</v>
      </c>
      <c r="I3652" s="356">
        <v>13636688497</v>
      </c>
      <c r="J3652" s="361" t="s">
        <v>9108</v>
      </c>
      <c r="K3652" s="356">
        <v>13229</v>
      </c>
      <c r="L3652" s="334">
        <f>12870-368</f>
        <v>12502</v>
      </c>
      <c r="M3652" s="334">
        <v>368</v>
      </c>
      <c r="N3652" s="362">
        <f t="shared" si="127"/>
        <v>12870</v>
      </c>
      <c r="O3652" s="356"/>
      <c r="P3652" s="356"/>
      <c r="Q3652" s="356"/>
      <c r="R3652" s="356"/>
      <c r="S3652" s="356"/>
      <c r="T3652" s="356"/>
      <c r="U3652" s="372"/>
      <c r="V3652" s="372"/>
      <c r="W3652" s="372"/>
      <c r="X3652" s="373"/>
      <c r="Y3652" s="348"/>
      <c r="Z3652" s="348"/>
      <c r="AA3652" s="348"/>
    </row>
    <row r="3653" s="331" customFormat="1" ht="17" customHeight="1" spans="1:27">
      <c r="A3653" s="550" t="s">
        <v>9109</v>
      </c>
      <c r="B3653" s="348" t="s">
        <v>315</v>
      </c>
      <c r="C3653" s="348" t="s">
        <v>275</v>
      </c>
      <c r="D3653" s="352" t="s">
        <v>162</v>
      </c>
      <c r="E3653" s="336">
        <v>43708</v>
      </c>
      <c r="F3653" s="336">
        <v>43695</v>
      </c>
      <c r="G3653" s="336">
        <v>43706</v>
      </c>
      <c r="H3653" s="334" t="s">
        <v>9110</v>
      </c>
      <c r="I3653" s="356">
        <v>15692116911</v>
      </c>
      <c r="J3653" s="361" t="s">
        <v>9111</v>
      </c>
      <c r="K3653" s="356">
        <v>1000</v>
      </c>
      <c r="L3653" s="334">
        <v>4000</v>
      </c>
      <c r="M3653" s="419"/>
      <c r="N3653" s="362">
        <f t="shared" si="127"/>
        <v>4000</v>
      </c>
      <c r="O3653" s="356"/>
      <c r="P3653" s="356"/>
      <c r="Q3653" s="356">
        <v>1</v>
      </c>
      <c r="R3653" s="356"/>
      <c r="S3653" s="356"/>
      <c r="T3653" s="356"/>
      <c r="U3653" s="372"/>
      <c r="V3653" s="372"/>
      <c r="W3653" s="372"/>
      <c r="X3653" s="373"/>
      <c r="Y3653" s="348"/>
      <c r="Z3653" s="348"/>
      <c r="AA3653" s="348"/>
    </row>
    <row r="3654" s="331" customFormat="1" ht="17" customHeight="1" spans="1:27">
      <c r="A3654" s="550" t="s">
        <v>9112</v>
      </c>
      <c r="B3654" s="348" t="s">
        <v>31</v>
      </c>
      <c r="C3654" s="348" t="s">
        <v>377</v>
      </c>
      <c r="D3654" s="352" t="s">
        <v>221</v>
      </c>
      <c r="E3654" s="336">
        <v>43701</v>
      </c>
      <c r="F3654" s="336">
        <v>43695</v>
      </c>
      <c r="G3654" s="336"/>
      <c r="H3654" s="334" t="s">
        <v>9113</v>
      </c>
      <c r="I3654" s="356">
        <v>18516200888</v>
      </c>
      <c r="J3654" s="361" t="s">
        <v>9114</v>
      </c>
      <c r="K3654" s="356">
        <v>1000</v>
      </c>
      <c r="L3654" s="334">
        <v>10719</v>
      </c>
      <c r="M3654" s="419"/>
      <c r="N3654" s="362">
        <f t="shared" si="127"/>
        <v>10719</v>
      </c>
      <c r="O3654" s="356"/>
      <c r="P3654" s="356"/>
      <c r="Q3654" s="356"/>
      <c r="R3654" s="356"/>
      <c r="S3654" s="356"/>
      <c r="T3654" s="356"/>
      <c r="U3654" s="336" t="s">
        <v>40</v>
      </c>
      <c r="V3654" s="372"/>
      <c r="W3654" s="372"/>
      <c r="X3654" s="373"/>
      <c r="Y3654" s="348"/>
      <c r="Z3654" s="348"/>
      <c r="AA3654" s="348"/>
    </row>
    <row r="3655" s="331" customFormat="1" ht="17" customHeight="1" spans="1:27">
      <c r="A3655" s="550" t="s">
        <v>9115</v>
      </c>
      <c r="B3655" s="348" t="s">
        <v>147</v>
      </c>
      <c r="C3655" s="334" t="s">
        <v>148</v>
      </c>
      <c r="D3655" s="334" t="s">
        <v>337</v>
      </c>
      <c r="E3655" s="336">
        <v>43704</v>
      </c>
      <c r="F3655" s="336">
        <v>43695</v>
      </c>
      <c r="G3655" s="336">
        <v>43701</v>
      </c>
      <c r="H3655" s="334" t="s">
        <v>9116</v>
      </c>
      <c r="I3655" s="356">
        <v>13817747070</v>
      </c>
      <c r="J3655" s="361" t="s">
        <v>9117</v>
      </c>
      <c r="K3655" s="356">
        <v>4080</v>
      </c>
      <c r="L3655" s="334">
        <v>4080</v>
      </c>
      <c r="M3655" s="419"/>
      <c r="N3655" s="362">
        <f t="shared" si="127"/>
        <v>4080</v>
      </c>
      <c r="O3655" s="356"/>
      <c r="P3655" s="356"/>
      <c r="Q3655" s="356"/>
      <c r="R3655" s="356"/>
      <c r="S3655" s="356"/>
      <c r="T3655" s="356"/>
      <c r="U3655" s="372"/>
      <c r="V3655" s="372"/>
      <c r="W3655" s="372"/>
      <c r="X3655" s="373"/>
      <c r="Y3655" s="348"/>
      <c r="Z3655" s="348"/>
      <c r="AA3655" s="348"/>
    </row>
    <row r="3656" s="331" customFormat="1" ht="17" customHeight="1" spans="1:27">
      <c r="A3656" s="550" t="s">
        <v>9118</v>
      </c>
      <c r="B3656" s="348" t="s">
        <v>169</v>
      </c>
      <c r="C3656" s="334" t="s">
        <v>542</v>
      </c>
      <c r="D3656" s="334" t="s">
        <v>171</v>
      </c>
      <c r="E3656" s="336">
        <v>43708</v>
      </c>
      <c r="F3656" s="336">
        <v>43695</v>
      </c>
      <c r="G3656" s="336">
        <v>43708</v>
      </c>
      <c r="H3656" s="334" t="s">
        <v>9119</v>
      </c>
      <c r="I3656" s="356">
        <v>13636612596</v>
      </c>
      <c r="J3656" s="361" t="s">
        <v>9120</v>
      </c>
      <c r="K3656" s="356">
        <v>5000</v>
      </c>
      <c r="L3656" s="334">
        <v>5000</v>
      </c>
      <c r="M3656" s="419"/>
      <c r="N3656" s="362">
        <f t="shared" si="127"/>
        <v>5000</v>
      </c>
      <c r="O3656" s="356"/>
      <c r="P3656" s="356"/>
      <c r="Q3656" s="356"/>
      <c r="R3656" s="356"/>
      <c r="S3656" s="356"/>
      <c r="T3656" s="356"/>
      <c r="U3656" s="372"/>
      <c r="V3656" s="372"/>
      <c r="W3656" s="372"/>
      <c r="X3656" s="373"/>
      <c r="Y3656" s="348"/>
      <c r="Z3656" s="348"/>
      <c r="AA3656" s="348"/>
    </row>
    <row r="3657" s="331" customFormat="1" ht="17" customHeight="1" spans="1:27">
      <c r="A3657" s="550" t="s">
        <v>9121</v>
      </c>
      <c r="B3657" s="348" t="s">
        <v>31</v>
      </c>
      <c r="C3657" s="348" t="s">
        <v>220</v>
      </c>
      <c r="D3657" s="349" t="s">
        <v>33</v>
      </c>
      <c r="E3657" s="336">
        <v>43701</v>
      </c>
      <c r="F3657" s="336">
        <v>43695</v>
      </c>
      <c r="G3657" s="336">
        <v>43701</v>
      </c>
      <c r="H3657" s="334" t="s">
        <v>973</v>
      </c>
      <c r="I3657" s="356">
        <v>13917823667</v>
      </c>
      <c r="J3657" s="361" t="s">
        <v>9122</v>
      </c>
      <c r="K3657" s="356">
        <v>200</v>
      </c>
      <c r="L3657" s="334">
        <f>11014-268</f>
        <v>10746</v>
      </c>
      <c r="M3657" s="334">
        <v>268</v>
      </c>
      <c r="N3657" s="362">
        <f t="shared" si="127"/>
        <v>11014</v>
      </c>
      <c r="O3657" s="356"/>
      <c r="P3657" s="356"/>
      <c r="Q3657" s="356"/>
      <c r="R3657" s="356"/>
      <c r="S3657" s="356"/>
      <c r="T3657" s="356"/>
      <c r="U3657" s="372"/>
      <c r="V3657" s="372"/>
      <c r="W3657" s="372"/>
      <c r="X3657" s="373"/>
      <c r="Y3657" s="348"/>
      <c r="Z3657" s="348"/>
      <c r="AA3657" s="348"/>
    </row>
    <row r="3658" s="331" customFormat="1" ht="17" customHeight="1" spans="1:27">
      <c r="A3658" s="550" t="s">
        <v>9123</v>
      </c>
      <c r="B3658" s="348" t="s">
        <v>31</v>
      </c>
      <c r="C3658" s="348" t="s">
        <v>2716</v>
      </c>
      <c r="D3658" s="352" t="s">
        <v>33</v>
      </c>
      <c r="E3658" s="336">
        <v>43696</v>
      </c>
      <c r="F3658" s="336">
        <v>43695</v>
      </c>
      <c r="G3658" s="350"/>
      <c r="H3658" s="334" t="s">
        <v>9020</v>
      </c>
      <c r="I3658" s="356">
        <v>13818608667</v>
      </c>
      <c r="J3658" s="361" t="s">
        <v>9021</v>
      </c>
      <c r="K3658" s="356">
        <v>1000</v>
      </c>
      <c r="L3658" s="419"/>
      <c r="M3658" s="419"/>
      <c r="N3658" s="362">
        <f t="shared" si="127"/>
        <v>0</v>
      </c>
      <c r="O3658" s="356"/>
      <c r="P3658" s="356"/>
      <c r="Q3658" s="356"/>
      <c r="R3658" s="366" t="s">
        <v>52</v>
      </c>
      <c r="S3658" s="356"/>
      <c r="T3658" s="356"/>
      <c r="U3658" s="372"/>
      <c r="V3658" s="372"/>
      <c r="W3658" s="372"/>
      <c r="X3658" s="373"/>
      <c r="Y3658" s="348"/>
      <c r="Z3658" s="348"/>
      <c r="AA3658" s="348"/>
    </row>
    <row r="3659" s="331" customFormat="1" ht="17" customHeight="1" spans="1:27">
      <c r="A3659" s="348"/>
      <c r="B3659" s="348" t="s">
        <v>35</v>
      </c>
      <c r="C3659" s="348" t="s">
        <v>392</v>
      </c>
      <c r="D3659" s="352" t="s">
        <v>37</v>
      </c>
      <c r="E3659" s="336">
        <v>43737</v>
      </c>
      <c r="F3659" s="336">
        <v>43694</v>
      </c>
      <c r="G3659" s="336">
        <v>43736</v>
      </c>
      <c r="H3659" s="334" t="s">
        <v>9124</v>
      </c>
      <c r="I3659" s="356">
        <v>13916704781</v>
      </c>
      <c r="J3659" s="361" t="s">
        <v>9125</v>
      </c>
      <c r="K3659" s="356">
        <v>3000</v>
      </c>
      <c r="L3659" s="334">
        <f>20194-1472</f>
        <v>18722</v>
      </c>
      <c r="M3659" s="334">
        <v>1472</v>
      </c>
      <c r="N3659" s="362">
        <f t="shared" si="127"/>
        <v>20194</v>
      </c>
      <c r="O3659" s="356"/>
      <c r="P3659" s="356" t="s">
        <v>52</v>
      </c>
      <c r="Q3659" s="356"/>
      <c r="R3659" s="356"/>
      <c r="S3659" s="356"/>
      <c r="T3659" s="356"/>
      <c r="U3659" s="372"/>
      <c r="V3659" s="372"/>
      <c r="W3659" s="372"/>
      <c r="X3659" s="373"/>
      <c r="Y3659" s="348"/>
      <c r="Z3659" s="348"/>
      <c r="AA3659" s="348"/>
    </row>
    <row r="3660" s="331" customFormat="1" ht="15" customHeight="1" spans="1:27">
      <c r="A3660" s="550" t="s">
        <v>9126</v>
      </c>
      <c r="B3660" s="348" t="s">
        <v>58</v>
      </c>
      <c r="C3660" s="348" t="s">
        <v>109</v>
      </c>
      <c r="D3660" s="352" t="s">
        <v>110</v>
      </c>
      <c r="E3660" s="336">
        <v>43822</v>
      </c>
      <c r="F3660" s="336">
        <v>43695</v>
      </c>
      <c r="G3660" s="336">
        <v>43821</v>
      </c>
      <c r="H3660" s="334" t="s">
        <v>9127</v>
      </c>
      <c r="I3660" s="356">
        <v>18621735909</v>
      </c>
      <c r="J3660" s="361" t="s">
        <v>9128</v>
      </c>
      <c r="K3660" s="356">
        <v>1000</v>
      </c>
      <c r="L3660" s="334">
        <v>6968</v>
      </c>
      <c r="M3660" s="419"/>
      <c r="N3660" s="362">
        <f t="shared" si="127"/>
        <v>6968</v>
      </c>
      <c r="O3660" s="366" t="s">
        <v>52</v>
      </c>
      <c r="P3660" s="356"/>
      <c r="Q3660" s="356"/>
      <c r="R3660" s="356"/>
      <c r="S3660" s="356"/>
      <c r="T3660" s="356"/>
      <c r="U3660" s="372"/>
      <c r="V3660" s="372"/>
      <c r="W3660" s="372"/>
      <c r="X3660" s="373"/>
      <c r="Y3660" s="348"/>
      <c r="Z3660" s="348"/>
      <c r="AA3660" s="348"/>
    </row>
    <row r="3661" s="331" customFormat="1" ht="15" customHeight="1" spans="1:27">
      <c r="A3661" s="550" t="s">
        <v>9129</v>
      </c>
      <c r="B3661" s="348" t="s">
        <v>58</v>
      </c>
      <c r="C3661" s="348" t="s">
        <v>109</v>
      </c>
      <c r="D3661" s="352" t="s">
        <v>110</v>
      </c>
      <c r="E3661" s="336">
        <v>43828</v>
      </c>
      <c r="F3661" s="336">
        <v>43695</v>
      </c>
      <c r="G3661" s="336">
        <v>43827</v>
      </c>
      <c r="H3661" s="334" t="s">
        <v>756</v>
      </c>
      <c r="I3661" s="356">
        <v>18521039568</v>
      </c>
      <c r="J3661" s="438" t="s">
        <v>9130</v>
      </c>
      <c r="K3661" s="356">
        <v>1000</v>
      </c>
      <c r="L3661" s="334">
        <v>10832</v>
      </c>
      <c r="M3661" s="419"/>
      <c r="N3661" s="362">
        <f t="shared" si="127"/>
        <v>10832</v>
      </c>
      <c r="O3661" s="366" t="s">
        <v>52</v>
      </c>
      <c r="P3661" s="356"/>
      <c r="Q3661" s="356"/>
      <c r="R3661" s="356"/>
      <c r="S3661" s="356"/>
      <c r="T3661" s="356"/>
      <c r="U3661" s="374">
        <v>43826</v>
      </c>
      <c r="V3661" s="372"/>
      <c r="W3661" s="372"/>
      <c r="X3661" s="373"/>
      <c r="Y3661" s="348"/>
      <c r="Z3661" s="348"/>
      <c r="AA3661" s="348"/>
    </row>
    <row r="3662" s="331" customFormat="1" ht="15" customHeight="1" spans="1:27">
      <c r="A3662" s="550" t="s">
        <v>9131</v>
      </c>
      <c r="B3662" s="348" t="s">
        <v>58</v>
      </c>
      <c r="C3662" s="348" t="s">
        <v>109</v>
      </c>
      <c r="D3662" s="352" t="s">
        <v>110</v>
      </c>
      <c r="E3662" s="336">
        <v>43696</v>
      </c>
      <c r="F3662" s="336">
        <v>43695</v>
      </c>
      <c r="G3662" s="350"/>
      <c r="H3662" s="334" t="s">
        <v>9132</v>
      </c>
      <c r="I3662" s="356">
        <v>18721365657</v>
      </c>
      <c r="J3662" s="361" t="s">
        <v>9133</v>
      </c>
      <c r="K3662" s="356">
        <v>1000</v>
      </c>
      <c r="L3662" s="419"/>
      <c r="M3662" s="419"/>
      <c r="N3662" s="362">
        <f t="shared" si="127"/>
        <v>0</v>
      </c>
      <c r="O3662" s="366" t="s">
        <v>52</v>
      </c>
      <c r="P3662" s="356"/>
      <c r="Q3662" s="356"/>
      <c r="R3662" s="356"/>
      <c r="S3662" s="356"/>
      <c r="T3662" s="356"/>
      <c r="U3662" s="372"/>
      <c r="V3662" s="372"/>
      <c r="W3662" s="372"/>
      <c r="X3662" s="373"/>
      <c r="Y3662" s="348"/>
      <c r="Z3662" s="348"/>
      <c r="AA3662" s="348"/>
    </row>
    <row r="3663" s="331" customFormat="1" ht="17" customHeight="1" spans="1:27">
      <c r="A3663" s="550" t="s">
        <v>9134</v>
      </c>
      <c r="B3663" s="334" t="s">
        <v>58</v>
      </c>
      <c r="C3663" s="334" t="s">
        <v>794</v>
      </c>
      <c r="D3663" s="334" t="s">
        <v>110</v>
      </c>
      <c r="E3663" s="336">
        <v>43723</v>
      </c>
      <c r="F3663" s="336">
        <v>43694</v>
      </c>
      <c r="G3663" s="336">
        <v>43723</v>
      </c>
      <c r="H3663" s="334" t="s">
        <v>9135</v>
      </c>
      <c r="I3663" s="356">
        <v>13864922342</v>
      </c>
      <c r="J3663" s="361" t="s">
        <v>9136</v>
      </c>
      <c r="K3663" s="356">
        <v>1000</v>
      </c>
      <c r="L3663" s="334">
        <f>10170-736</f>
        <v>9434</v>
      </c>
      <c r="M3663" s="334">
        <v>736</v>
      </c>
      <c r="N3663" s="362">
        <f t="shared" si="127"/>
        <v>10170</v>
      </c>
      <c r="O3663" s="356"/>
      <c r="P3663" s="356"/>
      <c r="Q3663" s="356"/>
      <c r="R3663" s="356"/>
      <c r="S3663" s="356"/>
      <c r="T3663" s="356"/>
      <c r="U3663" s="372"/>
      <c r="V3663" s="372"/>
      <c r="W3663" s="372"/>
      <c r="X3663" s="373"/>
      <c r="Y3663" s="348"/>
      <c r="Z3663" s="348"/>
      <c r="AA3663" s="348"/>
    </row>
    <row r="3664" s="331" customFormat="1" ht="17" customHeight="1" spans="1:27">
      <c r="A3664" s="550" t="s">
        <v>9137</v>
      </c>
      <c r="B3664" s="348" t="s">
        <v>31</v>
      </c>
      <c r="C3664" s="348" t="s">
        <v>2716</v>
      </c>
      <c r="D3664" s="352" t="s">
        <v>33</v>
      </c>
      <c r="E3664" s="336">
        <v>43696</v>
      </c>
      <c r="F3664" s="336">
        <v>43695</v>
      </c>
      <c r="G3664" s="350"/>
      <c r="H3664" s="334" t="s">
        <v>144</v>
      </c>
      <c r="I3664" s="356">
        <v>15618535281</v>
      </c>
      <c r="J3664" s="361" t="s">
        <v>9138</v>
      </c>
      <c r="K3664" s="356">
        <v>1000</v>
      </c>
      <c r="L3664" s="419"/>
      <c r="M3664" s="419"/>
      <c r="N3664" s="362">
        <f t="shared" si="127"/>
        <v>0</v>
      </c>
      <c r="O3664" s="356"/>
      <c r="P3664" s="356"/>
      <c r="Q3664" s="356"/>
      <c r="R3664" s="356"/>
      <c r="S3664" s="356"/>
      <c r="T3664" s="356"/>
      <c r="U3664" s="336" t="s">
        <v>40</v>
      </c>
      <c r="V3664" s="372"/>
      <c r="W3664" s="372"/>
      <c r="X3664" s="373"/>
      <c r="Y3664" s="348"/>
      <c r="Z3664" s="348"/>
      <c r="AA3664" s="348"/>
    </row>
    <row r="3665" s="331" customFormat="1" ht="17" customHeight="1" spans="1:27">
      <c r="A3665" s="550" t="s">
        <v>9139</v>
      </c>
      <c r="B3665" s="348" t="s">
        <v>31</v>
      </c>
      <c r="C3665" s="348" t="s">
        <v>2716</v>
      </c>
      <c r="D3665" s="334" t="s">
        <v>221</v>
      </c>
      <c r="E3665" s="336">
        <v>43797</v>
      </c>
      <c r="F3665" s="336">
        <v>43695</v>
      </c>
      <c r="G3665" s="336">
        <v>43793</v>
      </c>
      <c r="H3665" s="334" t="s">
        <v>9140</v>
      </c>
      <c r="I3665" s="356">
        <v>15000050690</v>
      </c>
      <c r="J3665" s="361" t="s">
        <v>9141</v>
      </c>
      <c r="K3665" s="356">
        <v>2000</v>
      </c>
      <c r="L3665" s="334">
        <v>9031</v>
      </c>
      <c r="M3665" s="419"/>
      <c r="N3665" s="362">
        <f t="shared" si="127"/>
        <v>9031</v>
      </c>
      <c r="O3665" s="356"/>
      <c r="P3665" s="356"/>
      <c r="Q3665" s="356"/>
      <c r="R3665" s="356"/>
      <c r="S3665" s="356"/>
      <c r="T3665" s="356"/>
      <c r="U3665" s="372"/>
      <c r="V3665" s="372"/>
      <c r="W3665" s="372"/>
      <c r="X3665" s="373"/>
      <c r="Y3665" s="348"/>
      <c r="Z3665" s="348"/>
      <c r="AA3665" s="348"/>
    </row>
    <row r="3666" s="331" customFormat="1" ht="17" customHeight="1" spans="1:27">
      <c r="A3666" s="348"/>
      <c r="B3666" s="348" t="s">
        <v>35</v>
      </c>
      <c r="C3666" s="348" t="s">
        <v>392</v>
      </c>
      <c r="D3666" s="352" t="s">
        <v>37</v>
      </c>
      <c r="E3666" s="336">
        <v>43768</v>
      </c>
      <c r="F3666" s="336">
        <v>43695</v>
      </c>
      <c r="G3666" s="336">
        <v>43767</v>
      </c>
      <c r="H3666" s="334" t="s">
        <v>9142</v>
      </c>
      <c r="I3666" s="356">
        <v>13311861651</v>
      </c>
      <c r="J3666" s="361" t="s">
        <v>9143</v>
      </c>
      <c r="K3666" s="356">
        <v>1000</v>
      </c>
      <c r="L3666" s="334">
        <v>9969</v>
      </c>
      <c r="M3666" s="419"/>
      <c r="N3666" s="362">
        <f t="shared" si="127"/>
        <v>9969</v>
      </c>
      <c r="O3666" s="356" t="s">
        <v>52</v>
      </c>
      <c r="P3666" s="356"/>
      <c r="Q3666" s="356"/>
      <c r="R3666" s="356"/>
      <c r="S3666" s="356"/>
      <c r="T3666" s="356"/>
      <c r="U3666" s="372"/>
      <c r="V3666" s="372"/>
      <c r="W3666" s="372"/>
      <c r="X3666" s="373"/>
      <c r="Y3666" s="348"/>
      <c r="Z3666" s="348"/>
      <c r="AA3666" s="348"/>
    </row>
    <row r="3667" s="331" customFormat="1" ht="17" customHeight="1" spans="1:27">
      <c r="A3667" s="550" t="s">
        <v>9144</v>
      </c>
      <c r="B3667" s="348" t="s">
        <v>35</v>
      </c>
      <c r="C3667" s="348" t="s">
        <v>392</v>
      </c>
      <c r="D3667" s="334" t="s">
        <v>443</v>
      </c>
      <c r="E3667" s="336">
        <v>43743</v>
      </c>
      <c r="F3667" s="336">
        <v>43695</v>
      </c>
      <c r="G3667" s="336">
        <v>43742</v>
      </c>
      <c r="H3667" s="334" t="s">
        <v>9145</v>
      </c>
      <c r="I3667" s="356">
        <v>13817287259</v>
      </c>
      <c r="J3667" s="361" t="s">
        <v>9146</v>
      </c>
      <c r="K3667" s="356">
        <v>1000</v>
      </c>
      <c r="L3667" s="334">
        <v>14100</v>
      </c>
      <c r="M3667" s="419"/>
      <c r="N3667" s="362">
        <f t="shared" si="127"/>
        <v>14100</v>
      </c>
      <c r="O3667" s="356" t="s">
        <v>52</v>
      </c>
      <c r="P3667" s="356"/>
      <c r="Q3667" s="356"/>
      <c r="R3667" s="356"/>
      <c r="S3667" s="356"/>
      <c r="T3667" s="356"/>
      <c r="U3667" s="372"/>
      <c r="V3667" s="372"/>
      <c r="W3667" s="372"/>
      <c r="X3667" s="373"/>
      <c r="Y3667" s="348"/>
      <c r="Z3667" s="348"/>
      <c r="AA3667" s="348"/>
    </row>
    <row r="3668" s="331" customFormat="1" ht="17" customHeight="1" spans="1:27">
      <c r="A3668" s="550" t="s">
        <v>9147</v>
      </c>
      <c r="B3668" s="348" t="s">
        <v>35</v>
      </c>
      <c r="C3668" s="348" t="s">
        <v>392</v>
      </c>
      <c r="D3668" s="352" t="s">
        <v>37</v>
      </c>
      <c r="E3668" s="336">
        <v>43820</v>
      </c>
      <c r="F3668" s="336">
        <v>43695</v>
      </c>
      <c r="G3668" s="336">
        <v>43819</v>
      </c>
      <c r="H3668" s="334" t="s">
        <v>9148</v>
      </c>
      <c r="I3668" s="356">
        <v>13817772442</v>
      </c>
      <c r="J3668" s="361" t="s">
        <v>9149</v>
      </c>
      <c r="K3668" s="356">
        <v>3000</v>
      </c>
      <c r="L3668" s="334">
        <v>23000</v>
      </c>
      <c r="M3668" s="419"/>
      <c r="N3668" s="362">
        <f t="shared" si="127"/>
        <v>23000</v>
      </c>
      <c r="O3668" s="356"/>
      <c r="Q3668" s="356"/>
      <c r="R3668" s="356"/>
      <c r="S3668" s="356" t="s">
        <v>52</v>
      </c>
      <c r="T3668" s="356"/>
      <c r="U3668" s="372"/>
      <c r="V3668" s="372" t="s">
        <v>98</v>
      </c>
      <c r="W3668" s="372"/>
      <c r="X3668" s="373"/>
      <c r="Y3668" s="348"/>
      <c r="Z3668" s="348"/>
      <c r="AA3668" s="348"/>
    </row>
    <row r="3669" s="331" customFormat="1" ht="17" customHeight="1" spans="1:27">
      <c r="A3669" s="348">
        <v>2068610</v>
      </c>
      <c r="B3669" s="334" t="s">
        <v>87</v>
      </c>
      <c r="C3669" s="334" t="s">
        <v>1757</v>
      </c>
      <c r="D3669" s="334" t="s">
        <v>89</v>
      </c>
      <c r="E3669" s="336">
        <v>43724</v>
      </c>
      <c r="F3669" s="336">
        <v>43695</v>
      </c>
      <c r="G3669" s="336">
        <v>43723</v>
      </c>
      <c r="H3669" s="334" t="s">
        <v>9150</v>
      </c>
      <c r="I3669" s="356">
        <v>13120859695</v>
      </c>
      <c r="J3669" s="361" t="s">
        <v>9151</v>
      </c>
      <c r="K3669" s="356">
        <v>2000</v>
      </c>
      <c r="L3669" s="334">
        <f>4020-536</f>
        <v>3484</v>
      </c>
      <c r="M3669" s="334">
        <v>536</v>
      </c>
      <c r="N3669" s="362">
        <f t="shared" si="127"/>
        <v>4020</v>
      </c>
      <c r="O3669" s="356"/>
      <c r="P3669" s="356"/>
      <c r="Q3669" s="356"/>
      <c r="R3669" s="356"/>
      <c r="S3669" s="356"/>
      <c r="T3669" s="356"/>
      <c r="U3669" s="372"/>
      <c r="V3669" s="372"/>
      <c r="W3669" s="372"/>
      <c r="X3669" s="373"/>
      <c r="Y3669" s="348"/>
      <c r="Z3669" s="348"/>
      <c r="AA3669" s="348"/>
    </row>
    <row r="3670" s="331" customFormat="1" ht="15" customHeight="1" spans="1:27">
      <c r="A3670" s="550" t="s">
        <v>9152</v>
      </c>
      <c r="B3670" s="348" t="s">
        <v>58</v>
      </c>
      <c r="C3670" s="348" t="s">
        <v>794</v>
      </c>
      <c r="D3670" s="352" t="s">
        <v>110</v>
      </c>
      <c r="E3670" s="336">
        <v>43696</v>
      </c>
      <c r="F3670" s="336">
        <v>43695</v>
      </c>
      <c r="G3670" s="350"/>
      <c r="H3670" s="334" t="s">
        <v>9153</v>
      </c>
      <c r="I3670" s="356">
        <v>13916710421</v>
      </c>
      <c r="J3670" s="361" t="s">
        <v>9154</v>
      </c>
      <c r="K3670" s="356">
        <v>1000</v>
      </c>
      <c r="L3670" s="419"/>
      <c r="M3670" s="419"/>
      <c r="N3670" s="362">
        <f t="shared" ref="N3670:N3701" si="128">L3670+M3670</f>
        <v>0</v>
      </c>
      <c r="O3670" s="366" t="s">
        <v>52</v>
      </c>
      <c r="P3670" s="356"/>
      <c r="Q3670" s="356"/>
      <c r="R3670" s="356"/>
      <c r="S3670" s="356"/>
      <c r="T3670" s="356"/>
      <c r="U3670" s="372"/>
      <c r="V3670" s="372"/>
      <c r="W3670" s="372"/>
      <c r="X3670" s="373"/>
      <c r="Y3670" s="348"/>
      <c r="Z3670" s="348"/>
      <c r="AA3670" s="348"/>
    </row>
    <row r="3671" s="331" customFormat="1" ht="15" customHeight="1" spans="1:27">
      <c r="A3671" s="550" t="s">
        <v>9155</v>
      </c>
      <c r="B3671" s="348" t="s">
        <v>58</v>
      </c>
      <c r="C3671" s="348" t="s">
        <v>794</v>
      </c>
      <c r="D3671" s="352" t="s">
        <v>110</v>
      </c>
      <c r="E3671" s="336">
        <v>43696</v>
      </c>
      <c r="F3671" s="336">
        <v>43695</v>
      </c>
      <c r="G3671" s="350"/>
      <c r="H3671" s="334" t="s">
        <v>9156</v>
      </c>
      <c r="I3671" s="356">
        <v>15202185595</v>
      </c>
      <c r="J3671" s="361" t="s">
        <v>9157</v>
      </c>
      <c r="K3671" s="356">
        <v>1000</v>
      </c>
      <c r="L3671" s="419"/>
      <c r="M3671" s="419"/>
      <c r="N3671" s="362">
        <f t="shared" si="128"/>
        <v>0</v>
      </c>
      <c r="O3671" s="366" t="s">
        <v>52</v>
      </c>
      <c r="P3671" s="356"/>
      <c r="Q3671" s="356"/>
      <c r="R3671" s="356"/>
      <c r="S3671" s="356"/>
      <c r="T3671" s="356"/>
      <c r="U3671" s="374">
        <v>43814</v>
      </c>
      <c r="V3671" s="372"/>
      <c r="W3671" s="372"/>
      <c r="X3671" s="373"/>
      <c r="Y3671" s="348"/>
      <c r="Z3671" s="348"/>
      <c r="AA3671" s="348"/>
    </row>
    <row r="3672" s="331" customFormat="1" ht="15" customHeight="1" spans="1:27">
      <c r="A3672" s="550" t="s">
        <v>9158</v>
      </c>
      <c r="B3672" s="348" t="s">
        <v>58</v>
      </c>
      <c r="C3672" s="348" t="s">
        <v>342</v>
      </c>
      <c r="D3672" s="352" t="s">
        <v>343</v>
      </c>
      <c r="E3672" s="336">
        <v>43696</v>
      </c>
      <c r="F3672" s="336">
        <v>43692</v>
      </c>
      <c r="G3672" s="350"/>
      <c r="H3672" s="334" t="s">
        <v>144</v>
      </c>
      <c r="I3672" s="356">
        <v>13661828972</v>
      </c>
      <c r="J3672" s="361" t="s">
        <v>9159</v>
      </c>
      <c r="K3672" s="356">
        <v>1000</v>
      </c>
      <c r="L3672" s="419"/>
      <c r="M3672" s="419"/>
      <c r="N3672" s="362">
        <f t="shared" si="128"/>
        <v>0</v>
      </c>
      <c r="O3672" s="366" t="s">
        <v>52</v>
      </c>
      <c r="P3672" s="356"/>
      <c r="Q3672" s="356"/>
      <c r="R3672" s="356"/>
      <c r="S3672" s="356"/>
      <c r="T3672" s="356"/>
      <c r="U3672" s="372"/>
      <c r="V3672" s="372"/>
      <c r="W3672" s="372"/>
      <c r="X3672" s="373"/>
      <c r="Y3672" s="348"/>
      <c r="Z3672" s="348"/>
      <c r="AA3672" s="348"/>
    </row>
    <row r="3673" s="331" customFormat="1" ht="15" customHeight="1" spans="1:27">
      <c r="A3673" s="550" t="s">
        <v>9160</v>
      </c>
      <c r="B3673" s="348" t="s">
        <v>58</v>
      </c>
      <c r="C3673" s="348" t="s">
        <v>342</v>
      </c>
      <c r="D3673" s="352" t="s">
        <v>343</v>
      </c>
      <c r="E3673" s="336">
        <v>43696</v>
      </c>
      <c r="F3673" s="336">
        <v>43695</v>
      </c>
      <c r="G3673" s="350"/>
      <c r="H3673" s="334" t="s">
        <v>9161</v>
      </c>
      <c r="I3673" s="552" t="s">
        <v>9162</v>
      </c>
      <c r="J3673" s="361" t="s">
        <v>9163</v>
      </c>
      <c r="K3673" s="356">
        <v>1000</v>
      </c>
      <c r="L3673" s="419"/>
      <c r="M3673" s="419"/>
      <c r="N3673" s="362">
        <f t="shared" si="128"/>
        <v>0</v>
      </c>
      <c r="O3673" s="366" t="s">
        <v>52</v>
      </c>
      <c r="P3673" s="356"/>
      <c r="Q3673" s="356"/>
      <c r="R3673" s="356"/>
      <c r="S3673" s="356"/>
      <c r="T3673" s="356"/>
      <c r="U3673" s="372"/>
      <c r="V3673" s="372"/>
      <c r="W3673" s="372"/>
      <c r="X3673" s="373"/>
      <c r="Y3673" s="348"/>
      <c r="Z3673" s="348"/>
      <c r="AA3673" s="348"/>
    </row>
    <row r="3674" s="331" customFormat="1" ht="15" customHeight="1" spans="1:27">
      <c r="A3674" s="550" t="s">
        <v>9164</v>
      </c>
      <c r="B3674" s="348" t="s">
        <v>58</v>
      </c>
      <c r="C3674" s="348" t="s">
        <v>342</v>
      </c>
      <c r="D3674" s="352" t="s">
        <v>343</v>
      </c>
      <c r="E3674" s="336">
        <v>43696</v>
      </c>
      <c r="F3674" s="336">
        <v>43695</v>
      </c>
      <c r="G3674" s="350"/>
      <c r="H3674" s="334" t="s">
        <v>9165</v>
      </c>
      <c r="I3674" s="356">
        <v>18016050941</v>
      </c>
      <c r="J3674" s="361" t="s">
        <v>9166</v>
      </c>
      <c r="K3674" s="356">
        <v>1000</v>
      </c>
      <c r="L3674" s="419"/>
      <c r="M3674" s="419"/>
      <c r="N3674" s="362">
        <f t="shared" si="128"/>
        <v>0</v>
      </c>
      <c r="O3674" s="366" t="s">
        <v>52</v>
      </c>
      <c r="P3674" s="356"/>
      <c r="Q3674" s="356"/>
      <c r="R3674" s="356"/>
      <c r="S3674" s="356"/>
      <c r="T3674" s="356"/>
      <c r="U3674" s="372"/>
      <c r="V3674" s="372"/>
      <c r="W3674" s="372"/>
      <c r="X3674" s="373"/>
      <c r="Y3674" s="348"/>
      <c r="Z3674" s="348"/>
      <c r="AA3674" s="348"/>
    </row>
    <row r="3675" s="331" customFormat="1" ht="15" customHeight="1" spans="1:27">
      <c r="A3675" s="550" t="s">
        <v>592</v>
      </c>
      <c r="B3675" s="348" t="s">
        <v>58</v>
      </c>
      <c r="C3675" s="348" t="s">
        <v>342</v>
      </c>
      <c r="D3675" s="352" t="s">
        <v>343</v>
      </c>
      <c r="E3675" s="336">
        <v>43765</v>
      </c>
      <c r="F3675" s="336">
        <v>43695</v>
      </c>
      <c r="G3675" s="336">
        <v>43764</v>
      </c>
      <c r="H3675" s="334" t="s">
        <v>9167</v>
      </c>
      <c r="I3675" s="356">
        <v>15906870688</v>
      </c>
      <c r="J3675" s="361" t="s">
        <v>9168</v>
      </c>
      <c r="K3675" s="356">
        <v>1000</v>
      </c>
      <c r="L3675" s="334">
        <v>17091</v>
      </c>
      <c r="M3675" s="419"/>
      <c r="N3675" s="362">
        <f t="shared" si="128"/>
        <v>17091</v>
      </c>
      <c r="O3675" s="366" t="s">
        <v>52</v>
      </c>
      <c r="P3675" s="356"/>
      <c r="Q3675" s="356"/>
      <c r="R3675" s="356"/>
      <c r="S3675" s="356"/>
      <c r="T3675" s="356"/>
      <c r="U3675" s="372"/>
      <c r="V3675" s="372"/>
      <c r="W3675" s="372"/>
      <c r="X3675" s="373"/>
      <c r="Y3675" s="348"/>
      <c r="Z3675" s="348"/>
      <c r="AA3675" s="348"/>
    </row>
    <row r="3676" s="331" customFormat="1" ht="17" customHeight="1" spans="1:27">
      <c r="A3676" s="550" t="s">
        <v>9169</v>
      </c>
      <c r="B3676" s="348" t="s">
        <v>35</v>
      </c>
      <c r="C3676" s="348" t="s">
        <v>392</v>
      </c>
      <c r="D3676" s="352" t="s">
        <v>37</v>
      </c>
      <c r="E3676" s="336">
        <v>43708</v>
      </c>
      <c r="F3676" s="336">
        <v>43695</v>
      </c>
      <c r="G3676" s="336">
        <v>43708</v>
      </c>
      <c r="H3676" s="334" t="s">
        <v>9170</v>
      </c>
      <c r="I3676" s="356">
        <v>13817194942</v>
      </c>
      <c r="J3676" s="361" t="s">
        <v>9171</v>
      </c>
      <c r="K3676" s="356">
        <v>10000</v>
      </c>
      <c r="L3676" s="334">
        <v>10500</v>
      </c>
      <c r="M3676" s="419"/>
      <c r="N3676" s="362">
        <f t="shared" si="128"/>
        <v>10500</v>
      </c>
      <c r="O3676" s="356"/>
      <c r="P3676" s="356"/>
      <c r="Q3676" s="356"/>
      <c r="R3676" s="356"/>
      <c r="S3676" s="356" t="s">
        <v>52</v>
      </c>
      <c r="T3676" s="356"/>
      <c r="U3676" s="372"/>
      <c r="V3676" s="372"/>
      <c r="W3676" s="372"/>
      <c r="X3676" s="373"/>
      <c r="Y3676" s="348"/>
      <c r="Z3676" s="348"/>
      <c r="AA3676" s="348"/>
    </row>
    <row r="3677" s="331" customFormat="1" ht="17" customHeight="1" spans="1:27">
      <c r="A3677" s="348"/>
      <c r="B3677" s="348" t="s">
        <v>31</v>
      </c>
      <c r="C3677" s="348" t="s">
        <v>2716</v>
      </c>
      <c r="D3677" s="352" t="s">
        <v>33</v>
      </c>
      <c r="E3677" s="336">
        <v>43708</v>
      </c>
      <c r="F3677" s="336">
        <v>43695</v>
      </c>
      <c r="G3677" s="336">
        <v>43708</v>
      </c>
      <c r="H3677" s="334" t="s">
        <v>9172</v>
      </c>
      <c r="I3677" s="356">
        <v>13816389337</v>
      </c>
      <c r="J3677" s="361" t="s">
        <v>9173</v>
      </c>
      <c r="K3677" s="356">
        <v>10000</v>
      </c>
      <c r="L3677" s="334">
        <v>10000</v>
      </c>
      <c r="M3677" s="419"/>
      <c r="N3677" s="362">
        <f t="shared" si="128"/>
        <v>10000</v>
      </c>
      <c r="O3677" s="356"/>
      <c r="P3677" s="356"/>
      <c r="Q3677" s="356"/>
      <c r="R3677" s="356"/>
      <c r="S3677" s="356"/>
      <c r="T3677" s="356"/>
      <c r="U3677" s="372" t="s">
        <v>12</v>
      </c>
      <c r="V3677" s="372"/>
      <c r="W3677" s="372"/>
      <c r="X3677" s="373"/>
      <c r="Y3677" s="348"/>
      <c r="Z3677" s="348"/>
      <c r="AA3677" s="348"/>
    </row>
    <row r="3678" s="331" customFormat="1" ht="15" customHeight="1" spans="1:27">
      <c r="A3678" s="550" t="s">
        <v>9174</v>
      </c>
      <c r="B3678" s="348" t="s">
        <v>58</v>
      </c>
      <c r="C3678" s="348" t="s">
        <v>347</v>
      </c>
      <c r="D3678" s="352" t="s">
        <v>343</v>
      </c>
      <c r="E3678" s="336">
        <v>43696</v>
      </c>
      <c r="F3678" s="336">
        <v>43695</v>
      </c>
      <c r="G3678" s="350"/>
      <c r="H3678" s="334" t="s">
        <v>9175</v>
      </c>
      <c r="I3678" s="356">
        <v>18516180460</v>
      </c>
      <c r="J3678" s="361" t="s">
        <v>9176</v>
      </c>
      <c r="K3678" s="356">
        <v>1000</v>
      </c>
      <c r="L3678" s="419"/>
      <c r="M3678" s="419"/>
      <c r="N3678" s="362">
        <f t="shared" si="128"/>
        <v>0</v>
      </c>
      <c r="O3678" s="366" t="s">
        <v>52</v>
      </c>
      <c r="P3678" s="356"/>
      <c r="Q3678" s="356"/>
      <c r="R3678" s="356"/>
      <c r="S3678" s="356"/>
      <c r="T3678" s="356"/>
      <c r="U3678" s="372"/>
      <c r="V3678" s="372"/>
      <c r="W3678" s="372"/>
      <c r="X3678" s="373"/>
      <c r="Y3678" s="348"/>
      <c r="Z3678" s="348"/>
      <c r="AA3678" s="348"/>
    </row>
    <row r="3679" s="331" customFormat="1" ht="15" customHeight="1" spans="1:27">
      <c r="A3679" s="550" t="s">
        <v>9177</v>
      </c>
      <c r="B3679" s="348" t="s">
        <v>58</v>
      </c>
      <c r="C3679" s="348" t="s">
        <v>347</v>
      </c>
      <c r="D3679" s="352" t="s">
        <v>343</v>
      </c>
      <c r="E3679" s="336">
        <v>43821</v>
      </c>
      <c r="F3679" s="336">
        <v>43695</v>
      </c>
      <c r="G3679" s="336">
        <v>43821</v>
      </c>
      <c r="H3679" s="334" t="s">
        <v>9178</v>
      </c>
      <c r="I3679" s="356">
        <v>18321768068</v>
      </c>
      <c r="J3679" s="361" t="s">
        <v>9179</v>
      </c>
      <c r="K3679" s="356">
        <v>1000</v>
      </c>
      <c r="L3679" s="334">
        <v>7061</v>
      </c>
      <c r="M3679" s="419"/>
      <c r="N3679" s="362">
        <f t="shared" si="128"/>
        <v>7061</v>
      </c>
      <c r="O3679" s="366" t="s">
        <v>52</v>
      </c>
      <c r="P3679" s="356"/>
      <c r="Q3679" s="356"/>
      <c r="R3679" s="356"/>
      <c r="S3679" s="356"/>
      <c r="T3679" s="356"/>
      <c r="U3679" s="372"/>
      <c r="V3679" s="372"/>
      <c r="W3679" s="372"/>
      <c r="X3679" s="373"/>
      <c r="Y3679" s="348"/>
      <c r="Z3679" s="348"/>
      <c r="AA3679" s="348"/>
    </row>
    <row r="3680" s="331" customFormat="1" ht="17" customHeight="1" spans="1:27">
      <c r="A3680" s="348"/>
      <c r="B3680" s="348" t="s">
        <v>169</v>
      </c>
      <c r="C3680" s="348" t="s">
        <v>634</v>
      </c>
      <c r="D3680" s="352" t="s">
        <v>635</v>
      </c>
      <c r="E3680" s="336">
        <v>43747</v>
      </c>
      <c r="F3680" s="336">
        <v>43695</v>
      </c>
      <c r="G3680" s="336">
        <v>43747</v>
      </c>
      <c r="H3680" s="334" t="s">
        <v>9180</v>
      </c>
      <c r="I3680" s="356">
        <v>18092693868</v>
      </c>
      <c r="J3680" s="361" t="s">
        <v>9181</v>
      </c>
      <c r="K3680" s="356">
        <v>2000</v>
      </c>
      <c r="L3680" s="334">
        <v>6652</v>
      </c>
      <c r="M3680" s="419"/>
      <c r="N3680" s="362">
        <f t="shared" si="128"/>
        <v>6652</v>
      </c>
      <c r="O3680" s="356" t="s">
        <v>19</v>
      </c>
      <c r="P3680" s="356"/>
      <c r="Q3680" s="356"/>
      <c r="R3680" s="356"/>
      <c r="S3680" s="356"/>
      <c r="T3680" s="356"/>
      <c r="U3680" s="372"/>
      <c r="V3680" s="372"/>
      <c r="W3680" s="372"/>
      <c r="X3680" s="373"/>
      <c r="Y3680" s="348"/>
      <c r="Z3680" s="348"/>
      <c r="AA3680" s="348"/>
    </row>
    <row r="3681" s="331" customFormat="1" ht="17" customHeight="1" spans="1:27">
      <c r="A3681" s="348"/>
      <c r="B3681" s="348" t="s">
        <v>169</v>
      </c>
      <c r="C3681" s="348" t="s">
        <v>634</v>
      </c>
      <c r="D3681" s="352" t="s">
        <v>635</v>
      </c>
      <c r="E3681" s="336">
        <v>43696</v>
      </c>
      <c r="F3681" s="336">
        <v>43695</v>
      </c>
      <c r="G3681" s="350"/>
      <c r="H3681" s="334" t="s">
        <v>9182</v>
      </c>
      <c r="I3681" s="356">
        <v>13636675799</v>
      </c>
      <c r="J3681" s="361" t="s">
        <v>9183</v>
      </c>
      <c r="K3681" s="356">
        <v>1000</v>
      </c>
      <c r="L3681" s="419"/>
      <c r="M3681" s="419"/>
      <c r="N3681" s="362">
        <f t="shared" si="128"/>
        <v>0</v>
      </c>
      <c r="O3681" s="356" t="s">
        <v>19</v>
      </c>
      <c r="P3681" s="356"/>
      <c r="Q3681" s="356"/>
      <c r="R3681" s="356"/>
      <c r="S3681" s="356"/>
      <c r="T3681" s="356"/>
      <c r="U3681" s="372">
        <v>11.2</v>
      </c>
      <c r="V3681" s="372"/>
      <c r="W3681" s="372"/>
      <c r="X3681" s="373"/>
      <c r="Y3681" s="348"/>
      <c r="Z3681" s="348"/>
      <c r="AA3681" s="348"/>
    </row>
    <row r="3682" s="331" customFormat="1" ht="15" customHeight="1" spans="1:27">
      <c r="A3682" s="348"/>
      <c r="B3682" s="348" t="s">
        <v>58</v>
      </c>
      <c r="C3682" s="348" t="s">
        <v>347</v>
      </c>
      <c r="D3682" s="352" t="s">
        <v>343</v>
      </c>
      <c r="E3682" s="336">
        <v>43795</v>
      </c>
      <c r="F3682" s="336">
        <v>43695</v>
      </c>
      <c r="G3682" s="336">
        <v>43792</v>
      </c>
      <c r="H3682" s="334" t="s">
        <v>9184</v>
      </c>
      <c r="I3682" s="356">
        <v>13917086157</v>
      </c>
      <c r="J3682" s="361" t="s">
        <v>9185</v>
      </c>
      <c r="K3682" s="356">
        <v>1000</v>
      </c>
      <c r="L3682" s="334">
        <v>13720</v>
      </c>
      <c r="M3682" s="419"/>
      <c r="N3682" s="362">
        <f t="shared" si="128"/>
        <v>13720</v>
      </c>
      <c r="O3682" s="366" t="s">
        <v>52</v>
      </c>
      <c r="P3682" s="356"/>
      <c r="Q3682" s="356"/>
      <c r="R3682" s="356"/>
      <c r="S3682" s="356"/>
      <c r="T3682" s="356"/>
      <c r="U3682" s="372"/>
      <c r="V3682" s="372"/>
      <c r="W3682" s="372"/>
      <c r="X3682" s="373"/>
      <c r="Y3682" s="348"/>
      <c r="Z3682" s="348"/>
      <c r="AA3682" s="348"/>
    </row>
    <row r="3683" s="331" customFormat="1" ht="15" customHeight="1" spans="1:27">
      <c r="A3683" s="550" t="s">
        <v>9186</v>
      </c>
      <c r="B3683" s="348" t="s">
        <v>58</v>
      </c>
      <c r="C3683" s="348" t="s">
        <v>794</v>
      </c>
      <c r="D3683" s="352" t="s">
        <v>110</v>
      </c>
      <c r="E3683" s="336">
        <v>43696</v>
      </c>
      <c r="F3683" s="336">
        <v>43695</v>
      </c>
      <c r="G3683" s="350">
        <v>43727</v>
      </c>
      <c r="H3683" s="334" t="s">
        <v>9187</v>
      </c>
      <c r="I3683" s="356">
        <v>13671647471</v>
      </c>
      <c r="J3683" s="361" t="s">
        <v>9188</v>
      </c>
      <c r="K3683" s="356">
        <v>1000</v>
      </c>
      <c r="L3683" s="419"/>
      <c r="M3683" s="419"/>
      <c r="N3683" s="362">
        <f t="shared" si="128"/>
        <v>0</v>
      </c>
      <c r="O3683" s="366" t="s">
        <v>52</v>
      </c>
      <c r="P3683" s="356"/>
      <c r="Q3683" s="356"/>
      <c r="R3683" s="356"/>
      <c r="S3683" s="356"/>
      <c r="T3683" s="356"/>
      <c r="U3683" s="372"/>
      <c r="V3683" s="372"/>
      <c r="W3683" s="372"/>
      <c r="X3683" s="373"/>
      <c r="Y3683" s="348"/>
      <c r="Z3683" s="348"/>
      <c r="AA3683" s="348"/>
    </row>
    <row r="3684" s="331" customFormat="1" ht="17" customHeight="1" spans="1:27">
      <c r="A3684" s="550" t="s">
        <v>9189</v>
      </c>
      <c r="B3684" s="348" t="s">
        <v>315</v>
      </c>
      <c r="C3684" s="348" t="s">
        <v>722</v>
      </c>
      <c r="D3684" s="349" t="s">
        <v>132</v>
      </c>
      <c r="E3684" s="336">
        <v>43696</v>
      </c>
      <c r="F3684" s="336">
        <v>43695</v>
      </c>
      <c r="G3684" s="350"/>
      <c r="H3684" s="334" t="s">
        <v>9190</v>
      </c>
      <c r="I3684" s="356">
        <v>18017866859</v>
      </c>
      <c r="J3684" s="361" t="s">
        <v>9191</v>
      </c>
      <c r="K3684" s="356">
        <v>1000</v>
      </c>
      <c r="L3684" s="419"/>
      <c r="M3684" s="419"/>
      <c r="N3684" s="362">
        <f t="shared" si="128"/>
        <v>0</v>
      </c>
      <c r="O3684" s="356"/>
      <c r="P3684" s="356">
        <v>1</v>
      </c>
      <c r="Q3684" s="356"/>
      <c r="R3684" s="356"/>
      <c r="S3684" s="356"/>
      <c r="T3684" s="356"/>
      <c r="U3684" s="400" t="s">
        <v>9192</v>
      </c>
      <c r="V3684" s="372"/>
      <c r="W3684" s="372"/>
      <c r="X3684" s="373"/>
      <c r="Y3684" s="348"/>
      <c r="Z3684" s="348"/>
      <c r="AA3684" s="348"/>
    </row>
    <row r="3685" s="331" customFormat="1" ht="17" customHeight="1" spans="1:27">
      <c r="A3685" s="550" t="s">
        <v>9193</v>
      </c>
      <c r="B3685" s="348" t="s">
        <v>315</v>
      </c>
      <c r="C3685" s="348" t="s">
        <v>181</v>
      </c>
      <c r="D3685" s="352" t="s">
        <v>182</v>
      </c>
      <c r="E3685" s="336">
        <v>43696</v>
      </c>
      <c r="F3685" s="336">
        <v>43694</v>
      </c>
      <c r="G3685" s="350" t="s">
        <v>69</v>
      </c>
      <c r="H3685" s="334" t="s">
        <v>9194</v>
      </c>
      <c r="I3685" s="356">
        <v>18121223761</v>
      </c>
      <c r="J3685" s="361" t="s">
        <v>9195</v>
      </c>
      <c r="K3685" s="356">
        <v>9500</v>
      </c>
      <c r="L3685" s="419"/>
      <c r="M3685" s="419"/>
      <c r="N3685" s="362">
        <f t="shared" si="128"/>
        <v>0</v>
      </c>
      <c r="O3685" s="356"/>
      <c r="P3685" s="356">
        <v>1</v>
      </c>
      <c r="Q3685" s="356"/>
      <c r="R3685" s="356"/>
      <c r="S3685" s="356"/>
      <c r="T3685" s="356"/>
      <c r="U3685" s="372"/>
      <c r="V3685" s="372"/>
      <c r="W3685" s="372"/>
      <c r="X3685" s="373"/>
      <c r="Y3685" s="348"/>
      <c r="Z3685" s="348"/>
      <c r="AA3685" s="348"/>
    </row>
    <row r="3686" s="331" customFormat="1" ht="15" customHeight="1" spans="1:27">
      <c r="A3686" s="550" t="s">
        <v>9196</v>
      </c>
      <c r="B3686" s="348" t="s">
        <v>58</v>
      </c>
      <c r="C3686" s="348" t="s">
        <v>59</v>
      </c>
      <c r="D3686" s="349" t="s">
        <v>271</v>
      </c>
      <c r="E3686" s="336">
        <v>43763</v>
      </c>
      <c r="F3686" s="336">
        <v>43695</v>
      </c>
      <c r="G3686" s="336">
        <v>43762</v>
      </c>
      <c r="H3686" s="334" t="s">
        <v>9197</v>
      </c>
      <c r="I3686" s="356">
        <v>13514593334</v>
      </c>
      <c r="J3686" s="361" t="s">
        <v>9198</v>
      </c>
      <c r="K3686" s="356">
        <v>4200</v>
      </c>
      <c r="L3686" s="334">
        <v>4100</v>
      </c>
      <c r="M3686" s="419"/>
      <c r="N3686" s="362">
        <f t="shared" si="128"/>
        <v>4100</v>
      </c>
      <c r="O3686" s="356"/>
      <c r="P3686" s="366" t="s">
        <v>52</v>
      </c>
      <c r="Q3686" s="356"/>
      <c r="R3686" s="356"/>
      <c r="S3686" s="356"/>
      <c r="T3686" s="356"/>
      <c r="U3686" s="372"/>
      <c r="V3686" s="372"/>
      <c r="W3686" s="372"/>
      <c r="X3686" s="373"/>
      <c r="Y3686" s="348"/>
      <c r="Z3686" s="348"/>
      <c r="AA3686" s="348"/>
    </row>
    <row r="3687" s="331" customFormat="1" ht="17" customHeight="1" spans="1:27">
      <c r="A3687" s="348"/>
      <c r="B3687" s="348" t="s">
        <v>58</v>
      </c>
      <c r="C3687" s="348" t="s">
        <v>59</v>
      </c>
      <c r="D3687" s="349" t="s">
        <v>271</v>
      </c>
      <c r="E3687" s="336">
        <v>43700</v>
      </c>
      <c r="F3687" s="336">
        <v>43695</v>
      </c>
      <c r="G3687" s="336">
        <v>43698</v>
      </c>
      <c r="H3687" s="334" t="s">
        <v>9199</v>
      </c>
      <c r="I3687" s="356">
        <v>1500936659</v>
      </c>
      <c r="J3687" s="361" t="s">
        <v>9200</v>
      </c>
      <c r="K3687" s="356">
        <v>13598</v>
      </c>
      <c r="L3687" s="334">
        <v>18562</v>
      </c>
      <c r="M3687" s="419"/>
      <c r="N3687" s="362">
        <f t="shared" si="128"/>
        <v>18562</v>
      </c>
      <c r="O3687" s="356"/>
      <c r="P3687" s="356"/>
      <c r="Q3687" s="356"/>
      <c r="R3687" s="356"/>
      <c r="S3687" s="356"/>
      <c r="T3687" s="356"/>
      <c r="U3687" s="372"/>
      <c r="V3687" s="372"/>
      <c r="W3687" s="372"/>
      <c r="X3687" s="373"/>
      <c r="Y3687" s="348"/>
      <c r="Z3687" s="348"/>
      <c r="AA3687" s="348"/>
    </row>
    <row r="3688" s="331" customFormat="1" ht="17" customHeight="1" spans="1:27">
      <c r="A3688" s="550" t="s">
        <v>9201</v>
      </c>
      <c r="B3688" s="348" t="s">
        <v>315</v>
      </c>
      <c r="C3688" s="348" t="s">
        <v>275</v>
      </c>
      <c r="D3688" s="352" t="s">
        <v>162</v>
      </c>
      <c r="E3688" s="336">
        <v>43706</v>
      </c>
      <c r="F3688" s="336">
        <v>43695</v>
      </c>
      <c r="G3688" s="336">
        <v>43706</v>
      </c>
      <c r="H3688" s="334" t="s">
        <v>9202</v>
      </c>
      <c r="I3688" s="356">
        <v>18512156081</v>
      </c>
      <c r="J3688" s="361" t="s">
        <v>9203</v>
      </c>
      <c r="K3688" s="356">
        <v>10000</v>
      </c>
      <c r="L3688" s="334">
        <v>10000</v>
      </c>
      <c r="M3688" s="419"/>
      <c r="N3688" s="362">
        <f t="shared" si="128"/>
        <v>10000</v>
      </c>
      <c r="O3688" s="356"/>
      <c r="P3688" s="356"/>
      <c r="Q3688" s="356">
        <v>1</v>
      </c>
      <c r="R3688" s="356"/>
      <c r="S3688" s="356"/>
      <c r="T3688" s="356"/>
      <c r="U3688" s="372"/>
      <c r="V3688" s="372"/>
      <c r="W3688" s="372"/>
      <c r="X3688" s="373"/>
      <c r="Y3688" s="348"/>
      <c r="Z3688" s="348"/>
      <c r="AA3688" s="348"/>
    </row>
    <row r="3689" s="331" customFormat="1" ht="17" customHeight="1" spans="1:27">
      <c r="A3689" s="550" t="s">
        <v>2056</v>
      </c>
      <c r="B3689" s="348" t="s">
        <v>315</v>
      </c>
      <c r="C3689" s="348" t="s">
        <v>275</v>
      </c>
      <c r="D3689" s="352" t="s">
        <v>162</v>
      </c>
      <c r="E3689" s="336">
        <v>43706</v>
      </c>
      <c r="F3689" s="336">
        <v>43695</v>
      </c>
      <c r="G3689" s="336">
        <v>43706</v>
      </c>
      <c r="H3689" s="334" t="s">
        <v>9204</v>
      </c>
      <c r="I3689" s="356">
        <v>15821788860</v>
      </c>
      <c r="J3689" s="361" t="s">
        <v>9205</v>
      </c>
      <c r="K3689" s="356">
        <v>10000</v>
      </c>
      <c r="L3689" s="334">
        <v>10000</v>
      </c>
      <c r="M3689" s="419"/>
      <c r="N3689" s="362">
        <f t="shared" si="128"/>
        <v>10000</v>
      </c>
      <c r="O3689" s="356"/>
      <c r="P3689" s="356">
        <v>1</v>
      </c>
      <c r="Q3689" s="356"/>
      <c r="R3689" s="356"/>
      <c r="S3689" s="356"/>
      <c r="T3689" s="356"/>
      <c r="U3689" s="372"/>
      <c r="V3689" s="372"/>
      <c r="W3689" s="372"/>
      <c r="X3689" s="373"/>
      <c r="Y3689" s="348"/>
      <c r="Z3689" s="348"/>
      <c r="AA3689" s="348"/>
    </row>
    <row r="3690" s="331" customFormat="1" ht="15" customHeight="1" spans="1:27">
      <c r="A3690" s="550" t="s">
        <v>9206</v>
      </c>
      <c r="B3690" s="348" t="s">
        <v>58</v>
      </c>
      <c r="C3690" s="348" t="s">
        <v>59</v>
      </c>
      <c r="D3690" s="349" t="s">
        <v>271</v>
      </c>
      <c r="E3690" s="336">
        <v>43696</v>
      </c>
      <c r="F3690" s="336">
        <v>43695</v>
      </c>
      <c r="G3690" s="350"/>
      <c r="H3690" s="334" t="s">
        <v>9207</v>
      </c>
      <c r="I3690" s="356">
        <v>18721289383</v>
      </c>
      <c r="J3690" s="361" t="s">
        <v>9208</v>
      </c>
      <c r="K3690" s="356">
        <v>1998</v>
      </c>
      <c r="L3690" s="419"/>
      <c r="M3690" s="419"/>
      <c r="N3690" s="362">
        <f t="shared" si="128"/>
        <v>0</v>
      </c>
      <c r="O3690" s="366" t="s">
        <v>52</v>
      </c>
      <c r="P3690" s="356"/>
      <c r="Q3690" s="356"/>
      <c r="R3690" s="356"/>
      <c r="S3690" s="356"/>
      <c r="T3690" s="356"/>
      <c r="U3690" s="372"/>
      <c r="V3690" s="372"/>
      <c r="W3690" s="372"/>
      <c r="X3690" s="373"/>
      <c r="Y3690" s="348"/>
      <c r="Z3690" s="348"/>
      <c r="AA3690" s="348"/>
    </row>
    <row r="3691" s="57" customFormat="1" ht="17" customHeight="1" spans="1:27">
      <c r="A3691" s="348">
        <v>2068701</v>
      </c>
      <c r="B3691" s="348" t="s">
        <v>137</v>
      </c>
      <c r="C3691" s="348" t="s">
        <v>406</v>
      </c>
      <c r="D3691" s="349" t="s">
        <v>443</v>
      </c>
      <c r="E3691" s="336">
        <v>43696</v>
      </c>
      <c r="F3691" s="336">
        <v>43695</v>
      </c>
      <c r="G3691" s="350"/>
      <c r="H3691" s="334" t="s">
        <v>9209</v>
      </c>
      <c r="I3691" s="356">
        <v>15821578787</v>
      </c>
      <c r="J3691" s="348" t="s">
        <v>9210</v>
      </c>
      <c r="K3691" s="356">
        <v>1000</v>
      </c>
      <c r="L3691" s="419"/>
      <c r="M3691" s="419"/>
      <c r="N3691" s="362">
        <f t="shared" si="128"/>
        <v>0</v>
      </c>
      <c r="O3691" s="356"/>
      <c r="P3691" s="356"/>
      <c r="Q3691" s="356">
        <v>1</v>
      </c>
      <c r="R3691" s="356"/>
      <c r="S3691" s="356"/>
      <c r="T3691" s="356"/>
      <c r="U3691" s="385" t="s">
        <v>52</v>
      </c>
      <c r="V3691" s="372"/>
      <c r="W3691" s="372"/>
      <c r="X3691" s="373"/>
      <c r="Y3691" s="348"/>
      <c r="Z3691" s="348"/>
      <c r="AA3691" s="348"/>
    </row>
    <row r="3692" s="331" customFormat="1" ht="17" customHeight="1" spans="1:27">
      <c r="A3692" s="550" t="s">
        <v>9211</v>
      </c>
      <c r="B3692" s="348" t="s">
        <v>31</v>
      </c>
      <c r="C3692" s="348" t="s">
        <v>419</v>
      </c>
      <c r="D3692" s="352" t="s">
        <v>221</v>
      </c>
      <c r="E3692" s="336">
        <v>43696</v>
      </c>
      <c r="F3692" s="336">
        <v>43695</v>
      </c>
      <c r="G3692" s="372" t="s">
        <v>1140</v>
      </c>
      <c r="H3692" s="334" t="s">
        <v>9212</v>
      </c>
      <c r="I3692" s="356">
        <v>13681689305</v>
      </c>
      <c r="J3692" s="361" t="s">
        <v>9213</v>
      </c>
      <c r="K3692" s="356">
        <v>1599</v>
      </c>
      <c r="L3692" s="419"/>
      <c r="M3692" s="419"/>
      <c r="N3692" s="362">
        <f t="shared" si="128"/>
        <v>0</v>
      </c>
      <c r="O3692" s="356"/>
      <c r="P3692" s="356"/>
      <c r="Q3692" s="356"/>
      <c r="R3692" s="366"/>
      <c r="S3692" s="356"/>
      <c r="T3692" s="356"/>
      <c r="U3692" s="372"/>
      <c r="V3692" s="372"/>
      <c r="W3692" s="372"/>
      <c r="X3692" s="373"/>
      <c r="Y3692" s="348"/>
      <c r="Z3692" s="348"/>
      <c r="AA3692" s="348"/>
    </row>
    <row r="3693" s="331" customFormat="1" ht="17" customHeight="1" spans="1:27">
      <c r="A3693" s="550" t="s">
        <v>9214</v>
      </c>
      <c r="B3693" s="348" t="s">
        <v>315</v>
      </c>
      <c r="C3693" s="348" t="s">
        <v>181</v>
      </c>
      <c r="D3693" s="352" t="s">
        <v>182</v>
      </c>
      <c r="E3693" s="336">
        <v>43734</v>
      </c>
      <c r="F3693" s="336">
        <v>43695</v>
      </c>
      <c r="G3693" s="336">
        <v>43734</v>
      </c>
      <c r="H3693" s="334" t="s">
        <v>9215</v>
      </c>
      <c r="I3693" s="356">
        <v>13524599670</v>
      </c>
      <c r="J3693" s="361" t="s">
        <v>9216</v>
      </c>
      <c r="K3693" s="356">
        <v>2430</v>
      </c>
      <c r="L3693" s="334">
        <v>4440</v>
      </c>
      <c r="M3693" s="419"/>
      <c r="N3693" s="362">
        <f t="shared" si="128"/>
        <v>4440</v>
      </c>
      <c r="O3693" s="356">
        <v>1</v>
      </c>
      <c r="P3693" s="356"/>
      <c r="Q3693" s="356"/>
      <c r="R3693" s="356"/>
      <c r="S3693" s="356"/>
      <c r="T3693" s="356"/>
      <c r="U3693" s="372"/>
      <c r="V3693" s="372"/>
      <c r="W3693" s="372"/>
      <c r="X3693" s="373"/>
      <c r="Y3693" s="348"/>
      <c r="Z3693" s="348"/>
      <c r="AA3693" s="348"/>
    </row>
    <row r="3694" s="331" customFormat="1" ht="15" customHeight="1" spans="1:27">
      <c r="A3694" s="550" t="s">
        <v>9217</v>
      </c>
      <c r="B3694" s="348" t="s">
        <v>58</v>
      </c>
      <c r="C3694" s="348" t="s">
        <v>347</v>
      </c>
      <c r="D3694" s="352" t="s">
        <v>343</v>
      </c>
      <c r="E3694" s="336">
        <v>43696</v>
      </c>
      <c r="F3694" s="336">
        <v>43695</v>
      </c>
      <c r="G3694" s="355">
        <v>43750</v>
      </c>
      <c r="H3694" s="334" t="s">
        <v>9218</v>
      </c>
      <c r="I3694" s="356">
        <v>13311705530</v>
      </c>
      <c r="J3694" s="361" t="s">
        <v>9219</v>
      </c>
      <c r="K3694" s="356">
        <v>1000</v>
      </c>
      <c r="L3694" s="419"/>
      <c r="M3694" s="419"/>
      <c r="N3694" s="362">
        <f t="shared" si="128"/>
        <v>0</v>
      </c>
      <c r="O3694" s="366" t="s">
        <v>52</v>
      </c>
      <c r="P3694" s="356"/>
      <c r="Q3694" s="356"/>
      <c r="R3694" s="356"/>
      <c r="S3694" s="356"/>
      <c r="T3694" s="356"/>
      <c r="U3694" s="372"/>
      <c r="V3694" s="372"/>
      <c r="W3694" s="372"/>
      <c r="X3694" s="373"/>
      <c r="Y3694" s="348"/>
      <c r="Z3694" s="348"/>
      <c r="AA3694" s="348"/>
    </row>
    <row r="3695" s="331" customFormat="1" ht="15" customHeight="1" spans="1:27">
      <c r="A3695" s="550" t="s">
        <v>9220</v>
      </c>
      <c r="B3695" s="348" t="s">
        <v>58</v>
      </c>
      <c r="C3695" s="348" t="s">
        <v>347</v>
      </c>
      <c r="D3695" s="352" t="s">
        <v>343</v>
      </c>
      <c r="E3695" s="336">
        <v>43745</v>
      </c>
      <c r="F3695" s="336">
        <v>43695</v>
      </c>
      <c r="G3695" s="336">
        <v>43745</v>
      </c>
      <c r="H3695" s="334" t="s">
        <v>9221</v>
      </c>
      <c r="I3695" s="356">
        <v>18221904670</v>
      </c>
      <c r="J3695" s="361" t="s">
        <v>9222</v>
      </c>
      <c r="K3695" s="356">
        <v>1000</v>
      </c>
      <c r="L3695" s="334">
        <v>6119</v>
      </c>
      <c r="M3695" s="419"/>
      <c r="N3695" s="362">
        <f t="shared" si="128"/>
        <v>6119</v>
      </c>
      <c r="O3695" s="366" t="s">
        <v>52</v>
      </c>
      <c r="P3695" s="356"/>
      <c r="Q3695" s="356"/>
      <c r="R3695" s="356"/>
      <c r="S3695" s="356"/>
      <c r="T3695" s="356"/>
      <c r="U3695" s="372"/>
      <c r="V3695" s="372"/>
      <c r="W3695" s="372"/>
      <c r="X3695" s="373"/>
      <c r="Y3695" s="348"/>
      <c r="Z3695" s="348"/>
      <c r="AA3695" s="348"/>
    </row>
    <row r="3696" s="331" customFormat="1" ht="15" customHeight="1" spans="1:27">
      <c r="A3696" s="348"/>
      <c r="B3696" s="348" t="s">
        <v>405</v>
      </c>
      <c r="C3696" s="348" t="s">
        <v>823</v>
      </c>
      <c r="D3696" s="352" t="s">
        <v>407</v>
      </c>
      <c r="E3696" s="336">
        <v>43696</v>
      </c>
      <c r="F3696" s="336">
        <v>43695</v>
      </c>
      <c r="G3696" s="350"/>
      <c r="H3696" s="334" t="s">
        <v>9223</v>
      </c>
      <c r="I3696" s="356">
        <v>15618087618</v>
      </c>
      <c r="J3696" s="361" t="s">
        <v>9224</v>
      </c>
      <c r="K3696" s="356">
        <v>1000</v>
      </c>
      <c r="L3696" s="419"/>
      <c r="M3696" s="419"/>
      <c r="N3696" s="362">
        <f t="shared" si="128"/>
        <v>0</v>
      </c>
      <c r="O3696" s="356" t="s">
        <v>52</v>
      </c>
      <c r="P3696" s="356"/>
      <c r="Q3696" s="356"/>
      <c r="R3696" s="356"/>
      <c r="S3696" s="356"/>
      <c r="T3696" s="356"/>
      <c r="U3696" s="393" t="s">
        <v>40</v>
      </c>
      <c r="V3696" s="372"/>
      <c r="W3696" s="372"/>
      <c r="X3696" s="373"/>
      <c r="Y3696" s="348"/>
      <c r="Z3696" s="348"/>
      <c r="AA3696" s="348"/>
    </row>
    <row r="3697" s="331" customFormat="1" ht="15" customHeight="1" spans="1:27">
      <c r="A3697" s="348"/>
      <c r="B3697" s="348" t="s">
        <v>58</v>
      </c>
      <c r="C3697" s="348" t="s">
        <v>59</v>
      </c>
      <c r="D3697" s="349" t="s">
        <v>271</v>
      </c>
      <c r="E3697" s="336">
        <v>43696</v>
      </c>
      <c r="F3697" s="336">
        <v>43695</v>
      </c>
      <c r="G3697" s="350"/>
      <c r="H3697" s="334" t="s">
        <v>9225</v>
      </c>
      <c r="I3697" s="356">
        <v>13905802392</v>
      </c>
      <c r="J3697" s="361" t="s">
        <v>9226</v>
      </c>
      <c r="K3697" s="356">
        <v>1000</v>
      </c>
      <c r="L3697" s="419"/>
      <c r="M3697" s="419"/>
      <c r="N3697" s="362">
        <f t="shared" si="128"/>
        <v>0</v>
      </c>
      <c r="O3697" s="356"/>
      <c r="P3697" s="366" t="s">
        <v>52</v>
      </c>
      <c r="Q3697" s="356"/>
      <c r="R3697" s="356"/>
      <c r="S3697" s="356"/>
      <c r="T3697" s="356"/>
      <c r="U3697" s="372"/>
      <c r="V3697" s="372"/>
      <c r="W3697" s="372"/>
      <c r="X3697" s="373"/>
      <c r="Y3697" s="348"/>
      <c r="Z3697" s="348"/>
      <c r="AA3697" s="348"/>
    </row>
    <row r="3698" s="331" customFormat="1" ht="17" customHeight="1" spans="1:27">
      <c r="A3698" s="550" t="s">
        <v>9227</v>
      </c>
      <c r="B3698" s="348" t="s">
        <v>66</v>
      </c>
      <c r="C3698" s="348" t="s">
        <v>951</v>
      </c>
      <c r="D3698" s="349" t="s">
        <v>1436</v>
      </c>
      <c r="E3698" s="336">
        <v>43697</v>
      </c>
      <c r="F3698" s="336">
        <v>43696</v>
      </c>
      <c r="G3698" s="336">
        <v>43697</v>
      </c>
      <c r="H3698" s="334" t="s">
        <v>9228</v>
      </c>
      <c r="I3698" s="356">
        <v>15801646085</v>
      </c>
      <c r="J3698" s="361" t="s">
        <v>9229</v>
      </c>
      <c r="K3698" s="356">
        <v>3920</v>
      </c>
      <c r="L3698" s="334">
        <f>3920-736</f>
        <v>3184</v>
      </c>
      <c r="M3698" s="334">
        <v>736</v>
      </c>
      <c r="N3698" s="362">
        <f t="shared" si="128"/>
        <v>3920</v>
      </c>
      <c r="O3698" s="356"/>
      <c r="P3698" s="356"/>
      <c r="Q3698" s="356"/>
      <c r="R3698" s="356"/>
      <c r="S3698" s="356"/>
      <c r="T3698" s="356"/>
      <c r="U3698" s="372"/>
      <c r="V3698" s="372"/>
      <c r="W3698" s="372"/>
      <c r="X3698" s="373"/>
      <c r="Y3698" s="348"/>
      <c r="Z3698" s="348"/>
      <c r="AA3698" s="348"/>
    </row>
    <row r="3699" s="331" customFormat="1" ht="17" customHeight="1" spans="1:27">
      <c r="A3699" s="550" t="s">
        <v>9230</v>
      </c>
      <c r="B3699" s="348" t="s">
        <v>726</v>
      </c>
      <c r="C3699" s="348" t="s">
        <v>727</v>
      </c>
      <c r="D3699" s="334" t="s">
        <v>271</v>
      </c>
      <c r="E3699" s="336">
        <v>43735</v>
      </c>
      <c r="F3699" s="336">
        <v>43694</v>
      </c>
      <c r="G3699" s="336">
        <v>43728</v>
      </c>
      <c r="H3699" s="334" t="s">
        <v>9231</v>
      </c>
      <c r="I3699" s="552" t="s">
        <v>9232</v>
      </c>
      <c r="J3699" s="361" t="s">
        <v>9233</v>
      </c>
      <c r="K3699" s="356">
        <v>14474</v>
      </c>
      <c r="L3699" s="334">
        <v>10670</v>
      </c>
      <c r="M3699" s="419"/>
      <c r="N3699" s="362">
        <f t="shared" si="128"/>
        <v>10670</v>
      </c>
      <c r="O3699" s="356" t="s">
        <v>19</v>
      </c>
      <c r="P3699" s="356"/>
      <c r="Q3699" s="356"/>
      <c r="R3699" s="356"/>
      <c r="S3699" s="356"/>
      <c r="T3699" s="356"/>
      <c r="U3699" s="372"/>
      <c r="V3699" s="372"/>
      <c r="W3699" s="372"/>
      <c r="X3699" s="373"/>
      <c r="Y3699" s="348"/>
      <c r="Z3699" s="348"/>
      <c r="AA3699" s="348"/>
    </row>
    <row r="3700" s="331" customFormat="1" ht="17" customHeight="1" spans="1:27">
      <c r="A3700" s="550" t="s">
        <v>9234</v>
      </c>
      <c r="B3700" s="348" t="s">
        <v>726</v>
      </c>
      <c r="C3700" s="348" t="s">
        <v>727</v>
      </c>
      <c r="D3700" s="334" t="s">
        <v>271</v>
      </c>
      <c r="E3700" s="336">
        <v>43722</v>
      </c>
      <c r="F3700" s="336">
        <v>43695</v>
      </c>
      <c r="G3700" s="336">
        <v>43705</v>
      </c>
      <c r="H3700" s="334" t="s">
        <v>9235</v>
      </c>
      <c r="I3700" s="356">
        <v>13901848227</v>
      </c>
      <c r="J3700" s="361" t="s">
        <v>9236</v>
      </c>
      <c r="K3700" s="356">
        <v>21298</v>
      </c>
      <c r="L3700" s="334">
        <v>7129</v>
      </c>
      <c r="M3700" s="419"/>
      <c r="N3700" s="362">
        <f t="shared" si="128"/>
        <v>7129</v>
      </c>
      <c r="O3700" s="356"/>
      <c r="P3700" s="356" t="s">
        <v>1526</v>
      </c>
      <c r="Q3700" s="356"/>
      <c r="R3700" s="356"/>
      <c r="S3700" s="356"/>
      <c r="T3700" s="356"/>
      <c r="U3700" s="372"/>
      <c r="V3700" s="372"/>
      <c r="W3700" s="372"/>
      <c r="X3700" s="373"/>
      <c r="Y3700" s="348"/>
      <c r="Z3700" s="348"/>
      <c r="AA3700" s="348"/>
    </row>
    <row r="3701" s="331" customFormat="1" customHeight="1" spans="1:27">
      <c r="A3701" s="550" t="s">
        <v>9237</v>
      </c>
      <c r="B3701" s="348" t="s">
        <v>236</v>
      </c>
      <c r="C3701" s="348" t="s">
        <v>703</v>
      </c>
      <c r="D3701" s="352" t="s">
        <v>237</v>
      </c>
      <c r="E3701" s="336">
        <v>43696</v>
      </c>
      <c r="F3701" s="336">
        <v>43695</v>
      </c>
      <c r="G3701" s="350"/>
      <c r="H3701" s="334" t="s">
        <v>9238</v>
      </c>
      <c r="I3701" s="356">
        <v>13916644677</v>
      </c>
      <c r="J3701" s="361" t="s">
        <v>9239</v>
      </c>
      <c r="K3701" s="356">
        <v>1000</v>
      </c>
      <c r="L3701" s="419"/>
      <c r="M3701" s="419"/>
      <c r="N3701" s="362">
        <f t="shared" ref="N3701:N3764" si="129">L3701+M3701</f>
        <v>0</v>
      </c>
      <c r="O3701" s="356" t="s">
        <v>4314</v>
      </c>
      <c r="P3701" s="356"/>
      <c r="Q3701" s="356"/>
      <c r="R3701" s="356"/>
      <c r="S3701" s="356"/>
      <c r="T3701" s="356"/>
      <c r="U3701" s="356" t="s">
        <v>52</v>
      </c>
      <c r="V3701" s="372"/>
      <c r="W3701" s="372"/>
      <c r="X3701" s="373"/>
      <c r="Y3701" s="348"/>
      <c r="Z3701" s="348"/>
      <c r="AA3701" s="348"/>
    </row>
    <row r="3702" s="331" customFormat="1" ht="17" customHeight="1" spans="1:27">
      <c r="A3702" s="550" t="s">
        <v>9240</v>
      </c>
      <c r="B3702" s="348" t="s">
        <v>236</v>
      </c>
      <c r="C3702" s="348" t="s">
        <v>703</v>
      </c>
      <c r="D3702" s="349" t="s">
        <v>149</v>
      </c>
      <c r="E3702" s="336">
        <v>43696</v>
      </c>
      <c r="F3702" s="336">
        <v>43695</v>
      </c>
      <c r="G3702" s="336">
        <v>43695</v>
      </c>
      <c r="H3702" s="334" t="s">
        <v>9241</v>
      </c>
      <c r="I3702" s="356">
        <v>18221728313</v>
      </c>
      <c r="J3702" s="361" t="s">
        <v>9242</v>
      </c>
      <c r="K3702" s="356">
        <v>6054</v>
      </c>
      <c r="L3702" s="334">
        <v>6054</v>
      </c>
      <c r="M3702" s="419"/>
      <c r="N3702" s="362">
        <f t="shared" si="129"/>
        <v>6054</v>
      </c>
      <c r="O3702" s="356"/>
      <c r="P3702" s="356"/>
      <c r="Q3702" s="356"/>
      <c r="R3702" s="356"/>
      <c r="S3702" s="356"/>
      <c r="T3702" s="356"/>
      <c r="U3702" s="372"/>
      <c r="V3702" s="372"/>
      <c r="W3702" s="372"/>
      <c r="X3702" s="373"/>
      <c r="Y3702" s="348"/>
      <c r="Z3702" s="348"/>
      <c r="AA3702" s="348"/>
    </row>
    <row r="3703" s="331" customFormat="1" ht="17" customHeight="1" spans="1:27">
      <c r="A3703" s="550" t="s">
        <v>967</v>
      </c>
      <c r="B3703" s="348" t="s">
        <v>35</v>
      </c>
      <c r="C3703" s="348" t="s">
        <v>392</v>
      </c>
      <c r="D3703" s="352" t="s">
        <v>37</v>
      </c>
      <c r="E3703" s="336">
        <v>43696</v>
      </c>
      <c r="F3703" s="336">
        <v>43695</v>
      </c>
      <c r="G3703" s="350"/>
      <c r="H3703" s="334" t="s">
        <v>9243</v>
      </c>
      <c r="I3703" s="356">
        <v>18516328683</v>
      </c>
      <c r="J3703" s="361" t="s">
        <v>9244</v>
      </c>
      <c r="K3703" s="356">
        <v>500</v>
      </c>
      <c r="L3703" s="419"/>
      <c r="M3703" s="419"/>
      <c r="N3703" s="362">
        <f t="shared" si="129"/>
        <v>0</v>
      </c>
      <c r="O3703" s="356"/>
      <c r="Q3703" s="356"/>
      <c r="R3703" s="356" t="s">
        <v>52</v>
      </c>
      <c r="S3703" s="356"/>
      <c r="T3703" s="356"/>
      <c r="U3703" s="372"/>
      <c r="V3703" s="372"/>
      <c r="W3703" s="372"/>
      <c r="X3703" s="373"/>
      <c r="Y3703" s="348"/>
      <c r="Z3703" s="348"/>
      <c r="AA3703" s="348"/>
    </row>
    <row r="3704" s="331" customFormat="1" ht="15" customHeight="1" spans="1:27">
      <c r="A3704" s="348"/>
      <c r="B3704" s="348" t="s">
        <v>58</v>
      </c>
      <c r="C3704" s="348" t="s">
        <v>794</v>
      </c>
      <c r="D3704" s="352" t="s">
        <v>110</v>
      </c>
      <c r="E3704" s="336">
        <v>43737</v>
      </c>
      <c r="F3704" s="336">
        <v>43695</v>
      </c>
      <c r="G3704" s="336">
        <v>43737</v>
      </c>
      <c r="H3704" s="334" t="s">
        <v>9245</v>
      </c>
      <c r="I3704" s="356">
        <v>13564482649</v>
      </c>
      <c r="J3704" s="361" t="s">
        <v>9246</v>
      </c>
      <c r="K3704" s="356">
        <v>3000</v>
      </c>
      <c r="L3704" s="334">
        <v>13000</v>
      </c>
      <c r="M3704" s="419"/>
      <c r="N3704" s="362">
        <f t="shared" si="129"/>
        <v>13000</v>
      </c>
      <c r="O3704" s="366" t="s">
        <v>52</v>
      </c>
      <c r="P3704" s="356"/>
      <c r="Q3704" s="356"/>
      <c r="R3704" s="356"/>
      <c r="S3704" s="356"/>
      <c r="T3704" s="356"/>
      <c r="U3704" s="372"/>
      <c r="V3704" s="372"/>
      <c r="W3704" s="372"/>
      <c r="X3704" s="373"/>
      <c r="Y3704" s="348"/>
      <c r="Z3704" s="348"/>
      <c r="AA3704" s="348"/>
    </row>
    <row r="3705" s="331" customFormat="1" ht="17" customHeight="1" spans="1:27">
      <c r="A3705" s="550" t="s">
        <v>9247</v>
      </c>
      <c r="B3705" s="348" t="s">
        <v>315</v>
      </c>
      <c r="C3705" s="348" t="s">
        <v>230</v>
      </c>
      <c r="D3705" s="352" t="s">
        <v>182</v>
      </c>
      <c r="E3705" s="336">
        <v>43738</v>
      </c>
      <c r="F3705" s="336">
        <v>43695</v>
      </c>
      <c r="G3705" s="336">
        <v>43738</v>
      </c>
      <c r="H3705" s="334" t="s">
        <v>9248</v>
      </c>
      <c r="I3705" s="552" t="s">
        <v>9249</v>
      </c>
      <c r="J3705" s="361" t="s">
        <v>9250</v>
      </c>
      <c r="K3705" s="356">
        <v>8068</v>
      </c>
      <c r="L3705" s="334">
        <v>8068</v>
      </c>
      <c r="M3705" s="419"/>
      <c r="N3705" s="362">
        <f t="shared" si="129"/>
        <v>8068</v>
      </c>
      <c r="O3705" s="356"/>
      <c r="P3705" s="356"/>
      <c r="Q3705" s="356"/>
      <c r="R3705" s="356">
        <v>1</v>
      </c>
      <c r="S3705" s="356"/>
      <c r="T3705" s="356"/>
      <c r="U3705" s="372"/>
      <c r="V3705" s="372"/>
      <c r="W3705" s="372"/>
      <c r="X3705" s="373"/>
      <c r="Y3705" s="348"/>
      <c r="Z3705" s="348"/>
      <c r="AA3705" s="348"/>
    </row>
    <row r="3706" s="331" customFormat="1" ht="17" customHeight="1" spans="1:27">
      <c r="A3706" s="550" t="s">
        <v>9251</v>
      </c>
      <c r="B3706" s="348" t="s">
        <v>315</v>
      </c>
      <c r="C3706" s="348" t="s">
        <v>161</v>
      </c>
      <c r="D3706" s="352" t="s">
        <v>162</v>
      </c>
      <c r="E3706" s="336">
        <v>43729</v>
      </c>
      <c r="F3706" s="336">
        <v>43694</v>
      </c>
      <c r="G3706" s="336">
        <v>43729</v>
      </c>
      <c r="H3706" s="334" t="s">
        <v>9252</v>
      </c>
      <c r="I3706" s="356">
        <v>18017916281</v>
      </c>
      <c r="J3706" s="361" t="s">
        <v>9253</v>
      </c>
      <c r="K3706" s="356">
        <v>1000</v>
      </c>
      <c r="L3706" s="334">
        <v>15110</v>
      </c>
      <c r="M3706" s="419"/>
      <c r="N3706" s="362">
        <f t="shared" si="129"/>
        <v>15110</v>
      </c>
      <c r="O3706" s="356">
        <v>1</v>
      </c>
      <c r="P3706" s="356"/>
      <c r="Q3706" s="356"/>
      <c r="R3706" s="356"/>
      <c r="S3706" s="356"/>
      <c r="T3706" s="356"/>
      <c r="U3706" s="372"/>
      <c r="V3706" s="372"/>
      <c r="W3706" s="372"/>
      <c r="X3706" s="373"/>
      <c r="Y3706" s="348"/>
      <c r="Z3706" s="348"/>
      <c r="AA3706" s="348"/>
    </row>
    <row r="3707" s="331" customFormat="1" ht="17" customHeight="1" spans="1:27">
      <c r="A3707" s="550" t="s">
        <v>9254</v>
      </c>
      <c r="B3707" s="348" t="s">
        <v>66</v>
      </c>
      <c r="C3707" s="348" t="s">
        <v>1749</v>
      </c>
      <c r="D3707" s="352" t="s">
        <v>68</v>
      </c>
      <c r="E3707" s="336">
        <v>43706</v>
      </c>
      <c r="F3707" s="336">
        <v>43695</v>
      </c>
      <c r="G3707" s="336">
        <v>43705</v>
      </c>
      <c r="H3707" s="334" t="s">
        <v>9255</v>
      </c>
      <c r="I3707" s="356">
        <v>18721984993</v>
      </c>
      <c r="J3707" s="361" t="s">
        <v>9256</v>
      </c>
      <c r="K3707" s="356">
        <v>9000</v>
      </c>
      <c r="L3707" s="334">
        <v>8665</v>
      </c>
      <c r="M3707" s="334">
        <v>21102</v>
      </c>
      <c r="N3707" s="362">
        <f t="shared" si="129"/>
        <v>29767</v>
      </c>
      <c r="O3707" s="356"/>
      <c r="P3707" s="356"/>
      <c r="Q3707" s="356"/>
      <c r="R3707" s="356"/>
      <c r="S3707" s="356"/>
      <c r="T3707" s="356"/>
      <c r="U3707" s="372"/>
      <c r="V3707" s="372"/>
      <c r="W3707" s="372"/>
      <c r="X3707" s="373"/>
      <c r="Y3707" s="348"/>
      <c r="Z3707" s="348"/>
      <c r="AA3707" s="348"/>
    </row>
    <row r="3708" s="331" customFormat="1" ht="17" customHeight="1" spans="1:27">
      <c r="A3708" s="550" t="s">
        <v>6036</v>
      </c>
      <c r="B3708" s="348" t="s">
        <v>315</v>
      </c>
      <c r="C3708" s="348" t="s">
        <v>161</v>
      </c>
      <c r="D3708" s="352" t="s">
        <v>162</v>
      </c>
      <c r="E3708" s="336">
        <v>43705</v>
      </c>
      <c r="F3708" s="336">
        <v>43694</v>
      </c>
      <c r="G3708" s="336">
        <v>43705</v>
      </c>
      <c r="H3708" s="334" t="s">
        <v>9257</v>
      </c>
      <c r="I3708" s="356">
        <v>18605102898</v>
      </c>
      <c r="J3708" s="361" t="s">
        <v>9258</v>
      </c>
      <c r="K3708" s="356">
        <v>1000</v>
      </c>
      <c r="L3708" s="334">
        <v>4219</v>
      </c>
      <c r="M3708" s="419"/>
      <c r="N3708" s="362">
        <f t="shared" si="129"/>
        <v>4219</v>
      </c>
      <c r="O3708" s="356">
        <v>1</v>
      </c>
      <c r="P3708" s="356"/>
      <c r="Q3708" s="356"/>
      <c r="R3708" s="356"/>
      <c r="S3708" s="356"/>
      <c r="T3708" s="356"/>
      <c r="U3708" s="372"/>
      <c r="V3708" s="372"/>
      <c r="W3708" s="372"/>
      <c r="X3708" s="373"/>
      <c r="Y3708" s="348"/>
      <c r="Z3708" s="348"/>
      <c r="AA3708" s="348"/>
    </row>
    <row r="3709" s="331" customFormat="1" ht="17" customHeight="1" spans="1:27">
      <c r="A3709" s="550" t="s">
        <v>9259</v>
      </c>
      <c r="B3709" s="348" t="s">
        <v>315</v>
      </c>
      <c r="C3709" s="348" t="s">
        <v>366</v>
      </c>
      <c r="D3709" s="352" t="s">
        <v>132</v>
      </c>
      <c r="E3709" s="336">
        <v>43718</v>
      </c>
      <c r="F3709" s="336">
        <v>43695</v>
      </c>
      <c r="G3709" s="336">
        <v>43715</v>
      </c>
      <c r="H3709" s="334" t="s">
        <v>9260</v>
      </c>
      <c r="I3709" s="356">
        <v>18914963027</v>
      </c>
      <c r="J3709" s="361" t="s">
        <v>9261</v>
      </c>
      <c r="K3709" s="356">
        <v>4500</v>
      </c>
      <c r="L3709" s="334">
        <f>12195-804</f>
        <v>11391</v>
      </c>
      <c r="M3709" s="334">
        <v>804</v>
      </c>
      <c r="N3709" s="362">
        <f t="shared" si="129"/>
        <v>12195</v>
      </c>
      <c r="O3709" s="356">
        <v>1</v>
      </c>
      <c r="P3709" s="356"/>
      <c r="Q3709" s="356"/>
      <c r="R3709" s="356"/>
      <c r="S3709" s="356"/>
      <c r="T3709" s="356"/>
      <c r="U3709" s="372"/>
      <c r="V3709" s="372"/>
      <c r="W3709" s="372"/>
      <c r="X3709" s="373"/>
      <c r="Y3709" s="348"/>
      <c r="Z3709" s="348"/>
      <c r="AA3709" s="348"/>
    </row>
    <row r="3710" s="331" customFormat="1" ht="17" customHeight="1" spans="1:27">
      <c r="A3710" s="550" t="s">
        <v>8261</v>
      </c>
      <c r="B3710" s="348" t="s">
        <v>315</v>
      </c>
      <c r="C3710" s="348" t="s">
        <v>366</v>
      </c>
      <c r="D3710" s="349" t="s">
        <v>132</v>
      </c>
      <c r="E3710" s="336">
        <v>43696</v>
      </c>
      <c r="F3710" s="336">
        <v>43695</v>
      </c>
      <c r="G3710" s="350">
        <v>43696</v>
      </c>
      <c r="H3710" s="334" t="s">
        <v>9262</v>
      </c>
      <c r="I3710" s="356">
        <v>15601980512</v>
      </c>
      <c r="J3710" s="361" t="s">
        <v>9263</v>
      </c>
      <c r="K3710" s="356">
        <v>25000</v>
      </c>
      <c r="L3710" s="334">
        <v>42979</v>
      </c>
      <c r="M3710" s="419"/>
      <c r="N3710" s="362">
        <f t="shared" si="129"/>
        <v>42979</v>
      </c>
      <c r="O3710" s="356"/>
      <c r="P3710" s="356"/>
      <c r="Q3710" s="356"/>
      <c r="R3710" s="356"/>
      <c r="S3710" s="356"/>
      <c r="T3710" s="356"/>
      <c r="U3710" s="372"/>
      <c r="V3710" s="372"/>
      <c r="W3710" s="372"/>
      <c r="X3710" s="373"/>
      <c r="Y3710" s="348"/>
      <c r="Z3710" s="348"/>
      <c r="AA3710" s="348"/>
    </row>
    <row r="3711" s="331" customFormat="1" ht="17" customHeight="1" spans="1:27">
      <c r="A3711" s="550" t="s">
        <v>7598</v>
      </c>
      <c r="B3711" s="348" t="s">
        <v>315</v>
      </c>
      <c r="C3711" s="348" t="s">
        <v>366</v>
      </c>
      <c r="D3711" s="352" t="s">
        <v>132</v>
      </c>
      <c r="E3711" s="336">
        <v>43704</v>
      </c>
      <c r="F3711" s="336">
        <v>43694</v>
      </c>
      <c r="G3711" s="336">
        <v>43702</v>
      </c>
      <c r="H3711" s="334" t="s">
        <v>9264</v>
      </c>
      <c r="I3711" s="356">
        <v>13916536081</v>
      </c>
      <c r="J3711" s="361" t="s">
        <v>9265</v>
      </c>
      <c r="K3711" s="356">
        <v>4500</v>
      </c>
      <c r="L3711" s="334">
        <v>15425</v>
      </c>
      <c r="M3711" s="419"/>
      <c r="N3711" s="362">
        <f t="shared" si="129"/>
        <v>15425</v>
      </c>
      <c r="O3711" s="356"/>
      <c r="P3711" s="356"/>
      <c r="Q3711" s="356">
        <v>1</v>
      </c>
      <c r="R3711" s="356"/>
      <c r="S3711" s="356"/>
      <c r="T3711" s="356"/>
      <c r="U3711" s="372"/>
      <c r="V3711" s="372"/>
      <c r="W3711" s="372"/>
      <c r="X3711" s="373"/>
      <c r="Y3711" s="348"/>
      <c r="Z3711" s="348"/>
      <c r="AA3711" s="348"/>
    </row>
    <row r="3712" s="331" customFormat="1" ht="17" customHeight="1" spans="1:27">
      <c r="A3712" s="550" t="s">
        <v>9266</v>
      </c>
      <c r="B3712" s="348" t="s">
        <v>315</v>
      </c>
      <c r="C3712" s="348" t="s">
        <v>230</v>
      </c>
      <c r="D3712" s="349" t="s">
        <v>132</v>
      </c>
      <c r="E3712" s="336">
        <v>43696</v>
      </c>
      <c r="F3712" s="336">
        <v>43695</v>
      </c>
      <c r="G3712" s="336">
        <v>43695</v>
      </c>
      <c r="H3712" s="334" t="s">
        <v>9267</v>
      </c>
      <c r="I3712" s="356">
        <v>13916829327</v>
      </c>
      <c r="J3712" s="361" t="s">
        <v>9268</v>
      </c>
      <c r="K3712" s="356">
        <v>21155</v>
      </c>
      <c r="L3712" s="334">
        <f>21155-1840</f>
        <v>19315</v>
      </c>
      <c r="M3712" s="334">
        <v>1840</v>
      </c>
      <c r="N3712" s="362">
        <f t="shared" si="129"/>
        <v>21155</v>
      </c>
      <c r="O3712" s="356"/>
      <c r="P3712" s="356"/>
      <c r="Q3712" s="356"/>
      <c r="R3712" s="356"/>
      <c r="S3712" s="356"/>
      <c r="T3712" s="356"/>
      <c r="U3712" s="372"/>
      <c r="V3712" s="372"/>
      <c r="W3712" s="372"/>
      <c r="X3712" s="373"/>
      <c r="Y3712" s="348"/>
      <c r="Z3712" s="348"/>
      <c r="AA3712" s="348"/>
    </row>
    <row r="3713" s="57" customFormat="1" ht="17" customHeight="1" spans="1:27">
      <c r="A3713" s="348">
        <v>2068681</v>
      </c>
      <c r="B3713" s="348" t="s">
        <v>137</v>
      </c>
      <c r="C3713" s="348" t="s">
        <v>411</v>
      </c>
      <c r="D3713" s="334" t="s">
        <v>139</v>
      </c>
      <c r="E3713" s="336">
        <v>43797</v>
      </c>
      <c r="F3713" s="336">
        <v>43695</v>
      </c>
      <c r="G3713" s="336">
        <v>43796</v>
      </c>
      <c r="H3713" s="334" t="s">
        <v>9269</v>
      </c>
      <c r="I3713" s="356">
        <v>18964796468</v>
      </c>
      <c r="J3713" s="348" t="s">
        <v>9270</v>
      </c>
      <c r="K3713" s="356">
        <v>1000</v>
      </c>
      <c r="L3713" s="334">
        <v>20800</v>
      </c>
      <c r="M3713" s="419"/>
      <c r="N3713" s="362">
        <f t="shared" si="129"/>
        <v>20800</v>
      </c>
      <c r="O3713" s="356"/>
      <c r="P3713" s="356"/>
      <c r="Q3713" s="356">
        <v>1</v>
      </c>
      <c r="R3713" s="356"/>
      <c r="S3713" s="356"/>
      <c r="T3713" s="356"/>
      <c r="U3713" s="372"/>
      <c r="V3713" s="372"/>
      <c r="W3713" s="372"/>
      <c r="X3713" s="373"/>
      <c r="Y3713" s="348"/>
      <c r="Z3713" s="348"/>
      <c r="AA3713" s="348"/>
    </row>
    <row r="3714" s="331" customFormat="1" ht="17" customHeight="1" spans="1:27">
      <c r="A3714" s="550" t="s">
        <v>9271</v>
      </c>
      <c r="B3714" s="348" t="s">
        <v>726</v>
      </c>
      <c r="C3714" s="348" t="s">
        <v>355</v>
      </c>
      <c r="D3714" s="334" t="s">
        <v>207</v>
      </c>
      <c r="E3714" s="336">
        <v>43741</v>
      </c>
      <c r="F3714" s="336">
        <v>43695</v>
      </c>
      <c r="G3714" s="336">
        <v>43741</v>
      </c>
      <c r="H3714" s="334" t="s">
        <v>9272</v>
      </c>
      <c r="I3714" s="356">
        <v>13210559236</v>
      </c>
      <c r="J3714" s="361" t="s">
        <v>9273</v>
      </c>
      <c r="K3714" s="356">
        <v>1000</v>
      </c>
      <c r="L3714" s="334">
        <v>4996</v>
      </c>
      <c r="M3714" s="419"/>
      <c r="N3714" s="362">
        <f t="shared" si="129"/>
        <v>4996</v>
      </c>
      <c r="O3714" s="356" t="s">
        <v>19</v>
      </c>
      <c r="P3714" s="356"/>
      <c r="Q3714" s="356"/>
      <c r="R3714" s="356"/>
      <c r="S3714" s="356"/>
      <c r="T3714" s="356"/>
      <c r="U3714" s="372"/>
      <c r="V3714" s="372"/>
      <c r="W3714" s="372"/>
      <c r="X3714" s="373"/>
      <c r="Y3714" s="348"/>
      <c r="Z3714" s="348"/>
      <c r="AA3714" s="348"/>
    </row>
    <row r="3715" s="331" customFormat="1" ht="17" customHeight="1" spans="1:27">
      <c r="A3715" s="550" t="s">
        <v>9274</v>
      </c>
      <c r="B3715" s="348" t="s">
        <v>66</v>
      </c>
      <c r="C3715" s="348" t="s">
        <v>119</v>
      </c>
      <c r="D3715" s="352" t="s">
        <v>68</v>
      </c>
      <c r="E3715" s="336">
        <v>43738</v>
      </c>
      <c r="F3715" s="336">
        <v>43695</v>
      </c>
      <c r="G3715" s="336">
        <v>43738</v>
      </c>
      <c r="H3715" s="334" t="s">
        <v>9275</v>
      </c>
      <c r="I3715" s="356">
        <v>15221476020</v>
      </c>
      <c r="J3715" s="361" t="s">
        <v>9276</v>
      </c>
      <c r="K3715" s="356">
        <v>4000</v>
      </c>
      <c r="L3715" s="334">
        <v>4000</v>
      </c>
      <c r="M3715" s="419"/>
      <c r="N3715" s="362">
        <f t="shared" si="129"/>
        <v>4000</v>
      </c>
      <c r="O3715" s="356"/>
      <c r="P3715" s="356"/>
      <c r="Q3715" s="356"/>
      <c r="R3715" s="356"/>
      <c r="S3715" s="356"/>
      <c r="T3715" s="356"/>
      <c r="U3715" s="372"/>
      <c r="V3715" s="372"/>
      <c r="W3715" s="372"/>
      <c r="X3715" s="373"/>
      <c r="Y3715" s="348"/>
      <c r="Z3715" s="348"/>
      <c r="AA3715" s="348"/>
    </row>
    <row r="3716" s="331" customFormat="1" ht="17" customHeight="1" spans="1:27">
      <c r="A3716" s="550" t="s">
        <v>9277</v>
      </c>
      <c r="B3716" s="348" t="s">
        <v>169</v>
      </c>
      <c r="C3716" s="334" t="s">
        <v>8075</v>
      </c>
      <c r="D3716" s="352" t="s">
        <v>171</v>
      </c>
      <c r="E3716" s="336">
        <v>43708</v>
      </c>
      <c r="F3716" s="336">
        <v>43695</v>
      </c>
      <c r="G3716" s="336">
        <v>43708</v>
      </c>
      <c r="H3716" s="334" t="s">
        <v>9278</v>
      </c>
      <c r="I3716" s="356">
        <v>19822767324</v>
      </c>
      <c r="J3716" s="361" t="s">
        <v>9279</v>
      </c>
      <c r="K3716" s="356">
        <v>10000</v>
      </c>
      <c r="L3716" s="334">
        <v>10000</v>
      </c>
      <c r="M3716" s="419"/>
      <c r="N3716" s="362">
        <f t="shared" si="129"/>
        <v>10000</v>
      </c>
      <c r="O3716" s="356"/>
      <c r="P3716" s="356"/>
      <c r="Q3716" s="356"/>
      <c r="R3716" s="356"/>
      <c r="S3716" s="356"/>
      <c r="T3716" s="356"/>
      <c r="U3716" s="372"/>
      <c r="V3716" s="372"/>
      <c r="W3716" s="372"/>
      <c r="X3716" s="373"/>
      <c r="Y3716" s="348"/>
      <c r="Z3716" s="348"/>
      <c r="AA3716" s="348"/>
    </row>
    <row r="3717" s="331" customFormat="1" ht="17" customHeight="1" spans="1:27">
      <c r="A3717" s="550" t="s">
        <v>6578</v>
      </c>
      <c r="B3717" s="348" t="s">
        <v>147</v>
      </c>
      <c r="C3717" s="334" t="s">
        <v>148</v>
      </c>
      <c r="D3717" s="349" t="s">
        <v>1170</v>
      </c>
      <c r="E3717" s="336">
        <v>43702</v>
      </c>
      <c r="F3717" s="336">
        <v>43695</v>
      </c>
      <c r="G3717" s="336">
        <v>43702</v>
      </c>
      <c r="H3717" s="334" t="s">
        <v>9280</v>
      </c>
      <c r="I3717" s="356">
        <v>18321651063</v>
      </c>
      <c r="J3717" s="367" t="s">
        <v>9281</v>
      </c>
      <c r="K3717" s="356">
        <v>1000</v>
      </c>
      <c r="L3717" s="334">
        <f>8170-1072</f>
        <v>7098</v>
      </c>
      <c r="M3717" s="334">
        <v>1072</v>
      </c>
      <c r="N3717" s="362">
        <f t="shared" si="129"/>
        <v>8170</v>
      </c>
      <c r="O3717" s="356"/>
      <c r="P3717" s="356"/>
      <c r="Q3717" s="356"/>
      <c r="R3717" s="356"/>
      <c r="S3717" s="356"/>
      <c r="T3717" s="356"/>
      <c r="U3717" s="372"/>
      <c r="V3717" s="372"/>
      <c r="W3717" s="372"/>
      <c r="X3717" s="373"/>
      <c r="Y3717" s="348"/>
      <c r="Z3717" s="348"/>
      <c r="AA3717" s="348"/>
    </row>
    <row r="3718" s="331" customFormat="1" ht="17" customHeight="1" spans="1:27">
      <c r="A3718" s="348"/>
      <c r="B3718" s="348" t="s">
        <v>66</v>
      </c>
      <c r="C3718" s="348" t="s">
        <v>1749</v>
      </c>
      <c r="D3718" s="352" t="s">
        <v>68</v>
      </c>
      <c r="E3718" s="336">
        <v>43705</v>
      </c>
      <c r="F3718" s="336">
        <v>43696</v>
      </c>
      <c r="G3718" s="336">
        <v>43698</v>
      </c>
      <c r="H3718" s="334" t="s">
        <v>9282</v>
      </c>
      <c r="I3718" s="356">
        <v>18801851982</v>
      </c>
      <c r="J3718" s="361" t="s">
        <v>9283</v>
      </c>
      <c r="K3718" s="356">
        <f>1000+1000</f>
        <v>2000</v>
      </c>
      <c r="L3718" s="334">
        <v>2938</v>
      </c>
      <c r="M3718" s="419"/>
      <c r="N3718" s="362">
        <f t="shared" si="129"/>
        <v>2938</v>
      </c>
      <c r="O3718" s="356"/>
      <c r="P3718" s="356"/>
      <c r="Q3718" s="356"/>
      <c r="R3718" s="356"/>
      <c r="S3718" s="356"/>
      <c r="T3718" s="356"/>
      <c r="U3718" s="372"/>
      <c r="V3718" s="372"/>
      <c r="W3718" s="372"/>
      <c r="X3718" s="373"/>
      <c r="Y3718" s="348"/>
      <c r="Z3718" s="348"/>
      <c r="AA3718" s="348"/>
    </row>
    <row r="3719" s="331" customFormat="1" ht="17" customHeight="1" spans="1:27">
      <c r="A3719" s="348"/>
      <c r="B3719" s="348" t="s">
        <v>169</v>
      </c>
      <c r="C3719" s="348" t="s">
        <v>634</v>
      </c>
      <c r="D3719" s="352" t="s">
        <v>635</v>
      </c>
      <c r="E3719" s="336">
        <v>43704</v>
      </c>
      <c r="F3719" s="336">
        <v>43695</v>
      </c>
      <c r="G3719" s="336">
        <v>43703</v>
      </c>
      <c r="H3719" s="334" t="s">
        <v>9284</v>
      </c>
      <c r="I3719" s="356">
        <v>18917733872</v>
      </c>
      <c r="J3719" s="361" t="s">
        <v>9285</v>
      </c>
      <c r="K3719" s="356">
        <v>1000</v>
      </c>
      <c r="L3719" s="334">
        <v>16337</v>
      </c>
      <c r="M3719" s="419"/>
      <c r="N3719" s="362">
        <f t="shared" si="129"/>
        <v>16337</v>
      </c>
      <c r="O3719" s="356"/>
      <c r="P3719" s="356"/>
      <c r="Q3719" s="356"/>
      <c r="R3719" s="356"/>
      <c r="S3719" s="356"/>
      <c r="T3719" s="356"/>
      <c r="U3719" s="372"/>
      <c r="V3719" s="372" t="s">
        <v>98</v>
      </c>
      <c r="W3719" s="372"/>
      <c r="X3719" s="373"/>
      <c r="Y3719" s="348"/>
      <c r="Z3719" s="348"/>
      <c r="AA3719" s="348"/>
    </row>
    <row r="3720" s="331" customFormat="1" ht="17" customHeight="1" spans="1:27">
      <c r="A3720" s="550" t="s">
        <v>9286</v>
      </c>
      <c r="B3720" s="348" t="s">
        <v>147</v>
      </c>
      <c r="C3720" s="348" t="s">
        <v>148</v>
      </c>
      <c r="D3720" s="334" t="s">
        <v>1170</v>
      </c>
      <c r="E3720" s="336">
        <v>43737</v>
      </c>
      <c r="F3720" s="336">
        <v>43696</v>
      </c>
      <c r="G3720" s="336">
        <v>43737</v>
      </c>
      <c r="H3720" s="334" t="s">
        <v>9287</v>
      </c>
      <c r="I3720" s="356">
        <v>18964538131</v>
      </c>
      <c r="J3720" s="361" t="s">
        <v>9288</v>
      </c>
      <c r="K3720" s="356">
        <v>20000</v>
      </c>
      <c r="L3720" s="334">
        <v>18993</v>
      </c>
      <c r="M3720" s="419"/>
      <c r="N3720" s="362">
        <f t="shared" si="129"/>
        <v>18993</v>
      </c>
      <c r="O3720" s="356"/>
      <c r="P3720" s="356"/>
      <c r="Q3720" s="356"/>
      <c r="R3720" s="356" t="s">
        <v>9289</v>
      </c>
      <c r="S3720" s="356"/>
      <c r="T3720" s="356"/>
      <c r="U3720" s="372"/>
      <c r="V3720" s="372"/>
      <c r="W3720" s="372"/>
      <c r="X3720" s="373"/>
      <c r="Y3720" s="348"/>
      <c r="Z3720" s="348"/>
      <c r="AA3720" s="348"/>
    </row>
    <row r="3721" s="331" customFormat="1" ht="17" customHeight="1" spans="1:27">
      <c r="A3721" s="550" t="s">
        <v>9290</v>
      </c>
      <c r="B3721" s="348" t="s">
        <v>31</v>
      </c>
      <c r="C3721" s="348" t="s">
        <v>251</v>
      </c>
      <c r="D3721" s="352" t="s">
        <v>33</v>
      </c>
      <c r="E3721" s="336">
        <v>43696</v>
      </c>
      <c r="F3721" s="336">
        <v>43695</v>
      </c>
      <c r="G3721" s="350"/>
      <c r="H3721" s="334" t="s">
        <v>187</v>
      </c>
      <c r="I3721" s="356">
        <v>13361939199</v>
      </c>
      <c r="J3721" s="361" t="s">
        <v>9291</v>
      </c>
      <c r="K3721" s="356">
        <v>1000</v>
      </c>
      <c r="L3721" s="419"/>
      <c r="M3721" s="419"/>
      <c r="N3721" s="362">
        <f t="shared" si="129"/>
        <v>0</v>
      </c>
      <c r="O3721" s="356"/>
      <c r="P3721" s="356"/>
      <c r="Q3721" s="356"/>
      <c r="R3721" s="356"/>
      <c r="S3721" s="356"/>
      <c r="T3721" s="356"/>
      <c r="U3721" s="372" t="s">
        <v>12</v>
      </c>
      <c r="V3721" s="372"/>
      <c r="W3721" s="372"/>
      <c r="X3721" s="373"/>
      <c r="Y3721" s="348"/>
      <c r="Z3721" s="348"/>
      <c r="AA3721" s="348"/>
    </row>
    <row r="3722" s="331" customFormat="1" ht="17" customHeight="1" spans="1:27">
      <c r="A3722" s="550" t="s">
        <v>8595</v>
      </c>
      <c r="B3722" s="348" t="s">
        <v>315</v>
      </c>
      <c r="C3722" s="348" t="s">
        <v>275</v>
      </c>
      <c r="D3722" s="352" t="s">
        <v>162</v>
      </c>
      <c r="E3722" s="336">
        <v>43700</v>
      </c>
      <c r="F3722" s="336">
        <v>43693</v>
      </c>
      <c r="G3722" s="336">
        <v>43698</v>
      </c>
      <c r="H3722" s="334" t="s">
        <v>9292</v>
      </c>
      <c r="I3722" s="356">
        <v>13585622390</v>
      </c>
      <c r="J3722" s="361" t="s">
        <v>9293</v>
      </c>
      <c r="K3722" s="356">
        <v>4734</v>
      </c>
      <c r="L3722" s="334">
        <f>4734-736</f>
        <v>3998</v>
      </c>
      <c r="M3722" s="334">
        <v>736</v>
      </c>
      <c r="N3722" s="362">
        <f t="shared" si="129"/>
        <v>4734</v>
      </c>
      <c r="O3722" s="356"/>
      <c r="P3722" s="356"/>
      <c r="Q3722" s="356"/>
      <c r="R3722" s="356"/>
      <c r="S3722" s="356"/>
      <c r="T3722" s="356"/>
      <c r="U3722" s="372"/>
      <c r="V3722" s="372"/>
      <c r="W3722" s="372"/>
      <c r="X3722" s="373"/>
      <c r="Y3722" s="348"/>
      <c r="Z3722" s="348"/>
      <c r="AA3722" s="348"/>
    </row>
    <row r="3723" s="331" customFormat="1" ht="17" customHeight="1" spans="1:27">
      <c r="A3723" s="348"/>
      <c r="B3723" s="348" t="s">
        <v>153</v>
      </c>
      <c r="C3723" s="348" t="s">
        <v>9294</v>
      </c>
      <c r="D3723" s="352" t="s">
        <v>155</v>
      </c>
      <c r="E3723" s="336">
        <v>43785</v>
      </c>
      <c r="F3723" s="336">
        <v>43695</v>
      </c>
      <c r="G3723" s="336">
        <v>43784</v>
      </c>
      <c r="H3723" s="334" t="s">
        <v>9295</v>
      </c>
      <c r="I3723" s="356">
        <v>15618106756</v>
      </c>
      <c r="J3723" s="361" t="s">
        <v>9296</v>
      </c>
      <c r="K3723" s="356">
        <v>999</v>
      </c>
      <c r="L3723" s="334">
        <v>4527</v>
      </c>
      <c r="M3723" s="419"/>
      <c r="N3723" s="362">
        <f t="shared" si="129"/>
        <v>4527</v>
      </c>
      <c r="O3723" s="356" t="s">
        <v>19</v>
      </c>
      <c r="P3723" s="356"/>
      <c r="Q3723" s="356"/>
      <c r="R3723" s="356"/>
      <c r="S3723" s="356"/>
      <c r="T3723" s="356"/>
      <c r="U3723" s="372"/>
      <c r="V3723" s="372"/>
      <c r="W3723" s="372"/>
      <c r="X3723" s="373"/>
      <c r="Y3723" s="348"/>
      <c r="Z3723" s="348"/>
      <c r="AA3723" s="348"/>
    </row>
    <row r="3724" s="331" customFormat="1" ht="17" customHeight="1" spans="1:27">
      <c r="A3724" s="348">
        <v>2067648</v>
      </c>
      <c r="B3724" s="348" t="s">
        <v>5435</v>
      </c>
      <c r="C3724" s="348" t="s">
        <v>1728</v>
      </c>
      <c r="D3724" s="352" t="s">
        <v>149</v>
      </c>
      <c r="E3724" s="336">
        <v>43736</v>
      </c>
      <c r="F3724" s="336">
        <v>43695</v>
      </c>
      <c r="G3724" s="336">
        <v>43736</v>
      </c>
      <c r="H3724" s="334" t="s">
        <v>9297</v>
      </c>
      <c r="I3724" s="356">
        <v>18505815472</v>
      </c>
      <c r="J3724" s="361" t="s">
        <v>9298</v>
      </c>
      <c r="K3724" s="356">
        <v>6152</v>
      </c>
      <c r="L3724" s="334">
        <v>6152</v>
      </c>
      <c r="M3724" s="419"/>
      <c r="N3724" s="362">
        <f t="shared" si="129"/>
        <v>6152</v>
      </c>
      <c r="O3724" s="366"/>
      <c r="P3724" s="366"/>
      <c r="Q3724" s="366" t="s">
        <v>52</v>
      </c>
      <c r="R3724" s="356"/>
      <c r="S3724" s="356"/>
      <c r="T3724" s="356"/>
      <c r="U3724" s="372"/>
      <c r="V3724" s="372"/>
      <c r="W3724" s="372"/>
      <c r="X3724" s="373"/>
      <c r="Y3724" s="348"/>
      <c r="Z3724" s="348"/>
      <c r="AA3724" s="348"/>
    </row>
    <row r="3725" s="331" customFormat="1" ht="17" customHeight="1" spans="1:27">
      <c r="A3725" s="550" t="s">
        <v>9299</v>
      </c>
      <c r="B3725" s="348" t="s">
        <v>58</v>
      </c>
      <c r="C3725" s="348" t="s">
        <v>794</v>
      </c>
      <c r="D3725" s="349" t="s">
        <v>110</v>
      </c>
      <c r="E3725" s="336">
        <v>43696</v>
      </c>
      <c r="F3725" s="336">
        <v>43695</v>
      </c>
      <c r="G3725" s="336">
        <v>43695</v>
      </c>
      <c r="H3725" s="334" t="s">
        <v>9300</v>
      </c>
      <c r="I3725" s="356">
        <v>18118284842</v>
      </c>
      <c r="J3725" s="361" t="s">
        <v>9301</v>
      </c>
      <c r="K3725" s="356">
        <v>4829</v>
      </c>
      <c r="L3725" s="334">
        <f>4829-368</f>
        <v>4461</v>
      </c>
      <c r="M3725" s="334">
        <v>368</v>
      </c>
      <c r="N3725" s="362">
        <f t="shared" si="129"/>
        <v>4829</v>
      </c>
      <c r="O3725" s="356"/>
      <c r="P3725" s="356"/>
      <c r="Q3725" s="356"/>
      <c r="R3725" s="356"/>
      <c r="S3725" s="356"/>
      <c r="T3725" s="356"/>
      <c r="U3725" s="372"/>
      <c r="V3725" s="372"/>
      <c r="W3725" s="372"/>
      <c r="X3725" s="373"/>
      <c r="Y3725" s="348"/>
      <c r="Z3725" s="348"/>
      <c r="AA3725" s="348"/>
    </row>
    <row r="3726" s="331" customFormat="1" ht="15" customHeight="1" spans="1:27">
      <c r="A3726" s="348" t="s">
        <v>9302</v>
      </c>
      <c r="B3726" s="348" t="s">
        <v>58</v>
      </c>
      <c r="C3726" s="348" t="s">
        <v>342</v>
      </c>
      <c r="D3726" s="352" t="s">
        <v>343</v>
      </c>
      <c r="E3726" s="336">
        <v>43696</v>
      </c>
      <c r="F3726" s="336">
        <v>43695</v>
      </c>
      <c r="G3726" s="350"/>
      <c r="H3726" s="334" t="s">
        <v>9303</v>
      </c>
      <c r="I3726" s="356">
        <v>13818962250</v>
      </c>
      <c r="J3726" s="361" t="s">
        <v>9304</v>
      </c>
      <c r="K3726" s="356">
        <v>1000</v>
      </c>
      <c r="L3726" s="419"/>
      <c r="M3726" s="419"/>
      <c r="N3726" s="362">
        <f t="shared" si="129"/>
        <v>0</v>
      </c>
      <c r="O3726" s="366" t="s">
        <v>52</v>
      </c>
      <c r="P3726" s="356"/>
      <c r="Q3726" s="356"/>
      <c r="R3726" s="356"/>
      <c r="S3726" s="356"/>
      <c r="T3726" s="356"/>
      <c r="U3726" s="372"/>
      <c r="V3726" s="372"/>
      <c r="W3726" s="372"/>
      <c r="X3726" s="373"/>
      <c r="Y3726" s="348"/>
      <c r="Z3726" s="348"/>
      <c r="AA3726" s="348"/>
    </row>
    <row r="3727" s="331" customFormat="1" ht="17" customHeight="1" spans="1:27">
      <c r="A3727" s="348">
        <v>2023594</v>
      </c>
      <c r="B3727" s="348" t="s">
        <v>31</v>
      </c>
      <c r="C3727" s="348" t="s">
        <v>220</v>
      </c>
      <c r="D3727" s="349" t="s">
        <v>33</v>
      </c>
      <c r="E3727" s="336">
        <v>43698</v>
      </c>
      <c r="F3727" s="336" t="s">
        <v>800</v>
      </c>
      <c r="G3727" s="336">
        <v>43694</v>
      </c>
      <c r="H3727" s="334" t="s">
        <v>7744</v>
      </c>
      <c r="I3727" s="356">
        <v>13390647158</v>
      </c>
      <c r="J3727" s="361" t="s">
        <v>7745</v>
      </c>
      <c r="K3727" s="356">
        <v>1264</v>
      </c>
      <c r="L3727" s="419"/>
      <c r="M3727" s="334">
        <v>1264</v>
      </c>
      <c r="N3727" s="362">
        <f t="shared" si="129"/>
        <v>1264</v>
      </c>
      <c r="O3727" s="356"/>
      <c r="P3727" s="356"/>
      <c r="Q3727" s="356"/>
      <c r="R3727" s="356"/>
      <c r="S3727" s="356"/>
      <c r="T3727" s="356"/>
      <c r="U3727" s="372"/>
      <c r="V3727" s="372"/>
      <c r="W3727" s="372"/>
      <c r="X3727" s="373"/>
      <c r="Y3727" s="348"/>
      <c r="Z3727" s="348"/>
      <c r="AA3727" s="348"/>
    </row>
    <row r="3728" s="331" customFormat="1" ht="17" customHeight="1" spans="1:27">
      <c r="A3728" s="348"/>
      <c r="B3728" s="348" t="s">
        <v>87</v>
      </c>
      <c r="C3728" s="348" t="s">
        <v>199</v>
      </c>
      <c r="D3728" s="352" t="s">
        <v>89</v>
      </c>
      <c r="E3728" s="336">
        <v>43696</v>
      </c>
      <c r="F3728" s="336">
        <v>43694</v>
      </c>
      <c r="G3728" s="350"/>
      <c r="H3728" s="334" t="s">
        <v>9305</v>
      </c>
      <c r="I3728" s="356">
        <v>18521304199</v>
      </c>
      <c r="J3728" s="361" t="s">
        <v>9306</v>
      </c>
      <c r="K3728" s="356">
        <v>3000</v>
      </c>
      <c r="L3728" s="419"/>
      <c r="M3728" s="419"/>
      <c r="N3728" s="362">
        <f t="shared" si="129"/>
        <v>0</v>
      </c>
      <c r="O3728" s="411" t="s">
        <v>52</v>
      </c>
      <c r="P3728" s="356"/>
      <c r="Q3728" s="356"/>
      <c r="R3728" s="356"/>
      <c r="S3728" s="356"/>
      <c r="T3728" s="356"/>
      <c r="U3728" s="372" t="s">
        <v>12</v>
      </c>
      <c r="V3728" s="372"/>
      <c r="W3728" s="372"/>
      <c r="X3728" s="373"/>
      <c r="Y3728" s="348"/>
      <c r="Z3728" s="348"/>
      <c r="AA3728" s="348"/>
    </row>
    <row r="3729" s="331" customFormat="1" ht="17" customHeight="1" spans="1:27">
      <c r="A3729" s="348" t="s">
        <v>9307</v>
      </c>
      <c r="B3729" s="348" t="s">
        <v>31</v>
      </c>
      <c r="C3729" s="348" t="s">
        <v>3186</v>
      </c>
      <c r="D3729" s="334" t="s">
        <v>954</v>
      </c>
      <c r="E3729" s="336">
        <v>43716</v>
      </c>
      <c r="F3729" s="336">
        <v>43694</v>
      </c>
      <c r="G3729" s="336">
        <v>43713</v>
      </c>
      <c r="H3729" s="334" t="s">
        <v>9308</v>
      </c>
      <c r="I3729" s="356">
        <v>13818936936</v>
      </c>
      <c r="J3729" s="361" t="s">
        <v>9309</v>
      </c>
      <c r="K3729" s="356">
        <v>12000</v>
      </c>
      <c r="L3729" s="334">
        <f>13849-1104</f>
        <v>12745</v>
      </c>
      <c r="M3729" s="334">
        <v>1104</v>
      </c>
      <c r="N3729" s="362">
        <f t="shared" si="129"/>
        <v>13849</v>
      </c>
      <c r="O3729" s="356"/>
      <c r="P3729" s="356"/>
      <c r="Q3729" s="356"/>
      <c r="R3729" s="356"/>
      <c r="S3729" s="356"/>
      <c r="T3729" s="356"/>
      <c r="U3729" s="372"/>
      <c r="V3729" s="372"/>
      <c r="W3729" s="372"/>
      <c r="X3729" s="373"/>
      <c r="Y3729" s="348"/>
      <c r="Z3729" s="348"/>
      <c r="AA3729" s="348"/>
    </row>
    <row r="3730" s="331" customFormat="1" ht="17" customHeight="1" spans="1:27">
      <c r="A3730" s="348" t="s">
        <v>9310</v>
      </c>
      <c r="B3730" s="348" t="s">
        <v>315</v>
      </c>
      <c r="C3730" s="348" t="s">
        <v>181</v>
      </c>
      <c r="D3730" s="352" t="s">
        <v>182</v>
      </c>
      <c r="E3730" s="336">
        <v>43696</v>
      </c>
      <c r="F3730" s="336">
        <v>43695</v>
      </c>
      <c r="G3730" s="350" t="s">
        <v>231</v>
      </c>
      <c r="H3730" s="334" t="s">
        <v>9311</v>
      </c>
      <c r="I3730" s="356">
        <v>18016031107</v>
      </c>
      <c r="J3730" s="361" t="s">
        <v>9312</v>
      </c>
      <c r="K3730" s="356">
        <v>1000</v>
      </c>
      <c r="L3730" s="419"/>
      <c r="M3730" s="419"/>
      <c r="N3730" s="362">
        <f t="shared" si="129"/>
        <v>0</v>
      </c>
      <c r="O3730" s="356"/>
      <c r="P3730" s="356"/>
      <c r="Q3730" s="356">
        <v>1</v>
      </c>
      <c r="R3730" s="356"/>
      <c r="S3730" s="356"/>
      <c r="T3730" s="356"/>
      <c r="U3730" s="372"/>
      <c r="V3730" s="372"/>
      <c r="W3730" s="372"/>
      <c r="X3730" s="373"/>
      <c r="Y3730" s="348"/>
      <c r="Z3730" s="348"/>
      <c r="AA3730" s="348"/>
    </row>
    <row r="3731" s="331" customFormat="1" ht="17" customHeight="1" spans="1:27">
      <c r="A3731" s="348" t="s">
        <v>9310</v>
      </c>
      <c r="B3731" s="348" t="s">
        <v>315</v>
      </c>
      <c r="C3731" s="348" t="s">
        <v>181</v>
      </c>
      <c r="D3731" s="352" t="s">
        <v>182</v>
      </c>
      <c r="E3731" s="336">
        <v>43696</v>
      </c>
      <c r="F3731" s="336">
        <v>43695</v>
      </c>
      <c r="G3731" s="350" t="s">
        <v>69</v>
      </c>
      <c r="H3731" s="334" t="s">
        <v>7763</v>
      </c>
      <c r="I3731" s="356">
        <v>13701636428</v>
      </c>
      <c r="J3731" s="361" t="s">
        <v>9313</v>
      </c>
      <c r="K3731" s="356">
        <v>2927</v>
      </c>
      <c r="L3731" s="419"/>
      <c r="M3731" s="419"/>
      <c r="N3731" s="362">
        <f t="shared" si="129"/>
        <v>0</v>
      </c>
      <c r="O3731" s="356"/>
      <c r="P3731" s="356"/>
      <c r="Q3731" s="356">
        <v>1</v>
      </c>
      <c r="R3731" s="356"/>
      <c r="S3731" s="356"/>
      <c r="T3731" s="356"/>
      <c r="U3731" s="372"/>
      <c r="V3731" s="372"/>
      <c r="W3731" s="372"/>
      <c r="X3731" s="373"/>
      <c r="Y3731" s="348"/>
      <c r="Z3731" s="348"/>
      <c r="AA3731" s="348"/>
    </row>
    <row r="3732" s="331" customFormat="1" ht="17" customHeight="1" spans="1:27">
      <c r="A3732" s="348"/>
      <c r="B3732" s="348" t="s">
        <v>87</v>
      </c>
      <c r="C3732" s="348" t="s">
        <v>199</v>
      </c>
      <c r="D3732" s="334" t="s">
        <v>2302</v>
      </c>
      <c r="E3732" s="336">
        <v>43745</v>
      </c>
      <c r="F3732" s="336">
        <v>43694</v>
      </c>
      <c r="G3732" s="336">
        <v>43745</v>
      </c>
      <c r="H3732" s="334" t="s">
        <v>9314</v>
      </c>
      <c r="I3732" s="356">
        <v>13918156266</v>
      </c>
      <c r="J3732" s="361" t="s">
        <v>9315</v>
      </c>
      <c r="K3732" s="356">
        <f>4850+5000</f>
        <v>9850</v>
      </c>
      <c r="L3732" s="334">
        <v>20000</v>
      </c>
      <c r="M3732" s="419"/>
      <c r="N3732" s="362">
        <f t="shared" si="129"/>
        <v>20000</v>
      </c>
      <c r="O3732" s="411" t="s">
        <v>52</v>
      </c>
      <c r="P3732" s="356"/>
      <c r="Q3732" s="411"/>
      <c r="R3732" s="356"/>
      <c r="S3732" s="356"/>
      <c r="T3732" s="356"/>
      <c r="U3732" s="372" t="s">
        <v>12</v>
      </c>
      <c r="V3732" s="372"/>
      <c r="W3732" s="372"/>
      <c r="X3732" s="373"/>
      <c r="Y3732" s="348"/>
      <c r="Z3732" s="348"/>
      <c r="AA3732" s="348"/>
    </row>
    <row r="3733" s="331" customFormat="1" ht="17" customHeight="1" spans="1:27">
      <c r="A3733" s="348"/>
      <c r="B3733" s="348" t="s">
        <v>87</v>
      </c>
      <c r="C3733" s="348" t="s">
        <v>199</v>
      </c>
      <c r="D3733" s="352" t="s">
        <v>89</v>
      </c>
      <c r="E3733" s="336">
        <v>43696</v>
      </c>
      <c r="F3733" s="336">
        <v>43694</v>
      </c>
      <c r="G3733" s="350"/>
      <c r="H3733" s="334" t="s">
        <v>9316</v>
      </c>
      <c r="I3733" s="356">
        <v>13764574632</v>
      </c>
      <c r="J3733" s="361" t="s">
        <v>9317</v>
      </c>
      <c r="K3733" s="356">
        <v>3000</v>
      </c>
      <c r="L3733" s="419"/>
      <c r="M3733" s="419"/>
      <c r="N3733" s="362">
        <f t="shared" si="129"/>
        <v>0</v>
      </c>
      <c r="O3733" s="411" t="s">
        <v>52</v>
      </c>
      <c r="P3733" s="356"/>
      <c r="Q3733" s="356"/>
      <c r="R3733" s="356"/>
      <c r="S3733" s="356"/>
      <c r="T3733" s="356"/>
      <c r="U3733" s="372" t="s">
        <v>12</v>
      </c>
      <c r="V3733" s="372"/>
      <c r="W3733" s="372"/>
      <c r="X3733" s="373"/>
      <c r="Y3733" s="348"/>
      <c r="Z3733" s="348"/>
      <c r="AA3733" s="348"/>
    </row>
    <row r="3734" s="331" customFormat="1" ht="17" customHeight="1" spans="1:27">
      <c r="A3734" s="348"/>
      <c r="B3734" s="348" t="s">
        <v>87</v>
      </c>
      <c r="C3734" s="334" t="s">
        <v>9318</v>
      </c>
      <c r="D3734" s="352" t="s">
        <v>89</v>
      </c>
      <c r="E3734" s="336">
        <v>43790</v>
      </c>
      <c r="F3734" s="336">
        <v>43693</v>
      </c>
      <c r="G3734" s="336">
        <v>43789</v>
      </c>
      <c r="H3734" s="334" t="s">
        <v>9319</v>
      </c>
      <c r="I3734" s="356">
        <v>18121241517</v>
      </c>
      <c r="J3734" s="361" t="s">
        <v>9320</v>
      </c>
      <c r="K3734" s="356">
        <v>3000</v>
      </c>
      <c r="L3734" s="334">
        <v>8701</v>
      </c>
      <c r="M3734" s="419"/>
      <c r="N3734" s="362">
        <f t="shared" si="129"/>
        <v>8701</v>
      </c>
      <c r="O3734" s="411" t="s">
        <v>52</v>
      </c>
      <c r="P3734" s="356"/>
      <c r="Q3734" s="356"/>
      <c r="R3734" s="356"/>
      <c r="S3734" s="356"/>
      <c r="T3734" s="356"/>
      <c r="U3734" s="372"/>
      <c r="V3734" s="372"/>
      <c r="W3734" s="372"/>
      <c r="X3734" s="373"/>
      <c r="Y3734" s="348"/>
      <c r="Z3734" s="348"/>
      <c r="AA3734" s="348"/>
    </row>
    <row r="3735" s="331" customFormat="1" ht="17" customHeight="1" spans="1:27">
      <c r="A3735" s="348"/>
      <c r="B3735" s="348" t="s">
        <v>87</v>
      </c>
      <c r="C3735" s="348" t="s">
        <v>466</v>
      </c>
      <c r="D3735" s="352" t="s">
        <v>89</v>
      </c>
      <c r="E3735" s="336">
        <v>43745</v>
      </c>
      <c r="F3735" s="336">
        <v>43695</v>
      </c>
      <c r="G3735" s="336">
        <v>43745</v>
      </c>
      <c r="H3735" s="334" t="s">
        <v>9321</v>
      </c>
      <c r="I3735" s="356">
        <v>13817541523</v>
      </c>
      <c r="J3735" s="361" t="s">
        <v>9322</v>
      </c>
      <c r="K3735" s="356">
        <v>3000</v>
      </c>
      <c r="L3735" s="334">
        <v>26000</v>
      </c>
      <c r="M3735" s="419"/>
      <c r="N3735" s="362">
        <f t="shared" si="129"/>
        <v>26000</v>
      </c>
      <c r="O3735" s="411" t="s">
        <v>52</v>
      </c>
      <c r="P3735" s="411"/>
      <c r="Q3735" s="356"/>
      <c r="R3735" s="356"/>
      <c r="S3735" s="356"/>
      <c r="T3735" s="356"/>
      <c r="U3735" s="372"/>
      <c r="V3735" s="372"/>
      <c r="W3735" s="372"/>
      <c r="X3735" s="373"/>
      <c r="Y3735" s="348"/>
      <c r="Z3735" s="348"/>
      <c r="AA3735" s="348"/>
    </row>
    <row r="3736" s="331" customFormat="1" ht="17" customHeight="1" spans="1:27">
      <c r="A3736" s="348">
        <v>206806</v>
      </c>
      <c r="B3736" s="348" t="s">
        <v>87</v>
      </c>
      <c r="C3736" s="348" t="s">
        <v>466</v>
      </c>
      <c r="D3736" s="352" t="s">
        <v>89</v>
      </c>
      <c r="E3736" s="336">
        <v>43708</v>
      </c>
      <c r="F3736" s="336" t="s">
        <v>9323</v>
      </c>
      <c r="G3736" s="336">
        <v>43708</v>
      </c>
      <c r="H3736" s="334" t="s">
        <v>9324</v>
      </c>
      <c r="I3736" s="356">
        <v>18862928036</v>
      </c>
      <c r="J3736" s="361" t="s">
        <v>9325</v>
      </c>
      <c r="K3736" s="356">
        <v>15372</v>
      </c>
      <c r="L3736" s="334">
        <v>15372</v>
      </c>
      <c r="M3736" s="419"/>
      <c r="N3736" s="362">
        <f t="shared" si="129"/>
        <v>15372</v>
      </c>
      <c r="O3736" s="356"/>
      <c r="P3736" s="356"/>
      <c r="Q3736" s="411" t="s">
        <v>52</v>
      </c>
      <c r="R3736" s="356"/>
      <c r="S3736" s="356"/>
      <c r="T3736" s="356"/>
      <c r="U3736" s="393" t="s">
        <v>40</v>
      </c>
      <c r="V3736" s="372"/>
      <c r="W3736" s="372"/>
      <c r="X3736" s="373"/>
      <c r="Y3736" s="348"/>
      <c r="Z3736" s="348"/>
      <c r="AA3736" s="348"/>
    </row>
    <row r="3737" s="331" customFormat="1" ht="17" customHeight="1" spans="1:27">
      <c r="A3737" s="348">
        <v>2068609</v>
      </c>
      <c r="B3737" s="348" t="s">
        <v>87</v>
      </c>
      <c r="C3737" s="348" t="s">
        <v>466</v>
      </c>
      <c r="D3737" s="352" t="s">
        <v>89</v>
      </c>
      <c r="E3737" s="336">
        <v>43766</v>
      </c>
      <c r="F3737" s="336">
        <v>43695</v>
      </c>
      <c r="G3737" s="336">
        <v>43765</v>
      </c>
      <c r="H3737" s="334" t="s">
        <v>9326</v>
      </c>
      <c r="I3737" s="356">
        <v>18221009880</v>
      </c>
      <c r="J3737" s="361" t="s">
        <v>9327</v>
      </c>
      <c r="K3737" s="356">
        <v>3000</v>
      </c>
      <c r="L3737" s="334">
        <v>12465</v>
      </c>
      <c r="M3737" s="419"/>
      <c r="N3737" s="362">
        <f t="shared" si="129"/>
        <v>12465</v>
      </c>
      <c r="O3737" s="411" t="s">
        <v>52</v>
      </c>
      <c r="P3737" s="356"/>
      <c r="Q3737" s="356"/>
      <c r="R3737" s="356"/>
      <c r="S3737" s="356"/>
      <c r="T3737" s="356"/>
      <c r="U3737" s="372"/>
      <c r="V3737" s="372"/>
      <c r="W3737" s="372"/>
      <c r="X3737" s="373"/>
      <c r="Y3737" s="348"/>
      <c r="Z3737" s="348"/>
      <c r="AA3737" s="348"/>
    </row>
    <row r="3738" s="331" customFormat="1" ht="17" customHeight="1" spans="1:27">
      <c r="A3738" s="348"/>
      <c r="B3738" s="348" t="s">
        <v>87</v>
      </c>
      <c r="C3738" s="348" t="s">
        <v>498</v>
      </c>
      <c r="D3738" s="352" t="s">
        <v>89</v>
      </c>
      <c r="E3738" s="336">
        <v>43696</v>
      </c>
      <c r="F3738" s="336"/>
      <c r="G3738" s="372" t="s">
        <v>69</v>
      </c>
      <c r="H3738" s="334" t="s">
        <v>9328</v>
      </c>
      <c r="I3738" s="356">
        <v>13331962588</v>
      </c>
      <c r="J3738" s="361" t="s">
        <v>9329</v>
      </c>
      <c r="K3738" s="356">
        <v>3700</v>
      </c>
      <c r="L3738" s="419"/>
      <c r="M3738" s="419"/>
      <c r="N3738" s="362">
        <f t="shared" si="129"/>
        <v>0</v>
      </c>
      <c r="O3738" s="411" t="s">
        <v>52</v>
      </c>
      <c r="P3738" s="356"/>
      <c r="Q3738" s="356"/>
      <c r="R3738" s="356"/>
      <c r="S3738" s="356"/>
      <c r="T3738" s="356"/>
      <c r="U3738" s="372"/>
      <c r="V3738" s="372"/>
      <c r="W3738" s="372"/>
      <c r="X3738" s="373"/>
      <c r="Y3738" s="348"/>
      <c r="Z3738" s="348"/>
      <c r="AA3738" s="348"/>
    </row>
    <row r="3739" s="331" customFormat="1" ht="17" customHeight="1" spans="1:27">
      <c r="A3739" s="348"/>
      <c r="B3739" s="348" t="s">
        <v>87</v>
      </c>
      <c r="C3739" s="334" t="s">
        <v>199</v>
      </c>
      <c r="D3739" s="352" t="s">
        <v>89</v>
      </c>
      <c r="E3739" s="336">
        <v>43804</v>
      </c>
      <c r="F3739" s="336">
        <v>43696</v>
      </c>
      <c r="G3739" s="336">
        <v>43803</v>
      </c>
      <c r="H3739" s="334" t="s">
        <v>9330</v>
      </c>
      <c r="I3739" s="444">
        <v>13331962588</v>
      </c>
      <c r="J3739" s="438" t="s">
        <v>9329</v>
      </c>
      <c r="K3739" s="334">
        <v>13556</v>
      </c>
      <c r="L3739" s="334">
        <v>13556</v>
      </c>
      <c r="M3739" s="419"/>
      <c r="N3739" s="362">
        <f t="shared" si="129"/>
        <v>13556</v>
      </c>
      <c r="O3739" s="411" t="s">
        <v>52</v>
      </c>
      <c r="P3739" s="356"/>
      <c r="Q3739" s="356"/>
      <c r="R3739" s="356"/>
      <c r="S3739" s="356"/>
      <c r="T3739" s="356"/>
      <c r="U3739" s="372"/>
      <c r="V3739" s="372"/>
      <c r="W3739" s="372"/>
      <c r="X3739" s="373"/>
      <c r="Y3739" s="348"/>
      <c r="Z3739" s="348"/>
      <c r="AA3739" s="348"/>
    </row>
    <row r="3740" s="331" customFormat="1" ht="17" customHeight="1" spans="1:27">
      <c r="A3740" s="348"/>
      <c r="B3740" s="348" t="s">
        <v>87</v>
      </c>
      <c r="C3740" s="348" t="s">
        <v>498</v>
      </c>
      <c r="D3740" s="352" t="s">
        <v>89</v>
      </c>
      <c r="E3740" s="336">
        <v>43696</v>
      </c>
      <c r="F3740" s="336"/>
      <c r="G3740" s="350"/>
      <c r="H3740" s="334" t="s">
        <v>9331</v>
      </c>
      <c r="I3740" s="356">
        <v>17521075069</v>
      </c>
      <c r="J3740" s="361" t="s">
        <v>9332</v>
      </c>
      <c r="K3740" s="356"/>
      <c r="L3740" s="419"/>
      <c r="M3740" s="419"/>
      <c r="N3740" s="362">
        <f t="shared" si="129"/>
        <v>0</v>
      </c>
      <c r="O3740" s="411" t="s">
        <v>52</v>
      </c>
      <c r="P3740" s="411"/>
      <c r="Q3740" s="356"/>
      <c r="R3740" s="356"/>
      <c r="S3740" s="356"/>
      <c r="T3740" s="356"/>
      <c r="U3740" s="372" t="s">
        <v>12</v>
      </c>
      <c r="V3740" s="372"/>
      <c r="W3740" s="372"/>
      <c r="X3740" s="373"/>
      <c r="Y3740" s="348"/>
      <c r="Z3740" s="348"/>
      <c r="AA3740" s="348"/>
    </row>
    <row r="3741" s="331" customFormat="1" ht="17" customHeight="1" spans="1:27">
      <c r="A3741" s="348" t="s">
        <v>9333</v>
      </c>
      <c r="B3741" s="348" t="s">
        <v>315</v>
      </c>
      <c r="C3741" s="348" t="s">
        <v>366</v>
      </c>
      <c r="D3741" s="349" t="s">
        <v>132</v>
      </c>
      <c r="E3741" s="336">
        <v>43703</v>
      </c>
      <c r="F3741" s="336">
        <v>43695</v>
      </c>
      <c r="G3741" s="336">
        <v>43702</v>
      </c>
      <c r="H3741" s="334" t="s">
        <v>9334</v>
      </c>
      <c r="I3741" s="356">
        <v>13801659147</v>
      </c>
      <c r="J3741" s="361" t="s">
        <v>9335</v>
      </c>
      <c r="K3741" s="356">
        <v>10000</v>
      </c>
      <c r="L3741" s="334">
        <v>135000</v>
      </c>
      <c r="M3741" s="419"/>
      <c r="N3741" s="362">
        <f t="shared" si="129"/>
        <v>135000</v>
      </c>
      <c r="O3741" s="356"/>
      <c r="P3741" s="356"/>
      <c r="Q3741" s="356"/>
      <c r="R3741" s="356"/>
      <c r="S3741" s="356"/>
      <c r="T3741" s="356"/>
      <c r="U3741" s="372"/>
      <c r="V3741" s="372"/>
      <c r="W3741" s="372"/>
      <c r="X3741" s="373"/>
      <c r="Y3741" s="348"/>
      <c r="Z3741" s="348"/>
      <c r="AA3741" s="348"/>
    </row>
    <row r="3742" s="331" customFormat="1" ht="17" customHeight="1" spans="1:27">
      <c r="A3742" s="348"/>
      <c r="B3742" s="348" t="s">
        <v>73</v>
      </c>
      <c r="C3742" s="348" t="s">
        <v>74</v>
      </c>
      <c r="D3742" s="349" t="s">
        <v>143</v>
      </c>
      <c r="E3742" s="336">
        <v>43698</v>
      </c>
      <c r="F3742" s="336">
        <v>43696</v>
      </c>
      <c r="G3742" s="336">
        <v>43696</v>
      </c>
      <c r="H3742" s="334" t="s">
        <v>3734</v>
      </c>
      <c r="I3742" s="356">
        <v>13917189198</v>
      </c>
      <c r="J3742" s="361" t="s">
        <v>9336</v>
      </c>
      <c r="K3742" s="356">
        <v>30446</v>
      </c>
      <c r="L3742" s="334">
        <v>30446</v>
      </c>
      <c r="M3742" s="419"/>
      <c r="N3742" s="362">
        <f t="shared" si="129"/>
        <v>30446</v>
      </c>
      <c r="O3742" s="356"/>
      <c r="P3742" s="356"/>
      <c r="Q3742" s="356"/>
      <c r="R3742" s="356"/>
      <c r="S3742" s="356"/>
      <c r="T3742" s="356"/>
      <c r="U3742" s="372"/>
      <c r="V3742" s="372"/>
      <c r="W3742" s="372"/>
      <c r="X3742" s="373"/>
      <c r="Y3742" s="348"/>
      <c r="Z3742" s="348"/>
      <c r="AA3742" s="348"/>
    </row>
    <row r="3743" s="331" customFormat="1" ht="15" customHeight="1" spans="1:27">
      <c r="A3743" s="348" t="s">
        <v>9337</v>
      </c>
      <c r="B3743" s="348" t="s">
        <v>58</v>
      </c>
      <c r="C3743" s="348" t="s">
        <v>109</v>
      </c>
      <c r="D3743" s="334" t="s">
        <v>271</v>
      </c>
      <c r="E3743" s="336">
        <v>43716</v>
      </c>
      <c r="F3743" s="336">
        <v>43696</v>
      </c>
      <c r="G3743" s="336">
        <v>43715</v>
      </c>
      <c r="H3743" s="334" t="s">
        <v>9338</v>
      </c>
      <c r="I3743" s="356">
        <v>13917619147</v>
      </c>
      <c r="J3743" s="334" t="s">
        <v>9339</v>
      </c>
      <c r="K3743" s="356">
        <v>1000</v>
      </c>
      <c r="L3743" s="334">
        <f>3819-536</f>
        <v>3283</v>
      </c>
      <c r="M3743" s="334">
        <v>536</v>
      </c>
      <c r="N3743" s="362">
        <f t="shared" si="129"/>
        <v>3819</v>
      </c>
      <c r="O3743" s="356"/>
      <c r="P3743" s="356"/>
      <c r="Q3743" s="356"/>
      <c r="R3743" s="356"/>
      <c r="S3743" s="366" t="s">
        <v>52</v>
      </c>
      <c r="T3743" s="356"/>
      <c r="U3743" s="372"/>
      <c r="V3743" s="372"/>
      <c r="W3743" s="372"/>
      <c r="X3743" s="373"/>
      <c r="Y3743" s="348"/>
      <c r="Z3743" s="348"/>
      <c r="AA3743" s="348"/>
    </row>
    <row r="3744" s="331" customFormat="1" ht="17" customHeight="1" spans="1:27">
      <c r="A3744" s="348" t="s">
        <v>9340</v>
      </c>
      <c r="B3744" s="348" t="s">
        <v>31</v>
      </c>
      <c r="C3744" s="348" t="s">
        <v>3186</v>
      </c>
      <c r="D3744" s="352" t="s">
        <v>221</v>
      </c>
      <c r="E3744" s="336">
        <v>43696</v>
      </c>
      <c r="F3744" s="336">
        <v>43696</v>
      </c>
      <c r="G3744" s="350"/>
      <c r="H3744" s="334" t="s">
        <v>6529</v>
      </c>
      <c r="I3744" s="356">
        <v>15000088723</v>
      </c>
      <c r="J3744" s="361" t="s">
        <v>9341</v>
      </c>
      <c r="K3744" s="356">
        <v>1000</v>
      </c>
      <c r="L3744" s="419"/>
      <c r="M3744" s="419"/>
      <c r="N3744" s="362">
        <f t="shared" si="129"/>
        <v>0</v>
      </c>
      <c r="O3744" s="356"/>
      <c r="P3744" s="356"/>
      <c r="Q3744" s="356"/>
      <c r="R3744" s="356"/>
      <c r="S3744" s="356"/>
      <c r="T3744" s="356"/>
      <c r="U3744" s="400" t="s">
        <v>9342</v>
      </c>
      <c r="V3744" s="372"/>
      <c r="W3744" s="372"/>
      <c r="X3744" s="373"/>
      <c r="Y3744" s="348"/>
      <c r="Z3744" s="348"/>
      <c r="AA3744" s="348"/>
    </row>
    <row r="3745" s="331" customFormat="1" ht="17" customHeight="1" spans="1:27">
      <c r="A3745" s="348" t="s">
        <v>990</v>
      </c>
      <c r="B3745" s="348" t="s">
        <v>169</v>
      </c>
      <c r="C3745" s="334" t="s">
        <v>542</v>
      </c>
      <c r="D3745" s="352" t="s">
        <v>171</v>
      </c>
      <c r="E3745" s="336">
        <v>43719</v>
      </c>
      <c r="F3745" s="336">
        <v>43696</v>
      </c>
      <c r="G3745" s="336">
        <v>43719</v>
      </c>
      <c r="H3745" s="334" t="s">
        <v>322</v>
      </c>
      <c r="I3745" s="356">
        <v>13918250773</v>
      </c>
      <c r="J3745" s="361" t="s">
        <v>9343</v>
      </c>
      <c r="K3745" s="356">
        <v>1998</v>
      </c>
      <c r="L3745" s="334">
        <v>4798</v>
      </c>
      <c r="M3745" s="419"/>
      <c r="N3745" s="362">
        <f t="shared" si="129"/>
        <v>4798</v>
      </c>
      <c r="O3745" s="356"/>
      <c r="P3745" s="356" t="s">
        <v>9344</v>
      </c>
      <c r="Q3745" s="356"/>
      <c r="R3745" s="356"/>
      <c r="S3745" s="356"/>
      <c r="T3745" s="356"/>
      <c r="U3745" s="372"/>
      <c r="V3745" s="372"/>
      <c r="W3745" s="372"/>
      <c r="X3745" s="373"/>
      <c r="Y3745" s="348"/>
      <c r="Z3745" s="348"/>
      <c r="AA3745" s="348"/>
    </row>
    <row r="3746" s="331" customFormat="1" ht="17" customHeight="1" spans="1:27">
      <c r="A3746" s="348"/>
      <c r="B3746" s="348" t="s">
        <v>147</v>
      </c>
      <c r="C3746" s="334" t="s">
        <v>148</v>
      </c>
      <c r="D3746" s="349" t="s">
        <v>37</v>
      </c>
      <c r="E3746" s="336">
        <v>43696</v>
      </c>
      <c r="F3746" s="336"/>
      <c r="G3746" s="336">
        <v>43695</v>
      </c>
      <c r="H3746" s="334" t="s">
        <v>9345</v>
      </c>
      <c r="I3746" s="356">
        <v>14782888788</v>
      </c>
      <c r="J3746" s="361" t="s">
        <v>9346</v>
      </c>
      <c r="K3746" s="356"/>
      <c r="L3746" s="334">
        <f>15359-268</f>
        <v>15091</v>
      </c>
      <c r="M3746" s="334">
        <v>268</v>
      </c>
      <c r="N3746" s="362">
        <f t="shared" si="129"/>
        <v>15359</v>
      </c>
      <c r="O3746" s="356"/>
      <c r="P3746" s="356"/>
      <c r="Q3746" s="356"/>
      <c r="R3746" s="356"/>
      <c r="S3746" s="356"/>
      <c r="T3746" s="356"/>
      <c r="U3746" s="372"/>
      <c r="V3746" s="372"/>
      <c r="W3746" s="372"/>
      <c r="X3746" s="373"/>
      <c r="Y3746" s="348"/>
      <c r="Z3746" s="348"/>
      <c r="AA3746" s="348"/>
    </row>
    <row r="3747" s="331" customFormat="1" ht="17" customHeight="1" spans="1:27">
      <c r="A3747" s="348"/>
      <c r="B3747" s="348" t="s">
        <v>87</v>
      </c>
      <c r="C3747" s="334" t="s">
        <v>199</v>
      </c>
      <c r="D3747" s="349" t="s">
        <v>89</v>
      </c>
      <c r="E3747" s="336">
        <v>43696</v>
      </c>
      <c r="F3747" s="336"/>
      <c r="G3747" s="336">
        <v>43695</v>
      </c>
      <c r="H3747" s="334" t="s">
        <v>9347</v>
      </c>
      <c r="I3747" s="356">
        <v>15300595966</v>
      </c>
      <c r="J3747" s="361" t="s">
        <v>9348</v>
      </c>
      <c r="K3747" s="356"/>
      <c r="L3747" s="334">
        <v>22826</v>
      </c>
      <c r="M3747" s="419"/>
      <c r="N3747" s="362">
        <f t="shared" si="129"/>
        <v>22826</v>
      </c>
      <c r="O3747" s="356"/>
      <c r="P3747" s="356"/>
      <c r="Q3747" s="356"/>
      <c r="R3747" s="356"/>
      <c r="S3747" s="356"/>
      <c r="T3747" s="356"/>
      <c r="U3747" s="372"/>
      <c r="V3747" s="372"/>
      <c r="W3747" s="372"/>
      <c r="X3747" s="373"/>
      <c r="Y3747" s="348"/>
      <c r="Z3747" s="348"/>
      <c r="AA3747" s="348"/>
    </row>
    <row r="3748" s="331" customFormat="1" ht="17" customHeight="1" spans="1:27">
      <c r="A3748" s="348"/>
      <c r="B3748" s="348" t="s">
        <v>4009</v>
      </c>
      <c r="C3748" s="334" t="s">
        <v>6401</v>
      </c>
      <c r="D3748" s="349" t="s">
        <v>1170</v>
      </c>
      <c r="E3748" s="336">
        <v>43696</v>
      </c>
      <c r="F3748" s="336"/>
      <c r="G3748" s="336">
        <v>43695</v>
      </c>
      <c r="H3748" s="334" t="s">
        <v>9349</v>
      </c>
      <c r="I3748" s="356">
        <v>15190839728</v>
      </c>
      <c r="J3748" s="361" t="s">
        <v>9350</v>
      </c>
      <c r="K3748" s="356"/>
      <c r="L3748" s="334">
        <v>8020</v>
      </c>
      <c r="M3748" s="419"/>
      <c r="N3748" s="362">
        <f t="shared" si="129"/>
        <v>8020</v>
      </c>
      <c r="O3748" s="356"/>
      <c r="P3748" s="356"/>
      <c r="Q3748" s="356"/>
      <c r="R3748" s="356"/>
      <c r="S3748" s="356"/>
      <c r="T3748" s="356"/>
      <c r="U3748" s="372"/>
      <c r="V3748" s="372"/>
      <c r="W3748" s="372"/>
      <c r="X3748" s="373"/>
      <c r="Y3748" s="348"/>
      <c r="Z3748" s="348"/>
      <c r="AA3748" s="348"/>
    </row>
    <row r="3749" s="331" customFormat="1" ht="17" customHeight="1" spans="1:27">
      <c r="A3749" s="348"/>
      <c r="B3749" s="348" t="s">
        <v>58</v>
      </c>
      <c r="C3749" s="334" t="s">
        <v>794</v>
      </c>
      <c r="D3749" s="349" t="s">
        <v>110</v>
      </c>
      <c r="E3749" s="336">
        <v>43696</v>
      </c>
      <c r="F3749" s="336"/>
      <c r="G3749" s="336">
        <v>43694</v>
      </c>
      <c r="H3749" s="334" t="s">
        <v>9351</v>
      </c>
      <c r="I3749" s="356">
        <v>17301709008</v>
      </c>
      <c r="J3749" s="361" t="s">
        <v>9352</v>
      </c>
      <c r="K3749" s="356"/>
      <c r="L3749" s="334">
        <f>7043-804</f>
        <v>6239</v>
      </c>
      <c r="M3749" s="334">
        <v>804</v>
      </c>
      <c r="N3749" s="362">
        <f t="shared" si="129"/>
        <v>7043</v>
      </c>
      <c r="O3749" s="356"/>
      <c r="P3749" s="356"/>
      <c r="Q3749" s="356"/>
      <c r="R3749" s="356"/>
      <c r="S3749" s="356"/>
      <c r="T3749" s="356"/>
      <c r="U3749" s="372"/>
      <c r="V3749" s="372"/>
      <c r="W3749" s="372"/>
      <c r="X3749" s="373"/>
      <c r="Y3749" s="348"/>
      <c r="Z3749" s="348"/>
      <c r="AA3749" s="348"/>
    </row>
    <row r="3750" s="331" customFormat="1" ht="17" customHeight="1" spans="1:27">
      <c r="A3750" s="348"/>
      <c r="B3750" s="348" t="s">
        <v>2625</v>
      </c>
      <c r="C3750" s="334" t="s">
        <v>2626</v>
      </c>
      <c r="D3750" s="349" t="s">
        <v>635</v>
      </c>
      <c r="E3750" s="336">
        <v>43696</v>
      </c>
      <c r="F3750" s="336"/>
      <c r="G3750" s="336">
        <v>43696</v>
      </c>
      <c r="H3750" s="334" t="s">
        <v>9353</v>
      </c>
      <c r="I3750" s="356">
        <v>13564060092</v>
      </c>
      <c r="J3750" s="361" t="s">
        <v>9354</v>
      </c>
      <c r="K3750" s="356"/>
      <c r="L3750" s="334">
        <v>8788</v>
      </c>
      <c r="M3750" s="419"/>
      <c r="N3750" s="362">
        <f t="shared" si="129"/>
        <v>8788</v>
      </c>
      <c r="O3750" s="356"/>
      <c r="P3750" s="356"/>
      <c r="Q3750" s="356"/>
      <c r="R3750" s="356"/>
      <c r="S3750" s="356"/>
      <c r="T3750" s="356"/>
      <c r="U3750" s="372"/>
      <c r="V3750" s="372"/>
      <c r="W3750" s="372"/>
      <c r="X3750" s="373"/>
      <c r="Y3750" s="348"/>
      <c r="Z3750" s="348"/>
      <c r="AA3750" s="348"/>
    </row>
    <row r="3751" s="331" customFormat="1" ht="17" customHeight="1" spans="1:27">
      <c r="A3751" s="348"/>
      <c r="B3751" s="348" t="s">
        <v>236</v>
      </c>
      <c r="C3751" s="334" t="s">
        <v>703</v>
      </c>
      <c r="D3751" s="349" t="s">
        <v>37</v>
      </c>
      <c r="E3751" s="336">
        <v>43696</v>
      </c>
      <c r="F3751" s="336" t="s">
        <v>800</v>
      </c>
      <c r="G3751" s="336">
        <v>43661</v>
      </c>
      <c r="H3751" s="334" t="s">
        <v>3324</v>
      </c>
      <c r="I3751" s="356">
        <v>13651768632</v>
      </c>
      <c r="J3751" s="361" t="s">
        <v>9355</v>
      </c>
      <c r="K3751" s="356"/>
      <c r="L3751" s="419"/>
      <c r="M3751" s="334">
        <v>1600</v>
      </c>
      <c r="N3751" s="362">
        <f t="shared" si="129"/>
        <v>1600</v>
      </c>
      <c r="O3751" s="356"/>
      <c r="P3751" s="356"/>
      <c r="Q3751" s="356"/>
      <c r="R3751" s="356"/>
      <c r="S3751" s="356"/>
      <c r="T3751" s="356"/>
      <c r="U3751" s="372"/>
      <c r="V3751" s="372"/>
      <c r="W3751" s="372"/>
      <c r="X3751" s="373"/>
      <c r="Y3751" s="348"/>
      <c r="Z3751" s="348"/>
      <c r="AA3751" s="348"/>
    </row>
    <row r="3752" s="331" customFormat="1" ht="17" customHeight="1" spans="1:27">
      <c r="A3752" s="348"/>
      <c r="B3752" s="348" t="s">
        <v>236</v>
      </c>
      <c r="C3752" s="334" t="s">
        <v>703</v>
      </c>
      <c r="D3752" s="349" t="s">
        <v>187</v>
      </c>
      <c r="E3752" s="336">
        <v>43696</v>
      </c>
      <c r="F3752" s="336" t="s">
        <v>800</v>
      </c>
      <c r="G3752" s="336">
        <v>43691</v>
      </c>
      <c r="H3752" s="334" t="s">
        <v>9356</v>
      </c>
      <c r="I3752" s="356">
        <v>18701920181</v>
      </c>
      <c r="J3752" s="361" t="s">
        <v>9357</v>
      </c>
      <c r="K3752" s="356"/>
      <c r="L3752" s="419"/>
      <c r="M3752" s="334">
        <v>198</v>
      </c>
      <c r="N3752" s="362">
        <f t="shared" si="129"/>
        <v>198</v>
      </c>
      <c r="O3752" s="356"/>
      <c r="P3752" s="356"/>
      <c r="Q3752" s="356"/>
      <c r="R3752" s="356"/>
      <c r="S3752" s="356"/>
      <c r="T3752" s="356"/>
      <c r="U3752" s="372"/>
      <c r="V3752" s="372"/>
      <c r="W3752" s="372"/>
      <c r="X3752" s="373"/>
      <c r="Y3752" s="348"/>
      <c r="Z3752" s="348"/>
      <c r="AA3752" s="348"/>
    </row>
    <row r="3753" s="331" customFormat="1" ht="17" customHeight="1" spans="1:27">
      <c r="A3753" s="348"/>
      <c r="B3753" s="348" t="s">
        <v>66</v>
      </c>
      <c r="C3753" s="348" t="s">
        <v>119</v>
      </c>
      <c r="D3753" s="352" t="s">
        <v>143</v>
      </c>
      <c r="E3753" s="336">
        <v>43696</v>
      </c>
      <c r="F3753" s="336" t="s">
        <v>800</v>
      </c>
      <c r="G3753" s="336">
        <v>43695</v>
      </c>
      <c r="H3753" s="334" t="s">
        <v>7533</v>
      </c>
      <c r="I3753" s="356">
        <v>13524358286</v>
      </c>
      <c r="J3753" s="361" t="s">
        <v>9358</v>
      </c>
      <c r="K3753" s="356"/>
      <c r="L3753" s="419"/>
      <c r="M3753" s="334">
        <v>1903</v>
      </c>
      <c r="N3753" s="362">
        <f t="shared" si="129"/>
        <v>1903</v>
      </c>
      <c r="O3753" s="356"/>
      <c r="P3753" s="356"/>
      <c r="Q3753" s="356"/>
      <c r="R3753" s="356"/>
      <c r="S3753" s="356"/>
      <c r="T3753" s="356"/>
      <c r="U3753" s="372"/>
      <c r="V3753" s="372"/>
      <c r="W3753" s="372"/>
      <c r="X3753" s="373"/>
      <c r="Y3753" s="348"/>
      <c r="Z3753" s="348"/>
      <c r="AA3753" s="348"/>
    </row>
    <row r="3754" s="331" customFormat="1" ht="17" customHeight="1" spans="1:27">
      <c r="A3754" s="348"/>
      <c r="B3754" s="348" t="s">
        <v>169</v>
      </c>
      <c r="C3754" s="348" t="s">
        <v>634</v>
      </c>
      <c r="D3754" s="349" t="s">
        <v>635</v>
      </c>
      <c r="E3754" s="336">
        <v>43696</v>
      </c>
      <c r="F3754" s="336" t="s">
        <v>800</v>
      </c>
      <c r="G3754" s="336">
        <v>43695</v>
      </c>
      <c r="H3754" s="334" t="s">
        <v>4913</v>
      </c>
      <c r="I3754" s="356">
        <v>18801798867</v>
      </c>
      <c r="J3754" s="361" t="s">
        <v>4914</v>
      </c>
      <c r="K3754" s="356"/>
      <c r="L3754" s="334"/>
      <c r="M3754" s="334">
        <f>-2005-200</f>
        <v>-2205</v>
      </c>
      <c r="N3754" s="362">
        <f t="shared" si="129"/>
        <v>-2205</v>
      </c>
      <c r="O3754" s="356"/>
      <c r="P3754" s="356"/>
      <c r="Q3754" s="356"/>
      <c r="R3754" s="356"/>
      <c r="S3754" s="356"/>
      <c r="T3754" s="356"/>
      <c r="U3754" s="372"/>
      <c r="V3754" s="372"/>
      <c r="W3754" s="372"/>
      <c r="X3754" s="373"/>
      <c r="Y3754" s="348"/>
      <c r="Z3754" s="348"/>
      <c r="AA3754" s="348"/>
    </row>
    <row r="3755" s="331" customFormat="1" ht="17" customHeight="1" spans="1:27">
      <c r="A3755" s="348"/>
      <c r="B3755" s="348" t="s">
        <v>315</v>
      </c>
      <c r="C3755" s="334" t="s">
        <v>230</v>
      </c>
      <c r="D3755" s="349" t="s">
        <v>182</v>
      </c>
      <c r="E3755" s="336">
        <v>43696</v>
      </c>
      <c r="F3755" s="336" t="s">
        <v>800</v>
      </c>
      <c r="G3755" s="336">
        <v>43694</v>
      </c>
      <c r="H3755" s="334" t="s">
        <v>9359</v>
      </c>
      <c r="I3755" s="356">
        <v>13003278229</v>
      </c>
      <c r="J3755" s="361" t="s">
        <v>9360</v>
      </c>
      <c r="K3755" s="356"/>
      <c r="L3755" s="419"/>
      <c r="M3755" s="334">
        <v>869</v>
      </c>
      <c r="N3755" s="362">
        <f t="shared" si="129"/>
        <v>869</v>
      </c>
      <c r="O3755" s="356"/>
      <c r="P3755" s="356"/>
      <c r="Q3755" s="356"/>
      <c r="R3755" s="356"/>
      <c r="S3755" s="356"/>
      <c r="T3755" s="356"/>
      <c r="U3755" s="372"/>
      <c r="V3755" s="372"/>
      <c r="W3755" s="372"/>
      <c r="X3755" s="373"/>
      <c r="Y3755" s="348"/>
      <c r="Z3755" s="348"/>
      <c r="AA3755" s="348"/>
    </row>
    <row r="3756" s="331" customFormat="1" ht="17" customHeight="1" spans="1:27">
      <c r="A3756" s="348"/>
      <c r="B3756" s="348" t="s">
        <v>58</v>
      </c>
      <c r="C3756" s="334" t="s">
        <v>59</v>
      </c>
      <c r="D3756" s="349" t="s">
        <v>343</v>
      </c>
      <c r="E3756" s="336">
        <v>43696</v>
      </c>
      <c r="F3756" s="336" t="s">
        <v>800</v>
      </c>
      <c r="G3756" s="336">
        <v>43691</v>
      </c>
      <c r="H3756" s="334" t="s">
        <v>5599</v>
      </c>
      <c r="I3756" s="356">
        <v>13818126664</v>
      </c>
      <c r="J3756" s="361" t="s">
        <v>5601</v>
      </c>
      <c r="K3756" s="356"/>
      <c r="L3756" s="419"/>
      <c r="M3756" s="334">
        <v>3177</v>
      </c>
      <c r="N3756" s="362">
        <f t="shared" si="129"/>
        <v>3177</v>
      </c>
      <c r="O3756" s="356"/>
      <c r="P3756" s="356"/>
      <c r="Q3756" s="356"/>
      <c r="R3756" s="356"/>
      <c r="S3756" s="356"/>
      <c r="T3756" s="356"/>
      <c r="U3756" s="372"/>
      <c r="V3756" s="372"/>
      <c r="W3756" s="372"/>
      <c r="X3756" s="373"/>
      <c r="Y3756" s="348"/>
      <c r="Z3756" s="348"/>
      <c r="AA3756" s="348"/>
    </row>
    <row r="3757" s="331" customFormat="1" ht="17" customHeight="1" spans="1:27">
      <c r="A3757" s="348"/>
      <c r="B3757" s="348" t="s">
        <v>87</v>
      </c>
      <c r="C3757" s="348" t="s">
        <v>466</v>
      </c>
      <c r="D3757" s="349" t="s">
        <v>89</v>
      </c>
      <c r="E3757" s="336">
        <v>43696</v>
      </c>
      <c r="F3757" s="336" t="s">
        <v>800</v>
      </c>
      <c r="G3757" s="336">
        <v>43695</v>
      </c>
      <c r="H3757" s="334" t="s">
        <v>3996</v>
      </c>
      <c r="I3757" s="356">
        <v>13052107800</v>
      </c>
      <c r="J3757" s="361" t="s">
        <v>9361</v>
      </c>
      <c r="K3757" s="356"/>
      <c r="L3757" s="419"/>
      <c r="M3757" s="334">
        <f>1585-939</f>
        <v>646</v>
      </c>
      <c r="N3757" s="362">
        <f t="shared" si="129"/>
        <v>646</v>
      </c>
      <c r="O3757" s="356"/>
      <c r="P3757" s="356"/>
      <c r="Q3757" s="356"/>
      <c r="R3757" s="356"/>
      <c r="S3757" s="356"/>
      <c r="T3757" s="356"/>
      <c r="U3757" s="372"/>
      <c r="V3757" s="372"/>
      <c r="W3757" s="372"/>
      <c r="X3757" s="373"/>
      <c r="Y3757" s="348"/>
      <c r="Z3757" s="348"/>
      <c r="AA3757" s="348"/>
    </row>
    <row r="3758" s="331" customFormat="1" ht="17" customHeight="1" spans="1:27">
      <c r="A3758" s="348"/>
      <c r="B3758" s="348" t="s">
        <v>58</v>
      </c>
      <c r="C3758" s="348" t="s">
        <v>342</v>
      </c>
      <c r="D3758" s="349" t="s">
        <v>343</v>
      </c>
      <c r="E3758" s="336">
        <v>43696</v>
      </c>
      <c r="F3758" s="336" t="s">
        <v>800</v>
      </c>
      <c r="G3758" s="336">
        <v>43695</v>
      </c>
      <c r="H3758" s="334" t="s">
        <v>4203</v>
      </c>
      <c r="I3758" s="356">
        <v>18621292277</v>
      </c>
      <c r="J3758" s="361" t="s">
        <v>4204</v>
      </c>
      <c r="K3758" s="356"/>
      <c r="L3758" s="419"/>
      <c r="M3758" s="334">
        <f>1994+1443+6000</f>
        <v>9437</v>
      </c>
      <c r="N3758" s="362">
        <f t="shared" si="129"/>
        <v>9437</v>
      </c>
      <c r="O3758" s="356"/>
      <c r="P3758" s="356"/>
      <c r="Q3758" s="356"/>
      <c r="R3758" s="356"/>
      <c r="S3758" s="356"/>
      <c r="T3758" s="356"/>
      <c r="U3758" s="372"/>
      <c r="V3758" s="372"/>
      <c r="W3758" s="372"/>
      <c r="X3758" s="373"/>
      <c r="Y3758" s="348"/>
      <c r="Z3758" s="348"/>
      <c r="AA3758" s="348"/>
    </row>
    <row r="3759" s="331" customFormat="1" ht="17" customHeight="1" spans="1:27">
      <c r="A3759" s="348"/>
      <c r="B3759" s="348" t="s">
        <v>160</v>
      </c>
      <c r="C3759" s="348" t="s">
        <v>161</v>
      </c>
      <c r="D3759" s="349" t="s">
        <v>162</v>
      </c>
      <c r="E3759" s="336">
        <v>43696</v>
      </c>
      <c r="F3759" s="336" t="s">
        <v>800</v>
      </c>
      <c r="G3759" s="336">
        <v>43685</v>
      </c>
      <c r="H3759" s="334" t="s">
        <v>700</v>
      </c>
      <c r="I3759" s="356">
        <v>18516153530</v>
      </c>
      <c r="J3759" s="361" t="s">
        <v>9362</v>
      </c>
      <c r="K3759" s="356"/>
      <c r="L3759" s="419"/>
      <c r="M3759" s="334">
        <v>1538</v>
      </c>
      <c r="N3759" s="362">
        <f t="shared" si="129"/>
        <v>1538</v>
      </c>
      <c r="O3759" s="356"/>
      <c r="P3759" s="356"/>
      <c r="Q3759" s="356"/>
      <c r="R3759" s="356"/>
      <c r="S3759" s="356"/>
      <c r="T3759" s="356"/>
      <c r="U3759" s="372"/>
      <c r="V3759" s="372"/>
      <c r="W3759" s="372"/>
      <c r="X3759" s="373"/>
      <c r="Y3759" s="348"/>
      <c r="Z3759" s="348"/>
      <c r="AA3759" s="348"/>
    </row>
    <row r="3760" s="331" customFormat="1" ht="17" customHeight="1" spans="1:27">
      <c r="A3760" s="348"/>
      <c r="B3760" s="348" t="s">
        <v>66</v>
      </c>
      <c r="C3760" s="348" t="s">
        <v>1749</v>
      </c>
      <c r="D3760" s="349" t="s">
        <v>68</v>
      </c>
      <c r="E3760" s="336">
        <v>43696</v>
      </c>
      <c r="F3760" s="336" t="s">
        <v>800</v>
      </c>
      <c r="G3760" s="336">
        <v>43696</v>
      </c>
      <c r="H3760" s="334" t="s">
        <v>3355</v>
      </c>
      <c r="I3760" s="356">
        <v>18721663252</v>
      </c>
      <c r="J3760" s="361" t="s">
        <v>9363</v>
      </c>
      <c r="K3760" s="356"/>
      <c r="L3760" s="419"/>
      <c r="M3760" s="334">
        <f>-16+2217</f>
        <v>2201</v>
      </c>
      <c r="N3760" s="362">
        <f t="shared" si="129"/>
        <v>2201</v>
      </c>
      <c r="O3760" s="356"/>
      <c r="P3760" s="356"/>
      <c r="Q3760" s="356"/>
      <c r="R3760" s="356"/>
      <c r="S3760" s="356"/>
      <c r="T3760" s="356"/>
      <c r="U3760" s="372"/>
      <c r="V3760" s="372"/>
      <c r="W3760" s="372"/>
      <c r="X3760" s="373"/>
      <c r="Y3760" s="348"/>
      <c r="Z3760" s="348"/>
      <c r="AA3760" s="348"/>
    </row>
    <row r="3761" s="331" customFormat="1" ht="17" customHeight="1" spans="1:27">
      <c r="A3761" s="348"/>
      <c r="B3761" s="348" t="s">
        <v>73</v>
      </c>
      <c r="C3761" s="348" t="s">
        <v>74</v>
      </c>
      <c r="D3761" s="349" t="s">
        <v>139</v>
      </c>
      <c r="E3761" s="336">
        <v>43696</v>
      </c>
      <c r="F3761" s="336" t="s">
        <v>800</v>
      </c>
      <c r="G3761" s="336">
        <v>43696</v>
      </c>
      <c r="H3761" s="334" t="s">
        <v>773</v>
      </c>
      <c r="I3761" s="356">
        <v>18621586177</v>
      </c>
      <c r="J3761" s="361" t="s">
        <v>4934</v>
      </c>
      <c r="K3761" s="356"/>
      <c r="L3761" s="419"/>
      <c r="M3761" s="334">
        <v>1116</v>
      </c>
      <c r="N3761" s="362">
        <f t="shared" si="129"/>
        <v>1116</v>
      </c>
      <c r="O3761" s="356"/>
      <c r="P3761" s="356"/>
      <c r="Q3761" s="356"/>
      <c r="R3761" s="356"/>
      <c r="S3761" s="356"/>
      <c r="T3761" s="356"/>
      <c r="U3761" s="372"/>
      <c r="V3761" s="372"/>
      <c r="W3761" s="372"/>
      <c r="X3761" s="373"/>
      <c r="Y3761" s="348"/>
      <c r="Z3761" s="348"/>
      <c r="AA3761" s="348"/>
    </row>
    <row r="3762" s="331" customFormat="1" ht="17" customHeight="1" spans="1:27">
      <c r="A3762" s="348"/>
      <c r="B3762" s="348" t="s">
        <v>243</v>
      </c>
      <c r="C3762" s="348" t="s">
        <v>309</v>
      </c>
      <c r="D3762" s="352" t="s">
        <v>49</v>
      </c>
      <c r="E3762" s="336">
        <v>43696</v>
      </c>
      <c r="F3762" s="336" t="s">
        <v>800</v>
      </c>
      <c r="G3762" s="336">
        <v>43696</v>
      </c>
      <c r="H3762" s="334" t="s">
        <v>640</v>
      </c>
      <c r="I3762" s="356">
        <v>13818027804</v>
      </c>
      <c r="J3762" s="361" t="s">
        <v>9364</v>
      </c>
      <c r="K3762" s="356"/>
      <c r="L3762" s="419"/>
      <c r="M3762" s="334">
        <v>200</v>
      </c>
      <c r="N3762" s="362">
        <f t="shared" si="129"/>
        <v>200</v>
      </c>
      <c r="O3762" s="356"/>
      <c r="P3762" s="356"/>
      <c r="Q3762" s="356"/>
      <c r="R3762" s="356"/>
      <c r="S3762" s="356"/>
      <c r="T3762" s="356"/>
      <c r="U3762" s="372"/>
      <c r="V3762" s="372"/>
      <c r="W3762" s="372"/>
      <c r="X3762" s="373"/>
      <c r="Y3762" s="348"/>
      <c r="Z3762" s="348"/>
      <c r="AA3762" s="348"/>
    </row>
    <row r="3763" s="331" customFormat="1" ht="17" customHeight="1" spans="1:27">
      <c r="A3763" s="348"/>
      <c r="B3763" s="348" t="s">
        <v>315</v>
      </c>
      <c r="C3763" s="334" t="s">
        <v>366</v>
      </c>
      <c r="D3763" s="349" t="s">
        <v>132</v>
      </c>
      <c r="E3763" s="336">
        <v>43696</v>
      </c>
      <c r="F3763" s="336" t="s">
        <v>800</v>
      </c>
      <c r="G3763" s="336">
        <v>43694</v>
      </c>
      <c r="H3763" s="334" t="s">
        <v>615</v>
      </c>
      <c r="I3763" s="356">
        <v>13701777725</v>
      </c>
      <c r="J3763" s="361" t="s">
        <v>9365</v>
      </c>
      <c r="K3763" s="356"/>
      <c r="L3763" s="419"/>
      <c r="M3763" s="334">
        <v>-959</v>
      </c>
      <c r="N3763" s="362">
        <f t="shared" si="129"/>
        <v>-959</v>
      </c>
      <c r="O3763" s="356"/>
      <c r="P3763" s="356"/>
      <c r="Q3763" s="356"/>
      <c r="R3763" s="356"/>
      <c r="S3763" s="356"/>
      <c r="T3763" s="356"/>
      <c r="U3763" s="372"/>
      <c r="V3763" s="372"/>
      <c r="W3763" s="372"/>
      <c r="X3763" s="373"/>
      <c r="Y3763" s="348"/>
      <c r="Z3763" s="348"/>
      <c r="AA3763" s="348"/>
    </row>
    <row r="3764" s="331" customFormat="1" ht="17" customHeight="1" spans="1:27">
      <c r="A3764" s="348"/>
      <c r="B3764" s="348" t="s">
        <v>73</v>
      </c>
      <c r="C3764" s="334" t="s">
        <v>74</v>
      </c>
      <c r="D3764" s="349" t="s">
        <v>143</v>
      </c>
      <c r="E3764" s="336">
        <v>43696</v>
      </c>
      <c r="F3764" s="336" t="s">
        <v>800</v>
      </c>
      <c r="G3764" s="336">
        <v>43696</v>
      </c>
      <c r="H3764" s="334" t="s">
        <v>9366</v>
      </c>
      <c r="I3764" s="334">
        <v>13917201722</v>
      </c>
      <c r="J3764" s="367" t="s">
        <v>9367</v>
      </c>
      <c r="K3764" s="356"/>
      <c r="L3764" s="419"/>
      <c r="M3764" s="334">
        <v>247</v>
      </c>
      <c r="N3764" s="362">
        <f t="shared" ref="N3764:N3784" si="130">L3764+M3764</f>
        <v>247</v>
      </c>
      <c r="O3764" s="356"/>
      <c r="P3764" s="356"/>
      <c r="Q3764" s="356"/>
      <c r="R3764" s="356"/>
      <c r="S3764" s="356"/>
      <c r="T3764" s="356"/>
      <c r="U3764" s="372"/>
      <c r="V3764" s="372"/>
      <c r="W3764" s="372"/>
      <c r="X3764" s="373"/>
      <c r="Y3764" s="348"/>
      <c r="Z3764" s="348"/>
      <c r="AA3764" s="348"/>
    </row>
    <row r="3765" s="331" customFormat="1" ht="17" customHeight="1" spans="1:27">
      <c r="A3765" s="348"/>
      <c r="B3765" s="348" t="s">
        <v>315</v>
      </c>
      <c r="C3765" s="334" t="s">
        <v>722</v>
      </c>
      <c r="D3765" s="349" t="s">
        <v>149</v>
      </c>
      <c r="E3765" s="336">
        <v>43696</v>
      </c>
      <c r="F3765" s="336" t="s">
        <v>800</v>
      </c>
      <c r="G3765" s="336">
        <v>43696</v>
      </c>
      <c r="H3765" s="334" t="s">
        <v>9368</v>
      </c>
      <c r="I3765" s="356">
        <v>17721214652</v>
      </c>
      <c r="J3765" s="361" t="s">
        <v>9369</v>
      </c>
      <c r="K3765" s="356"/>
      <c r="L3765" s="419"/>
      <c r="M3765" s="334">
        <f>3163</f>
        <v>3163</v>
      </c>
      <c r="N3765" s="362">
        <f t="shared" si="130"/>
        <v>3163</v>
      </c>
      <c r="O3765" s="356"/>
      <c r="P3765" s="356"/>
      <c r="Q3765" s="356"/>
      <c r="R3765" s="356"/>
      <c r="S3765" s="356"/>
      <c r="T3765" s="356"/>
      <c r="U3765" s="372"/>
      <c r="V3765" s="372"/>
      <c r="W3765" s="372"/>
      <c r="X3765" s="373"/>
      <c r="Y3765" s="348"/>
      <c r="Z3765" s="348"/>
      <c r="AA3765" s="348"/>
    </row>
    <row r="3766" s="331" customFormat="1" ht="17" customHeight="1" spans="1:27">
      <c r="A3766" s="550" t="s">
        <v>9370</v>
      </c>
      <c r="B3766" s="348" t="s">
        <v>66</v>
      </c>
      <c r="C3766" s="348" t="s">
        <v>951</v>
      </c>
      <c r="D3766" s="334" t="s">
        <v>1436</v>
      </c>
      <c r="E3766" s="336">
        <v>43769</v>
      </c>
      <c r="F3766" s="336">
        <v>43689</v>
      </c>
      <c r="G3766" s="336">
        <v>43769</v>
      </c>
      <c r="H3766" s="334" t="s">
        <v>9371</v>
      </c>
      <c r="I3766" s="356">
        <v>18616785597</v>
      </c>
      <c r="J3766" s="361" t="s">
        <v>9372</v>
      </c>
      <c r="K3766" s="356">
        <v>1000</v>
      </c>
      <c r="L3766" s="334">
        <v>8765</v>
      </c>
      <c r="M3766" s="419"/>
      <c r="N3766" s="362">
        <f t="shared" si="130"/>
        <v>8765</v>
      </c>
      <c r="O3766" s="356"/>
      <c r="P3766" s="356"/>
      <c r="Q3766" s="356"/>
      <c r="R3766" s="356"/>
      <c r="S3766" s="356"/>
      <c r="T3766" s="356"/>
      <c r="U3766" s="372"/>
      <c r="V3766" s="372"/>
      <c r="W3766" s="372"/>
      <c r="X3766" s="373"/>
      <c r="Y3766" s="348"/>
      <c r="Z3766" s="348"/>
      <c r="AA3766" s="348"/>
    </row>
    <row r="3767" s="331" customFormat="1" ht="17" customHeight="1" spans="1:27">
      <c r="A3767" s="348"/>
      <c r="B3767" s="348" t="s">
        <v>2625</v>
      </c>
      <c r="C3767" s="348" t="s">
        <v>2626</v>
      </c>
      <c r="D3767" s="334" t="s">
        <v>337</v>
      </c>
      <c r="E3767" s="336">
        <v>43718</v>
      </c>
      <c r="F3767" s="336">
        <v>43697</v>
      </c>
      <c r="G3767" s="336">
        <v>43718</v>
      </c>
      <c r="H3767" s="334" t="s">
        <v>9373</v>
      </c>
      <c r="I3767" s="356">
        <v>13651811898</v>
      </c>
      <c r="J3767" s="361" t="s">
        <v>9374</v>
      </c>
      <c r="K3767" s="356">
        <v>1000</v>
      </c>
      <c r="L3767" s="334">
        <v>11200</v>
      </c>
      <c r="M3767" s="419"/>
      <c r="N3767" s="362">
        <f t="shared" si="130"/>
        <v>11200</v>
      </c>
      <c r="O3767" s="356"/>
      <c r="P3767" s="356"/>
      <c r="Q3767" s="356" t="s">
        <v>3660</v>
      </c>
      <c r="R3767" s="356"/>
      <c r="S3767" s="356"/>
      <c r="T3767" s="356"/>
      <c r="U3767" s="372"/>
      <c r="V3767" s="372"/>
      <c r="W3767" s="372"/>
      <c r="X3767" s="373"/>
      <c r="Y3767" s="348"/>
      <c r="Z3767" s="348"/>
      <c r="AA3767" s="348"/>
    </row>
    <row r="3768" s="331" customFormat="1" ht="17" customHeight="1" spans="1:27">
      <c r="A3768" s="550" t="s">
        <v>4922</v>
      </c>
      <c r="B3768" s="348" t="s">
        <v>185</v>
      </c>
      <c r="C3768" s="348" t="s">
        <v>1204</v>
      </c>
      <c r="D3768" s="352" t="s">
        <v>44</v>
      </c>
      <c r="E3768" s="336">
        <v>43699</v>
      </c>
      <c r="F3768" s="336">
        <v>43694</v>
      </c>
      <c r="G3768" s="336">
        <v>43698</v>
      </c>
      <c r="H3768" s="334" t="s">
        <v>9375</v>
      </c>
      <c r="I3768" s="552" t="s">
        <v>9376</v>
      </c>
      <c r="J3768" s="361" t="s">
        <v>9377</v>
      </c>
      <c r="K3768" s="356">
        <v>16600</v>
      </c>
      <c r="L3768" s="334">
        <v>16600</v>
      </c>
      <c r="M3768" s="419"/>
      <c r="N3768" s="362">
        <f t="shared" si="130"/>
        <v>16600</v>
      </c>
      <c r="O3768" s="356"/>
      <c r="P3768" s="356"/>
      <c r="Q3768" s="356"/>
      <c r="R3768" s="356"/>
      <c r="S3768" s="356"/>
      <c r="T3768" s="356"/>
      <c r="U3768" s="372"/>
      <c r="V3768" s="372"/>
      <c r="W3768" s="372"/>
      <c r="X3768" s="373"/>
      <c r="Y3768" s="348"/>
      <c r="Z3768" s="348"/>
      <c r="AA3768" s="348"/>
    </row>
    <row r="3769" s="331" customFormat="1" ht="17" customHeight="1" spans="1:27">
      <c r="A3769" s="550" t="s">
        <v>9378</v>
      </c>
      <c r="B3769" s="348" t="s">
        <v>66</v>
      </c>
      <c r="C3769" s="348" t="s">
        <v>951</v>
      </c>
      <c r="D3769" s="352" t="s">
        <v>68</v>
      </c>
      <c r="E3769" s="336">
        <v>43697</v>
      </c>
      <c r="F3769" s="336">
        <v>43695</v>
      </c>
      <c r="G3769" s="350"/>
      <c r="H3769" s="334" t="s">
        <v>9379</v>
      </c>
      <c r="I3769" s="356">
        <v>13764008176</v>
      </c>
      <c r="J3769" s="361" t="s">
        <v>9380</v>
      </c>
      <c r="K3769" s="356">
        <v>1000</v>
      </c>
      <c r="L3769" s="419"/>
      <c r="M3769" s="419"/>
      <c r="N3769" s="362">
        <f t="shared" si="130"/>
        <v>0</v>
      </c>
      <c r="O3769" s="356"/>
      <c r="P3769" s="356"/>
      <c r="Q3769" s="356"/>
      <c r="R3769" s="356"/>
      <c r="S3769" s="356"/>
      <c r="T3769" s="356"/>
      <c r="U3769" s="366" t="s">
        <v>52</v>
      </c>
      <c r="V3769" s="372"/>
      <c r="W3769" s="372"/>
      <c r="X3769" s="373"/>
      <c r="Y3769" s="348"/>
      <c r="Z3769" s="348"/>
      <c r="AA3769" s="348"/>
    </row>
    <row r="3770" s="331" customFormat="1" ht="17" customHeight="1" spans="1:27">
      <c r="A3770" s="550" t="s">
        <v>9381</v>
      </c>
      <c r="B3770" s="348" t="s">
        <v>66</v>
      </c>
      <c r="C3770" s="348" t="s">
        <v>951</v>
      </c>
      <c r="D3770" s="352" t="s">
        <v>143</v>
      </c>
      <c r="E3770" s="336">
        <v>43708</v>
      </c>
      <c r="F3770" s="336">
        <v>43695</v>
      </c>
      <c r="G3770" s="336">
        <v>43708</v>
      </c>
      <c r="H3770" s="334" t="s">
        <v>9382</v>
      </c>
      <c r="I3770" s="356">
        <v>13587631396</v>
      </c>
      <c r="J3770" s="367" t="s">
        <v>9383</v>
      </c>
      <c r="K3770" s="356">
        <v>4850</v>
      </c>
      <c r="L3770" s="334">
        <v>9700</v>
      </c>
      <c r="M3770" s="419"/>
      <c r="N3770" s="362">
        <f t="shared" si="130"/>
        <v>9700</v>
      </c>
      <c r="O3770" s="356"/>
      <c r="P3770" s="356"/>
      <c r="Q3770" s="356"/>
      <c r="R3770" s="356"/>
      <c r="S3770" s="356"/>
      <c r="T3770" s="356"/>
      <c r="U3770" s="372"/>
      <c r="V3770" s="372"/>
      <c r="W3770" s="372"/>
      <c r="X3770" s="373"/>
      <c r="Y3770" s="348"/>
      <c r="Z3770" s="348"/>
      <c r="AA3770" s="348"/>
    </row>
    <row r="3771" s="331" customFormat="1" ht="17" customHeight="1" spans="1:27">
      <c r="A3771" s="348"/>
      <c r="B3771" s="348" t="s">
        <v>66</v>
      </c>
      <c r="C3771" s="348" t="s">
        <v>951</v>
      </c>
      <c r="D3771" s="352" t="s">
        <v>143</v>
      </c>
      <c r="E3771" s="336">
        <v>43708</v>
      </c>
      <c r="F3771" s="336">
        <v>43695</v>
      </c>
      <c r="G3771" s="336">
        <v>43708</v>
      </c>
      <c r="H3771" s="334" t="s">
        <v>7138</v>
      </c>
      <c r="I3771" s="356">
        <v>17621632053</v>
      </c>
      <c r="J3771" s="367" t="s">
        <v>9384</v>
      </c>
      <c r="K3771" s="356">
        <v>4835</v>
      </c>
      <c r="L3771" s="334">
        <v>5500</v>
      </c>
      <c r="M3771" s="419"/>
      <c r="N3771" s="362">
        <f t="shared" si="130"/>
        <v>5500</v>
      </c>
      <c r="O3771" s="356"/>
      <c r="P3771" s="356"/>
      <c r="Q3771" s="356"/>
      <c r="R3771" s="356"/>
      <c r="S3771" s="356"/>
      <c r="T3771" s="356"/>
      <c r="U3771" s="372"/>
      <c r="V3771" s="372"/>
      <c r="W3771" s="372"/>
      <c r="X3771" s="373"/>
      <c r="Y3771" s="348"/>
      <c r="Z3771" s="348"/>
      <c r="AA3771" s="348"/>
    </row>
    <row r="3772" s="331" customFormat="1" ht="17" customHeight="1" spans="1:27">
      <c r="A3772" s="550" t="s">
        <v>9385</v>
      </c>
      <c r="B3772" s="348" t="s">
        <v>66</v>
      </c>
      <c r="C3772" s="348" t="s">
        <v>498</v>
      </c>
      <c r="D3772" s="352" t="s">
        <v>68</v>
      </c>
      <c r="E3772" s="336">
        <v>43697</v>
      </c>
      <c r="F3772" s="336">
        <v>43694</v>
      </c>
      <c r="G3772" s="350"/>
      <c r="H3772" s="334" t="s">
        <v>9386</v>
      </c>
      <c r="I3772" s="356">
        <v>18964146313</v>
      </c>
      <c r="J3772" s="361" t="s">
        <v>9387</v>
      </c>
      <c r="K3772" s="356">
        <v>3700</v>
      </c>
      <c r="L3772" s="419"/>
      <c r="M3772" s="419"/>
      <c r="N3772" s="362">
        <f t="shared" si="130"/>
        <v>0</v>
      </c>
      <c r="O3772" s="356"/>
      <c r="P3772" s="356"/>
      <c r="Q3772" s="356"/>
      <c r="R3772" s="356"/>
      <c r="S3772" s="356"/>
      <c r="T3772" s="356"/>
      <c r="U3772" s="366" t="s">
        <v>52</v>
      </c>
      <c r="V3772" s="372"/>
      <c r="W3772" s="372"/>
      <c r="X3772" s="373"/>
      <c r="Y3772" s="348"/>
      <c r="Z3772" s="348"/>
      <c r="AA3772" s="348"/>
    </row>
    <row r="3773" s="331" customFormat="1" ht="17" customHeight="1" spans="1:27">
      <c r="A3773" s="550" t="s">
        <v>9388</v>
      </c>
      <c r="B3773" s="348" t="s">
        <v>66</v>
      </c>
      <c r="C3773" s="348" t="s">
        <v>1749</v>
      </c>
      <c r="D3773" s="352" t="s">
        <v>89</v>
      </c>
      <c r="E3773" s="336">
        <v>43766</v>
      </c>
      <c r="F3773" s="336">
        <v>43697</v>
      </c>
      <c r="G3773" s="336">
        <v>43765</v>
      </c>
      <c r="H3773" s="334" t="s">
        <v>9389</v>
      </c>
      <c r="I3773" s="356">
        <v>18801862179</v>
      </c>
      <c r="J3773" s="361" t="s">
        <v>9390</v>
      </c>
      <c r="K3773" s="356">
        <v>5500</v>
      </c>
      <c r="L3773" s="334">
        <v>7539</v>
      </c>
      <c r="M3773" s="419"/>
      <c r="N3773" s="362">
        <f t="shared" si="130"/>
        <v>7539</v>
      </c>
      <c r="O3773" s="356"/>
      <c r="P3773" s="366" t="s">
        <v>52</v>
      </c>
      <c r="Q3773" s="356"/>
      <c r="R3773" s="356"/>
      <c r="S3773" s="356"/>
      <c r="T3773" s="356"/>
      <c r="U3773" s="372"/>
      <c r="V3773" s="372"/>
      <c r="W3773" s="372"/>
      <c r="X3773" s="373"/>
      <c r="Y3773" s="348"/>
      <c r="Z3773" s="348"/>
      <c r="AA3773" s="348"/>
    </row>
    <row r="3774" s="331" customFormat="1" ht="17" customHeight="1" spans="1:27">
      <c r="A3774" s="550" t="s">
        <v>9391</v>
      </c>
      <c r="B3774" s="348" t="s">
        <v>66</v>
      </c>
      <c r="C3774" s="348" t="s">
        <v>1749</v>
      </c>
      <c r="D3774" s="352" t="s">
        <v>68</v>
      </c>
      <c r="E3774" s="336">
        <v>43697</v>
      </c>
      <c r="F3774" s="336">
        <v>43695</v>
      </c>
      <c r="G3774" s="350"/>
      <c r="H3774" s="334" t="s">
        <v>9392</v>
      </c>
      <c r="I3774" s="356">
        <v>18262271698</v>
      </c>
      <c r="J3774" s="361" t="s">
        <v>9393</v>
      </c>
      <c r="K3774" s="356">
        <v>3000</v>
      </c>
      <c r="L3774" s="419"/>
      <c r="M3774" s="419"/>
      <c r="N3774" s="362">
        <f t="shared" si="130"/>
        <v>0</v>
      </c>
      <c r="O3774" s="356"/>
      <c r="P3774" s="356"/>
      <c r="Q3774" s="366" t="s">
        <v>52</v>
      </c>
      <c r="R3774" s="356"/>
      <c r="S3774" s="356"/>
      <c r="T3774" s="356"/>
      <c r="U3774" s="362" t="s">
        <v>40</v>
      </c>
      <c r="V3774" s="372"/>
      <c r="W3774" s="372"/>
      <c r="X3774" s="373"/>
      <c r="Y3774" s="348"/>
      <c r="Z3774" s="348"/>
      <c r="AA3774" s="348"/>
    </row>
    <row r="3775" s="331" customFormat="1" ht="17" customHeight="1" spans="1:27">
      <c r="A3775" s="348"/>
      <c r="B3775" s="348" t="s">
        <v>66</v>
      </c>
      <c r="C3775" s="348" t="s">
        <v>3954</v>
      </c>
      <c r="D3775" s="352" t="s">
        <v>68</v>
      </c>
      <c r="E3775" s="336">
        <v>43700</v>
      </c>
      <c r="F3775" s="336">
        <v>43694</v>
      </c>
      <c r="G3775" s="336">
        <v>43699</v>
      </c>
      <c r="H3775" s="334" t="s">
        <v>9394</v>
      </c>
      <c r="I3775" s="356">
        <v>13918789593</v>
      </c>
      <c r="J3775" s="361" t="s">
        <v>9395</v>
      </c>
      <c r="K3775" s="356">
        <v>12000</v>
      </c>
      <c r="L3775" s="334">
        <v>12037</v>
      </c>
      <c r="M3775" s="419"/>
      <c r="N3775" s="362">
        <f t="shared" si="130"/>
        <v>12037</v>
      </c>
      <c r="O3775" s="356"/>
      <c r="P3775" s="356"/>
      <c r="Q3775" s="356"/>
      <c r="R3775" s="356"/>
      <c r="S3775" s="356"/>
      <c r="T3775" s="356"/>
      <c r="U3775" s="372"/>
      <c r="V3775" s="372"/>
      <c r="W3775" s="372"/>
      <c r="X3775" s="373"/>
      <c r="Y3775" s="348"/>
      <c r="Z3775" s="348"/>
      <c r="AA3775" s="348"/>
    </row>
    <row r="3776" s="331" customFormat="1" ht="17" customHeight="1" spans="1:27">
      <c r="A3776" s="348"/>
      <c r="B3776" s="348" t="s">
        <v>66</v>
      </c>
      <c r="C3776" s="348" t="s">
        <v>951</v>
      </c>
      <c r="D3776" s="334" t="s">
        <v>89</v>
      </c>
      <c r="E3776" s="336">
        <v>43830</v>
      </c>
      <c r="F3776" s="336">
        <v>43695</v>
      </c>
      <c r="G3776" s="336">
        <v>43830</v>
      </c>
      <c r="H3776" s="334" t="s">
        <v>9396</v>
      </c>
      <c r="I3776" s="356">
        <v>13127789015</v>
      </c>
      <c r="J3776" s="361" t="s">
        <v>9397</v>
      </c>
      <c r="K3776" s="356">
        <v>3000</v>
      </c>
      <c r="L3776" s="334">
        <v>3774</v>
      </c>
      <c r="M3776" s="419"/>
      <c r="N3776" s="362">
        <f t="shared" si="130"/>
        <v>3774</v>
      </c>
      <c r="O3776" s="356"/>
      <c r="P3776" s="356"/>
      <c r="Q3776" s="356"/>
      <c r="R3776" s="356"/>
      <c r="S3776" s="356"/>
      <c r="T3776" s="356"/>
      <c r="U3776" s="372"/>
      <c r="V3776" s="372"/>
      <c r="W3776" s="372"/>
      <c r="X3776" s="373"/>
      <c r="Y3776" s="348"/>
      <c r="Z3776" s="348"/>
      <c r="AA3776" s="348"/>
    </row>
    <row r="3777" s="331" customFormat="1" ht="17" customHeight="1" spans="1:27">
      <c r="A3777" s="550" t="s">
        <v>9398</v>
      </c>
      <c r="B3777" s="348" t="s">
        <v>66</v>
      </c>
      <c r="C3777" s="348" t="s">
        <v>3954</v>
      </c>
      <c r="D3777" s="352" t="s">
        <v>68</v>
      </c>
      <c r="E3777" s="336">
        <v>43702</v>
      </c>
      <c r="F3777" s="336">
        <v>43695</v>
      </c>
      <c r="G3777" s="336">
        <v>43702</v>
      </c>
      <c r="H3777" s="334" t="s">
        <v>9399</v>
      </c>
      <c r="I3777" s="356">
        <v>17601288231</v>
      </c>
      <c r="J3777" s="361" t="s">
        <v>9400</v>
      </c>
      <c r="K3777" s="356">
        <v>12640</v>
      </c>
      <c r="L3777" s="334">
        <f>12370-1140</f>
        <v>11230</v>
      </c>
      <c r="M3777" s="334">
        <v>1140</v>
      </c>
      <c r="N3777" s="362">
        <f t="shared" si="130"/>
        <v>12370</v>
      </c>
      <c r="O3777" s="356"/>
      <c r="P3777" s="356"/>
      <c r="Q3777" s="356"/>
      <c r="R3777" s="356"/>
      <c r="S3777" s="356"/>
      <c r="T3777" s="356"/>
      <c r="U3777" s="372"/>
      <c r="V3777" s="372"/>
      <c r="W3777" s="372"/>
      <c r="X3777" s="373"/>
      <c r="Y3777" s="348"/>
      <c r="Z3777" s="348"/>
      <c r="AA3777" s="348"/>
    </row>
    <row r="3778" s="331" customFormat="1" ht="17" customHeight="1" spans="1:27">
      <c r="A3778" s="348"/>
      <c r="B3778" s="348" t="s">
        <v>66</v>
      </c>
      <c r="C3778" s="348" t="s">
        <v>1749</v>
      </c>
      <c r="D3778" s="352" t="s">
        <v>68</v>
      </c>
      <c r="E3778" s="336">
        <v>43697</v>
      </c>
      <c r="F3778" s="336">
        <v>43694</v>
      </c>
      <c r="G3778" s="350"/>
      <c r="H3778" s="334" t="s">
        <v>9401</v>
      </c>
      <c r="I3778" s="356">
        <v>15002181547</v>
      </c>
      <c r="J3778" s="361" t="s">
        <v>9402</v>
      </c>
      <c r="K3778" s="356">
        <v>3541</v>
      </c>
      <c r="L3778" s="419"/>
      <c r="M3778" s="419"/>
      <c r="N3778" s="362">
        <f t="shared" si="130"/>
        <v>0</v>
      </c>
      <c r="O3778" s="356"/>
      <c r="P3778" s="366" t="s">
        <v>52</v>
      </c>
      <c r="Q3778" s="356"/>
      <c r="R3778" s="356"/>
      <c r="S3778" s="356"/>
      <c r="T3778" s="356"/>
      <c r="U3778" s="372" t="s">
        <v>12</v>
      </c>
      <c r="V3778" s="372"/>
      <c r="W3778" s="372"/>
      <c r="X3778" s="373"/>
      <c r="Y3778" s="348"/>
      <c r="Z3778" s="348"/>
      <c r="AA3778" s="348"/>
    </row>
    <row r="3779" s="331" customFormat="1" ht="17" customHeight="1" spans="1:27">
      <c r="A3779" s="348"/>
      <c r="B3779" s="348" t="s">
        <v>66</v>
      </c>
      <c r="C3779" s="348" t="s">
        <v>951</v>
      </c>
      <c r="D3779" s="352" t="s">
        <v>68</v>
      </c>
      <c r="E3779" s="336">
        <v>43697</v>
      </c>
      <c r="F3779" s="336">
        <v>43697</v>
      </c>
      <c r="G3779" s="350"/>
      <c r="H3779" s="334" t="s">
        <v>9403</v>
      </c>
      <c r="I3779" s="356">
        <v>18818200476</v>
      </c>
      <c r="J3779" s="361" t="s">
        <v>9404</v>
      </c>
      <c r="K3779" s="356">
        <v>1000</v>
      </c>
      <c r="L3779" s="419"/>
      <c r="M3779" s="419"/>
      <c r="N3779" s="362">
        <f t="shared" si="130"/>
        <v>0</v>
      </c>
      <c r="O3779" s="356"/>
      <c r="P3779" s="356"/>
      <c r="Q3779" s="356"/>
      <c r="R3779" s="356"/>
      <c r="S3779" s="356"/>
      <c r="T3779" s="356"/>
      <c r="U3779" s="372" t="s">
        <v>12</v>
      </c>
      <c r="V3779" s="372"/>
      <c r="W3779" s="372"/>
      <c r="X3779" s="373"/>
      <c r="Y3779" s="348"/>
      <c r="Z3779" s="348"/>
      <c r="AA3779" s="348"/>
    </row>
    <row r="3780" s="331" customFormat="1" ht="17" customHeight="1" spans="1:27">
      <c r="A3780" s="550" t="s">
        <v>9405</v>
      </c>
      <c r="B3780" s="348" t="s">
        <v>66</v>
      </c>
      <c r="C3780" s="348" t="s">
        <v>951</v>
      </c>
      <c r="D3780" s="349" t="s">
        <v>1436</v>
      </c>
      <c r="E3780" s="336">
        <v>43697</v>
      </c>
      <c r="F3780" s="336">
        <v>43697</v>
      </c>
      <c r="G3780" s="350">
        <v>43697</v>
      </c>
      <c r="H3780" s="334" t="s">
        <v>9406</v>
      </c>
      <c r="I3780" s="356">
        <v>17701727961</v>
      </c>
      <c r="J3780" s="361" t="s">
        <v>9407</v>
      </c>
      <c r="K3780" s="356">
        <v>5000</v>
      </c>
      <c r="L3780" s="334">
        <f>4217-756</f>
        <v>3461</v>
      </c>
      <c r="M3780" s="334">
        <v>756</v>
      </c>
      <c r="N3780" s="362">
        <f t="shared" si="130"/>
        <v>4217</v>
      </c>
      <c r="O3780" s="356"/>
      <c r="P3780" s="356"/>
      <c r="Q3780" s="356"/>
      <c r="R3780" s="356"/>
      <c r="S3780" s="356"/>
      <c r="T3780" s="356"/>
      <c r="U3780" s="372"/>
      <c r="V3780" s="372"/>
      <c r="W3780" s="372"/>
      <c r="X3780" s="373"/>
      <c r="Y3780" s="348"/>
      <c r="Z3780" s="348"/>
      <c r="AA3780" s="348"/>
    </row>
    <row r="3781" s="331" customFormat="1" ht="17" customHeight="1" spans="1:27">
      <c r="A3781" s="550" t="s">
        <v>9408</v>
      </c>
      <c r="B3781" s="348" t="s">
        <v>185</v>
      </c>
      <c r="C3781" s="348" t="s">
        <v>186</v>
      </c>
      <c r="D3781" s="334" t="s">
        <v>44</v>
      </c>
      <c r="E3781" s="336">
        <v>43704</v>
      </c>
      <c r="F3781" s="336">
        <v>43697</v>
      </c>
      <c r="G3781" s="336">
        <v>43700</v>
      </c>
      <c r="H3781" s="334" t="s">
        <v>9409</v>
      </c>
      <c r="I3781" s="356">
        <v>13855325277</v>
      </c>
      <c r="J3781" s="361" t="s">
        <v>9410</v>
      </c>
      <c r="K3781" s="356">
        <v>1000</v>
      </c>
      <c r="L3781" s="334">
        <f>4858-736</f>
        <v>4122</v>
      </c>
      <c r="M3781" s="334">
        <v>736</v>
      </c>
      <c r="N3781" s="362">
        <f t="shared" si="130"/>
        <v>4858</v>
      </c>
      <c r="O3781" s="356"/>
      <c r="P3781" s="356"/>
      <c r="Q3781" s="356"/>
      <c r="R3781" s="356"/>
      <c r="S3781" s="356"/>
      <c r="T3781" s="356"/>
      <c r="U3781" s="372"/>
      <c r="V3781" s="372"/>
      <c r="W3781" s="372"/>
      <c r="X3781" s="373"/>
      <c r="Y3781" s="348"/>
      <c r="Z3781" s="348"/>
      <c r="AA3781" s="348"/>
    </row>
    <row r="3782" s="331" customFormat="1" ht="17" customHeight="1" spans="1:27">
      <c r="A3782" s="348"/>
      <c r="B3782" s="348" t="s">
        <v>153</v>
      </c>
      <c r="C3782" s="348" t="s">
        <v>302</v>
      </c>
      <c r="D3782" s="352" t="s">
        <v>155</v>
      </c>
      <c r="E3782" s="336">
        <v>43697</v>
      </c>
      <c r="F3782" s="336">
        <v>43697</v>
      </c>
      <c r="G3782" s="350"/>
      <c r="H3782" s="334" t="s">
        <v>3457</v>
      </c>
      <c r="I3782" s="356">
        <v>13636514182</v>
      </c>
      <c r="J3782" s="361" t="s">
        <v>9411</v>
      </c>
      <c r="K3782" s="356">
        <v>3598</v>
      </c>
      <c r="L3782" s="419"/>
      <c r="M3782" s="419"/>
      <c r="N3782" s="362">
        <f t="shared" si="130"/>
        <v>0</v>
      </c>
      <c r="O3782" s="356"/>
      <c r="P3782" s="356"/>
      <c r="Q3782" s="356"/>
      <c r="R3782" s="356"/>
      <c r="S3782" s="356"/>
      <c r="T3782" s="356"/>
      <c r="U3782" s="372" t="s">
        <v>63</v>
      </c>
      <c r="V3782" s="372"/>
      <c r="W3782" s="372"/>
      <c r="X3782" s="373"/>
      <c r="Y3782" s="348"/>
      <c r="Z3782" s="348"/>
      <c r="AA3782" s="348"/>
    </row>
    <row r="3783" s="331" customFormat="1" ht="17" customHeight="1" spans="1:27">
      <c r="A3783" s="550" t="s">
        <v>9412</v>
      </c>
      <c r="B3783" s="348" t="s">
        <v>281</v>
      </c>
      <c r="C3783" s="348" t="s">
        <v>587</v>
      </c>
      <c r="D3783" s="334" t="s">
        <v>518</v>
      </c>
      <c r="E3783" s="336">
        <v>43780</v>
      </c>
      <c r="F3783" s="336">
        <v>43694</v>
      </c>
      <c r="G3783" s="336">
        <v>43778</v>
      </c>
      <c r="H3783" s="334" t="s">
        <v>9413</v>
      </c>
      <c r="I3783" s="356">
        <v>13661563413</v>
      </c>
      <c r="J3783" s="361" t="s">
        <v>9414</v>
      </c>
      <c r="K3783" s="356">
        <v>1000</v>
      </c>
      <c r="L3783" s="334">
        <v>8300</v>
      </c>
      <c r="M3783" s="419"/>
      <c r="N3783" s="362">
        <f t="shared" si="130"/>
        <v>8300</v>
      </c>
      <c r="O3783" s="356"/>
      <c r="P3783" s="356"/>
      <c r="Q3783" s="356"/>
      <c r="R3783" s="356"/>
      <c r="S3783" s="356"/>
      <c r="T3783" s="356"/>
      <c r="U3783" s="372"/>
      <c r="V3783" s="372"/>
      <c r="W3783" s="372"/>
      <c r="X3783" s="373"/>
      <c r="Y3783" s="348"/>
      <c r="Z3783" s="348"/>
      <c r="AA3783" s="348"/>
    </row>
    <row r="3784" s="331" customFormat="1" ht="17" customHeight="1" spans="1:27">
      <c r="A3784" s="550" t="s">
        <v>9415</v>
      </c>
      <c r="B3784" s="348" t="s">
        <v>281</v>
      </c>
      <c r="C3784" s="334" t="s">
        <v>517</v>
      </c>
      <c r="D3784" s="334" t="s">
        <v>518</v>
      </c>
      <c r="E3784" s="336">
        <v>43738</v>
      </c>
      <c r="F3784" s="336">
        <v>43697</v>
      </c>
      <c r="G3784" s="336">
        <v>43738</v>
      </c>
      <c r="H3784" s="334" t="s">
        <v>9416</v>
      </c>
      <c r="I3784" s="356">
        <v>13816581568</v>
      </c>
      <c r="J3784" s="361" t="s">
        <v>9417</v>
      </c>
      <c r="K3784" s="356">
        <v>30343</v>
      </c>
      <c r="L3784" s="334">
        <v>50500</v>
      </c>
      <c r="M3784" s="419"/>
      <c r="N3784" s="362">
        <f t="shared" si="130"/>
        <v>50500</v>
      </c>
      <c r="O3784" s="356"/>
      <c r="P3784" s="356"/>
      <c r="Q3784" s="356"/>
      <c r="R3784" s="356"/>
      <c r="S3784" s="356"/>
      <c r="T3784" s="356"/>
      <c r="U3784" s="372"/>
      <c r="V3784" s="372"/>
      <c r="W3784" s="372"/>
      <c r="X3784" s="373"/>
      <c r="Y3784" s="348"/>
      <c r="Z3784" s="348"/>
      <c r="AA3784" s="348"/>
    </row>
    <row r="3785" s="331" customFormat="1" ht="17" customHeight="1" spans="1:27">
      <c r="A3785" s="550" t="s">
        <v>9418</v>
      </c>
      <c r="B3785" s="348" t="s">
        <v>315</v>
      </c>
      <c r="C3785" s="348" t="s">
        <v>230</v>
      </c>
      <c r="D3785" s="352" t="s">
        <v>182</v>
      </c>
      <c r="E3785" s="336">
        <v>43765</v>
      </c>
      <c r="F3785" s="336">
        <v>43697</v>
      </c>
      <c r="G3785" s="336">
        <v>43765</v>
      </c>
      <c r="H3785" s="334" t="s">
        <v>9419</v>
      </c>
      <c r="I3785" s="356">
        <v>13918265542</v>
      </c>
      <c r="J3785" s="348" t="s">
        <v>9420</v>
      </c>
      <c r="K3785" s="356">
        <v>1000</v>
      </c>
      <c r="L3785" s="334">
        <v>10805</v>
      </c>
      <c r="M3785" s="419"/>
      <c r="N3785" s="362">
        <f t="shared" ref="N3785:N3805" si="131">L3785+M3785</f>
        <v>10805</v>
      </c>
      <c r="O3785" s="356"/>
      <c r="P3785" s="356"/>
      <c r="Q3785" s="356">
        <v>1</v>
      </c>
      <c r="R3785" s="356"/>
      <c r="S3785" s="356"/>
      <c r="T3785" s="356"/>
      <c r="U3785" s="372"/>
      <c r="V3785" s="372"/>
      <c r="W3785" s="372"/>
      <c r="X3785" s="373"/>
      <c r="Y3785" s="348"/>
      <c r="Z3785" s="348"/>
      <c r="AA3785" s="348"/>
    </row>
    <row r="3786" s="331" customFormat="1" ht="17" customHeight="1" spans="1:27">
      <c r="A3786" s="550" t="s">
        <v>9421</v>
      </c>
      <c r="B3786" s="348" t="s">
        <v>315</v>
      </c>
      <c r="C3786" s="348" t="s">
        <v>230</v>
      </c>
      <c r="D3786" s="352" t="s">
        <v>182</v>
      </c>
      <c r="E3786" s="336">
        <v>43737</v>
      </c>
      <c r="F3786" s="336">
        <v>43697</v>
      </c>
      <c r="G3786" s="336">
        <v>43737</v>
      </c>
      <c r="H3786" s="334" t="s">
        <v>9422</v>
      </c>
      <c r="I3786" s="356">
        <v>18001712725</v>
      </c>
      <c r="J3786" s="361" t="s">
        <v>9423</v>
      </c>
      <c r="K3786" s="356">
        <v>1000</v>
      </c>
      <c r="L3786" s="334">
        <f>14042-1472</f>
        <v>12570</v>
      </c>
      <c r="M3786" s="334">
        <v>1472</v>
      </c>
      <c r="N3786" s="362">
        <f t="shared" si="131"/>
        <v>14042</v>
      </c>
      <c r="O3786" s="356">
        <v>1</v>
      </c>
      <c r="P3786" s="356"/>
      <c r="Q3786" s="356"/>
      <c r="R3786" s="356"/>
      <c r="S3786" s="356"/>
      <c r="T3786" s="356"/>
      <c r="U3786" s="372"/>
      <c r="V3786" s="372"/>
      <c r="W3786" s="372"/>
      <c r="X3786" s="373"/>
      <c r="Y3786" s="348"/>
      <c r="Z3786" s="348"/>
      <c r="AA3786" s="348"/>
    </row>
    <row r="3787" s="331" customFormat="1" ht="17" customHeight="1" spans="1:27">
      <c r="A3787" s="550" t="s">
        <v>9424</v>
      </c>
      <c r="B3787" s="348" t="s">
        <v>315</v>
      </c>
      <c r="C3787" s="348" t="s">
        <v>366</v>
      </c>
      <c r="D3787" s="352" t="s">
        <v>132</v>
      </c>
      <c r="E3787" s="336">
        <v>43697</v>
      </c>
      <c r="F3787" s="336">
        <v>43697</v>
      </c>
      <c r="G3787" s="350"/>
      <c r="H3787" s="334" t="s">
        <v>9425</v>
      </c>
      <c r="I3787" s="356">
        <v>13917557328</v>
      </c>
      <c r="J3787" s="361" t="s">
        <v>9426</v>
      </c>
      <c r="K3787" s="356">
        <v>1000</v>
      </c>
      <c r="L3787" s="419"/>
      <c r="M3787" s="419"/>
      <c r="N3787" s="362">
        <f t="shared" si="131"/>
        <v>0</v>
      </c>
      <c r="O3787" s="356">
        <v>1</v>
      </c>
      <c r="P3787" s="356"/>
      <c r="Q3787" s="356"/>
      <c r="R3787" s="356"/>
      <c r="S3787" s="356"/>
      <c r="T3787" s="356"/>
      <c r="U3787" s="372"/>
      <c r="V3787" s="372"/>
      <c r="W3787" s="372"/>
      <c r="X3787" s="373"/>
      <c r="Y3787" s="348"/>
      <c r="Z3787" s="348"/>
      <c r="AA3787" s="348"/>
    </row>
    <row r="3788" s="331" customFormat="1" ht="17" customHeight="1" spans="1:27">
      <c r="A3788" s="348"/>
      <c r="B3788" s="348" t="s">
        <v>315</v>
      </c>
      <c r="C3788" s="348" t="s">
        <v>366</v>
      </c>
      <c r="D3788" s="352" t="s">
        <v>132</v>
      </c>
      <c r="E3788" s="336">
        <v>43697</v>
      </c>
      <c r="F3788" s="336">
        <v>43697</v>
      </c>
      <c r="G3788" s="350"/>
      <c r="H3788" s="334" t="s">
        <v>9427</v>
      </c>
      <c r="I3788" s="356">
        <v>13916042615</v>
      </c>
      <c r="J3788" s="361" t="s">
        <v>9428</v>
      </c>
      <c r="K3788" s="356">
        <v>1000</v>
      </c>
      <c r="L3788" s="419"/>
      <c r="M3788" s="419"/>
      <c r="N3788" s="362">
        <f t="shared" si="131"/>
        <v>0</v>
      </c>
      <c r="O3788" s="356">
        <v>1</v>
      </c>
      <c r="P3788" s="356"/>
      <c r="Q3788" s="356"/>
      <c r="R3788" s="356"/>
      <c r="S3788" s="356"/>
      <c r="T3788" s="356"/>
      <c r="U3788" s="372"/>
      <c r="V3788" s="372"/>
      <c r="W3788" s="372"/>
      <c r="X3788" s="373"/>
      <c r="Y3788" s="348"/>
      <c r="Z3788" s="348"/>
      <c r="AA3788" s="348"/>
    </row>
    <row r="3789" s="331" customFormat="1" ht="17" customHeight="1" spans="1:27">
      <c r="A3789" s="348"/>
      <c r="B3789" s="348" t="s">
        <v>58</v>
      </c>
      <c r="C3789" s="334" t="s">
        <v>109</v>
      </c>
      <c r="D3789" s="349" t="s">
        <v>110</v>
      </c>
      <c r="E3789" s="336">
        <v>43697</v>
      </c>
      <c r="F3789" s="336"/>
      <c r="G3789" s="336">
        <v>43692</v>
      </c>
      <c r="H3789" s="334" t="s">
        <v>9429</v>
      </c>
      <c r="I3789" s="356">
        <v>13585888561</v>
      </c>
      <c r="J3789" s="361" t="s">
        <v>9430</v>
      </c>
      <c r="K3789" s="356"/>
      <c r="L3789" s="334">
        <v>37000</v>
      </c>
      <c r="M3789" s="419"/>
      <c r="N3789" s="362">
        <f t="shared" si="131"/>
        <v>37000</v>
      </c>
      <c r="O3789" s="356"/>
      <c r="P3789" s="356"/>
      <c r="Q3789" s="356"/>
      <c r="R3789" s="356"/>
      <c r="S3789" s="356"/>
      <c r="T3789" s="356"/>
      <c r="U3789" s="372"/>
      <c r="V3789" s="372"/>
      <c r="W3789" s="372"/>
      <c r="X3789" s="373"/>
      <c r="Y3789" s="348"/>
      <c r="Z3789" s="348"/>
      <c r="AA3789" s="348"/>
    </row>
    <row r="3790" s="331" customFormat="1" ht="17" customHeight="1" spans="1:27">
      <c r="A3790" s="348"/>
      <c r="B3790" s="348" t="s">
        <v>281</v>
      </c>
      <c r="C3790" s="334" t="s">
        <v>517</v>
      </c>
      <c r="D3790" s="349" t="s">
        <v>518</v>
      </c>
      <c r="E3790" s="336">
        <v>43697</v>
      </c>
      <c r="F3790" s="336"/>
      <c r="G3790" s="336">
        <v>43697</v>
      </c>
      <c r="H3790" s="334" t="s">
        <v>9431</v>
      </c>
      <c r="I3790" s="356">
        <v>15618519767</v>
      </c>
      <c r="J3790" s="361" t="s">
        <v>9432</v>
      </c>
      <c r="K3790" s="356"/>
      <c r="L3790" s="334">
        <v>18000</v>
      </c>
      <c r="M3790" s="419"/>
      <c r="N3790" s="362">
        <f t="shared" si="131"/>
        <v>18000</v>
      </c>
      <c r="O3790" s="356"/>
      <c r="P3790" s="356"/>
      <c r="Q3790" s="356"/>
      <c r="R3790" s="356"/>
      <c r="S3790" s="356"/>
      <c r="T3790" s="356"/>
      <c r="U3790" s="372"/>
      <c r="V3790" s="372"/>
      <c r="W3790" s="372"/>
      <c r="X3790" s="373"/>
      <c r="Y3790" s="348"/>
      <c r="Z3790" s="348"/>
      <c r="AA3790" s="348"/>
    </row>
    <row r="3791" s="331" customFormat="1" ht="17" customHeight="1" spans="1:27">
      <c r="A3791" s="348"/>
      <c r="B3791" s="348" t="s">
        <v>31</v>
      </c>
      <c r="C3791" s="334" t="s">
        <v>9433</v>
      </c>
      <c r="D3791" s="349" t="s">
        <v>221</v>
      </c>
      <c r="E3791" s="336">
        <v>43697</v>
      </c>
      <c r="F3791" s="336" t="s">
        <v>800</v>
      </c>
      <c r="G3791" s="336">
        <v>43696</v>
      </c>
      <c r="H3791" s="334" t="s">
        <v>3435</v>
      </c>
      <c r="I3791" s="356">
        <v>13817665575</v>
      </c>
      <c r="J3791" s="361" t="s">
        <v>9434</v>
      </c>
      <c r="K3791" s="356"/>
      <c r="L3791" s="419"/>
      <c r="M3791" s="334">
        <v>-14400</v>
      </c>
      <c r="N3791" s="362">
        <f t="shared" si="131"/>
        <v>-14400</v>
      </c>
      <c r="O3791" s="356"/>
      <c r="P3791" s="356"/>
      <c r="Q3791" s="356"/>
      <c r="R3791" s="356"/>
      <c r="S3791" s="356"/>
      <c r="T3791" s="356"/>
      <c r="U3791" s="372"/>
      <c r="V3791" s="372"/>
      <c r="W3791" s="372"/>
      <c r="X3791" s="373"/>
      <c r="Y3791" s="348"/>
      <c r="Z3791" s="348"/>
      <c r="AA3791" s="348"/>
    </row>
    <row r="3792" s="331" customFormat="1" ht="17" customHeight="1" spans="1:27">
      <c r="A3792" s="348"/>
      <c r="B3792" s="348" t="s">
        <v>31</v>
      </c>
      <c r="C3792" s="334" t="s">
        <v>2716</v>
      </c>
      <c r="D3792" s="352" t="s">
        <v>33</v>
      </c>
      <c r="E3792" s="336">
        <v>43697</v>
      </c>
      <c r="F3792" s="336" t="s">
        <v>800</v>
      </c>
      <c r="G3792" s="336">
        <v>43694</v>
      </c>
      <c r="H3792" s="334" t="s">
        <v>1208</v>
      </c>
      <c r="I3792" s="356">
        <v>13917665476</v>
      </c>
      <c r="J3792" s="361" t="s">
        <v>9435</v>
      </c>
      <c r="K3792" s="356"/>
      <c r="L3792" s="419"/>
      <c r="M3792" s="334">
        <f>-5378</f>
        <v>-5378</v>
      </c>
      <c r="N3792" s="362">
        <f t="shared" si="131"/>
        <v>-5378</v>
      </c>
      <c r="O3792" s="356"/>
      <c r="P3792" s="356"/>
      <c r="Q3792" s="356"/>
      <c r="R3792" s="356"/>
      <c r="S3792" s="356"/>
      <c r="T3792" s="356"/>
      <c r="U3792" s="372"/>
      <c r="V3792" s="372"/>
      <c r="W3792" s="372"/>
      <c r="X3792" s="373"/>
      <c r="Y3792" s="348"/>
      <c r="Z3792" s="348"/>
      <c r="AA3792" s="348"/>
    </row>
    <row r="3793" s="331" customFormat="1" ht="17" customHeight="1" spans="1:27">
      <c r="A3793" s="348"/>
      <c r="B3793" s="348" t="s">
        <v>137</v>
      </c>
      <c r="C3793" s="334" t="s">
        <v>480</v>
      </c>
      <c r="D3793" s="349" t="s">
        <v>139</v>
      </c>
      <c r="E3793" s="336">
        <v>43697</v>
      </c>
      <c r="F3793" s="336" t="s">
        <v>800</v>
      </c>
      <c r="G3793" s="336">
        <v>43696</v>
      </c>
      <c r="H3793" s="334" t="s">
        <v>6818</v>
      </c>
      <c r="I3793" s="334">
        <v>13524655107</v>
      </c>
      <c r="J3793" s="367" t="s">
        <v>6819</v>
      </c>
      <c r="K3793" s="356"/>
      <c r="L3793" s="419"/>
      <c r="M3793" s="334">
        <v>1010</v>
      </c>
      <c r="N3793" s="362">
        <f t="shared" si="131"/>
        <v>1010</v>
      </c>
      <c r="O3793" s="356"/>
      <c r="P3793" s="356"/>
      <c r="Q3793" s="356"/>
      <c r="R3793" s="356"/>
      <c r="S3793" s="356"/>
      <c r="T3793" s="356"/>
      <c r="U3793" s="372"/>
      <c r="V3793" s="372"/>
      <c r="W3793" s="372"/>
      <c r="X3793" s="373"/>
      <c r="Y3793" s="348"/>
      <c r="Z3793" s="348"/>
      <c r="AA3793" s="348"/>
    </row>
    <row r="3794" s="331" customFormat="1" ht="17" customHeight="1" spans="1:27">
      <c r="A3794" s="348"/>
      <c r="B3794" s="334" t="s">
        <v>73</v>
      </c>
      <c r="C3794" s="334" t="s">
        <v>74</v>
      </c>
      <c r="D3794" s="349" t="s">
        <v>717</v>
      </c>
      <c r="E3794" s="336">
        <v>43697</v>
      </c>
      <c r="F3794" s="336" t="s">
        <v>800</v>
      </c>
      <c r="G3794" s="336">
        <v>43697</v>
      </c>
      <c r="H3794" s="334" t="s">
        <v>9436</v>
      </c>
      <c r="I3794" s="334">
        <v>13812756336</v>
      </c>
      <c r="J3794" s="361" t="s">
        <v>9437</v>
      </c>
      <c r="K3794" s="356"/>
      <c r="L3794" s="419"/>
      <c r="M3794" s="334">
        <v>-615</v>
      </c>
      <c r="N3794" s="362">
        <f t="shared" si="131"/>
        <v>-615</v>
      </c>
      <c r="O3794" s="356"/>
      <c r="P3794" s="356"/>
      <c r="Q3794" s="356"/>
      <c r="R3794" s="356"/>
      <c r="S3794" s="356"/>
      <c r="T3794" s="356"/>
      <c r="U3794" s="372"/>
      <c r="V3794" s="372"/>
      <c r="W3794" s="372"/>
      <c r="X3794" s="373"/>
      <c r="Y3794" s="348"/>
      <c r="Z3794" s="348"/>
      <c r="AA3794" s="348"/>
    </row>
    <row r="3795" s="331" customFormat="1" ht="17" customHeight="1" spans="1:27">
      <c r="A3795" s="348"/>
      <c r="B3795" s="348" t="s">
        <v>94</v>
      </c>
      <c r="C3795" s="348" t="s">
        <v>101</v>
      </c>
      <c r="D3795" s="352" t="s">
        <v>49</v>
      </c>
      <c r="E3795" s="336">
        <v>43697</v>
      </c>
      <c r="F3795" s="336" t="s">
        <v>800</v>
      </c>
      <c r="G3795" s="336">
        <v>43697</v>
      </c>
      <c r="H3795" s="334" t="s">
        <v>4130</v>
      </c>
      <c r="I3795" s="334">
        <v>18917872481</v>
      </c>
      <c r="J3795" s="367" t="s">
        <v>4131</v>
      </c>
      <c r="K3795" s="356"/>
      <c r="L3795" s="419"/>
      <c r="M3795" s="334">
        <v>1300</v>
      </c>
      <c r="N3795" s="362">
        <f t="shared" si="131"/>
        <v>1300</v>
      </c>
      <c r="O3795" s="356"/>
      <c r="P3795" s="356"/>
      <c r="Q3795" s="356"/>
      <c r="R3795" s="356"/>
      <c r="S3795" s="356"/>
      <c r="T3795" s="356"/>
      <c r="U3795" s="372"/>
      <c r="V3795" s="372"/>
      <c r="W3795" s="372"/>
      <c r="X3795" s="373"/>
      <c r="Y3795" s="348"/>
      <c r="Z3795" s="348"/>
      <c r="AA3795" s="348"/>
    </row>
    <row r="3796" s="331" customFormat="1" ht="17" customHeight="1" spans="1:27">
      <c r="A3796" s="348"/>
      <c r="B3796" s="334" t="s">
        <v>281</v>
      </c>
      <c r="C3796" s="334" t="s">
        <v>491</v>
      </c>
      <c r="D3796" s="349" t="s">
        <v>1170</v>
      </c>
      <c r="E3796" s="336">
        <v>43697</v>
      </c>
      <c r="F3796" s="336" t="s">
        <v>800</v>
      </c>
      <c r="G3796" s="336">
        <v>43697</v>
      </c>
      <c r="H3796" s="334" t="s">
        <v>9438</v>
      </c>
      <c r="I3796" s="334">
        <v>13761963532</v>
      </c>
      <c r="J3796" s="367" t="s">
        <v>9439</v>
      </c>
      <c r="K3796" s="356"/>
      <c r="L3796" s="419"/>
      <c r="M3796" s="334">
        <v>16357</v>
      </c>
      <c r="N3796" s="362">
        <f t="shared" si="131"/>
        <v>16357</v>
      </c>
      <c r="O3796" s="356"/>
      <c r="P3796" s="356"/>
      <c r="Q3796" s="356"/>
      <c r="R3796" s="356"/>
      <c r="S3796" s="356"/>
      <c r="T3796" s="356"/>
      <c r="U3796" s="372"/>
      <c r="V3796" s="372"/>
      <c r="W3796" s="372"/>
      <c r="X3796" s="373"/>
      <c r="Y3796" s="348"/>
      <c r="Z3796" s="348"/>
      <c r="AA3796" s="348"/>
    </row>
    <row r="3797" s="331" customFormat="1" ht="17" customHeight="1" spans="1:27">
      <c r="A3797" s="348"/>
      <c r="B3797" s="334" t="s">
        <v>169</v>
      </c>
      <c r="C3797" s="334" t="s">
        <v>634</v>
      </c>
      <c r="D3797" s="349" t="s">
        <v>635</v>
      </c>
      <c r="E3797" s="336">
        <v>43697</v>
      </c>
      <c r="F3797" s="336" t="s">
        <v>800</v>
      </c>
      <c r="G3797" s="336">
        <v>43697</v>
      </c>
      <c r="H3797" s="334" t="s">
        <v>9440</v>
      </c>
      <c r="I3797" s="334">
        <v>15800434058</v>
      </c>
      <c r="J3797" s="367" t="s">
        <v>9441</v>
      </c>
      <c r="K3797" s="356"/>
      <c r="L3797" s="419"/>
      <c r="M3797" s="334">
        <v>12407</v>
      </c>
      <c r="N3797" s="362">
        <f t="shared" si="131"/>
        <v>12407</v>
      </c>
      <c r="O3797" s="356"/>
      <c r="P3797" s="356"/>
      <c r="Q3797" s="356"/>
      <c r="R3797" s="356"/>
      <c r="S3797" s="356"/>
      <c r="T3797" s="356"/>
      <c r="U3797" s="372"/>
      <c r="V3797" s="372"/>
      <c r="W3797" s="372"/>
      <c r="X3797" s="373"/>
      <c r="Y3797" s="348"/>
      <c r="Z3797" s="348"/>
      <c r="AA3797" s="348"/>
    </row>
    <row r="3798" s="331" customFormat="1" ht="17" customHeight="1" spans="1:27">
      <c r="A3798" s="348"/>
      <c r="B3798" s="348" t="s">
        <v>58</v>
      </c>
      <c r="C3798" s="334" t="s">
        <v>59</v>
      </c>
      <c r="D3798" s="349" t="s">
        <v>271</v>
      </c>
      <c r="E3798" s="336">
        <v>43697</v>
      </c>
      <c r="F3798" s="336" t="s">
        <v>800</v>
      </c>
      <c r="G3798" s="336">
        <v>43694</v>
      </c>
      <c r="H3798" s="334" t="s">
        <v>5571</v>
      </c>
      <c r="I3798" s="334">
        <v>13585667802</v>
      </c>
      <c r="J3798" s="367" t="s">
        <v>7320</v>
      </c>
      <c r="K3798" s="356"/>
      <c r="L3798" s="419"/>
      <c r="M3798" s="334">
        <v>2604</v>
      </c>
      <c r="N3798" s="362">
        <f t="shared" si="131"/>
        <v>2604</v>
      </c>
      <c r="O3798" s="356"/>
      <c r="P3798" s="356"/>
      <c r="Q3798" s="356"/>
      <c r="R3798" s="356"/>
      <c r="S3798" s="356"/>
      <c r="T3798" s="356"/>
      <c r="U3798" s="372"/>
      <c r="V3798" s="372"/>
      <c r="W3798" s="372"/>
      <c r="X3798" s="373"/>
      <c r="Y3798" s="348"/>
      <c r="Z3798" s="348"/>
      <c r="AA3798" s="348"/>
    </row>
    <row r="3799" s="331" customFormat="1" ht="15" customHeight="1" spans="1:27">
      <c r="A3799" s="550" t="s">
        <v>9442</v>
      </c>
      <c r="B3799" s="348" t="s">
        <v>58</v>
      </c>
      <c r="C3799" s="348" t="s">
        <v>109</v>
      </c>
      <c r="D3799" s="352" t="s">
        <v>110</v>
      </c>
      <c r="E3799" s="336">
        <v>43737</v>
      </c>
      <c r="F3799" s="336">
        <v>43688</v>
      </c>
      <c r="G3799" s="336">
        <v>43736</v>
      </c>
      <c r="H3799" s="334" t="s">
        <v>9443</v>
      </c>
      <c r="I3799" s="356">
        <v>18515236143</v>
      </c>
      <c r="J3799" s="361" t="s">
        <v>9444</v>
      </c>
      <c r="K3799" s="356">
        <v>1000</v>
      </c>
      <c r="L3799" s="334">
        <v>6903</v>
      </c>
      <c r="M3799" s="419"/>
      <c r="N3799" s="362">
        <f t="shared" si="131"/>
        <v>6903</v>
      </c>
      <c r="O3799" s="366" t="s">
        <v>52</v>
      </c>
      <c r="P3799" s="356"/>
      <c r="Q3799" s="356"/>
      <c r="R3799" s="356"/>
      <c r="S3799" s="366"/>
      <c r="T3799" s="356"/>
      <c r="U3799" s="372"/>
      <c r="V3799" s="372"/>
      <c r="W3799" s="372"/>
      <c r="X3799" s="373"/>
      <c r="Y3799" s="348"/>
      <c r="Z3799" s="348"/>
      <c r="AA3799" s="348"/>
    </row>
    <row r="3800" s="331" customFormat="1" ht="17" customHeight="1" spans="1:27">
      <c r="A3800" s="550" t="s">
        <v>9445</v>
      </c>
      <c r="B3800" s="348" t="s">
        <v>205</v>
      </c>
      <c r="C3800" s="348" t="s">
        <v>1467</v>
      </c>
      <c r="D3800" s="334" t="s">
        <v>407</v>
      </c>
      <c r="E3800" s="336">
        <v>43717</v>
      </c>
      <c r="F3800" s="336">
        <v>43696</v>
      </c>
      <c r="G3800" s="336">
        <v>43716</v>
      </c>
      <c r="H3800" s="334" t="s">
        <v>9446</v>
      </c>
      <c r="I3800" s="356">
        <v>13564634869</v>
      </c>
      <c r="J3800" s="361" t="s">
        <v>9447</v>
      </c>
      <c r="K3800" s="356">
        <v>4323</v>
      </c>
      <c r="L3800" s="334">
        <v>5132</v>
      </c>
      <c r="M3800" s="419"/>
      <c r="N3800" s="362">
        <f t="shared" si="131"/>
        <v>5132</v>
      </c>
      <c r="O3800" s="356"/>
      <c r="P3800" s="356" t="s">
        <v>1526</v>
      </c>
      <c r="Q3800" s="356"/>
      <c r="R3800" s="356"/>
      <c r="S3800" s="356"/>
      <c r="T3800" s="356"/>
      <c r="U3800" s="372"/>
      <c r="V3800" s="372"/>
      <c r="W3800" s="372"/>
      <c r="X3800" s="373"/>
      <c r="Y3800" s="348"/>
      <c r="Z3800" s="348"/>
      <c r="AA3800" s="348"/>
    </row>
    <row r="3801" s="331" customFormat="1" ht="17" customHeight="1" spans="1:27">
      <c r="A3801" s="348">
        <v>2068607</v>
      </c>
      <c r="B3801" s="348" t="s">
        <v>87</v>
      </c>
      <c r="C3801" s="348" t="s">
        <v>199</v>
      </c>
      <c r="D3801" s="352" t="s">
        <v>89</v>
      </c>
      <c r="E3801" s="336">
        <v>43698</v>
      </c>
      <c r="F3801" s="336">
        <v>43694</v>
      </c>
      <c r="G3801" s="350"/>
      <c r="H3801" s="334" t="s">
        <v>9448</v>
      </c>
      <c r="I3801" s="356">
        <v>17621302909</v>
      </c>
      <c r="J3801" s="361" t="s">
        <v>9449</v>
      </c>
      <c r="K3801" s="356">
        <v>3541</v>
      </c>
      <c r="L3801" s="419"/>
      <c r="M3801" s="419"/>
      <c r="N3801" s="362">
        <f t="shared" si="131"/>
        <v>0</v>
      </c>
      <c r="O3801" s="356" t="s">
        <v>52</v>
      </c>
      <c r="P3801" s="356"/>
      <c r="Q3801" s="356"/>
      <c r="R3801" s="356"/>
      <c r="S3801" s="356"/>
      <c r="T3801" s="356"/>
      <c r="U3801" s="372" t="s">
        <v>12</v>
      </c>
      <c r="V3801" s="372"/>
      <c r="W3801" s="372"/>
      <c r="X3801" s="373"/>
      <c r="Y3801" s="348"/>
      <c r="Z3801" s="348"/>
      <c r="AA3801" s="348"/>
    </row>
    <row r="3802" s="331" customFormat="1" ht="17" customHeight="1" spans="1:27">
      <c r="A3802" s="550" t="s">
        <v>9450</v>
      </c>
      <c r="B3802" s="348" t="s">
        <v>87</v>
      </c>
      <c r="C3802" s="348" t="s">
        <v>466</v>
      </c>
      <c r="D3802" s="352" t="s">
        <v>89</v>
      </c>
      <c r="E3802" s="336">
        <v>43698</v>
      </c>
      <c r="F3802" s="336">
        <v>43694</v>
      </c>
      <c r="G3802" s="350"/>
      <c r="H3802" s="334" t="s">
        <v>4827</v>
      </c>
      <c r="I3802" s="356">
        <v>19945684883</v>
      </c>
      <c r="J3802" s="361" t="s">
        <v>4828</v>
      </c>
      <c r="K3802" s="356">
        <v>3589</v>
      </c>
      <c r="L3802" s="419"/>
      <c r="M3802" s="419"/>
      <c r="N3802" s="362">
        <f t="shared" ref="N3802:N3819" si="132">L3802+M3802</f>
        <v>0</v>
      </c>
      <c r="O3802" s="356" t="s">
        <v>52</v>
      </c>
      <c r="P3802" s="356"/>
      <c r="Q3802" s="356"/>
      <c r="R3802" s="356"/>
      <c r="S3802" s="356"/>
      <c r="T3802" s="356"/>
      <c r="U3802" s="415" t="s">
        <v>40</v>
      </c>
      <c r="V3802" s="372"/>
      <c r="W3802" s="372"/>
      <c r="X3802" s="373"/>
      <c r="Y3802" s="348"/>
      <c r="Z3802" s="348"/>
      <c r="AA3802" s="348"/>
    </row>
    <row r="3803" s="331" customFormat="1" ht="17" customHeight="1" spans="1:27">
      <c r="A3803" s="348">
        <v>2066271</v>
      </c>
      <c r="B3803" s="348" t="s">
        <v>87</v>
      </c>
      <c r="C3803" s="348" t="s">
        <v>466</v>
      </c>
      <c r="D3803" s="352" t="s">
        <v>89</v>
      </c>
      <c r="E3803" s="336">
        <v>43698</v>
      </c>
      <c r="F3803" s="336">
        <v>43694</v>
      </c>
      <c r="G3803" s="350"/>
      <c r="H3803" s="334" t="s">
        <v>9451</v>
      </c>
      <c r="I3803" s="356">
        <v>15618959651</v>
      </c>
      <c r="J3803" s="361" t="s">
        <v>9452</v>
      </c>
      <c r="K3803" s="356">
        <v>3589</v>
      </c>
      <c r="L3803" s="419"/>
      <c r="M3803" s="419"/>
      <c r="N3803" s="362">
        <f t="shared" si="132"/>
        <v>0</v>
      </c>
      <c r="O3803" s="356" t="s">
        <v>52</v>
      </c>
      <c r="P3803" s="356"/>
      <c r="Q3803" s="356"/>
      <c r="R3803" s="356"/>
      <c r="S3803" s="356"/>
      <c r="T3803" s="356"/>
      <c r="U3803" s="415" t="s">
        <v>40</v>
      </c>
      <c r="V3803" s="372"/>
      <c r="W3803" s="372"/>
      <c r="X3803" s="373"/>
      <c r="Y3803" s="348"/>
      <c r="Z3803" s="348"/>
      <c r="AA3803" s="348"/>
    </row>
    <row r="3804" s="331" customFormat="1" ht="17" customHeight="1" spans="1:27">
      <c r="A3804" s="348"/>
      <c r="B3804" s="348" t="s">
        <v>87</v>
      </c>
      <c r="C3804" s="348" t="s">
        <v>466</v>
      </c>
      <c r="D3804" s="352" t="s">
        <v>89</v>
      </c>
      <c r="E3804" s="336">
        <v>43698</v>
      </c>
      <c r="F3804" s="336">
        <v>43694</v>
      </c>
      <c r="G3804" s="350"/>
      <c r="H3804" s="334" t="s">
        <v>9453</v>
      </c>
      <c r="I3804" s="356">
        <v>15201927203</v>
      </c>
      <c r="J3804" s="361" t="s">
        <v>9454</v>
      </c>
      <c r="K3804" s="356">
        <v>3589</v>
      </c>
      <c r="L3804" s="419"/>
      <c r="M3804" s="419"/>
      <c r="N3804" s="362">
        <f t="shared" si="132"/>
        <v>0</v>
      </c>
      <c r="O3804" s="356" t="s">
        <v>52</v>
      </c>
      <c r="P3804" s="356"/>
      <c r="Q3804" s="356"/>
      <c r="R3804" s="356"/>
      <c r="S3804" s="356"/>
      <c r="T3804" s="356"/>
      <c r="U3804" s="372"/>
      <c r="V3804" s="372"/>
      <c r="W3804" s="372"/>
      <c r="X3804" s="373"/>
      <c r="Y3804" s="348"/>
      <c r="Z3804" s="348"/>
      <c r="AA3804" s="348"/>
    </row>
    <row r="3805" s="331" customFormat="1" ht="17" customHeight="1" spans="1:27">
      <c r="A3805" s="348">
        <v>2066224</v>
      </c>
      <c r="B3805" s="348" t="s">
        <v>243</v>
      </c>
      <c r="C3805" s="348" t="s">
        <v>304</v>
      </c>
      <c r="D3805" s="352" t="s">
        <v>49</v>
      </c>
      <c r="E3805" s="336">
        <v>43766</v>
      </c>
      <c r="F3805" s="336">
        <v>43695</v>
      </c>
      <c r="G3805" s="336">
        <v>43765</v>
      </c>
      <c r="H3805" s="334" t="s">
        <v>9455</v>
      </c>
      <c r="I3805" s="356">
        <v>18217591107</v>
      </c>
      <c r="J3805" s="361" t="s">
        <v>9456</v>
      </c>
      <c r="K3805" s="356">
        <v>12200</v>
      </c>
      <c r="L3805" s="348">
        <v>18870</v>
      </c>
      <c r="M3805" s="419"/>
      <c r="N3805" s="362">
        <f t="shared" si="132"/>
        <v>18870</v>
      </c>
      <c r="O3805" s="356"/>
      <c r="P3805" s="356" t="s">
        <v>52</v>
      </c>
      <c r="Q3805" s="356"/>
      <c r="R3805" s="356"/>
      <c r="S3805" s="356"/>
      <c r="T3805" s="356"/>
      <c r="U3805" s="372"/>
      <c r="V3805" s="372"/>
      <c r="W3805" s="372"/>
      <c r="X3805" s="373"/>
      <c r="Y3805" s="348"/>
      <c r="Z3805" s="348"/>
      <c r="AA3805" s="348"/>
    </row>
    <row r="3806" s="331" customFormat="1" ht="17" customHeight="1" spans="1:27">
      <c r="A3806" s="348">
        <v>2023310</v>
      </c>
      <c r="B3806" s="348" t="s">
        <v>243</v>
      </c>
      <c r="C3806" s="348" t="s">
        <v>244</v>
      </c>
      <c r="D3806" s="352" t="s">
        <v>49</v>
      </c>
      <c r="E3806" s="336">
        <v>43698</v>
      </c>
      <c r="F3806" s="336">
        <v>43695</v>
      </c>
      <c r="G3806" s="399" t="s">
        <v>1140</v>
      </c>
      <c r="H3806" s="348" t="s">
        <v>9457</v>
      </c>
      <c r="I3806" s="356">
        <v>13817266928</v>
      </c>
      <c r="J3806" s="361" t="s">
        <v>9458</v>
      </c>
      <c r="K3806" s="356">
        <v>3000</v>
      </c>
      <c r="L3806" s="419"/>
      <c r="M3806" s="419"/>
      <c r="N3806" s="362">
        <f t="shared" si="132"/>
        <v>0</v>
      </c>
      <c r="O3806" s="356"/>
      <c r="P3806" s="356" t="s">
        <v>52</v>
      </c>
      <c r="Q3806" s="356"/>
      <c r="R3806" s="356"/>
      <c r="S3806" s="356"/>
      <c r="T3806" s="356"/>
      <c r="U3806" s="372"/>
      <c r="V3806" s="372"/>
      <c r="W3806" s="372"/>
      <c r="X3806" s="373"/>
      <c r="Y3806" s="348"/>
      <c r="Z3806" s="348"/>
      <c r="AA3806" s="348"/>
    </row>
    <row r="3807" s="331" customFormat="1" ht="17" customHeight="1" spans="1:27">
      <c r="A3807" s="348"/>
      <c r="B3807" s="348" t="s">
        <v>169</v>
      </c>
      <c r="C3807" s="348" t="s">
        <v>634</v>
      </c>
      <c r="D3807" s="334" t="s">
        <v>443</v>
      </c>
      <c r="E3807" s="336">
        <v>43818</v>
      </c>
      <c r="F3807" s="336">
        <v>43696</v>
      </c>
      <c r="G3807" s="336">
        <v>43818</v>
      </c>
      <c r="H3807" s="334" t="s">
        <v>9459</v>
      </c>
      <c r="I3807" s="356">
        <v>15026631388</v>
      </c>
      <c r="J3807" s="361" t="s">
        <v>9460</v>
      </c>
      <c r="K3807" s="356">
        <v>1000</v>
      </c>
      <c r="L3807" s="334">
        <v>47158</v>
      </c>
      <c r="M3807" s="419"/>
      <c r="N3807" s="362">
        <f t="shared" si="132"/>
        <v>47158</v>
      </c>
      <c r="O3807" s="356"/>
      <c r="P3807" s="356"/>
      <c r="Q3807" s="356"/>
      <c r="R3807" s="356" t="s">
        <v>22</v>
      </c>
      <c r="S3807" s="356"/>
      <c r="T3807" s="356"/>
      <c r="U3807" s="372"/>
      <c r="V3807" s="372"/>
      <c r="W3807" s="372"/>
      <c r="X3807" s="373"/>
      <c r="Y3807" s="348"/>
      <c r="Z3807" s="348"/>
      <c r="AA3807" s="348"/>
    </row>
    <row r="3808" s="331" customFormat="1" ht="17" customHeight="1" spans="1:27">
      <c r="A3808" s="550" t="s">
        <v>9461</v>
      </c>
      <c r="B3808" s="348" t="s">
        <v>315</v>
      </c>
      <c r="C3808" s="348" t="s">
        <v>275</v>
      </c>
      <c r="D3808" s="352" t="s">
        <v>162</v>
      </c>
      <c r="E3808" s="336">
        <v>43707</v>
      </c>
      <c r="F3808" s="336">
        <v>43694</v>
      </c>
      <c r="G3808" s="336">
        <v>43707</v>
      </c>
      <c r="H3808" s="334" t="s">
        <v>9462</v>
      </c>
      <c r="I3808" s="356">
        <v>18930054266</v>
      </c>
      <c r="J3808" s="361" t="s">
        <v>9463</v>
      </c>
      <c r="K3808" s="356">
        <v>1000</v>
      </c>
      <c r="L3808" s="334">
        <f>11905-1104</f>
        <v>10801</v>
      </c>
      <c r="M3808" s="334">
        <v>1104</v>
      </c>
      <c r="N3808" s="362">
        <f t="shared" si="132"/>
        <v>11905</v>
      </c>
      <c r="O3808" s="356"/>
      <c r="P3808" s="356"/>
      <c r="Q3808" s="356"/>
      <c r="R3808" s="356"/>
      <c r="S3808" s="356">
        <v>1</v>
      </c>
      <c r="T3808" s="356"/>
      <c r="U3808" s="372"/>
      <c r="V3808" s="372"/>
      <c r="W3808" s="372"/>
      <c r="X3808" s="373"/>
      <c r="Y3808" s="348"/>
      <c r="Z3808" s="348"/>
      <c r="AA3808" s="348"/>
    </row>
    <row r="3809" s="331" customFormat="1" ht="17" customHeight="1" spans="1:27">
      <c r="A3809" s="550" t="s">
        <v>9464</v>
      </c>
      <c r="B3809" s="348" t="s">
        <v>31</v>
      </c>
      <c r="C3809" s="348" t="s">
        <v>251</v>
      </c>
      <c r="D3809" s="334" t="s">
        <v>221</v>
      </c>
      <c r="E3809" s="336">
        <v>43716</v>
      </c>
      <c r="F3809" s="336">
        <v>43698</v>
      </c>
      <c r="G3809" s="336">
        <v>43714</v>
      </c>
      <c r="H3809" s="334" t="s">
        <v>9465</v>
      </c>
      <c r="I3809" s="356">
        <v>17721310306</v>
      </c>
      <c r="J3809" s="361" t="s">
        <v>9466</v>
      </c>
      <c r="K3809" s="356">
        <v>4198</v>
      </c>
      <c r="L3809" s="334">
        <v>4198</v>
      </c>
      <c r="M3809" s="419"/>
      <c r="N3809" s="362">
        <f t="shared" si="132"/>
        <v>4198</v>
      </c>
      <c r="O3809" s="356"/>
      <c r="P3809" s="356"/>
      <c r="Q3809" s="356"/>
      <c r="R3809" s="356"/>
      <c r="S3809" s="356"/>
      <c r="T3809" s="356"/>
      <c r="U3809" s="372"/>
      <c r="V3809" s="372"/>
      <c r="W3809" s="372"/>
      <c r="X3809" s="373"/>
      <c r="Y3809" s="348"/>
      <c r="Z3809" s="348"/>
      <c r="AA3809" s="348"/>
    </row>
    <row r="3810" s="331" customFormat="1" ht="15" customHeight="1" spans="1:27">
      <c r="A3810" s="348"/>
      <c r="B3810" s="348" t="s">
        <v>405</v>
      </c>
      <c r="C3810" s="348" t="s">
        <v>8323</v>
      </c>
      <c r="D3810" s="352" t="s">
        <v>407</v>
      </c>
      <c r="E3810" s="336">
        <v>43698</v>
      </c>
      <c r="F3810" s="336">
        <v>43698</v>
      </c>
      <c r="G3810" s="350"/>
      <c r="H3810" s="348" t="s">
        <v>9467</v>
      </c>
      <c r="I3810" s="356">
        <v>13761079086</v>
      </c>
      <c r="J3810" s="361" t="s">
        <v>9468</v>
      </c>
      <c r="K3810" s="356">
        <v>1000</v>
      </c>
      <c r="L3810" s="419"/>
      <c r="M3810" s="419"/>
      <c r="N3810" s="362">
        <f t="shared" si="132"/>
        <v>0</v>
      </c>
      <c r="O3810" s="356" t="s">
        <v>52</v>
      </c>
      <c r="P3810" s="356"/>
      <c r="Q3810" s="356"/>
      <c r="R3810" s="356"/>
      <c r="S3810" s="356"/>
      <c r="T3810" s="356"/>
      <c r="U3810" s="393" t="s">
        <v>40</v>
      </c>
      <c r="V3810" s="372"/>
      <c r="W3810" s="372"/>
      <c r="X3810" s="373"/>
      <c r="Y3810" s="348"/>
      <c r="Z3810" s="348"/>
      <c r="AA3810" s="348"/>
    </row>
    <row r="3811" s="331" customFormat="1" ht="17" customHeight="1" spans="1:27">
      <c r="A3811" s="348"/>
      <c r="B3811" s="334" t="s">
        <v>42</v>
      </c>
      <c r="C3811" s="334" t="s">
        <v>43</v>
      </c>
      <c r="D3811" s="349" t="s">
        <v>44</v>
      </c>
      <c r="E3811" s="336">
        <v>43698</v>
      </c>
      <c r="F3811" s="336"/>
      <c r="G3811" s="336">
        <v>43698</v>
      </c>
      <c r="H3811" s="334" t="s">
        <v>9469</v>
      </c>
      <c r="I3811" s="551" t="s">
        <v>9470</v>
      </c>
      <c r="J3811" s="367" t="s">
        <v>9471</v>
      </c>
      <c r="K3811" s="356"/>
      <c r="L3811" s="334">
        <v>994</v>
      </c>
      <c r="M3811" s="419"/>
      <c r="N3811" s="362">
        <f t="shared" si="132"/>
        <v>994</v>
      </c>
      <c r="O3811" s="356"/>
      <c r="P3811" s="356"/>
      <c r="Q3811" s="356"/>
      <c r="R3811" s="356"/>
      <c r="S3811" s="356"/>
      <c r="T3811" s="356"/>
      <c r="U3811" s="372"/>
      <c r="V3811" s="372"/>
      <c r="W3811" s="372"/>
      <c r="X3811" s="373"/>
      <c r="Y3811" s="348"/>
      <c r="Z3811" s="348"/>
      <c r="AA3811" s="348"/>
    </row>
    <row r="3812" s="331" customFormat="1" ht="17" customHeight="1" spans="1:27">
      <c r="A3812" s="348"/>
      <c r="B3812" s="334" t="s">
        <v>66</v>
      </c>
      <c r="C3812" s="334" t="s">
        <v>951</v>
      </c>
      <c r="D3812" s="334" t="s">
        <v>427</v>
      </c>
      <c r="E3812" s="336">
        <v>43698</v>
      </c>
      <c r="F3812" s="336" t="s">
        <v>800</v>
      </c>
      <c r="G3812" s="336">
        <v>43698</v>
      </c>
      <c r="H3812" s="334" t="s">
        <v>9472</v>
      </c>
      <c r="I3812" s="334">
        <v>13917023565</v>
      </c>
      <c r="J3812" s="367" t="s">
        <v>9473</v>
      </c>
      <c r="K3812" s="356"/>
      <c r="L3812" s="419"/>
      <c r="M3812" s="334">
        <v>1602</v>
      </c>
      <c r="N3812" s="362">
        <f t="shared" si="132"/>
        <v>1602</v>
      </c>
      <c r="O3812" s="356"/>
      <c r="P3812" s="356"/>
      <c r="Q3812" s="356"/>
      <c r="R3812" s="356"/>
      <c r="S3812" s="356"/>
      <c r="T3812" s="356"/>
      <c r="U3812" s="372"/>
      <c r="V3812" s="372"/>
      <c r="W3812" s="372"/>
      <c r="X3812" s="373"/>
      <c r="Y3812" s="348"/>
      <c r="Z3812" s="348"/>
      <c r="AA3812" s="348"/>
    </row>
    <row r="3813" s="331" customFormat="1" ht="17" customHeight="1" spans="1:27">
      <c r="A3813" s="348"/>
      <c r="B3813" s="334" t="s">
        <v>87</v>
      </c>
      <c r="C3813" s="334" t="s">
        <v>199</v>
      </c>
      <c r="D3813" s="352" t="s">
        <v>89</v>
      </c>
      <c r="E3813" s="336">
        <v>43698</v>
      </c>
      <c r="F3813" s="336" t="s">
        <v>800</v>
      </c>
      <c r="G3813" s="336">
        <v>43698</v>
      </c>
      <c r="H3813" s="334" t="s">
        <v>9474</v>
      </c>
      <c r="I3813" s="334">
        <v>15366198897</v>
      </c>
      <c r="J3813" s="367" t="s">
        <v>9475</v>
      </c>
      <c r="K3813" s="356"/>
      <c r="L3813" s="419"/>
      <c r="M3813" s="334">
        <v>124</v>
      </c>
      <c r="N3813" s="362">
        <f t="shared" si="132"/>
        <v>124</v>
      </c>
      <c r="O3813" s="356"/>
      <c r="P3813" s="356"/>
      <c r="Q3813" s="356"/>
      <c r="R3813" s="356"/>
      <c r="S3813" s="356"/>
      <c r="T3813" s="356"/>
      <c r="U3813" s="372"/>
      <c r="V3813" s="372"/>
      <c r="W3813" s="372"/>
      <c r="X3813" s="373"/>
      <c r="Y3813" s="348"/>
      <c r="Z3813" s="348"/>
      <c r="AA3813" s="348"/>
    </row>
    <row r="3814" s="331" customFormat="1" ht="17" customHeight="1" spans="1:27">
      <c r="A3814" s="348"/>
      <c r="B3814" s="348" t="s">
        <v>31</v>
      </c>
      <c r="C3814" s="348" t="s">
        <v>115</v>
      </c>
      <c r="D3814" s="349" t="s">
        <v>221</v>
      </c>
      <c r="E3814" s="336">
        <v>43698</v>
      </c>
      <c r="F3814" s="336" t="s">
        <v>800</v>
      </c>
      <c r="G3814" s="336">
        <v>43698</v>
      </c>
      <c r="H3814" s="334" t="s">
        <v>1354</v>
      </c>
      <c r="I3814" s="551" t="s">
        <v>9476</v>
      </c>
      <c r="J3814" s="367" t="s">
        <v>9477</v>
      </c>
      <c r="K3814" s="356"/>
      <c r="L3814" s="419"/>
      <c r="M3814" s="334">
        <v>927</v>
      </c>
      <c r="N3814" s="362">
        <f t="shared" si="132"/>
        <v>927</v>
      </c>
      <c r="O3814" s="356"/>
      <c r="P3814" s="356"/>
      <c r="Q3814" s="356"/>
      <c r="R3814" s="356"/>
      <c r="S3814" s="356"/>
      <c r="T3814" s="356"/>
      <c r="U3814" s="372"/>
      <c r="V3814" s="372"/>
      <c r="W3814" s="372"/>
      <c r="X3814" s="373"/>
      <c r="Y3814" s="348"/>
      <c r="Z3814" s="348"/>
      <c r="AA3814" s="348"/>
    </row>
    <row r="3815" s="331" customFormat="1" ht="17" customHeight="1" spans="1:27">
      <c r="A3815" s="348"/>
      <c r="B3815" s="348" t="s">
        <v>137</v>
      </c>
      <c r="C3815" s="348" t="s">
        <v>411</v>
      </c>
      <c r="D3815" s="349" t="s">
        <v>427</v>
      </c>
      <c r="E3815" s="336">
        <v>43698</v>
      </c>
      <c r="F3815" s="336" t="s">
        <v>800</v>
      </c>
      <c r="G3815" s="336">
        <v>43696</v>
      </c>
      <c r="H3815" s="334" t="s">
        <v>4342</v>
      </c>
      <c r="I3815" s="356">
        <v>13040790709</v>
      </c>
      <c r="J3815" s="361" t="s">
        <v>4343</v>
      </c>
      <c r="K3815" s="356"/>
      <c r="L3815" s="419"/>
      <c r="M3815" s="334">
        <v>3009</v>
      </c>
      <c r="N3815" s="362">
        <f t="shared" si="132"/>
        <v>3009</v>
      </c>
      <c r="O3815" s="356"/>
      <c r="P3815" s="356"/>
      <c r="Q3815" s="356"/>
      <c r="R3815" s="356"/>
      <c r="S3815" s="356"/>
      <c r="T3815" s="356"/>
      <c r="U3815" s="372"/>
      <c r="V3815" s="372"/>
      <c r="W3815" s="372"/>
      <c r="X3815" s="373"/>
      <c r="Y3815" s="348"/>
      <c r="Z3815" s="348"/>
      <c r="AA3815" s="348"/>
    </row>
    <row r="3816" s="331" customFormat="1" ht="17" customHeight="1" spans="1:27">
      <c r="A3816" s="348"/>
      <c r="B3816" s="348" t="s">
        <v>66</v>
      </c>
      <c r="C3816" s="334" t="s">
        <v>505</v>
      </c>
      <c r="D3816" s="349" t="s">
        <v>143</v>
      </c>
      <c r="E3816" s="336">
        <v>43698</v>
      </c>
      <c r="F3816" s="336" t="s">
        <v>800</v>
      </c>
      <c r="G3816" s="336">
        <v>43698</v>
      </c>
      <c r="H3816" s="334" t="s">
        <v>8914</v>
      </c>
      <c r="I3816" s="334">
        <v>13818231070</v>
      </c>
      <c r="J3816" s="367" t="s">
        <v>8915</v>
      </c>
      <c r="K3816" s="356"/>
      <c r="L3816" s="419"/>
      <c r="M3816" s="334">
        <v>1305</v>
      </c>
      <c r="N3816" s="362">
        <f t="shared" si="132"/>
        <v>1305</v>
      </c>
      <c r="O3816" s="356"/>
      <c r="P3816" s="356"/>
      <c r="Q3816" s="356"/>
      <c r="R3816" s="356"/>
      <c r="S3816" s="356"/>
      <c r="T3816" s="356"/>
      <c r="U3816" s="372"/>
      <c r="V3816" s="372"/>
      <c r="W3816" s="372"/>
      <c r="X3816" s="373"/>
      <c r="Y3816" s="348"/>
      <c r="Z3816" s="348"/>
      <c r="AA3816" s="348"/>
    </row>
    <row r="3817" s="331" customFormat="1" ht="17" customHeight="1" spans="1:27">
      <c r="A3817" s="348"/>
      <c r="B3817" s="334" t="s">
        <v>66</v>
      </c>
      <c r="C3817" s="334" t="s">
        <v>119</v>
      </c>
      <c r="D3817" s="349" t="s">
        <v>143</v>
      </c>
      <c r="E3817" s="336">
        <v>43698</v>
      </c>
      <c r="F3817" s="336" t="s">
        <v>800</v>
      </c>
      <c r="G3817" s="336">
        <v>43698</v>
      </c>
      <c r="H3817" s="334" t="s">
        <v>9478</v>
      </c>
      <c r="I3817" s="334">
        <v>13681711327</v>
      </c>
      <c r="J3817" s="367" t="s">
        <v>9479</v>
      </c>
      <c r="K3817" s="356"/>
      <c r="L3817" s="419"/>
      <c r="M3817" s="334">
        <v>-6932</v>
      </c>
      <c r="N3817" s="362">
        <f t="shared" si="132"/>
        <v>-6932</v>
      </c>
      <c r="O3817" s="356"/>
      <c r="P3817" s="356"/>
      <c r="Q3817" s="356"/>
      <c r="R3817" s="356"/>
      <c r="S3817" s="356"/>
      <c r="T3817" s="356"/>
      <c r="U3817" s="372"/>
      <c r="V3817" s="372"/>
      <c r="W3817" s="372"/>
      <c r="X3817" s="373"/>
      <c r="Y3817" s="348"/>
      <c r="Z3817" s="348"/>
      <c r="AA3817" s="348"/>
    </row>
    <row r="3818" s="331" customFormat="1" ht="17" customHeight="1" spans="1:27">
      <c r="A3818" s="348"/>
      <c r="B3818" s="348" t="s">
        <v>153</v>
      </c>
      <c r="C3818" s="334" t="s">
        <v>302</v>
      </c>
      <c r="D3818" s="349" t="s">
        <v>155</v>
      </c>
      <c r="E3818" s="336">
        <v>43698</v>
      </c>
      <c r="F3818" s="336" t="s">
        <v>800</v>
      </c>
      <c r="G3818" s="336">
        <v>43695</v>
      </c>
      <c r="H3818" s="334" t="s">
        <v>8813</v>
      </c>
      <c r="I3818" s="334">
        <v>13818682533</v>
      </c>
      <c r="J3818" s="367" t="s">
        <v>8814</v>
      </c>
      <c r="K3818" s="356"/>
      <c r="L3818" s="419"/>
      <c r="M3818" s="334">
        <v>30</v>
      </c>
      <c r="N3818" s="362">
        <f t="shared" si="132"/>
        <v>30</v>
      </c>
      <c r="O3818" s="356"/>
      <c r="P3818" s="356"/>
      <c r="Q3818" s="356"/>
      <c r="R3818" s="356"/>
      <c r="S3818" s="356"/>
      <c r="T3818" s="356"/>
      <c r="U3818" s="372"/>
      <c r="V3818" s="372"/>
      <c r="W3818" s="372"/>
      <c r="X3818" s="373"/>
      <c r="Y3818" s="348"/>
      <c r="Z3818" s="348"/>
      <c r="AA3818" s="348"/>
    </row>
    <row r="3819" s="331" customFormat="1" ht="17" customHeight="1" spans="1:27">
      <c r="A3819" s="348"/>
      <c r="B3819" s="348" t="s">
        <v>66</v>
      </c>
      <c r="C3819" s="334" t="s">
        <v>119</v>
      </c>
      <c r="D3819" s="349" t="s">
        <v>143</v>
      </c>
      <c r="E3819" s="336">
        <v>43698</v>
      </c>
      <c r="F3819" s="336" t="s">
        <v>800</v>
      </c>
      <c r="G3819" s="336">
        <v>43698</v>
      </c>
      <c r="H3819" s="334" t="s">
        <v>5550</v>
      </c>
      <c r="I3819" s="334">
        <v>15800926683</v>
      </c>
      <c r="J3819" s="367" t="s">
        <v>5551</v>
      </c>
      <c r="K3819" s="356"/>
      <c r="L3819" s="419"/>
      <c r="M3819" s="334">
        <v>360</v>
      </c>
      <c r="N3819" s="362">
        <f t="shared" si="132"/>
        <v>360</v>
      </c>
      <c r="O3819" s="356"/>
      <c r="P3819" s="356"/>
      <c r="Q3819" s="356"/>
      <c r="R3819" s="356"/>
      <c r="S3819" s="356"/>
      <c r="T3819" s="356"/>
      <c r="U3819" s="372"/>
      <c r="V3819" s="372"/>
      <c r="W3819" s="372"/>
      <c r="X3819" s="373"/>
      <c r="Y3819" s="348"/>
      <c r="Z3819" s="348"/>
      <c r="AA3819" s="348"/>
    </row>
    <row r="3820" s="331" customFormat="1" ht="15" customHeight="1" spans="1:27">
      <c r="A3820" s="550" t="s">
        <v>9480</v>
      </c>
      <c r="B3820" s="348" t="s">
        <v>58</v>
      </c>
      <c r="C3820" s="348" t="s">
        <v>109</v>
      </c>
      <c r="D3820" s="352" t="s">
        <v>110</v>
      </c>
      <c r="E3820" s="336">
        <v>43724</v>
      </c>
      <c r="F3820" s="336">
        <v>43698</v>
      </c>
      <c r="G3820" s="336">
        <v>43723</v>
      </c>
      <c r="H3820" s="334" t="s">
        <v>9481</v>
      </c>
      <c r="I3820" s="356">
        <v>13661709545</v>
      </c>
      <c r="J3820" s="361" t="s">
        <v>9482</v>
      </c>
      <c r="K3820" s="356">
        <v>5000</v>
      </c>
      <c r="L3820" s="334">
        <v>12660</v>
      </c>
      <c r="M3820" s="419"/>
      <c r="N3820" s="362">
        <f t="shared" ref="N3820:N3841" si="133">L3820+M3820</f>
        <v>12660</v>
      </c>
      <c r="O3820" s="356"/>
      <c r="P3820" s="356"/>
      <c r="Q3820" s="356"/>
      <c r="R3820" s="356"/>
      <c r="S3820" s="366" t="s">
        <v>52</v>
      </c>
      <c r="T3820" s="356"/>
      <c r="U3820" s="372"/>
      <c r="V3820" s="372"/>
      <c r="W3820" s="372"/>
      <c r="X3820" s="373"/>
      <c r="Y3820" s="348"/>
      <c r="Z3820" s="348"/>
      <c r="AA3820" s="348"/>
    </row>
    <row r="3821" s="331" customFormat="1" ht="17" customHeight="1" spans="1:27">
      <c r="A3821" s="550" t="s">
        <v>9483</v>
      </c>
      <c r="B3821" s="348" t="s">
        <v>236</v>
      </c>
      <c r="C3821" s="348" t="s">
        <v>195</v>
      </c>
      <c r="D3821" s="352" t="s">
        <v>125</v>
      </c>
      <c r="E3821" s="336">
        <v>43699</v>
      </c>
      <c r="F3821" s="336">
        <v>43697</v>
      </c>
      <c r="G3821" s="336">
        <v>43697</v>
      </c>
      <c r="H3821" s="334" t="s">
        <v>9484</v>
      </c>
      <c r="I3821" s="356">
        <v>13761523739</v>
      </c>
      <c r="J3821" s="361" t="s">
        <v>9485</v>
      </c>
      <c r="K3821" s="356">
        <v>1000</v>
      </c>
      <c r="L3821" s="334">
        <v>5670</v>
      </c>
      <c r="M3821" s="419"/>
      <c r="N3821" s="362">
        <f t="shared" si="133"/>
        <v>5670</v>
      </c>
      <c r="O3821" s="356"/>
      <c r="P3821" s="356"/>
      <c r="Q3821" s="356"/>
      <c r="R3821" s="356"/>
      <c r="S3821" s="356"/>
      <c r="T3821" s="356"/>
      <c r="U3821" s="372"/>
      <c r="V3821" s="372"/>
      <c r="W3821" s="372"/>
      <c r="X3821" s="373"/>
      <c r="Y3821" s="348"/>
      <c r="Z3821" s="348"/>
      <c r="AA3821" s="348"/>
    </row>
    <row r="3822" s="57" customFormat="1" ht="17" customHeight="1" spans="1:27">
      <c r="A3822" s="348"/>
      <c r="B3822" s="348" t="s">
        <v>137</v>
      </c>
      <c r="C3822" s="348" t="s">
        <v>2705</v>
      </c>
      <c r="D3822" s="349" t="s">
        <v>443</v>
      </c>
      <c r="E3822" s="336">
        <v>43699</v>
      </c>
      <c r="F3822" s="336">
        <v>43696</v>
      </c>
      <c r="G3822" s="350"/>
      <c r="H3822" s="334" t="s">
        <v>7119</v>
      </c>
      <c r="I3822" s="356">
        <v>15800751324</v>
      </c>
      <c r="J3822" s="348" t="s">
        <v>7120</v>
      </c>
      <c r="K3822" s="356">
        <v>1802</v>
      </c>
      <c r="L3822" s="419"/>
      <c r="M3822" s="419"/>
      <c r="N3822" s="362">
        <f t="shared" si="133"/>
        <v>0</v>
      </c>
      <c r="O3822" s="356"/>
      <c r="P3822" s="356"/>
      <c r="Q3822" s="356">
        <v>1</v>
      </c>
      <c r="R3822" s="356"/>
      <c r="S3822" s="356"/>
      <c r="T3822" s="356"/>
      <c r="U3822" s="372"/>
      <c r="V3822" s="372"/>
      <c r="W3822" s="372"/>
      <c r="X3822" s="373"/>
      <c r="Y3822" s="348"/>
      <c r="Z3822" s="348"/>
      <c r="AA3822" s="348"/>
    </row>
    <row r="3823" s="331" customFormat="1" ht="17" customHeight="1" spans="1:27">
      <c r="A3823" s="550" t="s">
        <v>9486</v>
      </c>
      <c r="B3823" s="348" t="s">
        <v>335</v>
      </c>
      <c r="C3823" s="348" t="s">
        <v>615</v>
      </c>
      <c r="D3823" s="349" t="s">
        <v>635</v>
      </c>
      <c r="E3823" s="336">
        <v>43703</v>
      </c>
      <c r="F3823" s="336">
        <v>43698</v>
      </c>
      <c r="G3823" s="336">
        <v>43702</v>
      </c>
      <c r="H3823" s="334" t="s">
        <v>9487</v>
      </c>
      <c r="I3823" s="356">
        <v>13917697522</v>
      </c>
      <c r="J3823" s="361" t="s">
        <v>9488</v>
      </c>
      <c r="K3823" s="356">
        <v>1000</v>
      </c>
      <c r="L3823" s="334">
        <f>13048-1104</f>
        <v>11944</v>
      </c>
      <c r="M3823" s="334">
        <v>1104</v>
      </c>
      <c r="N3823" s="362">
        <f t="shared" si="133"/>
        <v>13048</v>
      </c>
      <c r="O3823" s="356"/>
      <c r="P3823" s="356"/>
      <c r="Q3823" s="356"/>
      <c r="R3823" s="356"/>
      <c r="S3823" s="356"/>
      <c r="T3823" s="356"/>
      <c r="U3823" s="372"/>
      <c r="V3823" s="372"/>
      <c r="W3823" s="372"/>
      <c r="X3823" s="373"/>
      <c r="Y3823" s="348"/>
      <c r="Z3823" s="348"/>
      <c r="AA3823" s="348"/>
    </row>
    <row r="3824" s="331" customFormat="1" ht="17" customHeight="1" spans="1:27">
      <c r="A3824" s="550" t="s">
        <v>2903</v>
      </c>
      <c r="B3824" s="348" t="s">
        <v>169</v>
      </c>
      <c r="C3824" s="348" t="s">
        <v>634</v>
      </c>
      <c r="D3824" s="352" t="s">
        <v>635</v>
      </c>
      <c r="E3824" s="336">
        <v>43699</v>
      </c>
      <c r="F3824" s="336">
        <v>43694</v>
      </c>
      <c r="G3824" s="350"/>
      <c r="H3824" s="334" t="s">
        <v>9489</v>
      </c>
      <c r="I3824" s="356">
        <v>18916216811</v>
      </c>
      <c r="J3824" s="361" t="s">
        <v>9490</v>
      </c>
      <c r="K3824" s="356">
        <v>1000</v>
      </c>
      <c r="L3824" s="419"/>
      <c r="M3824" s="419"/>
      <c r="N3824" s="362">
        <f t="shared" si="133"/>
        <v>0</v>
      </c>
      <c r="O3824" s="356" t="s">
        <v>19</v>
      </c>
      <c r="P3824" s="356"/>
      <c r="Q3824" s="356"/>
      <c r="R3824" s="356"/>
      <c r="S3824" s="356"/>
      <c r="T3824" s="356"/>
      <c r="U3824" s="400" t="s">
        <v>9491</v>
      </c>
      <c r="V3824" s="372"/>
      <c r="W3824" s="372"/>
      <c r="X3824" s="373"/>
      <c r="Y3824" s="348"/>
      <c r="Z3824" s="348"/>
      <c r="AA3824" s="348"/>
    </row>
    <row r="3825" s="331" customFormat="1" ht="15" customHeight="1" spans="1:27">
      <c r="A3825" s="550" t="s">
        <v>9492</v>
      </c>
      <c r="B3825" s="348" t="s">
        <v>58</v>
      </c>
      <c r="C3825" s="348" t="s">
        <v>347</v>
      </c>
      <c r="D3825" s="352" t="s">
        <v>343</v>
      </c>
      <c r="E3825" s="336">
        <v>43738</v>
      </c>
      <c r="F3825" s="336">
        <v>43699</v>
      </c>
      <c r="G3825" s="336">
        <v>43738</v>
      </c>
      <c r="H3825" s="334" t="s">
        <v>9493</v>
      </c>
      <c r="I3825" s="356">
        <v>18918690255</v>
      </c>
      <c r="J3825" s="361" t="s">
        <v>9494</v>
      </c>
      <c r="K3825" s="356">
        <v>1000</v>
      </c>
      <c r="L3825" s="334">
        <f>11000-736</f>
        <v>10264</v>
      </c>
      <c r="M3825" s="334">
        <v>736</v>
      </c>
      <c r="N3825" s="362">
        <f t="shared" si="133"/>
        <v>11000</v>
      </c>
      <c r="O3825" s="356"/>
      <c r="P3825" s="366" t="s">
        <v>52</v>
      </c>
      <c r="Q3825" s="356"/>
      <c r="R3825" s="356"/>
      <c r="S3825" s="356"/>
      <c r="T3825" s="356"/>
      <c r="U3825" s="372"/>
      <c r="V3825" s="372"/>
      <c r="W3825" s="372"/>
      <c r="X3825" s="373"/>
      <c r="Y3825" s="348"/>
      <c r="Z3825" s="348"/>
      <c r="AA3825" s="348"/>
    </row>
    <row r="3826" s="331" customFormat="1" ht="17" customHeight="1" spans="1:27">
      <c r="A3826" s="348"/>
      <c r="B3826" s="348" t="s">
        <v>169</v>
      </c>
      <c r="C3826" s="348" t="s">
        <v>634</v>
      </c>
      <c r="D3826" s="352" t="s">
        <v>635</v>
      </c>
      <c r="E3826" s="336">
        <v>43699</v>
      </c>
      <c r="F3826" s="336">
        <v>43699</v>
      </c>
      <c r="G3826" s="356" t="s">
        <v>69</v>
      </c>
      <c r="H3826" s="334" t="s">
        <v>9495</v>
      </c>
      <c r="I3826" s="356">
        <v>13472741076</v>
      </c>
      <c r="J3826" s="361" t="s">
        <v>9496</v>
      </c>
      <c r="K3826" s="356">
        <v>4000</v>
      </c>
      <c r="L3826" s="419"/>
      <c r="M3826" s="419"/>
      <c r="N3826" s="362">
        <f t="shared" si="133"/>
        <v>0</v>
      </c>
      <c r="O3826" s="356"/>
      <c r="P3826" s="356"/>
      <c r="Q3826" s="356"/>
      <c r="R3826" s="356"/>
      <c r="S3826" s="356"/>
      <c r="T3826" s="356"/>
      <c r="U3826" s="372"/>
      <c r="V3826" s="372"/>
      <c r="W3826" s="372"/>
      <c r="X3826" s="373"/>
      <c r="Y3826" s="348"/>
      <c r="Z3826" s="348"/>
      <c r="AA3826" s="348"/>
    </row>
    <row r="3827" s="331" customFormat="1" ht="17" customHeight="1" spans="1:27">
      <c r="A3827" s="550" t="s">
        <v>804</v>
      </c>
      <c r="B3827" s="348" t="s">
        <v>169</v>
      </c>
      <c r="C3827" s="348" t="s">
        <v>634</v>
      </c>
      <c r="D3827" s="352" t="s">
        <v>635</v>
      </c>
      <c r="E3827" s="336">
        <v>43708</v>
      </c>
      <c r="F3827" s="336">
        <v>43694</v>
      </c>
      <c r="G3827" s="336">
        <v>43708</v>
      </c>
      <c r="H3827" s="334" t="s">
        <v>9497</v>
      </c>
      <c r="I3827" s="356">
        <v>13815878566</v>
      </c>
      <c r="J3827" s="361" t="s">
        <v>9498</v>
      </c>
      <c r="K3827" s="356">
        <v>1000</v>
      </c>
      <c r="L3827" s="334">
        <v>18293</v>
      </c>
      <c r="M3827" s="419"/>
      <c r="N3827" s="362">
        <f t="shared" si="133"/>
        <v>18293</v>
      </c>
      <c r="O3827" s="356"/>
      <c r="P3827" s="356"/>
      <c r="Q3827" s="356"/>
      <c r="R3827" s="356"/>
      <c r="S3827" s="356"/>
      <c r="T3827" s="356"/>
      <c r="U3827" s="372"/>
      <c r="V3827" s="372" t="s">
        <v>98</v>
      </c>
      <c r="W3827" s="372"/>
      <c r="X3827" s="373"/>
      <c r="Y3827" s="348"/>
      <c r="Z3827" s="348"/>
      <c r="AA3827" s="348"/>
    </row>
    <row r="3828" s="331" customFormat="1" ht="17" customHeight="1" spans="1:27">
      <c r="A3828" s="348"/>
      <c r="B3828" s="348" t="s">
        <v>87</v>
      </c>
      <c r="C3828" s="348" t="s">
        <v>466</v>
      </c>
      <c r="D3828" s="349" t="s">
        <v>8334</v>
      </c>
      <c r="E3828" s="336">
        <v>43701</v>
      </c>
      <c r="F3828" s="336">
        <v>43699</v>
      </c>
      <c r="G3828" s="336">
        <v>43701</v>
      </c>
      <c r="H3828" s="334" t="s">
        <v>9499</v>
      </c>
      <c r="I3828" s="356">
        <v>13818094895</v>
      </c>
      <c r="J3828" s="361" t="s">
        <v>9500</v>
      </c>
      <c r="K3828" s="356">
        <v>1967</v>
      </c>
      <c r="L3828" s="334">
        <v>2329</v>
      </c>
      <c r="M3828" s="419"/>
      <c r="N3828" s="362">
        <f t="shared" si="133"/>
        <v>2329</v>
      </c>
      <c r="O3828" s="356"/>
      <c r="P3828" s="356"/>
      <c r="Q3828" s="356"/>
      <c r="R3828" s="356"/>
      <c r="S3828" s="356"/>
      <c r="T3828" s="356"/>
      <c r="U3828" s="372"/>
      <c r="V3828" s="372"/>
      <c r="W3828" s="372"/>
      <c r="X3828" s="373"/>
      <c r="Y3828" s="348"/>
      <c r="Z3828" s="348"/>
      <c r="AA3828" s="348"/>
    </row>
    <row r="3829" s="331" customFormat="1" ht="17" customHeight="1" spans="1:27">
      <c r="A3829" s="348"/>
      <c r="B3829" s="348" t="s">
        <v>169</v>
      </c>
      <c r="C3829" s="334" t="s">
        <v>542</v>
      </c>
      <c r="D3829" s="352" t="s">
        <v>171</v>
      </c>
      <c r="E3829" s="336">
        <v>43708</v>
      </c>
      <c r="F3829" s="336">
        <v>43699</v>
      </c>
      <c r="G3829" s="336">
        <v>43707</v>
      </c>
      <c r="H3829" s="334" t="s">
        <v>9501</v>
      </c>
      <c r="I3829" s="356">
        <v>18621911769</v>
      </c>
      <c r="J3829" s="361" t="s">
        <v>9502</v>
      </c>
      <c r="K3829" s="356">
        <v>1000</v>
      </c>
      <c r="L3829" s="334">
        <v>6565</v>
      </c>
      <c r="M3829" s="419"/>
      <c r="N3829" s="362">
        <f t="shared" si="133"/>
        <v>6565</v>
      </c>
      <c r="O3829" s="356"/>
      <c r="P3829" s="356"/>
      <c r="Q3829" s="356"/>
      <c r="R3829" s="356"/>
      <c r="S3829" s="356"/>
      <c r="T3829" s="356"/>
      <c r="U3829" s="372"/>
      <c r="V3829" s="372" t="s">
        <v>9503</v>
      </c>
      <c r="W3829" s="372"/>
      <c r="X3829" s="373"/>
      <c r="Y3829" s="348"/>
      <c r="Z3829" s="348"/>
      <c r="AA3829" s="348"/>
    </row>
    <row r="3830" s="331" customFormat="1" ht="17" customHeight="1" spans="1:27">
      <c r="A3830" s="348"/>
      <c r="B3830" s="348" t="s">
        <v>169</v>
      </c>
      <c r="C3830" s="348" t="s">
        <v>634</v>
      </c>
      <c r="D3830" s="349" t="s">
        <v>635</v>
      </c>
      <c r="E3830" s="336">
        <v>43699</v>
      </c>
      <c r="F3830" s="336">
        <v>43699</v>
      </c>
      <c r="G3830" s="336">
        <v>43699</v>
      </c>
      <c r="H3830" s="334" t="s">
        <v>9504</v>
      </c>
      <c r="I3830" s="356">
        <v>13681819896</v>
      </c>
      <c r="J3830" s="361" t="s">
        <v>9505</v>
      </c>
      <c r="K3830" s="356">
        <v>9912</v>
      </c>
      <c r="L3830" s="334">
        <v>9850</v>
      </c>
      <c r="M3830" s="419"/>
      <c r="N3830" s="362">
        <f t="shared" si="133"/>
        <v>9850</v>
      </c>
      <c r="O3830" s="356"/>
      <c r="P3830" s="356"/>
      <c r="Q3830" s="356"/>
      <c r="R3830" s="356"/>
      <c r="S3830" s="356"/>
      <c r="T3830" s="356"/>
      <c r="U3830" s="372"/>
      <c r="V3830" s="372"/>
      <c r="W3830" s="372"/>
      <c r="X3830" s="373"/>
      <c r="Y3830" s="348"/>
      <c r="Z3830" s="348"/>
      <c r="AA3830" s="348"/>
    </row>
    <row r="3831" s="331" customFormat="1" ht="17" customHeight="1" spans="1:27">
      <c r="A3831" s="348"/>
      <c r="B3831" s="348" t="s">
        <v>243</v>
      </c>
      <c r="C3831" s="348" t="s">
        <v>304</v>
      </c>
      <c r="D3831" s="352" t="s">
        <v>49</v>
      </c>
      <c r="E3831" s="336">
        <v>43708</v>
      </c>
      <c r="F3831" s="336">
        <v>43699</v>
      </c>
      <c r="G3831" s="336">
        <v>43707</v>
      </c>
      <c r="H3831" s="334" t="s">
        <v>9506</v>
      </c>
      <c r="I3831" s="356">
        <v>13764527546</v>
      </c>
      <c r="J3831" s="361" t="s">
        <v>9507</v>
      </c>
      <c r="K3831" s="356">
        <v>1000</v>
      </c>
      <c r="L3831" s="334">
        <v>12000</v>
      </c>
      <c r="M3831" s="419"/>
      <c r="N3831" s="362">
        <f t="shared" si="133"/>
        <v>12000</v>
      </c>
      <c r="O3831" s="356"/>
      <c r="P3831" s="356"/>
      <c r="Q3831" s="356" t="s">
        <v>52</v>
      </c>
      <c r="R3831" s="356"/>
      <c r="S3831" s="356"/>
      <c r="T3831" s="356"/>
      <c r="U3831" s="372"/>
      <c r="V3831" s="372"/>
      <c r="W3831" s="372"/>
      <c r="X3831" s="373"/>
      <c r="Y3831" s="348"/>
      <c r="Z3831" s="348"/>
      <c r="AA3831" s="348"/>
    </row>
    <row r="3832" s="331" customFormat="1" ht="17" customHeight="1" spans="1:27">
      <c r="A3832" s="348"/>
      <c r="B3832" s="334" t="s">
        <v>31</v>
      </c>
      <c r="C3832" s="334" t="s">
        <v>251</v>
      </c>
      <c r="D3832" s="349" t="s">
        <v>33</v>
      </c>
      <c r="E3832" s="336">
        <v>43699</v>
      </c>
      <c r="F3832" s="336"/>
      <c r="G3832" s="336">
        <v>43698</v>
      </c>
      <c r="H3832" s="334" t="s">
        <v>9508</v>
      </c>
      <c r="I3832" s="334">
        <v>18964022349</v>
      </c>
      <c r="J3832" s="367" t="s">
        <v>9509</v>
      </c>
      <c r="K3832" s="356"/>
      <c r="L3832" s="334">
        <v>22021</v>
      </c>
      <c r="M3832" s="419"/>
      <c r="N3832" s="362">
        <f t="shared" si="133"/>
        <v>22021</v>
      </c>
      <c r="O3832" s="356"/>
      <c r="P3832" s="356"/>
      <c r="Q3832" s="356"/>
      <c r="R3832" s="356"/>
      <c r="S3832" s="356"/>
      <c r="T3832" s="356"/>
      <c r="U3832" s="372"/>
      <c r="V3832" s="372"/>
      <c r="W3832" s="372"/>
      <c r="X3832" s="373"/>
      <c r="Y3832" s="348"/>
      <c r="Z3832" s="348"/>
      <c r="AA3832" s="348"/>
    </row>
    <row r="3833" s="331" customFormat="1" ht="17" customHeight="1" spans="1:27">
      <c r="A3833" s="348"/>
      <c r="B3833" s="334" t="s">
        <v>31</v>
      </c>
      <c r="C3833" s="334" t="s">
        <v>419</v>
      </c>
      <c r="D3833" s="349" t="s">
        <v>221</v>
      </c>
      <c r="E3833" s="336">
        <v>43699</v>
      </c>
      <c r="F3833" s="336"/>
      <c r="G3833" s="336">
        <v>43699</v>
      </c>
      <c r="H3833" s="334" t="s">
        <v>9510</v>
      </c>
      <c r="I3833" s="334">
        <v>13921516841</v>
      </c>
      <c r="J3833" s="367" t="s">
        <v>9511</v>
      </c>
      <c r="K3833" s="356"/>
      <c r="L3833" s="334">
        <v>10673</v>
      </c>
      <c r="M3833" s="419"/>
      <c r="N3833" s="362">
        <f t="shared" si="133"/>
        <v>10673</v>
      </c>
      <c r="O3833" s="356"/>
      <c r="P3833" s="356"/>
      <c r="Q3833" s="356"/>
      <c r="R3833" s="356"/>
      <c r="S3833" s="356"/>
      <c r="T3833" s="356"/>
      <c r="U3833" s="372"/>
      <c r="V3833" s="372"/>
      <c r="W3833" s="372"/>
      <c r="X3833" s="373"/>
      <c r="Y3833" s="348"/>
      <c r="Z3833" s="348"/>
      <c r="AA3833" s="348"/>
    </row>
    <row r="3834" s="331" customFormat="1" ht="17" customHeight="1" spans="1:27">
      <c r="A3834" s="348"/>
      <c r="B3834" s="334" t="s">
        <v>185</v>
      </c>
      <c r="C3834" s="334" t="s">
        <v>186</v>
      </c>
      <c r="D3834" s="349" t="s">
        <v>187</v>
      </c>
      <c r="E3834" s="336">
        <v>43699</v>
      </c>
      <c r="F3834" s="336"/>
      <c r="G3834" s="336">
        <v>43699</v>
      </c>
      <c r="H3834" s="334" t="s">
        <v>9512</v>
      </c>
      <c r="I3834" s="334">
        <v>13122209876</v>
      </c>
      <c r="J3834" s="367" t="s">
        <v>9513</v>
      </c>
      <c r="K3834" s="356"/>
      <c r="L3834" s="334">
        <v>5577</v>
      </c>
      <c r="M3834" s="419"/>
      <c r="N3834" s="362">
        <f t="shared" si="133"/>
        <v>5577</v>
      </c>
      <c r="O3834" s="356"/>
      <c r="P3834" s="356"/>
      <c r="Q3834" s="356"/>
      <c r="R3834" s="356"/>
      <c r="S3834" s="356"/>
      <c r="T3834" s="356"/>
      <c r="U3834" s="372"/>
      <c r="V3834" s="372"/>
      <c r="W3834" s="372"/>
      <c r="X3834" s="373"/>
      <c r="Y3834" s="348"/>
      <c r="Z3834" s="348"/>
      <c r="AA3834" s="348"/>
    </row>
    <row r="3835" s="331" customFormat="1" ht="17" customHeight="1" spans="1:27">
      <c r="A3835" s="348"/>
      <c r="B3835" s="334" t="s">
        <v>42</v>
      </c>
      <c r="C3835" s="334" t="s">
        <v>43</v>
      </c>
      <c r="D3835" s="349" t="s">
        <v>44</v>
      </c>
      <c r="E3835" s="336">
        <v>43699</v>
      </c>
      <c r="F3835" s="336"/>
      <c r="G3835" s="336">
        <v>43699</v>
      </c>
      <c r="H3835" s="334" t="s">
        <v>9514</v>
      </c>
      <c r="I3835" s="334">
        <v>18017723050</v>
      </c>
      <c r="J3835" s="367" t="s">
        <v>9515</v>
      </c>
      <c r="K3835" s="356"/>
      <c r="L3835" s="334">
        <v>2400</v>
      </c>
      <c r="M3835" s="419"/>
      <c r="N3835" s="362">
        <f t="shared" si="133"/>
        <v>2400</v>
      </c>
      <c r="O3835" s="356"/>
      <c r="P3835" s="356"/>
      <c r="Q3835" s="356"/>
      <c r="R3835" s="356"/>
      <c r="S3835" s="356"/>
      <c r="T3835" s="356"/>
      <c r="U3835" s="372"/>
      <c r="V3835" s="372"/>
      <c r="W3835" s="372"/>
      <c r="X3835" s="373"/>
      <c r="Y3835" s="348"/>
      <c r="Z3835" s="348"/>
      <c r="AA3835" s="348"/>
    </row>
    <row r="3836" s="331" customFormat="1" ht="17" customHeight="1" spans="1:27">
      <c r="A3836" s="348"/>
      <c r="B3836" s="348" t="s">
        <v>31</v>
      </c>
      <c r="C3836" s="348" t="s">
        <v>2716</v>
      </c>
      <c r="D3836" s="349" t="s">
        <v>33</v>
      </c>
      <c r="E3836" s="336">
        <v>43699</v>
      </c>
      <c r="F3836" s="336" t="s">
        <v>800</v>
      </c>
      <c r="G3836" s="336">
        <v>43697</v>
      </c>
      <c r="H3836" s="334" t="s">
        <v>2923</v>
      </c>
      <c r="I3836" s="334">
        <v>13564676757</v>
      </c>
      <c r="J3836" s="367" t="s">
        <v>9516</v>
      </c>
      <c r="K3836" s="356"/>
      <c r="L3836" s="419"/>
      <c r="M3836" s="334">
        <v>5270</v>
      </c>
      <c r="N3836" s="362">
        <f t="shared" si="133"/>
        <v>5270</v>
      </c>
      <c r="O3836" s="356"/>
      <c r="P3836" s="356"/>
      <c r="Q3836" s="356"/>
      <c r="R3836" s="356"/>
      <c r="S3836" s="356"/>
      <c r="T3836" s="356"/>
      <c r="U3836" s="372"/>
      <c r="V3836" s="372"/>
      <c r="W3836" s="372"/>
      <c r="X3836" s="373"/>
      <c r="Y3836" s="348"/>
      <c r="Z3836" s="348"/>
      <c r="AA3836" s="348"/>
    </row>
    <row r="3837" s="331" customFormat="1" ht="17" customHeight="1" spans="1:27">
      <c r="A3837" s="348"/>
      <c r="B3837" s="348" t="s">
        <v>236</v>
      </c>
      <c r="C3837" s="348" t="s">
        <v>703</v>
      </c>
      <c r="D3837" s="349" t="s">
        <v>37</v>
      </c>
      <c r="E3837" s="336">
        <v>43699</v>
      </c>
      <c r="F3837" s="336" t="s">
        <v>800</v>
      </c>
      <c r="G3837" s="336">
        <v>43695</v>
      </c>
      <c r="H3837" s="334" t="s">
        <v>6762</v>
      </c>
      <c r="I3837" s="334">
        <v>13901981529</v>
      </c>
      <c r="J3837" s="361" t="s">
        <v>6763</v>
      </c>
      <c r="K3837" s="356"/>
      <c r="L3837" s="419"/>
      <c r="M3837" s="334">
        <v>12823</v>
      </c>
      <c r="N3837" s="362">
        <f t="shared" si="133"/>
        <v>12823</v>
      </c>
      <c r="O3837" s="356"/>
      <c r="P3837" s="356"/>
      <c r="Q3837" s="356"/>
      <c r="R3837" s="356"/>
      <c r="S3837" s="356"/>
      <c r="T3837" s="356"/>
      <c r="U3837" s="372"/>
      <c r="V3837" s="372"/>
      <c r="W3837" s="372"/>
      <c r="X3837" s="373"/>
      <c r="Y3837" s="348"/>
      <c r="Z3837" s="348"/>
      <c r="AA3837" s="348"/>
    </row>
    <row r="3838" s="331" customFormat="1" ht="17" customHeight="1" spans="1:27">
      <c r="A3838" s="348"/>
      <c r="B3838" s="334" t="s">
        <v>236</v>
      </c>
      <c r="C3838" s="334" t="s">
        <v>195</v>
      </c>
      <c r="D3838" s="349" t="s">
        <v>187</v>
      </c>
      <c r="E3838" s="336">
        <v>43699</v>
      </c>
      <c r="F3838" s="336" t="s">
        <v>800</v>
      </c>
      <c r="G3838" s="336">
        <v>43695</v>
      </c>
      <c r="H3838" s="334" t="s">
        <v>9517</v>
      </c>
      <c r="I3838" s="334">
        <v>13621876445</v>
      </c>
      <c r="J3838" s="367" t="s">
        <v>9518</v>
      </c>
      <c r="K3838" s="356"/>
      <c r="L3838" s="419"/>
      <c r="M3838" s="334">
        <v>19050</v>
      </c>
      <c r="N3838" s="362">
        <f t="shared" si="133"/>
        <v>19050</v>
      </c>
      <c r="O3838" s="356"/>
      <c r="P3838" s="356"/>
      <c r="Q3838" s="356"/>
      <c r="R3838" s="356"/>
      <c r="S3838" s="356"/>
      <c r="T3838" s="356"/>
      <c r="U3838" s="372"/>
      <c r="V3838" s="372"/>
      <c r="W3838" s="372"/>
      <c r="X3838" s="373"/>
      <c r="Y3838" s="348"/>
      <c r="Z3838" s="348"/>
      <c r="AA3838" s="348"/>
    </row>
    <row r="3839" s="331" customFormat="1" ht="17" customHeight="1" spans="1:27">
      <c r="A3839" s="348"/>
      <c r="B3839" s="348" t="s">
        <v>137</v>
      </c>
      <c r="C3839" s="334" t="s">
        <v>861</v>
      </c>
      <c r="D3839" s="349" t="s">
        <v>427</v>
      </c>
      <c r="E3839" s="336">
        <v>43699</v>
      </c>
      <c r="F3839" s="336" t="s">
        <v>800</v>
      </c>
      <c r="G3839" s="336">
        <v>43696</v>
      </c>
      <c r="H3839" s="334" t="s">
        <v>9519</v>
      </c>
      <c r="I3839" s="334">
        <v>13818973533</v>
      </c>
      <c r="J3839" s="361" t="s">
        <v>6945</v>
      </c>
      <c r="K3839" s="356"/>
      <c r="L3839" s="419"/>
      <c r="M3839" s="334">
        <v>16325</v>
      </c>
      <c r="N3839" s="362">
        <f t="shared" si="133"/>
        <v>16325</v>
      </c>
      <c r="O3839" s="356"/>
      <c r="P3839" s="356"/>
      <c r="Q3839" s="356"/>
      <c r="R3839" s="356"/>
      <c r="S3839" s="356"/>
      <c r="T3839" s="356"/>
      <c r="U3839" s="372"/>
      <c r="V3839" s="372"/>
      <c r="W3839" s="372"/>
      <c r="X3839" s="373"/>
      <c r="Y3839" s="348"/>
      <c r="Z3839" s="348"/>
      <c r="AA3839" s="348"/>
    </row>
    <row r="3840" s="331" customFormat="1" ht="17" customHeight="1" spans="1:27">
      <c r="A3840" s="348"/>
      <c r="B3840" s="334" t="s">
        <v>137</v>
      </c>
      <c r="C3840" s="334" t="s">
        <v>426</v>
      </c>
      <c r="D3840" s="349" t="s">
        <v>343</v>
      </c>
      <c r="E3840" s="336">
        <v>43699</v>
      </c>
      <c r="F3840" s="336" t="s">
        <v>800</v>
      </c>
      <c r="G3840" s="336">
        <v>43699</v>
      </c>
      <c r="H3840" s="334" t="s">
        <v>9520</v>
      </c>
      <c r="I3840" s="551" t="s">
        <v>9521</v>
      </c>
      <c r="J3840" s="367" t="s">
        <v>9522</v>
      </c>
      <c r="K3840" s="356"/>
      <c r="L3840" s="419"/>
      <c r="M3840" s="334">
        <v>437</v>
      </c>
      <c r="N3840" s="362">
        <f t="shared" si="133"/>
        <v>437</v>
      </c>
      <c r="O3840" s="356"/>
      <c r="P3840" s="356"/>
      <c r="Q3840" s="356"/>
      <c r="R3840" s="356"/>
      <c r="S3840" s="356"/>
      <c r="T3840" s="356"/>
      <c r="U3840" s="372"/>
      <c r="V3840" s="372"/>
      <c r="W3840" s="372"/>
      <c r="X3840" s="373"/>
      <c r="Y3840" s="348"/>
      <c r="Z3840" s="348"/>
      <c r="AA3840" s="348"/>
    </row>
    <row r="3841" s="331" customFormat="1" ht="17" customHeight="1" spans="1:27">
      <c r="A3841" s="348"/>
      <c r="B3841" s="348" t="s">
        <v>335</v>
      </c>
      <c r="C3841" s="334" t="s">
        <v>615</v>
      </c>
      <c r="D3841" s="349" t="s">
        <v>337</v>
      </c>
      <c r="E3841" s="336">
        <v>43699</v>
      </c>
      <c r="F3841" s="336" t="s">
        <v>800</v>
      </c>
      <c r="G3841" s="336">
        <v>43699</v>
      </c>
      <c r="H3841" s="334" t="s">
        <v>8674</v>
      </c>
      <c r="I3841" s="356">
        <v>13918407208</v>
      </c>
      <c r="J3841" s="361" t="s">
        <v>8675</v>
      </c>
      <c r="K3841" s="356"/>
      <c r="L3841" s="419"/>
      <c r="M3841" s="334">
        <v>25170</v>
      </c>
      <c r="N3841" s="362">
        <f t="shared" si="133"/>
        <v>25170</v>
      </c>
      <c r="O3841" s="356"/>
      <c r="P3841" s="356"/>
      <c r="Q3841" s="356"/>
      <c r="R3841" s="356"/>
      <c r="S3841" s="356"/>
      <c r="T3841" s="356"/>
      <c r="U3841" s="372"/>
      <c r="V3841" s="372"/>
      <c r="W3841" s="372"/>
      <c r="X3841" s="373"/>
      <c r="Y3841" s="348"/>
      <c r="Z3841" s="348"/>
      <c r="AA3841" s="348"/>
    </row>
    <row r="3842" s="331" customFormat="1" ht="15" customHeight="1" spans="1:27">
      <c r="A3842" s="550" t="s">
        <v>9523</v>
      </c>
      <c r="B3842" s="348" t="s">
        <v>58</v>
      </c>
      <c r="C3842" s="348" t="s">
        <v>347</v>
      </c>
      <c r="D3842" s="334" t="s">
        <v>271</v>
      </c>
      <c r="E3842" s="336">
        <v>43728</v>
      </c>
      <c r="F3842" s="336">
        <v>43688</v>
      </c>
      <c r="G3842" s="336">
        <v>43725</v>
      </c>
      <c r="H3842" s="334" t="s">
        <v>9524</v>
      </c>
      <c r="I3842" s="356">
        <v>15921610427</v>
      </c>
      <c r="J3842" s="361" t="s">
        <v>9525</v>
      </c>
      <c r="K3842" s="356">
        <v>500</v>
      </c>
      <c r="L3842" s="334">
        <v>16590</v>
      </c>
      <c r="M3842" s="419"/>
      <c r="N3842" s="362">
        <f t="shared" ref="N3842:N3895" si="134">L3842+M3842</f>
        <v>16590</v>
      </c>
      <c r="O3842" s="356"/>
      <c r="P3842" s="366"/>
      <c r="Q3842" s="356"/>
      <c r="R3842" s="356"/>
      <c r="S3842" s="356"/>
      <c r="T3842" s="356"/>
      <c r="U3842" s="372"/>
      <c r="V3842" s="372"/>
      <c r="W3842" s="372">
        <v>8.29</v>
      </c>
      <c r="X3842" s="373"/>
      <c r="Y3842" s="348"/>
      <c r="Z3842" s="348"/>
      <c r="AA3842" s="348"/>
    </row>
    <row r="3843" s="331" customFormat="1" ht="17" customHeight="1" spans="1:27">
      <c r="A3843" s="550" t="s">
        <v>9526</v>
      </c>
      <c r="B3843" s="348" t="s">
        <v>31</v>
      </c>
      <c r="C3843" s="348" t="s">
        <v>3186</v>
      </c>
      <c r="D3843" s="334" t="s">
        <v>33</v>
      </c>
      <c r="E3843" s="336">
        <v>43760</v>
      </c>
      <c r="F3843" s="336">
        <v>43699</v>
      </c>
      <c r="G3843" s="336">
        <v>43758</v>
      </c>
      <c r="H3843" s="334" t="s">
        <v>9527</v>
      </c>
      <c r="I3843" s="356">
        <v>15601611008</v>
      </c>
      <c r="J3843" s="361" t="s">
        <v>9528</v>
      </c>
      <c r="K3843" s="356">
        <v>1000</v>
      </c>
      <c r="L3843" s="334">
        <v>17016</v>
      </c>
      <c r="M3843" s="419"/>
      <c r="N3843" s="362">
        <f t="shared" si="134"/>
        <v>17016</v>
      </c>
      <c r="O3843" s="356"/>
      <c r="P3843" s="356"/>
      <c r="Q3843" s="356"/>
      <c r="R3843" s="356"/>
      <c r="S3843" s="356"/>
      <c r="T3843" s="356"/>
      <c r="U3843" s="372"/>
      <c r="V3843" s="372"/>
      <c r="W3843" s="372"/>
      <c r="X3843" s="373"/>
      <c r="Y3843" s="348"/>
      <c r="Z3843" s="348"/>
      <c r="AA3843" s="348"/>
    </row>
    <row r="3844" s="331" customFormat="1" ht="15" customHeight="1" spans="1:27">
      <c r="A3844" s="550" t="s">
        <v>9529</v>
      </c>
      <c r="B3844" s="348" t="s">
        <v>58</v>
      </c>
      <c r="C3844" s="348" t="s">
        <v>342</v>
      </c>
      <c r="D3844" s="352" t="s">
        <v>343</v>
      </c>
      <c r="E3844" s="336">
        <v>43700</v>
      </c>
      <c r="F3844" s="336">
        <v>43699</v>
      </c>
      <c r="G3844" s="350"/>
      <c r="H3844" s="348" t="s">
        <v>9530</v>
      </c>
      <c r="I3844" s="356">
        <v>15901929472</v>
      </c>
      <c r="J3844" s="361" t="s">
        <v>9531</v>
      </c>
      <c r="K3844" s="356">
        <v>1000</v>
      </c>
      <c r="L3844" s="419"/>
      <c r="M3844" s="419"/>
      <c r="N3844" s="362">
        <f t="shared" si="134"/>
        <v>0</v>
      </c>
      <c r="O3844" s="366" t="s">
        <v>52</v>
      </c>
      <c r="P3844" s="356"/>
      <c r="Q3844" s="356"/>
      <c r="R3844" s="356"/>
      <c r="S3844" s="356"/>
      <c r="T3844" s="356"/>
      <c r="U3844" s="372"/>
      <c r="V3844" s="372"/>
      <c r="W3844" s="372"/>
      <c r="X3844" s="373"/>
      <c r="Y3844" s="348"/>
      <c r="Z3844" s="348"/>
      <c r="AA3844" s="348"/>
    </row>
    <row r="3845" s="57" customFormat="1" ht="17" customHeight="1" spans="1:27">
      <c r="A3845" s="348">
        <v>2068702</v>
      </c>
      <c r="B3845" s="348" t="s">
        <v>137</v>
      </c>
      <c r="C3845" s="348" t="s">
        <v>406</v>
      </c>
      <c r="D3845" s="349" t="s">
        <v>443</v>
      </c>
      <c r="E3845" s="336">
        <v>43700</v>
      </c>
      <c r="F3845" s="336">
        <v>43699</v>
      </c>
      <c r="G3845" s="350"/>
      <c r="H3845" s="334" t="s">
        <v>9532</v>
      </c>
      <c r="I3845" s="356">
        <v>13666698600</v>
      </c>
      <c r="J3845" s="348" t="s">
        <v>9533</v>
      </c>
      <c r="K3845" s="356">
        <v>500</v>
      </c>
      <c r="L3845" s="419"/>
      <c r="M3845" s="419"/>
      <c r="N3845" s="362">
        <f t="shared" si="134"/>
        <v>0</v>
      </c>
      <c r="O3845" s="356"/>
      <c r="P3845" s="356"/>
      <c r="Q3845" s="356"/>
      <c r="R3845" s="356">
        <v>1</v>
      </c>
      <c r="S3845" s="356"/>
      <c r="T3845" s="356"/>
      <c r="U3845" s="372" t="s">
        <v>12</v>
      </c>
      <c r="V3845" s="372"/>
      <c r="W3845" s="372"/>
      <c r="X3845" s="373"/>
      <c r="Y3845" s="348"/>
      <c r="Z3845" s="348"/>
      <c r="AA3845" s="348"/>
    </row>
    <row r="3846" s="57" customFormat="1" ht="17" customHeight="1" spans="1:27">
      <c r="A3846" s="348">
        <v>2068703</v>
      </c>
      <c r="B3846" s="348" t="s">
        <v>137</v>
      </c>
      <c r="C3846" s="348" t="s">
        <v>406</v>
      </c>
      <c r="D3846" s="349" t="s">
        <v>443</v>
      </c>
      <c r="E3846" s="336">
        <v>43700</v>
      </c>
      <c r="F3846" s="336">
        <v>43699</v>
      </c>
      <c r="G3846" s="350"/>
      <c r="H3846" s="334" t="s">
        <v>9534</v>
      </c>
      <c r="I3846" s="356">
        <v>13585726045</v>
      </c>
      <c r="J3846" s="348" t="s">
        <v>9535</v>
      </c>
      <c r="K3846" s="356">
        <v>500</v>
      </c>
      <c r="L3846" s="419"/>
      <c r="M3846" s="419"/>
      <c r="N3846" s="362">
        <f t="shared" si="134"/>
        <v>0</v>
      </c>
      <c r="O3846" s="356"/>
      <c r="P3846" s="356"/>
      <c r="Q3846" s="356"/>
      <c r="R3846" s="356">
        <v>1</v>
      </c>
      <c r="S3846" s="356"/>
      <c r="T3846" s="356"/>
      <c r="U3846" s="385" t="s">
        <v>52</v>
      </c>
      <c r="V3846" s="372"/>
      <c r="W3846" s="372"/>
      <c r="X3846" s="373"/>
      <c r="Y3846" s="348"/>
      <c r="Z3846" s="348"/>
      <c r="AA3846" s="348"/>
    </row>
    <row r="3847" s="331" customFormat="1" ht="17" customHeight="1" spans="1:27">
      <c r="A3847" s="550" t="s">
        <v>9536</v>
      </c>
      <c r="B3847" s="348" t="s">
        <v>31</v>
      </c>
      <c r="C3847" s="348" t="s">
        <v>3186</v>
      </c>
      <c r="D3847" s="334" t="s">
        <v>337</v>
      </c>
      <c r="E3847" s="336">
        <v>43745</v>
      </c>
      <c r="F3847" s="336">
        <v>43700</v>
      </c>
      <c r="G3847" s="336">
        <v>43745</v>
      </c>
      <c r="H3847" s="334" t="s">
        <v>9537</v>
      </c>
      <c r="I3847" s="356">
        <v>15202145401</v>
      </c>
      <c r="J3847" s="361" t="s">
        <v>9538</v>
      </c>
      <c r="K3847" s="356">
        <v>500</v>
      </c>
      <c r="L3847" s="334">
        <v>7600</v>
      </c>
      <c r="M3847" s="419"/>
      <c r="N3847" s="362">
        <f t="shared" si="134"/>
        <v>7600</v>
      </c>
      <c r="O3847" s="356"/>
      <c r="P3847" s="356"/>
      <c r="Q3847" s="356"/>
      <c r="R3847" s="356"/>
      <c r="S3847" s="356"/>
      <c r="T3847" s="356"/>
      <c r="U3847" s="372"/>
      <c r="V3847" s="372"/>
      <c r="W3847" s="372"/>
      <c r="X3847" s="373"/>
      <c r="Y3847" s="348"/>
      <c r="Z3847" s="348"/>
      <c r="AA3847" s="348"/>
    </row>
    <row r="3848" s="331" customFormat="1" ht="17" customHeight="1" spans="1:27">
      <c r="A3848" s="550" t="s">
        <v>9539</v>
      </c>
      <c r="B3848" s="348" t="s">
        <v>66</v>
      </c>
      <c r="C3848" s="348" t="s">
        <v>67</v>
      </c>
      <c r="D3848" s="352" t="s">
        <v>1436</v>
      </c>
      <c r="E3848" s="336">
        <v>43700</v>
      </c>
      <c r="F3848" s="336">
        <v>43700</v>
      </c>
      <c r="G3848" s="350"/>
      <c r="H3848" s="334" t="s">
        <v>9540</v>
      </c>
      <c r="I3848" s="356">
        <v>13524445855</v>
      </c>
      <c r="J3848" s="361" t="s">
        <v>9541</v>
      </c>
      <c r="K3848" s="356">
        <v>1000</v>
      </c>
      <c r="L3848" s="419"/>
      <c r="M3848" s="419"/>
      <c r="N3848" s="362">
        <f t="shared" si="134"/>
        <v>0</v>
      </c>
      <c r="O3848" s="356"/>
      <c r="P3848" s="366" t="s">
        <v>52</v>
      </c>
      <c r="Q3848" s="356"/>
      <c r="R3848" s="356"/>
      <c r="S3848" s="356"/>
      <c r="T3848" s="356"/>
      <c r="U3848" s="372"/>
      <c r="V3848" s="372"/>
      <c r="W3848" s="372"/>
      <c r="X3848" s="373"/>
      <c r="Y3848" s="348"/>
      <c r="Z3848" s="348"/>
      <c r="AA3848" s="348"/>
    </row>
    <row r="3849" s="331" customFormat="1" ht="17" customHeight="1" spans="1:27">
      <c r="A3849" s="550" t="s">
        <v>9542</v>
      </c>
      <c r="B3849" s="348" t="s">
        <v>31</v>
      </c>
      <c r="C3849" s="348" t="s">
        <v>2716</v>
      </c>
      <c r="D3849" s="334" t="s">
        <v>221</v>
      </c>
      <c r="E3849" s="336">
        <v>43756</v>
      </c>
      <c r="F3849" s="336">
        <v>43700</v>
      </c>
      <c r="G3849" s="336">
        <v>43754</v>
      </c>
      <c r="H3849" s="334" t="s">
        <v>9543</v>
      </c>
      <c r="I3849" s="356">
        <v>13761610828</v>
      </c>
      <c r="J3849" s="361" t="s">
        <v>9544</v>
      </c>
      <c r="K3849" s="356">
        <v>1000</v>
      </c>
      <c r="L3849" s="334">
        <v>7845</v>
      </c>
      <c r="M3849" s="419"/>
      <c r="N3849" s="362">
        <f t="shared" si="134"/>
        <v>7845</v>
      </c>
      <c r="O3849" s="356"/>
      <c r="P3849" s="356"/>
      <c r="Q3849" s="356"/>
      <c r="R3849" s="356"/>
      <c r="S3849" s="356"/>
      <c r="T3849" s="356"/>
      <c r="U3849" s="372"/>
      <c r="V3849" s="372"/>
      <c r="W3849" s="372"/>
      <c r="X3849" s="373"/>
      <c r="Y3849" s="348"/>
      <c r="Z3849" s="348"/>
      <c r="AA3849" s="348"/>
    </row>
    <row r="3850" s="331" customFormat="1" ht="17" customHeight="1" spans="1:27">
      <c r="A3850" s="348"/>
      <c r="B3850" s="348" t="s">
        <v>153</v>
      </c>
      <c r="C3850" s="348" t="s">
        <v>302</v>
      </c>
      <c r="D3850" s="352" t="s">
        <v>155</v>
      </c>
      <c r="E3850" s="336">
        <v>43708</v>
      </c>
      <c r="F3850" s="336">
        <v>43700</v>
      </c>
      <c r="G3850" s="336">
        <v>43708</v>
      </c>
      <c r="H3850" s="334" t="s">
        <v>9545</v>
      </c>
      <c r="I3850" s="356">
        <v>13818385627</v>
      </c>
      <c r="J3850" s="361" t="s">
        <v>5873</v>
      </c>
      <c r="K3850" s="356">
        <v>5762</v>
      </c>
      <c r="L3850" s="334">
        <v>8514</v>
      </c>
      <c r="M3850" s="419"/>
      <c r="N3850" s="362">
        <f t="shared" si="134"/>
        <v>8514</v>
      </c>
      <c r="O3850" s="356"/>
      <c r="P3850" s="356"/>
      <c r="Q3850" s="356"/>
      <c r="R3850" s="356"/>
      <c r="S3850" s="356"/>
      <c r="T3850" s="356"/>
      <c r="U3850" s="372"/>
      <c r="V3850" s="372"/>
      <c r="W3850" s="372"/>
      <c r="X3850" s="373"/>
      <c r="Y3850" s="348"/>
      <c r="Z3850" s="348"/>
      <c r="AA3850" s="348"/>
    </row>
    <row r="3851" s="331" customFormat="1" ht="17" customHeight="1" spans="1:27">
      <c r="A3851" s="550" t="s">
        <v>9546</v>
      </c>
      <c r="B3851" s="348" t="s">
        <v>35</v>
      </c>
      <c r="C3851" s="348" t="s">
        <v>328</v>
      </c>
      <c r="D3851" s="352" t="s">
        <v>37</v>
      </c>
      <c r="E3851" s="336">
        <v>43700</v>
      </c>
      <c r="F3851" s="336">
        <v>43699</v>
      </c>
      <c r="G3851" s="350" t="s">
        <v>69</v>
      </c>
      <c r="H3851" s="334" t="s">
        <v>9547</v>
      </c>
      <c r="I3851" s="356">
        <v>13901758993</v>
      </c>
      <c r="J3851" s="361" t="s">
        <v>9548</v>
      </c>
      <c r="K3851" s="356">
        <v>500</v>
      </c>
      <c r="L3851" s="419"/>
      <c r="M3851" s="419"/>
      <c r="N3851" s="362">
        <f t="shared" si="134"/>
        <v>0</v>
      </c>
      <c r="O3851" s="356"/>
      <c r="P3851" s="356" t="s">
        <v>52</v>
      </c>
      <c r="Q3851" s="356"/>
      <c r="R3851" s="356"/>
      <c r="S3851" s="356"/>
      <c r="T3851" s="356"/>
      <c r="U3851" s="372"/>
      <c r="V3851" s="372"/>
      <c r="W3851" s="372"/>
      <c r="X3851" s="373"/>
      <c r="Y3851" s="348"/>
      <c r="Z3851" s="348"/>
      <c r="AA3851" s="348"/>
    </row>
    <row r="3852" s="331" customFormat="1" ht="15" customHeight="1" spans="1:27">
      <c r="A3852" s="550" t="s">
        <v>9549</v>
      </c>
      <c r="B3852" s="348" t="s">
        <v>58</v>
      </c>
      <c r="C3852" s="348" t="s">
        <v>109</v>
      </c>
      <c r="D3852" s="352" t="s">
        <v>110</v>
      </c>
      <c r="E3852" s="336">
        <v>43733</v>
      </c>
      <c r="F3852" s="336">
        <v>43700</v>
      </c>
      <c r="G3852" s="336">
        <v>43732</v>
      </c>
      <c r="H3852" s="334" t="s">
        <v>9550</v>
      </c>
      <c r="I3852" s="334">
        <v>13918331869</v>
      </c>
      <c r="J3852" s="361" t="s">
        <v>9551</v>
      </c>
      <c r="K3852" s="356">
        <v>1000</v>
      </c>
      <c r="L3852" s="334">
        <f>6715-268</f>
        <v>6447</v>
      </c>
      <c r="M3852" s="334">
        <v>268</v>
      </c>
      <c r="N3852" s="362">
        <f t="shared" si="134"/>
        <v>6715</v>
      </c>
      <c r="O3852" s="366" t="s">
        <v>52</v>
      </c>
      <c r="P3852" s="356"/>
      <c r="Q3852" s="356"/>
      <c r="R3852" s="356"/>
      <c r="S3852" s="356"/>
      <c r="T3852" s="356"/>
      <c r="U3852" s="372"/>
      <c r="V3852" s="372"/>
      <c r="W3852" s="372"/>
      <c r="X3852" s="373"/>
      <c r="Y3852" s="348"/>
      <c r="Z3852" s="348"/>
      <c r="AA3852" s="348"/>
    </row>
    <row r="3853" s="331" customFormat="1" ht="17" customHeight="1" spans="1:27">
      <c r="A3853" s="348"/>
      <c r="B3853" s="348" t="s">
        <v>66</v>
      </c>
      <c r="C3853" s="348" t="s">
        <v>67</v>
      </c>
      <c r="D3853" s="349" t="s">
        <v>1436</v>
      </c>
      <c r="E3853" s="336">
        <v>43702</v>
      </c>
      <c r="F3853" s="336">
        <v>43700</v>
      </c>
      <c r="G3853" s="336">
        <v>43702</v>
      </c>
      <c r="H3853" s="348" t="s">
        <v>9552</v>
      </c>
      <c r="I3853" s="356">
        <v>13122100395</v>
      </c>
      <c r="J3853" s="361" t="s">
        <v>9553</v>
      </c>
      <c r="K3853" s="356">
        <v>4732</v>
      </c>
      <c r="L3853" s="334">
        <v>4128</v>
      </c>
      <c r="M3853" s="334">
        <v>736</v>
      </c>
      <c r="N3853" s="362">
        <f t="shared" si="134"/>
        <v>4864</v>
      </c>
      <c r="O3853" s="356"/>
      <c r="P3853" s="356"/>
      <c r="Q3853" s="356"/>
      <c r="R3853" s="356"/>
      <c r="S3853" s="356"/>
      <c r="T3853" s="356"/>
      <c r="U3853" s="372"/>
      <c r="V3853" s="372"/>
      <c r="W3853" s="372"/>
      <c r="X3853" s="373"/>
      <c r="Y3853" s="348"/>
      <c r="Z3853" s="348"/>
      <c r="AA3853" s="348"/>
    </row>
    <row r="3854" s="331" customFormat="1" ht="17" customHeight="1" spans="1:27">
      <c r="A3854" s="550" t="s">
        <v>2115</v>
      </c>
      <c r="B3854" s="348" t="s">
        <v>185</v>
      </c>
      <c r="C3854" s="348" t="s">
        <v>886</v>
      </c>
      <c r="D3854" s="352" t="s">
        <v>187</v>
      </c>
      <c r="E3854" s="336">
        <v>43707</v>
      </c>
      <c r="F3854" s="336">
        <v>43698</v>
      </c>
      <c r="G3854" s="336">
        <v>43707</v>
      </c>
      <c r="H3854" s="334" t="s">
        <v>9554</v>
      </c>
      <c r="I3854" s="356">
        <v>18616963099</v>
      </c>
      <c r="J3854" s="361" t="s">
        <v>9555</v>
      </c>
      <c r="K3854" s="356">
        <v>8092</v>
      </c>
      <c r="L3854" s="334">
        <v>8092</v>
      </c>
      <c r="M3854" s="419"/>
      <c r="N3854" s="362">
        <f t="shared" si="134"/>
        <v>8092</v>
      </c>
      <c r="O3854" s="356"/>
      <c r="P3854" s="356" t="s">
        <v>52</v>
      </c>
      <c r="Q3854" s="356"/>
      <c r="R3854" s="356"/>
      <c r="S3854" s="356"/>
      <c r="T3854" s="356"/>
      <c r="U3854" s="393" t="s">
        <v>40</v>
      </c>
      <c r="V3854" s="372"/>
      <c r="W3854" s="372"/>
      <c r="X3854" s="373"/>
      <c r="Y3854" s="348"/>
      <c r="Z3854" s="348"/>
      <c r="AA3854" s="348"/>
    </row>
    <row r="3855" s="331" customFormat="1" ht="17" customHeight="1" spans="1:27">
      <c r="A3855" s="348">
        <v>2067197</v>
      </c>
      <c r="B3855" s="348" t="s">
        <v>66</v>
      </c>
      <c r="C3855" s="348" t="s">
        <v>951</v>
      </c>
      <c r="D3855" s="352" t="s">
        <v>68</v>
      </c>
      <c r="E3855" s="336">
        <v>43704</v>
      </c>
      <c r="F3855" s="336">
        <v>43700</v>
      </c>
      <c r="G3855" s="336">
        <v>43704</v>
      </c>
      <c r="H3855" s="348" t="s">
        <v>9556</v>
      </c>
      <c r="I3855" s="356">
        <v>13701799476</v>
      </c>
      <c r="J3855" s="361" t="s">
        <v>9557</v>
      </c>
      <c r="K3855" s="356">
        <v>2000</v>
      </c>
      <c r="L3855" s="334">
        <v>10071</v>
      </c>
      <c r="M3855" s="419"/>
      <c r="N3855" s="362">
        <f t="shared" si="134"/>
        <v>10071</v>
      </c>
      <c r="O3855" s="356"/>
      <c r="P3855" s="356"/>
      <c r="Q3855" s="356"/>
      <c r="R3855" s="356"/>
      <c r="S3855" s="356"/>
      <c r="T3855" s="356"/>
      <c r="U3855" s="372"/>
      <c r="V3855" s="372"/>
      <c r="W3855" s="372"/>
      <c r="X3855" s="373"/>
      <c r="Y3855" s="348"/>
      <c r="Z3855" s="348"/>
      <c r="AA3855" s="348"/>
    </row>
    <row r="3856" s="331" customFormat="1" customHeight="1" spans="1:27">
      <c r="A3856" s="550" t="s">
        <v>9558</v>
      </c>
      <c r="B3856" s="348" t="s">
        <v>236</v>
      </c>
      <c r="C3856" s="348" t="s">
        <v>703</v>
      </c>
      <c r="D3856" s="352" t="s">
        <v>237</v>
      </c>
      <c r="E3856" s="336">
        <v>43700</v>
      </c>
      <c r="F3856" s="336">
        <v>43699</v>
      </c>
      <c r="G3856" s="350"/>
      <c r="H3856" s="334" t="s">
        <v>9559</v>
      </c>
      <c r="I3856" s="356">
        <v>13916644677</v>
      </c>
      <c r="J3856" s="361" t="s">
        <v>9560</v>
      </c>
      <c r="K3856" s="356">
        <v>500</v>
      </c>
      <c r="L3856" s="419"/>
      <c r="M3856" s="419"/>
      <c r="N3856" s="362">
        <f t="shared" si="134"/>
        <v>0</v>
      </c>
      <c r="O3856" s="356" t="s">
        <v>4314</v>
      </c>
      <c r="P3856" s="356"/>
      <c r="Q3856" s="356"/>
      <c r="R3856" s="356"/>
      <c r="S3856" s="356"/>
      <c r="T3856" s="356"/>
      <c r="U3856" s="356" t="s">
        <v>52</v>
      </c>
      <c r="V3856" s="372"/>
      <c r="W3856" s="372"/>
      <c r="X3856" s="373"/>
      <c r="Y3856" s="348"/>
      <c r="Z3856" s="348"/>
      <c r="AA3856" s="348"/>
    </row>
    <row r="3857" s="331" customFormat="1" ht="17" customHeight="1" spans="1:27">
      <c r="A3857" s="550" t="s">
        <v>9561</v>
      </c>
      <c r="B3857" s="348" t="s">
        <v>58</v>
      </c>
      <c r="C3857" s="348" t="s">
        <v>342</v>
      </c>
      <c r="D3857" s="349" t="s">
        <v>407</v>
      </c>
      <c r="E3857" s="336">
        <v>43702</v>
      </c>
      <c r="F3857" s="336">
        <v>43699</v>
      </c>
      <c r="G3857" s="336">
        <v>43701</v>
      </c>
      <c r="H3857" s="334" t="s">
        <v>9562</v>
      </c>
      <c r="I3857" s="356">
        <v>15921984445</v>
      </c>
      <c r="J3857" s="361" t="s">
        <v>9563</v>
      </c>
      <c r="K3857" s="356">
        <v>1000</v>
      </c>
      <c r="L3857" s="334">
        <v>16427</v>
      </c>
      <c r="M3857" s="419"/>
      <c r="N3857" s="362">
        <f t="shared" si="134"/>
        <v>16427</v>
      </c>
      <c r="O3857" s="356"/>
      <c r="P3857" s="356"/>
      <c r="Q3857" s="356"/>
      <c r="R3857" s="356"/>
      <c r="S3857" s="356"/>
      <c r="T3857" s="356"/>
      <c r="U3857" s="372"/>
      <c r="V3857" s="372"/>
      <c r="W3857" s="372"/>
      <c r="X3857" s="373"/>
      <c r="Y3857" s="348"/>
      <c r="Z3857" s="348"/>
      <c r="AA3857" s="348"/>
    </row>
    <row r="3858" s="331" customFormat="1" ht="17" customHeight="1" spans="1:27">
      <c r="A3858" s="348">
        <v>2068704</v>
      </c>
      <c r="B3858" s="348" t="s">
        <v>137</v>
      </c>
      <c r="C3858" s="348" t="s">
        <v>406</v>
      </c>
      <c r="D3858" s="349" t="s">
        <v>443</v>
      </c>
      <c r="E3858" s="336">
        <v>43737</v>
      </c>
      <c r="F3858" s="336">
        <v>43698</v>
      </c>
      <c r="G3858" s="336">
        <v>43737</v>
      </c>
      <c r="H3858" s="334" t="s">
        <v>9207</v>
      </c>
      <c r="I3858" s="356">
        <v>18721289383</v>
      </c>
      <c r="J3858" s="361" t="s">
        <v>9564</v>
      </c>
      <c r="K3858" s="356">
        <v>1998</v>
      </c>
      <c r="L3858" s="334">
        <v>6963</v>
      </c>
      <c r="M3858" s="419"/>
      <c r="N3858" s="362">
        <f t="shared" si="134"/>
        <v>6963</v>
      </c>
      <c r="O3858" s="356"/>
      <c r="P3858" s="356"/>
      <c r="Q3858" s="356">
        <v>1</v>
      </c>
      <c r="R3858" s="356"/>
      <c r="S3858" s="356"/>
      <c r="T3858" s="356"/>
      <c r="U3858" s="372"/>
      <c r="V3858" s="372"/>
      <c r="W3858" s="372"/>
      <c r="X3858" s="373"/>
      <c r="Y3858" s="348"/>
      <c r="Z3858" s="348"/>
      <c r="AA3858" s="348"/>
    </row>
    <row r="3859" s="331" customFormat="1" ht="17" customHeight="1" spans="1:27">
      <c r="A3859" s="348"/>
      <c r="B3859" s="334" t="s">
        <v>169</v>
      </c>
      <c r="C3859" s="334" t="s">
        <v>634</v>
      </c>
      <c r="D3859" s="349" t="s">
        <v>271</v>
      </c>
      <c r="E3859" s="336">
        <v>43700</v>
      </c>
      <c r="F3859" s="336"/>
      <c r="G3859" s="336">
        <v>43699</v>
      </c>
      <c r="H3859" s="334" t="s">
        <v>9565</v>
      </c>
      <c r="I3859" s="334">
        <v>18601676930</v>
      </c>
      <c r="J3859" s="367" t="s">
        <v>9566</v>
      </c>
      <c r="K3859" s="356"/>
      <c r="L3859" s="334">
        <f>5509-368</f>
        <v>5141</v>
      </c>
      <c r="M3859" s="334">
        <v>368</v>
      </c>
      <c r="N3859" s="362">
        <f t="shared" si="134"/>
        <v>5509</v>
      </c>
      <c r="O3859" s="356"/>
      <c r="P3859" s="356"/>
      <c r="Q3859" s="356"/>
      <c r="R3859" s="356"/>
      <c r="S3859" s="356"/>
      <c r="T3859" s="356"/>
      <c r="U3859" s="372"/>
      <c r="V3859" s="372"/>
      <c r="W3859" s="372"/>
      <c r="X3859" s="373"/>
      <c r="Y3859" s="348"/>
      <c r="Z3859" s="348"/>
      <c r="AA3859" s="348"/>
    </row>
    <row r="3860" s="331" customFormat="1" ht="17" customHeight="1" spans="1:27">
      <c r="A3860" s="348"/>
      <c r="B3860" s="334" t="s">
        <v>169</v>
      </c>
      <c r="C3860" s="334" t="s">
        <v>634</v>
      </c>
      <c r="D3860" s="349" t="s">
        <v>635</v>
      </c>
      <c r="E3860" s="336">
        <v>43700</v>
      </c>
      <c r="F3860" s="336"/>
      <c r="G3860" s="336">
        <v>43699</v>
      </c>
      <c r="H3860" s="334" t="s">
        <v>9567</v>
      </c>
      <c r="I3860" s="334">
        <v>18621266903</v>
      </c>
      <c r="J3860" s="367" t="s">
        <v>9568</v>
      </c>
      <c r="K3860" s="356"/>
      <c r="L3860" s="334">
        <f>5769-1104</f>
        <v>4665</v>
      </c>
      <c r="M3860" s="334">
        <v>1104</v>
      </c>
      <c r="N3860" s="362">
        <f t="shared" si="134"/>
        <v>5769</v>
      </c>
      <c r="O3860" s="356"/>
      <c r="P3860" s="356"/>
      <c r="Q3860" s="356"/>
      <c r="R3860" s="356"/>
      <c r="S3860" s="356"/>
      <c r="T3860" s="356"/>
      <c r="U3860" s="372"/>
      <c r="V3860" s="372"/>
      <c r="W3860" s="372"/>
      <c r="X3860" s="373"/>
      <c r="Y3860" s="348"/>
      <c r="Z3860" s="348"/>
      <c r="AA3860" s="348"/>
    </row>
    <row r="3861" s="331" customFormat="1" ht="17" customHeight="1" spans="1:27">
      <c r="A3861" s="348"/>
      <c r="B3861" s="334" t="s">
        <v>58</v>
      </c>
      <c r="C3861" s="334" t="s">
        <v>342</v>
      </c>
      <c r="D3861" s="352" t="s">
        <v>75</v>
      </c>
      <c r="E3861" s="336">
        <v>43700</v>
      </c>
      <c r="F3861" s="336"/>
      <c r="G3861" s="336">
        <v>43700</v>
      </c>
      <c r="H3861" s="334" t="s">
        <v>9569</v>
      </c>
      <c r="I3861" s="334">
        <v>13857775566</v>
      </c>
      <c r="J3861" s="367" t="s">
        <v>9570</v>
      </c>
      <c r="K3861" s="356"/>
      <c r="L3861" s="334">
        <v>42502</v>
      </c>
      <c r="M3861" s="419"/>
      <c r="N3861" s="362">
        <f t="shared" si="134"/>
        <v>42502</v>
      </c>
      <c r="O3861" s="356"/>
      <c r="P3861" s="356"/>
      <c r="Q3861" s="356"/>
      <c r="R3861" s="356"/>
      <c r="S3861" s="356"/>
      <c r="T3861" s="356"/>
      <c r="U3861" s="372"/>
      <c r="V3861" s="372"/>
      <c r="W3861" s="372"/>
      <c r="X3861" s="373"/>
      <c r="Y3861" s="348"/>
      <c r="Z3861" s="348"/>
      <c r="AA3861" s="348"/>
    </row>
    <row r="3862" s="331" customFormat="1" ht="17" customHeight="1" spans="1:27">
      <c r="A3862" s="348"/>
      <c r="B3862" s="334" t="s">
        <v>281</v>
      </c>
      <c r="C3862" s="334" t="s">
        <v>517</v>
      </c>
      <c r="D3862" s="349" t="s">
        <v>518</v>
      </c>
      <c r="E3862" s="336">
        <v>43700</v>
      </c>
      <c r="F3862" s="336"/>
      <c r="G3862" s="336">
        <v>43700</v>
      </c>
      <c r="H3862" s="334" t="s">
        <v>9571</v>
      </c>
      <c r="I3862" s="334">
        <v>18661806365</v>
      </c>
      <c r="J3862" s="367" t="s">
        <v>9572</v>
      </c>
      <c r="K3862" s="356"/>
      <c r="L3862" s="334">
        <v>7797</v>
      </c>
      <c r="M3862" s="419"/>
      <c r="N3862" s="362">
        <f t="shared" si="134"/>
        <v>7797</v>
      </c>
      <c r="O3862" s="356"/>
      <c r="P3862" s="356"/>
      <c r="Q3862" s="356"/>
      <c r="R3862" s="356"/>
      <c r="S3862" s="356"/>
      <c r="T3862" s="356"/>
      <c r="U3862" s="372"/>
      <c r="V3862" s="372"/>
      <c r="W3862" s="372"/>
      <c r="X3862" s="373"/>
      <c r="Y3862" s="348"/>
      <c r="Z3862" s="348"/>
      <c r="AA3862" s="348"/>
    </row>
    <row r="3863" s="331" customFormat="1" ht="17" customHeight="1" spans="1:27">
      <c r="A3863" s="348"/>
      <c r="B3863" s="348" t="s">
        <v>726</v>
      </c>
      <c r="C3863" s="348" t="s">
        <v>727</v>
      </c>
      <c r="D3863" s="349" t="s">
        <v>271</v>
      </c>
      <c r="E3863" s="336">
        <v>43700</v>
      </c>
      <c r="F3863" s="336" t="s">
        <v>800</v>
      </c>
      <c r="G3863" s="336">
        <v>43686</v>
      </c>
      <c r="H3863" s="334" t="s">
        <v>7617</v>
      </c>
      <c r="I3863" s="334">
        <v>13585752116</v>
      </c>
      <c r="J3863" s="367" t="s">
        <v>7618</v>
      </c>
      <c r="K3863" s="356"/>
      <c r="L3863" s="419"/>
      <c r="M3863" s="334">
        <v>2743</v>
      </c>
      <c r="N3863" s="362">
        <f t="shared" si="134"/>
        <v>2743</v>
      </c>
      <c r="O3863" s="356"/>
      <c r="P3863" s="356"/>
      <c r="Q3863" s="356"/>
      <c r="R3863" s="356"/>
      <c r="S3863" s="356"/>
      <c r="T3863" s="356"/>
      <c r="U3863" s="372"/>
      <c r="V3863" s="372"/>
      <c r="W3863" s="372"/>
      <c r="X3863" s="373"/>
      <c r="Y3863" s="348"/>
      <c r="Z3863" s="348"/>
      <c r="AA3863" s="348"/>
    </row>
    <row r="3864" s="331" customFormat="1" ht="17" customHeight="1" spans="1:27">
      <c r="A3864" s="348"/>
      <c r="B3864" s="334" t="s">
        <v>35</v>
      </c>
      <c r="C3864" s="334" t="s">
        <v>392</v>
      </c>
      <c r="D3864" s="349" t="s">
        <v>37</v>
      </c>
      <c r="E3864" s="336">
        <v>43700</v>
      </c>
      <c r="F3864" s="336" t="s">
        <v>800</v>
      </c>
      <c r="G3864" s="336">
        <v>43699</v>
      </c>
      <c r="H3864" s="334" t="s">
        <v>9573</v>
      </c>
      <c r="I3864" s="334">
        <v>13916630290</v>
      </c>
      <c r="J3864" s="367" t="s">
        <v>5135</v>
      </c>
      <c r="K3864" s="356"/>
      <c r="L3864" s="419"/>
      <c r="M3864" s="419">
        <v>0</v>
      </c>
      <c r="N3864" s="362">
        <f t="shared" si="134"/>
        <v>0</v>
      </c>
      <c r="O3864" s="356"/>
      <c r="P3864" s="356"/>
      <c r="Q3864" s="356"/>
      <c r="R3864" s="356"/>
      <c r="S3864" s="356"/>
      <c r="T3864" s="356"/>
      <c r="U3864" s="372"/>
      <c r="V3864" s="372"/>
      <c r="W3864" s="372"/>
      <c r="X3864" s="373"/>
      <c r="Y3864" s="348"/>
      <c r="Z3864" s="348"/>
      <c r="AA3864" s="348"/>
    </row>
    <row r="3865" s="331" customFormat="1" ht="17" customHeight="1" spans="1:27">
      <c r="A3865" s="348"/>
      <c r="B3865" s="348" t="s">
        <v>35</v>
      </c>
      <c r="C3865" s="348" t="s">
        <v>392</v>
      </c>
      <c r="D3865" s="352" t="s">
        <v>37</v>
      </c>
      <c r="E3865" s="336">
        <v>43700</v>
      </c>
      <c r="F3865" s="336" t="s">
        <v>800</v>
      </c>
      <c r="G3865" s="336">
        <v>43699</v>
      </c>
      <c r="H3865" s="334" t="s">
        <v>6173</v>
      </c>
      <c r="I3865" s="334">
        <v>18019313287</v>
      </c>
      <c r="J3865" s="367" t="s">
        <v>6174</v>
      </c>
      <c r="K3865" s="356"/>
      <c r="L3865" s="419"/>
      <c r="M3865" s="334">
        <v>3000</v>
      </c>
      <c r="N3865" s="362">
        <f t="shared" si="134"/>
        <v>3000</v>
      </c>
      <c r="O3865" s="356"/>
      <c r="P3865" s="356"/>
      <c r="Q3865" s="356"/>
      <c r="R3865" s="356"/>
      <c r="S3865" s="356"/>
      <c r="T3865" s="356"/>
      <c r="U3865" s="372"/>
      <c r="V3865" s="372"/>
      <c r="W3865" s="372"/>
      <c r="X3865" s="373"/>
      <c r="Y3865" s="348"/>
      <c r="Z3865" s="348"/>
      <c r="AA3865" s="348"/>
    </row>
    <row r="3866" s="331" customFormat="1" ht="17" customHeight="1" spans="1:27">
      <c r="A3866" s="348"/>
      <c r="B3866" s="348" t="s">
        <v>35</v>
      </c>
      <c r="C3866" s="348" t="s">
        <v>392</v>
      </c>
      <c r="D3866" s="349" t="s">
        <v>37</v>
      </c>
      <c r="E3866" s="336">
        <v>43700</v>
      </c>
      <c r="F3866" s="334" t="s">
        <v>800</v>
      </c>
      <c r="G3866" s="336">
        <v>43693</v>
      </c>
      <c r="H3866" s="334" t="s">
        <v>4289</v>
      </c>
      <c r="I3866" s="334">
        <v>13621675453</v>
      </c>
      <c r="J3866" s="367" t="s">
        <v>9574</v>
      </c>
      <c r="K3866" s="356"/>
      <c r="L3866" s="419"/>
      <c r="M3866" s="334">
        <f>8639</f>
        <v>8639</v>
      </c>
      <c r="N3866" s="362">
        <f t="shared" si="134"/>
        <v>8639</v>
      </c>
      <c r="O3866" s="356"/>
      <c r="P3866" s="356"/>
      <c r="Q3866" s="356"/>
      <c r="R3866" s="356"/>
      <c r="S3866" s="356"/>
      <c r="T3866" s="356"/>
      <c r="U3866" s="372"/>
      <c r="V3866" s="372"/>
      <c r="W3866" s="372"/>
      <c r="X3866" s="373"/>
      <c r="Y3866" s="348"/>
      <c r="Z3866" s="348"/>
      <c r="AA3866" s="348"/>
    </row>
    <row r="3867" s="331" customFormat="1" ht="17" customHeight="1" spans="1:27">
      <c r="A3867" s="348"/>
      <c r="B3867" s="334" t="s">
        <v>315</v>
      </c>
      <c r="C3867" s="334" t="s">
        <v>366</v>
      </c>
      <c r="D3867" s="349" t="s">
        <v>132</v>
      </c>
      <c r="E3867" s="336">
        <v>43700</v>
      </c>
      <c r="F3867" s="334" t="s">
        <v>800</v>
      </c>
      <c r="G3867" s="336">
        <v>43695</v>
      </c>
      <c r="H3867" s="334" t="s">
        <v>9575</v>
      </c>
      <c r="I3867" s="334">
        <v>18605618728</v>
      </c>
      <c r="J3867" s="367" t="s">
        <v>9576</v>
      </c>
      <c r="K3867" s="356"/>
      <c r="L3867" s="419"/>
      <c r="M3867" s="334">
        <v>-40610</v>
      </c>
      <c r="N3867" s="362">
        <f t="shared" si="134"/>
        <v>-40610</v>
      </c>
      <c r="O3867" s="356"/>
      <c r="P3867" s="356"/>
      <c r="Q3867" s="356"/>
      <c r="R3867" s="356"/>
      <c r="S3867" s="356"/>
      <c r="T3867" s="356"/>
      <c r="U3867" s="372"/>
      <c r="V3867" s="372"/>
      <c r="W3867" s="372"/>
      <c r="X3867" s="373"/>
      <c r="Y3867" s="348"/>
      <c r="Z3867" s="348"/>
      <c r="AA3867" s="348"/>
    </row>
    <row r="3868" s="331" customFormat="1" ht="17" customHeight="1" spans="1:27">
      <c r="A3868" s="348"/>
      <c r="B3868" s="348" t="s">
        <v>35</v>
      </c>
      <c r="C3868" s="334" t="s">
        <v>392</v>
      </c>
      <c r="D3868" s="352" t="s">
        <v>37</v>
      </c>
      <c r="E3868" s="336">
        <v>43700</v>
      </c>
      <c r="F3868" s="336" t="s">
        <v>800</v>
      </c>
      <c r="G3868" s="336">
        <v>43698</v>
      </c>
      <c r="H3868" s="334" t="s">
        <v>265</v>
      </c>
      <c r="I3868" s="334">
        <v>13585546620</v>
      </c>
      <c r="J3868" s="367" t="s">
        <v>9577</v>
      </c>
      <c r="K3868" s="356"/>
      <c r="L3868" s="419"/>
      <c r="M3868" s="334">
        <v>1200</v>
      </c>
      <c r="N3868" s="362">
        <f t="shared" si="134"/>
        <v>1200</v>
      </c>
      <c r="O3868" s="356"/>
      <c r="P3868" s="356"/>
      <c r="Q3868" s="356"/>
      <c r="R3868" s="356"/>
      <c r="S3868" s="356"/>
      <c r="T3868" s="356"/>
      <c r="U3868" s="372"/>
      <c r="V3868" s="372"/>
      <c r="W3868" s="372"/>
      <c r="X3868" s="373"/>
      <c r="Y3868" s="348"/>
      <c r="Z3868" s="348"/>
      <c r="AA3868" s="348"/>
    </row>
    <row r="3869" s="331" customFormat="1" ht="17" customHeight="1" spans="1:27">
      <c r="A3869" s="348"/>
      <c r="B3869" s="334" t="s">
        <v>315</v>
      </c>
      <c r="C3869" s="334" t="s">
        <v>181</v>
      </c>
      <c r="D3869" s="349" t="s">
        <v>155</v>
      </c>
      <c r="E3869" s="336">
        <v>43700</v>
      </c>
      <c r="F3869" s="336" t="s">
        <v>800</v>
      </c>
      <c r="G3869" s="336">
        <v>43700</v>
      </c>
      <c r="H3869" s="334" t="s">
        <v>9578</v>
      </c>
      <c r="I3869" s="334">
        <v>13671704027</v>
      </c>
      <c r="J3869" s="367" t="s">
        <v>9579</v>
      </c>
      <c r="K3869" s="356"/>
      <c r="L3869" s="419"/>
      <c r="M3869" s="334">
        <v>418</v>
      </c>
      <c r="N3869" s="362">
        <f t="shared" si="134"/>
        <v>418</v>
      </c>
      <c r="O3869" s="356"/>
      <c r="P3869" s="356"/>
      <c r="Q3869" s="356"/>
      <c r="R3869" s="356"/>
      <c r="S3869" s="356"/>
      <c r="T3869" s="356"/>
      <c r="U3869" s="372"/>
      <c r="V3869" s="372"/>
      <c r="W3869" s="372"/>
      <c r="X3869" s="373"/>
      <c r="Y3869" s="348"/>
      <c r="Z3869" s="348"/>
      <c r="AA3869" s="348"/>
    </row>
    <row r="3870" s="331" customFormat="1" ht="17" customHeight="1" spans="1:27">
      <c r="A3870" s="348"/>
      <c r="B3870" s="334" t="s">
        <v>169</v>
      </c>
      <c r="C3870" s="334" t="s">
        <v>8075</v>
      </c>
      <c r="D3870" s="349" t="s">
        <v>635</v>
      </c>
      <c r="E3870" s="336">
        <v>43700</v>
      </c>
      <c r="F3870" s="336" t="s">
        <v>800</v>
      </c>
      <c r="G3870" s="336">
        <v>43700</v>
      </c>
      <c r="H3870" s="334" t="s">
        <v>9580</v>
      </c>
      <c r="I3870" s="334">
        <v>13611633811</v>
      </c>
      <c r="J3870" s="367"/>
      <c r="K3870" s="356"/>
      <c r="L3870" s="419"/>
      <c r="M3870" s="334">
        <v>351</v>
      </c>
      <c r="N3870" s="362">
        <f t="shared" si="134"/>
        <v>351</v>
      </c>
      <c r="O3870" s="356"/>
      <c r="P3870" s="356"/>
      <c r="Q3870" s="356"/>
      <c r="R3870" s="356"/>
      <c r="S3870" s="356"/>
      <c r="T3870" s="356"/>
      <c r="U3870" s="372"/>
      <c r="V3870" s="372"/>
      <c r="W3870" s="372"/>
      <c r="X3870" s="373"/>
      <c r="Y3870" s="348"/>
      <c r="Z3870" s="348"/>
      <c r="AA3870" s="348"/>
    </row>
    <row r="3871" s="331" customFormat="1" ht="17" customHeight="1" spans="1:27">
      <c r="A3871" s="348"/>
      <c r="B3871" s="348" t="s">
        <v>42</v>
      </c>
      <c r="C3871" s="334" t="s">
        <v>43</v>
      </c>
      <c r="D3871" s="352" t="s">
        <v>125</v>
      </c>
      <c r="E3871" s="336">
        <v>43700</v>
      </c>
      <c r="F3871" s="336" t="s">
        <v>800</v>
      </c>
      <c r="G3871" s="336">
        <v>43700</v>
      </c>
      <c r="H3871" s="334" t="s">
        <v>4541</v>
      </c>
      <c r="I3871" s="334">
        <v>13501876308</v>
      </c>
      <c r="J3871" s="367" t="s">
        <v>4542</v>
      </c>
      <c r="K3871" s="356"/>
      <c r="L3871" s="419"/>
      <c r="M3871" s="334">
        <v>422</v>
      </c>
      <c r="N3871" s="362">
        <f t="shared" si="134"/>
        <v>422</v>
      </c>
      <c r="O3871" s="356"/>
      <c r="P3871" s="356"/>
      <c r="Q3871" s="356"/>
      <c r="R3871" s="356"/>
      <c r="S3871" s="356"/>
      <c r="T3871" s="356"/>
      <c r="U3871" s="372"/>
      <c r="V3871" s="372"/>
      <c r="W3871" s="372"/>
      <c r="X3871" s="373"/>
      <c r="Y3871" s="348"/>
      <c r="Z3871" s="348"/>
      <c r="AA3871" s="348"/>
    </row>
    <row r="3872" s="331" customFormat="1" ht="17" customHeight="1" spans="1:27">
      <c r="A3872" s="348"/>
      <c r="B3872" s="348" t="s">
        <v>66</v>
      </c>
      <c r="C3872" s="334" t="s">
        <v>67</v>
      </c>
      <c r="D3872" s="349" t="s">
        <v>143</v>
      </c>
      <c r="E3872" s="336">
        <v>43700</v>
      </c>
      <c r="F3872" s="336" t="s">
        <v>800</v>
      </c>
      <c r="G3872" s="336">
        <v>43700</v>
      </c>
      <c r="H3872" s="334" t="s">
        <v>5524</v>
      </c>
      <c r="I3872" s="334">
        <v>13761507741</v>
      </c>
      <c r="J3872" s="367" t="s">
        <v>9581</v>
      </c>
      <c r="K3872" s="356"/>
      <c r="L3872" s="419"/>
      <c r="M3872" s="334">
        <v>240</v>
      </c>
      <c r="N3872" s="362">
        <f t="shared" si="134"/>
        <v>240</v>
      </c>
      <c r="O3872" s="356"/>
      <c r="P3872" s="356"/>
      <c r="Q3872" s="356"/>
      <c r="R3872" s="356"/>
      <c r="S3872" s="356"/>
      <c r="T3872" s="356"/>
      <c r="U3872" s="372"/>
      <c r="V3872" s="372"/>
      <c r="W3872" s="372"/>
      <c r="X3872" s="373"/>
      <c r="Y3872" s="348"/>
      <c r="Z3872" s="348"/>
      <c r="AA3872" s="348"/>
    </row>
    <row r="3873" s="331" customFormat="1" ht="17" customHeight="1" spans="1:27">
      <c r="A3873" s="348"/>
      <c r="B3873" s="334" t="s">
        <v>66</v>
      </c>
      <c r="C3873" s="334" t="s">
        <v>67</v>
      </c>
      <c r="D3873" s="349" t="s">
        <v>37</v>
      </c>
      <c r="E3873" s="336">
        <v>43700</v>
      </c>
      <c r="F3873" s="336" t="s">
        <v>800</v>
      </c>
      <c r="G3873" s="336">
        <v>43700</v>
      </c>
      <c r="H3873" s="334" t="s">
        <v>9582</v>
      </c>
      <c r="I3873" s="334">
        <v>15618205616</v>
      </c>
      <c r="J3873" s="367" t="s">
        <v>9583</v>
      </c>
      <c r="K3873" s="356"/>
      <c r="L3873" s="419"/>
      <c r="M3873" s="334">
        <v>495</v>
      </c>
      <c r="N3873" s="362">
        <f t="shared" si="134"/>
        <v>495</v>
      </c>
      <c r="O3873" s="356"/>
      <c r="P3873" s="356"/>
      <c r="Q3873" s="356"/>
      <c r="R3873" s="356"/>
      <c r="S3873" s="356"/>
      <c r="T3873" s="356"/>
      <c r="U3873" s="372"/>
      <c r="V3873" s="372"/>
      <c r="W3873" s="372"/>
      <c r="X3873" s="373"/>
      <c r="Y3873" s="348"/>
      <c r="Z3873" s="348"/>
      <c r="AA3873" s="348"/>
    </row>
    <row r="3874" s="331" customFormat="1" ht="17" customHeight="1" spans="1:27">
      <c r="A3874" s="348"/>
      <c r="B3874" s="334" t="s">
        <v>335</v>
      </c>
      <c r="C3874" s="334" t="s">
        <v>615</v>
      </c>
      <c r="D3874" s="349" t="s">
        <v>337</v>
      </c>
      <c r="E3874" s="336">
        <v>43700</v>
      </c>
      <c r="F3874" s="336" t="s">
        <v>800</v>
      </c>
      <c r="G3874" s="336">
        <v>43700</v>
      </c>
      <c r="H3874" s="334" t="s">
        <v>3201</v>
      </c>
      <c r="I3874" s="334">
        <v>13636516590</v>
      </c>
      <c r="J3874" s="367" t="s">
        <v>9584</v>
      </c>
      <c r="K3874" s="356"/>
      <c r="L3874" s="419"/>
      <c r="M3874" s="334">
        <v>2000</v>
      </c>
      <c r="N3874" s="362">
        <f t="shared" si="134"/>
        <v>2000</v>
      </c>
      <c r="O3874" s="356"/>
      <c r="P3874" s="356"/>
      <c r="Q3874" s="356"/>
      <c r="R3874" s="356"/>
      <c r="S3874" s="356"/>
      <c r="T3874" s="356"/>
      <c r="U3874" s="372"/>
      <c r="V3874" s="372"/>
      <c r="W3874" s="372"/>
      <c r="X3874" s="373"/>
      <c r="Y3874" s="348"/>
      <c r="Z3874" s="348"/>
      <c r="AA3874" s="348"/>
    </row>
    <row r="3875" s="331" customFormat="1" ht="17" customHeight="1" spans="1:27">
      <c r="A3875" s="348"/>
      <c r="B3875" s="334" t="s">
        <v>185</v>
      </c>
      <c r="C3875" s="334" t="s">
        <v>1204</v>
      </c>
      <c r="D3875" s="349" t="s">
        <v>44</v>
      </c>
      <c r="E3875" s="336">
        <v>43700</v>
      </c>
      <c r="F3875" s="336" t="s">
        <v>800</v>
      </c>
      <c r="G3875" s="336">
        <v>43700</v>
      </c>
      <c r="H3875" s="334" t="s">
        <v>9585</v>
      </c>
      <c r="I3875" s="334">
        <v>18616289090</v>
      </c>
      <c r="J3875" s="367" t="s">
        <v>9586</v>
      </c>
      <c r="K3875" s="356"/>
      <c r="L3875" s="419"/>
      <c r="M3875" s="334">
        <v>263</v>
      </c>
      <c r="N3875" s="362">
        <f t="shared" si="134"/>
        <v>263</v>
      </c>
      <c r="O3875" s="356"/>
      <c r="P3875" s="356"/>
      <c r="Q3875" s="356"/>
      <c r="R3875" s="356"/>
      <c r="S3875" s="356"/>
      <c r="T3875" s="356"/>
      <c r="U3875" s="372"/>
      <c r="V3875" s="372"/>
      <c r="W3875" s="372"/>
      <c r="X3875" s="373"/>
      <c r="Y3875" s="348"/>
      <c r="Z3875" s="348"/>
      <c r="AA3875" s="348"/>
    </row>
    <row r="3876" s="331" customFormat="1" ht="17" customHeight="1" spans="1:27">
      <c r="A3876" s="348"/>
      <c r="B3876" s="334" t="s">
        <v>169</v>
      </c>
      <c r="C3876" s="334" t="s">
        <v>542</v>
      </c>
      <c r="D3876" s="349" t="s">
        <v>171</v>
      </c>
      <c r="E3876" s="336">
        <v>43700</v>
      </c>
      <c r="F3876" s="336" t="s">
        <v>800</v>
      </c>
      <c r="G3876" s="336">
        <v>43700</v>
      </c>
      <c r="H3876" s="334" t="s">
        <v>9587</v>
      </c>
      <c r="I3876" s="334">
        <v>13701797033</v>
      </c>
      <c r="J3876" s="367" t="s">
        <v>9588</v>
      </c>
      <c r="K3876" s="356"/>
      <c r="L3876" s="419"/>
      <c r="M3876" s="334">
        <v>16868</v>
      </c>
      <c r="N3876" s="362">
        <f t="shared" si="134"/>
        <v>16868</v>
      </c>
      <c r="O3876" s="356"/>
      <c r="P3876" s="356"/>
      <c r="Q3876" s="356"/>
      <c r="R3876" s="356"/>
      <c r="S3876" s="356"/>
      <c r="T3876" s="356"/>
      <c r="U3876" s="372"/>
      <c r="V3876" s="372"/>
      <c r="W3876" s="372"/>
      <c r="X3876" s="373"/>
      <c r="Y3876" s="348"/>
      <c r="Z3876" s="348"/>
      <c r="AA3876" s="348"/>
    </row>
    <row r="3877" s="331" customFormat="1" ht="17" customHeight="1" spans="1:27">
      <c r="A3877" s="348"/>
      <c r="B3877" s="348" t="s">
        <v>236</v>
      </c>
      <c r="C3877" s="348" t="s">
        <v>703</v>
      </c>
      <c r="D3877" s="349" t="s">
        <v>143</v>
      </c>
      <c r="E3877" s="336">
        <v>43700</v>
      </c>
      <c r="F3877" s="336" t="s">
        <v>800</v>
      </c>
      <c r="G3877" s="336">
        <v>43698</v>
      </c>
      <c r="H3877" s="334" t="s">
        <v>4096</v>
      </c>
      <c r="I3877" s="334">
        <v>17717046476</v>
      </c>
      <c r="J3877" s="367" t="s">
        <v>9589</v>
      </c>
      <c r="K3877" s="356"/>
      <c r="L3877" s="419"/>
      <c r="M3877" s="334">
        <v>1505</v>
      </c>
      <c r="N3877" s="362">
        <f t="shared" si="134"/>
        <v>1505</v>
      </c>
      <c r="O3877" s="356"/>
      <c r="P3877" s="356"/>
      <c r="Q3877" s="356"/>
      <c r="R3877" s="356"/>
      <c r="S3877" s="356"/>
      <c r="T3877" s="356"/>
      <c r="U3877" s="372"/>
      <c r="V3877" s="372"/>
      <c r="W3877" s="372"/>
      <c r="X3877" s="373"/>
      <c r="Y3877" s="348"/>
      <c r="Z3877" s="348"/>
      <c r="AA3877" s="348"/>
    </row>
    <row r="3878" s="331" customFormat="1" ht="17" customHeight="1" spans="1:27">
      <c r="A3878" s="348"/>
      <c r="B3878" s="348" t="s">
        <v>236</v>
      </c>
      <c r="C3878" s="348" t="s">
        <v>703</v>
      </c>
      <c r="D3878" s="349" t="s">
        <v>44</v>
      </c>
      <c r="E3878" s="336">
        <v>43700</v>
      </c>
      <c r="F3878" s="336" t="s">
        <v>800</v>
      </c>
      <c r="G3878" s="336">
        <v>43698</v>
      </c>
      <c r="H3878" s="334" t="s">
        <v>6766</v>
      </c>
      <c r="I3878" s="334">
        <v>18964020901</v>
      </c>
      <c r="J3878" s="367" t="s">
        <v>6767</v>
      </c>
      <c r="K3878" s="356"/>
      <c r="L3878" s="419"/>
      <c r="M3878" s="334">
        <v>1920</v>
      </c>
      <c r="N3878" s="362">
        <f t="shared" si="134"/>
        <v>1920</v>
      </c>
      <c r="O3878" s="356"/>
      <c r="P3878" s="356"/>
      <c r="Q3878" s="356"/>
      <c r="R3878" s="356"/>
      <c r="S3878" s="356"/>
      <c r="T3878" s="356"/>
      <c r="U3878" s="372"/>
      <c r="V3878" s="372"/>
      <c r="W3878" s="372"/>
      <c r="X3878" s="373"/>
      <c r="Y3878" s="348"/>
      <c r="Z3878" s="348"/>
      <c r="AA3878" s="348"/>
    </row>
    <row r="3879" s="331" customFormat="1" ht="17" customHeight="1" spans="1:27">
      <c r="A3879" s="348"/>
      <c r="B3879" s="348" t="s">
        <v>169</v>
      </c>
      <c r="C3879" s="348" t="s">
        <v>634</v>
      </c>
      <c r="D3879" s="352" t="s">
        <v>635</v>
      </c>
      <c r="E3879" s="336">
        <v>43700</v>
      </c>
      <c r="F3879" s="336" t="s">
        <v>800</v>
      </c>
      <c r="G3879" s="336">
        <v>43700</v>
      </c>
      <c r="H3879" s="334" t="s">
        <v>5814</v>
      </c>
      <c r="I3879" s="334">
        <v>13058834178</v>
      </c>
      <c r="J3879" s="367" t="s">
        <v>9590</v>
      </c>
      <c r="K3879" s="356"/>
      <c r="L3879" s="419"/>
      <c r="M3879" s="334">
        <v>1848</v>
      </c>
      <c r="N3879" s="362">
        <f t="shared" si="134"/>
        <v>1848</v>
      </c>
      <c r="O3879" s="356"/>
      <c r="P3879" s="356"/>
      <c r="Q3879" s="356"/>
      <c r="R3879" s="356"/>
      <c r="S3879" s="356"/>
      <c r="T3879" s="356"/>
      <c r="U3879" s="372"/>
      <c r="V3879" s="372"/>
      <c r="W3879" s="372"/>
      <c r="X3879" s="373"/>
      <c r="Y3879" s="348"/>
      <c r="Z3879" s="348"/>
      <c r="AA3879" s="348"/>
    </row>
    <row r="3880" s="331" customFormat="1" ht="17" customHeight="1" spans="1:27">
      <c r="A3880" s="348">
        <v>2025375</v>
      </c>
      <c r="B3880" s="348" t="s">
        <v>35</v>
      </c>
      <c r="C3880" s="348" t="s">
        <v>392</v>
      </c>
      <c r="D3880" s="334" t="s">
        <v>187</v>
      </c>
      <c r="E3880" s="336">
        <v>43704</v>
      </c>
      <c r="F3880" s="336" t="s">
        <v>800</v>
      </c>
      <c r="G3880" s="336">
        <v>43704</v>
      </c>
      <c r="H3880" s="334" t="s">
        <v>9591</v>
      </c>
      <c r="I3880" s="356">
        <v>13126866839</v>
      </c>
      <c r="J3880" s="361" t="s">
        <v>9592</v>
      </c>
      <c r="K3880" s="356">
        <v>54000</v>
      </c>
      <c r="L3880" s="419"/>
      <c r="M3880" s="334">
        <f>12605+6819</f>
        <v>19424</v>
      </c>
      <c r="N3880" s="362">
        <f t="shared" si="134"/>
        <v>19424</v>
      </c>
      <c r="O3880" s="356"/>
      <c r="P3880" s="356"/>
      <c r="Q3880" s="356"/>
      <c r="R3880" s="356"/>
      <c r="S3880" s="356"/>
      <c r="T3880" s="356"/>
      <c r="U3880" s="372"/>
      <c r="V3880" s="372"/>
      <c r="W3880" s="372"/>
      <c r="X3880" s="373"/>
      <c r="Y3880" s="348"/>
      <c r="Z3880" s="348"/>
      <c r="AA3880" s="348"/>
    </row>
    <row r="3881" s="331" customFormat="1" ht="17" customHeight="1" spans="1:27">
      <c r="A3881" s="348" t="s">
        <v>9593</v>
      </c>
      <c r="B3881" s="348" t="s">
        <v>35</v>
      </c>
      <c r="C3881" s="348" t="s">
        <v>392</v>
      </c>
      <c r="D3881" s="352" t="s">
        <v>37</v>
      </c>
      <c r="E3881" s="336">
        <v>43701</v>
      </c>
      <c r="F3881" s="336">
        <v>43653</v>
      </c>
      <c r="G3881" s="362" t="s">
        <v>69</v>
      </c>
      <c r="H3881" s="334" t="s">
        <v>6404</v>
      </c>
      <c r="I3881" s="356">
        <v>13817596570</v>
      </c>
      <c r="J3881" s="361" t="s">
        <v>9594</v>
      </c>
      <c r="K3881" s="356">
        <v>1000</v>
      </c>
      <c r="L3881" s="419"/>
      <c r="M3881" s="419"/>
      <c r="N3881" s="362">
        <f t="shared" si="134"/>
        <v>0</v>
      </c>
      <c r="O3881" s="356"/>
      <c r="P3881" s="356"/>
      <c r="Q3881" s="356"/>
      <c r="R3881" s="356"/>
      <c r="S3881" s="356"/>
      <c r="T3881" s="356"/>
      <c r="U3881" s="372"/>
      <c r="V3881" s="372"/>
      <c r="W3881" s="372"/>
      <c r="X3881" s="373"/>
      <c r="Y3881" s="348"/>
      <c r="Z3881" s="348"/>
      <c r="AA3881" s="348"/>
    </row>
    <row r="3882" s="331" customFormat="1" ht="17" customHeight="1" spans="1:27">
      <c r="A3882" s="348"/>
      <c r="B3882" s="348" t="s">
        <v>147</v>
      </c>
      <c r="C3882" s="348" t="s">
        <v>148</v>
      </c>
      <c r="D3882" s="334" t="s">
        <v>187</v>
      </c>
      <c r="E3882" s="336">
        <v>43761</v>
      </c>
      <c r="F3882" s="336">
        <v>43684</v>
      </c>
      <c r="G3882" s="336">
        <v>43758</v>
      </c>
      <c r="H3882" s="334" t="s">
        <v>7825</v>
      </c>
      <c r="I3882" s="356">
        <v>18917685821</v>
      </c>
      <c r="J3882" s="361" t="s">
        <v>9595</v>
      </c>
      <c r="K3882" s="356">
        <v>49655</v>
      </c>
      <c r="L3882" s="334">
        <v>59941</v>
      </c>
      <c r="M3882" s="419"/>
      <c r="N3882" s="362">
        <f t="shared" si="134"/>
        <v>59941</v>
      </c>
      <c r="O3882" s="356"/>
      <c r="P3882" s="356"/>
      <c r="Q3882" s="356"/>
      <c r="R3882" s="356"/>
      <c r="S3882" s="356"/>
      <c r="T3882" s="356"/>
      <c r="U3882" s="372"/>
      <c r="V3882" s="372"/>
      <c r="W3882" s="372"/>
      <c r="X3882" s="373"/>
      <c r="Y3882" s="348"/>
      <c r="Z3882" s="348"/>
      <c r="AA3882" s="348"/>
    </row>
    <row r="3883" s="331" customFormat="1" ht="17" customHeight="1" spans="1:27">
      <c r="A3883" s="550" t="s">
        <v>9596</v>
      </c>
      <c r="B3883" s="348" t="s">
        <v>153</v>
      </c>
      <c r="C3883" s="348" t="s">
        <v>302</v>
      </c>
      <c r="D3883" s="352" t="s">
        <v>155</v>
      </c>
      <c r="E3883" s="336">
        <v>43701</v>
      </c>
      <c r="F3883" s="336">
        <v>43688</v>
      </c>
      <c r="G3883" s="350"/>
      <c r="H3883" s="334" t="s">
        <v>9597</v>
      </c>
      <c r="I3883" s="356">
        <v>15026800436</v>
      </c>
      <c r="J3883" s="361" t="s">
        <v>9598</v>
      </c>
      <c r="K3883" s="356">
        <v>4995</v>
      </c>
      <c r="L3883" s="419"/>
      <c r="M3883" s="419"/>
      <c r="N3883" s="362">
        <f t="shared" si="134"/>
        <v>0</v>
      </c>
      <c r="O3883" s="356"/>
      <c r="P3883" s="356"/>
      <c r="Q3883" s="356"/>
      <c r="R3883" s="356"/>
      <c r="S3883" s="356"/>
      <c r="T3883" s="356"/>
      <c r="U3883" s="393" t="s">
        <v>40</v>
      </c>
      <c r="V3883" s="372" t="s">
        <v>1328</v>
      </c>
      <c r="W3883" s="372"/>
      <c r="X3883" s="373"/>
      <c r="Y3883" s="348"/>
      <c r="Z3883" s="348"/>
      <c r="AA3883" s="348"/>
    </row>
    <row r="3884" s="331" customFormat="1" ht="17" customHeight="1" spans="1:27">
      <c r="A3884" s="550" t="s">
        <v>9599</v>
      </c>
      <c r="B3884" s="348" t="s">
        <v>58</v>
      </c>
      <c r="C3884" s="348" t="s">
        <v>347</v>
      </c>
      <c r="D3884" s="349" t="s">
        <v>343</v>
      </c>
      <c r="E3884" s="336">
        <v>43702</v>
      </c>
      <c r="F3884" s="336">
        <v>43688</v>
      </c>
      <c r="G3884" s="350">
        <v>43701</v>
      </c>
      <c r="H3884" s="334" t="s">
        <v>9600</v>
      </c>
      <c r="I3884" s="356">
        <v>18900662197</v>
      </c>
      <c r="J3884" s="361" t="s">
        <v>9601</v>
      </c>
      <c r="K3884" s="356">
        <v>1000</v>
      </c>
      <c r="L3884" s="334">
        <v>38517</v>
      </c>
      <c r="M3884" s="419"/>
      <c r="N3884" s="362">
        <f t="shared" si="134"/>
        <v>38517</v>
      </c>
      <c r="O3884" s="356"/>
      <c r="P3884" s="356"/>
      <c r="Q3884" s="356"/>
      <c r="R3884" s="356"/>
      <c r="S3884" s="356"/>
      <c r="T3884" s="356"/>
      <c r="U3884" s="372"/>
      <c r="V3884" s="372"/>
      <c r="W3884" s="372"/>
      <c r="X3884" s="373"/>
      <c r="Y3884" s="348"/>
      <c r="Z3884" s="348"/>
      <c r="AA3884" s="348"/>
    </row>
    <row r="3885" s="331" customFormat="1" ht="17" customHeight="1" spans="1:27">
      <c r="A3885" s="550" t="s">
        <v>9602</v>
      </c>
      <c r="B3885" s="348" t="s">
        <v>315</v>
      </c>
      <c r="C3885" s="348" t="s">
        <v>181</v>
      </c>
      <c r="D3885" s="334" t="s">
        <v>89</v>
      </c>
      <c r="E3885" s="336">
        <v>43704</v>
      </c>
      <c r="F3885" s="336">
        <v>43688</v>
      </c>
      <c r="G3885" s="336">
        <v>43702</v>
      </c>
      <c r="H3885" s="334" t="s">
        <v>9603</v>
      </c>
      <c r="I3885" s="356">
        <v>15026779645</v>
      </c>
      <c r="J3885" s="361" t="s">
        <v>9604</v>
      </c>
      <c r="K3885" s="356">
        <v>1000</v>
      </c>
      <c r="L3885" s="334">
        <v>10237</v>
      </c>
      <c r="M3885" s="419"/>
      <c r="N3885" s="362">
        <f t="shared" si="134"/>
        <v>10237</v>
      </c>
      <c r="O3885" s="356">
        <v>1</v>
      </c>
      <c r="P3885" s="356"/>
      <c r="Q3885" s="356"/>
      <c r="R3885" s="356"/>
      <c r="S3885" s="356"/>
      <c r="T3885" s="356"/>
      <c r="U3885" s="372"/>
      <c r="V3885" s="372"/>
      <c r="W3885" s="372"/>
      <c r="X3885" s="373"/>
      <c r="Y3885" s="348"/>
      <c r="Z3885" s="348"/>
      <c r="AA3885" s="348"/>
    </row>
    <row r="3886" s="331" customFormat="1" ht="17" customHeight="1" spans="1:27">
      <c r="A3886" s="550" t="s">
        <v>3251</v>
      </c>
      <c r="B3886" s="348" t="s">
        <v>335</v>
      </c>
      <c r="C3886" s="348" t="s">
        <v>399</v>
      </c>
      <c r="D3886" s="352" t="s">
        <v>337</v>
      </c>
      <c r="E3886" s="336">
        <v>43702</v>
      </c>
      <c r="F3886" s="336">
        <v>43686</v>
      </c>
      <c r="G3886" s="356" t="s">
        <v>400</v>
      </c>
      <c r="H3886" s="334" t="s">
        <v>9605</v>
      </c>
      <c r="I3886" s="356">
        <v>13701843967</v>
      </c>
      <c r="J3886" s="361" t="s">
        <v>9606</v>
      </c>
      <c r="K3886" s="356">
        <v>1000</v>
      </c>
      <c r="L3886" s="419"/>
      <c r="M3886" s="419"/>
      <c r="N3886" s="362">
        <f t="shared" si="134"/>
        <v>0</v>
      </c>
      <c r="O3886" s="356"/>
      <c r="P3886" s="356"/>
      <c r="Q3886" s="356"/>
      <c r="R3886" s="356"/>
      <c r="S3886" s="356"/>
      <c r="T3886" s="356"/>
      <c r="U3886" s="372"/>
      <c r="V3886" s="372"/>
      <c r="W3886" s="372"/>
      <c r="X3886" s="373"/>
      <c r="Y3886" s="348"/>
      <c r="Z3886" s="348"/>
      <c r="AA3886" s="348"/>
    </row>
    <row r="3887" s="331" customFormat="1" ht="17" customHeight="1" spans="1:27">
      <c r="A3887" s="348"/>
      <c r="B3887" s="348" t="s">
        <v>335</v>
      </c>
      <c r="C3887" s="348" t="s">
        <v>399</v>
      </c>
      <c r="D3887" s="349" t="s">
        <v>635</v>
      </c>
      <c r="E3887" s="336">
        <v>43702</v>
      </c>
      <c r="F3887" s="336">
        <v>43693</v>
      </c>
      <c r="G3887" s="336">
        <v>43698</v>
      </c>
      <c r="H3887" s="334" t="s">
        <v>9607</v>
      </c>
      <c r="I3887" s="356">
        <v>13564937798</v>
      </c>
      <c r="J3887" s="361" t="s">
        <v>9608</v>
      </c>
      <c r="K3887" s="356">
        <v>1000</v>
      </c>
      <c r="L3887" s="334">
        <v>19828</v>
      </c>
      <c r="M3887" s="334">
        <v>1472</v>
      </c>
      <c r="N3887" s="362">
        <f t="shared" si="134"/>
        <v>21300</v>
      </c>
      <c r="O3887" s="356"/>
      <c r="P3887" s="356"/>
      <c r="Q3887" s="356"/>
      <c r="R3887" s="356"/>
      <c r="S3887" s="356"/>
      <c r="T3887" s="356"/>
      <c r="U3887" s="372"/>
      <c r="V3887" s="372"/>
      <c r="W3887" s="372"/>
      <c r="X3887" s="373"/>
      <c r="Y3887" s="348"/>
      <c r="Z3887" s="348"/>
      <c r="AA3887" s="348"/>
    </row>
    <row r="3888" s="331" customFormat="1" ht="17" customHeight="1" spans="1:27">
      <c r="A3888" s="550" t="s">
        <v>9609</v>
      </c>
      <c r="B3888" s="348" t="s">
        <v>335</v>
      </c>
      <c r="C3888" s="348" t="s">
        <v>399</v>
      </c>
      <c r="D3888" s="352" t="s">
        <v>337</v>
      </c>
      <c r="E3888" s="336">
        <v>43702</v>
      </c>
      <c r="F3888" s="336">
        <v>43687</v>
      </c>
      <c r="G3888" s="350"/>
      <c r="H3888" s="334" t="s">
        <v>9610</v>
      </c>
      <c r="I3888" s="356">
        <v>13917877763</v>
      </c>
      <c r="J3888" s="361" t="s">
        <v>9611</v>
      </c>
      <c r="K3888" s="356">
        <v>1000</v>
      </c>
      <c r="L3888" s="419"/>
      <c r="M3888" s="419"/>
      <c r="N3888" s="362">
        <f t="shared" si="134"/>
        <v>0</v>
      </c>
      <c r="O3888" s="356" t="s">
        <v>19</v>
      </c>
      <c r="P3888" s="356"/>
      <c r="Q3888" s="356"/>
      <c r="R3888" s="356"/>
      <c r="S3888" s="356"/>
      <c r="T3888" s="356"/>
      <c r="U3888" s="356" t="s">
        <v>40</v>
      </c>
      <c r="V3888" s="372"/>
      <c r="W3888" s="372"/>
      <c r="X3888" s="373"/>
      <c r="Y3888" s="348"/>
      <c r="Z3888" s="348"/>
      <c r="AA3888" s="348"/>
    </row>
    <row r="3889" s="331" customFormat="1" ht="17" customHeight="1" spans="1:27">
      <c r="A3889" s="445">
        <v>2066958</v>
      </c>
      <c r="B3889" s="445" t="s">
        <v>335</v>
      </c>
      <c r="C3889" s="445" t="s">
        <v>399</v>
      </c>
      <c r="D3889" s="352" t="s">
        <v>337</v>
      </c>
      <c r="E3889" s="336">
        <v>43705</v>
      </c>
      <c r="F3889" s="336">
        <v>43695</v>
      </c>
      <c r="G3889" s="336">
        <v>43704</v>
      </c>
      <c r="H3889" s="410" t="s">
        <v>9612</v>
      </c>
      <c r="I3889" s="356">
        <v>13311832297</v>
      </c>
      <c r="J3889" s="446" t="s">
        <v>9613</v>
      </c>
      <c r="K3889" s="447">
        <v>14716</v>
      </c>
      <c r="L3889" s="334">
        <v>11413</v>
      </c>
      <c r="M3889" s="419"/>
      <c r="N3889" s="362">
        <f t="shared" si="134"/>
        <v>11413</v>
      </c>
      <c r="O3889" s="356"/>
      <c r="P3889" s="356"/>
      <c r="Q3889" s="356"/>
      <c r="R3889" s="356"/>
      <c r="S3889" s="356"/>
      <c r="T3889" s="356"/>
      <c r="U3889" s="372"/>
      <c r="V3889" s="372"/>
      <c r="W3889" s="372"/>
      <c r="X3889" s="373"/>
      <c r="Y3889" s="348"/>
      <c r="Z3889" s="348"/>
      <c r="AA3889" s="348"/>
    </row>
    <row r="3890" s="331" customFormat="1" ht="17" customHeight="1" spans="1:27">
      <c r="A3890" s="348">
        <v>2022504</v>
      </c>
      <c r="B3890" s="348" t="s">
        <v>73</v>
      </c>
      <c r="C3890" s="348" t="s">
        <v>74</v>
      </c>
      <c r="D3890" s="334" t="s">
        <v>132</v>
      </c>
      <c r="E3890" s="336">
        <v>43767</v>
      </c>
      <c r="F3890" s="336">
        <v>43695</v>
      </c>
      <c r="G3890" s="336">
        <v>43765</v>
      </c>
      <c r="H3890" s="334" t="s">
        <v>9614</v>
      </c>
      <c r="I3890" s="356">
        <v>13311771580</v>
      </c>
      <c r="J3890" s="361" t="s">
        <v>8998</v>
      </c>
      <c r="K3890" s="356">
        <v>1000</v>
      </c>
      <c r="L3890" s="334">
        <v>21253</v>
      </c>
      <c r="M3890" s="419"/>
      <c r="N3890" s="362">
        <f t="shared" si="134"/>
        <v>21253</v>
      </c>
      <c r="O3890" s="366" t="s">
        <v>52</v>
      </c>
      <c r="P3890" s="356"/>
      <c r="Q3890" s="356"/>
      <c r="R3890" s="356"/>
      <c r="S3890" s="356"/>
      <c r="T3890" s="356"/>
      <c r="U3890" s="372"/>
      <c r="V3890" s="372"/>
      <c r="W3890" s="372"/>
      <c r="X3890" s="373"/>
      <c r="Y3890" s="348"/>
      <c r="Z3890" s="348"/>
      <c r="AA3890" s="348"/>
    </row>
    <row r="3891" s="331" customFormat="1" ht="17" customHeight="1" spans="1:27">
      <c r="A3891" s="348">
        <v>2022508</v>
      </c>
      <c r="B3891" s="348" t="s">
        <v>73</v>
      </c>
      <c r="C3891" s="348" t="s">
        <v>74</v>
      </c>
      <c r="D3891" s="334" t="s">
        <v>132</v>
      </c>
      <c r="E3891" s="336">
        <v>43715</v>
      </c>
      <c r="F3891" s="336">
        <v>43695</v>
      </c>
      <c r="G3891" s="336">
        <v>43714</v>
      </c>
      <c r="H3891" s="334" t="s">
        <v>9615</v>
      </c>
      <c r="I3891" s="356">
        <v>1331992155</v>
      </c>
      <c r="J3891" s="361" t="s">
        <v>9033</v>
      </c>
      <c r="K3891" s="356">
        <v>1000</v>
      </c>
      <c r="L3891" s="334">
        <v>18293</v>
      </c>
      <c r="M3891" s="419"/>
      <c r="N3891" s="362">
        <f t="shared" si="134"/>
        <v>18293</v>
      </c>
      <c r="O3891" s="356"/>
      <c r="P3891" s="366" t="s">
        <v>52</v>
      </c>
      <c r="Q3891" s="356"/>
      <c r="R3891" s="356"/>
      <c r="S3891" s="356"/>
      <c r="T3891" s="356"/>
      <c r="U3891" s="372"/>
      <c r="V3891" s="372"/>
      <c r="W3891" s="372"/>
      <c r="X3891" s="373"/>
      <c r="Y3891" s="348"/>
      <c r="Z3891" s="348"/>
      <c r="AA3891" s="348"/>
    </row>
    <row r="3892" s="331" customFormat="1" ht="17" customHeight="1" spans="1:27">
      <c r="A3892" s="348"/>
      <c r="B3892" s="348" t="s">
        <v>66</v>
      </c>
      <c r="C3892" s="348" t="s">
        <v>3954</v>
      </c>
      <c r="D3892" s="334" t="s">
        <v>68</v>
      </c>
      <c r="E3892" s="336">
        <v>43710</v>
      </c>
      <c r="F3892" s="336">
        <v>43695</v>
      </c>
      <c r="G3892" s="336">
        <v>43709</v>
      </c>
      <c r="H3892" s="334" t="s">
        <v>9616</v>
      </c>
      <c r="I3892" s="356" t="s">
        <v>9617</v>
      </c>
      <c r="J3892" s="361" t="s">
        <v>9618</v>
      </c>
      <c r="K3892" s="356">
        <v>7952</v>
      </c>
      <c r="L3892" s="334">
        <v>10201</v>
      </c>
      <c r="M3892" s="419"/>
      <c r="N3892" s="362">
        <f t="shared" ref="N3892:N3903" si="135">L3892+M3892</f>
        <v>10201</v>
      </c>
      <c r="O3892" s="356"/>
      <c r="P3892" s="356"/>
      <c r="Q3892" s="356"/>
      <c r="R3892" s="356"/>
      <c r="S3892" s="356"/>
      <c r="T3892" s="356"/>
      <c r="U3892" s="372"/>
      <c r="V3892" s="372"/>
      <c r="W3892" s="372" t="s">
        <v>9619</v>
      </c>
      <c r="X3892" s="373"/>
      <c r="Y3892" s="348"/>
      <c r="Z3892" s="348"/>
      <c r="AA3892" s="348"/>
    </row>
    <row r="3893" s="331" customFormat="1" ht="17" customHeight="1" spans="1:27">
      <c r="A3893" s="550" t="s">
        <v>4925</v>
      </c>
      <c r="B3893" s="348" t="s">
        <v>73</v>
      </c>
      <c r="C3893" s="348" t="s">
        <v>74</v>
      </c>
      <c r="D3893" s="352" t="s">
        <v>75</v>
      </c>
      <c r="E3893" s="336">
        <v>43738</v>
      </c>
      <c r="F3893" s="336">
        <v>43697</v>
      </c>
      <c r="G3893" s="336">
        <v>43738</v>
      </c>
      <c r="H3893" s="334" t="s">
        <v>9620</v>
      </c>
      <c r="I3893" s="356">
        <v>13162055888</v>
      </c>
      <c r="J3893" s="361" t="s">
        <v>9621</v>
      </c>
      <c r="K3893" s="356">
        <v>1000</v>
      </c>
      <c r="L3893" s="334">
        <v>79881</v>
      </c>
      <c r="M3893" s="419"/>
      <c r="N3893" s="362">
        <f t="shared" si="135"/>
        <v>79881</v>
      </c>
      <c r="O3893" s="366" t="s">
        <v>52</v>
      </c>
      <c r="P3893" s="356"/>
      <c r="Q3893" s="356"/>
      <c r="R3893" s="356"/>
      <c r="S3893" s="356"/>
      <c r="T3893" s="356"/>
      <c r="U3893" s="372"/>
      <c r="V3893" s="372"/>
      <c r="W3893" s="372"/>
      <c r="X3893" s="373"/>
      <c r="Y3893" s="348"/>
      <c r="Z3893" s="348"/>
      <c r="AA3893" s="348"/>
    </row>
    <row r="3894" s="331" customFormat="1" ht="17" customHeight="1" spans="1:27">
      <c r="A3894" s="550" t="s">
        <v>9622</v>
      </c>
      <c r="B3894" s="348" t="s">
        <v>73</v>
      </c>
      <c r="C3894" s="348" t="s">
        <v>74</v>
      </c>
      <c r="D3894" s="352" t="s">
        <v>75</v>
      </c>
      <c r="E3894" s="336">
        <v>43702</v>
      </c>
      <c r="F3894" s="336">
        <v>43698</v>
      </c>
      <c r="G3894" s="350" t="s">
        <v>69</v>
      </c>
      <c r="H3894" s="334" t="s">
        <v>9623</v>
      </c>
      <c r="I3894" s="356">
        <v>13601817338</v>
      </c>
      <c r="J3894" s="361" t="s">
        <v>9624</v>
      </c>
      <c r="K3894" s="356">
        <v>1000</v>
      </c>
      <c r="L3894" s="419"/>
      <c r="M3894" s="419"/>
      <c r="N3894" s="362">
        <f t="shared" si="135"/>
        <v>0</v>
      </c>
      <c r="O3894" s="366" t="s">
        <v>52</v>
      </c>
      <c r="P3894" s="356"/>
      <c r="Q3894" s="356"/>
      <c r="R3894" s="356"/>
      <c r="S3894" s="356"/>
      <c r="T3894" s="356"/>
      <c r="U3894" s="372"/>
      <c r="V3894" s="372"/>
      <c r="W3894" s="372"/>
      <c r="X3894" s="373"/>
      <c r="Y3894" s="348"/>
      <c r="Z3894" s="348"/>
      <c r="AA3894" s="348"/>
    </row>
    <row r="3895" s="331" customFormat="1" ht="17" customHeight="1" spans="1:27">
      <c r="A3895" s="348"/>
      <c r="B3895" s="348" t="s">
        <v>66</v>
      </c>
      <c r="C3895" s="348" t="s">
        <v>67</v>
      </c>
      <c r="D3895" s="352" t="s">
        <v>1436</v>
      </c>
      <c r="E3895" s="336">
        <v>43708</v>
      </c>
      <c r="F3895" s="336">
        <v>43700</v>
      </c>
      <c r="G3895" s="336">
        <v>43708</v>
      </c>
      <c r="H3895" s="348" t="s">
        <v>9625</v>
      </c>
      <c r="I3895" s="356">
        <v>13391338672</v>
      </c>
      <c r="J3895" s="361" t="s">
        <v>9626</v>
      </c>
      <c r="K3895" s="356">
        <v>1299</v>
      </c>
      <c r="L3895" s="334">
        <v>9686</v>
      </c>
      <c r="M3895" s="419"/>
      <c r="N3895" s="362">
        <f t="shared" si="135"/>
        <v>9686</v>
      </c>
      <c r="O3895" s="356"/>
      <c r="P3895" s="356"/>
      <c r="Q3895" s="356"/>
      <c r="R3895" s="356"/>
      <c r="S3895" s="356"/>
      <c r="T3895" s="356"/>
      <c r="U3895" s="372"/>
      <c r="V3895" s="372"/>
      <c r="W3895" s="372"/>
      <c r="X3895" s="373"/>
      <c r="Y3895" s="348"/>
      <c r="Z3895" s="348"/>
      <c r="AA3895" s="348"/>
    </row>
    <row r="3896" s="331" customFormat="1" ht="15" customHeight="1" spans="1:27">
      <c r="A3896" s="550" t="s">
        <v>9627</v>
      </c>
      <c r="B3896" s="348" t="s">
        <v>58</v>
      </c>
      <c r="C3896" s="348" t="s">
        <v>59</v>
      </c>
      <c r="D3896" s="349" t="s">
        <v>271</v>
      </c>
      <c r="E3896" s="336">
        <v>43769</v>
      </c>
      <c r="F3896" s="336">
        <v>43699</v>
      </c>
      <c r="G3896" s="336">
        <v>43768</v>
      </c>
      <c r="H3896" s="334" t="s">
        <v>9628</v>
      </c>
      <c r="I3896" s="356">
        <v>15821365385</v>
      </c>
      <c r="J3896" s="361" t="s">
        <v>9629</v>
      </c>
      <c r="K3896" s="356">
        <v>1000</v>
      </c>
      <c r="L3896" s="334">
        <v>5365</v>
      </c>
      <c r="M3896" s="419"/>
      <c r="N3896" s="362">
        <f t="shared" si="135"/>
        <v>5365</v>
      </c>
      <c r="O3896" s="356"/>
      <c r="P3896" s="366" t="s">
        <v>52</v>
      </c>
      <c r="Q3896" s="356"/>
      <c r="R3896" s="356"/>
      <c r="S3896" s="356"/>
      <c r="T3896" s="356"/>
      <c r="U3896" s="372"/>
      <c r="V3896" s="372"/>
      <c r="W3896" s="372"/>
      <c r="X3896" s="373"/>
      <c r="Y3896" s="348"/>
      <c r="Z3896" s="348"/>
      <c r="AA3896" s="348"/>
    </row>
    <row r="3897" s="331" customFormat="1" ht="17" customHeight="1" spans="1:27">
      <c r="A3897" s="550" t="s">
        <v>2224</v>
      </c>
      <c r="B3897" s="348" t="s">
        <v>58</v>
      </c>
      <c r="C3897" s="348" t="s">
        <v>59</v>
      </c>
      <c r="D3897" s="334" t="s">
        <v>271</v>
      </c>
      <c r="E3897" s="336">
        <v>43708</v>
      </c>
      <c r="F3897" s="336">
        <v>43700</v>
      </c>
      <c r="G3897" s="336">
        <v>43708</v>
      </c>
      <c r="H3897" s="334" t="s">
        <v>9630</v>
      </c>
      <c r="I3897" s="356">
        <v>13310031582</v>
      </c>
      <c r="J3897" s="361" t="s">
        <v>9631</v>
      </c>
      <c r="K3897" s="356">
        <v>1000</v>
      </c>
      <c r="L3897" s="334">
        <f>37752-2208</f>
        <v>35544</v>
      </c>
      <c r="M3897" s="334">
        <v>2208</v>
      </c>
      <c r="N3897" s="362">
        <f t="shared" si="135"/>
        <v>37752</v>
      </c>
      <c r="O3897" s="356"/>
      <c r="P3897" s="356"/>
      <c r="Q3897" s="356"/>
      <c r="R3897" s="356"/>
      <c r="S3897" s="366" t="s">
        <v>52</v>
      </c>
      <c r="T3897" s="356"/>
      <c r="U3897" s="372"/>
      <c r="V3897" s="372"/>
      <c r="W3897" s="372"/>
      <c r="X3897" s="373"/>
      <c r="Y3897" s="348"/>
      <c r="Z3897" s="348"/>
      <c r="AA3897" s="348"/>
    </row>
    <row r="3898" s="331" customFormat="1" ht="17" customHeight="1" spans="1:27">
      <c r="A3898" s="550" t="s">
        <v>9632</v>
      </c>
      <c r="B3898" s="348" t="s">
        <v>205</v>
      </c>
      <c r="C3898" s="348" t="s">
        <v>1467</v>
      </c>
      <c r="D3898" s="334" t="s">
        <v>237</v>
      </c>
      <c r="E3898" s="336">
        <v>43774</v>
      </c>
      <c r="F3898" s="336">
        <v>43701</v>
      </c>
      <c r="G3898" s="336">
        <v>43774</v>
      </c>
      <c r="H3898" s="336" t="s">
        <v>9633</v>
      </c>
      <c r="I3898" s="356">
        <v>15900982989</v>
      </c>
      <c r="J3898" s="361" t="s">
        <v>9634</v>
      </c>
      <c r="K3898" s="356">
        <v>1000</v>
      </c>
      <c r="L3898" s="334">
        <v>11899</v>
      </c>
      <c r="M3898" s="334">
        <v>1328</v>
      </c>
      <c r="N3898" s="362">
        <f t="shared" si="135"/>
        <v>13227</v>
      </c>
      <c r="O3898" s="356"/>
      <c r="P3898" s="356"/>
      <c r="Q3898" s="356" t="s">
        <v>21</v>
      </c>
      <c r="R3898" s="356"/>
      <c r="S3898" s="356"/>
      <c r="T3898" s="356"/>
      <c r="U3898" s="372"/>
      <c r="V3898" s="372"/>
      <c r="W3898" s="372"/>
      <c r="X3898" s="373"/>
      <c r="Y3898" s="348"/>
      <c r="Z3898" s="348"/>
      <c r="AA3898" s="348"/>
    </row>
    <row r="3899" s="331" customFormat="1" ht="15" customHeight="1" spans="1:27">
      <c r="A3899" s="348"/>
      <c r="B3899" s="348" t="s">
        <v>405</v>
      </c>
      <c r="C3899" s="348" t="s">
        <v>823</v>
      </c>
      <c r="D3899" s="352" t="s">
        <v>407</v>
      </c>
      <c r="E3899" s="336">
        <v>43720</v>
      </c>
      <c r="F3899" s="336">
        <v>43701</v>
      </c>
      <c r="G3899" s="336">
        <v>43715</v>
      </c>
      <c r="H3899" s="334" t="s">
        <v>9635</v>
      </c>
      <c r="I3899" s="356">
        <v>17721262764</v>
      </c>
      <c r="J3899" s="361" t="s">
        <v>9636</v>
      </c>
      <c r="K3899" s="356">
        <v>3000</v>
      </c>
      <c r="L3899" s="334">
        <v>14000</v>
      </c>
      <c r="M3899" s="419"/>
      <c r="N3899" s="362">
        <f t="shared" si="135"/>
        <v>14000</v>
      </c>
      <c r="O3899" s="356" t="s">
        <v>52</v>
      </c>
      <c r="P3899" s="356"/>
      <c r="Q3899" s="356"/>
      <c r="R3899" s="356"/>
      <c r="S3899" s="356"/>
      <c r="T3899" s="356"/>
      <c r="U3899" s="372"/>
      <c r="V3899" s="372"/>
      <c r="W3899" s="372"/>
      <c r="X3899" s="373"/>
      <c r="Y3899" s="348"/>
      <c r="Z3899" s="348"/>
      <c r="AA3899" s="348"/>
    </row>
    <row r="3900" s="331" customFormat="1" ht="17" customHeight="1" spans="1:27">
      <c r="A3900" s="550" t="s">
        <v>9637</v>
      </c>
      <c r="B3900" s="348" t="s">
        <v>185</v>
      </c>
      <c r="C3900" s="348" t="s">
        <v>1620</v>
      </c>
      <c r="D3900" s="334" t="s">
        <v>191</v>
      </c>
      <c r="E3900" s="336">
        <v>43722</v>
      </c>
      <c r="F3900" s="336">
        <v>43701</v>
      </c>
      <c r="G3900" s="336">
        <v>43709</v>
      </c>
      <c r="H3900" s="334" t="s">
        <v>9638</v>
      </c>
      <c r="I3900" s="356">
        <v>13681852171</v>
      </c>
      <c r="J3900" s="361" t="s">
        <v>9639</v>
      </c>
      <c r="K3900" s="356">
        <v>5000</v>
      </c>
      <c r="L3900" s="334">
        <v>7124</v>
      </c>
      <c r="M3900" s="419"/>
      <c r="N3900" s="362">
        <f t="shared" ref="N3900:N3937" si="136">L3900+M3900</f>
        <v>7124</v>
      </c>
      <c r="O3900" s="356"/>
      <c r="P3900" s="356"/>
      <c r="Q3900" s="356"/>
      <c r="R3900" s="356"/>
      <c r="S3900" s="356"/>
      <c r="T3900" s="356"/>
      <c r="U3900" s="372"/>
      <c r="V3900" s="372"/>
      <c r="W3900" s="372"/>
      <c r="X3900" s="373"/>
      <c r="Y3900" s="348"/>
      <c r="Z3900" s="348"/>
      <c r="AA3900" s="348"/>
    </row>
    <row r="3901" s="331" customFormat="1" ht="17" customHeight="1" spans="1:27">
      <c r="A3901" s="550" t="s">
        <v>9640</v>
      </c>
      <c r="B3901" s="348" t="s">
        <v>73</v>
      </c>
      <c r="C3901" s="348" t="s">
        <v>74</v>
      </c>
      <c r="D3901" s="352" t="s">
        <v>717</v>
      </c>
      <c r="E3901" s="336">
        <v>43737</v>
      </c>
      <c r="F3901" s="336">
        <v>43700</v>
      </c>
      <c r="G3901" s="336">
        <v>43727</v>
      </c>
      <c r="H3901" s="334" t="s">
        <v>9641</v>
      </c>
      <c r="I3901" s="356">
        <v>15026685582</v>
      </c>
      <c r="J3901" s="361" t="s">
        <v>9642</v>
      </c>
      <c r="K3901" s="356">
        <v>1000</v>
      </c>
      <c r="L3901" s="334">
        <f>16793-1472</f>
        <v>15321</v>
      </c>
      <c r="M3901" s="334">
        <v>1472</v>
      </c>
      <c r="N3901" s="362">
        <f t="shared" si="136"/>
        <v>16793</v>
      </c>
      <c r="O3901" s="356"/>
      <c r="P3901" s="356"/>
      <c r="Q3901" s="366" t="s">
        <v>52</v>
      </c>
      <c r="R3901" s="356"/>
      <c r="S3901" s="356"/>
      <c r="T3901" s="356"/>
      <c r="U3901" s="372"/>
      <c r="V3901" s="372"/>
      <c r="W3901" s="372"/>
      <c r="X3901" s="373"/>
      <c r="Y3901" s="348"/>
      <c r="Z3901" s="348"/>
      <c r="AA3901" s="348"/>
    </row>
    <row r="3902" s="331" customFormat="1" ht="17" customHeight="1" spans="1:27">
      <c r="A3902" s="348"/>
      <c r="B3902" s="348" t="s">
        <v>31</v>
      </c>
      <c r="C3902" s="348" t="s">
        <v>2716</v>
      </c>
      <c r="D3902" s="349" t="s">
        <v>954</v>
      </c>
      <c r="E3902" s="336">
        <v>43701</v>
      </c>
      <c r="F3902" s="336">
        <v>43701</v>
      </c>
      <c r="G3902" s="350">
        <v>43701</v>
      </c>
      <c r="H3902" s="334" t="s">
        <v>9643</v>
      </c>
      <c r="I3902" s="356">
        <v>18917099718</v>
      </c>
      <c r="J3902" s="361" t="s">
        <v>9644</v>
      </c>
      <c r="K3902" s="356">
        <v>1000</v>
      </c>
      <c r="L3902" s="334">
        <v>8267</v>
      </c>
      <c r="M3902" s="419"/>
      <c r="N3902" s="362">
        <f t="shared" si="136"/>
        <v>8267</v>
      </c>
      <c r="O3902" s="356"/>
      <c r="P3902" s="356"/>
      <c r="Q3902" s="356"/>
      <c r="R3902" s="356"/>
      <c r="S3902" s="356"/>
      <c r="T3902" s="356"/>
      <c r="U3902" s="372"/>
      <c r="V3902" s="372"/>
      <c r="W3902" s="372"/>
      <c r="X3902" s="373"/>
      <c r="Y3902" s="348"/>
      <c r="Z3902" s="348"/>
      <c r="AA3902" s="348"/>
    </row>
    <row r="3903" s="331" customFormat="1" ht="17" customHeight="1" spans="1:27">
      <c r="A3903" s="348"/>
      <c r="B3903" s="348" t="s">
        <v>153</v>
      </c>
      <c r="C3903" s="348" t="s">
        <v>154</v>
      </c>
      <c r="D3903" s="352" t="s">
        <v>155</v>
      </c>
      <c r="E3903" s="336">
        <v>43745</v>
      </c>
      <c r="F3903" s="336">
        <v>43701</v>
      </c>
      <c r="G3903" s="336">
        <v>43745</v>
      </c>
      <c r="H3903" s="334" t="s">
        <v>9645</v>
      </c>
      <c r="I3903" s="356" t="s">
        <v>9646</v>
      </c>
      <c r="J3903" s="361" t="s">
        <v>9647</v>
      </c>
      <c r="K3903" s="356">
        <v>3000</v>
      </c>
      <c r="L3903" s="334">
        <v>10477</v>
      </c>
      <c r="M3903" s="419"/>
      <c r="N3903" s="362">
        <f t="shared" si="136"/>
        <v>10477</v>
      </c>
      <c r="O3903" s="356"/>
      <c r="P3903" s="356"/>
      <c r="Q3903" s="356" t="s">
        <v>52</v>
      </c>
      <c r="R3903" s="356"/>
      <c r="S3903" s="356"/>
      <c r="T3903" s="356"/>
      <c r="U3903" s="372"/>
      <c r="V3903" s="372"/>
      <c r="W3903" s="372"/>
      <c r="X3903" s="373"/>
      <c r="Y3903" s="348"/>
      <c r="Z3903" s="348"/>
      <c r="AA3903" s="348"/>
    </row>
    <row r="3904" s="331" customFormat="1" ht="17" customHeight="1" spans="1:27">
      <c r="A3904" s="550" t="s">
        <v>9648</v>
      </c>
      <c r="B3904" s="348" t="s">
        <v>42</v>
      </c>
      <c r="C3904" s="348" t="s">
        <v>43</v>
      </c>
      <c r="D3904" s="349" t="s">
        <v>44</v>
      </c>
      <c r="E3904" s="336">
        <v>43701</v>
      </c>
      <c r="F3904" s="336">
        <v>43701</v>
      </c>
      <c r="G3904" s="350">
        <v>43701</v>
      </c>
      <c r="H3904" s="334" t="s">
        <v>9649</v>
      </c>
      <c r="I3904" s="356">
        <v>13761570070</v>
      </c>
      <c r="J3904" s="361" t="s">
        <v>9650</v>
      </c>
      <c r="K3904" s="356">
        <v>4000</v>
      </c>
      <c r="L3904" s="334">
        <v>4090</v>
      </c>
      <c r="M3904" s="419"/>
      <c r="N3904" s="362">
        <f t="shared" si="136"/>
        <v>4090</v>
      </c>
      <c r="O3904" s="356"/>
      <c r="P3904" s="356"/>
      <c r="Q3904" s="356"/>
      <c r="R3904" s="356"/>
      <c r="S3904" s="356"/>
      <c r="T3904" s="356"/>
      <c r="U3904" s="372"/>
      <c r="V3904" s="372"/>
      <c r="W3904" s="372"/>
      <c r="X3904" s="373"/>
      <c r="Y3904" s="348"/>
      <c r="Z3904" s="348"/>
      <c r="AA3904" s="348"/>
    </row>
    <row r="3905" s="331" customFormat="1" ht="17" customHeight="1" spans="1:27">
      <c r="A3905" s="550" t="s">
        <v>9651</v>
      </c>
      <c r="B3905" s="348" t="s">
        <v>205</v>
      </c>
      <c r="C3905" s="348" t="s">
        <v>1467</v>
      </c>
      <c r="D3905" s="334" t="s">
        <v>89</v>
      </c>
      <c r="E3905" s="336">
        <v>43713</v>
      </c>
      <c r="F3905" s="336">
        <v>43701</v>
      </c>
      <c r="G3905" s="336">
        <v>43713</v>
      </c>
      <c r="H3905" s="334" t="s">
        <v>9652</v>
      </c>
      <c r="I3905" s="356">
        <v>18721501678</v>
      </c>
      <c r="J3905" s="361" t="s">
        <v>9653</v>
      </c>
      <c r="K3905" s="356">
        <v>6249</v>
      </c>
      <c r="L3905" s="334">
        <f>6374-804</f>
        <v>5570</v>
      </c>
      <c r="M3905" s="334">
        <v>804</v>
      </c>
      <c r="N3905" s="362">
        <f t="shared" si="136"/>
        <v>6374</v>
      </c>
      <c r="O3905" s="356"/>
      <c r="P3905" s="356" t="s">
        <v>1526</v>
      </c>
      <c r="Q3905" s="356"/>
      <c r="R3905" s="356"/>
      <c r="S3905" s="356"/>
      <c r="T3905" s="356"/>
      <c r="U3905" s="372"/>
      <c r="V3905" s="372"/>
      <c r="W3905" s="372"/>
      <c r="X3905" s="373"/>
      <c r="Y3905" s="348"/>
      <c r="Z3905" s="348"/>
      <c r="AA3905" s="348"/>
    </row>
    <row r="3906" s="331" customFormat="1" ht="17" customHeight="1" spans="1:27">
      <c r="A3906" s="348"/>
      <c r="B3906" s="348" t="s">
        <v>2625</v>
      </c>
      <c r="C3906" s="348" t="s">
        <v>2626</v>
      </c>
      <c r="D3906" s="334" t="s">
        <v>337</v>
      </c>
      <c r="E3906" s="336">
        <v>43721</v>
      </c>
      <c r="F3906" s="336">
        <v>43701</v>
      </c>
      <c r="G3906" s="336">
        <v>43721</v>
      </c>
      <c r="H3906" s="334" t="s">
        <v>9654</v>
      </c>
      <c r="I3906" s="356">
        <v>13651988253</v>
      </c>
      <c r="J3906" s="361" t="s">
        <v>9655</v>
      </c>
      <c r="K3906" s="356">
        <v>1000</v>
      </c>
      <c r="L3906" s="334">
        <v>13000</v>
      </c>
      <c r="M3906" s="419"/>
      <c r="N3906" s="362">
        <f t="shared" si="136"/>
        <v>13000</v>
      </c>
      <c r="O3906" s="356"/>
      <c r="P3906" s="356"/>
      <c r="Q3906" s="356" t="s">
        <v>3660</v>
      </c>
      <c r="R3906" s="356"/>
      <c r="S3906" s="356"/>
      <c r="T3906" s="356"/>
      <c r="U3906" s="372"/>
      <c r="V3906" s="372"/>
      <c r="W3906" s="372"/>
      <c r="X3906" s="373"/>
      <c r="Y3906" s="348"/>
      <c r="Z3906" s="348"/>
      <c r="AA3906" s="348"/>
    </row>
    <row r="3907" s="331" customFormat="1" ht="17" customHeight="1" spans="1:27">
      <c r="A3907" s="550" t="s">
        <v>9656</v>
      </c>
      <c r="B3907" s="348" t="s">
        <v>2625</v>
      </c>
      <c r="C3907" s="348" t="s">
        <v>2626</v>
      </c>
      <c r="D3907" s="334" t="s">
        <v>44</v>
      </c>
      <c r="E3907" s="336">
        <v>43725</v>
      </c>
      <c r="F3907" s="336">
        <v>43701</v>
      </c>
      <c r="G3907" s="336">
        <v>43725</v>
      </c>
      <c r="H3907" s="334" t="s">
        <v>9657</v>
      </c>
      <c r="I3907" s="356">
        <v>13817511550</v>
      </c>
      <c r="J3907" s="361" t="s">
        <v>9658</v>
      </c>
      <c r="K3907" s="356">
        <v>1000</v>
      </c>
      <c r="L3907" s="334">
        <f>13000-1520</f>
        <v>11480</v>
      </c>
      <c r="M3907" s="334">
        <f>1520-1318</f>
        <v>202</v>
      </c>
      <c r="N3907" s="362">
        <f t="shared" si="136"/>
        <v>11682</v>
      </c>
      <c r="O3907" s="356"/>
      <c r="P3907" s="356" t="s">
        <v>3660</v>
      </c>
      <c r="Q3907" s="356"/>
      <c r="R3907" s="356"/>
      <c r="S3907" s="356"/>
      <c r="T3907" s="356"/>
      <c r="U3907" s="372"/>
      <c r="V3907" s="372"/>
      <c r="W3907" s="372"/>
      <c r="X3907" s="373"/>
      <c r="Y3907" s="348"/>
      <c r="Z3907" s="348"/>
      <c r="AA3907" s="348"/>
    </row>
    <row r="3908" s="332" customFormat="1" ht="17" customHeight="1" spans="1:27">
      <c r="A3908" s="550" t="s">
        <v>9659</v>
      </c>
      <c r="B3908" s="348" t="s">
        <v>42</v>
      </c>
      <c r="C3908" s="348" t="s">
        <v>43</v>
      </c>
      <c r="D3908" s="352" t="s">
        <v>125</v>
      </c>
      <c r="E3908" s="336">
        <v>43708</v>
      </c>
      <c r="F3908" s="336">
        <v>43701</v>
      </c>
      <c r="G3908" s="336">
        <v>43708</v>
      </c>
      <c r="H3908" s="334" t="s">
        <v>9660</v>
      </c>
      <c r="I3908" s="356">
        <v>13162390150</v>
      </c>
      <c r="J3908" s="361" t="s">
        <v>9661</v>
      </c>
      <c r="K3908" s="356">
        <v>10000</v>
      </c>
      <c r="L3908" s="334">
        <v>9810</v>
      </c>
      <c r="M3908" s="419"/>
      <c r="N3908" s="362">
        <f t="shared" si="136"/>
        <v>9810</v>
      </c>
      <c r="O3908" s="356"/>
      <c r="P3908" s="356"/>
      <c r="Q3908" s="356" t="s">
        <v>21</v>
      </c>
      <c r="R3908" s="356"/>
      <c r="S3908" s="356"/>
      <c r="T3908" s="356"/>
      <c r="U3908" s="372"/>
      <c r="V3908" s="372"/>
      <c r="W3908" s="372"/>
      <c r="X3908" s="373"/>
      <c r="Y3908" s="348"/>
      <c r="Z3908" s="348"/>
      <c r="AA3908" s="348"/>
    </row>
    <row r="3909" s="331" customFormat="1" ht="17" customHeight="1" spans="1:27">
      <c r="A3909" s="550" t="s">
        <v>9662</v>
      </c>
      <c r="B3909" s="348" t="s">
        <v>169</v>
      </c>
      <c r="C3909" s="334" t="s">
        <v>542</v>
      </c>
      <c r="D3909" s="352" t="s">
        <v>171</v>
      </c>
      <c r="E3909" s="336">
        <v>43706</v>
      </c>
      <c r="F3909" s="336">
        <v>43701</v>
      </c>
      <c r="G3909" s="336">
        <v>43705</v>
      </c>
      <c r="H3909" s="334" t="s">
        <v>9663</v>
      </c>
      <c r="I3909" s="356">
        <v>18717713661</v>
      </c>
      <c r="J3909" s="361" t="s">
        <v>9664</v>
      </c>
      <c r="K3909" s="356">
        <v>4658</v>
      </c>
      <c r="L3909" s="334">
        <f>4658-536</f>
        <v>4122</v>
      </c>
      <c r="M3909" s="334">
        <v>536</v>
      </c>
      <c r="N3909" s="362">
        <f t="shared" si="136"/>
        <v>4658</v>
      </c>
      <c r="O3909" s="356"/>
      <c r="P3909" s="356"/>
      <c r="Q3909" s="356"/>
      <c r="R3909" s="356"/>
      <c r="S3909" s="356"/>
      <c r="T3909" s="356"/>
      <c r="U3909" s="372"/>
      <c r="V3909" s="372"/>
      <c r="W3909" s="372" t="s">
        <v>9665</v>
      </c>
      <c r="X3909" s="373"/>
      <c r="Y3909" s="348"/>
      <c r="Z3909" s="348"/>
      <c r="AA3909" s="348"/>
    </row>
    <row r="3910" s="331" customFormat="1" ht="17" customHeight="1" spans="1:27">
      <c r="A3910" s="550" t="s">
        <v>9666</v>
      </c>
      <c r="B3910" s="348" t="s">
        <v>137</v>
      </c>
      <c r="C3910" s="348" t="s">
        <v>138</v>
      </c>
      <c r="D3910" s="334" t="s">
        <v>427</v>
      </c>
      <c r="E3910" s="336">
        <v>43723</v>
      </c>
      <c r="F3910" s="336">
        <v>43701</v>
      </c>
      <c r="G3910" s="336">
        <v>43723</v>
      </c>
      <c r="H3910" s="334" t="s">
        <v>9667</v>
      </c>
      <c r="I3910" s="356">
        <v>13701997029</v>
      </c>
      <c r="J3910" s="361" t="s">
        <v>9668</v>
      </c>
      <c r="K3910" s="356">
        <v>1000</v>
      </c>
      <c r="L3910" s="334">
        <v>18181</v>
      </c>
      <c r="M3910" s="419"/>
      <c r="N3910" s="362">
        <f t="shared" si="136"/>
        <v>18181</v>
      </c>
      <c r="O3910" s="356"/>
      <c r="P3910" s="356"/>
      <c r="Q3910" s="356"/>
      <c r="R3910" s="356"/>
      <c r="S3910" s="356">
        <v>1</v>
      </c>
      <c r="T3910" s="356"/>
      <c r="U3910" s="372"/>
      <c r="V3910" s="372"/>
      <c r="W3910" s="372"/>
      <c r="X3910" s="373"/>
      <c r="Y3910" s="348"/>
      <c r="Z3910" s="348"/>
      <c r="AA3910" s="348"/>
    </row>
    <row r="3911" s="331" customFormat="1" ht="17" customHeight="1" spans="1:27">
      <c r="A3911" s="550" t="s">
        <v>5106</v>
      </c>
      <c r="B3911" s="348" t="s">
        <v>73</v>
      </c>
      <c r="C3911" s="348" t="s">
        <v>178</v>
      </c>
      <c r="D3911" s="334" t="s">
        <v>237</v>
      </c>
      <c r="E3911" s="336">
        <v>43727</v>
      </c>
      <c r="F3911" s="336">
        <v>43701</v>
      </c>
      <c r="G3911" s="336">
        <v>43727</v>
      </c>
      <c r="H3911" s="334" t="s">
        <v>9669</v>
      </c>
      <c r="I3911" s="356">
        <v>18521396050</v>
      </c>
      <c r="J3911" s="361" t="s">
        <v>9670</v>
      </c>
      <c r="K3911" s="356">
        <v>1000</v>
      </c>
      <c r="L3911" s="334">
        <f>11885-1104</f>
        <v>10781</v>
      </c>
      <c r="M3911" s="334">
        <v>1104</v>
      </c>
      <c r="N3911" s="362">
        <f t="shared" si="136"/>
        <v>11885</v>
      </c>
      <c r="O3911" s="356"/>
      <c r="P3911" s="366" t="s">
        <v>52</v>
      </c>
      <c r="Q3911" s="356"/>
      <c r="R3911" s="356"/>
      <c r="S3911" s="356"/>
      <c r="T3911" s="356"/>
      <c r="U3911" s="372"/>
      <c r="V3911" s="372"/>
      <c r="W3911" s="372"/>
      <c r="X3911" s="373"/>
      <c r="Y3911" s="348"/>
      <c r="Z3911" s="348"/>
      <c r="AA3911" s="348"/>
    </row>
    <row r="3912" s="331" customFormat="1" ht="17" customHeight="1" spans="1:27">
      <c r="A3912" s="550" t="s">
        <v>9671</v>
      </c>
      <c r="B3912" s="348" t="s">
        <v>805</v>
      </c>
      <c r="C3912" s="334" t="s">
        <v>4935</v>
      </c>
      <c r="D3912" s="352" t="s">
        <v>171</v>
      </c>
      <c r="E3912" s="336">
        <v>43705</v>
      </c>
      <c r="F3912" s="336">
        <v>43701</v>
      </c>
      <c r="G3912" s="336">
        <v>43705</v>
      </c>
      <c r="H3912" s="334" t="s">
        <v>9672</v>
      </c>
      <c r="I3912" s="356">
        <v>13123814320</v>
      </c>
      <c r="J3912" s="361" t="s">
        <v>9673</v>
      </c>
      <c r="K3912" s="356">
        <v>1000</v>
      </c>
      <c r="L3912" s="334">
        <f>11285-1472</f>
        <v>9813</v>
      </c>
      <c r="M3912" s="334">
        <v>1472</v>
      </c>
      <c r="N3912" s="362">
        <f t="shared" si="136"/>
        <v>11285</v>
      </c>
      <c r="O3912" s="356"/>
      <c r="P3912" s="356"/>
      <c r="Q3912" s="356"/>
      <c r="R3912" s="356"/>
      <c r="S3912" s="356"/>
      <c r="T3912" s="356"/>
      <c r="U3912" s="372"/>
      <c r="V3912" s="372"/>
      <c r="W3912" s="372">
        <v>8.26</v>
      </c>
      <c r="X3912" s="373"/>
      <c r="Y3912" s="348"/>
      <c r="Z3912" s="348"/>
      <c r="AA3912" s="348"/>
    </row>
    <row r="3913" s="331" customFormat="1" ht="17" customHeight="1" spans="1:27">
      <c r="A3913" s="550" t="s">
        <v>9674</v>
      </c>
      <c r="B3913" s="348" t="s">
        <v>35</v>
      </c>
      <c r="C3913" s="348" t="s">
        <v>36</v>
      </c>
      <c r="D3913" s="352" t="s">
        <v>37</v>
      </c>
      <c r="E3913" s="336">
        <v>43751</v>
      </c>
      <c r="F3913" s="336">
        <v>43701</v>
      </c>
      <c r="G3913" s="336">
        <v>43751</v>
      </c>
      <c r="H3913" s="334" t="s">
        <v>9675</v>
      </c>
      <c r="I3913" s="356">
        <v>15618951305</v>
      </c>
      <c r="J3913" s="361" t="s">
        <v>9676</v>
      </c>
      <c r="K3913" s="356">
        <v>3000</v>
      </c>
      <c r="L3913" s="334">
        <f>16169-1104</f>
        <v>15065</v>
      </c>
      <c r="M3913" s="334">
        <v>1104</v>
      </c>
      <c r="N3913" s="362">
        <f t="shared" si="136"/>
        <v>16169</v>
      </c>
      <c r="O3913" s="356" t="s">
        <v>52</v>
      </c>
      <c r="P3913" s="356"/>
      <c r="Q3913" s="356"/>
      <c r="R3913" s="356"/>
      <c r="S3913" s="356"/>
      <c r="T3913" s="356"/>
      <c r="U3913" s="372"/>
      <c r="V3913" s="372"/>
      <c r="W3913" s="372"/>
      <c r="X3913" s="373"/>
      <c r="Y3913" s="348"/>
      <c r="Z3913" s="348"/>
      <c r="AA3913" s="348"/>
    </row>
    <row r="3914" s="331" customFormat="1" ht="17" customHeight="1" spans="1:27">
      <c r="A3914" s="348"/>
      <c r="B3914" s="348" t="s">
        <v>31</v>
      </c>
      <c r="C3914" s="348" t="s">
        <v>3186</v>
      </c>
      <c r="D3914" s="334" t="s">
        <v>33</v>
      </c>
      <c r="E3914" s="336">
        <v>43734</v>
      </c>
      <c r="F3914" s="336">
        <v>43700</v>
      </c>
      <c r="G3914" s="336">
        <v>43734</v>
      </c>
      <c r="H3914" s="334" t="s">
        <v>9677</v>
      </c>
      <c r="I3914" s="356">
        <v>13816912010</v>
      </c>
      <c r="J3914" s="361" t="s">
        <v>9678</v>
      </c>
      <c r="K3914" s="356">
        <v>1000</v>
      </c>
      <c r="L3914" s="334">
        <v>3800</v>
      </c>
      <c r="M3914" s="419"/>
      <c r="N3914" s="362">
        <f t="shared" si="136"/>
        <v>3800</v>
      </c>
      <c r="O3914" s="356"/>
      <c r="P3914" s="356"/>
      <c r="Q3914" s="356"/>
      <c r="R3914" s="356"/>
      <c r="S3914" s="356"/>
      <c r="T3914" s="356"/>
      <c r="U3914" s="372"/>
      <c r="V3914" s="372"/>
      <c r="W3914" s="372"/>
      <c r="X3914" s="373"/>
      <c r="Y3914" s="348"/>
      <c r="Z3914" s="348"/>
      <c r="AA3914" s="348"/>
    </row>
    <row r="3915" s="331" customFormat="1" ht="17" customHeight="1" spans="1:27">
      <c r="A3915" s="550" t="s">
        <v>9679</v>
      </c>
      <c r="B3915" s="348" t="s">
        <v>185</v>
      </c>
      <c r="C3915" s="348" t="s">
        <v>186</v>
      </c>
      <c r="D3915" s="352" t="s">
        <v>187</v>
      </c>
      <c r="E3915" s="336">
        <v>43705</v>
      </c>
      <c r="F3915" s="336">
        <v>43701</v>
      </c>
      <c r="G3915" s="336">
        <v>43704</v>
      </c>
      <c r="H3915" s="334" t="s">
        <v>9680</v>
      </c>
      <c r="I3915" s="356">
        <v>13917777535</v>
      </c>
      <c r="J3915" s="361" t="s">
        <v>9681</v>
      </c>
      <c r="K3915" s="356">
        <v>1000</v>
      </c>
      <c r="L3915" s="334">
        <f>36547-1104</f>
        <v>35443</v>
      </c>
      <c r="M3915" s="334">
        <v>1104</v>
      </c>
      <c r="N3915" s="362">
        <f t="shared" si="136"/>
        <v>36547</v>
      </c>
      <c r="O3915" s="356"/>
      <c r="P3915" s="356"/>
      <c r="Q3915" s="356"/>
      <c r="R3915" s="356"/>
      <c r="S3915" s="356"/>
      <c r="T3915" s="356"/>
      <c r="U3915" s="372"/>
      <c r="V3915" s="372"/>
      <c r="W3915" s="372"/>
      <c r="X3915" s="373"/>
      <c r="Y3915" s="348"/>
      <c r="Z3915" s="348"/>
      <c r="AA3915" s="348"/>
    </row>
    <row r="3916" s="331" customFormat="1" ht="17" customHeight="1" spans="1:27">
      <c r="A3916" s="550" t="s">
        <v>4930</v>
      </c>
      <c r="B3916" s="348" t="s">
        <v>73</v>
      </c>
      <c r="C3916" s="348" t="s">
        <v>74</v>
      </c>
      <c r="D3916" s="352" t="s">
        <v>717</v>
      </c>
      <c r="E3916" s="336">
        <v>43733</v>
      </c>
      <c r="F3916" s="336">
        <v>43698</v>
      </c>
      <c r="G3916" s="336">
        <v>43732</v>
      </c>
      <c r="H3916" s="334" t="s">
        <v>9682</v>
      </c>
      <c r="I3916" s="356">
        <v>1816751805</v>
      </c>
      <c r="J3916" s="361" t="s">
        <v>9683</v>
      </c>
      <c r="K3916" s="356">
        <v>1000</v>
      </c>
      <c r="L3916" s="334">
        <f>14140-760</f>
        <v>13380</v>
      </c>
      <c r="M3916" s="334">
        <f>2310+760</f>
        <v>3070</v>
      </c>
      <c r="N3916" s="362">
        <f t="shared" si="136"/>
        <v>16450</v>
      </c>
      <c r="O3916" s="366" t="s">
        <v>52</v>
      </c>
      <c r="P3916" s="356"/>
      <c r="Q3916" s="356"/>
      <c r="R3916" s="356"/>
      <c r="S3916" s="356"/>
      <c r="T3916" s="356"/>
      <c r="U3916" s="372"/>
      <c r="V3916" s="372"/>
      <c r="W3916" s="372"/>
      <c r="X3916" s="373"/>
      <c r="Y3916" s="348"/>
      <c r="Z3916" s="348"/>
      <c r="AA3916" s="348"/>
    </row>
    <row r="3917" s="331" customFormat="1" ht="17" customHeight="1" spans="1:27">
      <c r="A3917" s="550" t="s">
        <v>9684</v>
      </c>
      <c r="B3917" s="348" t="s">
        <v>73</v>
      </c>
      <c r="C3917" s="348" t="s">
        <v>74</v>
      </c>
      <c r="D3917" s="334" t="s">
        <v>132</v>
      </c>
      <c r="E3917" s="336">
        <v>43769</v>
      </c>
      <c r="F3917" s="336">
        <v>43699</v>
      </c>
      <c r="G3917" s="336">
        <v>43769</v>
      </c>
      <c r="H3917" s="334" t="s">
        <v>9685</v>
      </c>
      <c r="I3917" s="356">
        <v>13046615283</v>
      </c>
      <c r="J3917" s="361" t="s">
        <v>9686</v>
      </c>
      <c r="K3917" s="356">
        <v>1000</v>
      </c>
      <c r="L3917" s="334">
        <v>21499</v>
      </c>
      <c r="M3917" s="419"/>
      <c r="N3917" s="362">
        <f t="shared" si="136"/>
        <v>21499</v>
      </c>
      <c r="O3917" s="366" t="s">
        <v>52</v>
      </c>
      <c r="P3917" s="356"/>
      <c r="Q3917" s="356"/>
      <c r="R3917" s="356"/>
      <c r="S3917" s="356"/>
      <c r="T3917" s="356"/>
      <c r="U3917" s="372"/>
      <c r="V3917" s="372"/>
      <c r="W3917" s="372"/>
      <c r="X3917" s="373"/>
      <c r="Y3917" s="348"/>
      <c r="Z3917" s="348"/>
      <c r="AA3917" s="348"/>
    </row>
    <row r="3918" s="331" customFormat="1" ht="17" customHeight="1" spans="1:27">
      <c r="A3918" s="348"/>
      <c r="B3918" s="348" t="s">
        <v>236</v>
      </c>
      <c r="C3918" s="348" t="s">
        <v>703</v>
      </c>
      <c r="D3918" s="349" t="s">
        <v>37</v>
      </c>
      <c r="E3918" s="336">
        <v>43702</v>
      </c>
      <c r="F3918" s="336">
        <v>43681</v>
      </c>
      <c r="G3918" s="350">
        <v>43681</v>
      </c>
      <c r="H3918" s="334" t="s">
        <v>9687</v>
      </c>
      <c r="I3918" s="356">
        <v>13817951772</v>
      </c>
      <c r="J3918" s="361" t="s">
        <v>9688</v>
      </c>
      <c r="K3918" s="356">
        <v>1000</v>
      </c>
      <c r="L3918" s="334">
        <v>6300</v>
      </c>
      <c r="M3918" s="419"/>
      <c r="N3918" s="362">
        <f t="shared" si="136"/>
        <v>6300</v>
      </c>
      <c r="O3918" s="356"/>
      <c r="P3918" s="356"/>
      <c r="Q3918" s="356"/>
      <c r="R3918" s="356"/>
      <c r="S3918" s="356"/>
      <c r="T3918" s="356"/>
      <c r="U3918" s="372"/>
      <c r="V3918" s="372"/>
      <c r="W3918" s="372"/>
      <c r="X3918" s="373"/>
      <c r="Y3918" s="348"/>
      <c r="Z3918" s="348"/>
      <c r="AA3918" s="348"/>
    </row>
    <row r="3919" s="331" customFormat="1" ht="17" customHeight="1" spans="1:27">
      <c r="A3919" s="550" t="s">
        <v>9689</v>
      </c>
      <c r="B3919" s="348" t="s">
        <v>2625</v>
      </c>
      <c r="C3919" s="348" t="s">
        <v>2626</v>
      </c>
      <c r="D3919" s="334" t="s">
        <v>44</v>
      </c>
      <c r="E3919" s="336">
        <v>43730</v>
      </c>
      <c r="F3919" s="336">
        <v>43702</v>
      </c>
      <c r="G3919" s="336">
        <v>43730</v>
      </c>
      <c r="H3919" s="334" t="s">
        <v>9690</v>
      </c>
      <c r="I3919" s="356">
        <v>13262982625</v>
      </c>
      <c r="J3919" s="361" t="s">
        <v>9691</v>
      </c>
      <c r="K3919" s="356">
        <v>1000</v>
      </c>
      <c r="L3919" s="334">
        <v>3019</v>
      </c>
      <c r="M3919" s="419"/>
      <c r="N3919" s="362">
        <f t="shared" si="136"/>
        <v>3019</v>
      </c>
      <c r="O3919" s="356"/>
      <c r="P3919" s="356"/>
      <c r="Q3919" s="356"/>
      <c r="R3919" s="356" t="s">
        <v>3660</v>
      </c>
      <c r="S3919" s="356"/>
      <c r="T3919" s="356"/>
      <c r="U3919" s="372"/>
      <c r="V3919" s="372"/>
      <c r="W3919" s="372"/>
      <c r="X3919" s="373"/>
      <c r="Y3919" s="348"/>
      <c r="Z3919" s="348"/>
      <c r="AA3919" s="348"/>
    </row>
    <row r="3920" s="331" customFormat="1" ht="17" customHeight="1" spans="1:27">
      <c r="A3920" s="550" t="s">
        <v>215</v>
      </c>
      <c r="B3920" s="348" t="s">
        <v>153</v>
      </c>
      <c r="C3920" s="348" t="s">
        <v>154</v>
      </c>
      <c r="D3920" s="352" t="s">
        <v>155</v>
      </c>
      <c r="E3920" s="336">
        <v>43706</v>
      </c>
      <c r="F3920" s="336">
        <v>43702</v>
      </c>
      <c r="G3920" s="336">
        <v>43705</v>
      </c>
      <c r="H3920" s="334" t="s">
        <v>9692</v>
      </c>
      <c r="I3920" s="356">
        <v>13864313889</v>
      </c>
      <c r="J3920" s="361" t="s">
        <v>9693</v>
      </c>
      <c r="K3920" s="356">
        <v>1000</v>
      </c>
      <c r="L3920" s="334">
        <v>17061</v>
      </c>
      <c r="M3920" s="419"/>
      <c r="N3920" s="362">
        <f t="shared" si="136"/>
        <v>17061</v>
      </c>
      <c r="O3920" s="356"/>
      <c r="P3920" s="356"/>
      <c r="Q3920" s="356"/>
      <c r="R3920" s="356"/>
      <c r="S3920" s="356"/>
      <c r="T3920" s="356"/>
      <c r="U3920" s="372"/>
      <c r="V3920" s="372"/>
      <c r="W3920" s="372"/>
      <c r="X3920" s="373"/>
      <c r="Y3920" s="348"/>
      <c r="Z3920" s="348"/>
      <c r="AA3920" s="348"/>
    </row>
    <row r="3921" s="331" customFormat="1" ht="17" customHeight="1" spans="1:27">
      <c r="A3921" s="348">
        <v>2023252</v>
      </c>
      <c r="B3921" s="348" t="s">
        <v>94</v>
      </c>
      <c r="C3921" s="348" t="s">
        <v>498</v>
      </c>
      <c r="D3921" s="352" t="s">
        <v>49</v>
      </c>
      <c r="E3921" s="336">
        <v>43702</v>
      </c>
      <c r="F3921" s="336">
        <v>43701</v>
      </c>
      <c r="G3921" s="350"/>
      <c r="H3921" s="348" t="s">
        <v>9694</v>
      </c>
      <c r="I3921" s="356">
        <v>1585749074</v>
      </c>
      <c r="J3921" s="361" t="s">
        <v>9695</v>
      </c>
      <c r="K3921" s="356">
        <v>1000</v>
      </c>
      <c r="L3921" s="419"/>
      <c r="M3921" s="419"/>
      <c r="N3921" s="362">
        <f t="shared" si="136"/>
        <v>0</v>
      </c>
      <c r="O3921" s="356"/>
      <c r="P3921" s="356"/>
      <c r="Q3921" s="356"/>
      <c r="R3921" s="356"/>
      <c r="S3921" s="366" t="s">
        <v>52</v>
      </c>
      <c r="T3921" s="356"/>
      <c r="U3921" s="372"/>
      <c r="V3921" s="372"/>
      <c r="W3921" s="372"/>
      <c r="X3921" s="373"/>
      <c r="Y3921" s="348"/>
      <c r="Z3921" s="348"/>
      <c r="AA3921" s="348"/>
    </row>
    <row r="3922" s="331" customFormat="1" ht="17" customHeight="1" spans="1:27">
      <c r="A3922" s="348">
        <v>2023251</v>
      </c>
      <c r="B3922" s="348" t="s">
        <v>94</v>
      </c>
      <c r="C3922" s="348" t="s">
        <v>498</v>
      </c>
      <c r="D3922" s="352" t="s">
        <v>49</v>
      </c>
      <c r="E3922" s="336">
        <v>43702</v>
      </c>
      <c r="F3922" s="336">
        <v>43701</v>
      </c>
      <c r="G3922" s="350"/>
      <c r="H3922" s="334" t="s">
        <v>9696</v>
      </c>
      <c r="I3922" s="356">
        <v>1585888006</v>
      </c>
      <c r="J3922" s="361" t="s">
        <v>9697</v>
      </c>
      <c r="K3922" s="356">
        <v>10000</v>
      </c>
      <c r="L3922" s="419"/>
      <c r="M3922" s="419"/>
      <c r="N3922" s="362">
        <f t="shared" si="136"/>
        <v>0</v>
      </c>
      <c r="O3922" s="356"/>
      <c r="P3922" s="356"/>
      <c r="Q3922" s="356"/>
      <c r="R3922" s="366" t="s">
        <v>52</v>
      </c>
      <c r="S3922" s="356"/>
      <c r="T3922" s="356"/>
      <c r="U3922" s="372"/>
      <c r="V3922" s="372"/>
      <c r="W3922" s="372"/>
      <c r="X3922" s="373"/>
      <c r="Y3922" s="348"/>
      <c r="Z3922" s="348"/>
      <c r="AA3922" s="348"/>
    </row>
    <row r="3923" s="331" customFormat="1" ht="17" customHeight="1" spans="1:27">
      <c r="A3923" s="550" t="s">
        <v>9698</v>
      </c>
      <c r="B3923" s="348" t="s">
        <v>2625</v>
      </c>
      <c r="C3923" s="348" t="s">
        <v>2626</v>
      </c>
      <c r="D3923" s="334" t="s">
        <v>44</v>
      </c>
      <c r="E3923" s="336">
        <v>43713</v>
      </c>
      <c r="F3923" s="336">
        <v>43702</v>
      </c>
      <c r="G3923" s="336">
        <v>43708</v>
      </c>
      <c r="H3923" s="334" t="s">
        <v>9699</v>
      </c>
      <c r="I3923" s="356">
        <v>1611998983</v>
      </c>
      <c r="J3923" s="361" t="s">
        <v>9700</v>
      </c>
      <c r="K3923" s="356">
        <v>10000</v>
      </c>
      <c r="L3923" s="334">
        <f>24690-2280</f>
        <v>22410</v>
      </c>
      <c r="M3923" s="334">
        <v>2280</v>
      </c>
      <c r="N3923" s="362">
        <f t="shared" si="136"/>
        <v>24690</v>
      </c>
      <c r="O3923" s="356"/>
      <c r="P3923" s="356"/>
      <c r="Q3923" s="356"/>
      <c r="R3923" s="356"/>
      <c r="S3923" s="356"/>
      <c r="T3923" s="356"/>
      <c r="U3923" s="372"/>
      <c r="V3923" s="372"/>
      <c r="W3923" s="387">
        <v>43702</v>
      </c>
      <c r="X3923" s="373"/>
      <c r="Y3923" s="348"/>
      <c r="Z3923" s="348"/>
      <c r="AA3923" s="348"/>
    </row>
    <row r="3924" s="331" customFormat="1" ht="17" customHeight="1" spans="1:27">
      <c r="A3924" s="348">
        <v>2066231</v>
      </c>
      <c r="B3924" s="348" t="s">
        <v>243</v>
      </c>
      <c r="C3924" s="348" t="s">
        <v>309</v>
      </c>
      <c r="D3924" s="352" t="s">
        <v>49</v>
      </c>
      <c r="E3924" s="336">
        <v>43745</v>
      </c>
      <c r="F3924" s="336">
        <v>43701</v>
      </c>
      <c r="G3924" s="336">
        <v>43743</v>
      </c>
      <c r="H3924" s="334" t="s">
        <v>9701</v>
      </c>
      <c r="I3924" s="356">
        <v>1321167693</v>
      </c>
      <c r="J3924" s="361" t="s">
        <v>9702</v>
      </c>
      <c r="K3924" s="356">
        <v>3000</v>
      </c>
      <c r="L3924" s="334">
        <v>14800</v>
      </c>
      <c r="M3924" s="419"/>
      <c r="N3924" s="362">
        <f t="shared" si="136"/>
        <v>14800</v>
      </c>
      <c r="O3924" s="356" t="s">
        <v>52</v>
      </c>
      <c r="P3924" s="356"/>
      <c r="Q3924" s="356"/>
      <c r="R3924" s="356"/>
      <c r="S3924" s="356"/>
      <c r="T3924" s="356"/>
      <c r="U3924" s="372"/>
      <c r="V3924" s="372"/>
      <c r="W3924" s="372"/>
      <c r="X3924" s="373"/>
      <c r="Y3924" s="348"/>
      <c r="Z3924" s="348"/>
      <c r="AA3924" s="348"/>
    </row>
    <row r="3925" s="331" customFormat="1" ht="17" customHeight="1" spans="1:27">
      <c r="A3925" s="348"/>
      <c r="B3925" s="348" t="s">
        <v>243</v>
      </c>
      <c r="C3925" s="348" t="s">
        <v>309</v>
      </c>
      <c r="D3925" s="352" t="s">
        <v>49</v>
      </c>
      <c r="E3925" s="336">
        <v>43749</v>
      </c>
      <c r="F3925" s="336">
        <v>43701</v>
      </c>
      <c r="G3925" s="336">
        <v>43749</v>
      </c>
      <c r="H3925" s="334" t="s">
        <v>9703</v>
      </c>
      <c r="I3925" s="356">
        <v>17765118280</v>
      </c>
      <c r="J3925" s="361" t="s">
        <v>9704</v>
      </c>
      <c r="K3925" s="356">
        <v>1000</v>
      </c>
      <c r="L3925" s="334">
        <v>7392</v>
      </c>
      <c r="M3925" s="419"/>
      <c r="N3925" s="362">
        <f t="shared" si="136"/>
        <v>7392</v>
      </c>
      <c r="O3925" s="356" t="s">
        <v>52</v>
      </c>
      <c r="P3925" s="356"/>
      <c r="Q3925" s="356"/>
      <c r="R3925" s="356"/>
      <c r="S3925" s="356"/>
      <c r="T3925" s="356"/>
      <c r="U3925" s="372"/>
      <c r="V3925" s="372"/>
      <c r="W3925" s="372"/>
      <c r="X3925" s="373"/>
      <c r="Y3925" s="348"/>
      <c r="Z3925" s="348"/>
      <c r="AA3925" s="348"/>
    </row>
    <row r="3926" s="331" customFormat="1" ht="17" customHeight="1" spans="1:27">
      <c r="A3926" s="550" t="s">
        <v>810</v>
      </c>
      <c r="B3926" s="348" t="s">
        <v>169</v>
      </c>
      <c r="C3926" s="348" t="s">
        <v>634</v>
      </c>
      <c r="D3926" s="352" t="s">
        <v>635</v>
      </c>
      <c r="E3926" s="336">
        <v>43702</v>
      </c>
      <c r="F3926" s="336">
        <v>43702</v>
      </c>
      <c r="G3926" s="350"/>
      <c r="H3926" s="334" t="s">
        <v>9705</v>
      </c>
      <c r="I3926" s="444">
        <v>13801655912</v>
      </c>
      <c r="J3926" s="361" t="s">
        <v>9706</v>
      </c>
      <c r="K3926" s="356">
        <v>1000</v>
      </c>
      <c r="L3926" s="419"/>
      <c r="M3926" s="419"/>
      <c r="N3926" s="362">
        <f t="shared" si="136"/>
        <v>0</v>
      </c>
      <c r="O3926" s="356" t="s">
        <v>19</v>
      </c>
      <c r="P3926" s="356"/>
      <c r="Q3926" s="356"/>
      <c r="R3926" s="356"/>
      <c r="S3926" s="356"/>
      <c r="T3926" s="356"/>
      <c r="U3926" s="372" t="s">
        <v>12</v>
      </c>
      <c r="V3926" s="372"/>
      <c r="W3926" s="372"/>
      <c r="X3926" s="373"/>
      <c r="Y3926" s="348"/>
      <c r="Z3926" s="348"/>
      <c r="AA3926" s="348"/>
    </row>
    <row r="3927" s="331" customFormat="1" ht="17" customHeight="1" spans="1:27">
      <c r="A3927" s="550" t="s">
        <v>9251</v>
      </c>
      <c r="B3927" s="348" t="s">
        <v>169</v>
      </c>
      <c r="C3927" s="348" t="s">
        <v>634</v>
      </c>
      <c r="D3927" s="352" t="s">
        <v>635</v>
      </c>
      <c r="E3927" s="336">
        <v>43702</v>
      </c>
      <c r="F3927" s="336">
        <v>43702</v>
      </c>
      <c r="G3927" s="356" t="s">
        <v>69</v>
      </c>
      <c r="H3927" s="334" t="s">
        <v>9707</v>
      </c>
      <c r="I3927" s="356">
        <v>15921909946</v>
      </c>
      <c r="J3927" s="361" t="s">
        <v>9708</v>
      </c>
      <c r="K3927" s="356">
        <v>1000</v>
      </c>
      <c r="L3927" s="419"/>
      <c r="M3927" s="419"/>
      <c r="N3927" s="362">
        <f t="shared" si="136"/>
        <v>0</v>
      </c>
      <c r="O3927" s="356" t="s">
        <v>19</v>
      </c>
      <c r="P3927" s="356"/>
      <c r="Q3927" s="356"/>
      <c r="R3927" s="356"/>
      <c r="S3927" s="356"/>
      <c r="T3927" s="356"/>
      <c r="U3927" s="372"/>
      <c r="V3927" s="372"/>
      <c r="W3927" s="372"/>
      <c r="X3927" s="373"/>
      <c r="Y3927" s="348"/>
      <c r="Z3927" s="348"/>
      <c r="AA3927" s="348"/>
    </row>
    <row r="3928" s="331" customFormat="1" ht="17" customHeight="1" spans="1:27">
      <c r="A3928" s="348"/>
      <c r="B3928" s="348" t="s">
        <v>5435</v>
      </c>
      <c r="C3928" s="348" t="s">
        <v>1728</v>
      </c>
      <c r="D3928" s="352" t="s">
        <v>149</v>
      </c>
      <c r="E3928" s="336">
        <v>43702</v>
      </c>
      <c r="F3928" s="336">
        <v>43702</v>
      </c>
      <c r="G3928" s="356" t="s">
        <v>3654</v>
      </c>
      <c r="H3928" s="334" t="s">
        <v>9709</v>
      </c>
      <c r="I3928" s="356">
        <v>1524970718</v>
      </c>
      <c r="J3928" s="361" t="s">
        <v>9710</v>
      </c>
      <c r="K3928" s="356">
        <v>1000</v>
      </c>
      <c r="L3928" s="419"/>
      <c r="M3928" s="419"/>
      <c r="N3928" s="362">
        <f t="shared" si="136"/>
        <v>0</v>
      </c>
      <c r="O3928" s="366"/>
      <c r="P3928" s="356"/>
      <c r="Q3928" s="366" t="s">
        <v>52</v>
      </c>
      <c r="R3928" s="356"/>
      <c r="S3928" s="356"/>
      <c r="T3928" s="356"/>
      <c r="U3928" s="372"/>
      <c r="V3928" s="372"/>
      <c r="W3928" s="372"/>
      <c r="X3928" s="373"/>
      <c r="Y3928" s="348"/>
      <c r="Z3928" s="348"/>
      <c r="AA3928" s="348"/>
    </row>
    <row r="3929" s="57" customFormat="1" ht="17" customHeight="1" spans="1:27">
      <c r="A3929" s="550" t="s">
        <v>9006</v>
      </c>
      <c r="B3929" s="348" t="s">
        <v>137</v>
      </c>
      <c r="C3929" s="348" t="s">
        <v>138</v>
      </c>
      <c r="D3929" s="352" t="s">
        <v>139</v>
      </c>
      <c r="E3929" s="336">
        <v>43702</v>
      </c>
      <c r="F3929" s="336">
        <v>43701</v>
      </c>
      <c r="G3929" s="350" t="s">
        <v>69</v>
      </c>
      <c r="H3929" s="334" t="s">
        <v>9711</v>
      </c>
      <c r="I3929" s="356">
        <v>1000695667</v>
      </c>
      <c r="J3929" s="348" t="s">
        <v>9712</v>
      </c>
      <c r="K3929" s="356">
        <v>1000</v>
      </c>
      <c r="L3929" s="419"/>
      <c r="M3929" s="419"/>
      <c r="N3929" s="362">
        <f t="shared" si="136"/>
        <v>0</v>
      </c>
      <c r="O3929" s="356"/>
      <c r="P3929" s="356"/>
      <c r="Q3929" s="356">
        <v>1</v>
      </c>
      <c r="R3929" s="356"/>
      <c r="S3929" s="356"/>
      <c r="T3929" s="356"/>
      <c r="U3929" s="372"/>
      <c r="V3929" s="372"/>
      <c r="W3929" s="372"/>
      <c r="X3929" s="373"/>
      <c r="Y3929" s="348"/>
      <c r="Z3929" s="348"/>
      <c r="AA3929" s="348"/>
    </row>
    <row r="3930" s="331" customFormat="1" ht="17" customHeight="1" spans="1:27">
      <c r="A3930" s="550" t="s">
        <v>9713</v>
      </c>
      <c r="B3930" s="348" t="s">
        <v>153</v>
      </c>
      <c r="C3930" s="348" t="s">
        <v>302</v>
      </c>
      <c r="D3930" s="352" t="s">
        <v>155</v>
      </c>
      <c r="E3930" s="336">
        <v>43702</v>
      </c>
      <c r="F3930" s="336">
        <v>43701</v>
      </c>
      <c r="G3930" s="350" t="s">
        <v>231</v>
      </c>
      <c r="H3930" s="334" t="s">
        <v>9714</v>
      </c>
      <c r="I3930" s="356">
        <v>15692163841</v>
      </c>
      <c r="J3930" s="361" t="s">
        <v>9715</v>
      </c>
      <c r="K3930" s="356">
        <v>3397</v>
      </c>
      <c r="L3930" s="419"/>
      <c r="M3930" s="419"/>
      <c r="N3930" s="362">
        <f t="shared" si="136"/>
        <v>0</v>
      </c>
      <c r="O3930" s="356" t="s">
        <v>19</v>
      </c>
      <c r="P3930" s="356"/>
      <c r="Q3930" s="356"/>
      <c r="R3930" s="356"/>
      <c r="S3930" s="356"/>
      <c r="T3930" s="356"/>
      <c r="U3930" s="372"/>
      <c r="V3930" s="372"/>
      <c r="W3930" s="372"/>
      <c r="X3930" s="373"/>
      <c r="Y3930" s="348"/>
      <c r="Z3930" s="348"/>
      <c r="AA3930" s="348"/>
    </row>
    <row r="3931" s="331" customFormat="1" ht="15" customHeight="1" spans="1:27">
      <c r="A3931" s="550" t="s">
        <v>9716</v>
      </c>
      <c r="B3931" s="348" t="s">
        <v>58</v>
      </c>
      <c r="C3931" s="348" t="s">
        <v>347</v>
      </c>
      <c r="D3931" s="352" t="s">
        <v>343</v>
      </c>
      <c r="E3931" s="336">
        <v>43702</v>
      </c>
      <c r="F3931" s="336">
        <v>43699</v>
      </c>
      <c r="G3931" s="350"/>
      <c r="H3931" s="348" t="s">
        <v>9717</v>
      </c>
      <c r="I3931" s="356">
        <v>1788984403</v>
      </c>
      <c r="J3931" s="361" t="s">
        <v>9718</v>
      </c>
      <c r="K3931" s="356">
        <v>1000</v>
      </c>
      <c r="L3931" s="419"/>
      <c r="M3931" s="419"/>
      <c r="N3931" s="362">
        <f t="shared" si="136"/>
        <v>0</v>
      </c>
      <c r="O3931" s="356"/>
      <c r="P3931" s="366" t="s">
        <v>52</v>
      </c>
      <c r="Q3931" s="356"/>
      <c r="R3931" s="356"/>
      <c r="S3931" s="356"/>
      <c r="T3931" s="356"/>
      <c r="U3931" s="400" t="s">
        <v>9719</v>
      </c>
      <c r="V3931" s="372"/>
      <c r="W3931" s="372"/>
      <c r="X3931" s="373"/>
      <c r="Y3931" s="348"/>
      <c r="Z3931" s="348"/>
      <c r="AA3931" s="348"/>
    </row>
    <row r="3932" s="331" customFormat="1" ht="17" customHeight="1" spans="1:27">
      <c r="A3932" s="550" t="s">
        <v>9720</v>
      </c>
      <c r="B3932" s="348" t="s">
        <v>66</v>
      </c>
      <c r="C3932" s="348" t="s">
        <v>1749</v>
      </c>
      <c r="D3932" s="352" t="s">
        <v>68</v>
      </c>
      <c r="E3932" s="336">
        <v>43702</v>
      </c>
      <c r="F3932" s="336">
        <v>43701</v>
      </c>
      <c r="G3932" s="350"/>
      <c r="H3932" s="348" t="s">
        <v>9721</v>
      </c>
      <c r="I3932" s="356">
        <v>13788939409</v>
      </c>
      <c r="J3932" s="361" t="s">
        <v>9722</v>
      </c>
      <c r="K3932" s="356">
        <v>31687</v>
      </c>
      <c r="L3932" s="419"/>
      <c r="M3932" s="419"/>
      <c r="N3932" s="362">
        <f t="shared" si="136"/>
        <v>0</v>
      </c>
      <c r="O3932" s="366" t="s">
        <v>52</v>
      </c>
      <c r="P3932" s="366"/>
      <c r="Q3932" s="356"/>
      <c r="R3932" s="356"/>
      <c r="S3932" s="356"/>
      <c r="T3932" s="356"/>
      <c r="U3932" s="372" t="s">
        <v>12</v>
      </c>
      <c r="V3932" s="372"/>
      <c r="W3932" s="372"/>
      <c r="X3932" s="373"/>
      <c r="Y3932" s="348"/>
      <c r="Z3932" s="348"/>
      <c r="AA3932" s="348"/>
    </row>
    <row r="3933" s="331" customFormat="1" ht="17" customHeight="1" spans="1:27">
      <c r="A3933" s="550" t="s">
        <v>9723</v>
      </c>
      <c r="B3933" s="348" t="s">
        <v>153</v>
      </c>
      <c r="C3933" s="348" t="s">
        <v>302</v>
      </c>
      <c r="D3933" s="352" t="s">
        <v>155</v>
      </c>
      <c r="E3933" s="336">
        <v>43702</v>
      </c>
      <c r="F3933" s="336">
        <v>43701</v>
      </c>
      <c r="G3933" s="350" t="s">
        <v>231</v>
      </c>
      <c r="H3933" s="348" t="s">
        <v>9724</v>
      </c>
      <c r="I3933" s="356">
        <v>13127714664</v>
      </c>
      <c r="J3933" s="361" t="s">
        <v>9725</v>
      </c>
      <c r="K3933" s="356">
        <v>3000</v>
      </c>
      <c r="L3933" s="419"/>
      <c r="M3933" s="419"/>
      <c r="N3933" s="362">
        <f t="shared" si="136"/>
        <v>0</v>
      </c>
      <c r="O3933" s="356" t="s">
        <v>19</v>
      </c>
      <c r="P3933" s="356"/>
      <c r="Q3933" s="356"/>
      <c r="R3933" s="356"/>
      <c r="S3933" s="356"/>
      <c r="T3933" s="356"/>
      <c r="U3933" s="372"/>
      <c r="V3933" s="372"/>
      <c r="W3933" s="372"/>
      <c r="X3933" s="373"/>
      <c r="Y3933" s="348"/>
      <c r="Z3933" s="348"/>
      <c r="AA3933" s="348"/>
    </row>
    <row r="3934" s="331" customFormat="1" ht="17" customHeight="1" spans="1:27">
      <c r="A3934" s="348"/>
      <c r="B3934" s="348" t="s">
        <v>31</v>
      </c>
      <c r="C3934" s="348" t="s">
        <v>3186</v>
      </c>
      <c r="D3934" s="334" t="s">
        <v>33</v>
      </c>
      <c r="E3934" s="336">
        <v>43760</v>
      </c>
      <c r="F3934" s="336">
        <v>43700</v>
      </c>
      <c r="G3934" s="336">
        <v>43759</v>
      </c>
      <c r="H3934" s="348" t="s">
        <v>9726</v>
      </c>
      <c r="I3934" s="356">
        <v>1764619553</v>
      </c>
      <c r="J3934" s="361" t="s">
        <v>9727</v>
      </c>
      <c r="K3934" s="356">
        <v>1000</v>
      </c>
      <c r="L3934" s="334">
        <f>28400-8891</f>
        <v>19509</v>
      </c>
      <c r="M3934" s="334">
        <v>8891</v>
      </c>
      <c r="N3934" s="362">
        <f t="shared" si="136"/>
        <v>28400</v>
      </c>
      <c r="O3934" s="356"/>
      <c r="P3934" s="356"/>
      <c r="Q3934" s="356"/>
      <c r="R3934" s="356"/>
      <c r="S3934" s="356"/>
      <c r="T3934" s="356"/>
      <c r="U3934" s="372"/>
      <c r="V3934" s="372"/>
      <c r="W3934" s="372"/>
      <c r="X3934" s="373"/>
      <c r="Y3934" s="348"/>
      <c r="Z3934" s="348"/>
      <c r="AA3934" s="348"/>
    </row>
    <row r="3935" s="331" customFormat="1" ht="17" customHeight="1" spans="1:27">
      <c r="A3935" s="348"/>
      <c r="B3935" s="348" t="s">
        <v>137</v>
      </c>
      <c r="C3935" s="348" t="s">
        <v>138</v>
      </c>
      <c r="D3935" s="334" t="s">
        <v>443</v>
      </c>
      <c r="E3935" s="336">
        <v>43731</v>
      </c>
      <c r="F3935" s="336">
        <v>43702</v>
      </c>
      <c r="G3935" s="336">
        <v>43731</v>
      </c>
      <c r="H3935" s="334" t="s">
        <v>9728</v>
      </c>
      <c r="I3935" s="356">
        <v>1817835065</v>
      </c>
      <c r="J3935" s="361" t="s">
        <v>9729</v>
      </c>
      <c r="K3935" s="356">
        <v>1000</v>
      </c>
      <c r="L3935" s="334">
        <v>9559</v>
      </c>
      <c r="M3935" s="419"/>
      <c r="N3935" s="362">
        <f t="shared" si="136"/>
        <v>9559</v>
      </c>
      <c r="O3935" s="356"/>
      <c r="P3935" s="356"/>
      <c r="Q3935" s="356">
        <v>1</v>
      </c>
      <c r="R3935" s="356"/>
      <c r="S3935" s="356"/>
      <c r="T3935" s="356"/>
      <c r="U3935" s="372"/>
      <c r="V3935" s="372"/>
      <c r="W3935" s="372"/>
      <c r="X3935" s="373"/>
      <c r="Y3935" s="348"/>
      <c r="Z3935" s="348"/>
      <c r="AA3935" s="348"/>
    </row>
    <row r="3936" s="331" customFormat="1" ht="17" customHeight="1" spans="1:27">
      <c r="A3936" s="550" t="s">
        <v>9730</v>
      </c>
      <c r="B3936" s="348" t="s">
        <v>66</v>
      </c>
      <c r="C3936" s="348" t="s">
        <v>951</v>
      </c>
      <c r="D3936" s="334" t="s">
        <v>1436</v>
      </c>
      <c r="E3936" s="336">
        <v>43730</v>
      </c>
      <c r="F3936" s="336">
        <v>43702</v>
      </c>
      <c r="G3936" s="336">
        <v>43729</v>
      </c>
      <c r="H3936" s="334" t="s">
        <v>9731</v>
      </c>
      <c r="I3936" s="356">
        <v>18516683052</v>
      </c>
      <c r="J3936" s="361" t="s">
        <v>9732</v>
      </c>
      <c r="K3936" s="356">
        <v>1000</v>
      </c>
      <c r="L3936" s="334">
        <v>4956</v>
      </c>
      <c r="M3936" s="419"/>
      <c r="N3936" s="362">
        <f t="shared" si="136"/>
        <v>4956</v>
      </c>
      <c r="O3936" s="356"/>
      <c r="P3936" s="356"/>
      <c r="Q3936" s="356"/>
      <c r="R3936" s="356"/>
      <c r="S3936" s="356"/>
      <c r="T3936" s="356"/>
      <c r="U3936" s="372"/>
      <c r="V3936" s="372"/>
      <c r="W3936" s="372"/>
      <c r="X3936" s="373"/>
      <c r="Y3936" s="348"/>
      <c r="Z3936" s="348"/>
      <c r="AA3936" s="348"/>
    </row>
    <row r="3937" s="331" customFormat="1" ht="17" customHeight="1" spans="1:27">
      <c r="A3937" s="348"/>
      <c r="B3937" s="348" t="s">
        <v>66</v>
      </c>
      <c r="C3937" s="348" t="s">
        <v>951</v>
      </c>
      <c r="D3937" s="334" t="s">
        <v>9733</v>
      </c>
      <c r="E3937" s="336">
        <v>43708</v>
      </c>
      <c r="F3937" s="336">
        <v>43702</v>
      </c>
      <c r="G3937" s="336">
        <v>43707</v>
      </c>
      <c r="H3937" s="334" t="s">
        <v>9734</v>
      </c>
      <c r="I3937" s="356">
        <v>13636666947</v>
      </c>
      <c r="J3937" s="361" t="s">
        <v>9735</v>
      </c>
      <c r="K3937" s="356">
        <v>7297</v>
      </c>
      <c r="L3937" s="334">
        <v>12496</v>
      </c>
      <c r="M3937" s="419"/>
      <c r="N3937" s="362">
        <f t="shared" si="136"/>
        <v>12496</v>
      </c>
      <c r="O3937" s="356"/>
      <c r="P3937" s="356"/>
      <c r="Q3937" s="356"/>
      <c r="R3937" s="356"/>
      <c r="S3937" s="356"/>
      <c r="T3937" s="356"/>
      <c r="U3937" s="372"/>
      <c r="V3937" s="372"/>
      <c r="W3937" s="372"/>
      <c r="X3937" s="373"/>
      <c r="Y3937" s="348"/>
      <c r="Z3937" s="348"/>
      <c r="AA3937" s="348"/>
    </row>
    <row r="3938" s="331" customFormat="1" ht="17" customHeight="1" spans="1:27">
      <c r="A3938" s="550" t="s">
        <v>6737</v>
      </c>
      <c r="B3938" s="348" t="s">
        <v>5435</v>
      </c>
      <c r="C3938" s="348" t="s">
        <v>1728</v>
      </c>
      <c r="D3938" s="334" t="s">
        <v>237</v>
      </c>
      <c r="E3938" s="336">
        <v>43734</v>
      </c>
      <c r="F3938" s="336">
        <v>43702</v>
      </c>
      <c r="G3938" s="336">
        <v>43734</v>
      </c>
      <c r="H3938" s="334" t="s">
        <v>9736</v>
      </c>
      <c r="I3938" s="356">
        <v>1003213021</v>
      </c>
      <c r="J3938" s="361" t="s">
        <v>9737</v>
      </c>
      <c r="K3938" s="356">
        <v>10930</v>
      </c>
      <c r="L3938" s="334">
        <v>10930</v>
      </c>
      <c r="M3938" s="419"/>
      <c r="N3938" s="362">
        <f t="shared" ref="N3938:N3987" si="137">L3938+M3938</f>
        <v>10930</v>
      </c>
      <c r="O3938" s="366" t="s">
        <v>9738</v>
      </c>
      <c r="P3938" s="356"/>
      <c r="Q3938" s="356"/>
      <c r="R3938" s="356"/>
      <c r="S3938" s="356"/>
      <c r="T3938" s="356"/>
      <c r="U3938" s="372"/>
      <c r="V3938" s="372"/>
      <c r="W3938" s="372"/>
      <c r="X3938" s="373"/>
      <c r="Y3938" s="348"/>
      <c r="Z3938" s="348"/>
      <c r="AA3938" s="348"/>
    </row>
    <row r="3939" s="331" customFormat="1" ht="17" customHeight="1" spans="1:27">
      <c r="A3939" s="348"/>
      <c r="B3939" s="348" t="s">
        <v>31</v>
      </c>
      <c r="C3939" s="348" t="s">
        <v>419</v>
      </c>
      <c r="D3939" s="352" t="s">
        <v>221</v>
      </c>
      <c r="E3939" s="336">
        <v>43702</v>
      </c>
      <c r="F3939" s="336">
        <v>43702</v>
      </c>
      <c r="G3939" s="350"/>
      <c r="H3939" s="334" t="s">
        <v>9739</v>
      </c>
      <c r="I3939" s="356">
        <v>1901939393</v>
      </c>
      <c r="J3939" s="361" t="s">
        <v>9740</v>
      </c>
      <c r="K3939" s="356">
        <v>1000</v>
      </c>
      <c r="L3939" s="419"/>
      <c r="M3939" s="419"/>
      <c r="N3939" s="362">
        <f t="shared" si="137"/>
        <v>0</v>
      </c>
      <c r="O3939" s="356"/>
      <c r="P3939" s="356"/>
      <c r="Q3939" s="356"/>
      <c r="R3939" s="356"/>
      <c r="S3939" s="356"/>
      <c r="T3939" s="356"/>
      <c r="U3939" s="373" t="s">
        <v>63</v>
      </c>
      <c r="V3939" s="372"/>
      <c r="W3939" s="372"/>
      <c r="X3939" s="373"/>
      <c r="Y3939" s="348"/>
      <c r="Z3939" s="348"/>
      <c r="AA3939" s="348"/>
    </row>
    <row r="3940" s="331" customFormat="1" ht="17" customHeight="1" spans="1:27">
      <c r="A3940" s="348"/>
      <c r="B3940" s="348" t="s">
        <v>2625</v>
      </c>
      <c r="C3940" s="348" t="s">
        <v>2626</v>
      </c>
      <c r="D3940" s="334" t="s">
        <v>44</v>
      </c>
      <c r="E3940" s="336">
        <v>43754</v>
      </c>
      <c r="F3940" s="336">
        <v>43702</v>
      </c>
      <c r="G3940" s="336">
        <v>43753</v>
      </c>
      <c r="H3940" s="334" t="s">
        <v>9741</v>
      </c>
      <c r="I3940" s="356">
        <v>13671704582</v>
      </c>
      <c r="J3940" s="361" t="s">
        <v>9742</v>
      </c>
      <c r="K3940" s="356">
        <v>1000</v>
      </c>
      <c r="L3940" s="334">
        <v>7936</v>
      </c>
      <c r="M3940" s="419"/>
      <c r="N3940" s="362">
        <f t="shared" si="137"/>
        <v>7936</v>
      </c>
      <c r="O3940" s="356" t="s">
        <v>19</v>
      </c>
      <c r="P3940" s="356"/>
      <c r="Q3940" s="356"/>
      <c r="R3940" s="356"/>
      <c r="S3940" s="356"/>
      <c r="T3940" s="356"/>
      <c r="U3940" s="372"/>
      <c r="V3940" s="372"/>
      <c r="W3940" s="372"/>
      <c r="X3940" s="373"/>
      <c r="Y3940" s="348"/>
      <c r="Z3940" s="348"/>
      <c r="AA3940" s="348"/>
    </row>
    <row r="3941" s="331" customFormat="1" ht="17" customHeight="1" spans="1:27">
      <c r="A3941" s="550" t="s">
        <v>9743</v>
      </c>
      <c r="B3941" s="348" t="s">
        <v>354</v>
      </c>
      <c r="C3941" s="348" t="s">
        <v>355</v>
      </c>
      <c r="D3941" s="425" t="s">
        <v>162</v>
      </c>
      <c r="E3941" s="424">
        <v>43737</v>
      </c>
      <c r="F3941" s="336">
        <v>43702</v>
      </c>
      <c r="G3941" s="424">
        <v>43737</v>
      </c>
      <c r="H3941" s="334" t="s">
        <v>9744</v>
      </c>
      <c r="I3941" s="356">
        <v>13818593927</v>
      </c>
      <c r="J3941" s="361" t="s">
        <v>9745</v>
      </c>
      <c r="K3941" s="356">
        <v>5000</v>
      </c>
      <c r="L3941" s="425">
        <v>8507</v>
      </c>
      <c r="M3941" s="419"/>
      <c r="N3941" s="362">
        <f t="shared" si="137"/>
        <v>8507</v>
      </c>
      <c r="O3941" s="356"/>
      <c r="P3941" s="356"/>
      <c r="Q3941" s="356"/>
      <c r="R3941" s="356"/>
      <c r="S3941" s="356" t="s">
        <v>52</v>
      </c>
      <c r="T3941" s="356"/>
      <c r="U3941" s="372"/>
      <c r="V3941" s="372"/>
      <c r="W3941" s="372"/>
      <c r="X3941" s="373"/>
      <c r="Y3941" s="348"/>
      <c r="Z3941" s="348"/>
      <c r="AA3941" s="348"/>
    </row>
    <row r="3942" s="331" customFormat="1" ht="17" customHeight="1" spans="1:27">
      <c r="A3942" s="550" t="s">
        <v>9746</v>
      </c>
      <c r="B3942" s="348" t="s">
        <v>185</v>
      </c>
      <c r="C3942" s="348" t="s">
        <v>886</v>
      </c>
      <c r="D3942" s="352" t="s">
        <v>187</v>
      </c>
      <c r="E3942" s="336">
        <v>43707</v>
      </c>
      <c r="F3942" s="336">
        <v>43702</v>
      </c>
      <c r="G3942" s="336">
        <v>43707</v>
      </c>
      <c r="H3942" s="334" t="s">
        <v>9747</v>
      </c>
      <c r="I3942" s="356">
        <v>13482278969</v>
      </c>
      <c r="J3942" s="361" t="s">
        <v>9748</v>
      </c>
      <c r="K3942" s="356">
        <v>50000</v>
      </c>
      <c r="L3942" s="334">
        <v>50000</v>
      </c>
      <c r="M3942" s="419"/>
      <c r="N3942" s="362">
        <f t="shared" si="137"/>
        <v>50000</v>
      </c>
      <c r="O3942" s="356" t="s">
        <v>52</v>
      </c>
      <c r="P3942" s="356"/>
      <c r="Q3942" s="356"/>
      <c r="R3942" s="356"/>
      <c r="S3942" s="356"/>
      <c r="T3942" s="356"/>
      <c r="U3942" s="372"/>
      <c r="V3942" s="372"/>
      <c r="W3942" s="372"/>
      <c r="X3942" s="373"/>
      <c r="Y3942" s="348"/>
      <c r="Z3942" s="348"/>
      <c r="AA3942" s="348"/>
    </row>
    <row r="3943" s="331" customFormat="1" ht="17" customHeight="1" spans="1:27">
      <c r="A3943" s="550" t="s">
        <v>5247</v>
      </c>
      <c r="B3943" s="334" t="s">
        <v>147</v>
      </c>
      <c r="C3943" s="334" t="s">
        <v>148</v>
      </c>
      <c r="D3943" s="349" t="s">
        <v>1170</v>
      </c>
      <c r="E3943" s="336">
        <v>43702</v>
      </c>
      <c r="F3943" s="336">
        <v>43689</v>
      </c>
      <c r="G3943" s="350">
        <v>43698</v>
      </c>
      <c r="H3943" s="334" t="s">
        <v>9749</v>
      </c>
      <c r="I3943" s="334">
        <v>15800907638</v>
      </c>
      <c r="J3943" s="367" t="s">
        <v>9750</v>
      </c>
      <c r="K3943" s="356">
        <v>7306</v>
      </c>
      <c r="L3943" s="334">
        <f>7306-536</f>
        <v>6770</v>
      </c>
      <c r="M3943" s="334">
        <v>536</v>
      </c>
      <c r="N3943" s="362">
        <f t="shared" si="137"/>
        <v>7306</v>
      </c>
      <c r="O3943" s="356"/>
      <c r="P3943" s="356"/>
      <c r="Q3943" s="356"/>
      <c r="R3943" s="356"/>
      <c r="S3943" s="356"/>
      <c r="T3943" s="356"/>
      <c r="U3943" s="372"/>
      <c r="V3943" s="372"/>
      <c r="W3943" s="372"/>
      <c r="X3943" s="373"/>
      <c r="Y3943" s="348"/>
      <c r="Z3943" s="348"/>
      <c r="AA3943" s="348"/>
    </row>
    <row r="3944" s="331" customFormat="1" ht="17" customHeight="1" spans="1:27">
      <c r="A3944" s="348"/>
      <c r="B3944" s="348" t="s">
        <v>123</v>
      </c>
      <c r="C3944" s="348" t="s">
        <v>32</v>
      </c>
      <c r="D3944" s="352" t="s">
        <v>125</v>
      </c>
      <c r="E3944" s="336">
        <v>43715</v>
      </c>
      <c r="F3944" s="336">
        <v>43701</v>
      </c>
      <c r="G3944" s="336">
        <v>43715</v>
      </c>
      <c r="H3944" s="334" t="s">
        <v>9751</v>
      </c>
      <c r="I3944" s="356">
        <v>13212298775</v>
      </c>
      <c r="J3944" s="361" t="s">
        <v>9752</v>
      </c>
      <c r="K3944" s="356">
        <v>1000</v>
      </c>
      <c r="L3944" s="334">
        <v>5146</v>
      </c>
      <c r="M3944" s="419"/>
      <c r="N3944" s="362">
        <f t="shared" si="137"/>
        <v>5146</v>
      </c>
      <c r="O3944" s="356"/>
      <c r="P3944" s="356"/>
      <c r="Q3944" s="366"/>
      <c r="R3944" s="356"/>
      <c r="S3944" s="366" t="s">
        <v>52</v>
      </c>
      <c r="T3944" s="356"/>
      <c r="U3944" s="372"/>
      <c r="V3944" s="372"/>
      <c r="W3944" s="372"/>
      <c r="X3944" s="373"/>
      <c r="Y3944" s="348"/>
      <c r="Z3944" s="348"/>
      <c r="AA3944" s="348"/>
    </row>
    <row r="3945" s="331" customFormat="1" ht="17" customHeight="1" spans="1:27">
      <c r="A3945" s="550" t="s">
        <v>7099</v>
      </c>
      <c r="B3945" s="348" t="s">
        <v>6313</v>
      </c>
      <c r="C3945" s="348" t="s">
        <v>7871</v>
      </c>
      <c r="D3945" s="352" t="s">
        <v>6313</v>
      </c>
      <c r="E3945" s="336">
        <v>43717</v>
      </c>
      <c r="F3945" s="336">
        <v>43702</v>
      </c>
      <c r="G3945" s="336">
        <v>43696</v>
      </c>
      <c r="H3945" s="334" t="s">
        <v>9753</v>
      </c>
      <c r="I3945" s="356">
        <v>17701719798</v>
      </c>
      <c r="J3945" s="361" t="s">
        <v>9754</v>
      </c>
      <c r="K3945" s="356">
        <v>1000</v>
      </c>
      <c r="L3945" s="334">
        <f>14200-804</f>
        <v>13396</v>
      </c>
      <c r="M3945" s="334">
        <v>804</v>
      </c>
      <c r="N3945" s="362">
        <f t="shared" si="137"/>
        <v>14200</v>
      </c>
      <c r="O3945" s="356"/>
      <c r="P3945" s="356"/>
      <c r="Q3945" s="356"/>
      <c r="R3945" s="356"/>
      <c r="S3945" s="356"/>
      <c r="T3945" s="356"/>
      <c r="U3945" s="372"/>
      <c r="V3945" s="372"/>
      <c r="W3945" s="372"/>
      <c r="X3945" s="373"/>
      <c r="Y3945" s="348"/>
      <c r="Z3945" s="348"/>
      <c r="AA3945" s="348"/>
    </row>
    <row r="3946" s="331" customFormat="1" ht="17" customHeight="1" spans="1:27">
      <c r="A3946" s="348">
        <v>2066249</v>
      </c>
      <c r="B3946" s="348" t="s">
        <v>94</v>
      </c>
      <c r="C3946" s="348" t="s">
        <v>3196</v>
      </c>
      <c r="D3946" s="352" t="s">
        <v>49</v>
      </c>
      <c r="E3946" s="336">
        <v>43711</v>
      </c>
      <c r="F3946" s="336">
        <v>43702</v>
      </c>
      <c r="G3946" s="336">
        <v>43710</v>
      </c>
      <c r="H3946" s="334" t="s">
        <v>5193</v>
      </c>
      <c r="I3946" s="356">
        <v>18521308125</v>
      </c>
      <c r="J3946" s="361" t="s">
        <v>9755</v>
      </c>
      <c r="K3946" s="356">
        <v>1000</v>
      </c>
      <c r="L3946" s="334">
        <f>13620-1340</f>
        <v>12280</v>
      </c>
      <c r="M3946" s="334">
        <v>1340</v>
      </c>
      <c r="N3946" s="362">
        <f t="shared" si="137"/>
        <v>13620</v>
      </c>
      <c r="O3946" s="356"/>
      <c r="P3946" s="356"/>
      <c r="Q3946" s="366" t="s">
        <v>52</v>
      </c>
      <c r="R3946" s="356"/>
      <c r="S3946" s="356"/>
      <c r="T3946" s="356"/>
      <c r="U3946" s="372"/>
      <c r="V3946" s="372"/>
      <c r="W3946" s="372"/>
      <c r="X3946" s="373"/>
      <c r="Y3946" s="348"/>
      <c r="Z3946" s="348"/>
      <c r="AA3946" s="348"/>
    </row>
    <row r="3947" s="331" customFormat="1" ht="17" customHeight="1" spans="1:27">
      <c r="A3947" s="348">
        <v>2066248</v>
      </c>
      <c r="B3947" s="348" t="s">
        <v>94</v>
      </c>
      <c r="C3947" s="334" t="s">
        <v>95</v>
      </c>
      <c r="D3947" s="352" t="s">
        <v>49</v>
      </c>
      <c r="E3947" s="336">
        <v>43708</v>
      </c>
      <c r="F3947" s="336">
        <v>43702</v>
      </c>
      <c r="G3947" s="336">
        <v>43706</v>
      </c>
      <c r="H3947" s="334" t="s">
        <v>9756</v>
      </c>
      <c r="I3947" s="356">
        <v>15921878708</v>
      </c>
      <c r="J3947" s="361" t="s">
        <v>9757</v>
      </c>
      <c r="K3947" s="356">
        <v>8500</v>
      </c>
      <c r="L3947" s="334">
        <v>8500</v>
      </c>
      <c r="M3947" s="419"/>
      <c r="N3947" s="362">
        <f t="shared" si="137"/>
        <v>8500</v>
      </c>
      <c r="O3947" s="356"/>
      <c r="P3947" s="366" t="s">
        <v>52</v>
      </c>
      <c r="Q3947" s="356"/>
      <c r="R3947" s="356"/>
      <c r="S3947" s="356"/>
      <c r="T3947" s="356"/>
      <c r="U3947" s="372"/>
      <c r="V3947" s="372"/>
      <c r="W3947" s="372"/>
      <c r="X3947" s="373"/>
      <c r="Y3947" s="348"/>
      <c r="Z3947" s="348"/>
      <c r="AA3947" s="348"/>
    </row>
    <row r="3948" s="331" customFormat="1" ht="17" customHeight="1" spans="1:27">
      <c r="A3948" s="550" t="s">
        <v>9758</v>
      </c>
      <c r="B3948" s="348" t="s">
        <v>87</v>
      </c>
      <c r="C3948" s="348" t="s">
        <v>466</v>
      </c>
      <c r="D3948" s="352" t="s">
        <v>89</v>
      </c>
      <c r="E3948" s="336">
        <v>43702</v>
      </c>
      <c r="F3948" s="336">
        <v>43702</v>
      </c>
      <c r="G3948" s="350"/>
      <c r="H3948" s="334" t="s">
        <v>9759</v>
      </c>
      <c r="I3948" s="356">
        <v>18221848312</v>
      </c>
      <c r="J3948" s="361" t="s">
        <v>9760</v>
      </c>
      <c r="K3948" s="356">
        <v>3000</v>
      </c>
      <c r="L3948" s="419"/>
      <c r="M3948" s="419"/>
      <c r="N3948" s="362">
        <f t="shared" si="137"/>
        <v>0</v>
      </c>
      <c r="O3948" s="411" t="s">
        <v>52</v>
      </c>
      <c r="P3948" s="356"/>
      <c r="Q3948" s="356"/>
      <c r="R3948" s="356"/>
      <c r="S3948" s="356"/>
      <c r="T3948" s="356"/>
      <c r="U3948" s="415" t="s">
        <v>40</v>
      </c>
      <c r="V3948" s="372"/>
      <c r="W3948" s="372"/>
      <c r="X3948" s="373"/>
      <c r="Y3948" s="348"/>
      <c r="Z3948" s="348"/>
      <c r="AA3948" s="348"/>
    </row>
    <row r="3949" s="331" customFormat="1" ht="17" customHeight="1" spans="1:27">
      <c r="A3949" s="348">
        <v>2066282</v>
      </c>
      <c r="B3949" s="348" t="s">
        <v>87</v>
      </c>
      <c r="C3949" s="348" t="s">
        <v>466</v>
      </c>
      <c r="D3949" s="352" t="s">
        <v>89</v>
      </c>
      <c r="E3949" s="336">
        <v>43702</v>
      </c>
      <c r="F3949" s="336">
        <v>43702</v>
      </c>
      <c r="G3949" s="448" t="s">
        <v>69</v>
      </c>
      <c r="H3949" s="334" t="s">
        <v>9761</v>
      </c>
      <c r="I3949" s="356">
        <v>13918124157</v>
      </c>
      <c r="J3949" s="361" t="s">
        <v>9762</v>
      </c>
      <c r="K3949" s="356">
        <v>1000</v>
      </c>
      <c r="L3949" s="419"/>
      <c r="M3949" s="419"/>
      <c r="N3949" s="362">
        <f t="shared" si="137"/>
        <v>0</v>
      </c>
      <c r="O3949" s="356"/>
      <c r="P3949" s="356"/>
      <c r="Q3949" s="411" t="s">
        <v>52</v>
      </c>
      <c r="R3949" s="356"/>
      <c r="S3949" s="356"/>
      <c r="T3949" s="356"/>
      <c r="U3949" s="372"/>
      <c r="V3949" s="372"/>
      <c r="W3949" s="372"/>
      <c r="X3949" s="373"/>
      <c r="Y3949" s="348"/>
      <c r="Z3949" s="348"/>
      <c r="AA3949" s="348"/>
    </row>
    <row r="3950" s="331" customFormat="1" ht="17" customHeight="1" spans="1:27">
      <c r="A3950" s="348"/>
      <c r="B3950" s="348" t="s">
        <v>31</v>
      </c>
      <c r="C3950" s="348" t="s">
        <v>3186</v>
      </c>
      <c r="D3950" s="334" t="s">
        <v>954</v>
      </c>
      <c r="E3950" s="336">
        <v>43762</v>
      </c>
      <c r="F3950" s="336">
        <v>43702</v>
      </c>
      <c r="G3950" s="336">
        <v>43762</v>
      </c>
      <c r="H3950" s="334" t="s">
        <v>9763</v>
      </c>
      <c r="I3950" s="356">
        <v>13818084351</v>
      </c>
      <c r="J3950" s="361" t="s">
        <v>9764</v>
      </c>
      <c r="K3950" s="356">
        <v>1000</v>
      </c>
      <c r="L3950" s="334">
        <v>7929</v>
      </c>
      <c r="M3950" s="334">
        <v>-100</v>
      </c>
      <c r="N3950" s="362">
        <f t="shared" si="137"/>
        <v>7829</v>
      </c>
      <c r="O3950" s="356"/>
      <c r="P3950" s="356"/>
      <c r="Q3950" s="356"/>
      <c r="R3950" s="356"/>
      <c r="S3950" s="356"/>
      <c r="T3950" s="356"/>
      <c r="U3950" s="372"/>
      <c r="V3950" s="372"/>
      <c r="W3950" s="372"/>
      <c r="X3950" s="373"/>
      <c r="Y3950" s="348"/>
      <c r="Z3950" s="348"/>
      <c r="AA3950" s="348"/>
    </row>
    <row r="3951" s="331" customFormat="1" ht="17" customHeight="1" spans="1:27">
      <c r="A3951" s="348"/>
      <c r="B3951" s="334" t="s">
        <v>137</v>
      </c>
      <c r="C3951" s="334" t="s">
        <v>406</v>
      </c>
      <c r="D3951" s="349" t="s">
        <v>139</v>
      </c>
      <c r="E3951" s="336">
        <v>43701</v>
      </c>
      <c r="F3951" s="336"/>
      <c r="G3951" s="336">
        <v>43698</v>
      </c>
      <c r="H3951" s="334" t="s">
        <v>9765</v>
      </c>
      <c r="I3951" s="334">
        <v>13636386698</v>
      </c>
      <c r="J3951" s="367" t="s">
        <v>9766</v>
      </c>
      <c r="K3951" s="356"/>
      <c r="L3951" s="334">
        <f>7288-268</f>
        <v>7020</v>
      </c>
      <c r="M3951" s="334">
        <v>268</v>
      </c>
      <c r="N3951" s="362">
        <f t="shared" si="137"/>
        <v>7288</v>
      </c>
      <c r="O3951" s="356"/>
      <c r="P3951" s="356"/>
      <c r="Q3951" s="356"/>
      <c r="R3951" s="356"/>
      <c r="S3951" s="356"/>
      <c r="T3951" s="356"/>
      <c r="U3951" s="372"/>
      <c r="V3951" s="372"/>
      <c r="W3951" s="372"/>
      <c r="X3951" s="373"/>
      <c r="Y3951" s="348"/>
      <c r="Z3951" s="348"/>
      <c r="AA3951" s="348"/>
    </row>
    <row r="3952" s="331" customFormat="1" ht="17" customHeight="1" spans="1:27">
      <c r="A3952" s="348"/>
      <c r="B3952" s="334" t="s">
        <v>137</v>
      </c>
      <c r="C3952" s="334" t="s">
        <v>411</v>
      </c>
      <c r="D3952" s="352" t="s">
        <v>139</v>
      </c>
      <c r="E3952" s="336">
        <v>43701</v>
      </c>
      <c r="F3952" s="336"/>
      <c r="G3952" s="336">
        <v>43699</v>
      </c>
      <c r="H3952" s="334" t="s">
        <v>6369</v>
      </c>
      <c r="I3952" s="334">
        <v>13774359812</v>
      </c>
      <c r="J3952" s="367" t="s">
        <v>9767</v>
      </c>
      <c r="K3952" s="356"/>
      <c r="L3952" s="334">
        <v>7612</v>
      </c>
      <c r="M3952" s="419"/>
      <c r="N3952" s="362">
        <f t="shared" si="137"/>
        <v>7612</v>
      </c>
      <c r="O3952" s="356"/>
      <c r="P3952" s="356"/>
      <c r="Q3952" s="356"/>
      <c r="R3952" s="356"/>
      <c r="S3952" s="356"/>
      <c r="T3952" s="356"/>
      <c r="U3952" s="372"/>
      <c r="V3952" s="372"/>
      <c r="W3952" s="372"/>
      <c r="X3952" s="373"/>
      <c r="Y3952" s="348"/>
      <c r="Z3952" s="348"/>
      <c r="AA3952" s="348"/>
    </row>
    <row r="3953" s="331" customFormat="1" ht="17" customHeight="1" spans="1:27">
      <c r="A3953" s="348"/>
      <c r="B3953" s="334" t="s">
        <v>153</v>
      </c>
      <c r="C3953" s="334" t="s">
        <v>154</v>
      </c>
      <c r="D3953" s="349" t="s">
        <v>155</v>
      </c>
      <c r="E3953" s="336">
        <v>43701</v>
      </c>
      <c r="F3953" s="336"/>
      <c r="G3953" s="336">
        <v>43700</v>
      </c>
      <c r="H3953" s="334" t="s">
        <v>9768</v>
      </c>
      <c r="I3953" s="334">
        <v>13817230898</v>
      </c>
      <c r="J3953" s="367" t="s">
        <v>9769</v>
      </c>
      <c r="K3953" s="356"/>
      <c r="L3953" s="334">
        <f>8018-1472</f>
        <v>6546</v>
      </c>
      <c r="M3953" s="334">
        <v>1472</v>
      </c>
      <c r="N3953" s="362">
        <f t="shared" si="137"/>
        <v>8018</v>
      </c>
      <c r="O3953" s="356"/>
      <c r="P3953" s="356"/>
      <c r="Q3953" s="356"/>
      <c r="R3953" s="356"/>
      <c r="S3953" s="356"/>
      <c r="T3953" s="356"/>
      <c r="U3953" s="372"/>
      <c r="V3953" s="372"/>
      <c r="W3953" s="372"/>
      <c r="X3953" s="373"/>
      <c r="Y3953" s="348"/>
      <c r="Z3953" s="348"/>
      <c r="AA3953" s="348"/>
    </row>
    <row r="3954" s="331" customFormat="1" ht="17" customHeight="1" spans="1:27">
      <c r="A3954" s="348"/>
      <c r="B3954" s="334" t="s">
        <v>405</v>
      </c>
      <c r="C3954" s="334" t="s">
        <v>823</v>
      </c>
      <c r="D3954" s="349" t="s">
        <v>407</v>
      </c>
      <c r="E3954" s="336">
        <v>43701</v>
      </c>
      <c r="F3954" s="336"/>
      <c r="G3954" s="336">
        <v>43697</v>
      </c>
      <c r="H3954" s="334" t="s">
        <v>9770</v>
      </c>
      <c r="I3954" s="334">
        <v>18621183198</v>
      </c>
      <c r="J3954" s="367" t="s">
        <v>9771</v>
      </c>
      <c r="K3954" s="356"/>
      <c r="L3954" s="334">
        <v>35404</v>
      </c>
      <c r="M3954" s="419"/>
      <c r="N3954" s="362">
        <f t="shared" si="137"/>
        <v>35404</v>
      </c>
      <c r="O3954" s="356"/>
      <c r="P3954" s="356"/>
      <c r="Q3954" s="356"/>
      <c r="R3954" s="356"/>
      <c r="S3954" s="356"/>
      <c r="T3954" s="356"/>
      <c r="U3954" s="372"/>
      <c r="V3954" s="372"/>
      <c r="W3954" s="372"/>
      <c r="X3954" s="373"/>
      <c r="Y3954" s="348"/>
      <c r="Z3954" s="348"/>
      <c r="AA3954" s="348"/>
    </row>
    <row r="3955" s="331" customFormat="1" ht="17" customHeight="1" spans="1:27">
      <c r="A3955" s="348"/>
      <c r="B3955" s="334" t="s">
        <v>73</v>
      </c>
      <c r="C3955" s="334" t="s">
        <v>74</v>
      </c>
      <c r="D3955" s="349" t="s">
        <v>143</v>
      </c>
      <c r="E3955" s="336">
        <v>43702</v>
      </c>
      <c r="F3955" s="336"/>
      <c r="G3955" s="336">
        <v>43702</v>
      </c>
      <c r="H3955" s="334" t="s">
        <v>9772</v>
      </c>
      <c r="I3955" s="334">
        <v>18019787780</v>
      </c>
      <c r="J3955" s="367" t="s">
        <v>9773</v>
      </c>
      <c r="K3955" s="356"/>
      <c r="L3955" s="334">
        <v>60850</v>
      </c>
      <c r="M3955" s="419"/>
      <c r="N3955" s="362">
        <f t="shared" si="137"/>
        <v>60850</v>
      </c>
      <c r="O3955" s="356"/>
      <c r="P3955" s="356"/>
      <c r="Q3955" s="356"/>
      <c r="R3955" s="356"/>
      <c r="S3955" s="356"/>
      <c r="T3955" s="356"/>
      <c r="U3955" s="372"/>
      <c r="V3955" s="372"/>
      <c r="W3955" s="372"/>
      <c r="X3955" s="373"/>
      <c r="Y3955" s="348"/>
      <c r="Z3955" s="348"/>
      <c r="AA3955" s="348"/>
    </row>
    <row r="3956" s="331" customFormat="1" ht="17" customHeight="1" spans="1:27">
      <c r="A3956" s="348"/>
      <c r="B3956" s="334" t="s">
        <v>6313</v>
      </c>
      <c r="C3956" s="334" t="s">
        <v>7818</v>
      </c>
      <c r="D3956" s="349" t="s">
        <v>6313</v>
      </c>
      <c r="E3956" s="336">
        <v>43702</v>
      </c>
      <c r="F3956" s="336"/>
      <c r="G3956" s="336">
        <v>43702</v>
      </c>
      <c r="H3956" s="334" t="s">
        <v>9774</v>
      </c>
      <c r="I3956" s="334">
        <v>18221035448</v>
      </c>
      <c r="J3956" s="367" t="s">
        <v>9775</v>
      </c>
      <c r="K3956" s="356"/>
      <c r="L3956" s="334">
        <v>3117</v>
      </c>
      <c r="M3956" s="419"/>
      <c r="N3956" s="362">
        <f t="shared" si="137"/>
        <v>3117</v>
      </c>
      <c r="O3956" s="356"/>
      <c r="P3956" s="356"/>
      <c r="Q3956" s="356"/>
      <c r="R3956" s="356"/>
      <c r="S3956" s="356"/>
      <c r="T3956" s="356"/>
      <c r="U3956" s="372"/>
      <c r="V3956" s="372"/>
      <c r="W3956" s="372"/>
      <c r="X3956" s="373"/>
      <c r="Y3956" s="348"/>
      <c r="Z3956" s="348"/>
      <c r="AA3956" s="348"/>
    </row>
    <row r="3957" s="331" customFormat="1" ht="17" customHeight="1" spans="1:27">
      <c r="A3957" s="348"/>
      <c r="B3957" s="334" t="s">
        <v>123</v>
      </c>
      <c r="C3957" s="334" t="s">
        <v>32</v>
      </c>
      <c r="D3957" s="352" t="s">
        <v>125</v>
      </c>
      <c r="E3957" s="336">
        <v>43702</v>
      </c>
      <c r="F3957" s="336"/>
      <c r="G3957" s="336">
        <v>43701</v>
      </c>
      <c r="H3957" s="334" t="s">
        <v>9776</v>
      </c>
      <c r="I3957" s="334">
        <v>15901901534</v>
      </c>
      <c r="J3957" s="367" t="s">
        <v>9777</v>
      </c>
      <c r="K3957" s="356"/>
      <c r="L3957" s="334">
        <v>1980</v>
      </c>
      <c r="M3957" s="334">
        <v>368</v>
      </c>
      <c r="N3957" s="362">
        <f t="shared" si="137"/>
        <v>2348</v>
      </c>
      <c r="O3957" s="356"/>
      <c r="P3957" s="356"/>
      <c r="Q3957" s="356"/>
      <c r="R3957" s="356"/>
      <c r="S3957" s="356"/>
      <c r="T3957" s="356"/>
      <c r="U3957" s="372"/>
      <c r="V3957" s="372"/>
      <c r="W3957" s="372"/>
      <c r="X3957" s="373"/>
      <c r="Y3957" s="348"/>
      <c r="Z3957" s="348"/>
      <c r="AA3957" s="348"/>
    </row>
    <row r="3958" s="331" customFormat="1" ht="17" customHeight="1" spans="1:27">
      <c r="A3958" s="348"/>
      <c r="B3958" s="334" t="s">
        <v>335</v>
      </c>
      <c r="C3958" s="334" t="s">
        <v>615</v>
      </c>
      <c r="D3958" s="349" t="s">
        <v>337</v>
      </c>
      <c r="E3958" s="336">
        <v>43702</v>
      </c>
      <c r="F3958" s="336"/>
      <c r="G3958" s="336">
        <v>43701</v>
      </c>
      <c r="H3958" s="334" t="s">
        <v>9778</v>
      </c>
      <c r="I3958" s="334">
        <v>18816932585</v>
      </c>
      <c r="J3958" s="367" t="s">
        <v>9779</v>
      </c>
      <c r="K3958" s="356"/>
      <c r="L3958" s="334">
        <v>11340</v>
      </c>
      <c r="M3958" s="334">
        <v>760</v>
      </c>
      <c r="N3958" s="362">
        <f t="shared" si="137"/>
        <v>12100</v>
      </c>
      <c r="O3958" s="356"/>
      <c r="P3958" s="356"/>
      <c r="Q3958" s="356"/>
      <c r="R3958" s="356"/>
      <c r="S3958" s="356"/>
      <c r="T3958" s="356"/>
      <c r="U3958" s="372"/>
      <c r="V3958" s="372"/>
      <c r="W3958" s="372"/>
      <c r="X3958" s="373"/>
      <c r="Y3958" s="348"/>
      <c r="Z3958" s="348"/>
      <c r="AA3958" s="348"/>
    </row>
    <row r="3959" s="331" customFormat="1" ht="17" customHeight="1" spans="1:27">
      <c r="A3959" s="348"/>
      <c r="B3959" s="334" t="s">
        <v>66</v>
      </c>
      <c r="C3959" s="334" t="s">
        <v>1749</v>
      </c>
      <c r="D3959" s="349" t="s">
        <v>68</v>
      </c>
      <c r="E3959" s="336">
        <v>43702</v>
      </c>
      <c r="F3959" s="336"/>
      <c r="G3959" s="336">
        <v>43701</v>
      </c>
      <c r="H3959" s="334" t="s">
        <v>312</v>
      </c>
      <c r="I3959" s="334">
        <v>1788939409</v>
      </c>
      <c r="J3959" s="367" t="s">
        <v>9722</v>
      </c>
      <c r="K3959" s="356"/>
      <c r="L3959" s="334">
        <v>31687</v>
      </c>
      <c r="M3959" s="419"/>
      <c r="N3959" s="362">
        <f t="shared" si="137"/>
        <v>31687</v>
      </c>
      <c r="O3959" s="356"/>
      <c r="P3959" s="356"/>
      <c r="Q3959" s="356"/>
      <c r="R3959" s="356"/>
      <c r="S3959" s="356"/>
      <c r="T3959" s="356"/>
      <c r="U3959" s="372"/>
      <c r="V3959" s="372"/>
      <c r="W3959" s="372"/>
      <c r="X3959" s="373"/>
      <c r="Y3959" s="348"/>
      <c r="Z3959" s="348"/>
      <c r="AA3959" s="348"/>
    </row>
    <row r="3960" s="331" customFormat="1" ht="17" customHeight="1" spans="1:27">
      <c r="A3960" s="348"/>
      <c r="B3960" s="334" t="s">
        <v>58</v>
      </c>
      <c r="C3960" s="334" t="s">
        <v>59</v>
      </c>
      <c r="D3960" s="349" t="s">
        <v>271</v>
      </c>
      <c r="E3960" s="336">
        <v>43702</v>
      </c>
      <c r="F3960" s="336" t="s">
        <v>800</v>
      </c>
      <c r="G3960" s="336">
        <v>43697</v>
      </c>
      <c r="H3960" s="334" t="s">
        <v>9780</v>
      </c>
      <c r="I3960" s="334">
        <v>18756066690</v>
      </c>
      <c r="J3960" s="367" t="s">
        <v>9781</v>
      </c>
      <c r="K3960" s="356"/>
      <c r="L3960" s="419"/>
      <c r="M3960" s="334">
        <v>58</v>
      </c>
      <c r="N3960" s="362">
        <f t="shared" si="137"/>
        <v>58</v>
      </c>
      <c r="O3960" s="356"/>
      <c r="P3960" s="356"/>
      <c r="Q3960" s="356"/>
      <c r="R3960" s="356"/>
      <c r="S3960" s="356"/>
      <c r="T3960" s="356"/>
      <c r="U3960" s="372"/>
      <c r="V3960" s="372"/>
      <c r="W3960" s="372"/>
      <c r="X3960" s="373"/>
      <c r="Y3960" s="348"/>
      <c r="Z3960" s="348"/>
      <c r="AA3960" s="348"/>
    </row>
    <row r="3961" s="331" customFormat="1" ht="17" customHeight="1" spans="1:27">
      <c r="A3961" s="348"/>
      <c r="B3961" s="334" t="s">
        <v>354</v>
      </c>
      <c r="C3961" s="334" t="s">
        <v>355</v>
      </c>
      <c r="D3961" s="349" t="s">
        <v>162</v>
      </c>
      <c r="E3961" s="336">
        <v>43701</v>
      </c>
      <c r="F3961" s="336" t="s">
        <v>800</v>
      </c>
      <c r="G3961" s="336">
        <v>43700</v>
      </c>
      <c r="H3961" s="334" t="s">
        <v>9782</v>
      </c>
      <c r="I3961" s="334">
        <v>15921963177</v>
      </c>
      <c r="J3961" s="367" t="s">
        <v>9783</v>
      </c>
      <c r="K3961" s="356"/>
      <c r="L3961" s="419"/>
      <c r="M3961" s="334">
        <f>5827</f>
        <v>5827</v>
      </c>
      <c r="N3961" s="362">
        <f t="shared" si="137"/>
        <v>5827</v>
      </c>
      <c r="O3961" s="356"/>
      <c r="P3961" s="356"/>
      <c r="Q3961" s="356"/>
      <c r="R3961" s="356"/>
      <c r="S3961" s="356"/>
      <c r="T3961" s="356"/>
      <c r="U3961" s="372"/>
      <c r="V3961" s="372"/>
      <c r="W3961" s="372"/>
      <c r="X3961" s="373"/>
      <c r="Y3961" s="348"/>
      <c r="Z3961" s="348"/>
      <c r="AA3961" s="348"/>
    </row>
    <row r="3962" s="331" customFormat="1" ht="17" customHeight="1" spans="1:27">
      <c r="A3962" s="348"/>
      <c r="B3962" s="348" t="s">
        <v>185</v>
      </c>
      <c r="C3962" s="348" t="s">
        <v>1133</v>
      </c>
      <c r="D3962" s="349" t="s">
        <v>44</v>
      </c>
      <c r="E3962" s="336">
        <v>43701</v>
      </c>
      <c r="F3962" s="336" t="s">
        <v>800</v>
      </c>
      <c r="G3962" s="336">
        <v>43699</v>
      </c>
      <c r="H3962" s="334" t="s">
        <v>5317</v>
      </c>
      <c r="I3962" s="334">
        <v>13904240000</v>
      </c>
      <c r="J3962" s="367" t="s">
        <v>5318</v>
      </c>
      <c r="K3962" s="356"/>
      <c r="L3962" s="419"/>
      <c r="M3962" s="334">
        <v>-1520</v>
      </c>
      <c r="N3962" s="362">
        <f t="shared" si="137"/>
        <v>-1520</v>
      </c>
      <c r="O3962" s="356"/>
      <c r="P3962" s="356"/>
      <c r="Q3962" s="356"/>
      <c r="R3962" s="356"/>
      <c r="S3962" s="356"/>
      <c r="T3962" s="356"/>
      <c r="U3962" s="372"/>
      <c r="V3962" s="372"/>
      <c r="W3962" s="372"/>
      <c r="X3962" s="373"/>
      <c r="Y3962" s="348"/>
      <c r="Z3962" s="348"/>
      <c r="AA3962" s="348"/>
    </row>
    <row r="3963" s="331" customFormat="1" ht="17" customHeight="1" spans="1:27">
      <c r="A3963" s="348"/>
      <c r="B3963" s="334" t="s">
        <v>42</v>
      </c>
      <c r="C3963" s="334" t="s">
        <v>43</v>
      </c>
      <c r="D3963" s="352" t="s">
        <v>125</v>
      </c>
      <c r="E3963" s="336">
        <v>43701</v>
      </c>
      <c r="F3963" s="336" t="s">
        <v>800</v>
      </c>
      <c r="G3963" s="336">
        <v>43701</v>
      </c>
      <c r="H3963" s="334" t="s">
        <v>3901</v>
      </c>
      <c r="I3963" s="334">
        <v>13817392566</v>
      </c>
      <c r="J3963" s="367" t="s">
        <v>3902</v>
      </c>
      <c r="K3963" s="356"/>
      <c r="L3963" s="419"/>
      <c r="M3963" s="334">
        <v>4566</v>
      </c>
      <c r="N3963" s="362">
        <f t="shared" si="137"/>
        <v>4566</v>
      </c>
      <c r="O3963" s="356"/>
      <c r="P3963" s="356"/>
      <c r="Q3963" s="356"/>
      <c r="R3963" s="356"/>
      <c r="S3963" s="356"/>
      <c r="T3963" s="356"/>
      <c r="U3963" s="372"/>
      <c r="V3963" s="372"/>
      <c r="W3963" s="372"/>
      <c r="X3963" s="373"/>
      <c r="Y3963" s="348"/>
      <c r="Z3963" s="348"/>
      <c r="AA3963" s="348"/>
    </row>
    <row r="3964" s="331" customFormat="1" ht="17" customHeight="1" spans="1:27">
      <c r="A3964" s="348"/>
      <c r="B3964" s="348" t="s">
        <v>66</v>
      </c>
      <c r="C3964" s="334" t="s">
        <v>1749</v>
      </c>
      <c r="D3964" s="349" t="s">
        <v>68</v>
      </c>
      <c r="E3964" s="336">
        <v>43701</v>
      </c>
      <c r="F3964" s="336" t="s">
        <v>800</v>
      </c>
      <c r="G3964" s="336">
        <v>43701</v>
      </c>
      <c r="H3964" s="334" t="s">
        <v>6839</v>
      </c>
      <c r="I3964" s="334">
        <v>13761052640</v>
      </c>
      <c r="J3964" s="367" t="s">
        <v>6840</v>
      </c>
      <c r="K3964" s="356"/>
      <c r="L3964" s="419"/>
      <c r="M3964" s="334">
        <v>1333</v>
      </c>
      <c r="N3964" s="362">
        <f t="shared" si="137"/>
        <v>1333</v>
      </c>
      <c r="O3964" s="356"/>
      <c r="P3964" s="356"/>
      <c r="Q3964" s="356"/>
      <c r="R3964" s="356"/>
      <c r="S3964" s="356"/>
      <c r="T3964" s="356"/>
      <c r="U3964" s="372"/>
      <c r="V3964" s="372"/>
      <c r="W3964" s="372"/>
      <c r="X3964" s="373"/>
      <c r="Y3964" s="348"/>
      <c r="Z3964" s="348"/>
      <c r="AA3964" s="348"/>
    </row>
    <row r="3965" s="331" customFormat="1" ht="17" customHeight="1" spans="1:27">
      <c r="A3965" s="348"/>
      <c r="B3965" s="348" t="s">
        <v>87</v>
      </c>
      <c r="C3965" s="348" t="s">
        <v>466</v>
      </c>
      <c r="D3965" s="352" t="s">
        <v>89</v>
      </c>
      <c r="E3965" s="336">
        <v>43701</v>
      </c>
      <c r="F3965" s="336" t="s">
        <v>800</v>
      </c>
      <c r="G3965" s="336">
        <v>43701</v>
      </c>
      <c r="H3965" s="334" t="s">
        <v>6735</v>
      </c>
      <c r="I3965" s="334">
        <v>15821597916</v>
      </c>
      <c r="J3965" s="367" t="s">
        <v>9784</v>
      </c>
      <c r="K3965" s="356"/>
      <c r="L3965" s="419"/>
      <c r="M3965" s="334">
        <v>6020</v>
      </c>
      <c r="N3965" s="362">
        <f t="shared" si="137"/>
        <v>6020</v>
      </c>
      <c r="O3965" s="356"/>
      <c r="P3965" s="356"/>
      <c r="Q3965" s="356"/>
      <c r="R3965" s="356"/>
      <c r="S3965" s="356"/>
      <c r="T3965" s="356"/>
      <c r="U3965" s="372"/>
      <c r="V3965" s="372"/>
      <c r="W3965" s="372"/>
      <c r="X3965" s="373"/>
      <c r="Y3965" s="348"/>
      <c r="Z3965" s="348"/>
      <c r="AA3965" s="348"/>
    </row>
    <row r="3966" s="331" customFormat="1" ht="17" customHeight="1" spans="1:27">
      <c r="A3966" s="348"/>
      <c r="B3966" s="348" t="s">
        <v>42</v>
      </c>
      <c r="C3966" s="348" t="s">
        <v>43</v>
      </c>
      <c r="D3966" s="349" t="s">
        <v>125</v>
      </c>
      <c r="E3966" s="336">
        <v>43701</v>
      </c>
      <c r="F3966" s="336" t="s">
        <v>800</v>
      </c>
      <c r="G3966" s="336">
        <v>43701</v>
      </c>
      <c r="H3966" s="334" t="s">
        <v>6565</v>
      </c>
      <c r="I3966" s="334">
        <v>13818506443</v>
      </c>
      <c r="J3966" s="367" t="s">
        <v>6566</v>
      </c>
      <c r="K3966" s="356"/>
      <c r="L3966" s="419"/>
      <c r="M3966" s="334">
        <v>3363</v>
      </c>
      <c r="N3966" s="362">
        <f t="shared" si="137"/>
        <v>3363</v>
      </c>
      <c r="O3966" s="356"/>
      <c r="P3966" s="356"/>
      <c r="Q3966" s="356"/>
      <c r="R3966" s="356"/>
      <c r="S3966" s="356"/>
      <c r="T3966" s="356"/>
      <c r="U3966" s="372"/>
      <c r="V3966" s="372"/>
      <c r="W3966" s="372"/>
      <c r="X3966" s="373"/>
      <c r="Y3966" s="348"/>
      <c r="Z3966" s="348"/>
      <c r="AA3966" s="348"/>
    </row>
    <row r="3967" s="331" customFormat="1" ht="17" customHeight="1" spans="1:27">
      <c r="A3967" s="348"/>
      <c r="B3967" s="348" t="s">
        <v>58</v>
      </c>
      <c r="C3967" s="348" t="s">
        <v>794</v>
      </c>
      <c r="D3967" s="349" t="s">
        <v>110</v>
      </c>
      <c r="E3967" s="336">
        <v>43702</v>
      </c>
      <c r="F3967" s="336" t="s">
        <v>800</v>
      </c>
      <c r="G3967" s="336">
        <v>43699</v>
      </c>
      <c r="H3967" s="334" t="s">
        <v>6478</v>
      </c>
      <c r="I3967" s="334">
        <v>18513983908</v>
      </c>
      <c r="J3967" s="367" t="s">
        <v>6479</v>
      </c>
      <c r="K3967" s="356"/>
      <c r="L3967" s="419"/>
      <c r="M3967" s="334">
        <v>283</v>
      </c>
      <c r="N3967" s="362">
        <f t="shared" si="137"/>
        <v>283</v>
      </c>
      <c r="O3967" s="356"/>
      <c r="P3967" s="356"/>
      <c r="Q3967" s="356"/>
      <c r="R3967" s="356"/>
      <c r="S3967" s="356"/>
      <c r="T3967" s="356"/>
      <c r="U3967" s="372"/>
      <c r="V3967" s="372"/>
      <c r="W3967" s="372"/>
      <c r="X3967" s="373"/>
      <c r="Y3967" s="348"/>
      <c r="Z3967" s="348"/>
      <c r="AA3967" s="348"/>
    </row>
    <row r="3968" s="331" customFormat="1" ht="17" customHeight="1" spans="1:27">
      <c r="A3968" s="348"/>
      <c r="B3968" s="334" t="s">
        <v>58</v>
      </c>
      <c r="C3968" s="334" t="s">
        <v>794</v>
      </c>
      <c r="D3968" s="349" t="s">
        <v>110</v>
      </c>
      <c r="E3968" s="336">
        <v>43702</v>
      </c>
      <c r="F3968" s="336" t="s">
        <v>800</v>
      </c>
      <c r="G3968" s="336">
        <v>43701</v>
      </c>
      <c r="H3968" s="334" t="s">
        <v>9785</v>
      </c>
      <c r="I3968" s="334">
        <v>13524687809</v>
      </c>
      <c r="J3968" s="367" t="s">
        <v>9786</v>
      </c>
      <c r="K3968" s="356"/>
      <c r="L3968" s="419"/>
      <c r="M3968" s="334">
        <v>11666</v>
      </c>
      <c r="N3968" s="362">
        <f t="shared" si="137"/>
        <v>11666</v>
      </c>
      <c r="O3968" s="356"/>
      <c r="P3968" s="356"/>
      <c r="Q3968" s="356"/>
      <c r="R3968" s="356"/>
      <c r="S3968" s="356"/>
      <c r="T3968" s="356"/>
      <c r="U3968" s="372"/>
      <c r="V3968" s="372"/>
      <c r="W3968" s="372"/>
      <c r="X3968" s="373"/>
      <c r="Y3968" s="348"/>
      <c r="Z3968" s="348"/>
      <c r="AA3968" s="348"/>
    </row>
    <row r="3969" s="331" customFormat="1" ht="17" customHeight="1" spans="1:27">
      <c r="A3969" s="348"/>
      <c r="B3969" s="334" t="s">
        <v>58</v>
      </c>
      <c r="C3969" s="334" t="s">
        <v>347</v>
      </c>
      <c r="D3969" s="349" t="s">
        <v>343</v>
      </c>
      <c r="E3969" s="336">
        <v>43702</v>
      </c>
      <c r="F3969" s="336" t="s">
        <v>800</v>
      </c>
      <c r="G3969" s="336">
        <v>43692</v>
      </c>
      <c r="H3969" s="334" t="s">
        <v>6822</v>
      </c>
      <c r="I3969" s="334">
        <v>13958186132</v>
      </c>
      <c r="J3969" s="367" t="s">
        <v>6823</v>
      </c>
      <c r="K3969" s="356"/>
      <c r="L3969" s="419"/>
      <c r="M3969" s="334">
        <v>4259</v>
      </c>
      <c r="N3969" s="362">
        <f t="shared" si="137"/>
        <v>4259</v>
      </c>
      <c r="O3969" s="356"/>
      <c r="P3969" s="356"/>
      <c r="Q3969" s="356"/>
      <c r="R3969" s="356"/>
      <c r="S3969" s="356"/>
      <c r="T3969" s="356"/>
      <c r="U3969" s="372"/>
      <c r="V3969" s="372"/>
      <c r="W3969" s="372"/>
      <c r="X3969" s="373"/>
      <c r="Y3969" s="348"/>
      <c r="Z3969" s="348"/>
      <c r="AA3969" s="348"/>
    </row>
    <row r="3970" s="331" customFormat="1" ht="17" customHeight="1" spans="1:27">
      <c r="A3970" s="348"/>
      <c r="B3970" s="334" t="s">
        <v>58</v>
      </c>
      <c r="C3970" s="334" t="s">
        <v>347</v>
      </c>
      <c r="D3970" s="349" t="s">
        <v>343</v>
      </c>
      <c r="E3970" s="336">
        <v>43702</v>
      </c>
      <c r="F3970" s="336" t="s">
        <v>800</v>
      </c>
      <c r="G3970" s="336">
        <v>43701</v>
      </c>
      <c r="H3970" s="334" t="s">
        <v>9787</v>
      </c>
      <c r="I3970" s="334">
        <v>18901659398</v>
      </c>
      <c r="J3970" s="367" t="s">
        <v>9788</v>
      </c>
      <c r="K3970" s="356"/>
      <c r="L3970" s="419"/>
      <c r="M3970" s="334">
        <v>2993</v>
      </c>
      <c r="N3970" s="362">
        <f t="shared" si="137"/>
        <v>2993</v>
      </c>
      <c r="O3970" s="356"/>
      <c r="P3970" s="356"/>
      <c r="Q3970" s="356"/>
      <c r="R3970" s="356"/>
      <c r="S3970" s="356"/>
      <c r="T3970" s="356"/>
      <c r="U3970" s="372"/>
      <c r="V3970" s="372"/>
      <c r="W3970" s="372"/>
      <c r="X3970" s="373"/>
      <c r="Y3970" s="348"/>
      <c r="Z3970" s="348"/>
      <c r="AA3970" s="348"/>
    </row>
    <row r="3971" s="331" customFormat="1" ht="17" customHeight="1" spans="1:27">
      <c r="A3971" s="348"/>
      <c r="B3971" s="334" t="s">
        <v>73</v>
      </c>
      <c r="C3971" s="334" t="s">
        <v>74</v>
      </c>
      <c r="D3971" s="349" t="s">
        <v>143</v>
      </c>
      <c r="E3971" s="336">
        <v>43702</v>
      </c>
      <c r="F3971" s="336" t="s">
        <v>800</v>
      </c>
      <c r="G3971" s="336">
        <v>43702</v>
      </c>
      <c r="H3971" s="334" t="s">
        <v>9789</v>
      </c>
      <c r="I3971" s="334">
        <v>18611959334</v>
      </c>
      <c r="J3971" s="367" t="s">
        <v>9790</v>
      </c>
      <c r="K3971" s="356"/>
      <c r="L3971" s="419"/>
      <c r="M3971" s="334">
        <v>1430</v>
      </c>
      <c r="N3971" s="362">
        <f t="shared" si="137"/>
        <v>1430</v>
      </c>
      <c r="O3971" s="356"/>
      <c r="P3971" s="356"/>
      <c r="Q3971" s="356"/>
      <c r="R3971" s="356"/>
      <c r="S3971" s="356"/>
      <c r="T3971" s="356"/>
      <c r="U3971" s="372"/>
      <c r="V3971" s="372"/>
      <c r="W3971" s="372"/>
      <c r="X3971" s="373"/>
      <c r="Y3971" s="348"/>
      <c r="Z3971" s="348"/>
      <c r="AA3971" s="348"/>
    </row>
    <row r="3972" s="331" customFormat="1" ht="17" customHeight="1" spans="1:27">
      <c r="A3972" s="348"/>
      <c r="B3972" s="348" t="s">
        <v>169</v>
      </c>
      <c r="C3972" s="348" t="s">
        <v>634</v>
      </c>
      <c r="D3972" s="349" t="s">
        <v>635</v>
      </c>
      <c r="E3972" s="336">
        <v>43702</v>
      </c>
      <c r="F3972" s="336" t="s">
        <v>800</v>
      </c>
      <c r="G3972" s="336">
        <v>43701</v>
      </c>
      <c r="H3972" s="334" t="s">
        <v>4913</v>
      </c>
      <c r="I3972" s="356">
        <v>18801798867</v>
      </c>
      <c r="J3972" s="367" t="s">
        <v>4914</v>
      </c>
      <c r="K3972" s="356"/>
      <c r="L3972" s="419"/>
      <c r="M3972" s="334">
        <v>7186</v>
      </c>
      <c r="N3972" s="362">
        <f t="shared" si="137"/>
        <v>7186</v>
      </c>
      <c r="O3972" s="356"/>
      <c r="P3972" s="356"/>
      <c r="Q3972" s="356"/>
      <c r="R3972" s="356"/>
      <c r="S3972" s="356"/>
      <c r="T3972" s="356"/>
      <c r="U3972" s="372"/>
      <c r="V3972" s="372"/>
      <c r="W3972" s="372"/>
      <c r="X3972" s="373"/>
      <c r="Y3972" s="348"/>
      <c r="Z3972" s="348"/>
      <c r="AA3972" s="348"/>
    </row>
    <row r="3973" s="331" customFormat="1" ht="17" customHeight="1" spans="1:27">
      <c r="A3973" s="348"/>
      <c r="B3973" s="334" t="s">
        <v>169</v>
      </c>
      <c r="C3973" s="334" t="s">
        <v>634</v>
      </c>
      <c r="D3973" s="349" t="s">
        <v>635</v>
      </c>
      <c r="E3973" s="336">
        <v>43702</v>
      </c>
      <c r="F3973" s="336" t="s">
        <v>800</v>
      </c>
      <c r="G3973" s="336">
        <v>43701</v>
      </c>
      <c r="H3973" s="334" t="s">
        <v>9791</v>
      </c>
      <c r="I3973" s="334">
        <v>13816173140</v>
      </c>
      <c r="J3973" s="367" t="s">
        <v>9792</v>
      </c>
      <c r="K3973" s="356"/>
      <c r="L3973" s="419"/>
      <c r="M3973" s="334">
        <v>-8880</v>
      </c>
      <c r="N3973" s="362">
        <f t="shared" si="137"/>
        <v>-8880</v>
      </c>
      <c r="O3973" s="356"/>
      <c r="P3973" s="356"/>
      <c r="Q3973" s="356"/>
      <c r="R3973" s="356"/>
      <c r="S3973" s="356"/>
      <c r="T3973" s="356"/>
      <c r="U3973" s="372"/>
      <c r="V3973" s="372"/>
      <c r="W3973" s="372"/>
      <c r="X3973" s="373"/>
      <c r="Y3973" s="348"/>
      <c r="Z3973" s="348"/>
      <c r="AA3973" s="348"/>
    </row>
    <row r="3974" s="331" customFormat="1" ht="17" customHeight="1" spans="1:27">
      <c r="A3974" s="348"/>
      <c r="B3974" s="334" t="s">
        <v>153</v>
      </c>
      <c r="C3974" s="334" t="s">
        <v>154</v>
      </c>
      <c r="D3974" s="349" t="s">
        <v>155</v>
      </c>
      <c r="E3974" s="336">
        <v>43702</v>
      </c>
      <c r="F3974" s="336" t="s">
        <v>800</v>
      </c>
      <c r="G3974" s="336">
        <v>43701</v>
      </c>
      <c r="H3974" s="334" t="s">
        <v>9793</v>
      </c>
      <c r="I3974" s="334">
        <v>13917752171</v>
      </c>
      <c r="J3974" s="367" t="s">
        <v>9794</v>
      </c>
      <c r="K3974" s="356"/>
      <c r="L3974" s="419"/>
      <c r="M3974" s="334">
        <v>6992</v>
      </c>
      <c r="N3974" s="362">
        <f t="shared" si="137"/>
        <v>6992</v>
      </c>
      <c r="O3974" s="356"/>
      <c r="P3974" s="356"/>
      <c r="Q3974" s="356"/>
      <c r="R3974" s="356"/>
      <c r="S3974" s="356"/>
      <c r="T3974" s="356"/>
      <c r="U3974" s="372"/>
      <c r="V3974" s="372"/>
      <c r="W3974" s="372"/>
      <c r="X3974" s="373"/>
      <c r="Y3974" s="348"/>
      <c r="Z3974" s="348"/>
      <c r="AA3974" s="348"/>
    </row>
    <row r="3975" s="331" customFormat="1" ht="17" customHeight="1" spans="1:27">
      <c r="A3975" s="348"/>
      <c r="B3975" s="348" t="s">
        <v>66</v>
      </c>
      <c r="C3975" s="348" t="s">
        <v>505</v>
      </c>
      <c r="D3975" s="352" t="s">
        <v>68</v>
      </c>
      <c r="E3975" s="336">
        <v>43702</v>
      </c>
      <c r="F3975" s="336" t="s">
        <v>800</v>
      </c>
      <c r="G3975" s="336">
        <v>43702</v>
      </c>
      <c r="H3975" s="334" t="s">
        <v>6441</v>
      </c>
      <c r="I3975" s="334">
        <v>13636516318</v>
      </c>
      <c r="J3975" s="367" t="s">
        <v>9795</v>
      </c>
      <c r="K3975" s="356"/>
      <c r="L3975" s="419"/>
      <c r="M3975" s="334">
        <f>1104+948</f>
        <v>2052</v>
      </c>
      <c r="N3975" s="362">
        <f t="shared" si="137"/>
        <v>2052</v>
      </c>
      <c r="O3975" s="356"/>
      <c r="P3975" s="356"/>
      <c r="Q3975" s="356"/>
      <c r="R3975" s="356"/>
      <c r="S3975" s="356"/>
      <c r="T3975" s="356"/>
      <c r="U3975" s="372"/>
      <c r="V3975" s="372"/>
      <c r="W3975" s="372"/>
      <c r="X3975" s="373"/>
      <c r="Y3975" s="348"/>
      <c r="Z3975" s="348"/>
      <c r="AA3975" s="348"/>
    </row>
    <row r="3976" s="331" customFormat="1" ht="17" customHeight="1" spans="1:27">
      <c r="A3976" s="348"/>
      <c r="B3976" s="334" t="s">
        <v>169</v>
      </c>
      <c r="C3976" s="334" t="s">
        <v>542</v>
      </c>
      <c r="D3976" s="349" t="s">
        <v>171</v>
      </c>
      <c r="E3976" s="336">
        <v>43702</v>
      </c>
      <c r="F3976" s="336" t="s">
        <v>800</v>
      </c>
      <c r="G3976" s="336">
        <v>43702</v>
      </c>
      <c r="H3976" s="334" t="s">
        <v>9796</v>
      </c>
      <c r="I3976" s="334">
        <v>13122128397</v>
      </c>
      <c r="J3976" s="361" t="s">
        <v>9797</v>
      </c>
      <c r="K3976" s="356"/>
      <c r="L3976" s="419"/>
      <c r="M3976" s="334">
        <v>1197</v>
      </c>
      <c r="N3976" s="362">
        <f t="shared" si="137"/>
        <v>1197</v>
      </c>
      <c r="O3976" s="356"/>
      <c r="P3976" s="356"/>
      <c r="Q3976" s="356"/>
      <c r="R3976" s="356"/>
      <c r="S3976" s="356"/>
      <c r="T3976" s="356"/>
      <c r="U3976" s="372"/>
      <c r="V3976" s="372"/>
      <c r="W3976" s="372"/>
      <c r="X3976" s="373"/>
      <c r="Y3976" s="348"/>
      <c r="Z3976" s="348"/>
      <c r="AA3976" s="348"/>
    </row>
    <row r="3977" s="331" customFormat="1" ht="17" customHeight="1" spans="1:27">
      <c r="A3977" s="348"/>
      <c r="B3977" s="334" t="s">
        <v>73</v>
      </c>
      <c r="C3977" s="334" t="s">
        <v>74</v>
      </c>
      <c r="D3977" s="349" t="s">
        <v>143</v>
      </c>
      <c r="E3977" s="336">
        <v>43702</v>
      </c>
      <c r="F3977" s="336" t="s">
        <v>800</v>
      </c>
      <c r="G3977" s="336">
        <v>43701</v>
      </c>
      <c r="H3977" s="334" t="s">
        <v>4892</v>
      </c>
      <c r="I3977" s="334">
        <v>18069116837</v>
      </c>
      <c r="J3977" s="367" t="s">
        <v>4893</v>
      </c>
      <c r="K3977" s="356"/>
      <c r="L3977" s="419"/>
      <c r="M3977" s="334">
        <v>1501</v>
      </c>
      <c r="N3977" s="362">
        <f t="shared" si="137"/>
        <v>1501</v>
      </c>
      <c r="O3977" s="356"/>
      <c r="P3977" s="356"/>
      <c r="Q3977" s="356"/>
      <c r="R3977" s="356"/>
      <c r="S3977" s="356"/>
      <c r="T3977" s="356"/>
      <c r="U3977" s="372"/>
      <c r="V3977" s="372"/>
      <c r="W3977" s="372"/>
      <c r="X3977" s="373"/>
      <c r="Y3977" s="348"/>
      <c r="Z3977" s="348"/>
      <c r="AA3977" s="348"/>
    </row>
    <row r="3978" s="331" customFormat="1" ht="17" customHeight="1" spans="1:27">
      <c r="A3978" s="348"/>
      <c r="B3978" s="348" t="s">
        <v>47</v>
      </c>
      <c r="C3978" s="348" t="s">
        <v>53</v>
      </c>
      <c r="D3978" s="352" t="s">
        <v>49</v>
      </c>
      <c r="E3978" s="336">
        <v>43702</v>
      </c>
      <c r="F3978" s="336" t="s">
        <v>800</v>
      </c>
      <c r="G3978" s="336">
        <v>43666</v>
      </c>
      <c r="H3978" s="269" t="s">
        <v>5763</v>
      </c>
      <c r="I3978" s="444">
        <v>13761285069</v>
      </c>
      <c r="J3978" s="361" t="s">
        <v>5764</v>
      </c>
      <c r="K3978" s="356"/>
      <c r="L3978" s="419"/>
      <c r="M3978" s="334">
        <v>200</v>
      </c>
      <c r="N3978" s="362">
        <f t="shared" si="137"/>
        <v>200</v>
      </c>
      <c r="O3978" s="356"/>
      <c r="P3978" s="356"/>
      <c r="Q3978" s="356"/>
      <c r="R3978" s="356"/>
      <c r="S3978" s="356"/>
      <c r="T3978" s="356"/>
      <c r="U3978" s="372"/>
      <c r="V3978" s="372"/>
      <c r="W3978" s="372"/>
      <c r="X3978" s="373"/>
      <c r="Y3978" s="348"/>
      <c r="Z3978" s="348"/>
      <c r="AA3978" s="348"/>
    </row>
    <row r="3979" s="331" customFormat="1" ht="17" customHeight="1" spans="1:27">
      <c r="A3979" s="550" t="s">
        <v>655</v>
      </c>
      <c r="B3979" s="348" t="s">
        <v>58</v>
      </c>
      <c r="C3979" s="348" t="s">
        <v>342</v>
      </c>
      <c r="D3979" s="349" t="s">
        <v>343</v>
      </c>
      <c r="E3979" s="336">
        <v>43703</v>
      </c>
      <c r="F3979" s="336">
        <v>43648</v>
      </c>
      <c r="G3979" s="336">
        <v>43701</v>
      </c>
      <c r="H3979" s="334" t="s">
        <v>9798</v>
      </c>
      <c r="I3979" s="444">
        <v>13918849417</v>
      </c>
      <c r="J3979" s="361" t="s">
        <v>9799</v>
      </c>
      <c r="K3979" s="452">
        <v>500</v>
      </c>
      <c r="L3979" s="334">
        <v>6232</v>
      </c>
      <c r="M3979" s="419"/>
      <c r="N3979" s="362">
        <f t="shared" si="137"/>
        <v>6232</v>
      </c>
      <c r="O3979" s="356"/>
      <c r="P3979" s="356"/>
      <c r="Q3979" s="356"/>
      <c r="R3979" s="356"/>
      <c r="S3979" s="356"/>
      <c r="T3979" s="356"/>
      <c r="U3979" s="372"/>
      <c r="V3979" s="372"/>
      <c r="W3979" s="372"/>
      <c r="X3979" s="373"/>
      <c r="Y3979" s="348"/>
      <c r="Z3979" s="348"/>
      <c r="AA3979" s="348"/>
    </row>
    <row r="3980" s="331" customFormat="1" ht="17" customHeight="1" spans="1:27">
      <c r="A3980" s="348">
        <v>2066226</v>
      </c>
      <c r="B3980" s="348" t="s">
        <v>243</v>
      </c>
      <c r="C3980" s="348" t="s">
        <v>309</v>
      </c>
      <c r="D3980" s="352" t="s">
        <v>49</v>
      </c>
      <c r="E3980" s="336">
        <v>43729</v>
      </c>
      <c r="F3980" s="336">
        <v>43701</v>
      </c>
      <c r="G3980" s="336">
        <v>43729</v>
      </c>
      <c r="H3980" s="334" t="s">
        <v>9800</v>
      </c>
      <c r="I3980" s="444">
        <v>13564677098</v>
      </c>
      <c r="J3980" s="361" t="s">
        <v>9801</v>
      </c>
      <c r="K3980" s="452">
        <v>5000</v>
      </c>
      <c r="L3980" s="334">
        <v>17813</v>
      </c>
      <c r="M3980" s="419"/>
      <c r="N3980" s="362">
        <f t="shared" si="137"/>
        <v>17813</v>
      </c>
      <c r="O3980" s="356"/>
      <c r="P3980" s="356"/>
      <c r="Q3980" s="356"/>
      <c r="R3980" s="356"/>
      <c r="S3980" s="356"/>
      <c r="T3980" s="356"/>
      <c r="U3980" s="372"/>
      <c r="V3980" s="372"/>
      <c r="W3980" s="372"/>
      <c r="X3980" s="373"/>
      <c r="Y3980" s="348"/>
      <c r="Z3980" s="348"/>
      <c r="AA3980" s="348"/>
    </row>
    <row r="3981" s="331" customFormat="1" ht="17" customHeight="1" spans="1:27">
      <c r="A3981" s="550" t="s">
        <v>9802</v>
      </c>
      <c r="B3981" s="348" t="s">
        <v>137</v>
      </c>
      <c r="C3981" s="348" t="s">
        <v>138</v>
      </c>
      <c r="D3981" s="352" t="s">
        <v>139</v>
      </c>
      <c r="E3981" s="336">
        <v>43727</v>
      </c>
      <c r="F3981" s="336">
        <v>43701</v>
      </c>
      <c r="G3981" s="336">
        <v>43726</v>
      </c>
      <c r="H3981" s="334" t="s">
        <v>9803</v>
      </c>
      <c r="I3981" s="334">
        <v>13816003363</v>
      </c>
      <c r="J3981" s="361" t="s">
        <v>9804</v>
      </c>
      <c r="K3981" s="452">
        <v>13000</v>
      </c>
      <c r="L3981" s="334">
        <v>17929</v>
      </c>
      <c r="M3981" s="419"/>
      <c r="N3981" s="362">
        <f t="shared" si="137"/>
        <v>17929</v>
      </c>
      <c r="O3981" s="356"/>
      <c r="P3981" s="356"/>
      <c r="Q3981" s="356"/>
      <c r="R3981" s="356"/>
      <c r="S3981" s="356"/>
      <c r="T3981" s="356"/>
      <c r="U3981" s="372"/>
      <c r="V3981" s="372"/>
      <c r="W3981" s="372"/>
      <c r="X3981" s="373"/>
      <c r="Y3981" s="348"/>
      <c r="Z3981" s="348"/>
      <c r="AA3981" s="348"/>
    </row>
    <row r="3982" s="331" customFormat="1" ht="15" customHeight="1" spans="1:27">
      <c r="A3982" s="550" t="s">
        <v>9805</v>
      </c>
      <c r="B3982" s="348" t="s">
        <v>405</v>
      </c>
      <c r="C3982" s="348" t="s">
        <v>1234</v>
      </c>
      <c r="D3982" s="352" t="s">
        <v>407</v>
      </c>
      <c r="E3982" s="336">
        <v>43703</v>
      </c>
      <c r="F3982" s="336">
        <v>43702</v>
      </c>
      <c r="G3982" s="399"/>
      <c r="H3982" s="334" t="s">
        <v>9806</v>
      </c>
      <c r="I3982" s="444">
        <v>13636631968</v>
      </c>
      <c r="J3982" s="361" t="s">
        <v>9807</v>
      </c>
      <c r="K3982" s="452">
        <v>1000</v>
      </c>
      <c r="L3982" s="419"/>
      <c r="M3982" s="419"/>
      <c r="N3982" s="362">
        <f t="shared" si="137"/>
        <v>0</v>
      </c>
      <c r="O3982" s="356"/>
      <c r="P3982" s="356"/>
      <c r="Q3982" s="356"/>
      <c r="R3982" s="356" t="s">
        <v>52</v>
      </c>
      <c r="S3982" s="356"/>
      <c r="T3982" s="356"/>
      <c r="U3982" s="372"/>
      <c r="V3982" s="372"/>
      <c r="W3982" s="372"/>
      <c r="X3982" s="373"/>
      <c r="Y3982" s="348"/>
      <c r="Z3982" s="348"/>
      <c r="AA3982" s="348"/>
    </row>
    <row r="3983" s="331" customFormat="1" ht="15" customHeight="1" spans="1:27">
      <c r="A3983" s="348"/>
      <c r="B3983" s="348" t="s">
        <v>405</v>
      </c>
      <c r="C3983" s="348" t="s">
        <v>1234</v>
      </c>
      <c r="D3983" s="352" t="s">
        <v>407</v>
      </c>
      <c r="E3983" s="336">
        <v>43731</v>
      </c>
      <c r="F3983" s="336">
        <v>43701</v>
      </c>
      <c r="G3983" s="336">
        <v>43724</v>
      </c>
      <c r="H3983" s="334" t="s">
        <v>9808</v>
      </c>
      <c r="I3983" s="444">
        <v>13052350768</v>
      </c>
      <c r="J3983" s="361" t="s">
        <v>9809</v>
      </c>
      <c r="K3983" s="452">
        <v>1000</v>
      </c>
      <c r="L3983" s="334">
        <f>14180-736</f>
        <v>13444</v>
      </c>
      <c r="M3983" s="334">
        <v>736</v>
      </c>
      <c r="N3983" s="362">
        <f t="shared" si="137"/>
        <v>14180</v>
      </c>
      <c r="O3983" s="356" t="s">
        <v>52</v>
      </c>
      <c r="P3983" s="356"/>
      <c r="Q3983" s="356"/>
      <c r="R3983" s="356"/>
      <c r="S3983" s="356"/>
      <c r="T3983" s="356"/>
      <c r="U3983" s="372"/>
      <c r="V3983" s="372"/>
      <c r="W3983" s="372"/>
      <c r="X3983" s="373"/>
      <c r="Y3983" s="348"/>
      <c r="Z3983" s="348"/>
      <c r="AA3983" s="348"/>
    </row>
    <row r="3984" s="331" customFormat="1" ht="15" customHeight="1" spans="1:27">
      <c r="A3984" s="550" t="s">
        <v>9810</v>
      </c>
      <c r="B3984" s="348" t="s">
        <v>58</v>
      </c>
      <c r="C3984" s="348" t="s">
        <v>342</v>
      </c>
      <c r="D3984" s="352" t="s">
        <v>343</v>
      </c>
      <c r="E3984" s="336">
        <v>43801</v>
      </c>
      <c r="F3984" s="336">
        <v>43703</v>
      </c>
      <c r="G3984" s="336">
        <v>43800</v>
      </c>
      <c r="H3984" s="334" t="s">
        <v>9811</v>
      </c>
      <c r="I3984" s="444">
        <v>1021958660</v>
      </c>
      <c r="J3984" s="361" t="s">
        <v>9812</v>
      </c>
      <c r="K3984" s="452">
        <v>1000</v>
      </c>
      <c r="L3984" s="334">
        <v>35726</v>
      </c>
      <c r="M3984" s="419"/>
      <c r="N3984" s="362">
        <f t="shared" si="137"/>
        <v>35726</v>
      </c>
      <c r="O3984" s="366"/>
      <c r="P3984" s="356"/>
      <c r="Q3984" s="366" t="s">
        <v>52</v>
      </c>
      <c r="R3984" s="356"/>
      <c r="S3984" s="356"/>
      <c r="T3984" s="356"/>
      <c r="U3984" s="372"/>
      <c r="V3984" s="372"/>
      <c r="W3984" s="372"/>
      <c r="X3984" s="373"/>
      <c r="Y3984" s="348"/>
      <c r="Z3984" s="348"/>
      <c r="AA3984" s="348"/>
    </row>
    <row r="3985" s="331" customFormat="1" ht="15" customHeight="1" spans="1:27">
      <c r="A3985" s="550" t="s">
        <v>3235</v>
      </c>
      <c r="B3985" s="348" t="s">
        <v>58</v>
      </c>
      <c r="C3985" s="348" t="s">
        <v>59</v>
      </c>
      <c r="D3985" s="349" t="s">
        <v>271</v>
      </c>
      <c r="E3985" s="336">
        <v>43763</v>
      </c>
      <c r="F3985" s="336">
        <v>43702</v>
      </c>
      <c r="G3985" s="336">
        <v>43762</v>
      </c>
      <c r="H3985" s="334" t="s">
        <v>9813</v>
      </c>
      <c r="I3985" s="444">
        <v>13818232127</v>
      </c>
      <c r="J3985" s="361" t="s">
        <v>9814</v>
      </c>
      <c r="K3985" s="452">
        <v>10000</v>
      </c>
      <c r="L3985" s="334">
        <v>12293</v>
      </c>
      <c r="M3985" s="419"/>
      <c r="N3985" s="362">
        <f t="shared" si="137"/>
        <v>12293</v>
      </c>
      <c r="O3985" s="356"/>
      <c r="P3985" s="356"/>
      <c r="Q3985" s="356"/>
      <c r="R3985" s="356"/>
      <c r="S3985" s="356"/>
      <c r="T3985" s="356"/>
      <c r="U3985" s="372"/>
      <c r="V3985" s="372"/>
      <c r="W3985" s="372" t="s">
        <v>1472</v>
      </c>
      <c r="X3985" s="373"/>
      <c r="Y3985" s="348"/>
      <c r="Z3985" s="348"/>
      <c r="AA3985" s="348"/>
    </row>
    <row r="3986" s="331" customFormat="1" ht="17" customHeight="1" spans="1:27">
      <c r="A3986" s="550" t="s">
        <v>9815</v>
      </c>
      <c r="B3986" s="348" t="s">
        <v>58</v>
      </c>
      <c r="C3986" s="348" t="s">
        <v>59</v>
      </c>
      <c r="D3986" s="334" t="s">
        <v>271</v>
      </c>
      <c r="E3986" s="336">
        <v>43708</v>
      </c>
      <c r="F3986" s="336">
        <v>43702</v>
      </c>
      <c r="G3986" s="336">
        <v>43706</v>
      </c>
      <c r="H3986" s="334" t="s">
        <v>9816</v>
      </c>
      <c r="I3986" s="444">
        <v>18019787806</v>
      </c>
      <c r="J3986" s="361" t="s">
        <v>9817</v>
      </c>
      <c r="K3986" s="452">
        <v>10000</v>
      </c>
      <c r="L3986" s="334">
        <v>9868</v>
      </c>
      <c r="M3986" s="419"/>
      <c r="N3986" s="362">
        <f t="shared" si="137"/>
        <v>9868</v>
      </c>
      <c r="O3986" s="356"/>
      <c r="P3986" s="356"/>
      <c r="Q3986" s="356"/>
      <c r="R3986" s="356"/>
      <c r="S3986" s="356"/>
      <c r="T3986" s="356"/>
      <c r="U3986" s="336" t="s">
        <v>40</v>
      </c>
      <c r="V3986" s="372"/>
      <c r="W3986" s="372"/>
      <c r="X3986" s="373"/>
      <c r="Y3986" s="348"/>
      <c r="Z3986" s="348"/>
      <c r="AA3986" s="348"/>
    </row>
    <row r="3987" s="331" customFormat="1" ht="15" customHeight="1" spans="1:24">
      <c r="A3987" s="550" t="s">
        <v>9818</v>
      </c>
      <c r="B3987" s="348" t="s">
        <v>58</v>
      </c>
      <c r="C3987" s="348" t="s">
        <v>347</v>
      </c>
      <c r="D3987" s="352" t="s">
        <v>343</v>
      </c>
      <c r="E3987" s="336">
        <v>43738</v>
      </c>
      <c r="F3987" s="336">
        <v>43702</v>
      </c>
      <c r="G3987" s="336">
        <v>43737</v>
      </c>
      <c r="H3987" s="334" t="s">
        <v>9819</v>
      </c>
      <c r="I3987" s="444">
        <v>17317127365</v>
      </c>
      <c r="J3987" s="361" t="s">
        <v>9820</v>
      </c>
      <c r="K3987" s="452">
        <v>1000</v>
      </c>
      <c r="L3987" s="334">
        <f>13439-1104</f>
        <v>12335</v>
      </c>
      <c r="M3987" s="334">
        <v>1104</v>
      </c>
      <c r="N3987" s="362">
        <f t="shared" si="137"/>
        <v>13439</v>
      </c>
      <c r="P3987" s="366" t="s">
        <v>52</v>
      </c>
      <c r="X3987" s="459"/>
    </row>
    <row r="3988" s="331" customFormat="1" ht="17" customHeight="1" spans="1:24">
      <c r="A3988" s="550" t="s">
        <v>9821</v>
      </c>
      <c r="B3988" s="348" t="s">
        <v>354</v>
      </c>
      <c r="C3988" s="348" t="s">
        <v>355</v>
      </c>
      <c r="D3988" s="334" t="s">
        <v>182</v>
      </c>
      <c r="E3988" s="336">
        <v>43731</v>
      </c>
      <c r="F3988" s="336">
        <v>43702</v>
      </c>
      <c r="G3988" s="336">
        <v>43730</v>
      </c>
      <c r="H3988" s="334" t="s">
        <v>9822</v>
      </c>
      <c r="I3988" s="444">
        <v>13661893571</v>
      </c>
      <c r="J3988" s="361" t="s">
        <v>9823</v>
      </c>
      <c r="K3988" s="452">
        <v>3000</v>
      </c>
      <c r="L3988" s="334">
        <f>13508-1072</f>
        <v>12436</v>
      </c>
      <c r="M3988" s="334">
        <v>1072</v>
      </c>
      <c r="N3988" s="362">
        <f t="shared" ref="N3988:N4009" si="138">L3988+M3988</f>
        <v>13508</v>
      </c>
      <c r="X3988" s="459"/>
    </row>
    <row r="3989" s="331" customFormat="1" ht="17" customHeight="1" spans="1:24">
      <c r="A3989" s="550" t="s">
        <v>9824</v>
      </c>
      <c r="B3989" s="348" t="s">
        <v>354</v>
      </c>
      <c r="C3989" s="348" t="s">
        <v>355</v>
      </c>
      <c r="D3989" s="334" t="s">
        <v>162</v>
      </c>
      <c r="E3989" s="336">
        <v>43751</v>
      </c>
      <c r="F3989" s="336">
        <v>43702</v>
      </c>
      <c r="G3989" s="336">
        <v>43749</v>
      </c>
      <c r="H3989" s="334" t="s">
        <v>9825</v>
      </c>
      <c r="I3989" s="444">
        <v>18168558693</v>
      </c>
      <c r="J3989" s="361" t="s">
        <v>9826</v>
      </c>
      <c r="K3989" s="452">
        <v>3000</v>
      </c>
      <c r="L3989" s="334">
        <v>16792</v>
      </c>
      <c r="M3989" s="453"/>
      <c r="N3989" s="362">
        <f t="shared" si="138"/>
        <v>16792</v>
      </c>
      <c r="O3989" s="331" t="s">
        <v>52</v>
      </c>
      <c r="X3989" s="459"/>
    </row>
    <row r="3990" s="331" customFormat="1" ht="15" customHeight="1" spans="1:24">
      <c r="A3990" s="550" t="s">
        <v>9827</v>
      </c>
      <c r="B3990" s="348" t="s">
        <v>405</v>
      </c>
      <c r="C3990" s="348" t="s">
        <v>8323</v>
      </c>
      <c r="D3990" s="352" t="s">
        <v>407</v>
      </c>
      <c r="E3990" s="336">
        <v>43703</v>
      </c>
      <c r="F3990" s="336">
        <v>43703</v>
      </c>
      <c r="G3990" s="399"/>
      <c r="H3990" s="334" t="s">
        <v>9828</v>
      </c>
      <c r="I3990" s="444">
        <v>13917213256</v>
      </c>
      <c r="J3990" s="361" t="s">
        <v>9829</v>
      </c>
      <c r="K3990" s="452">
        <v>1000</v>
      </c>
      <c r="L3990" s="453"/>
      <c r="M3990" s="453"/>
      <c r="N3990" s="362">
        <f t="shared" si="138"/>
        <v>0</v>
      </c>
      <c r="P3990" s="356" t="s">
        <v>52</v>
      </c>
      <c r="U3990" s="400" t="s">
        <v>1796</v>
      </c>
      <c r="X3990" s="459"/>
    </row>
    <row r="3991" s="331" customFormat="1" ht="15" customHeight="1" spans="1:24">
      <c r="A3991" s="348"/>
      <c r="B3991" s="348" t="s">
        <v>405</v>
      </c>
      <c r="C3991" s="348" t="s">
        <v>8323</v>
      </c>
      <c r="D3991" s="352" t="s">
        <v>407</v>
      </c>
      <c r="E3991" s="336">
        <v>43773</v>
      </c>
      <c r="F3991" s="336">
        <v>43702</v>
      </c>
      <c r="G3991" s="336">
        <v>43772</v>
      </c>
      <c r="H3991" s="334" t="s">
        <v>9830</v>
      </c>
      <c r="I3991" s="444">
        <v>13774287828</v>
      </c>
      <c r="J3991" s="361" t="s">
        <v>9831</v>
      </c>
      <c r="K3991" s="452">
        <v>1000</v>
      </c>
      <c r="L3991" s="334">
        <v>6381</v>
      </c>
      <c r="M3991" s="453"/>
      <c r="N3991" s="362">
        <f t="shared" si="138"/>
        <v>6381</v>
      </c>
      <c r="P3991" s="356" t="s">
        <v>52</v>
      </c>
      <c r="X3991" s="459"/>
    </row>
    <row r="3992" s="330" customFormat="1" ht="17" customHeight="1" spans="1:24">
      <c r="A3992" s="551" t="s">
        <v>9832</v>
      </c>
      <c r="B3992" s="334" t="s">
        <v>205</v>
      </c>
      <c r="C3992" s="334" t="s">
        <v>1467</v>
      </c>
      <c r="D3992" s="334" t="s">
        <v>407</v>
      </c>
      <c r="E3992" s="336">
        <v>43708</v>
      </c>
      <c r="F3992" s="336">
        <v>43703</v>
      </c>
      <c r="G3992" s="336">
        <v>43708</v>
      </c>
      <c r="H3992" s="334" t="s">
        <v>1541</v>
      </c>
      <c r="I3992" s="454">
        <v>17701707187</v>
      </c>
      <c r="J3992" s="367" t="s">
        <v>9833</v>
      </c>
      <c r="K3992" s="455">
        <v>15634</v>
      </c>
      <c r="L3992" s="334">
        <f>15462-268</f>
        <v>15194</v>
      </c>
      <c r="M3992" s="334">
        <v>268</v>
      </c>
      <c r="N3992" s="368">
        <f t="shared" si="138"/>
        <v>15462</v>
      </c>
      <c r="X3992" s="339"/>
    </row>
    <row r="3993" s="332" customFormat="1" ht="17" customHeight="1" spans="1:24">
      <c r="A3993" s="550" t="s">
        <v>9834</v>
      </c>
      <c r="B3993" s="348" t="s">
        <v>42</v>
      </c>
      <c r="C3993" s="348" t="s">
        <v>43</v>
      </c>
      <c r="D3993" s="449" t="s">
        <v>44</v>
      </c>
      <c r="E3993" s="336">
        <v>43703</v>
      </c>
      <c r="F3993" s="336">
        <v>43696</v>
      </c>
      <c r="G3993" s="399"/>
      <c r="H3993" s="334" t="s">
        <v>9835</v>
      </c>
      <c r="I3993" s="444">
        <v>13524201885</v>
      </c>
      <c r="J3993" s="361" t="s">
        <v>9836</v>
      </c>
      <c r="K3993" s="452">
        <v>1980</v>
      </c>
      <c r="L3993" s="456"/>
      <c r="M3993" s="456"/>
      <c r="N3993" s="362">
        <f t="shared" si="138"/>
        <v>0</v>
      </c>
      <c r="P3993" s="332" t="s">
        <v>1526</v>
      </c>
      <c r="U3993" s="460">
        <v>43707</v>
      </c>
      <c r="V3993" s="332" t="s">
        <v>5114</v>
      </c>
      <c r="X3993" s="461"/>
    </row>
    <row r="3994" s="331" customFormat="1" ht="17" customHeight="1" spans="1:24">
      <c r="A3994" s="550" t="s">
        <v>9837</v>
      </c>
      <c r="B3994" s="348" t="s">
        <v>315</v>
      </c>
      <c r="C3994" s="348" t="s">
        <v>181</v>
      </c>
      <c r="D3994" s="334" t="s">
        <v>162</v>
      </c>
      <c r="E3994" s="336">
        <v>43717</v>
      </c>
      <c r="F3994" s="336">
        <v>43703</v>
      </c>
      <c r="G3994" s="336">
        <v>43716</v>
      </c>
      <c r="H3994" s="334" t="s">
        <v>9838</v>
      </c>
      <c r="I3994" s="444">
        <v>1101620723</v>
      </c>
      <c r="J3994" s="361" t="s">
        <v>9839</v>
      </c>
      <c r="K3994" s="452">
        <v>5000</v>
      </c>
      <c r="L3994" s="334">
        <v>4610</v>
      </c>
      <c r="M3994" s="453"/>
      <c r="N3994" s="362">
        <f t="shared" si="138"/>
        <v>4610</v>
      </c>
      <c r="O3994" s="356">
        <v>1</v>
      </c>
      <c r="X3994" s="459"/>
    </row>
    <row r="3995" s="331" customFormat="1" ht="17" customHeight="1" spans="1:24">
      <c r="A3995" s="348"/>
      <c r="B3995" s="348" t="s">
        <v>31</v>
      </c>
      <c r="C3995" s="348" t="s">
        <v>377</v>
      </c>
      <c r="D3995" s="449" t="s">
        <v>221</v>
      </c>
      <c r="E3995" s="336">
        <v>43717</v>
      </c>
      <c r="F3995" s="336">
        <v>43702</v>
      </c>
      <c r="G3995" s="336">
        <v>43716</v>
      </c>
      <c r="H3995" s="334" t="s">
        <v>9840</v>
      </c>
      <c r="I3995" s="444">
        <v>15216702018</v>
      </c>
      <c r="J3995" s="361" t="s">
        <v>9841</v>
      </c>
      <c r="K3995" s="452">
        <v>1000</v>
      </c>
      <c r="L3995" s="334">
        <v>2474</v>
      </c>
      <c r="M3995" s="453"/>
      <c r="N3995" s="362">
        <f t="shared" si="138"/>
        <v>2474</v>
      </c>
      <c r="X3995" s="459"/>
    </row>
    <row r="3996" s="331" customFormat="1" ht="17" customHeight="1" spans="1:24">
      <c r="A3996" s="550" t="s">
        <v>9842</v>
      </c>
      <c r="B3996" s="348" t="s">
        <v>66</v>
      </c>
      <c r="C3996" s="348" t="s">
        <v>505</v>
      </c>
      <c r="D3996" s="334" t="s">
        <v>2302</v>
      </c>
      <c r="E3996" s="336">
        <v>43727</v>
      </c>
      <c r="F3996" s="336">
        <v>43702</v>
      </c>
      <c r="G3996" s="336">
        <v>43727</v>
      </c>
      <c r="H3996" s="334" t="s">
        <v>9843</v>
      </c>
      <c r="I3996" s="444">
        <v>18801755014</v>
      </c>
      <c r="J3996" s="361" t="s">
        <v>9844</v>
      </c>
      <c r="K3996" s="452">
        <v>1000</v>
      </c>
      <c r="L3996" s="334">
        <v>8791</v>
      </c>
      <c r="M3996" s="453"/>
      <c r="N3996" s="362">
        <f t="shared" si="138"/>
        <v>8791</v>
      </c>
      <c r="R3996" s="42" t="s">
        <v>2075</v>
      </c>
      <c r="X3996" s="459"/>
    </row>
    <row r="3997" s="331" customFormat="1" ht="17" customHeight="1" spans="1:24">
      <c r="A3997" s="550" t="s">
        <v>9802</v>
      </c>
      <c r="B3997" s="348" t="s">
        <v>315</v>
      </c>
      <c r="C3997" s="450" t="s">
        <v>181</v>
      </c>
      <c r="D3997" s="352" t="s">
        <v>182</v>
      </c>
      <c r="E3997" s="336">
        <v>43723</v>
      </c>
      <c r="F3997" s="336">
        <v>43702</v>
      </c>
      <c r="G3997" s="336">
        <v>43723</v>
      </c>
      <c r="H3997" s="348" t="s">
        <v>9845</v>
      </c>
      <c r="I3997" s="444">
        <v>13817521190</v>
      </c>
      <c r="J3997" s="361" t="s">
        <v>9846</v>
      </c>
      <c r="K3997" s="452">
        <v>3000</v>
      </c>
      <c r="L3997" s="334">
        <f>7030-1104</f>
        <v>5926</v>
      </c>
      <c r="M3997" s="334">
        <v>1104</v>
      </c>
      <c r="N3997" s="362">
        <f t="shared" si="138"/>
        <v>7030</v>
      </c>
      <c r="O3997" s="356">
        <v>1</v>
      </c>
      <c r="X3997" s="459"/>
    </row>
    <row r="3998" s="331" customFormat="1" ht="17" customHeight="1" spans="1:24">
      <c r="A3998" s="550" t="s">
        <v>9662</v>
      </c>
      <c r="B3998" s="348" t="s">
        <v>315</v>
      </c>
      <c r="C3998" s="348" t="s">
        <v>181</v>
      </c>
      <c r="D3998" s="334" t="s">
        <v>162</v>
      </c>
      <c r="E3998" s="336">
        <v>43707</v>
      </c>
      <c r="F3998" s="336">
        <v>43702</v>
      </c>
      <c r="G3998" s="336">
        <v>43705</v>
      </c>
      <c r="H3998" s="334" t="s">
        <v>9847</v>
      </c>
      <c r="I3998" s="444">
        <v>13761235501</v>
      </c>
      <c r="J3998" s="361" t="s">
        <v>9848</v>
      </c>
      <c r="K3998" s="452">
        <v>10000</v>
      </c>
      <c r="L3998" s="334">
        <v>10000</v>
      </c>
      <c r="M3998" s="453"/>
      <c r="N3998" s="362">
        <f t="shared" si="138"/>
        <v>10000</v>
      </c>
      <c r="X3998" s="459"/>
    </row>
    <row r="3999" s="331" customFormat="1" ht="15" customHeight="1" spans="1:24">
      <c r="A3999" s="348"/>
      <c r="B3999" s="348" t="s">
        <v>405</v>
      </c>
      <c r="C3999" s="348" t="s">
        <v>8323</v>
      </c>
      <c r="D3999" s="352" t="s">
        <v>407</v>
      </c>
      <c r="E3999" s="336">
        <v>43703</v>
      </c>
      <c r="F3999" s="336">
        <v>43703</v>
      </c>
      <c r="G3999" s="399"/>
      <c r="H3999" s="334" t="s">
        <v>9849</v>
      </c>
      <c r="I3999" s="444">
        <v>13816916418</v>
      </c>
      <c r="J3999" s="361" t="s">
        <v>9850</v>
      </c>
      <c r="K3999" s="452">
        <v>1000</v>
      </c>
      <c r="L3999" s="453"/>
      <c r="M3999" s="453"/>
      <c r="N3999" s="362">
        <f t="shared" si="138"/>
        <v>0</v>
      </c>
      <c r="O3999" s="356" t="s">
        <v>52</v>
      </c>
      <c r="U3999" s="393" t="s">
        <v>40</v>
      </c>
      <c r="X3999" s="459"/>
    </row>
    <row r="4000" s="331" customFormat="1" ht="15" customHeight="1" spans="1:24">
      <c r="A4000" s="550" t="s">
        <v>7684</v>
      </c>
      <c r="B4000" s="348" t="s">
        <v>405</v>
      </c>
      <c r="C4000" s="334" t="s">
        <v>823</v>
      </c>
      <c r="D4000" s="334" t="s">
        <v>139</v>
      </c>
      <c r="E4000" s="336">
        <v>43734</v>
      </c>
      <c r="F4000" s="336">
        <v>43701</v>
      </c>
      <c r="G4000" s="336">
        <v>43732</v>
      </c>
      <c r="H4000" s="334" t="s">
        <v>2466</v>
      </c>
      <c r="I4000" s="444">
        <v>13817599053</v>
      </c>
      <c r="J4000" s="361" t="s">
        <v>9851</v>
      </c>
      <c r="K4000" s="452">
        <v>1000</v>
      </c>
      <c r="L4000" s="334">
        <f>24912-1840</f>
        <v>23072</v>
      </c>
      <c r="M4000" s="334">
        <v>1840</v>
      </c>
      <c r="N4000" s="362">
        <f t="shared" si="138"/>
        <v>24912</v>
      </c>
      <c r="R4000" s="356" t="s">
        <v>52</v>
      </c>
      <c r="X4000" s="459"/>
    </row>
    <row r="4001" s="331" customFormat="1" ht="17" customHeight="1" spans="1:24">
      <c r="A4001" s="550" t="s">
        <v>9852</v>
      </c>
      <c r="B4001" s="348" t="s">
        <v>354</v>
      </c>
      <c r="C4001" s="348" t="s">
        <v>355</v>
      </c>
      <c r="D4001" s="334" t="s">
        <v>182</v>
      </c>
      <c r="E4001" s="336">
        <v>43709</v>
      </c>
      <c r="F4001" s="336">
        <v>43702</v>
      </c>
      <c r="G4001" s="336">
        <v>43709</v>
      </c>
      <c r="H4001" s="334" t="s">
        <v>2145</v>
      </c>
      <c r="I4001" s="444">
        <v>13004100525</v>
      </c>
      <c r="J4001" s="361" t="s">
        <v>9853</v>
      </c>
      <c r="K4001" s="452">
        <v>1000</v>
      </c>
      <c r="L4001" s="334">
        <f>16250-804</f>
        <v>15446</v>
      </c>
      <c r="M4001" s="334">
        <v>804</v>
      </c>
      <c r="N4001" s="362">
        <f t="shared" si="138"/>
        <v>16250</v>
      </c>
      <c r="X4001" s="459"/>
    </row>
    <row r="4002" s="331" customFormat="1" ht="17" customHeight="1" spans="1:24">
      <c r="A4002" s="550" t="s">
        <v>9854</v>
      </c>
      <c r="B4002" s="348" t="s">
        <v>236</v>
      </c>
      <c r="C4002" s="348" t="s">
        <v>195</v>
      </c>
      <c r="D4002" s="352" t="s">
        <v>237</v>
      </c>
      <c r="E4002" s="336">
        <v>43723</v>
      </c>
      <c r="F4002" s="336">
        <v>43702</v>
      </c>
      <c r="G4002" s="336">
        <v>43715</v>
      </c>
      <c r="H4002" s="334" t="s">
        <v>9855</v>
      </c>
      <c r="I4002" s="444">
        <v>13501889206</v>
      </c>
      <c r="J4002" s="361" t="s">
        <v>9856</v>
      </c>
      <c r="K4002" s="452">
        <v>1998</v>
      </c>
      <c r="L4002" s="334">
        <v>2834</v>
      </c>
      <c r="M4002" s="453"/>
      <c r="N4002" s="362">
        <f t="shared" si="138"/>
        <v>2834</v>
      </c>
      <c r="R4002" s="457" t="s">
        <v>5036</v>
      </c>
      <c r="V4002" s="457" t="s">
        <v>5036</v>
      </c>
      <c r="X4002" s="459"/>
    </row>
    <row r="4003" s="331" customFormat="1" customHeight="1" spans="1:24">
      <c r="A4003" s="550" t="s">
        <v>9857</v>
      </c>
      <c r="B4003" s="348" t="s">
        <v>236</v>
      </c>
      <c r="C4003" s="348" t="s">
        <v>703</v>
      </c>
      <c r="D4003" s="352" t="s">
        <v>237</v>
      </c>
      <c r="E4003" s="336">
        <v>43703</v>
      </c>
      <c r="F4003" s="336">
        <v>43702</v>
      </c>
      <c r="G4003" s="399"/>
      <c r="H4003" s="334" t="s">
        <v>9858</v>
      </c>
      <c r="I4003" s="444">
        <v>13681700583</v>
      </c>
      <c r="J4003" s="361" t="s">
        <v>9859</v>
      </c>
      <c r="K4003" s="452">
        <v>1000</v>
      </c>
      <c r="L4003" s="453"/>
      <c r="M4003" s="453"/>
      <c r="N4003" s="362">
        <f t="shared" si="138"/>
        <v>0</v>
      </c>
      <c r="U4003" s="356" t="s">
        <v>52</v>
      </c>
      <c r="X4003" s="459"/>
    </row>
    <row r="4004" s="331" customFormat="1" ht="17" customHeight="1" spans="1:24">
      <c r="A4004" s="550" t="s">
        <v>2039</v>
      </c>
      <c r="B4004" s="348" t="s">
        <v>236</v>
      </c>
      <c r="C4004" s="348" t="s">
        <v>195</v>
      </c>
      <c r="D4004" s="449" t="s">
        <v>125</v>
      </c>
      <c r="E4004" s="336">
        <v>43708</v>
      </c>
      <c r="F4004" s="336">
        <v>43701</v>
      </c>
      <c r="G4004" s="336">
        <v>43707</v>
      </c>
      <c r="H4004" s="334" t="s">
        <v>9860</v>
      </c>
      <c r="I4004" s="444">
        <v>13818388553</v>
      </c>
      <c r="J4004" s="361" t="s">
        <v>9861</v>
      </c>
      <c r="K4004" s="452">
        <v>12295</v>
      </c>
      <c r="L4004" s="334">
        <v>12295</v>
      </c>
      <c r="M4004" s="453"/>
      <c r="N4004" s="362">
        <f t="shared" si="138"/>
        <v>12295</v>
      </c>
      <c r="X4004" s="459"/>
    </row>
    <row r="4005" s="331" customFormat="1" ht="17" customHeight="1" spans="1:24">
      <c r="A4005" s="550" t="s">
        <v>9862</v>
      </c>
      <c r="B4005" s="348" t="s">
        <v>236</v>
      </c>
      <c r="C4005" s="348" t="s">
        <v>703</v>
      </c>
      <c r="D4005" s="352" t="s">
        <v>237</v>
      </c>
      <c r="E4005" s="336">
        <v>43731</v>
      </c>
      <c r="F4005" s="336">
        <v>43701</v>
      </c>
      <c r="G4005" s="336">
        <v>43728</v>
      </c>
      <c r="H4005" s="334" t="s">
        <v>9863</v>
      </c>
      <c r="I4005" s="444">
        <v>18502138785</v>
      </c>
      <c r="J4005" s="361" t="s">
        <v>9864</v>
      </c>
      <c r="K4005" s="452">
        <v>9259</v>
      </c>
      <c r="L4005" s="334">
        <v>16483</v>
      </c>
      <c r="M4005" s="453"/>
      <c r="N4005" s="362">
        <f t="shared" si="138"/>
        <v>16483</v>
      </c>
      <c r="Q4005" s="457" t="s">
        <v>21</v>
      </c>
      <c r="X4005" s="459"/>
    </row>
    <row r="4006" s="331" customFormat="1" customHeight="1" spans="1:24">
      <c r="A4006" s="550" t="s">
        <v>9865</v>
      </c>
      <c r="B4006" s="348" t="s">
        <v>236</v>
      </c>
      <c r="C4006" s="348" t="s">
        <v>703</v>
      </c>
      <c r="D4006" s="352" t="s">
        <v>237</v>
      </c>
      <c r="E4006" s="336">
        <v>43703</v>
      </c>
      <c r="F4006" s="336">
        <v>43700</v>
      </c>
      <c r="G4006" s="399"/>
      <c r="H4006" s="334" t="s">
        <v>9866</v>
      </c>
      <c r="I4006" s="444">
        <v>13665776560</v>
      </c>
      <c r="J4006" s="361" t="s">
        <v>9867</v>
      </c>
      <c r="K4006" s="452">
        <v>1000</v>
      </c>
      <c r="L4006" s="453"/>
      <c r="M4006" s="453"/>
      <c r="N4006" s="362">
        <f t="shared" si="138"/>
        <v>0</v>
      </c>
      <c r="O4006" s="333" t="s">
        <v>4314</v>
      </c>
      <c r="P4006" s="457"/>
      <c r="X4006" s="459"/>
    </row>
    <row r="4007" s="331" customFormat="1" ht="17" customHeight="1" spans="1:24">
      <c r="A4007" s="550" t="s">
        <v>9671</v>
      </c>
      <c r="B4007" s="348" t="s">
        <v>315</v>
      </c>
      <c r="C4007" s="348" t="s">
        <v>161</v>
      </c>
      <c r="D4007" s="449" t="s">
        <v>162</v>
      </c>
      <c r="E4007" s="336">
        <v>43705</v>
      </c>
      <c r="F4007" s="336">
        <v>43701</v>
      </c>
      <c r="G4007" s="336">
        <v>43705</v>
      </c>
      <c r="H4007" s="334" t="s">
        <v>9868</v>
      </c>
      <c r="I4007" s="444">
        <v>13636439068</v>
      </c>
      <c r="J4007" s="361" t="s">
        <v>9869</v>
      </c>
      <c r="K4007" s="452">
        <v>10000</v>
      </c>
      <c r="L4007" s="334">
        <v>10000</v>
      </c>
      <c r="M4007" s="453"/>
      <c r="N4007" s="362">
        <f t="shared" si="138"/>
        <v>10000</v>
      </c>
      <c r="X4007" s="459"/>
    </row>
    <row r="4008" s="331" customFormat="1" ht="17" customHeight="1" spans="1:24">
      <c r="A4008" s="550" t="s">
        <v>9870</v>
      </c>
      <c r="B4008" s="348" t="s">
        <v>315</v>
      </c>
      <c r="C4008" s="348" t="s">
        <v>161</v>
      </c>
      <c r="D4008" s="449" t="s">
        <v>162</v>
      </c>
      <c r="E4008" s="336">
        <v>43767</v>
      </c>
      <c r="F4008" s="336">
        <v>43701</v>
      </c>
      <c r="G4008" s="336">
        <v>43752</v>
      </c>
      <c r="H4008" s="334" t="s">
        <v>9871</v>
      </c>
      <c r="I4008" s="444">
        <v>15021906965</v>
      </c>
      <c r="J4008" s="361" t="s">
        <v>9872</v>
      </c>
      <c r="K4008" s="452">
        <v>1000</v>
      </c>
      <c r="L4008" s="334">
        <v>5635</v>
      </c>
      <c r="M4008" s="453"/>
      <c r="N4008" s="362">
        <f t="shared" si="138"/>
        <v>5635</v>
      </c>
      <c r="O4008" s="356">
        <v>1</v>
      </c>
      <c r="X4008" s="459"/>
    </row>
    <row r="4009" s="330" customFormat="1" ht="17" customHeight="1" spans="1:24">
      <c r="A4009" s="551" t="s">
        <v>9873</v>
      </c>
      <c r="B4009" s="334" t="s">
        <v>205</v>
      </c>
      <c r="C4009" s="334" t="s">
        <v>1467</v>
      </c>
      <c r="D4009" s="334" t="s">
        <v>89</v>
      </c>
      <c r="E4009" s="336">
        <v>43721</v>
      </c>
      <c r="F4009" s="336">
        <v>43703</v>
      </c>
      <c r="G4009" s="336">
        <v>43721</v>
      </c>
      <c r="H4009" s="334" t="s">
        <v>9874</v>
      </c>
      <c r="I4009" s="454">
        <v>18616763912</v>
      </c>
      <c r="J4009" s="367" t="s">
        <v>9875</v>
      </c>
      <c r="K4009" s="455">
        <v>1000</v>
      </c>
      <c r="L4009" s="334">
        <v>10621</v>
      </c>
      <c r="M4009" s="338"/>
      <c r="N4009" s="368">
        <f t="shared" si="138"/>
        <v>10621</v>
      </c>
      <c r="X4009" s="339"/>
    </row>
    <row r="4010" s="331" customFormat="1" ht="17" customHeight="1" spans="1:24">
      <c r="A4010" s="550" t="s">
        <v>9876</v>
      </c>
      <c r="B4010" s="348" t="s">
        <v>137</v>
      </c>
      <c r="C4010" s="348" t="s">
        <v>480</v>
      </c>
      <c r="D4010" s="352" t="s">
        <v>139</v>
      </c>
      <c r="E4010" s="336">
        <v>43720</v>
      </c>
      <c r="F4010" s="336">
        <v>43702</v>
      </c>
      <c r="G4010" s="336">
        <v>43718</v>
      </c>
      <c r="H4010" s="334" t="s">
        <v>9877</v>
      </c>
      <c r="I4010" s="444">
        <v>15601784258</v>
      </c>
      <c r="J4010" s="361" t="s">
        <v>9878</v>
      </c>
      <c r="K4010" s="452">
        <v>5000</v>
      </c>
      <c r="L4010" s="334">
        <v>7902</v>
      </c>
      <c r="M4010" s="453"/>
      <c r="N4010" s="362">
        <f t="shared" ref="N4010:N4055" si="139">L4010+M4010</f>
        <v>7902</v>
      </c>
      <c r="X4010" s="459"/>
    </row>
    <row r="4011" s="331" customFormat="1" ht="17" customHeight="1" spans="1:24">
      <c r="A4011" s="550" t="s">
        <v>8740</v>
      </c>
      <c r="B4011" s="348" t="s">
        <v>315</v>
      </c>
      <c r="C4011" s="348" t="s">
        <v>230</v>
      </c>
      <c r="D4011" s="334" t="s">
        <v>717</v>
      </c>
      <c r="E4011" s="336">
        <v>43707</v>
      </c>
      <c r="F4011" s="336">
        <v>43701</v>
      </c>
      <c r="G4011" s="451">
        <v>43705</v>
      </c>
      <c r="H4011" s="334" t="s">
        <v>9879</v>
      </c>
      <c r="I4011" s="444">
        <v>13916742418</v>
      </c>
      <c r="J4011" s="361" t="s">
        <v>9880</v>
      </c>
      <c r="K4011" s="452">
        <v>1000</v>
      </c>
      <c r="L4011" s="334">
        <v>41273</v>
      </c>
      <c r="M4011" s="453"/>
      <c r="N4011" s="362">
        <f t="shared" si="139"/>
        <v>41273</v>
      </c>
      <c r="X4011" s="459"/>
    </row>
    <row r="4012" s="331" customFormat="1" ht="17" customHeight="1" spans="1:24">
      <c r="A4012" s="550" t="s">
        <v>9881</v>
      </c>
      <c r="B4012" s="348" t="s">
        <v>354</v>
      </c>
      <c r="C4012" s="348" t="s">
        <v>355</v>
      </c>
      <c r="D4012" s="349" t="s">
        <v>149</v>
      </c>
      <c r="E4012" s="336">
        <v>43703</v>
      </c>
      <c r="F4012" s="336">
        <v>43646</v>
      </c>
      <c r="G4012" s="336">
        <v>43702</v>
      </c>
      <c r="H4012" s="334" t="s">
        <v>9882</v>
      </c>
      <c r="I4012" s="444">
        <v>13681893210</v>
      </c>
      <c r="J4012" s="361" t="s">
        <v>9883</v>
      </c>
      <c r="K4012" s="452">
        <v>3000</v>
      </c>
      <c r="L4012" s="334">
        <v>7070</v>
      </c>
      <c r="M4012" s="453"/>
      <c r="N4012" s="362">
        <f t="shared" si="139"/>
        <v>7070</v>
      </c>
      <c r="X4012" s="459"/>
    </row>
    <row r="4013" s="331" customFormat="1" ht="17" customHeight="1" spans="1:24">
      <c r="A4013" s="348">
        <v>2067198</v>
      </c>
      <c r="B4013" s="348" t="s">
        <v>66</v>
      </c>
      <c r="C4013" s="348" t="s">
        <v>951</v>
      </c>
      <c r="D4013" s="334" t="s">
        <v>1436</v>
      </c>
      <c r="E4013" s="336">
        <v>43757</v>
      </c>
      <c r="F4013" s="336">
        <v>43703</v>
      </c>
      <c r="G4013" s="336">
        <v>43750</v>
      </c>
      <c r="H4013" s="334" t="s">
        <v>9884</v>
      </c>
      <c r="I4013" s="444">
        <v>17317734520</v>
      </c>
      <c r="J4013" s="361" t="s">
        <v>9885</v>
      </c>
      <c r="K4013" s="452">
        <v>3000</v>
      </c>
      <c r="L4013" s="334">
        <f>-6870+13629</f>
        <v>6759</v>
      </c>
      <c r="M4013" s="334">
        <f>6870-7</f>
        <v>6863</v>
      </c>
      <c r="N4013" s="362">
        <f t="shared" si="139"/>
        <v>13622</v>
      </c>
      <c r="X4013" s="459"/>
    </row>
    <row r="4014" s="57" customFormat="1" ht="17" customHeight="1" spans="1:24">
      <c r="A4014" s="348">
        <v>2022435</v>
      </c>
      <c r="B4014" s="348" t="s">
        <v>137</v>
      </c>
      <c r="C4014" s="348" t="s">
        <v>406</v>
      </c>
      <c r="D4014" s="349" t="s">
        <v>443</v>
      </c>
      <c r="E4014" s="336">
        <v>43703</v>
      </c>
      <c r="F4014" s="336">
        <v>43702</v>
      </c>
      <c r="G4014" s="399"/>
      <c r="H4014" s="334" t="s">
        <v>9886</v>
      </c>
      <c r="I4014" s="444">
        <v>18964586981</v>
      </c>
      <c r="J4014" s="348" t="s">
        <v>9887</v>
      </c>
      <c r="K4014" s="452">
        <v>3000</v>
      </c>
      <c r="L4014" s="50"/>
      <c r="M4014" s="50"/>
      <c r="N4014" s="362">
        <f t="shared" si="139"/>
        <v>0</v>
      </c>
      <c r="P4014" s="57">
        <v>1</v>
      </c>
      <c r="W4014" s="57" t="s">
        <v>1472</v>
      </c>
      <c r="X4014" s="462"/>
    </row>
    <row r="4015" s="331" customFormat="1" ht="17" customHeight="1" spans="1:24">
      <c r="A4015" s="348"/>
      <c r="B4015" s="348" t="s">
        <v>137</v>
      </c>
      <c r="C4015" s="348" t="s">
        <v>406</v>
      </c>
      <c r="D4015" s="334" t="s">
        <v>2381</v>
      </c>
      <c r="E4015" s="336">
        <v>43729</v>
      </c>
      <c r="F4015" s="336">
        <v>43702</v>
      </c>
      <c r="G4015" s="336">
        <v>43728</v>
      </c>
      <c r="H4015" s="334" t="s">
        <v>9888</v>
      </c>
      <c r="I4015" s="458">
        <v>13764287779</v>
      </c>
      <c r="J4015" s="361" t="s">
        <v>9889</v>
      </c>
      <c r="K4015" s="452">
        <v>2000</v>
      </c>
      <c r="L4015" s="334">
        <v>3539</v>
      </c>
      <c r="M4015" s="453"/>
      <c r="N4015" s="362">
        <f t="shared" si="139"/>
        <v>3539</v>
      </c>
      <c r="X4015" s="459"/>
    </row>
    <row r="4016" s="331" customFormat="1" ht="17" customHeight="1" spans="1:24">
      <c r="A4016" s="348"/>
      <c r="B4016" s="348" t="s">
        <v>137</v>
      </c>
      <c r="C4016" s="348" t="s">
        <v>406</v>
      </c>
      <c r="D4016" s="334" t="s">
        <v>2381</v>
      </c>
      <c r="E4016" s="336">
        <v>43761</v>
      </c>
      <c r="F4016" s="336">
        <v>43702</v>
      </c>
      <c r="G4016" s="336">
        <v>43760</v>
      </c>
      <c r="H4016" s="334" t="s">
        <v>9890</v>
      </c>
      <c r="I4016" s="444">
        <v>13585586188</v>
      </c>
      <c r="J4016" s="361" t="s">
        <v>9891</v>
      </c>
      <c r="K4016" s="452">
        <v>2000</v>
      </c>
      <c r="L4016" s="334">
        <v>4118</v>
      </c>
      <c r="M4016" s="453"/>
      <c r="N4016" s="362">
        <f t="shared" si="139"/>
        <v>4118</v>
      </c>
      <c r="X4016" s="459"/>
    </row>
    <row r="4017" s="331" customFormat="1" ht="17" customHeight="1" spans="1:24">
      <c r="A4017" s="348"/>
      <c r="B4017" s="348" t="s">
        <v>137</v>
      </c>
      <c r="C4017" s="348" t="s">
        <v>406</v>
      </c>
      <c r="D4017" s="334" t="s">
        <v>2381</v>
      </c>
      <c r="E4017" s="336">
        <v>43773</v>
      </c>
      <c r="F4017" s="336">
        <v>43702</v>
      </c>
      <c r="G4017" s="336">
        <v>43772</v>
      </c>
      <c r="H4017" s="334" t="s">
        <v>9892</v>
      </c>
      <c r="I4017" s="444">
        <v>1921409252</v>
      </c>
      <c r="J4017" s="361" t="s">
        <v>9893</v>
      </c>
      <c r="K4017" s="452">
        <v>3000</v>
      </c>
      <c r="L4017" s="334">
        <v>6365</v>
      </c>
      <c r="M4017" s="453"/>
      <c r="N4017" s="362">
        <f t="shared" si="139"/>
        <v>6365</v>
      </c>
      <c r="X4017" s="459"/>
    </row>
    <row r="4018" s="331" customFormat="1" ht="17" customHeight="1" spans="1:24">
      <c r="A4018" s="348"/>
      <c r="B4018" s="348" t="s">
        <v>137</v>
      </c>
      <c r="C4018" s="348" t="s">
        <v>406</v>
      </c>
      <c r="D4018" s="334" t="s">
        <v>139</v>
      </c>
      <c r="E4018" s="336">
        <v>43723</v>
      </c>
      <c r="F4018" s="336">
        <v>43702</v>
      </c>
      <c r="G4018" s="336">
        <v>43723</v>
      </c>
      <c r="H4018" s="334" t="s">
        <v>9894</v>
      </c>
      <c r="I4018" s="444">
        <v>13681747268</v>
      </c>
      <c r="J4018" s="361" t="s">
        <v>9895</v>
      </c>
      <c r="K4018" s="452">
        <v>3000</v>
      </c>
      <c r="L4018" s="334">
        <v>6286</v>
      </c>
      <c r="M4018" s="453"/>
      <c r="N4018" s="362">
        <f t="shared" si="139"/>
        <v>6286</v>
      </c>
      <c r="X4018" s="459"/>
    </row>
    <row r="4019" s="331" customFormat="1" ht="15" customHeight="1" spans="1:24">
      <c r="A4019" s="550" t="s">
        <v>9896</v>
      </c>
      <c r="B4019" s="348" t="s">
        <v>58</v>
      </c>
      <c r="C4019" s="348" t="s">
        <v>342</v>
      </c>
      <c r="D4019" s="352" t="s">
        <v>343</v>
      </c>
      <c r="E4019" s="336">
        <v>43737</v>
      </c>
      <c r="F4019" s="336">
        <v>43700</v>
      </c>
      <c r="G4019" s="336">
        <v>43737</v>
      </c>
      <c r="H4019" s="334" t="s">
        <v>9897</v>
      </c>
      <c r="I4019" s="444" t="s">
        <v>9898</v>
      </c>
      <c r="J4019" s="361" t="s">
        <v>9899</v>
      </c>
      <c r="K4019" s="452">
        <v>1000</v>
      </c>
      <c r="L4019" s="334">
        <v>10561</v>
      </c>
      <c r="M4019" s="453"/>
      <c r="N4019" s="362">
        <f t="shared" si="139"/>
        <v>10561</v>
      </c>
      <c r="Q4019" s="366" t="s">
        <v>52</v>
      </c>
      <c r="X4019" s="459"/>
    </row>
    <row r="4020" s="331" customFormat="1" ht="17" customHeight="1" spans="1:24">
      <c r="A4020" s="348">
        <v>2022435</v>
      </c>
      <c r="B4020" s="348" t="s">
        <v>137</v>
      </c>
      <c r="C4020" s="348" t="s">
        <v>406</v>
      </c>
      <c r="D4020" s="334" t="s">
        <v>427</v>
      </c>
      <c r="E4020" s="336">
        <v>43780</v>
      </c>
      <c r="F4020" s="336">
        <v>43702</v>
      </c>
      <c r="G4020" s="336">
        <v>43779</v>
      </c>
      <c r="H4020" s="334" t="s">
        <v>9900</v>
      </c>
      <c r="I4020" s="444">
        <v>18106511321</v>
      </c>
      <c r="J4020" s="361" t="s">
        <v>9901</v>
      </c>
      <c r="K4020" s="452">
        <v>3000</v>
      </c>
      <c r="L4020" s="334">
        <f>-1100+19519</f>
        <v>18419</v>
      </c>
      <c r="M4020" s="453"/>
      <c r="N4020" s="362">
        <f t="shared" si="139"/>
        <v>18419</v>
      </c>
      <c r="X4020" s="459"/>
    </row>
    <row r="4021" s="331" customFormat="1" ht="17" customHeight="1" spans="1:24">
      <c r="A4021" s="550" t="s">
        <v>9902</v>
      </c>
      <c r="B4021" s="348" t="s">
        <v>185</v>
      </c>
      <c r="C4021" s="348" t="s">
        <v>886</v>
      </c>
      <c r="D4021" s="449" t="s">
        <v>187</v>
      </c>
      <c r="E4021" s="336">
        <v>43703</v>
      </c>
      <c r="F4021" s="336">
        <v>43703</v>
      </c>
      <c r="G4021" s="399"/>
      <c r="H4021" s="334" t="s">
        <v>9903</v>
      </c>
      <c r="I4021" s="444">
        <v>15000177775</v>
      </c>
      <c r="J4021" s="361" t="s">
        <v>9904</v>
      </c>
      <c r="K4021" s="452">
        <v>1398</v>
      </c>
      <c r="L4021" s="453"/>
      <c r="M4021" s="453"/>
      <c r="N4021" s="362">
        <f t="shared" si="139"/>
        <v>0</v>
      </c>
      <c r="P4021" s="356" t="s">
        <v>52</v>
      </c>
      <c r="X4021" s="459"/>
    </row>
    <row r="4022" s="331" customFormat="1" ht="17" customHeight="1" spans="1:24">
      <c r="A4022" s="550" t="s">
        <v>9905</v>
      </c>
      <c r="B4022" s="348" t="s">
        <v>87</v>
      </c>
      <c r="C4022" s="348" t="s">
        <v>199</v>
      </c>
      <c r="D4022" s="449" t="s">
        <v>89</v>
      </c>
      <c r="E4022" s="336">
        <v>43703</v>
      </c>
      <c r="F4022" s="336">
        <v>43702</v>
      </c>
      <c r="G4022" s="399"/>
      <c r="H4022" s="334" t="s">
        <v>3801</v>
      </c>
      <c r="I4022" s="444">
        <v>18018581292</v>
      </c>
      <c r="J4022" s="361" t="s">
        <v>9906</v>
      </c>
      <c r="K4022" s="452">
        <v>1000</v>
      </c>
      <c r="L4022" s="453"/>
      <c r="M4022" s="453"/>
      <c r="N4022" s="362">
        <f t="shared" si="139"/>
        <v>0</v>
      </c>
      <c r="U4022" s="333" t="s">
        <v>40</v>
      </c>
      <c r="X4022" s="459"/>
    </row>
    <row r="4023" s="331" customFormat="1" ht="17" customHeight="1" spans="1:24">
      <c r="A4023" s="550" t="s">
        <v>9907</v>
      </c>
      <c r="B4023" s="348" t="s">
        <v>87</v>
      </c>
      <c r="C4023" s="348" t="s">
        <v>199</v>
      </c>
      <c r="D4023" s="449" t="s">
        <v>89</v>
      </c>
      <c r="E4023" s="336">
        <v>43709</v>
      </c>
      <c r="F4023" s="336">
        <v>43702</v>
      </c>
      <c r="G4023" s="336">
        <v>43709</v>
      </c>
      <c r="H4023" s="334" t="s">
        <v>9908</v>
      </c>
      <c r="I4023" s="444">
        <v>13262910968</v>
      </c>
      <c r="J4023" s="361" t="s">
        <v>9909</v>
      </c>
      <c r="K4023" s="452">
        <v>3000</v>
      </c>
      <c r="L4023" s="334">
        <v>4093</v>
      </c>
      <c r="M4023" s="453"/>
      <c r="N4023" s="362">
        <f t="shared" si="139"/>
        <v>4093</v>
      </c>
      <c r="X4023" s="459"/>
    </row>
    <row r="4024" s="331" customFormat="1" ht="17" customHeight="1" spans="1:24">
      <c r="A4024" s="550" t="s">
        <v>9910</v>
      </c>
      <c r="B4024" s="348" t="s">
        <v>87</v>
      </c>
      <c r="C4024" s="348" t="s">
        <v>199</v>
      </c>
      <c r="D4024" s="449" t="s">
        <v>89</v>
      </c>
      <c r="E4024" s="336">
        <v>43751</v>
      </c>
      <c r="F4024" s="336">
        <v>43702</v>
      </c>
      <c r="G4024" s="336">
        <v>43751</v>
      </c>
      <c r="H4024" s="334" t="s">
        <v>9911</v>
      </c>
      <c r="I4024" s="444">
        <v>13788978765</v>
      </c>
      <c r="J4024" s="361" t="s">
        <v>9912</v>
      </c>
      <c r="K4024" s="452">
        <v>1000</v>
      </c>
      <c r="L4024" s="334">
        <v>16386</v>
      </c>
      <c r="M4024" s="453"/>
      <c r="N4024" s="362">
        <f t="shared" si="139"/>
        <v>16386</v>
      </c>
      <c r="W4024" s="333" t="s">
        <v>1472</v>
      </c>
      <c r="X4024" s="459"/>
    </row>
    <row r="4025" s="331" customFormat="1" ht="17" customHeight="1" spans="1:24">
      <c r="A4025" s="550" t="s">
        <v>9913</v>
      </c>
      <c r="B4025" s="348" t="s">
        <v>31</v>
      </c>
      <c r="C4025" s="348" t="s">
        <v>2716</v>
      </c>
      <c r="D4025" s="449" t="s">
        <v>33</v>
      </c>
      <c r="E4025" s="336">
        <v>43703</v>
      </c>
      <c r="F4025" s="336">
        <v>43702</v>
      </c>
      <c r="G4025" s="399"/>
      <c r="H4025" s="334" t="s">
        <v>9914</v>
      </c>
      <c r="I4025" s="444">
        <v>13816104282</v>
      </c>
      <c r="J4025" s="361" t="s">
        <v>9915</v>
      </c>
      <c r="K4025" s="452">
        <v>1000</v>
      </c>
      <c r="L4025" s="453"/>
      <c r="M4025" s="453"/>
      <c r="N4025" s="362">
        <f t="shared" si="139"/>
        <v>0</v>
      </c>
      <c r="U4025" s="400" t="s">
        <v>7304</v>
      </c>
      <c r="X4025" s="459"/>
    </row>
    <row r="4026" s="331" customFormat="1" ht="17" customHeight="1" spans="1:24">
      <c r="A4026" s="348">
        <v>2022511</v>
      </c>
      <c r="B4026" s="348" t="s">
        <v>73</v>
      </c>
      <c r="C4026" s="348" t="s">
        <v>178</v>
      </c>
      <c r="D4026" s="334" t="s">
        <v>237</v>
      </c>
      <c r="E4026" s="336">
        <v>43726</v>
      </c>
      <c r="F4026" s="336">
        <v>43702</v>
      </c>
      <c r="G4026" s="336">
        <v>43722</v>
      </c>
      <c r="H4026" s="334" t="s">
        <v>9916</v>
      </c>
      <c r="I4026" s="444">
        <v>13122218182</v>
      </c>
      <c r="J4026" s="361" t="s">
        <v>9917</v>
      </c>
      <c r="K4026" s="452">
        <v>1000</v>
      </c>
      <c r="L4026" s="334">
        <f>16305-1140</f>
        <v>15165</v>
      </c>
      <c r="M4026" s="334">
        <v>1140</v>
      </c>
      <c r="N4026" s="362">
        <f t="shared" si="139"/>
        <v>16305</v>
      </c>
      <c r="O4026" s="366" t="s">
        <v>52</v>
      </c>
      <c r="X4026" s="459"/>
    </row>
    <row r="4027" s="331" customFormat="1" ht="17" customHeight="1" spans="1:24">
      <c r="A4027" s="550" t="s">
        <v>9918</v>
      </c>
      <c r="B4027" s="348" t="s">
        <v>73</v>
      </c>
      <c r="C4027" s="348" t="s">
        <v>74</v>
      </c>
      <c r="D4027" s="334" t="s">
        <v>717</v>
      </c>
      <c r="E4027" s="336">
        <v>43728</v>
      </c>
      <c r="F4027" s="336">
        <v>43702</v>
      </c>
      <c r="G4027" s="336">
        <v>43728</v>
      </c>
      <c r="H4027" s="334" t="s">
        <v>4289</v>
      </c>
      <c r="I4027" s="444">
        <v>17721451924</v>
      </c>
      <c r="J4027" s="361" t="s">
        <v>9919</v>
      </c>
      <c r="K4027" s="452">
        <v>1000</v>
      </c>
      <c r="L4027" s="334">
        <v>17533</v>
      </c>
      <c r="M4027" s="453"/>
      <c r="N4027" s="362">
        <f t="shared" si="139"/>
        <v>17533</v>
      </c>
      <c r="O4027" s="366" t="s">
        <v>52</v>
      </c>
      <c r="X4027" s="459"/>
    </row>
    <row r="4028" s="331" customFormat="1" ht="17" customHeight="1" spans="1:24">
      <c r="A4028" s="550" t="s">
        <v>5129</v>
      </c>
      <c r="B4028" s="348" t="s">
        <v>73</v>
      </c>
      <c r="C4028" s="348" t="s">
        <v>74</v>
      </c>
      <c r="D4028" s="334" t="s">
        <v>717</v>
      </c>
      <c r="E4028" s="336">
        <v>43707</v>
      </c>
      <c r="F4028" s="336">
        <v>43703</v>
      </c>
      <c r="G4028" s="336">
        <v>43706</v>
      </c>
      <c r="H4028" s="334" t="s">
        <v>9920</v>
      </c>
      <c r="I4028" s="444">
        <v>13501636767</v>
      </c>
      <c r="J4028" s="361" t="s">
        <v>9921</v>
      </c>
      <c r="K4028" s="452">
        <v>1000</v>
      </c>
      <c r="L4028" s="334">
        <f>13057-1472</f>
        <v>11585</v>
      </c>
      <c r="M4028" s="334">
        <v>1472</v>
      </c>
      <c r="N4028" s="362">
        <f t="shared" si="139"/>
        <v>13057</v>
      </c>
      <c r="X4028" s="459"/>
    </row>
    <row r="4029" s="331" customFormat="1" ht="17" customHeight="1" spans="1:24">
      <c r="A4029" s="550" t="s">
        <v>5316</v>
      </c>
      <c r="B4029" s="348" t="s">
        <v>73</v>
      </c>
      <c r="C4029" s="348" t="s">
        <v>74</v>
      </c>
      <c r="D4029" s="449" t="s">
        <v>717</v>
      </c>
      <c r="E4029" s="336">
        <v>43704</v>
      </c>
      <c r="F4029" s="336">
        <v>43702</v>
      </c>
      <c r="G4029" s="336">
        <v>43704</v>
      </c>
      <c r="H4029" s="334" t="s">
        <v>9922</v>
      </c>
      <c r="I4029" s="555" t="s">
        <v>9923</v>
      </c>
      <c r="J4029" s="361" t="s">
        <v>9924</v>
      </c>
      <c r="K4029" s="452">
        <v>1000</v>
      </c>
      <c r="L4029" s="334">
        <f>15334-736</f>
        <v>14598</v>
      </c>
      <c r="M4029" s="334">
        <v>736</v>
      </c>
      <c r="N4029" s="362">
        <f t="shared" si="139"/>
        <v>15334</v>
      </c>
      <c r="X4029" s="459"/>
    </row>
    <row r="4030" s="331" customFormat="1" ht="17" customHeight="1" spans="1:24">
      <c r="A4030" s="550" t="s">
        <v>9925</v>
      </c>
      <c r="B4030" s="348" t="s">
        <v>73</v>
      </c>
      <c r="C4030" s="348" t="s">
        <v>74</v>
      </c>
      <c r="D4030" s="449" t="s">
        <v>717</v>
      </c>
      <c r="E4030" s="336">
        <v>43727</v>
      </c>
      <c r="F4030" s="336">
        <v>43703</v>
      </c>
      <c r="G4030" s="336">
        <v>43725</v>
      </c>
      <c r="H4030" s="334" t="s">
        <v>9926</v>
      </c>
      <c r="I4030" s="444">
        <v>15000636914</v>
      </c>
      <c r="J4030" s="361" t="s">
        <v>9927</v>
      </c>
      <c r="K4030" s="452">
        <v>1000</v>
      </c>
      <c r="L4030" s="334">
        <f>18401-1472</f>
        <v>16929</v>
      </c>
      <c r="M4030" s="334">
        <v>1472</v>
      </c>
      <c r="N4030" s="362">
        <f t="shared" si="139"/>
        <v>18401</v>
      </c>
      <c r="O4030" s="366" t="s">
        <v>52</v>
      </c>
      <c r="X4030" s="459"/>
    </row>
    <row r="4031" s="331" customFormat="1" ht="17" customHeight="1" spans="1:24">
      <c r="A4031" s="550" t="s">
        <v>9928</v>
      </c>
      <c r="B4031" s="348" t="s">
        <v>31</v>
      </c>
      <c r="C4031" s="348" t="s">
        <v>251</v>
      </c>
      <c r="D4031" s="334" t="s">
        <v>954</v>
      </c>
      <c r="E4031" s="336">
        <v>43707</v>
      </c>
      <c r="F4031" s="336">
        <v>43703</v>
      </c>
      <c r="G4031" s="336">
        <v>43707</v>
      </c>
      <c r="H4031" s="334" t="s">
        <v>9929</v>
      </c>
      <c r="I4031" s="444">
        <v>18616639818</v>
      </c>
      <c r="J4031" s="361" t="s">
        <v>9930</v>
      </c>
      <c r="K4031" s="452">
        <v>1998</v>
      </c>
      <c r="L4031" s="334">
        <v>5804</v>
      </c>
      <c r="M4031" s="453"/>
      <c r="N4031" s="362">
        <f t="shared" si="139"/>
        <v>5804</v>
      </c>
      <c r="X4031" s="459"/>
    </row>
    <row r="4032" s="331" customFormat="1" ht="17" customHeight="1" spans="1:24">
      <c r="A4032" s="550" t="s">
        <v>9931</v>
      </c>
      <c r="B4032" s="348" t="s">
        <v>31</v>
      </c>
      <c r="C4032" s="348" t="s">
        <v>251</v>
      </c>
      <c r="D4032" s="334" t="s">
        <v>221</v>
      </c>
      <c r="E4032" s="336">
        <v>43719</v>
      </c>
      <c r="F4032" s="336">
        <v>43703</v>
      </c>
      <c r="G4032" s="336">
        <v>43719</v>
      </c>
      <c r="H4032" s="334" t="s">
        <v>9932</v>
      </c>
      <c r="I4032" s="444">
        <v>18601679788</v>
      </c>
      <c r="J4032" s="361" t="s">
        <v>9933</v>
      </c>
      <c r="K4032" s="452">
        <v>1000</v>
      </c>
      <c r="L4032" s="334">
        <f>5461-736</f>
        <v>4725</v>
      </c>
      <c r="M4032" s="334">
        <v>736</v>
      </c>
      <c r="N4032" s="362">
        <f t="shared" si="139"/>
        <v>5461</v>
      </c>
      <c r="X4032" s="459"/>
    </row>
    <row r="4033" s="331" customFormat="1" ht="17" customHeight="1" spans="1:24">
      <c r="A4033" s="348">
        <v>2023253</v>
      </c>
      <c r="B4033" s="348" t="s">
        <v>94</v>
      </c>
      <c r="C4033" s="348" t="s">
        <v>3196</v>
      </c>
      <c r="D4033" s="449" t="s">
        <v>49</v>
      </c>
      <c r="E4033" s="336">
        <v>43718</v>
      </c>
      <c r="F4033" s="336">
        <v>43702</v>
      </c>
      <c r="G4033" s="336">
        <v>43718</v>
      </c>
      <c r="H4033" s="334" t="s">
        <v>9934</v>
      </c>
      <c r="I4033" s="444">
        <v>1764216442</v>
      </c>
      <c r="J4033" s="361" t="s">
        <v>9935</v>
      </c>
      <c r="K4033" s="452">
        <v>1000</v>
      </c>
      <c r="L4033" s="334">
        <f>8112-1104</f>
        <v>7008</v>
      </c>
      <c r="M4033" s="334">
        <v>1104</v>
      </c>
      <c r="N4033" s="362">
        <f t="shared" si="139"/>
        <v>8112</v>
      </c>
      <c r="R4033" s="366" t="s">
        <v>52</v>
      </c>
      <c r="X4033" s="459"/>
    </row>
    <row r="4034" s="331" customFormat="1" ht="17" customHeight="1" spans="1:24">
      <c r="A4034" s="550" t="s">
        <v>9936</v>
      </c>
      <c r="B4034" s="348" t="s">
        <v>185</v>
      </c>
      <c r="C4034" s="348" t="s">
        <v>4146</v>
      </c>
      <c r="D4034" s="449" t="s">
        <v>187</v>
      </c>
      <c r="E4034" s="336">
        <v>43707</v>
      </c>
      <c r="F4034" s="336">
        <v>43703</v>
      </c>
      <c r="G4034" s="336">
        <v>43706</v>
      </c>
      <c r="H4034" s="334" t="s">
        <v>9937</v>
      </c>
      <c r="I4034" s="444">
        <v>13917553063</v>
      </c>
      <c r="J4034" s="361" t="s">
        <v>9938</v>
      </c>
      <c r="K4034" s="452">
        <v>10000</v>
      </c>
      <c r="L4034" s="334">
        <v>28676</v>
      </c>
      <c r="M4034" s="453"/>
      <c r="N4034" s="362">
        <f t="shared" si="139"/>
        <v>28676</v>
      </c>
      <c r="X4034" s="459"/>
    </row>
    <row r="4035" s="331" customFormat="1" ht="17" customHeight="1" spans="1:24">
      <c r="A4035" s="550" t="s">
        <v>7692</v>
      </c>
      <c r="B4035" s="348" t="s">
        <v>31</v>
      </c>
      <c r="C4035" s="348" t="s">
        <v>220</v>
      </c>
      <c r="D4035" s="449" t="s">
        <v>221</v>
      </c>
      <c r="E4035" s="336">
        <v>43721</v>
      </c>
      <c r="F4035" s="336">
        <v>43703</v>
      </c>
      <c r="G4035" s="336">
        <v>43720</v>
      </c>
      <c r="H4035" s="334" t="s">
        <v>9939</v>
      </c>
      <c r="I4035" s="444">
        <v>13917273756</v>
      </c>
      <c r="J4035" s="361" t="s">
        <v>9940</v>
      </c>
      <c r="K4035" s="452">
        <v>1000</v>
      </c>
      <c r="L4035" s="334">
        <v>17196</v>
      </c>
      <c r="M4035" s="453"/>
      <c r="N4035" s="362">
        <f t="shared" si="139"/>
        <v>17196</v>
      </c>
      <c r="X4035" s="459"/>
    </row>
    <row r="4036" s="331" customFormat="1" ht="17" customHeight="1" spans="1:24">
      <c r="A4036" s="348"/>
      <c r="B4036" s="348" t="s">
        <v>31</v>
      </c>
      <c r="C4036" s="334" t="s">
        <v>419</v>
      </c>
      <c r="D4036" s="349" t="s">
        <v>33</v>
      </c>
      <c r="E4036" s="336">
        <v>43703</v>
      </c>
      <c r="F4036" s="336"/>
      <c r="G4036" s="336">
        <v>43693</v>
      </c>
      <c r="H4036" s="334" t="s">
        <v>9941</v>
      </c>
      <c r="I4036" s="356">
        <v>13661688861</v>
      </c>
      <c r="J4036" s="361" t="s">
        <v>9942</v>
      </c>
      <c r="K4036" s="334"/>
      <c r="L4036" s="334">
        <v>7500</v>
      </c>
      <c r="M4036" s="453"/>
      <c r="N4036" s="362">
        <f t="shared" si="139"/>
        <v>7500</v>
      </c>
      <c r="X4036" s="459"/>
    </row>
    <row r="4037" s="331" customFormat="1" ht="17" customHeight="1" spans="1:24">
      <c r="A4037" s="348"/>
      <c r="B4037" s="334" t="s">
        <v>335</v>
      </c>
      <c r="C4037" s="334" t="s">
        <v>399</v>
      </c>
      <c r="D4037" s="349" t="s">
        <v>337</v>
      </c>
      <c r="E4037" s="336">
        <v>43703</v>
      </c>
      <c r="F4037" s="336"/>
      <c r="G4037" s="336">
        <v>43702</v>
      </c>
      <c r="H4037" s="334" t="s">
        <v>1318</v>
      </c>
      <c r="I4037" s="334">
        <v>13501622828</v>
      </c>
      <c r="J4037" s="367" t="s">
        <v>9943</v>
      </c>
      <c r="K4037" s="356"/>
      <c r="L4037" s="334">
        <v>13293</v>
      </c>
      <c r="M4037" s="334">
        <v>3936</v>
      </c>
      <c r="N4037" s="362">
        <f t="shared" si="139"/>
        <v>17229</v>
      </c>
      <c r="X4037" s="459"/>
    </row>
    <row r="4038" s="331" customFormat="1" ht="17" customHeight="1" spans="1:24">
      <c r="A4038" s="348"/>
      <c r="B4038" s="334" t="s">
        <v>5336</v>
      </c>
      <c r="C4038" s="334" t="s">
        <v>5336</v>
      </c>
      <c r="D4038" s="349" t="s">
        <v>9944</v>
      </c>
      <c r="E4038" s="336">
        <v>43703</v>
      </c>
      <c r="F4038" s="336"/>
      <c r="G4038" s="336">
        <v>43698</v>
      </c>
      <c r="H4038" s="334" t="s">
        <v>9945</v>
      </c>
      <c r="I4038" s="334">
        <v>13701966685</v>
      </c>
      <c r="J4038" s="367" t="s">
        <v>9946</v>
      </c>
      <c r="K4038" s="356"/>
      <c r="L4038" s="334">
        <v>10028.2</v>
      </c>
      <c r="M4038" s="453"/>
      <c r="N4038" s="362">
        <f t="shared" si="139"/>
        <v>10028.2</v>
      </c>
      <c r="X4038" s="459"/>
    </row>
    <row r="4039" s="331" customFormat="1" ht="17" customHeight="1" spans="1:24">
      <c r="A4039" s="348"/>
      <c r="B4039" s="334" t="s">
        <v>31</v>
      </c>
      <c r="C4039" s="334" t="s">
        <v>32</v>
      </c>
      <c r="D4039" s="349" t="s">
        <v>33</v>
      </c>
      <c r="E4039" s="336">
        <v>43703</v>
      </c>
      <c r="F4039" s="336"/>
      <c r="G4039" s="336">
        <v>43703</v>
      </c>
      <c r="H4039" s="334" t="s">
        <v>3969</v>
      </c>
      <c r="I4039" s="334">
        <v>18621913936</v>
      </c>
      <c r="J4039" s="367" t="s">
        <v>3970</v>
      </c>
      <c r="K4039" s="356"/>
      <c r="L4039" s="334">
        <v>3123</v>
      </c>
      <c r="M4039" s="453"/>
      <c r="N4039" s="362">
        <f t="shared" si="139"/>
        <v>3123</v>
      </c>
      <c r="X4039" s="459"/>
    </row>
    <row r="4040" s="331" customFormat="1" ht="17" customHeight="1" spans="1:24">
      <c r="A4040" s="348"/>
      <c r="B4040" s="334" t="s">
        <v>73</v>
      </c>
      <c r="C4040" s="334" t="s">
        <v>74</v>
      </c>
      <c r="D4040" s="349" t="s">
        <v>75</v>
      </c>
      <c r="E4040" s="336">
        <v>43703</v>
      </c>
      <c r="F4040" s="336"/>
      <c r="G4040" s="336">
        <v>43702</v>
      </c>
      <c r="H4040" s="334" t="s">
        <v>9947</v>
      </c>
      <c r="I4040" s="334">
        <v>13816953082</v>
      </c>
      <c r="J4040" s="367" t="s">
        <v>9948</v>
      </c>
      <c r="K4040" s="356"/>
      <c r="L4040" s="334">
        <v>16560</v>
      </c>
      <c r="M4040" s="334">
        <v>30241</v>
      </c>
      <c r="N4040" s="362">
        <f t="shared" si="139"/>
        <v>46801</v>
      </c>
      <c r="X4040" s="459"/>
    </row>
    <row r="4041" s="331" customFormat="1" ht="17" customHeight="1" spans="1:24">
      <c r="A4041" s="348"/>
      <c r="B4041" s="334" t="s">
        <v>147</v>
      </c>
      <c r="C4041" s="334" t="s">
        <v>148</v>
      </c>
      <c r="D4041" s="349" t="s">
        <v>1170</v>
      </c>
      <c r="E4041" s="336">
        <v>43703</v>
      </c>
      <c r="F4041" s="336"/>
      <c r="G4041" s="336">
        <v>43703</v>
      </c>
      <c r="H4041" s="334" t="s">
        <v>9949</v>
      </c>
      <c r="I4041" s="334">
        <v>18930540297</v>
      </c>
      <c r="J4041" s="367" t="s">
        <v>7103</v>
      </c>
      <c r="K4041" s="356"/>
      <c r="L4041" s="334">
        <f>9650-1104</f>
        <v>8546</v>
      </c>
      <c r="M4041" s="334">
        <v>1104</v>
      </c>
      <c r="N4041" s="362">
        <f t="shared" si="139"/>
        <v>9650</v>
      </c>
      <c r="X4041" s="459"/>
    </row>
    <row r="4042" s="331" customFormat="1" ht="17" customHeight="1" spans="1:24">
      <c r="A4042" s="348"/>
      <c r="B4042" s="334" t="s">
        <v>73</v>
      </c>
      <c r="C4042" s="334" t="s">
        <v>178</v>
      </c>
      <c r="D4042" s="349" t="s">
        <v>343</v>
      </c>
      <c r="E4042" s="336">
        <v>43703</v>
      </c>
      <c r="F4042" s="336"/>
      <c r="G4042" s="336">
        <v>43703</v>
      </c>
      <c r="H4042" s="334" t="s">
        <v>7757</v>
      </c>
      <c r="I4042" s="334">
        <v>13817588090</v>
      </c>
      <c r="J4042" s="367" t="s">
        <v>9950</v>
      </c>
      <c r="K4042" s="356"/>
      <c r="L4042" s="334">
        <v>8267</v>
      </c>
      <c r="M4042" s="453"/>
      <c r="N4042" s="362">
        <f t="shared" si="139"/>
        <v>8267</v>
      </c>
      <c r="X4042" s="459"/>
    </row>
    <row r="4043" s="331" customFormat="1" ht="17" customHeight="1" spans="1:24">
      <c r="A4043" s="348"/>
      <c r="B4043" s="348" t="s">
        <v>169</v>
      </c>
      <c r="C4043" s="348" t="s">
        <v>634</v>
      </c>
      <c r="D4043" s="349" t="s">
        <v>635</v>
      </c>
      <c r="E4043" s="336">
        <v>43703</v>
      </c>
      <c r="F4043" s="336" t="s">
        <v>800</v>
      </c>
      <c r="G4043" s="336">
        <v>43696</v>
      </c>
      <c r="H4043" s="334" t="s">
        <v>5310</v>
      </c>
      <c r="I4043" s="334">
        <v>13524580905</v>
      </c>
      <c r="J4043" s="367" t="s">
        <v>5311</v>
      </c>
      <c r="K4043" s="356"/>
      <c r="L4043" s="453"/>
      <c r="M4043" s="334">
        <v>1002</v>
      </c>
      <c r="N4043" s="362">
        <f t="shared" si="139"/>
        <v>1002</v>
      </c>
      <c r="X4043" s="459"/>
    </row>
    <row r="4044" s="331" customFormat="1" ht="17" customHeight="1" spans="1:24">
      <c r="A4044" s="348"/>
      <c r="B4044" s="334" t="s">
        <v>35</v>
      </c>
      <c r="C4044" s="334" t="s">
        <v>392</v>
      </c>
      <c r="D4044" s="349" t="s">
        <v>187</v>
      </c>
      <c r="E4044" s="336">
        <v>43703</v>
      </c>
      <c r="F4044" s="336" t="s">
        <v>800</v>
      </c>
      <c r="G4044" s="336">
        <v>43700</v>
      </c>
      <c r="H4044" s="334" t="s">
        <v>9951</v>
      </c>
      <c r="I4044" s="334">
        <v>13774222816</v>
      </c>
      <c r="J4044" s="367" t="s">
        <v>9952</v>
      </c>
      <c r="K4044" s="356"/>
      <c r="L4044" s="453"/>
      <c r="M4044" s="334">
        <v>3548</v>
      </c>
      <c r="N4044" s="362">
        <f t="shared" si="139"/>
        <v>3548</v>
      </c>
      <c r="X4044" s="459"/>
    </row>
    <row r="4045" s="331" customFormat="1" ht="17" customHeight="1" spans="1:24">
      <c r="A4045" s="348"/>
      <c r="B4045" s="348" t="s">
        <v>236</v>
      </c>
      <c r="C4045" s="348" t="s">
        <v>195</v>
      </c>
      <c r="D4045" s="352" t="s">
        <v>125</v>
      </c>
      <c r="E4045" s="336">
        <v>43703</v>
      </c>
      <c r="F4045" s="336" t="s">
        <v>800</v>
      </c>
      <c r="G4045" s="336">
        <v>43701</v>
      </c>
      <c r="H4045" s="334" t="s">
        <v>7601</v>
      </c>
      <c r="I4045" s="334">
        <v>13052231632</v>
      </c>
      <c r="J4045" s="367" t="s">
        <v>9953</v>
      </c>
      <c r="K4045" s="356"/>
      <c r="L4045" s="453"/>
      <c r="M4045" s="334">
        <v>240</v>
      </c>
      <c r="N4045" s="362">
        <f t="shared" si="139"/>
        <v>240</v>
      </c>
      <c r="X4045" s="459"/>
    </row>
    <row r="4046" s="331" customFormat="1" ht="17" customHeight="1" spans="1:24">
      <c r="A4046" s="348"/>
      <c r="B4046" s="348" t="s">
        <v>315</v>
      </c>
      <c r="C4046" s="348" t="s">
        <v>722</v>
      </c>
      <c r="D4046" s="349" t="s">
        <v>149</v>
      </c>
      <c r="E4046" s="336">
        <v>43703</v>
      </c>
      <c r="F4046" s="336" t="s">
        <v>800</v>
      </c>
      <c r="G4046" s="336">
        <v>43703</v>
      </c>
      <c r="H4046" s="334" t="s">
        <v>4617</v>
      </c>
      <c r="I4046" s="334">
        <v>18801772225</v>
      </c>
      <c r="J4046" s="367" t="s">
        <v>9954</v>
      </c>
      <c r="K4046" s="356"/>
      <c r="L4046" s="453"/>
      <c r="M4046" s="334">
        <v>1908</v>
      </c>
      <c r="N4046" s="362">
        <f t="shared" si="139"/>
        <v>1908</v>
      </c>
      <c r="X4046" s="459"/>
    </row>
    <row r="4047" s="331" customFormat="1" ht="17" customHeight="1" spans="1:24">
      <c r="A4047" s="348"/>
      <c r="B4047" s="334" t="s">
        <v>73</v>
      </c>
      <c r="C4047" s="334" t="s">
        <v>74</v>
      </c>
      <c r="D4047" s="349" t="s">
        <v>717</v>
      </c>
      <c r="E4047" s="336">
        <v>43703</v>
      </c>
      <c r="F4047" s="336" t="s">
        <v>800</v>
      </c>
      <c r="G4047" s="336">
        <v>43703</v>
      </c>
      <c r="H4047" s="334" t="s">
        <v>9436</v>
      </c>
      <c r="I4047" s="334">
        <v>13812756336</v>
      </c>
      <c r="J4047" s="367" t="s">
        <v>9955</v>
      </c>
      <c r="K4047" s="356"/>
      <c r="L4047" s="453"/>
      <c r="M4047" s="334">
        <v>4999</v>
      </c>
      <c r="N4047" s="362">
        <f t="shared" si="139"/>
        <v>4999</v>
      </c>
      <c r="X4047" s="459"/>
    </row>
    <row r="4048" s="331" customFormat="1" ht="17" customHeight="1" spans="1:24">
      <c r="A4048" s="348"/>
      <c r="B4048" s="334" t="s">
        <v>153</v>
      </c>
      <c r="C4048" s="334" t="s">
        <v>302</v>
      </c>
      <c r="D4048" s="349" t="s">
        <v>33</v>
      </c>
      <c r="E4048" s="336">
        <v>43703</v>
      </c>
      <c r="F4048" s="336" t="s">
        <v>800</v>
      </c>
      <c r="G4048" s="336">
        <v>43699</v>
      </c>
      <c r="H4048" s="334" t="s">
        <v>9956</v>
      </c>
      <c r="I4048" s="334">
        <v>13062890123</v>
      </c>
      <c r="J4048" s="367" t="s">
        <v>9957</v>
      </c>
      <c r="K4048" s="356"/>
      <c r="L4048" s="453"/>
      <c r="M4048" s="334">
        <v>5729</v>
      </c>
      <c r="N4048" s="362">
        <f t="shared" si="139"/>
        <v>5729</v>
      </c>
      <c r="X4048" s="459"/>
    </row>
    <row r="4049" s="331" customFormat="1" ht="17" customHeight="1" spans="1:24">
      <c r="A4049" s="348"/>
      <c r="B4049" s="334" t="s">
        <v>185</v>
      </c>
      <c r="C4049" s="334" t="s">
        <v>1204</v>
      </c>
      <c r="D4049" s="349" t="s">
        <v>44</v>
      </c>
      <c r="E4049" s="336">
        <v>43703</v>
      </c>
      <c r="F4049" s="336" t="s">
        <v>800</v>
      </c>
      <c r="G4049" s="336">
        <v>43699</v>
      </c>
      <c r="H4049" s="334" t="s">
        <v>9375</v>
      </c>
      <c r="I4049" s="334">
        <v>13917216949</v>
      </c>
      <c r="J4049" s="367" t="s">
        <v>9958</v>
      </c>
      <c r="K4049" s="356"/>
      <c r="L4049" s="453"/>
      <c r="M4049" s="334">
        <v>1128</v>
      </c>
      <c r="N4049" s="362">
        <f t="shared" si="139"/>
        <v>1128</v>
      </c>
      <c r="X4049" s="459"/>
    </row>
    <row r="4050" s="331" customFormat="1" ht="17" customHeight="1" spans="1:24">
      <c r="A4050" s="348"/>
      <c r="B4050" s="334" t="s">
        <v>137</v>
      </c>
      <c r="C4050" s="334" t="s">
        <v>406</v>
      </c>
      <c r="D4050" s="349" t="s">
        <v>443</v>
      </c>
      <c r="E4050" s="336">
        <v>43703</v>
      </c>
      <c r="F4050" s="336" t="s">
        <v>800</v>
      </c>
      <c r="G4050" s="336">
        <v>43702</v>
      </c>
      <c r="H4050" s="334" t="s">
        <v>9959</v>
      </c>
      <c r="I4050" s="334">
        <v>13816646845</v>
      </c>
      <c r="J4050" s="367" t="s">
        <v>9960</v>
      </c>
      <c r="K4050" s="356"/>
      <c r="L4050" s="453"/>
      <c r="M4050" s="334">
        <v>4097</v>
      </c>
      <c r="N4050" s="362">
        <f t="shared" si="139"/>
        <v>4097</v>
      </c>
      <c r="X4050" s="459"/>
    </row>
    <row r="4051" s="331" customFormat="1" ht="17" customHeight="1" spans="1:24">
      <c r="A4051" s="348"/>
      <c r="B4051" s="348" t="s">
        <v>153</v>
      </c>
      <c r="C4051" s="348" t="s">
        <v>302</v>
      </c>
      <c r="D4051" s="352" t="s">
        <v>155</v>
      </c>
      <c r="E4051" s="336">
        <v>43703</v>
      </c>
      <c r="F4051" s="336" t="s">
        <v>800</v>
      </c>
      <c r="G4051" s="336">
        <v>43703</v>
      </c>
      <c r="H4051" s="334" t="s">
        <v>6080</v>
      </c>
      <c r="I4051" s="334">
        <v>18021044943</v>
      </c>
      <c r="J4051" s="367" t="s">
        <v>9961</v>
      </c>
      <c r="K4051" s="356"/>
      <c r="L4051" s="453"/>
      <c r="M4051" s="334">
        <v>1619</v>
      </c>
      <c r="N4051" s="362">
        <f t="shared" si="139"/>
        <v>1619</v>
      </c>
      <c r="X4051" s="459"/>
    </row>
    <row r="4052" s="331" customFormat="1" ht="17" customHeight="1" spans="1:24">
      <c r="A4052" s="348"/>
      <c r="B4052" s="334" t="s">
        <v>73</v>
      </c>
      <c r="C4052" s="334" t="s">
        <v>74</v>
      </c>
      <c r="D4052" s="349" t="s">
        <v>132</v>
      </c>
      <c r="E4052" s="336">
        <v>43703</v>
      </c>
      <c r="F4052" s="336" t="s">
        <v>800</v>
      </c>
      <c r="G4052" s="336">
        <v>43702</v>
      </c>
      <c r="H4052" s="334" t="s">
        <v>8703</v>
      </c>
      <c r="I4052" s="334">
        <v>13917090389</v>
      </c>
      <c r="J4052" s="367" t="s">
        <v>9962</v>
      </c>
      <c r="K4052" s="356"/>
      <c r="L4052" s="453"/>
      <c r="M4052" s="334">
        <v>600</v>
      </c>
      <c r="N4052" s="362">
        <f t="shared" si="139"/>
        <v>600</v>
      </c>
      <c r="X4052" s="459"/>
    </row>
    <row r="4053" s="331" customFormat="1" ht="17" customHeight="1" spans="1:24">
      <c r="A4053" s="348"/>
      <c r="B4053" s="334" t="s">
        <v>315</v>
      </c>
      <c r="C4053" s="334" t="s">
        <v>366</v>
      </c>
      <c r="D4053" s="349" t="s">
        <v>132</v>
      </c>
      <c r="E4053" s="336">
        <v>43703</v>
      </c>
      <c r="F4053" s="336" t="s">
        <v>800</v>
      </c>
      <c r="G4053" s="336">
        <v>43696</v>
      </c>
      <c r="H4053" s="334" t="s">
        <v>9963</v>
      </c>
      <c r="I4053" s="334">
        <v>13818068777</v>
      </c>
      <c r="J4053" s="367" t="s">
        <v>9964</v>
      </c>
      <c r="K4053" s="356"/>
      <c r="L4053" s="453"/>
      <c r="M4053" s="334">
        <v>-5664</v>
      </c>
      <c r="N4053" s="362">
        <f t="shared" si="139"/>
        <v>-5664</v>
      </c>
      <c r="X4053" s="459"/>
    </row>
    <row r="4054" s="331" customFormat="1" ht="17" customHeight="1" spans="1:24">
      <c r="A4054" s="348"/>
      <c r="B4054" s="334" t="s">
        <v>5435</v>
      </c>
      <c r="C4054" s="334" t="s">
        <v>115</v>
      </c>
      <c r="D4054" s="349" t="s">
        <v>149</v>
      </c>
      <c r="E4054" s="336">
        <v>43703</v>
      </c>
      <c r="F4054" s="336" t="s">
        <v>800</v>
      </c>
      <c r="G4054" s="336">
        <v>43695</v>
      </c>
      <c r="H4054" s="334" t="s">
        <v>9965</v>
      </c>
      <c r="I4054" s="356">
        <v>13761554464</v>
      </c>
      <c r="J4054" s="361" t="s">
        <v>9966</v>
      </c>
      <c r="K4054" s="356"/>
      <c r="L4054" s="453"/>
      <c r="M4054" s="334">
        <v>-3865</v>
      </c>
      <c r="N4054" s="362">
        <f t="shared" si="139"/>
        <v>-3865</v>
      </c>
      <c r="X4054" s="459"/>
    </row>
    <row r="4055" s="331" customFormat="1" ht="17" customHeight="1" spans="1:24">
      <c r="A4055" s="348"/>
      <c r="B4055" s="348" t="s">
        <v>315</v>
      </c>
      <c r="C4055" s="334" t="s">
        <v>181</v>
      </c>
      <c r="D4055" s="349" t="s">
        <v>162</v>
      </c>
      <c r="E4055" s="336">
        <v>43703</v>
      </c>
      <c r="F4055" s="336" t="s">
        <v>800</v>
      </c>
      <c r="G4055" s="336">
        <v>43703</v>
      </c>
      <c r="H4055" s="334" t="s">
        <v>6255</v>
      </c>
      <c r="I4055" s="334">
        <v>18616203532</v>
      </c>
      <c r="J4055" s="367" t="s">
        <v>9967</v>
      </c>
      <c r="K4055" s="356"/>
      <c r="L4055" s="453"/>
      <c r="M4055" s="334">
        <v>6079</v>
      </c>
      <c r="N4055" s="362">
        <f t="shared" si="139"/>
        <v>6079</v>
      </c>
      <c r="X4055" s="459"/>
    </row>
    <row r="4056" s="330" customFormat="1" ht="17" customHeight="1" spans="1:24">
      <c r="A4056" s="550" t="s">
        <v>9968</v>
      </c>
      <c r="B4056" s="348" t="s">
        <v>236</v>
      </c>
      <c r="C4056" s="450" t="s">
        <v>703</v>
      </c>
      <c r="D4056" s="352" t="s">
        <v>125</v>
      </c>
      <c r="E4056" s="336">
        <v>43745</v>
      </c>
      <c r="F4056" s="336">
        <v>43702</v>
      </c>
      <c r="G4056" s="336">
        <v>43733</v>
      </c>
      <c r="H4056" s="348" t="s">
        <v>9969</v>
      </c>
      <c r="I4056" s="444">
        <v>13636559791</v>
      </c>
      <c r="J4056" s="361" t="s">
        <v>9970</v>
      </c>
      <c r="K4056" s="452">
        <v>3000</v>
      </c>
      <c r="L4056" s="334">
        <v>15649</v>
      </c>
      <c r="M4056" s="338"/>
      <c r="N4056" s="362">
        <f t="shared" ref="N4056:N4086" si="140">L4056+M4056</f>
        <v>15649</v>
      </c>
      <c r="R4056" s="351" t="s">
        <v>5036</v>
      </c>
      <c r="V4056" s="457" t="s">
        <v>5036</v>
      </c>
      <c r="X4056" s="339"/>
    </row>
    <row r="4057" s="330" customFormat="1" ht="15" customHeight="1" spans="1:24">
      <c r="A4057" s="550" t="s">
        <v>9971</v>
      </c>
      <c r="B4057" s="348" t="s">
        <v>58</v>
      </c>
      <c r="C4057" s="348" t="s">
        <v>342</v>
      </c>
      <c r="D4057" s="334" t="s">
        <v>407</v>
      </c>
      <c r="E4057" s="336">
        <v>43737</v>
      </c>
      <c r="F4057" s="336">
        <v>43702</v>
      </c>
      <c r="G4057" s="336">
        <v>43737</v>
      </c>
      <c r="H4057" s="334" t="s">
        <v>9972</v>
      </c>
      <c r="I4057" s="444">
        <v>13681662450</v>
      </c>
      <c r="J4057" s="361" t="s">
        <v>9973</v>
      </c>
      <c r="K4057" s="452">
        <v>1000</v>
      </c>
      <c r="L4057" s="334">
        <v>36000</v>
      </c>
      <c r="M4057" s="338"/>
      <c r="N4057" s="362">
        <f t="shared" si="140"/>
        <v>36000</v>
      </c>
      <c r="P4057" s="366" t="s">
        <v>52</v>
      </c>
      <c r="X4057" s="339"/>
    </row>
    <row r="4058" s="330" customFormat="1" ht="17" customHeight="1" spans="1:24">
      <c r="A4058" s="550" t="s">
        <v>9974</v>
      </c>
      <c r="B4058" s="348" t="s">
        <v>31</v>
      </c>
      <c r="C4058" s="348" t="s">
        <v>2716</v>
      </c>
      <c r="D4058" s="334" t="s">
        <v>221</v>
      </c>
      <c r="E4058" s="336">
        <v>43706</v>
      </c>
      <c r="F4058" s="336">
        <v>43703</v>
      </c>
      <c r="G4058" s="336">
        <v>43705</v>
      </c>
      <c r="H4058" s="334" t="s">
        <v>9975</v>
      </c>
      <c r="I4058" s="444">
        <v>13482152738</v>
      </c>
      <c r="J4058" s="361" t="s">
        <v>9976</v>
      </c>
      <c r="K4058" s="452">
        <v>500</v>
      </c>
      <c r="L4058" s="334">
        <v>15269</v>
      </c>
      <c r="M4058" s="338"/>
      <c r="N4058" s="362">
        <f t="shared" si="140"/>
        <v>15269</v>
      </c>
      <c r="X4058" s="339"/>
    </row>
    <row r="4059" s="330" customFormat="1" ht="15" customHeight="1" spans="1:24">
      <c r="A4059" s="348"/>
      <c r="B4059" s="348" t="s">
        <v>58</v>
      </c>
      <c r="C4059" s="348" t="s">
        <v>347</v>
      </c>
      <c r="D4059" s="335" t="s">
        <v>343</v>
      </c>
      <c r="E4059" s="336">
        <v>43704</v>
      </c>
      <c r="F4059" s="336">
        <v>43701</v>
      </c>
      <c r="G4059" s="463">
        <v>43720</v>
      </c>
      <c r="H4059" s="334" t="s">
        <v>9787</v>
      </c>
      <c r="I4059" s="444">
        <v>18901659398</v>
      </c>
      <c r="J4059" s="361" t="s">
        <v>9788</v>
      </c>
      <c r="K4059" s="452">
        <v>2993</v>
      </c>
      <c r="L4059" s="338"/>
      <c r="M4059" s="338"/>
      <c r="N4059" s="362">
        <f t="shared" si="140"/>
        <v>0</v>
      </c>
      <c r="X4059" s="339"/>
    </row>
    <row r="4060" s="330" customFormat="1" ht="17" customHeight="1" spans="1:24">
      <c r="A4060" s="348"/>
      <c r="B4060" s="348" t="s">
        <v>153</v>
      </c>
      <c r="C4060" s="348" t="s">
        <v>302</v>
      </c>
      <c r="D4060" s="335" t="s">
        <v>155</v>
      </c>
      <c r="E4060" s="336">
        <v>43751</v>
      </c>
      <c r="F4060" s="336">
        <v>43702</v>
      </c>
      <c r="G4060" s="336">
        <v>43751</v>
      </c>
      <c r="H4060" s="334" t="s">
        <v>9977</v>
      </c>
      <c r="I4060" s="444" t="s">
        <v>9978</v>
      </c>
      <c r="J4060" s="361" t="s">
        <v>9979</v>
      </c>
      <c r="K4060" s="452">
        <v>3000</v>
      </c>
      <c r="L4060" s="334">
        <v>17367</v>
      </c>
      <c r="M4060" s="338"/>
      <c r="N4060" s="362">
        <f t="shared" si="140"/>
        <v>17367</v>
      </c>
      <c r="P4060" s="330" t="s">
        <v>1526</v>
      </c>
      <c r="X4060" s="339"/>
    </row>
    <row r="4061" s="330" customFormat="1" ht="17" customHeight="1" spans="1:24">
      <c r="A4061" s="348">
        <v>2068705</v>
      </c>
      <c r="B4061" s="348" t="s">
        <v>137</v>
      </c>
      <c r="C4061" s="348" t="s">
        <v>406</v>
      </c>
      <c r="D4061" s="334" t="s">
        <v>427</v>
      </c>
      <c r="E4061" s="336">
        <v>43705</v>
      </c>
      <c r="F4061" s="336">
        <v>43704</v>
      </c>
      <c r="G4061" s="336">
        <v>43704</v>
      </c>
      <c r="H4061" s="334" t="s">
        <v>9980</v>
      </c>
      <c r="I4061" s="444">
        <v>18616700077</v>
      </c>
      <c r="J4061" s="361" t="s">
        <v>9981</v>
      </c>
      <c r="K4061" s="452">
        <v>1759</v>
      </c>
      <c r="L4061" s="334">
        <v>1759</v>
      </c>
      <c r="M4061" s="338"/>
      <c r="N4061" s="362">
        <f t="shared" si="140"/>
        <v>1759</v>
      </c>
      <c r="X4061" s="339"/>
    </row>
    <row r="4062" s="330" customFormat="1" ht="15" customHeight="1" spans="1:24">
      <c r="A4062" s="550" t="s">
        <v>9982</v>
      </c>
      <c r="B4062" s="348" t="s">
        <v>58</v>
      </c>
      <c r="C4062" s="348" t="s">
        <v>109</v>
      </c>
      <c r="D4062" s="335" t="s">
        <v>110</v>
      </c>
      <c r="E4062" s="336">
        <v>43704</v>
      </c>
      <c r="F4062" s="336">
        <v>43702</v>
      </c>
      <c r="G4062" s="399"/>
      <c r="H4062" s="334" t="s">
        <v>9983</v>
      </c>
      <c r="I4062" s="444">
        <v>1472565636</v>
      </c>
      <c r="J4062" s="361" t="s">
        <v>9984</v>
      </c>
      <c r="K4062" s="452">
        <v>1000</v>
      </c>
      <c r="L4062" s="338"/>
      <c r="M4062" s="338"/>
      <c r="N4062" s="362">
        <f t="shared" si="140"/>
        <v>0</v>
      </c>
      <c r="O4062" s="366" t="s">
        <v>52</v>
      </c>
      <c r="U4062" s="400" t="s">
        <v>9985</v>
      </c>
      <c r="X4062" s="339"/>
    </row>
    <row r="4063" s="330" customFormat="1" ht="17" customHeight="1" spans="1:24">
      <c r="A4063" s="550" t="s">
        <v>6845</v>
      </c>
      <c r="B4063" s="348" t="s">
        <v>66</v>
      </c>
      <c r="C4063" s="348" t="s">
        <v>1749</v>
      </c>
      <c r="D4063" s="334" t="s">
        <v>1436</v>
      </c>
      <c r="E4063" s="336">
        <v>43754</v>
      </c>
      <c r="F4063" s="336">
        <v>43703</v>
      </c>
      <c r="G4063" s="336">
        <v>43753</v>
      </c>
      <c r="H4063" s="334" t="s">
        <v>9986</v>
      </c>
      <c r="I4063" s="444">
        <v>18930508759</v>
      </c>
      <c r="J4063" s="361" t="s">
        <v>9987</v>
      </c>
      <c r="K4063" s="452">
        <v>1000</v>
      </c>
      <c r="L4063" s="334">
        <v>4700</v>
      </c>
      <c r="M4063" s="338"/>
      <c r="N4063" s="362">
        <f t="shared" si="140"/>
        <v>4700</v>
      </c>
      <c r="R4063" s="467" t="s">
        <v>52</v>
      </c>
      <c r="X4063" s="339"/>
    </row>
    <row r="4064" s="330" customFormat="1" ht="15" customHeight="1" spans="1:24">
      <c r="A4064" s="550" t="s">
        <v>9988</v>
      </c>
      <c r="B4064" s="348" t="s">
        <v>58</v>
      </c>
      <c r="C4064" s="348" t="s">
        <v>347</v>
      </c>
      <c r="D4064" s="335" t="s">
        <v>343</v>
      </c>
      <c r="E4064" s="336">
        <v>43738</v>
      </c>
      <c r="F4064" s="336">
        <v>43704</v>
      </c>
      <c r="G4064" s="336">
        <v>43738</v>
      </c>
      <c r="H4064" s="334" t="s">
        <v>9989</v>
      </c>
      <c r="I4064" s="444">
        <v>13585590097</v>
      </c>
      <c r="J4064" s="361" t="s">
        <v>9990</v>
      </c>
      <c r="K4064" s="452">
        <v>1000</v>
      </c>
      <c r="L4064" s="334">
        <v>6000</v>
      </c>
      <c r="M4064" s="338"/>
      <c r="N4064" s="362">
        <f t="shared" si="140"/>
        <v>6000</v>
      </c>
      <c r="P4064" s="366" t="s">
        <v>52</v>
      </c>
      <c r="X4064" s="339"/>
    </row>
    <row r="4065" s="330" customFormat="1" ht="15" customHeight="1" spans="1:24">
      <c r="A4065" s="550" t="s">
        <v>9991</v>
      </c>
      <c r="B4065" s="348" t="s">
        <v>58</v>
      </c>
      <c r="C4065" s="348" t="s">
        <v>347</v>
      </c>
      <c r="D4065" s="335" t="s">
        <v>343</v>
      </c>
      <c r="E4065" s="336">
        <v>43722</v>
      </c>
      <c r="F4065" s="336">
        <v>43704</v>
      </c>
      <c r="G4065" s="336">
        <v>43721</v>
      </c>
      <c r="H4065" s="334" t="s">
        <v>9992</v>
      </c>
      <c r="I4065" s="444">
        <v>1052466594</v>
      </c>
      <c r="J4065" s="361" t="s">
        <v>9993</v>
      </c>
      <c r="K4065" s="452">
        <v>2000</v>
      </c>
      <c r="L4065" s="334">
        <f>11572-1072</f>
        <v>10500</v>
      </c>
      <c r="M4065" s="334">
        <v>1072</v>
      </c>
      <c r="N4065" s="362">
        <f t="shared" si="140"/>
        <v>11572</v>
      </c>
      <c r="P4065" s="366" t="s">
        <v>52</v>
      </c>
      <c r="X4065" s="339"/>
    </row>
    <row r="4066" s="330" customFormat="1" ht="17" customHeight="1" spans="1:24">
      <c r="A4066" s="348"/>
      <c r="B4066" s="348" t="s">
        <v>137</v>
      </c>
      <c r="C4066" s="348" t="s">
        <v>411</v>
      </c>
      <c r="D4066" s="335" t="s">
        <v>427</v>
      </c>
      <c r="E4066" s="336">
        <v>43704</v>
      </c>
      <c r="F4066" s="336">
        <v>43666</v>
      </c>
      <c r="G4066" s="353" t="s">
        <v>69</v>
      </c>
      <c r="H4066" s="334" t="s">
        <v>4827</v>
      </c>
      <c r="I4066" s="444">
        <v>1945684883</v>
      </c>
      <c r="J4066" s="348" t="s">
        <v>9994</v>
      </c>
      <c r="K4066" s="452">
        <v>9000</v>
      </c>
      <c r="L4066" s="338"/>
      <c r="M4066" s="338"/>
      <c r="N4066" s="362">
        <f t="shared" si="140"/>
        <v>0</v>
      </c>
      <c r="Q4066" s="330">
        <v>1</v>
      </c>
      <c r="X4066" s="339"/>
    </row>
    <row r="4067" s="330" customFormat="1" ht="15" customHeight="1" spans="1:24">
      <c r="A4067" s="550" t="s">
        <v>9995</v>
      </c>
      <c r="B4067" s="348" t="s">
        <v>58</v>
      </c>
      <c r="C4067" s="348" t="s">
        <v>794</v>
      </c>
      <c r="D4067" s="335" t="s">
        <v>110</v>
      </c>
      <c r="E4067" s="336">
        <v>43796</v>
      </c>
      <c r="F4067" s="336">
        <v>43702</v>
      </c>
      <c r="G4067" s="336">
        <v>43795</v>
      </c>
      <c r="H4067" s="334" t="s">
        <v>9996</v>
      </c>
      <c r="I4067" s="444">
        <v>1817145222</v>
      </c>
      <c r="J4067" s="361" t="s">
        <v>9997</v>
      </c>
      <c r="K4067" s="452">
        <v>1000</v>
      </c>
      <c r="L4067" s="334">
        <v>7517</v>
      </c>
      <c r="M4067" s="338"/>
      <c r="N4067" s="362">
        <f t="shared" si="140"/>
        <v>7517</v>
      </c>
      <c r="O4067" s="366"/>
      <c r="Q4067" s="366" t="s">
        <v>52</v>
      </c>
      <c r="X4067" s="339"/>
    </row>
    <row r="4068" s="330" customFormat="1" ht="15" customHeight="1" spans="1:24">
      <c r="A4068" s="550" t="s">
        <v>9998</v>
      </c>
      <c r="B4068" s="334" t="s">
        <v>5336</v>
      </c>
      <c r="C4068" s="334" t="s">
        <v>5336</v>
      </c>
      <c r="D4068" s="334" t="s">
        <v>8334</v>
      </c>
      <c r="E4068" s="336">
        <v>43769</v>
      </c>
      <c r="F4068" s="336">
        <v>43702</v>
      </c>
      <c r="G4068" s="336">
        <v>43769</v>
      </c>
      <c r="H4068" s="334" t="s">
        <v>9999</v>
      </c>
      <c r="I4068" s="444">
        <v>1917437647</v>
      </c>
      <c r="J4068" s="361" t="s">
        <v>10000</v>
      </c>
      <c r="K4068" s="452">
        <v>1000</v>
      </c>
      <c r="L4068" s="334">
        <v>20745</v>
      </c>
      <c r="M4068" s="338"/>
      <c r="N4068" s="362">
        <f t="shared" si="140"/>
        <v>20745</v>
      </c>
      <c r="O4068" s="366" t="s">
        <v>52</v>
      </c>
      <c r="X4068" s="339"/>
    </row>
    <row r="4069" s="330" customFormat="1" ht="17" customHeight="1" spans="1:24">
      <c r="A4069" s="334"/>
      <c r="B4069" s="334" t="s">
        <v>5336</v>
      </c>
      <c r="C4069" s="334" t="s">
        <v>5336</v>
      </c>
      <c r="D4069" s="334" t="s">
        <v>10001</v>
      </c>
      <c r="E4069" s="336">
        <v>43704</v>
      </c>
      <c r="F4069" s="336" t="s">
        <v>800</v>
      </c>
      <c r="G4069" s="336">
        <v>43704</v>
      </c>
      <c r="H4069" s="334" t="s">
        <v>10002</v>
      </c>
      <c r="I4069" s="334">
        <v>13764493608</v>
      </c>
      <c r="J4069" s="367" t="s">
        <v>10003</v>
      </c>
      <c r="K4069" s="337"/>
      <c r="L4069" s="334">
        <v>980</v>
      </c>
      <c r="M4069" s="338"/>
      <c r="N4069" s="362">
        <f t="shared" si="140"/>
        <v>980</v>
      </c>
      <c r="X4069" s="339"/>
    </row>
    <row r="4070" s="330" customFormat="1" ht="17" customHeight="1" spans="1:24">
      <c r="A4070" s="334"/>
      <c r="B4070" s="334" t="s">
        <v>5336</v>
      </c>
      <c r="C4070" s="334" t="s">
        <v>5336</v>
      </c>
      <c r="D4070" s="334" t="s">
        <v>5336</v>
      </c>
      <c r="E4070" s="336">
        <v>43704</v>
      </c>
      <c r="F4070" s="336" t="s">
        <v>800</v>
      </c>
      <c r="G4070" s="336">
        <v>43704</v>
      </c>
      <c r="H4070" s="334" t="s">
        <v>10004</v>
      </c>
      <c r="I4070" s="334">
        <v>15000331565</v>
      </c>
      <c r="J4070" s="367" t="s">
        <v>10005</v>
      </c>
      <c r="K4070" s="337"/>
      <c r="L4070" s="334">
        <v>18894</v>
      </c>
      <c r="M4070" s="338"/>
      <c r="N4070" s="362">
        <f t="shared" si="140"/>
        <v>18894</v>
      </c>
      <c r="X4070" s="339"/>
    </row>
    <row r="4071" s="330" customFormat="1" ht="17" customHeight="1" spans="1:24">
      <c r="A4071" s="334"/>
      <c r="B4071" s="334" t="s">
        <v>5336</v>
      </c>
      <c r="C4071" s="334" t="s">
        <v>5336</v>
      </c>
      <c r="D4071" s="334" t="s">
        <v>5336</v>
      </c>
      <c r="E4071" s="336">
        <v>43704</v>
      </c>
      <c r="F4071" s="336"/>
      <c r="G4071" s="336">
        <v>43704</v>
      </c>
      <c r="H4071" s="334" t="s">
        <v>10006</v>
      </c>
      <c r="I4071" s="334">
        <v>13501811087</v>
      </c>
      <c r="J4071" s="367" t="s">
        <v>10007</v>
      </c>
      <c r="K4071" s="337"/>
      <c r="L4071" s="334">
        <v>19224</v>
      </c>
      <c r="M4071" s="338"/>
      <c r="N4071" s="362">
        <f t="shared" si="140"/>
        <v>19224</v>
      </c>
      <c r="X4071" s="339"/>
    </row>
    <row r="4072" s="330" customFormat="1" ht="17" customHeight="1" spans="1:24">
      <c r="A4072" s="334"/>
      <c r="B4072" s="334" t="s">
        <v>5336</v>
      </c>
      <c r="C4072" s="334" t="s">
        <v>5336</v>
      </c>
      <c r="D4072" s="335" t="s">
        <v>1436</v>
      </c>
      <c r="E4072" s="336">
        <v>43704</v>
      </c>
      <c r="F4072" s="336" t="s">
        <v>800</v>
      </c>
      <c r="G4072" s="336">
        <v>43704</v>
      </c>
      <c r="H4072" s="334" t="s">
        <v>10008</v>
      </c>
      <c r="I4072" s="334">
        <v>13916656436</v>
      </c>
      <c r="J4072" s="367" t="s">
        <v>10009</v>
      </c>
      <c r="K4072" s="337"/>
      <c r="L4072" s="334">
        <v>14129.5</v>
      </c>
      <c r="M4072" s="338"/>
      <c r="N4072" s="362">
        <f t="shared" si="140"/>
        <v>14129.5</v>
      </c>
      <c r="X4072" s="339"/>
    </row>
    <row r="4073" s="330" customFormat="1" ht="17" customHeight="1" spans="1:24">
      <c r="A4073" s="334"/>
      <c r="B4073" s="334" t="s">
        <v>281</v>
      </c>
      <c r="C4073" s="334" t="s">
        <v>517</v>
      </c>
      <c r="D4073" s="334" t="s">
        <v>518</v>
      </c>
      <c r="E4073" s="336">
        <v>43704</v>
      </c>
      <c r="F4073" s="336" t="s">
        <v>800</v>
      </c>
      <c r="G4073" s="336">
        <v>43704</v>
      </c>
      <c r="H4073" s="334" t="s">
        <v>10010</v>
      </c>
      <c r="I4073" s="334">
        <v>1601650201</v>
      </c>
      <c r="J4073" s="367" t="s">
        <v>10011</v>
      </c>
      <c r="K4073" s="337"/>
      <c r="L4073" s="334">
        <v>38726</v>
      </c>
      <c r="M4073" s="338"/>
      <c r="N4073" s="362">
        <f t="shared" si="140"/>
        <v>38726</v>
      </c>
      <c r="X4073" s="339"/>
    </row>
    <row r="4074" s="330" customFormat="1" ht="17" customHeight="1" spans="1:24">
      <c r="A4074" s="334"/>
      <c r="B4074" s="334" t="s">
        <v>31</v>
      </c>
      <c r="C4074" s="334" t="s">
        <v>419</v>
      </c>
      <c r="D4074" s="334" t="s">
        <v>954</v>
      </c>
      <c r="E4074" s="336">
        <v>43704</v>
      </c>
      <c r="F4074" s="336" t="s">
        <v>800</v>
      </c>
      <c r="G4074" s="336">
        <v>43703</v>
      </c>
      <c r="H4074" s="334" t="s">
        <v>10012</v>
      </c>
      <c r="I4074" s="334">
        <v>13681689305</v>
      </c>
      <c r="J4074" s="367" t="s">
        <v>10013</v>
      </c>
      <c r="K4074" s="337"/>
      <c r="L4074" s="334">
        <v>4258</v>
      </c>
      <c r="M4074" s="338"/>
      <c r="N4074" s="362">
        <f t="shared" si="140"/>
        <v>4258</v>
      </c>
      <c r="X4074" s="339"/>
    </row>
    <row r="4075" s="330" customFormat="1" ht="17" customHeight="1" spans="1:24">
      <c r="A4075" s="334"/>
      <c r="B4075" s="336" t="s">
        <v>315</v>
      </c>
      <c r="C4075" s="334" t="s">
        <v>10014</v>
      </c>
      <c r="D4075" s="334" t="s">
        <v>182</v>
      </c>
      <c r="E4075" s="336">
        <v>43704</v>
      </c>
      <c r="F4075" s="336" t="s">
        <v>800</v>
      </c>
      <c r="G4075" s="451">
        <v>43697</v>
      </c>
      <c r="H4075" s="334" t="s">
        <v>10015</v>
      </c>
      <c r="I4075" s="334">
        <v>13818819317</v>
      </c>
      <c r="J4075" s="367" t="s">
        <v>10016</v>
      </c>
      <c r="K4075" s="337"/>
      <c r="L4075" s="338"/>
      <c r="M4075" s="334">
        <v>22847</v>
      </c>
      <c r="N4075" s="362">
        <f t="shared" si="140"/>
        <v>22847</v>
      </c>
      <c r="X4075" s="339"/>
    </row>
    <row r="4076" s="330" customFormat="1" ht="17" customHeight="1" spans="1:24">
      <c r="A4076" s="334"/>
      <c r="B4076" s="348" t="s">
        <v>169</v>
      </c>
      <c r="C4076" s="348" t="s">
        <v>634</v>
      </c>
      <c r="D4076" s="349" t="s">
        <v>635</v>
      </c>
      <c r="E4076" s="336">
        <v>43704</v>
      </c>
      <c r="F4076" s="336" t="s">
        <v>800</v>
      </c>
      <c r="G4076" s="336">
        <v>43703</v>
      </c>
      <c r="H4076" s="334" t="s">
        <v>5196</v>
      </c>
      <c r="I4076" s="334">
        <v>15000218469</v>
      </c>
      <c r="J4076" s="367" t="s">
        <v>5197</v>
      </c>
      <c r="K4076" s="337"/>
      <c r="L4076" s="338"/>
      <c r="M4076" s="334">
        <f>3321</f>
        <v>3321</v>
      </c>
      <c r="N4076" s="362">
        <f t="shared" si="140"/>
        <v>3321</v>
      </c>
      <c r="X4076" s="339"/>
    </row>
    <row r="4077" s="330" customFormat="1" ht="17" customHeight="1" spans="1:24">
      <c r="A4077" s="334"/>
      <c r="B4077" s="334" t="s">
        <v>236</v>
      </c>
      <c r="C4077" s="334" t="s">
        <v>703</v>
      </c>
      <c r="D4077" s="335" t="s">
        <v>125</v>
      </c>
      <c r="E4077" s="336">
        <v>43704</v>
      </c>
      <c r="F4077" s="336" t="s">
        <v>800</v>
      </c>
      <c r="G4077" s="336">
        <v>43701</v>
      </c>
      <c r="H4077" s="334" t="s">
        <v>10017</v>
      </c>
      <c r="I4077" s="334">
        <v>13127777512</v>
      </c>
      <c r="J4077" s="367" t="s">
        <v>10018</v>
      </c>
      <c r="K4077" s="337"/>
      <c r="L4077" s="338"/>
      <c r="M4077" s="334">
        <v>2229</v>
      </c>
      <c r="N4077" s="362">
        <f t="shared" si="140"/>
        <v>2229</v>
      </c>
      <c r="X4077" s="339"/>
    </row>
    <row r="4078" s="330" customFormat="1" ht="17" customHeight="1" spans="1:24">
      <c r="A4078" s="334"/>
      <c r="B4078" s="348" t="s">
        <v>58</v>
      </c>
      <c r="C4078" s="334" t="s">
        <v>342</v>
      </c>
      <c r="D4078" s="349" t="s">
        <v>343</v>
      </c>
      <c r="E4078" s="336">
        <v>43704</v>
      </c>
      <c r="F4078" s="336" t="s">
        <v>800</v>
      </c>
      <c r="G4078" s="336">
        <v>43695</v>
      </c>
      <c r="H4078" s="334" t="s">
        <v>8909</v>
      </c>
      <c r="I4078" s="356">
        <v>13764163870</v>
      </c>
      <c r="J4078" s="361" t="s">
        <v>8910</v>
      </c>
      <c r="K4078" s="337"/>
      <c r="L4078" s="338"/>
      <c r="M4078" s="334">
        <v>-500</v>
      </c>
      <c r="N4078" s="362">
        <f t="shared" si="140"/>
        <v>-500</v>
      </c>
      <c r="X4078" s="339"/>
    </row>
    <row r="4079" s="330" customFormat="1" ht="17" customHeight="1" spans="1:24">
      <c r="A4079" s="334"/>
      <c r="B4079" s="348" t="s">
        <v>315</v>
      </c>
      <c r="C4079" s="348" t="s">
        <v>722</v>
      </c>
      <c r="D4079" s="334" t="s">
        <v>182</v>
      </c>
      <c r="E4079" s="336">
        <v>43704</v>
      </c>
      <c r="F4079" s="336" t="s">
        <v>800</v>
      </c>
      <c r="G4079" s="336">
        <v>43702</v>
      </c>
      <c r="H4079" s="334" t="s">
        <v>5989</v>
      </c>
      <c r="I4079" s="334">
        <v>18117020802</v>
      </c>
      <c r="J4079" s="367" t="s">
        <v>10019</v>
      </c>
      <c r="K4079" s="337"/>
      <c r="L4079" s="338"/>
      <c r="M4079" s="334">
        <v>15778</v>
      </c>
      <c r="N4079" s="362">
        <f t="shared" si="140"/>
        <v>15778</v>
      </c>
      <c r="X4079" s="339"/>
    </row>
    <row r="4080" s="330" customFormat="1" ht="17" customHeight="1" spans="1:24">
      <c r="A4080" s="334"/>
      <c r="B4080" s="348" t="s">
        <v>35</v>
      </c>
      <c r="C4080" s="348" t="s">
        <v>392</v>
      </c>
      <c r="D4080" s="352" t="s">
        <v>37</v>
      </c>
      <c r="E4080" s="336">
        <v>43704</v>
      </c>
      <c r="F4080" s="336" t="s">
        <v>800</v>
      </c>
      <c r="G4080" s="336">
        <v>43699</v>
      </c>
      <c r="H4080" s="334" t="s">
        <v>1688</v>
      </c>
      <c r="I4080" s="334">
        <v>18621906937</v>
      </c>
      <c r="J4080" s="367" t="s">
        <v>10020</v>
      </c>
      <c r="K4080" s="337"/>
      <c r="L4080" s="338"/>
      <c r="M4080" s="334">
        <v>9782</v>
      </c>
      <c r="N4080" s="362">
        <f t="shared" si="140"/>
        <v>9782</v>
      </c>
      <c r="X4080" s="339"/>
    </row>
    <row r="4081" s="330" customFormat="1" ht="17" customHeight="1" spans="1:24">
      <c r="A4081" s="334"/>
      <c r="B4081" s="348" t="s">
        <v>726</v>
      </c>
      <c r="C4081" s="348" t="s">
        <v>727</v>
      </c>
      <c r="D4081" s="334" t="s">
        <v>271</v>
      </c>
      <c r="E4081" s="336">
        <v>43704</v>
      </c>
      <c r="F4081" s="336" t="s">
        <v>800</v>
      </c>
      <c r="G4081" s="336">
        <v>43704</v>
      </c>
      <c r="H4081" s="334" t="s">
        <v>5708</v>
      </c>
      <c r="I4081" s="334">
        <v>13764078047</v>
      </c>
      <c r="J4081" s="367" t="s">
        <v>5709</v>
      </c>
      <c r="K4081" s="337"/>
      <c r="L4081" s="338"/>
      <c r="M4081" s="334">
        <v>214</v>
      </c>
      <c r="N4081" s="362">
        <f t="shared" si="140"/>
        <v>214</v>
      </c>
      <c r="X4081" s="339"/>
    </row>
    <row r="4082" s="330" customFormat="1" ht="17" customHeight="1" spans="1:24">
      <c r="A4082" s="334"/>
      <c r="B4082" s="334" t="s">
        <v>405</v>
      </c>
      <c r="C4082" s="334" t="s">
        <v>823</v>
      </c>
      <c r="D4082" s="334" t="s">
        <v>407</v>
      </c>
      <c r="E4082" s="336">
        <v>43704</v>
      </c>
      <c r="F4082" s="336" t="s">
        <v>800</v>
      </c>
      <c r="G4082" s="336">
        <v>43704</v>
      </c>
      <c r="H4082" s="334" t="s">
        <v>10021</v>
      </c>
      <c r="I4082" s="334">
        <v>17317244861</v>
      </c>
      <c r="J4082" s="367" t="s">
        <v>10022</v>
      </c>
      <c r="K4082" s="337"/>
      <c r="L4082" s="338"/>
      <c r="M4082" s="334">
        <v>2522</v>
      </c>
      <c r="N4082" s="362">
        <f t="shared" si="140"/>
        <v>2522</v>
      </c>
      <c r="X4082" s="339"/>
    </row>
    <row r="4083" s="330" customFormat="1" ht="17" customHeight="1" spans="1:24">
      <c r="A4083" s="334"/>
      <c r="B4083" s="348" t="s">
        <v>2625</v>
      </c>
      <c r="C4083" s="348" t="s">
        <v>2626</v>
      </c>
      <c r="D4083" s="349" t="s">
        <v>44</v>
      </c>
      <c r="E4083" s="336">
        <v>43704</v>
      </c>
      <c r="F4083" s="336" t="s">
        <v>800</v>
      </c>
      <c r="G4083" s="336">
        <v>43704</v>
      </c>
      <c r="H4083" s="334" t="s">
        <v>3658</v>
      </c>
      <c r="I4083" s="334">
        <v>13381787533</v>
      </c>
      <c r="J4083" s="367" t="s">
        <v>10023</v>
      </c>
      <c r="K4083" s="337"/>
      <c r="L4083" s="338"/>
      <c r="M4083" s="334">
        <v>5380</v>
      </c>
      <c r="N4083" s="362">
        <f t="shared" si="140"/>
        <v>5380</v>
      </c>
      <c r="X4083" s="339"/>
    </row>
    <row r="4084" s="330" customFormat="1" ht="17" customHeight="1" spans="1:24">
      <c r="A4084" s="334"/>
      <c r="B4084" s="348" t="s">
        <v>315</v>
      </c>
      <c r="C4084" s="348" t="s">
        <v>366</v>
      </c>
      <c r="D4084" s="349" t="s">
        <v>132</v>
      </c>
      <c r="E4084" s="336">
        <v>43704</v>
      </c>
      <c r="F4084" s="336" t="s">
        <v>800</v>
      </c>
      <c r="G4084" s="336">
        <v>43704</v>
      </c>
      <c r="H4084" s="334" t="s">
        <v>5610</v>
      </c>
      <c r="I4084" s="334">
        <v>13331959066</v>
      </c>
      <c r="J4084" s="367" t="s">
        <v>10024</v>
      </c>
      <c r="K4084" s="337"/>
      <c r="L4084" s="338"/>
      <c r="M4084" s="334">
        <v>972</v>
      </c>
      <c r="N4084" s="362">
        <f t="shared" si="140"/>
        <v>972</v>
      </c>
      <c r="X4084" s="339"/>
    </row>
    <row r="4085" s="330" customFormat="1" ht="17" customHeight="1" spans="1:24">
      <c r="A4085" s="334"/>
      <c r="B4085" s="348" t="s">
        <v>73</v>
      </c>
      <c r="C4085" s="334" t="s">
        <v>178</v>
      </c>
      <c r="D4085" s="349" t="s">
        <v>132</v>
      </c>
      <c r="E4085" s="336">
        <v>43704</v>
      </c>
      <c r="F4085" s="336" t="s">
        <v>800</v>
      </c>
      <c r="G4085" s="336">
        <v>43703</v>
      </c>
      <c r="H4085" s="334" t="s">
        <v>5681</v>
      </c>
      <c r="I4085" s="334">
        <v>13564356586</v>
      </c>
      <c r="J4085" s="367" t="s">
        <v>10025</v>
      </c>
      <c r="K4085" s="337"/>
      <c r="L4085" s="338"/>
      <c r="M4085" s="334">
        <v>1880</v>
      </c>
      <c r="N4085" s="362">
        <f t="shared" si="140"/>
        <v>1880</v>
      </c>
      <c r="X4085" s="339"/>
    </row>
    <row r="4086" s="330" customFormat="1" ht="17" customHeight="1" spans="1:24">
      <c r="A4086" s="445">
        <v>2066246</v>
      </c>
      <c r="B4086" s="445" t="s">
        <v>94</v>
      </c>
      <c r="C4086" s="445" t="s">
        <v>101</v>
      </c>
      <c r="D4086" s="335" t="s">
        <v>49</v>
      </c>
      <c r="E4086" s="336">
        <v>43705</v>
      </c>
      <c r="F4086" s="464">
        <v>43695</v>
      </c>
      <c r="G4086" s="353" t="s">
        <v>69</v>
      </c>
      <c r="H4086" s="410" t="s">
        <v>8839</v>
      </c>
      <c r="I4086" s="465">
        <v>15800970009</v>
      </c>
      <c r="J4086" s="446" t="s">
        <v>8840</v>
      </c>
      <c r="K4086" s="466">
        <v>1000</v>
      </c>
      <c r="L4086" s="338"/>
      <c r="M4086" s="338"/>
      <c r="N4086" s="362">
        <f t="shared" si="140"/>
        <v>0</v>
      </c>
      <c r="X4086" s="339"/>
    </row>
    <row r="4087" s="330" customFormat="1" ht="17" customHeight="1" spans="1:24">
      <c r="A4087" s="348"/>
      <c r="B4087" s="348" t="s">
        <v>66</v>
      </c>
      <c r="C4087" s="348" t="s">
        <v>1749</v>
      </c>
      <c r="D4087" s="334" t="s">
        <v>1436</v>
      </c>
      <c r="E4087" s="336">
        <v>43769</v>
      </c>
      <c r="F4087" s="336">
        <v>43704</v>
      </c>
      <c r="G4087" s="336">
        <v>43769</v>
      </c>
      <c r="H4087" s="334" t="s">
        <v>10026</v>
      </c>
      <c r="I4087" s="444">
        <v>13916833346</v>
      </c>
      <c r="J4087" s="361" t="s">
        <v>10027</v>
      </c>
      <c r="K4087" s="452">
        <v>1000</v>
      </c>
      <c r="L4087" s="334">
        <v>10000</v>
      </c>
      <c r="M4087" s="338"/>
      <c r="N4087" s="362">
        <f t="shared" ref="N4087:N4119" si="141">L4087+M4087</f>
        <v>10000</v>
      </c>
      <c r="P4087" s="467" t="s">
        <v>52</v>
      </c>
      <c r="X4087" s="339"/>
    </row>
    <row r="4088" s="330" customFormat="1" ht="17" customHeight="1" spans="1:24">
      <c r="A4088" s="550" t="s">
        <v>10028</v>
      </c>
      <c r="B4088" s="348" t="s">
        <v>73</v>
      </c>
      <c r="C4088" s="348" t="s">
        <v>74</v>
      </c>
      <c r="D4088" s="334" t="s">
        <v>75</v>
      </c>
      <c r="E4088" s="336">
        <v>43717</v>
      </c>
      <c r="F4088" s="336">
        <v>43704</v>
      </c>
      <c r="G4088" s="336">
        <v>43716</v>
      </c>
      <c r="H4088" s="334" t="s">
        <v>10029</v>
      </c>
      <c r="I4088" s="444">
        <v>13564353109</v>
      </c>
      <c r="J4088" s="361" t="s">
        <v>10030</v>
      </c>
      <c r="K4088" s="452">
        <v>1000</v>
      </c>
      <c r="L4088" s="334">
        <v>11797</v>
      </c>
      <c r="M4088" s="338"/>
      <c r="N4088" s="362">
        <f t="shared" si="141"/>
        <v>11797</v>
      </c>
      <c r="R4088" s="366" t="s">
        <v>52</v>
      </c>
      <c r="X4088" s="339"/>
    </row>
    <row r="4089" s="330" customFormat="1" ht="17" customHeight="1" spans="1:24">
      <c r="A4089" s="550" t="s">
        <v>10031</v>
      </c>
      <c r="B4089" s="348" t="s">
        <v>169</v>
      </c>
      <c r="C4089" s="348" t="s">
        <v>634</v>
      </c>
      <c r="D4089" s="335" t="s">
        <v>635</v>
      </c>
      <c r="E4089" s="336">
        <v>43707</v>
      </c>
      <c r="F4089" s="336">
        <v>43702</v>
      </c>
      <c r="G4089" s="336">
        <v>43707</v>
      </c>
      <c r="H4089" s="334" t="s">
        <v>10032</v>
      </c>
      <c r="I4089" s="444">
        <v>13661640406</v>
      </c>
      <c r="J4089" s="361" t="s">
        <v>10033</v>
      </c>
      <c r="K4089" s="452">
        <v>1000</v>
      </c>
      <c r="L4089" s="334">
        <v>8243</v>
      </c>
      <c r="M4089" s="338"/>
      <c r="N4089" s="362">
        <f t="shared" si="141"/>
        <v>8243</v>
      </c>
      <c r="X4089" s="339"/>
    </row>
    <row r="4090" s="330" customFormat="1" ht="17" customHeight="1" spans="1:24">
      <c r="A4090" s="550" t="s">
        <v>8595</v>
      </c>
      <c r="B4090" s="348" t="s">
        <v>169</v>
      </c>
      <c r="C4090" s="348" t="s">
        <v>634</v>
      </c>
      <c r="D4090" s="335" t="s">
        <v>635</v>
      </c>
      <c r="E4090" s="336">
        <v>43738</v>
      </c>
      <c r="F4090" s="336">
        <v>43701</v>
      </c>
      <c r="G4090" s="336">
        <v>43738</v>
      </c>
      <c r="H4090" s="334" t="s">
        <v>10034</v>
      </c>
      <c r="I4090" s="444">
        <v>13701682335</v>
      </c>
      <c r="J4090" s="361" t="s">
        <v>10035</v>
      </c>
      <c r="K4090" s="452">
        <v>1000</v>
      </c>
      <c r="L4090" s="334">
        <f>10000-1472</f>
        <v>8528</v>
      </c>
      <c r="M4090" s="334">
        <v>1472</v>
      </c>
      <c r="N4090" s="362">
        <f t="shared" si="141"/>
        <v>10000</v>
      </c>
      <c r="X4090" s="339"/>
    </row>
    <row r="4091" s="330" customFormat="1" ht="17" customHeight="1" spans="1:24">
      <c r="A4091" s="450"/>
      <c r="B4091" s="348" t="s">
        <v>31</v>
      </c>
      <c r="C4091" s="348" t="s">
        <v>2716</v>
      </c>
      <c r="D4091" s="334" t="s">
        <v>221</v>
      </c>
      <c r="E4091" s="336">
        <v>43706</v>
      </c>
      <c r="F4091" s="336">
        <v>43704</v>
      </c>
      <c r="G4091" s="336">
        <v>43701</v>
      </c>
      <c r="H4091" s="334" t="s">
        <v>10036</v>
      </c>
      <c r="I4091" s="444">
        <v>18101928927</v>
      </c>
      <c r="J4091" s="361" t="s">
        <v>10037</v>
      </c>
      <c r="K4091" s="452">
        <v>1000</v>
      </c>
      <c r="L4091" s="334">
        <v>4024</v>
      </c>
      <c r="M4091" s="338"/>
      <c r="N4091" s="362">
        <f t="shared" si="141"/>
        <v>4024</v>
      </c>
      <c r="X4091" s="339"/>
    </row>
    <row r="4092" s="330" customFormat="1" ht="17" customHeight="1" spans="1:24">
      <c r="A4092" s="550" t="s">
        <v>10038</v>
      </c>
      <c r="B4092" s="348" t="s">
        <v>169</v>
      </c>
      <c r="C4092" s="334" t="s">
        <v>542</v>
      </c>
      <c r="D4092" s="335" t="s">
        <v>171</v>
      </c>
      <c r="E4092" s="336">
        <v>43734</v>
      </c>
      <c r="F4092" s="336">
        <v>43702</v>
      </c>
      <c r="G4092" s="336">
        <v>43733</v>
      </c>
      <c r="H4092" s="334" t="s">
        <v>10039</v>
      </c>
      <c r="I4092" s="444">
        <v>1801350268</v>
      </c>
      <c r="J4092" s="361" t="s">
        <v>10040</v>
      </c>
      <c r="K4092" s="452">
        <v>1000</v>
      </c>
      <c r="L4092" s="334">
        <v>22804</v>
      </c>
      <c r="M4092" s="338"/>
      <c r="N4092" s="362">
        <f t="shared" si="141"/>
        <v>22804</v>
      </c>
      <c r="X4092" s="339"/>
    </row>
    <row r="4093" s="330" customFormat="1" ht="17" customHeight="1" spans="1:24">
      <c r="A4093" s="550" t="s">
        <v>10041</v>
      </c>
      <c r="B4093" s="348" t="s">
        <v>281</v>
      </c>
      <c r="C4093" s="348" t="s">
        <v>491</v>
      </c>
      <c r="D4093" s="334" t="s">
        <v>518</v>
      </c>
      <c r="E4093" s="336">
        <v>43769</v>
      </c>
      <c r="F4093" s="336">
        <v>43701</v>
      </c>
      <c r="G4093" s="336">
        <v>43769</v>
      </c>
      <c r="H4093" s="334" t="s">
        <v>10042</v>
      </c>
      <c r="I4093" s="444">
        <v>13801803179</v>
      </c>
      <c r="J4093" s="361" t="s">
        <v>10043</v>
      </c>
      <c r="K4093" s="452">
        <v>1000</v>
      </c>
      <c r="L4093" s="334">
        <v>23677</v>
      </c>
      <c r="M4093" s="338"/>
      <c r="N4093" s="362">
        <f t="shared" si="141"/>
        <v>23677</v>
      </c>
      <c r="X4093" s="339"/>
    </row>
    <row r="4094" s="330" customFormat="1" ht="17" customHeight="1" spans="1:24">
      <c r="A4094" s="550" t="s">
        <v>10044</v>
      </c>
      <c r="B4094" s="348" t="s">
        <v>281</v>
      </c>
      <c r="C4094" s="348" t="s">
        <v>491</v>
      </c>
      <c r="D4094" s="334" t="s">
        <v>518</v>
      </c>
      <c r="E4094" s="336">
        <v>43738</v>
      </c>
      <c r="F4094" s="336">
        <v>43701</v>
      </c>
      <c r="G4094" s="336">
        <v>43738</v>
      </c>
      <c r="H4094" s="334" t="s">
        <v>10045</v>
      </c>
      <c r="I4094" s="444">
        <v>15618946162</v>
      </c>
      <c r="J4094" s="361" t="s">
        <v>10046</v>
      </c>
      <c r="K4094" s="452">
        <v>3000</v>
      </c>
      <c r="L4094" s="334">
        <v>17350</v>
      </c>
      <c r="M4094" s="338"/>
      <c r="N4094" s="362">
        <f t="shared" si="141"/>
        <v>17350</v>
      </c>
      <c r="X4094" s="339"/>
    </row>
    <row r="4095" s="330" customFormat="1" ht="17" customHeight="1" spans="1:24">
      <c r="A4095" s="348"/>
      <c r="B4095" s="348" t="s">
        <v>281</v>
      </c>
      <c r="C4095" s="348" t="s">
        <v>491</v>
      </c>
      <c r="D4095" s="334" t="s">
        <v>518</v>
      </c>
      <c r="E4095" s="336">
        <v>43769</v>
      </c>
      <c r="F4095" s="336">
        <v>43701</v>
      </c>
      <c r="G4095" s="336">
        <v>43769</v>
      </c>
      <c r="H4095" s="334" t="s">
        <v>10047</v>
      </c>
      <c r="I4095" s="444">
        <v>13816396633</v>
      </c>
      <c r="J4095" s="361" t="s">
        <v>10048</v>
      </c>
      <c r="K4095" s="452">
        <v>3000</v>
      </c>
      <c r="L4095" s="334">
        <v>29725</v>
      </c>
      <c r="M4095" s="338"/>
      <c r="N4095" s="362">
        <f t="shared" si="141"/>
        <v>29725</v>
      </c>
      <c r="X4095" s="339"/>
    </row>
    <row r="4096" s="330" customFormat="1" ht="17" customHeight="1" spans="1:24">
      <c r="A4096" s="550" t="s">
        <v>10049</v>
      </c>
      <c r="B4096" s="348" t="s">
        <v>281</v>
      </c>
      <c r="C4096" s="348" t="s">
        <v>491</v>
      </c>
      <c r="D4096" s="335" t="s">
        <v>49</v>
      </c>
      <c r="E4096" s="336">
        <v>43705</v>
      </c>
      <c r="F4096" s="336">
        <v>43701</v>
      </c>
      <c r="G4096" s="399"/>
      <c r="H4096" s="334" t="s">
        <v>10050</v>
      </c>
      <c r="I4096" s="444">
        <v>13671615420</v>
      </c>
      <c r="J4096" s="361" t="s">
        <v>10051</v>
      </c>
      <c r="K4096" s="452">
        <v>3000</v>
      </c>
      <c r="L4096" s="338"/>
      <c r="M4096" s="338"/>
      <c r="N4096" s="362">
        <f t="shared" si="141"/>
        <v>0</v>
      </c>
      <c r="R4096" s="356" t="s">
        <v>52</v>
      </c>
      <c r="X4096" s="339"/>
    </row>
    <row r="4097" s="330" customFormat="1" ht="17" customHeight="1" spans="1:24">
      <c r="A4097" s="348"/>
      <c r="B4097" s="348" t="s">
        <v>31</v>
      </c>
      <c r="C4097" s="348" t="s">
        <v>3186</v>
      </c>
      <c r="D4097" s="335" t="s">
        <v>221</v>
      </c>
      <c r="E4097" s="336">
        <v>43705</v>
      </c>
      <c r="F4097" s="336">
        <v>43673</v>
      </c>
      <c r="G4097" s="399"/>
      <c r="H4097" s="334" t="s">
        <v>3645</v>
      </c>
      <c r="I4097" s="444">
        <v>13817227768</v>
      </c>
      <c r="J4097" s="361" t="s">
        <v>10052</v>
      </c>
      <c r="K4097" s="452">
        <v>1000</v>
      </c>
      <c r="L4097" s="338"/>
      <c r="M4097" s="338"/>
      <c r="N4097" s="362">
        <f t="shared" si="141"/>
        <v>0</v>
      </c>
      <c r="P4097" s="467" t="s">
        <v>52</v>
      </c>
      <c r="X4097" s="339"/>
    </row>
    <row r="4098" s="330" customFormat="1" ht="17" customHeight="1" spans="1:24">
      <c r="A4098" s="348"/>
      <c r="B4098" s="348" t="s">
        <v>137</v>
      </c>
      <c r="C4098" s="348" t="s">
        <v>480</v>
      </c>
      <c r="D4098" s="334" t="s">
        <v>191</v>
      </c>
      <c r="E4098" s="336">
        <v>43707</v>
      </c>
      <c r="F4098" s="336">
        <v>43704</v>
      </c>
      <c r="G4098" s="336">
        <v>43707</v>
      </c>
      <c r="H4098" s="334" t="s">
        <v>10053</v>
      </c>
      <c r="I4098" s="444">
        <v>17717405101</v>
      </c>
      <c r="J4098" s="361" t="s">
        <v>10054</v>
      </c>
      <c r="K4098" s="452">
        <v>1000</v>
      </c>
      <c r="L4098" s="334">
        <f>6996-804</f>
        <v>6192</v>
      </c>
      <c r="M4098" s="334">
        <v>804</v>
      </c>
      <c r="N4098" s="362">
        <f t="shared" si="141"/>
        <v>6996</v>
      </c>
      <c r="X4098" s="339"/>
    </row>
    <row r="4099" s="330" customFormat="1" ht="17" customHeight="1" spans="1:24">
      <c r="A4099" s="550" t="s">
        <v>10055</v>
      </c>
      <c r="B4099" s="348" t="s">
        <v>137</v>
      </c>
      <c r="C4099" s="348" t="s">
        <v>406</v>
      </c>
      <c r="D4099" s="334" t="s">
        <v>427</v>
      </c>
      <c r="E4099" s="336">
        <v>43719</v>
      </c>
      <c r="F4099" s="336">
        <v>43705</v>
      </c>
      <c r="G4099" s="336">
        <v>43718</v>
      </c>
      <c r="H4099" s="334" t="s">
        <v>10056</v>
      </c>
      <c r="I4099" s="444">
        <v>1616575778</v>
      </c>
      <c r="J4099" s="361" t="s">
        <v>10057</v>
      </c>
      <c r="K4099" s="452">
        <v>1000</v>
      </c>
      <c r="L4099" s="334">
        <v>11971</v>
      </c>
      <c r="M4099" s="338"/>
      <c r="N4099" s="362">
        <f t="shared" si="141"/>
        <v>11971</v>
      </c>
      <c r="X4099" s="339"/>
    </row>
    <row r="4100" s="330" customFormat="1" ht="15" customHeight="1" spans="1:24">
      <c r="A4100" s="550" t="s">
        <v>10058</v>
      </c>
      <c r="B4100" s="348" t="s">
        <v>58</v>
      </c>
      <c r="C4100" s="348" t="s">
        <v>109</v>
      </c>
      <c r="D4100" s="335" t="s">
        <v>110</v>
      </c>
      <c r="E4100" s="336">
        <v>43753</v>
      </c>
      <c r="F4100" s="336">
        <v>43705</v>
      </c>
      <c r="G4100" s="336">
        <v>43753</v>
      </c>
      <c r="H4100" s="334" t="s">
        <v>10059</v>
      </c>
      <c r="I4100" s="444">
        <v>18916017600</v>
      </c>
      <c r="J4100" s="361" t="s">
        <v>10060</v>
      </c>
      <c r="K4100" s="452">
        <v>1000</v>
      </c>
      <c r="L4100" s="334">
        <f>12408-1472</f>
        <v>10936</v>
      </c>
      <c r="M4100" s="334">
        <v>1472</v>
      </c>
      <c r="N4100" s="362">
        <f t="shared" si="141"/>
        <v>12408</v>
      </c>
      <c r="O4100" s="366" t="s">
        <v>52</v>
      </c>
      <c r="X4100" s="339"/>
    </row>
    <row r="4101" s="330" customFormat="1" ht="17" customHeight="1" spans="1:24">
      <c r="A4101" s="348"/>
      <c r="B4101" s="348" t="s">
        <v>87</v>
      </c>
      <c r="C4101" s="348" t="s">
        <v>466</v>
      </c>
      <c r="D4101" s="334" t="s">
        <v>89</v>
      </c>
      <c r="E4101" s="336">
        <v>43705</v>
      </c>
      <c r="F4101" s="336">
        <v>43705</v>
      </c>
      <c r="G4101" s="336">
        <v>43705</v>
      </c>
      <c r="H4101" s="334" t="s">
        <v>10061</v>
      </c>
      <c r="I4101" s="444">
        <v>18019686600</v>
      </c>
      <c r="J4101" s="361" t="s">
        <v>10062</v>
      </c>
      <c r="K4101" s="452">
        <v>10356</v>
      </c>
      <c r="L4101" s="334">
        <v>10356</v>
      </c>
      <c r="M4101" s="338"/>
      <c r="N4101" s="362">
        <f t="shared" si="141"/>
        <v>10356</v>
      </c>
      <c r="X4101" s="339"/>
    </row>
    <row r="4102" s="330" customFormat="1" ht="17" customHeight="1" spans="1:24">
      <c r="A4102" s="550" t="s">
        <v>10063</v>
      </c>
      <c r="B4102" s="348" t="s">
        <v>2625</v>
      </c>
      <c r="C4102" s="348" t="s">
        <v>2626</v>
      </c>
      <c r="D4102" s="334" t="s">
        <v>635</v>
      </c>
      <c r="E4102" s="336">
        <v>43705</v>
      </c>
      <c r="F4102" s="336">
        <v>43696</v>
      </c>
      <c r="G4102" s="336">
        <v>43705</v>
      </c>
      <c r="H4102" s="334" t="s">
        <v>10064</v>
      </c>
      <c r="I4102" s="444">
        <v>13564686522</v>
      </c>
      <c r="J4102" s="361" t="s">
        <v>10065</v>
      </c>
      <c r="K4102" s="452">
        <v>1000</v>
      </c>
      <c r="L4102" s="334">
        <f>8573-1520</f>
        <v>7053</v>
      </c>
      <c r="M4102" s="334">
        <v>1520</v>
      </c>
      <c r="N4102" s="362">
        <f t="shared" si="141"/>
        <v>8573</v>
      </c>
      <c r="X4102" s="339"/>
    </row>
    <row r="4103" s="330" customFormat="1" ht="17" customHeight="1" spans="1:24">
      <c r="A4103" s="550" t="s">
        <v>10066</v>
      </c>
      <c r="B4103" s="348" t="s">
        <v>315</v>
      </c>
      <c r="C4103" s="348" t="s">
        <v>366</v>
      </c>
      <c r="D4103" s="334" t="s">
        <v>132</v>
      </c>
      <c r="E4103" s="336">
        <v>43705</v>
      </c>
      <c r="F4103" s="336">
        <v>43705</v>
      </c>
      <c r="G4103" s="336">
        <v>43705</v>
      </c>
      <c r="H4103" s="334" t="s">
        <v>10067</v>
      </c>
      <c r="I4103" s="444">
        <v>15317212389</v>
      </c>
      <c r="J4103" s="361" t="s">
        <v>10068</v>
      </c>
      <c r="K4103" s="452">
        <v>11606</v>
      </c>
      <c r="L4103" s="334">
        <v>11606</v>
      </c>
      <c r="M4103" s="338"/>
      <c r="N4103" s="362">
        <f t="shared" si="141"/>
        <v>11606</v>
      </c>
      <c r="X4103" s="339"/>
    </row>
    <row r="4104" s="330" customFormat="1" ht="17" customHeight="1" spans="1:24">
      <c r="A4104" s="550" t="s">
        <v>8745</v>
      </c>
      <c r="B4104" s="348" t="s">
        <v>315</v>
      </c>
      <c r="C4104" s="348" t="s">
        <v>366</v>
      </c>
      <c r="D4104" s="334" t="s">
        <v>132</v>
      </c>
      <c r="E4104" s="336">
        <v>43705</v>
      </c>
      <c r="F4104" s="336">
        <v>43702</v>
      </c>
      <c r="G4104" s="399">
        <v>43705</v>
      </c>
      <c r="H4104" s="334" t="s">
        <v>10069</v>
      </c>
      <c r="I4104" s="444">
        <v>18817950426</v>
      </c>
      <c r="J4104" s="361" t="s">
        <v>10070</v>
      </c>
      <c r="K4104" s="452">
        <v>3000</v>
      </c>
      <c r="L4104" s="334">
        <v>7515</v>
      </c>
      <c r="M4104" s="338"/>
      <c r="N4104" s="362">
        <f t="shared" si="141"/>
        <v>7515</v>
      </c>
      <c r="X4104" s="339"/>
    </row>
    <row r="4105" s="330" customFormat="1" ht="17" customHeight="1" spans="1:24">
      <c r="A4105" s="334"/>
      <c r="B4105" s="348" t="s">
        <v>805</v>
      </c>
      <c r="C4105" s="348" t="s">
        <v>806</v>
      </c>
      <c r="D4105" s="352" t="s">
        <v>171</v>
      </c>
      <c r="E4105" s="336">
        <v>43705</v>
      </c>
      <c r="F4105" s="336"/>
      <c r="G4105" s="336">
        <v>43702</v>
      </c>
      <c r="H4105" s="334" t="s">
        <v>1428</v>
      </c>
      <c r="I4105" s="356">
        <v>13916658461</v>
      </c>
      <c r="J4105" s="361" t="s">
        <v>1429</v>
      </c>
      <c r="K4105" s="337"/>
      <c r="L4105" s="334">
        <v>12171</v>
      </c>
      <c r="M4105" s="338"/>
      <c r="N4105" s="362">
        <f t="shared" si="141"/>
        <v>12171</v>
      </c>
      <c r="X4105" s="339"/>
    </row>
    <row r="4106" s="330" customFormat="1" ht="17" customHeight="1" spans="1:24">
      <c r="A4106" s="334"/>
      <c r="B4106" s="334" t="s">
        <v>87</v>
      </c>
      <c r="C4106" s="334" t="s">
        <v>466</v>
      </c>
      <c r="D4106" s="334" t="s">
        <v>89</v>
      </c>
      <c r="E4106" s="336">
        <v>43705</v>
      </c>
      <c r="F4106" s="336"/>
      <c r="G4106" s="336">
        <v>43703</v>
      </c>
      <c r="H4106" s="334" t="s">
        <v>10071</v>
      </c>
      <c r="I4106" s="334">
        <v>15121034679</v>
      </c>
      <c r="J4106" s="367" t="s">
        <v>10072</v>
      </c>
      <c r="K4106" s="337"/>
      <c r="L4106" s="334">
        <f>5317-760</f>
        <v>4557</v>
      </c>
      <c r="M4106" s="334">
        <v>760</v>
      </c>
      <c r="N4106" s="362">
        <f t="shared" si="141"/>
        <v>5317</v>
      </c>
      <c r="X4106" s="339"/>
    </row>
    <row r="4107" s="330" customFormat="1" ht="17" customHeight="1" spans="1:24">
      <c r="A4107" s="334"/>
      <c r="B4107" s="334" t="s">
        <v>315</v>
      </c>
      <c r="C4107" s="334" t="s">
        <v>275</v>
      </c>
      <c r="D4107" s="334" t="s">
        <v>149</v>
      </c>
      <c r="E4107" s="336">
        <v>43705</v>
      </c>
      <c r="F4107" s="336"/>
      <c r="G4107" s="336">
        <v>43704</v>
      </c>
      <c r="H4107" s="334" t="s">
        <v>10073</v>
      </c>
      <c r="I4107" s="334">
        <v>13818809561</v>
      </c>
      <c r="J4107" s="367" t="s">
        <v>10074</v>
      </c>
      <c r="K4107" s="337"/>
      <c r="L4107" s="334">
        <v>2661</v>
      </c>
      <c r="M4107" s="338"/>
      <c r="N4107" s="362">
        <f t="shared" si="141"/>
        <v>2661</v>
      </c>
      <c r="X4107" s="339"/>
    </row>
    <row r="4108" s="330" customFormat="1" ht="17" customHeight="1" spans="1:24">
      <c r="A4108" s="334"/>
      <c r="B4108" s="334" t="s">
        <v>31</v>
      </c>
      <c r="C4108" s="334" t="s">
        <v>32</v>
      </c>
      <c r="D4108" s="334" t="s">
        <v>33</v>
      </c>
      <c r="E4108" s="336">
        <v>43705</v>
      </c>
      <c r="F4108" s="336"/>
      <c r="G4108" s="336">
        <v>43704</v>
      </c>
      <c r="H4108" s="334" t="s">
        <v>10075</v>
      </c>
      <c r="I4108" s="334">
        <v>18516235077</v>
      </c>
      <c r="J4108" s="367" t="s">
        <v>10076</v>
      </c>
      <c r="K4108" s="337"/>
      <c r="L4108" s="334">
        <v>9070</v>
      </c>
      <c r="M4108" s="338"/>
      <c r="N4108" s="362">
        <f t="shared" si="141"/>
        <v>9070</v>
      </c>
      <c r="X4108" s="339"/>
    </row>
    <row r="4109" s="330" customFormat="1" ht="17" customHeight="1" spans="1:24">
      <c r="A4109" s="334"/>
      <c r="B4109" s="334" t="s">
        <v>726</v>
      </c>
      <c r="C4109" s="334" t="s">
        <v>727</v>
      </c>
      <c r="D4109" s="334" t="s">
        <v>271</v>
      </c>
      <c r="E4109" s="336">
        <v>43705</v>
      </c>
      <c r="F4109" s="336"/>
      <c r="G4109" s="336">
        <v>43705</v>
      </c>
      <c r="H4109" s="334" t="s">
        <v>10077</v>
      </c>
      <c r="I4109" s="334">
        <v>18105748606</v>
      </c>
      <c r="J4109" s="367" t="s">
        <v>10078</v>
      </c>
      <c r="K4109" s="337"/>
      <c r="L4109" s="334">
        <v>17130</v>
      </c>
      <c r="M4109" s="338"/>
      <c r="N4109" s="362">
        <f t="shared" si="141"/>
        <v>17130</v>
      </c>
      <c r="X4109" s="339"/>
    </row>
    <row r="4110" s="330" customFormat="1" ht="17" customHeight="1" spans="1:24">
      <c r="A4110" s="334"/>
      <c r="B4110" s="348" t="s">
        <v>153</v>
      </c>
      <c r="C4110" s="348" t="s">
        <v>302</v>
      </c>
      <c r="D4110" s="349" t="s">
        <v>155</v>
      </c>
      <c r="E4110" s="336">
        <v>43705</v>
      </c>
      <c r="F4110" s="336" t="s">
        <v>800</v>
      </c>
      <c r="G4110" s="336">
        <v>43685</v>
      </c>
      <c r="H4110" s="334" t="s">
        <v>303</v>
      </c>
      <c r="I4110" s="356">
        <v>13386068820</v>
      </c>
      <c r="J4110" s="361" t="s">
        <v>10079</v>
      </c>
      <c r="K4110" s="337"/>
      <c r="L4110" s="338"/>
      <c r="M4110" s="334">
        <v>18731</v>
      </c>
      <c r="N4110" s="362">
        <f t="shared" si="141"/>
        <v>18731</v>
      </c>
      <c r="X4110" s="339"/>
    </row>
    <row r="4111" s="330" customFormat="1" ht="17" customHeight="1" spans="1:24">
      <c r="A4111" s="334"/>
      <c r="B4111" s="348" t="s">
        <v>58</v>
      </c>
      <c r="C4111" s="348" t="s">
        <v>347</v>
      </c>
      <c r="D4111" s="334" t="s">
        <v>343</v>
      </c>
      <c r="E4111" s="336">
        <v>43705</v>
      </c>
      <c r="F4111" s="336" t="s">
        <v>800</v>
      </c>
      <c r="G4111" s="336">
        <v>43695</v>
      </c>
      <c r="H4111" s="334" t="s">
        <v>4093</v>
      </c>
      <c r="I4111" s="356">
        <v>13003126908</v>
      </c>
      <c r="J4111" s="361" t="s">
        <v>10080</v>
      </c>
      <c r="K4111" s="337"/>
      <c r="L4111" s="338"/>
      <c r="M4111" s="334">
        <v>2160</v>
      </c>
      <c r="N4111" s="362">
        <f t="shared" si="141"/>
        <v>2160</v>
      </c>
      <c r="X4111" s="339"/>
    </row>
    <row r="4112" s="330" customFormat="1" ht="17" customHeight="1" spans="1:24">
      <c r="A4112" s="334"/>
      <c r="B4112" s="348" t="s">
        <v>35</v>
      </c>
      <c r="C4112" s="348" t="s">
        <v>36</v>
      </c>
      <c r="D4112" s="334" t="s">
        <v>37</v>
      </c>
      <c r="E4112" s="336">
        <v>43705</v>
      </c>
      <c r="F4112" s="336" t="s">
        <v>800</v>
      </c>
      <c r="G4112" s="336">
        <v>43695</v>
      </c>
      <c r="H4112" s="334" t="s">
        <v>5253</v>
      </c>
      <c r="I4112" s="356">
        <v>18221575209</v>
      </c>
      <c r="J4112" s="361" t="s">
        <v>10081</v>
      </c>
      <c r="K4112" s="337"/>
      <c r="L4112" s="338"/>
      <c r="M4112" s="334">
        <v>100</v>
      </c>
      <c r="N4112" s="362">
        <f t="shared" si="141"/>
        <v>100</v>
      </c>
      <c r="X4112" s="339"/>
    </row>
    <row r="4113" s="330" customFormat="1" ht="17" customHeight="1" spans="1:24">
      <c r="A4113" s="334"/>
      <c r="B4113" s="348" t="s">
        <v>87</v>
      </c>
      <c r="C4113" s="348" t="s">
        <v>466</v>
      </c>
      <c r="D4113" s="334" t="s">
        <v>89</v>
      </c>
      <c r="E4113" s="336">
        <v>43705</v>
      </c>
      <c r="F4113" s="336" t="s">
        <v>800</v>
      </c>
      <c r="G4113" s="336">
        <v>43705</v>
      </c>
      <c r="H4113" s="334" t="s">
        <v>3486</v>
      </c>
      <c r="I4113" s="334">
        <v>13816699297</v>
      </c>
      <c r="J4113" s="367" t="s">
        <v>10082</v>
      </c>
      <c r="K4113" s="337"/>
      <c r="L4113" s="338"/>
      <c r="M4113" s="334">
        <v>1732</v>
      </c>
      <c r="N4113" s="362">
        <f t="shared" si="141"/>
        <v>1732</v>
      </c>
      <c r="X4113" s="339"/>
    </row>
    <row r="4114" s="330" customFormat="1" ht="17" customHeight="1" spans="1:24">
      <c r="A4114" s="334"/>
      <c r="B4114" s="334" t="s">
        <v>335</v>
      </c>
      <c r="C4114" s="334" t="s">
        <v>399</v>
      </c>
      <c r="D4114" s="334" t="s">
        <v>5695</v>
      </c>
      <c r="E4114" s="336">
        <v>43705</v>
      </c>
      <c r="F4114" s="336" t="s">
        <v>800</v>
      </c>
      <c r="G4114" s="336">
        <v>43705</v>
      </c>
      <c r="H4114" s="334" t="s">
        <v>10083</v>
      </c>
      <c r="I4114" s="334">
        <v>1881761665</v>
      </c>
      <c r="J4114" s="367" t="s">
        <v>10084</v>
      </c>
      <c r="K4114" s="337"/>
      <c r="L4114" s="338"/>
      <c r="M4114" s="334">
        <v>3340</v>
      </c>
      <c r="N4114" s="362">
        <f t="shared" si="141"/>
        <v>3340</v>
      </c>
      <c r="X4114" s="339"/>
    </row>
    <row r="4115" s="330" customFormat="1" ht="17" customHeight="1" spans="1:24">
      <c r="A4115" s="334"/>
      <c r="B4115" s="334" t="s">
        <v>87</v>
      </c>
      <c r="C4115" s="334" t="s">
        <v>466</v>
      </c>
      <c r="D4115" s="334" t="s">
        <v>89</v>
      </c>
      <c r="E4115" s="336">
        <v>43705</v>
      </c>
      <c r="F4115" s="336" t="s">
        <v>800</v>
      </c>
      <c r="G4115" s="336">
        <v>43705</v>
      </c>
      <c r="H4115" s="334" t="s">
        <v>6778</v>
      </c>
      <c r="I4115" s="334">
        <v>18321973779</v>
      </c>
      <c r="J4115" s="367" t="s">
        <v>6779</v>
      </c>
      <c r="K4115" s="337"/>
      <c r="L4115" s="338"/>
      <c r="M4115" s="334">
        <v>410</v>
      </c>
      <c r="N4115" s="362">
        <f t="shared" si="141"/>
        <v>410</v>
      </c>
      <c r="X4115" s="339"/>
    </row>
    <row r="4116" s="330" customFormat="1" ht="17" customHeight="1" spans="1:24">
      <c r="A4116" s="334"/>
      <c r="B4116" s="348" t="s">
        <v>315</v>
      </c>
      <c r="C4116" s="348" t="s">
        <v>275</v>
      </c>
      <c r="D4116" s="334" t="s">
        <v>162</v>
      </c>
      <c r="E4116" s="336">
        <v>43705</v>
      </c>
      <c r="F4116" s="336" t="s">
        <v>800</v>
      </c>
      <c r="G4116" s="336">
        <v>43703</v>
      </c>
      <c r="H4116" s="334" t="s">
        <v>5188</v>
      </c>
      <c r="I4116" s="334">
        <v>13817813571</v>
      </c>
      <c r="J4116" s="367" t="s">
        <v>10085</v>
      </c>
      <c r="K4116" s="337"/>
      <c r="L4116" s="338"/>
      <c r="M4116" s="334">
        <v>2259</v>
      </c>
      <c r="N4116" s="362">
        <f t="shared" si="141"/>
        <v>2259</v>
      </c>
      <c r="X4116" s="339"/>
    </row>
    <row r="4117" s="330" customFormat="1" ht="17" customHeight="1" spans="1:24">
      <c r="A4117" s="334"/>
      <c r="B4117" s="348" t="s">
        <v>137</v>
      </c>
      <c r="C4117" s="334" t="s">
        <v>480</v>
      </c>
      <c r="D4117" s="349" t="s">
        <v>139</v>
      </c>
      <c r="E4117" s="336">
        <v>43705</v>
      </c>
      <c r="F4117" s="336" t="s">
        <v>800</v>
      </c>
      <c r="G4117" s="336">
        <v>43705</v>
      </c>
      <c r="H4117" s="334" t="s">
        <v>1113</v>
      </c>
      <c r="I4117" s="334">
        <v>1821058013</v>
      </c>
      <c r="J4117" s="367" t="s">
        <v>10086</v>
      </c>
      <c r="K4117" s="337"/>
      <c r="L4117" s="338"/>
      <c r="M4117" s="334">
        <f>515+3828</f>
        <v>4343</v>
      </c>
      <c r="N4117" s="362">
        <f t="shared" si="141"/>
        <v>4343</v>
      </c>
      <c r="X4117" s="339"/>
    </row>
    <row r="4118" s="330" customFormat="1" ht="17" customHeight="1" spans="1:24">
      <c r="A4118" s="334"/>
      <c r="B4118" s="334" t="s">
        <v>315</v>
      </c>
      <c r="C4118" s="334" t="s">
        <v>722</v>
      </c>
      <c r="D4118" s="334" t="s">
        <v>182</v>
      </c>
      <c r="E4118" s="336">
        <v>43705</v>
      </c>
      <c r="F4118" s="336" t="s">
        <v>800</v>
      </c>
      <c r="G4118" s="336">
        <v>43705</v>
      </c>
      <c r="H4118" s="334" t="s">
        <v>10087</v>
      </c>
      <c r="I4118" s="334">
        <v>13774373923</v>
      </c>
      <c r="J4118" s="361" t="s">
        <v>10088</v>
      </c>
      <c r="K4118" s="337"/>
      <c r="L4118" s="338"/>
      <c r="M4118" s="334">
        <v>-6508</v>
      </c>
      <c r="N4118" s="362">
        <f t="shared" si="141"/>
        <v>-6508</v>
      </c>
      <c r="X4118" s="339"/>
    </row>
    <row r="4119" s="330" customFormat="1" ht="17" customHeight="1" spans="1:24">
      <c r="A4119" s="334"/>
      <c r="B4119" s="348" t="s">
        <v>87</v>
      </c>
      <c r="C4119" s="348" t="s">
        <v>199</v>
      </c>
      <c r="D4119" s="352" t="s">
        <v>89</v>
      </c>
      <c r="E4119" s="336">
        <v>43705</v>
      </c>
      <c r="F4119" s="336" t="s">
        <v>800</v>
      </c>
      <c r="G4119" s="336">
        <v>43705</v>
      </c>
      <c r="H4119" s="334" t="s">
        <v>8565</v>
      </c>
      <c r="I4119" s="334">
        <v>17717375062</v>
      </c>
      <c r="J4119" s="367" t="s">
        <v>10089</v>
      </c>
      <c r="K4119" s="337"/>
      <c r="L4119" s="338"/>
      <c r="M4119" s="334">
        <v>3789</v>
      </c>
      <c r="N4119" s="362">
        <f t="shared" si="141"/>
        <v>3789</v>
      </c>
      <c r="X4119" s="339"/>
    </row>
    <row r="4120" s="330" customFormat="1" ht="17" customHeight="1" spans="1:24">
      <c r="A4120" s="550" t="s">
        <v>10090</v>
      </c>
      <c r="B4120" s="348" t="s">
        <v>58</v>
      </c>
      <c r="C4120" s="348" t="s">
        <v>109</v>
      </c>
      <c r="D4120" s="335" t="s">
        <v>110</v>
      </c>
      <c r="E4120" s="336">
        <v>43706</v>
      </c>
      <c r="F4120" s="336">
        <v>43706</v>
      </c>
      <c r="G4120" s="399">
        <v>43692</v>
      </c>
      <c r="H4120" s="334" t="s">
        <v>9429</v>
      </c>
      <c r="I4120" s="444">
        <v>13585888561</v>
      </c>
      <c r="J4120" s="361" t="s">
        <v>9430</v>
      </c>
      <c r="K4120" s="452">
        <v>37000</v>
      </c>
      <c r="L4120" s="338"/>
      <c r="M4120" s="338"/>
      <c r="N4120" s="362">
        <f t="shared" ref="N4120:N4163" si="142">L4120+M4120</f>
        <v>0</v>
      </c>
      <c r="X4120" s="339"/>
    </row>
    <row r="4121" s="330" customFormat="1" ht="17" customHeight="1" spans="1:24">
      <c r="A4121" s="550" t="s">
        <v>10091</v>
      </c>
      <c r="B4121" s="348" t="s">
        <v>137</v>
      </c>
      <c r="C4121" s="348" t="s">
        <v>411</v>
      </c>
      <c r="D4121" s="335" t="s">
        <v>427</v>
      </c>
      <c r="E4121" s="336">
        <v>43706</v>
      </c>
      <c r="F4121" s="336">
        <v>43705</v>
      </c>
      <c r="G4121" s="399"/>
      <c r="H4121" s="334" t="s">
        <v>444</v>
      </c>
      <c r="I4121" s="444">
        <v>13951005624</v>
      </c>
      <c r="J4121" s="361" t="s">
        <v>10092</v>
      </c>
      <c r="K4121" s="452">
        <v>1000</v>
      </c>
      <c r="L4121" s="338"/>
      <c r="M4121" s="338"/>
      <c r="N4121" s="362">
        <f t="shared" si="142"/>
        <v>0</v>
      </c>
      <c r="U4121" s="336" t="s">
        <v>40</v>
      </c>
      <c r="X4121" s="339"/>
    </row>
    <row r="4122" s="330" customFormat="1" ht="17" customHeight="1" spans="1:24">
      <c r="A4122" s="550" t="s">
        <v>10093</v>
      </c>
      <c r="B4122" s="348" t="s">
        <v>153</v>
      </c>
      <c r="C4122" s="348" t="s">
        <v>498</v>
      </c>
      <c r="D4122" s="335" t="s">
        <v>155</v>
      </c>
      <c r="E4122" s="336">
        <v>43706</v>
      </c>
      <c r="F4122" s="336">
        <v>43706</v>
      </c>
      <c r="G4122" s="399"/>
      <c r="H4122" s="334" t="s">
        <v>10094</v>
      </c>
      <c r="I4122" s="444">
        <v>13818805381</v>
      </c>
      <c r="J4122" s="361" t="s">
        <v>10095</v>
      </c>
      <c r="K4122" s="452">
        <v>1000</v>
      </c>
      <c r="L4122" s="338"/>
      <c r="M4122" s="338"/>
      <c r="N4122" s="362">
        <f t="shared" si="142"/>
        <v>0</v>
      </c>
      <c r="U4122" s="330" t="s">
        <v>12</v>
      </c>
      <c r="X4122" s="339"/>
    </row>
    <row r="4123" s="330" customFormat="1" ht="17" customHeight="1" spans="1:24">
      <c r="A4123" s="550" t="s">
        <v>9408</v>
      </c>
      <c r="B4123" s="348" t="s">
        <v>73</v>
      </c>
      <c r="C4123" s="348" t="s">
        <v>74</v>
      </c>
      <c r="D4123" s="334" t="s">
        <v>717</v>
      </c>
      <c r="E4123" s="336">
        <v>43782</v>
      </c>
      <c r="F4123" s="336">
        <v>43705</v>
      </c>
      <c r="G4123" s="336">
        <v>43780</v>
      </c>
      <c r="H4123" s="334" t="s">
        <v>10096</v>
      </c>
      <c r="I4123" s="444">
        <v>18917993590</v>
      </c>
      <c r="J4123" s="361" t="s">
        <v>10097</v>
      </c>
      <c r="K4123" s="452">
        <v>1000</v>
      </c>
      <c r="L4123" s="334">
        <v>19766</v>
      </c>
      <c r="M4123" s="338"/>
      <c r="N4123" s="362">
        <f t="shared" si="142"/>
        <v>19766</v>
      </c>
      <c r="P4123" s="366" t="s">
        <v>52</v>
      </c>
      <c r="X4123" s="339"/>
    </row>
    <row r="4124" s="330" customFormat="1" ht="17" customHeight="1" spans="1:24">
      <c r="A4124" s="550" t="s">
        <v>6790</v>
      </c>
      <c r="B4124" s="348" t="s">
        <v>315</v>
      </c>
      <c r="C4124" s="348" t="s">
        <v>366</v>
      </c>
      <c r="D4124" s="335" t="s">
        <v>132</v>
      </c>
      <c r="E4124" s="336">
        <v>43821</v>
      </c>
      <c r="F4124" s="336">
        <v>43702</v>
      </c>
      <c r="G4124" s="336">
        <v>43814</v>
      </c>
      <c r="H4124" s="334" t="s">
        <v>10098</v>
      </c>
      <c r="I4124" s="444">
        <v>13636480243</v>
      </c>
      <c r="J4124" s="361" t="s">
        <v>10099</v>
      </c>
      <c r="K4124" s="452">
        <v>3000</v>
      </c>
      <c r="L4124" s="334">
        <v>4103</v>
      </c>
      <c r="M4124" s="338"/>
      <c r="N4124" s="362">
        <f t="shared" si="142"/>
        <v>4103</v>
      </c>
      <c r="S4124" s="356">
        <v>1</v>
      </c>
      <c r="X4124" s="339"/>
    </row>
    <row r="4125" s="330" customFormat="1" ht="17" customHeight="1" spans="1:24">
      <c r="A4125" s="550" t="s">
        <v>7791</v>
      </c>
      <c r="B4125" s="348" t="s">
        <v>31</v>
      </c>
      <c r="C4125" s="348" t="s">
        <v>220</v>
      </c>
      <c r="D4125" s="334" t="s">
        <v>33</v>
      </c>
      <c r="E4125" s="336">
        <v>43708</v>
      </c>
      <c r="F4125" s="336">
        <v>43706</v>
      </c>
      <c r="G4125" s="336">
        <v>43708</v>
      </c>
      <c r="H4125" s="334" t="s">
        <v>10100</v>
      </c>
      <c r="I4125" s="444">
        <v>18616890505</v>
      </c>
      <c r="J4125" s="361" t="s">
        <v>10101</v>
      </c>
      <c r="K4125" s="452">
        <v>1000</v>
      </c>
      <c r="L4125" s="334">
        <f>7637-1104</f>
        <v>6533</v>
      </c>
      <c r="M4125" s="334">
        <v>1104</v>
      </c>
      <c r="N4125" s="362">
        <f t="shared" si="142"/>
        <v>7637</v>
      </c>
      <c r="X4125" s="339"/>
    </row>
    <row r="4126" s="330" customFormat="1" ht="17" customHeight="1" spans="1:24">
      <c r="A4126" s="348"/>
      <c r="B4126" s="348" t="s">
        <v>31</v>
      </c>
      <c r="C4126" s="348" t="s">
        <v>3186</v>
      </c>
      <c r="D4126" s="334" t="s">
        <v>954</v>
      </c>
      <c r="E4126" s="336">
        <v>43709</v>
      </c>
      <c r="F4126" s="336">
        <v>43706</v>
      </c>
      <c r="G4126" s="336">
        <v>43709</v>
      </c>
      <c r="H4126" s="334" t="s">
        <v>10102</v>
      </c>
      <c r="I4126" s="444">
        <v>18964718095</v>
      </c>
      <c r="J4126" s="361" t="s">
        <v>10103</v>
      </c>
      <c r="K4126" s="452">
        <v>1000</v>
      </c>
      <c r="L4126" s="334">
        <v>5068</v>
      </c>
      <c r="M4126" s="338"/>
      <c r="N4126" s="362">
        <f t="shared" si="142"/>
        <v>5068</v>
      </c>
      <c r="X4126" s="339"/>
    </row>
    <row r="4127" s="330" customFormat="1" ht="17" customHeight="1" spans="1:24">
      <c r="A4127" s="550" t="s">
        <v>8369</v>
      </c>
      <c r="B4127" s="348" t="s">
        <v>315</v>
      </c>
      <c r="C4127" s="348" t="s">
        <v>161</v>
      </c>
      <c r="D4127" s="335" t="s">
        <v>162</v>
      </c>
      <c r="E4127" s="336">
        <v>43751</v>
      </c>
      <c r="F4127" s="336">
        <v>43706</v>
      </c>
      <c r="G4127" s="336">
        <v>43750</v>
      </c>
      <c r="H4127" s="334" t="s">
        <v>10104</v>
      </c>
      <c r="I4127" s="444">
        <v>15921563539</v>
      </c>
      <c r="J4127" s="361" t="s">
        <v>10105</v>
      </c>
      <c r="K4127" s="452">
        <v>1998</v>
      </c>
      <c r="L4127" s="334">
        <v>4162</v>
      </c>
      <c r="M4127" s="338"/>
      <c r="N4127" s="362">
        <f t="shared" si="142"/>
        <v>4162</v>
      </c>
      <c r="R4127" s="356">
        <v>1</v>
      </c>
      <c r="X4127" s="339"/>
    </row>
    <row r="4128" s="330" customFormat="1" ht="17" customHeight="1" spans="1:24">
      <c r="A4128" s="348"/>
      <c r="B4128" s="348" t="s">
        <v>315</v>
      </c>
      <c r="C4128" s="348" t="s">
        <v>161</v>
      </c>
      <c r="D4128" s="335" t="s">
        <v>162</v>
      </c>
      <c r="E4128" s="336">
        <v>43761</v>
      </c>
      <c r="F4128" s="336">
        <v>43706</v>
      </c>
      <c r="G4128" s="336">
        <v>43761</v>
      </c>
      <c r="H4128" s="334" t="s">
        <v>596</v>
      </c>
      <c r="I4128" s="444">
        <v>18602152018</v>
      </c>
      <c r="J4128" s="361" t="s">
        <v>10106</v>
      </c>
      <c r="K4128" s="452">
        <v>1198</v>
      </c>
      <c r="L4128" s="334">
        <v>13281</v>
      </c>
      <c r="M4128" s="338"/>
      <c r="N4128" s="362">
        <f t="shared" si="142"/>
        <v>13281</v>
      </c>
      <c r="P4128" s="356">
        <v>1</v>
      </c>
      <c r="X4128" s="339"/>
    </row>
    <row r="4129" s="330" customFormat="1" ht="17" customHeight="1" spans="1:24">
      <c r="A4129" s="550" t="s">
        <v>10107</v>
      </c>
      <c r="B4129" s="348" t="s">
        <v>315</v>
      </c>
      <c r="C4129" s="348" t="s">
        <v>161</v>
      </c>
      <c r="D4129" s="335" t="s">
        <v>162</v>
      </c>
      <c r="E4129" s="336">
        <v>43708</v>
      </c>
      <c r="F4129" s="336">
        <v>43706</v>
      </c>
      <c r="G4129" s="336">
        <v>43708</v>
      </c>
      <c r="H4129" s="334" t="s">
        <v>10108</v>
      </c>
      <c r="I4129" s="444">
        <v>13788990962</v>
      </c>
      <c r="J4129" s="361" t="s">
        <v>10109</v>
      </c>
      <c r="K4129" s="452">
        <v>1299</v>
      </c>
      <c r="L4129" s="334">
        <v>3764</v>
      </c>
      <c r="M4129" s="338"/>
      <c r="N4129" s="362">
        <f t="shared" si="142"/>
        <v>3764</v>
      </c>
      <c r="X4129" s="339"/>
    </row>
    <row r="4130" s="330" customFormat="1" ht="17" customHeight="1" spans="1:24">
      <c r="A4130" s="348"/>
      <c r="B4130" s="348" t="s">
        <v>66</v>
      </c>
      <c r="C4130" s="348" t="s">
        <v>1749</v>
      </c>
      <c r="D4130" s="335" t="s">
        <v>68</v>
      </c>
      <c r="E4130" s="336">
        <v>43708</v>
      </c>
      <c r="F4130" s="336">
        <v>43706</v>
      </c>
      <c r="G4130" s="336">
        <v>43707</v>
      </c>
      <c r="H4130" s="334" t="s">
        <v>10110</v>
      </c>
      <c r="I4130" s="444">
        <v>18201966219</v>
      </c>
      <c r="J4130" s="361" t="s">
        <v>10111</v>
      </c>
      <c r="K4130" s="452">
        <v>1000</v>
      </c>
      <c r="L4130" s="334">
        <v>4300</v>
      </c>
      <c r="M4130" s="338"/>
      <c r="N4130" s="362">
        <f t="shared" si="142"/>
        <v>4300</v>
      </c>
      <c r="X4130" s="339"/>
    </row>
    <row r="4131" s="330" customFormat="1" ht="17" customHeight="1" spans="1:24">
      <c r="A4131" s="334"/>
      <c r="B4131" s="334" t="s">
        <v>315</v>
      </c>
      <c r="C4131" s="334" t="s">
        <v>181</v>
      </c>
      <c r="D4131" s="334" t="s">
        <v>237</v>
      </c>
      <c r="E4131" s="336">
        <v>43706</v>
      </c>
      <c r="F4131" s="336"/>
      <c r="G4131" s="336">
        <v>43706</v>
      </c>
      <c r="H4131" s="334" t="s">
        <v>10112</v>
      </c>
      <c r="I4131" s="334">
        <v>13817894582</v>
      </c>
      <c r="J4131" s="367" t="s">
        <v>10113</v>
      </c>
      <c r="K4131" s="337"/>
      <c r="L4131" s="334">
        <v>1567</v>
      </c>
      <c r="M4131" s="338"/>
      <c r="N4131" s="362">
        <f t="shared" si="142"/>
        <v>1567</v>
      </c>
      <c r="X4131" s="339"/>
    </row>
    <row r="4132" s="330" customFormat="1" ht="17" customHeight="1" spans="1:24">
      <c r="A4132" s="334"/>
      <c r="B4132" s="334" t="s">
        <v>31</v>
      </c>
      <c r="C4132" s="334" t="s">
        <v>251</v>
      </c>
      <c r="D4132" s="334" t="s">
        <v>33</v>
      </c>
      <c r="E4132" s="336">
        <v>43706</v>
      </c>
      <c r="F4132" s="336"/>
      <c r="G4132" s="336">
        <v>43706</v>
      </c>
      <c r="H4132" s="334" t="s">
        <v>10114</v>
      </c>
      <c r="I4132" s="334">
        <v>13818389921</v>
      </c>
      <c r="J4132" s="367" t="s">
        <v>10115</v>
      </c>
      <c r="K4132" s="337"/>
      <c r="L4132" s="334">
        <v>3100</v>
      </c>
      <c r="M4132" s="338"/>
      <c r="N4132" s="362">
        <f t="shared" si="142"/>
        <v>3100</v>
      </c>
      <c r="X4132" s="339"/>
    </row>
    <row r="4133" s="330" customFormat="1" ht="17" customHeight="1" spans="1:24">
      <c r="A4133" s="334"/>
      <c r="B4133" s="334" t="s">
        <v>153</v>
      </c>
      <c r="C4133" s="334" t="s">
        <v>302</v>
      </c>
      <c r="D4133" s="334" t="s">
        <v>155</v>
      </c>
      <c r="E4133" s="336">
        <v>43706</v>
      </c>
      <c r="F4133" s="336"/>
      <c r="G4133" s="336">
        <v>43705</v>
      </c>
      <c r="H4133" s="334" t="s">
        <v>10116</v>
      </c>
      <c r="I4133" s="334">
        <v>13816129411</v>
      </c>
      <c r="J4133" s="367" t="s">
        <v>10117</v>
      </c>
      <c r="K4133" s="452">
        <v>20216</v>
      </c>
      <c r="L4133" s="334">
        <v>20216</v>
      </c>
      <c r="M4133" s="338"/>
      <c r="N4133" s="362">
        <f t="shared" si="142"/>
        <v>20216</v>
      </c>
      <c r="X4133" s="339"/>
    </row>
    <row r="4134" s="330" customFormat="1" ht="17" customHeight="1" spans="1:24">
      <c r="A4134" s="334"/>
      <c r="B4134" s="334" t="s">
        <v>169</v>
      </c>
      <c r="C4134" s="334" t="s">
        <v>634</v>
      </c>
      <c r="D4134" s="334" t="s">
        <v>171</v>
      </c>
      <c r="E4134" s="336">
        <v>43706</v>
      </c>
      <c r="F4134" s="336" t="s">
        <v>800</v>
      </c>
      <c r="G4134" s="336">
        <v>43706</v>
      </c>
      <c r="H4134" s="334" t="s">
        <v>8259</v>
      </c>
      <c r="I4134" s="334">
        <v>15026486707</v>
      </c>
      <c r="J4134" s="367" t="s">
        <v>10118</v>
      </c>
      <c r="K4134" s="337"/>
      <c r="L4134" s="338"/>
      <c r="M4134" s="334">
        <v>590</v>
      </c>
      <c r="N4134" s="362">
        <f t="shared" si="142"/>
        <v>590</v>
      </c>
      <c r="X4134" s="339"/>
    </row>
    <row r="4135" s="330" customFormat="1" ht="17" customHeight="1" spans="1:24">
      <c r="A4135" s="334"/>
      <c r="B4135" s="334" t="s">
        <v>137</v>
      </c>
      <c r="C4135" s="334" t="s">
        <v>406</v>
      </c>
      <c r="D4135" s="349" t="s">
        <v>139</v>
      </c>
      <c r="E4135" s="336">
        <v>43706</v>
      </c>
      <c r="F4135" s="336" t="s">
        <v>800</v>
      </c>
      <c r="G4135" s="336">
        <v>43703</v>
      </c>
      <c r="H4135" s="334" t="s">
        <v>9765</v>
      </c>
      <c r="I4135" s="334">
        <v>13636386698</v>
      </c>
      <c r="J4135" s="367" t="s">
        <v>9766</v>
      </c>
      <c r="K4135" s="337"/>
      <c r="L4135" s="338"/>
      <c r="M4135" s="334">
        <f>-700-2543</f>
        <v>-3243</v>
      </c>
      <c r="N4135" s="362">
        <f t="shared" si="142"/>
        <v>-3243</v>
      </c>
      <c r="X4135" s="339"/>
    </row>
    <row r="4136" s="330" customFormat="1" ht="17" customHeight="1" spans="1:24">
      <c r="A4136" s="334"/>
      <c r="B4136" s="334" t="s">
        <v>66</v>
      </c>
      <c r="C4136" s="334" t="s">
        <v>67</v>
      </c>
      <c r="D4136" s="334" t="s">
        <v>68</v>
      </c>
      <c r="E4136" s="336">
        <v>43706</v>
      </c>
      <c r="F4136" s="336" t="s">
        <v>800</v>
      </c>
      <c r="G4136" s="336">
        <v>43705</v>
      </c>
      <c r="H4136" s="334" t="s">
        <v>10119</v>
      </c>
      <c r="I4136" s="334">
        <v>18918505307</v>
      </c>
      <c r="J4136" s="367" t="s">
        <v>10120</v>
      </c>
      <c r="K4136" s="337"/>
      <c r="L4136" s="338"/>
      <c r="M4136" s="334">
        <f>-290+1072</f>
        <v>782</v>
      </c>
      <c r="N4136" s="362">
        <f t="shared" si="142"/>
        <v>782</v>
      </c>
      <c r="X4136" s="339"/>
    </row>
    <row r="4137" s="330" customFormat="1" ht="17" customHeight="1" spans="1:24">
      <c r="A4137" s="334"/>
      <c r="B4137" s="334" t="s">
        <v>73</v>
      </c>
      <c r="C4137" s="334" t="s">
        <v>74</v>
      </c>
      <c r="D4137" s="334" t="s">
        <v>1170</v>
      </c>
      <c r="E4137" s="336">
        <v>43706</v>
      </c>
      <c r="F4137" s="336" t="s">
        <v>800</v>
      </c>
      <c r="G4137" s="336">
        <v>43705</v>
      </c>
      <c r="H4137" s="334" t="s">
        <v>1446</v>
      </c>
      <c r="I4137" s="334">
        <v>13917305330</v>
      </c>
      <c r="J4137" s="367" t="s">
        <v>10121</v>
      </c>
      <c r="K4137" s="337"/>
      <c r="L4137" s="338"/>
      <c r="M4137" s="334">
        <v>1291</v>
      </c>
      <c r="N4137" s="362">
        <f t="shared" si="142"/>
        <v>1291</v>
      </c>
      <c r="X4137" s="339"/>
    </row>
    <row r="4138" s="330" customFormat="1" ht="17" customHeight="1" spans="1:24">
      <c r="A4138" s="334"/>
      <c r="B4138" s="348" t="s">
        <v>169</v>
      </c>
      <c r="C4138" s="348" t="s">
        <v>634</v>
      </c>
      <c r="D4138" s="349" t="s">
        <v>635</v>
      </c>
      <c r="E4138" s="336">
        <v>43706</v>
      </c>
      <c r="F4138" s="336" t="s">
        <v>800</v>
      </c>
      <c r="G4138" s="336">
        <v>43705</v>
      </c>
      <c r="H4138" s="334" t="s">
        <v>3705</v>
      </c>
      <c r="I4138" s="334">
        <v>18521420070</v>
      </c>
      <c r="J4138" s="367" t="s">
        <v>10122</v>
      </c>
      <c r="K4138" s="337"/>
      <c r="L4138" s="338"/>
      <c r="M4138" s="334">
        <v>2523</v>
      </c>
      <c r="N4138" s="362">
        <f t="shared" si="142"/>
        <v>2523</v>
      </c>
      <c r="X4138" s="339"/>
    </row>
    <row r="4139" s="330" customFormat="1" ht="17" customHeight="1" spans="1:24">
      <c r="A4139" s="334"/>
      <c r="B4139" s="348" t="s">
        <v>185</v>
      </c>
      <c r="C4139" s="348" t="s">
        <v>1620</v>
      </c>
      <c r="D4139" s="334" t="s">
        <v>44</v>
      </c>
      <c r="E4139" s="336">
        <v>43706</v>
      </c>
      <c r="F4139" s="336" t="s">
        <v>800</v>
      </c>
      <c r="G4139" s="336">
        <v>43706</v>
      </c>
      <c r="H4139" s="334" t="s">
        <v>4552</v>
      </c>
      <c r="I4139" s="334">
        <v>15618943353</v>
      </c>
      <c r="J4139" s="367" t="s">
        <v>10123</v>
      </c>
      <c r="K4139" s="337"/>
      <c r="L4139" s="338"/>
      <c r="M4139" s="334">
        <v>50</v>
      </c>
      <c r="N4139" s="362">
        <f t="shared" si="142"/>
        <v>50</v>
      </c>
      <c r="X4139" s="339"/>
    </row>
    <row r="4140" s="330" customFormat="1" ht="17" customHeight="1" spans="1:24">
      <c r="A4140" s="334"/>
      <c r="B4140" s="334" t="s">
        <v>169</v>
      </c>
      <c r="C4140" s="334" t="s">
        <v>8075</v>
      </c>
      <c r="D4140" s="334" t="s">
        <v>171</v>
      </c>
      <c r="E4140" s="336">
        <v>43706</v>
      </c>
      <c r="F4140" s="336" t="s">
        <v>800</v>
      </c>
      <c r="G4140" s="336">
        <v>43706</v>
      </c>
      <c r="H4140" s="334" t="s">
        <v>10124</v>
      </c>
      <c r="I4140" s="334">
        <v>13818883786</v>
      </c>
      <c r="J4140" s="367" t="s">
        <v>10125</v>
      </c>
      <c r="K4140" s="337"/>
      <c r="L4140" s="338"/>
      <c r="M4140" s="334">
        <v>264</v>
      </c>
      <c r="N4140" s="362">
        <f t="shared" si="142"/>
        <v>264</v>
      </c>
      <c r="X4140" s="339"/>
    </row>
    <row r="4141" s="330" customFormat="1" ht="17" customHeight="1" spans="1:24">
      <c r="A4141" s="334"/>
      <c r="B4141" s="334" t="s">
        <v>185</v>
      </c>
      <c r="C4141" s="334" t="s">
        <v>886</v>
      </c>
      <c r="D4141" s="334" t="s">
        <v>44</v>
      </c>
      <c r="E4141" s="336">
        <v>43706</v>
      </c>
      <c r="F4141" s="336" t="s">
        <v>800</v>
      </c>
      <c r="G4141" s="336">
        <v>43705</v>
      </c>
      <c r="H4141" s="334" t="s">
        <v>10126</v>
      </c>
      <c r="I4141" s="334">
        <v>18601605107</v>
      </c>
      <c r="J4141" s="367" t="s">
        <v>10127</v>
      </c>
      <c r="K4141" s="337"/>
      <c r="L4141" s="338"/>
      <c r="M4141" s="334">
        <v>898</v>
      </c>
      <c r="N4141" s="362">
        <f t="shared" si="142"/>
        <v>898</v>
      </c>
      <c r="X4141" s="339"/>
    </row>
    <row r="4142" s="330" customFormat="1" ht="17" customHeight="1" spans="1:24">
      <c r="A4142" s="334"/>
      <c r="B4142" s="348" t="s">
        <v>31</v>
      </c>
      <c r="C4142" s="348" t="s">
        <v>220</v>
      </c>
      <c r="D4142" s="349" t="s">
        <v>33</v>
      </c>
      <c r="E4142" s="336">
        <v>43706</v>
      </c>
      <c r="F4142" s="336" t="s">
        <v>800</v>
      </c>
      <c r="G4142" s="336">
        <v>43696</v>
      </c>
      <c r="H4142" s="334" t="s">
        <v>6938</v>
      </c>
      <c r="I4142" s="356">
        <v>18616937517</v>
      </c>
      <c r="J4142" s="361" t="s">
        <v>10128</v>
      </c>
      <c r="K4142" s="337"/>
      <c r="L4142" s="338"/>
      <c r="M4142" s="334">
        <v>14999</v>
      </c>
      <c r="N4142" s="362">
        <f t="shared" si="142"/>
        <v>14999</v>
      </c>
      <c r="X4142" s="339"/>
    </row>
    <row r="4143" s="330" customFormat="1" ht="17" customHeight="1" spans="1:24">
      <c r="A4143" s="334"/>
      <c r="B4143" s="348" t="s">
        <v>31</v>
      </c>
      <c r="C4143" s="334" t="s">
        <v>419</v>
      </c>
      <c r="D4143" s="349" t="s">
        <v>187</v>
      </c>
      <c r="E4143" s="336">
        <v>43706</v>
      </c>
      <c r="F4143" s="336" t="s">
        <v>800</v>
      </c>
      <c r="G4143" s="336">
        <v>43694</v>
      </c>
      <c r="H4143" s="334" t="s">
        <v>6927</v>
      </c>
      <c r="I4143" s="356">
        <v>13761224153</v>
      </c>
      <c r="J4143" s="361" t="s">
        <v>6928</v>
      </c>
      <c r="K4143" s="337"/>
      <c r="L4143" s="338"/>
      <c r="M4143" s="334">
        <v>9999</v>
      </c>
      <c r="N4143" s="362">
        <f t="shared" si="142"/>
        <v>9999</v>
      </c>
      <c r="X4143" s="339"/>
    </row>
    <row r="4144" s="330" customFormat="1" ht="17" customHeight="1" spans="1:24">
      <c r="A4144" s="334"/>
      <c r="B4144" s="334" t="s">
        <v>137</v>
      </c>
      <c r="C4144" s="334" t="s">
        <v>406</v>
      </c>
      <c r="D4144" s="334" t="s">
        <v>427</v>
      </c>
      <c r="E4144" s="336">
        <v>43706</v>
      </c>
      <c r="F4144" s="336" t="s">
        <v>800</v>
      </c>
      <c r="G4144" s="336">
        <v>43706</v>
      </c>
      <c r="H4144" s="334" t="s">
        <v>795</v>
      </c>
      <c r="I4144" s="334">
        <v>13621923812</v>
      </c>
      <c r="J4144" s="367" t="s">
        <v>10129</v>
      </c>
      <c r="K4144" s="337"/>
      <c r="L4144" s="338"/>
      <c r="M4144" s="334">
        <v>7091</v>
      </c>
      <c r="N4144" s="362">
        <f t="shared" si="142"/>
        <v>7091</v>
      </c>
      <c r="X4144" s="339"/>
    </row>
    <row r="4145" s="330" customFormat="1" ht="17" customHeight="1" spans="1:24">
      <c r="A4145" s="334"/>
      <c r="B4145" s="348" t="s">
        <v>58</v>
      </c>
      <c r="C4145" s="334" t="s">
        <v>342</v>
      </c>
      <c r="D4145" s="349" t="s">
        <v>343</v>
      </c>
      <c r="E4145" s="336">
        <v>43706</v>
      </c>
      <c r="F4145" s="336" t="s">
        <v>800</v>
      </c>
      <c r="G4145" s="336">
        <v>43704</v>
      </c>
      <c r="H4145" s="334" t="s">
        <v>7896</v>
      </c>
      <c r="I4145" s="356">
        <v>13501813505</v>
      </c>
      <c r="J4145" s="361" t="s">
        <v>7897</v>
      </c>
      <c r="K4145" s="337"/>
      <c r="L4145" s="338"/>
      <c r="M4145" s="334">
        <v>5000</v>
      </c>
      <c r="N4145" s="362">
        <f t="shared" si="142"/>
        <v>5000</v>
      </c>
      <c r="X4145" s="339"/>
    </row>
    <row r="4146" s="330" customFormat="1" ht="17" customHeight="1" spans="1:24">
      <c r="A4146" s="334"/>
      <c r="B4146" s="334" t="s">
        <v>73</v>
      </c>
      <c r="C4146" s="334" t="s">
        <v>74</v>
      </c>
      <c r="D4146" s="334" t="s">
        <v>717</v>
      </c>
      <c r="E4146" s="336">
        <v>43706</v>
      </c>
      <c r="F4146" s="336" t="s">
        <v>800</v>
      </c>
      <c r="G4146" s="336">
        <v>43642</v>
      </c>
      <c r="H4146" s="334" t="s">
        <v>10130</v>
      </c>
      <c r="I4146" s="444">
        <v>13801765928</v>
      </c>
      <c r="J4146" s="361" t="s">
        <v>10131</v>
      </c>
      <c r="K4146" s="337"/>
      <c r="L4146" s="338"/>
      <c r="M4146" s="334">
        <v>474</v>
      </c>
      <c r="N4146" s="362">
        <f t="shared" si="142"/>
        <v>474</v>
      </c>
      <c r="X4146" s="339"/>
    </row>
    <row r="4147" s="330" customFormat="1" ht="17" customHeight="1" spans="1:24">
      <c r="A4147" s="334"/>
      <c r="B4147" s="348" t="s">
        <v>315</v>
      </c>
      <c r="C4147" s="348" t="s">
        <v>181</v>
      </c>
      <c r="D4147" s="349" t="s">
        <v>89</v>
      </c>
      <c r="E4147" s="336">
        <v>43706</v>
      </c>
      <c r="F4147" s="336" t="s">
        <v>800</v>
      </c>
      <c r="G4147" s="336">
        <v>43706</v>
      </c>
      <c r="H4147" s="334" t="s">
        <v>676</v>
      </c>
      <c r="I4147" s="334">
        <v>18917612861</v>
      </c>
      <c r="J4147" s="367" t="s">
        <v>6988</v>
      </c>
      <c r="K4147" s="337"/>
      <c r="L4147" s="334"/>
      <c r="M4147" s="334">
        <v>1456</v>
      </c>
      <c r="N4147" s="362">
        <f t="shared" si="142"/>
        <v>1456</v>
      </c>
      <c r="X4147" s="339"/>
    </row>
    <row r="4148" s="330" customFormat="1" ht="17" customHeight="1" spans="1:24">
      <c r="A4148" s="334"/>
      <c r="B4148" s="348" t="s">
        <v>354</v>
      </c>
      <c r="C4148" s="348" t="s">
        <v>355</v>
      </c>
      <c r="D4148" s="334" t="s">
        <v>162</v>
      </c>
      <c r="E4148" s="336">
        <v>43706</v>
      </c>
      <c r="F4148" s="336" t="s">
        <v>800</v>
      </c>
      <c r="G4148" s="336">
        <v>43706</v>
      </c>
      <c r="H4148" s="334" t="s">
        <v>5976</v>
      </c>
      <c r="I4148" s="334">
        <v>18247183347</v>
      </c>
      <c r="J4148" s="367" t="s">
        <v>10132</v>
      </c>
      <c r="K4148" s="337"/>
      <c r="L4148" s="338"/>
      <c r="M4148" s="334">
        <f>9635-6570</f>
        <v>3065</v>
      </c>
      <c r="N4148" s="362">
        <f t="shared" si="142"/>
        <v>3065</v>
      </c>
      <c r="X4148" s="339"/>
    </row>
    <row r="4149" s="330" customFormat="1" ht="17" customHeight="1" spans="1:24">
      <c r="A4149" s="334"/>
      <c r="B4149" s="334" t="s">
        <v>58</v>
      </c>
      <c r="C4149" s="334" t="s">
        <v>342</v>
      </c>
      <c r="D4149" s="334" t="s">
        <v>75</v>
      </c>
      <c r="E4149" s="336">
        <v>43706</v>
      </c>
      <c r="F4149" s="336" t="s">
        <v>800</v>
      </c>
      <c r="G4149" s="336">
        <v>43706</v>
      </c>
      <c r="H4149" s="334" t="s">
        <v>10133</v>
      </c>
      <c r="I4149" s="334">
        <v>13857775566</v>
      </c>
      <c r="J4149" s="367" t="s">
        <v>9570</v>
      </c>
      <c r="K4149" s="337"/>
      <c r="L4149" s="338"/>
      <c r="M4149" s="334">
        <v>20319</v>
      </c>
      <c r="N4149" s="362">
        <f t="shared" si="142"/>
        <v>20319</v>
      </c>
      <c r="X4149" s="339"/>
    </row>
    <row r="4150" s="330" customFormat="1" ht="17" customHeight="1" spans="1:24">
      <c r="A4150" s="334"/>
      <c r="B4150" s="348" t="s">
        <v>137</v>
      </c>
      <c r="C4150" s="348" t="s">
        <v>138</v>
      </c>
      <c r="D4150" s="334" t="s">
        <v>139</v>
      </c>
      <c r="E4150" s="336">
        <v>43706</v>
      </c>
      <c r="F4150" s="336" t="s">
        <v>800</v>
      </c>
      <c r="G4150" s="336">
        <v>43706</v>
      </c>
      <c r="H4150" s="334" t="s">
        <v>5881</v>
      </c>
      <c r="I4150" s="334">
        <v>13817966563</v>
      </c>
      <c r="J4150" s="367" t="s">
        <v>5882</v>
      </c>
      <c r="K4150" s="337"/>
      <c r="L4150" s="338"/>
      <c r="M4150" s="334">
        <v>484</v>
      </c>
      <c r="N4150" s="362">
        <f t="shared" si="142"/>
        <v>484</v>
      </c>
      <c r="X4150" s="339"/>
    </row>
    <row r="4151" s="330" customFormat="1" ht="17" customHeight="1" spans="1:24">
      <c r="A4151" s="334"/>
      <c r="B4151" s="334" t="s">
        <v>66</v>
      </c>
      <c r="C4151" s="334" t="s">
        <v>1749</v>
      </c>
      <c r="D4151" s="334" t="s">
        <v>68</v>
      </c>
      <c r="E4151" s="336">
        <v>43706</v>
      </c>
      <c r="F4151" s="336" t="s">
        <v>800</v>
      </c>
      <c r="G4151" s="336">
        <v>43706</v>
      </c>
      <c r="H4151" s="334" t="s">
        <v>1750</v>
      </c>
      <c r="I4151" s="334">
        <v>13916558136</v>
      </c>
      <c r="J4151" s="367" t="s">
        <v>10134</v>
      </c>
      <c r="K4151" s="337"/>
      <c r="L4151" s="338"/>
      <c r="M4151" s="334">
        <v>479</v>
      </c>
      <c r="N4151" s="362">
        <f t="shared" si="142"/>
        <v>479</v>
      </c>
      <c r="X4151" s="339"/>
    </row>
    <row r="4152" s="330" customFormat="1" ht="17" customHeight="1" spans="1:24">
      <c r="A4152" s="550" t="s">
        <v>10135</v>
      </c>
      <c r="B4152" s="348" t="s">
        <v>169</v>
      </c>
      <c r="C4152" s="348" t="s">
        <v>542</v>
      </c>
      <c r="D4152" s="352" t="s">
        <v>171</v>
      </c>
      <c r="E4152" s="336">
        <v>43707</v>
      </c>
      <c r="F4152" s="336">
        <v>43695</v>
      </c>
      <c r="G4152" s="399">
        <v>43707</v>
      </c>
      <c r="H4152" s="334" t="s">
        <v>10136</v>
      </c>
      <c r="I4152" s="444">
        <v>13331852009</v>
      </c>
      <c r="J4152" s="361" t="s">
        <v>10137</v>
      </c>
      <c r="K4152" s="452">
        <v>4900</v>
      </c>
      <c r="L4152" s="334">
        <f>4900-536</f>
        <v>4364</v>
      </c>
      <c r="M4152" s="334">
        <v>536</v>
      </c>
      <c r="N4152" s="362">
        <f t="shared" si="142"/>
        <v>4900</v>
      </c>
      <c r="X4152" s="339"/>
    </row>
    <row r="4153" s="330" customFormat="1" ht="17" customHeight="1" spans="1:24">
      <c r="A4153" s="550" t="s">
        <v>10138</v>
      </c>
      <c r="B4153" s="348" t="s">
        <v>315</v>
      </c>
      <c r="C4153" s="348" t="s">
        <v>366</v>
      </c>
      <c r="D4153" s="334" t="s">
        <v>132</v>
      </c>
      <c r="E4153" s="336">
        <v>43708</v>
      </c>
      <c r="F4153" s="336">
        <v>43701</v>
      </c>
      <c r="G4153" s="336">
        <v>43708</v>
      </c>
      <c r="H4153" s="334" t="s">
        <v>10139</v>
      </c>
      <c r="I4153" s="444">
        <v>13795424181</v>
      </c>
      <c r="J4153" s="361" t="s">
        <v>10140</v>
      </c>
      <c r="K4153" s="452">
        <v>3000</v>
      </c>
      <c r="L4153" s="334">
        <v>32852</v>
      </c>
      <c r="M4153" s="338"/>
      <c r="N4153" s="362">
        <f t="shared" si="142"/>
        <v>32852</v>
      </c>
      <c r="X4153" s="339"/>
    </row>
    <row r="4154" s="330" customFormat="1" ht="17" customHeight="1" spans="1:24">
      <c r="A4154" s="550" t="s">
        <v>10141</v>
      </c>
      <c r="B4154" s="348" t="s">
        <v>315</v>
      </c>
      <c r="C4154" s="348" t="s">
        <v>366</v>
      </c>
      <c r="D4154" s="335" t="s">
        <v>132</v>
      </c>
      <c r="E4154" s="336">
        <v>43707</v>
      </c>
      <c r="F4154" s="336">
        <v>43701</v>
      </c>
      <c r="G4154" s="399"/>
      <c r="H4154" s="334" t="s">
        <v>10142</v>
      </c>
      <c r="I4154" s="444">
        <v>15316668562</v>
      </c>
      <c r="J4154" s="361" t="s">
        <v>10143</v>
      </c>
      <c r="K4154" s="452">
        <v>3000</v>
      </c>
      <c r="L4154" s="338"/>
      <c r="M4154" s="338"/>
      <c r="N4154" s="362">
        <f t="shared" si="142"/>
        <v>0</v>
      </c>
      <c r="Q4154" s="356">
        <v>1</v>
      </c>
      <c r="U4154" s="330" t="s">
        <v>459</v>
      </c>
      <c r="X4154" s="339"/>
    </row>
    <row r="4155" s="330" customFormat="1" ht="17" customHeight="1" spans="1:24">
      <c r="A4155" s="550" t="s">
        <v>10144</v>
      </c>
      <c r="B4155" s="348" t="s">
        <v>315</v>
      </c>
      <c r="C4155" s="348" t="s">
        <v>366</v>
      </c>
      <c r="D4155" s="335" t="s">
        <v>132</v>
      </c>
      <c r="E4155" s="336">
        <v>43738</v>
      </c>
      <c r="F4155" s="336">
        <v>43701</v>
      </c>
      <c r="G4155" s="336">
        <v>43738</v>
      </c>
      <c r="H4155" s="334" t="s">
        <v>10145</v>
      </c>
      <c r="I4155" s="444">
        <v>13611708306</v>
      </c>
      <c r="J4155" s="361" t="s">
        <v>10146</v>
      </c>
      <c r="K4155" s="452">
        <v>3000</v>
      </c>
      <c r="L4155" s="334">
        <v>59600</v>
      </c>
      <c r="M4155" s="338"/>
      <c r="N4155" s="362">
        <f t="shared" si="142"/>
        <v>59600</v>
      </c>
      <c r="O4155" s="356">
        <v>1</v>
      </c>
      <c r="X4155" s="339"/>
    </row>
    <row r="4156" s="330" customFormat="1" ht="17" customHeight="1" spans="1:24">
      <c r="A4156" s="550" t="s">
        <v>10147</v>
      </c>
      <c r="B4156" s="348" t="s">
        <v>315</v>
      </c>
      <c r="C4156" s="348" t="s">
        <v>366</v>
      </c>
      <c r="D4156" s="335" t="s">
        <v>132</v>
      </c>
      <c r="E4156" s="336">
        <v>43707</v>
      </c>
      <c r="F4156" s="336">
        <v>43701</v>
      </c>
      <c r="G4156" s="399"/>
      <c r="H4156" s="334" t="s">
        <v>10148</v>
      </c>
      <c r="I4156" s="444">
        <v>18116440455</v>
      </c>
      <c r="J4156" s="361" t="s">
        <v>10149</v>
      </c>
      <c r="K4156" s="452">
        <v>3000</v>
      </c>
      <c r="L4156" s="338"/>
      <c r="M4156" s="338"/>
      <c r="N4156" s="362">
        <f t="shared" si="142"/>
        <v>0</v>
      </c>
      <c r="O4156" s="356">
        <v>1</v>
      </c>
      <c r="U4156" s="393" t="s">
        <v>40</v>
      </c>
      <c r="X4156" s="339"/>
    </row>
    <row r="4157" s="330" customFormat="1" ht="17" customHeight="1" spans="1:24">
      <c r="A4157" s="550" t="s">
        <v>10150</v>
      </c>
      <c r="B4157" s="348" t="s">
        <v>315</v>
      </c>
      <c r="C4157" s="348" t="s">
        <v>366</v>
      </c>
      <c r="D4157" s="335" t="s">
        <v>132</v>
      </c>
      <c r="E4157" s="336">
        <v>43707</v>
      </c>
      <c r="F4157" s="336">
        <v>43701</v>
      </c>
      <c r="G4157" s="350" t="s">
        <v>69</v>
      </c>
      <c r="H4157" s="334" t="s">
        <v>10151</v>
      </c>
      <c r="I4157" s="444">
        <v>13917895205</v>
      </c>
      <c r="J4157" s="361" t="s">
        <v>10152</v>
      </c>
      <c r="K4157" s="452">
        <v>3000</v>
      </c>
      <c r="L4157" s="338"/>
      <c r="M4157" s="338"/>
      <c r="N4157" s="362">
        <f t="shared" si="142"/>
        <v>0</v>
      </c>
      <c r="O4157" s="356">
        <v>1</v>
      </c>
      <c r="X4157" s="339"/>
    </row>
    <row r="4158" s="330" customFormat="1" ht="17" customHeight="1" spans="1:24">
      <c r="A4158" s="550" t="s">
        <v>10153</v>
      </c>
      <c r="B4158" s="348" t="s">
        <v>315</v>
      </c>
      <c r="C4158" s="348" t="s">
        <v>366</v>
      </c>
      <c r="D4158" s="334" t="s">
        <v>1431</v>
      </c>
      <c r="E4158" s="336">
        <v>43756</v>
      </c>
      <c r="F4158" s="336">
        <v>43701</v>
      </c>
      <c r="G4158" s="336">
        <v>43744</v>
      </c>
      <c r="H4158" s="334" t="s">
        <v>10154</v>
      </c>
      <c r="I4158" s="444">
        <v>13816270283</v>
      </c>
      <c r="J4158" s="361" t="s">
        <v>10155</v>
      </c>
      <c r="K4158" s="452">
        <v>3000</v>
      </c>
      <c r="L4158" s="334">
        <v>4385</v>
      </c>
      <c r="M4158" s="338"/>
      <c r="N4158" s="362">
        <f t="shared" si="142"/>
        <v>4385</v>
      </c>
      <c r="O4158" s="356">
        <v>1</v>
      </c>
      <c r="X4158" s="339"/>
    </row>
    <row r="4159" s="330" customFormat="1" ht="17" customHeight="1" spans="1:24">
      <c r="A4159" s="348"/>
      <c r="B4159" s="348" t="s">
        <v>137</v>
      </c>
      <c r="C4159" s="348" t="s">
        <v>480</v>
      </c>
      <c r="D4159" s="334" t="s">
        <v>2381</v>
      </c>
      <c r="E4159" s="336">
        <v>43707</v>
      </c>
      <c r="F4159" s="336">
        <v>43706</v>
      </c>
      <c r="G4159" s="350">
        <v>43707</v>
      </c>
      <c r="H4159" s="334" t="s">
        <v>3640</v>
      </c>
      <c r="I4159" s="356">
        <v>13607084515</v>
      </c>
      <c r="J4159" s="361" t="s">
        <v>10156</v>
      </c>
      <c r="K4159" s="452">
        <v>1917</v>
      </c>
      <c r="L4159" s="334">
        <v>1917</v>
      </c>
      <c r="M4159" s="338"/>
      <c r="N4159" s="362">
        <f t="shared" si="142"/>
        <v>1917</v>
      </c>
      <c r="X4159" s="339"/>
    </row>
    <row r="4160" s="330" customFormat="1" ht="17" customHeight="1" spans="1:24">
      <c r="A4160" s="348"/>
      <c r="B4160" s="348" t="s">
        <v>66</v>
      </c>
      <c r="C4160" s="348" t="s">
        <v>3954</v>
      </c>
      <c r="D4160" s="334" t="s">
        <v>68</v>
      </c>
      <c r="E4160" s="336">
        <v>43721</v>
      </c>
      <c r="F4160" s="336">
        <v>43706</v>
      </c>
      <c r="G4160" s="336">
        <v>43720</v>
      </c>
      <c r="H4160" s="334" t="s">
        <v>10157</v>
      </c>
      <c r="I4160" s="356">
        <v>18221818861</v>
      </c>
      <c r="J4160" s="361" t="s">
        <v>10158</v>
      </c>
      <c r="K4160" s="452">
        <v>1000</v>
      </c>
      <c r="L4160" s="334">
        <v>14094</v>
      </c>
      <c r="M4160" s="334">
        <v>299</v>
      </c>
      <c r="N4160" s="362">
        <f t="shared" si="142"/>
        <v>14393</v>
      </c>
      <c r="V4160" s="353" t="s">
        <v>10159</v>
      </c>
      <c r="X4160" s="339"/>
    </row>
    <row r="4161" s="330" customFormat="1" ht="17" customHeight="1" spans="1:24">
      <c r="A4161" s="348">
        <v>2022219</v>
      </c>
      <c r="B4161" s="348" t="s">
        <v>315</v>
      </c>
      <c r="C4161" s="348" t="s">
        <v>275</v>
      </c>
      <c r="D4161" s="334" t="s">
        <v>237</v>
      </c>
      <c r="E4161" s="336">
        <v>43708</v>
      </c>
      <c r="F4161" s="336">
        <v>43706</v>
      </c>
      <c r="G4161" s="336">
        <v>43708</v>
      </c>
      <c r="H4161" s="334" t="s">
        <v>10160</v>
      </c>
      <c r="I4161" s="356">
        <v>13817053688</v>
      </c>
      <c r="J4161" s="361" t="s">
        <v>10161</v>
      </c>
      <c r="K4161" s="452">
        <v>1000</v>
      </c>
      <c r="L4161" s="334">
        <v>3465</v>
      </c>
      <c r="M4161" s="338"/>
      <c r="N4161" s="362">
        <f t="shared" si="142"/>
        <v>3465</v>
      </c>
      <c r="X4161" s="339"/>
    </row>
    <row r="4162" s="330" customFormat="1" ht="15" customHeight="1" spans="1:24">
      <c r="A4162" s="550" t="s">
        <v>10162</v>
      </c>
      <c r="B4162" s="348" t="s">
        <v>58</v>
      </c>
      <c r="C4162" s="348" t="s">
        <v>794</v>
      </c>
      <c r="D4162" s="335" t="s">
        <v>110</v>
      </c>
      <c r="E4162" s="336">
        <v>43802</v>
      </c>
      <c r="F4162" s="336">
        <v>43705</v>
      </c>
      <c r="G4162" s="336">
        <v>43801</v>
      </c>
      <c r="H4162" s="334" t="s">
        <v>10163</v>
      </c>
      <c r="I4162" s="356">
        <v>18917769532</v>
      </c>
      <c r="J4162" s="361" t="s">
        <v>10164</v>
      </c>
      <c r="K4162" s="452">
        <v>1000</v>
      </c>
      <c r="L4162" s="334">
        <v>14896</v>
      </c>
      <c r="M4162" s="334">
        <v>-818</v>
      </c>
      <c r="N4162" s="362">
        <f t="shared" si="142"/>
        <v>14078</v>
      </c>
      <c r="P4162" s="366" t="s">
        <v>52</v>
      </c>
      <c r="X4162" s="339"/>
    </row>
    <row r="4163" s="330" customFormat="1" ht="17" customHeight="1" spans="1:24">
      <c r="A4163" s="550" t="s">
        <v>10165</v>
      </c>
      <c r="B4163" s="348" t="s">
        <v>354</v>
      </c>
      <c r="C4163" s="348" t="s">
        <v>355</v>
      </c>
      <c r="D4163" s="334" t="s">
        <v>162</v>
      </c>
      <c r="E4163" s="336">
        <v>43707</v>
      </c>
      <c r="F4163" s="336">
        <v>43666</v>
      </c>
      <c r="G4163" s="350">
        <v>43706</v>
      </c>
      <c r="H4163" s="334" t="s">
        <v>10166</v>
      </c>
      <c r="I4163" s="356">
        <v>15921017255</v>
      </c>
      <c r="J4163" s="367" t="s">
        <v>10167</v>
      </c>
      <c r="K4163" s="452">
        <v>3000</v>
      </c>
      <c r="L4163" s="334">
        <f>8600-537</f>
        <v>8063</v>
      </c>
      <c r="M4163" s="334">
        <v>537</v>
      </c>
      <c r="N4163" s="362">
        <f t="shared" ref="N4163:N4224" si="143">L4163+M4163</f>
        <v>8600</v>
      </c>
      <c r="X4163" s="339"/>
    </row>
    <row r="4164" s="330" customFormat="1" ht="17" customHeight="1" spans="1:24">
      <c r="A4164" s="550" t="s">
        <v>10168</v>
      </c>
      <c r="B4164" s="348" t="s">
        <v>185</v>
      </c>
      <c r="C4164" s="334" t="s">
        <v>886</v>
      </c>
      <c r="D4164" s="335" t="s">
        <v>187</v>
      </c>
      <c r="E4164" s="336">
        <v>43707</v>
      </c>
      <c r="F4164" s="336">
        <v>43707</v>
      </c>
      <c r="G4164" s="350"/>
      <c r="H4164" s="334" t="s">
        <v>837</v>
      </c>
      <c r="I4164" s="356">
        <v>18149715566</v>
      </c>
      <c r="J4164" s="361" t="s">
        <v>10169</v>
      </c>
      <c r="K4164" s="452">
        <v>0</v>
      </c>
      <c r="L4164" s="338"/>
      <c r="M4164" s="338"/>
      <c r="N4164" s="362">
        <f t="shared" si="143"/>
        <v>0</v>
      </c>
      <c r="P4164" s="356" t="s">
        <v>52</v>
      </c>
      <c r="X4164" s="339"/>
    </row>
    <row r="4165" s="330" customFormat="1" ht="17" customHeight="1" spans="1:24">
      <c r="A4165" s="348"/>
      <c r="B4165" s="334" t="s">
        <v>153</v>
      </c>
      <c r="C4165" s="334" t="s">
        <v>302</v>
      </c>
      <c r="D4165" s="335" t="s">
        <v>155</v>
      </c>
      <c r="E4165" s="336">
        <v>43721</v>
      </c>
      <c r="F4165" s="336">
        <v>43707</v>
      </c>
      <c r="G4165" s="336">
        <v>43719</v>
      </c>
      <c r="H4165" s="334" t="s">
        <v>10170</v>
      </c>
      <c r="I4165" s="334">
        <v>18616387842</v>
      </c>
      <c r="J4165" s="367" t="s">
        <v>10171</v>
      </c>
      <c r="K4165" s="334">
        <v>2798</v>
      </c>
      <c r="L4165" s="334">
        <v>10596</v>
      </c>
      <c r="M4165" s="334">
        <f>13691-10596</f>
        <v>3095</v>
      </c>
      <c r="N4165" s="362">
        <f t="shared" si="143"/>
        <v>13691</v>
      </c>
      <c r="V4165" s="330" t="s">
        <v>2494</v>
      </c>
      <c r="X4165" s="339"/>
    </row>
    <row r="4166" s="330" customFormat="1" ht="17" customHeight="1" spans="1:24">
      <c r="A4166" s="550" t="s">
        <v>1966</v>
      </c>
      <c r="B4166" s="348" t="s">
        <v>185</v>
      </c>
      <c r="C4166" s="334" t="s">
        <v>886</v>
      </c>
      <c r="D4166" s="335" t="s">
        <v>187</v>
      </c>
      <c r="E4166" s="336">
        <v>43707</v>
      </c>
      <c r="F4166" s="336">
        <v>43707</v>
      </c>
      <c r="G4166" s="399"/>
      <c r="H4166" s="334" t="s">
        <v>10172</v>
      </c>
      <c r="I4166" s="444">
        <v>18616599345</v>
      </c>
      <c r="J4166" s="361" t="s">
        <v>10173</v>
      </c>
      <c r="K4166" s="452">
        <v>0</v>
      </c>
      <c r="L4166" s="338"/>
      <c r="M4166" s="338"/>
      <c r="N4166" s="362">
        <f t="shared" si="143"/>
        <v>0</v>
      </c>
      <c r="Q4166" s="356" t="s">
        <v>52</v>
      </c>
      <c r="X4166" s="339"/>
    </row>
    <row r="4167" s="330" customFormat="1" ht="17" customHeight="1" spans="1:24">
      <c r="A4167" s="550" t="s">
        <v>9006</v>
      </c>
      <c r="B4167" s="348" t="s">
        <v>805</v>
      </c>
      <c r="C4167" s="348" t="s">
        <v>806</v>
      </c>
      <c r="D4167" s="335" t="s">
        <v>171</v>
      </c>
      <c r="E4167" s="336">
        <v>43707</v>
      </c>
      <c r="F4167" s="336">
        <v>43707</v>
      </c>
      <c r="G4167" s="399"/>
      <c r="H4167" s="334" t="s">
        <v>10174</v>
      </c>
      <c r="I4167" s="444">
        <v>13816985524</v>
      </c>
      <c r="J4167" s="361" t="s">
        <v>10175</v>
      </c>
      <c r="K4167" s="452">
        <v>2000</v>
      </c>
      <c r="L4167" s="338"/>
      <c r="M4167" s="338"/>
      <c r="N4167" s="362">
        <f t="shared" si="143"/>
        <v>0</v>
      </c>
      <c r="O4167" s="430" t="s">
        <v>52</v>
      </c>
      <c r="X4167" s="339"/>
    </row>
    <row r="4168" s="330" customFormat="1" ht="17" customHeight="1" spans="1:24">
      <c r="A4168" s="348">
        <v>2022513</v>
      </c>
      <c r="B4168" s="348" t="s">
        <v>73</v>
      </c>
      <c r="C4168" s="348" t="s">
        <v>74</v>
      </c>
      <c r="D4168" s="334" t="s">
        <v>68</v>
      </c>
      <c r="E4168" s="336">
        <v>43707</v>
      </c>
      <c r="F4168" s="336">
        <v>43707</v>
      </c>
      <c r="G4168" s="399">
        <v>43707</v>
      </c>
      <c r="H4168" s="334" t="s">
        <v>10176</v>
      </c>
      <c r="I4168" s="555" t="s">
        <v>10177</v>
      </c>
      <c r="J4168" s="361" t="s">
        <v>10178</v>
      </c>
      <c r="K4168" s="452">
        <v>20566</v>
      </c>
      <c r="L4168" s="334">
        <v>20566</v>
      </c>
      <c r="M4168" s="334">
        <v>-538</v>
      </c>
      <c r="N4168" s="362">
        <f t="shared" si="143"/>
        <v>20028</v>
      </c>
      <c r="X4168" s="339"/>
    </row>
    <row r="4169" s="330" customFormat="1" ht="15" customHeight="1" spans="1:24">
      <c r="A4169" s="550" t="s">
        <v>10179</v>
      </c>
      <c r="B4169" s="348" t="s">
        <v>58</v>
      </c>
      <c r="C4169" s="348" t="s">
        <v>347</v>
      </c>
      <c r="D4169" s="335" t="s">
        <v>343</v>
      </c>
      <c r="E4169" s="336">
        <v>43751</v>
      </c>
      <c r="F4169" s="336">
        <v>43707</v>
      </c>
      <c r="G4169" s="336">
        <v>43749</v>
      </c>
      <c r="H4169" s="334" t="s">
        <v>10180</v>
      </c>
      <c r="I4169" s="444">
        <v>13761782248</v>
      </c>
      <c r="J4169" s="361" t="s">
        <v>10181</v>
      </c>
      <c r="K4169" s="452">
        <v>1000</v>
      </c>
      <c r="L4169" s="334">
        <v>15984</v>
      </c>
      <c r="M4169" s="338"/>
      <c r="N4169" s="362">
        <f t="shared" si="143"/>
        <v>15984</v>
      </c>
      <c r="P4169" s="366" t="s">
        <v>52</v>
      </c>
      <c r="X4169" s="339"/>
    </row>
    <row r="4170" s="330" customFormat="1" ht="15" customHeight="1" spans="1:24">
      <c r="A4170" s="550" t="s">
        <v>10182</v>
      </c>
      <c r="B4170" s="348" t="s">
        <v>58</v>
      </c>
      <c r="C4170" s="348" t="s">
        <v>347</v>
      </c>
      <c r="D4170" s="335" t="s">
        <v>343</v>
      </c>
      <c r="E4170" s="336">
        <v>43768</v>
      </c>
      <c r="F4170" s="336">
        <v>43707</v>
      </c>
      <c r="G4170" s="336">
        <v>43749</v>
      </c>
      <c r="H4170" s="334" t="s">
        <v>10183</v>
      </c>
      <c r="I4170" s="444">
        <v>13671706255</v>
      </c>
      <c r="J4170" s="361" t="s">
        <v>10184</v>
      </c>
      <c r="K4170" s="452">
        <v>1000</v>
      </c>
      <c r="L4170" s="334">
        <v>20607</v>
      </c>
      <c r="M4170" s="338"/>
      <c r="N4170" s="362">
        <f t="shared" si="143"/>
        <v>20607</v>
      </c>
      <c r="P4170" s="366" t="s">
        <v>52</v>
      </c>
      <c r="X4170" s="339"/>
    </row>
    <row r="4171" s="330" customFormat="1" ht="17" customHeight="1" spans="1:24">
      <c r="A4171" s="550" t="s">
        <v>672</v>
      </c>
      <c r="B4171" s="334" t="s">
        <v>315</v>
      </c>
      <c r="C4171" s="334" t="s">
        <v>181</v>
      </c>
      <c r="D4171" s="352" t="s">
        <v>182</v>
      </c>
      <c r="E4171" s="336">
        <v>43707</v>
      </c>
      <c r="F4171" s="336">
        <v>43707</v>
      </c>
      <c r="G4171" s="350" t="s">
        <v>69</v>
      </c>
      <c r="H4171" s="334" t="s">
        <v>10112</v>
      </c>
      <c r="I4171" s="334">
        <v>13817894582</v>
      </c>
      <c r="J4171" s="367" t="s">
        <v>10113</v>
      </c>
      <c r="K4171" s="334">
        <v>1567</v>
      </c>
      <c r="L4171" s="338"/>
      <c r="M4171" s="338"/>
      <c r="N4171" s="362">
        <f t="shared" si="143"/>
        <v>0</v>
      </c>
      <c r="P4171" s="356">
        <v>1</v>
      </c>
      <c r="X4171" s="339"/>
    </row>
    <row r="4172" s="330" customFormat="1" ht="17" customHeight="1" spans="1:24">
      <c r="A4172" s="550" t="s">
        <v>10185</v>
      </c>
      <c r="B4172" s="348" t="s">
        <v>185</v>
      </c>
      <c r="C4172" s="348" t="s">
        <v>4146</v>
      </c>
      <c r="D4172" s="334" t="s">
        <v>44</v>
      </c>
      <c r="E4172" s="336">
        <v>43708</v>
      </c>
      <c r="F4172" s="336">
        <v>43707</v>
      </c>
      <c r="G4172" s="336">
        <v>43707</v>
      </c>
      <c r="H4172" s="334" t="s">
        <v>10186</v>
      </c>
      <c r="I4172" s="444">
        <v>13817603723</v>
      </c>
      <c r="J4172" s="361" t="s">
        <v>10187</v>
      </c>
      <c r="K4172" s="452">
        <v>10000</v>
      </c>
      <c r="L4172" s="334">
        <v>10000</v>
      </c>
      <c r="M4172" s="338"/>
      <c r="N4172" s="362">
        <f t="shared" si="143"/>
        <v>10000</v>
      </c>
      <c r="X4172" s="339"/>
    </row>
    <row r="4173" s="330" customFormat="1" ht="17" customHeight="1" spans="1:24">
      <c r="A4173" s="550" t="s">
        <v>10188</v>
      </c>
      <c r="B4173" s="348" t="s">
        <v>137</v>
      </c>
      <c r="C4173" s="348" t="s">
        <v>861</v>
      </c>
      <c r="D4173" s="334" t="s">
        <v>443</v>
      </c>
      <c r="E4173" s="336">
        <v>43707</v>
      </c>
      <c r="F4173" s="336">
        <v>43707</v>
      </c>
      <c r="G4173" s="399">
        <v>43707</v>
      </c>
      <c r="H4173" s="334" t="s">
        <v>10189</v>
      </c>
      <c r="I4173" s="444">
        <v>13661895848</v>
      </c>
      <c r="J4173" s="361" t="s">
        <v>10190</v>
      </c>
      <c r="K4173" s="452">
        <v>1772</v>
      </c>
      <c r="L4173" s="334">
        <v>1772</v>
      </c>
      <c r="M4173" s="338"/>
      <c r="N4173" s="362">
        <f t="shared" si="143"/>
        <v>1772</v>
      </c>
      <c r="X4173" s="339"/>
    </row>
    <row r="4174" s="330" customFormat="1" ht="17" customHeight="1" spans="1:24">
      <c r="A4174" s="348"/>
      <c r="B4174" s="348" t="s">
        <v>66</v>
      </c>
      <c r="C4174" s="348" t="s">
        <v>119</v>
      </c>
      <c r="D4174" s="334" t="s">
        <v>143</v>
      </c>
      <c r="E4174" s="336">
        <v>43713</v>
      </c>
      <c r="F4174" s="336">
        <v>43707</v>
      </c>
      <c r="G4174" s="336">
        <v>43711</v>
      </c>
      <c r="H4174" s="334" t="s">
        <v>10191</v>
      </c>
      <c r="I4174" s="444">
        <v>1817061544</v>
      </c>
      <c r="J4174" s="361" t="s">
        <v>10192</v>
      </c>
      <c r="K4174" s="452">
        <v>1000</v>
      </c>
      <c r="L4174" s="334">
        <v>69702</v>
      </c>
      <c r="M4174" s="338"/>
      <c r="N4174" s="362">
        <f t="shared" si="143"/>
        <v>69702</v>
      </c>
      <c r="X4174" s="339"/>
    </row>
    <row r="4175" s="330" customFormat="1" ht="17" customHeight="1" spans="1:24">
      <c r="A4175" s="348"/>
      <c r="B4175" s="334" t="s">
        <v>66</v>
      </c>
      <c r="C4175" s="408" t="s">
        <v>119</v>
      </c>
      <c r="D4175" s="334" t="s">
        <v>1436</v>
      </c>
      <c r="E4175" s="336">
        <v>43707</v>
      </c>
      <c r="F4175" s="336">
        <v>43707</v>
      </c>
      <c r="G4175" s="336">
        <v>43707</v>
      </c>
      <c r="H4175" s="334" t="s">
        <v>10193</v>
      </c>
      <c r="I4175" s="334">
        <v>13681998212</v>
      </c>
      <c r="J4175" s="367" t="s">
        <v>10194</v>
      </c>
      <c r="K4175" s="334">
        <v>10755</v>
      </c>
      <c r="L4175" s="334">
        <v>10755</v>
      </c>
      <c r="M4175" s="338"/>
      <c r="N4175" s="362">
        <f t="shared" si="143"/>
        <v>10755</v>
      </c>
      <c r="X4175" s="339"/>
    </row>
    <row r="4176" s="330" customFormat="1" ht="17" customHeight="1" spans="1:24">
      <c r="A4176" s="348"/>
      <c r="B4176" s="348" t="s">
        <v>153</v>
      </c>
      <c r="C4176" s="348" t="s">
        <v>302</v>
      </c>
      <c r="D4176" s="335" t="s">
        <v>155</v>
      </c>
      <c r="E4176" s="336">
        <v>43707</v>
      </c>
      <c r="F4176" s="336">
        <v>43707</v>
      </c>
      <c r="G4176" s="350" t="s">
        <v>231</v>
      </c>
      <c r="H4176" s="334" t="s">
        <v>10195</v>
      </c>
      <c r="I4176" s="444">
        <v>13718737153</v>
      </c>
      <c r="J4176" s="361" t="s">
        <v>10196</v>
      </c>
      <c r="K4176" s="452">
        <v>300</v>
      </c>
      <c r="L4176" s="338"/>
      <c r="M4176" s="338"/>
      <c r="N4176" s="362">
        <f t="shared" si="143"/>
        <v>0</v>
      </c>
      <c r="O4176" s="330" t="s">
        <v>19</v>
      </c>
      <c r="X4176" s="339"/>
    </row>
    <row r="4177" s="330" customFormat="1" ht="17" customHeight="1" spans="1:24">
      <c r="A4177" s="348"/>
      <c r="B4177" s="334" t="s">
        <v>169</v>
      </c>
      <c r="C4177" s="334" t="s">
        <v>634</v>
      </c>
      <c r="D4177" s="335" t="s">
        <v>171</v>
      </c>
      <c r="E4177" s="336">
        <v>43707</v>
      </c>
      <c r="F4177" s="336">
        <v>43707</v>
      </c>
      <c r="G4177" s="399">
        <v>43707</v>
      </c>
      <c r="H4177" s="334" t="s">
        <v>10197</v>
      </c>
      <c r="I4177" s="334">
        <v>13621678112</v>
      </c>
      <c r="J4177" s="367" t="s">
        <v>10198</v>
      </c>
      <c r="K4177" s="334">
        <v>2661</v>
      </c>
      <c r="L4177" s="334">
        <v>2661</v>
      </c>
      <c r="M4177" s="338"/>
      <c r="N4177" s="362">
        <f t="shared" si="143"/>
        <v>2661</v>
      </c>
      <c r="X4177" s="339"/>
    </row>
    <row r="4178" s="330" customFormat="1" ht="17" customHeight="1" spans="1:24">
      <c r="A4178" s="334"/>
      <c r="B4178" s="334" t="s">
        <v>335</v>
      </c>
      <c r="C4178" s="334" t="s">
        <v>399</v>
      </c>
      <c r="D4178" s="334" t="s">
        <v>337</v>
      </c>
      <c r="E4178" s="336">
        <v>43707</v>
      </c>
      <c r="F4178" s="336"/>
      <c r="G4178" s="336">
        <v>43705</v>
      </c>
      <c r="H4178" s="334" t="s">
        <v>116</v>
      </c>
      <c r="I4178" s="334">
        <v>13761879406</v>
      </c>
      <c r="J4178" s="367" t="s">
        <v>402</v>
      </c>
      <c r="K4178" s="337"/>
      <c r="L4178" s="334">
        <v>16176</v>
      </c>
      <c r="M4178" s="338"/>
      <c r="N4178" s="362">
        <f t="shared" si="143"/>
        <v>16176</v>
      </c>
      <c r="X4178" s="339"/>
    </row>
    <row r="4179" s="330" customFormat="1" ht="17" customHeight="1" spans="1:24">
      <c r="A4179" s="334"/>
      <c r="B4179" s="334" t="s">
        <v>5336</v>
      </c>
      <c r="C4179" s="334" t="s">
        <v>5336</v>
      </c>
      <c r="D4179" s="334" t="s">
        <v>10001</v>
      </c>
      <c r="E4179" s="336">
        <v>43707</v>
      </c>
      <c r="F4179" s="336"/>
      <c r="G4179" s="336">
        <v>43707</v>
      </c>
      <c r="H4179" s="334" t="s">
        <v>10199</v>
      </c>
      <c r="I4179" s="334">
        <v>15221959846</v>
      </c>
      <c r="J4179" s="367" t="s">
        <v>10200</v>
      </c>
      <c r="K4179" s="337"/>
      <c r="L4179" s="334">
        <v>14647</v>
      </c>
      <c r="M4179" s="338"/>
      <c r="N4179" s="362">
        <f t="shared" si="143"/>
        <v>14647</v>
      </c>
      <c r="X4179" s="339"/>
    </row>
    <row r="4180" s="330" customFormat="1" ht="17" customHeight="1" spans="1:24">
      <c r="A4180" s="334"/>
      <c r="B4180" s="334" t="s">
        <v>73</v>
      </c>
      <c r="C4180" s="334" t="s">
        <v>74</v>
      </c>
      <c r="D4180" s="334" t="s">
        <v>187</v>
      </c>
      <c r="E4180" s="336">
        <v>43707</v>
      </c>
      <c r="F4180" s="336"/>
      <c r="G4180" s="336">
        <v>43706</v>
      </c>
      <c r="H4180" s="334" t="s">
        <v>10201</v>
      </c>
      <c r="I4180" s="334">
        <v>18501667744</v>
      </c>
      <c r="J4180" s="367" t="s">
        <v>10202</v>
      </c>
      <c r="K4180" s="337"/>
      <c r="L4180" s="334">
        <v>15482</v>
      </c>
      <c r="M4180" s="338"/>
      <c r="N4180" s="362">
        <f t="shared" si="143"/>
        <v>15482</v>
      </c>
      <c r="X4180" s="339"/>
    </row>
    <row r="4181" s="330" customFormat="1" ht="17" customHeight="1" spans="1:24">
      <c r="A4181" s="334"/>
      <c r="B4181" s="334" t="s">
        <v>315</v>
      </c>
      <c r="C4181" s="334" t="s">
        <v>275</v>
      </c>
      <c r="D4181" s="334" t="s">
        <v>162</v>
      </c>
      <c r="E4181" s="336">
        <v>43707</v>
      </c>
      <c r="F4181" s="336"/>
      <c r="G4181" s="336">
        <v>43707</v>
      </c>
      <c r="H4181" s="334" t="s">
        <v>10203</v>
      </c>
      <c r="I4181" s="334">
        <v>13917788083</v>
      </c>
      <c r="J4181" s="367" t="s">
        <v>10204</v>
      </c>
      <c r="K4181" s="337"/>
      <c r="L4181" s="334">
        <v>8495</v>
      </c>
      <c r="M4181" s="338"/>
      <c r="N4181" s="362">
        <f t="shared" si="143"/>
        <v>8495</v>
      </c>
      <c r="X4181" s="339"/>
    </row>
    <row r="4182" s="330" customFormat="1" ht="17" customHeight="1" spans="1:24">
      <c r="A4182" s="334"/>
      <c r="B4182" s="334" t="s">
        <v>73</v>
      </c>
      <c r="C4182" s="408" t="s">
        <v>74</v>
      </c>
      <c r="D4182" s="334" t="s">
        <v>717</v>
      </c>
      <c r="E4182" s="336">
        <v>43707</v>
      </c>
      <c r="F4182" s="336"/>
      <c r="G4182" s="336">
        <v>43706</v>
      </c>
      <c r="H4182" s="334" t="s">
        <v>10205</v>
      </c>
      <c r="I4182" s="334">
        <v>13052026001</v>
      </c>
      <c r="J4182" s="367" t="s">
        <v>10206</v>
      </c>
      <c r="K4182" s="337"/>
      <c r="L4182" s="334">
        <f>8479-1104</f>
        <v>7375</v>
      </c>
      <c r="M4182" s="334">
        <v>1104</v>
      </c>
      <c r="N4182" s="362">
        <f t="shared" si="143"/>
        <v>8479</v>
      </c>
      <c r="X4182" s="339"/>
    </row>
    <row r="4183" s="330" customFormat="1" ht="17" customHeight="1" spans="1:24">
      <c r="A4183" s="334"/>
      <c r="B4183" s="334" t="s">
        <v>137</v>
      </c>
      <c r="C4183" s="334" t="s">
        <v>138</v>
      </c>
      <c r="D4183" s="334" t="s">
        <v>139</v>
      </c>
      <c r="E4183" s="336">
        <v>43707</v>
      </c>
      <c r="F4183" s="336"/>
      <c r="G4183" s="336">
        <v>43707</v>
      </c>
      <c r="H4183" s="334" t="s">
        <v>10207</v>
      </c>
      <c r="I4183" s="334">
        <v>15000695667</v>
      </c>
      <c r="J4183" s="367" t="s">
        <v>10208</v>
      </c>
      <c r="K4183" s="337"/>
      <c r="L4183" s="334">
        <v>44085</v>
      </c>
      <c r="M4183" s="338"/>
      <c r="N4183" s="362">
        <f t="shared" si="143"/>
        <v>44085</v>
      </c>
      <c r="X4183" s="339"/>
    </row>
    <row r="4184" s="330" customFormat="1" ht="17" customHeight="1" spans="1:24">
      <c r="A4184" s="334"/>
      <c r="B4184" s="334" t="s">
        <v>35</v>
      </c>
      <c r="C4184" s="334" t="s">
        <v>392</v>
      </c>
      <c r="D4184" s="334" t="s">
        <v>187</v>
      </c>
      <c r="E4184" s="336">
        <v>43707</v>
      </c>
      <c r="F4184" s="336"/>
      <c r="G4184" s="336">
        <v>43707</v>
      </c>
      <c r="H4184" s="334" t="s">
        <v>10209</v>
      </c>
      <c r="I4184" s="334">
        <v>15067299417</v>
      </c>
      <c r="J4184" s="367" t="s">
        <v>10210</v>
      </c>
      <c r="K4184" s="337"/>
      <c r="L4184" s="334">
        <f>1672-1472</f>
        <v>200</v>
      </c>
      <c r="M4184" s="334">
        <v>1472</v>
      </c>
      <c r="N4184" s="362">
        <f t="shared" si="143"/>
        <v>1672</v>
      </c>
      <c r="X4184" s="339"/>
    </row>
    <row r="4185" s="330" customFormat="1" ht="17" customHeight="1" spans="1:24">
      <c r="A4185" s="334"/>
      <c r="B4185" s="334" t="s">
        <v>315</v>
      </c>
      <c r="C4185" s="334" t="s">
        <v>230</v>
      </c>
      <c r="D4185" s="334" t="s">
        <v>162</v>
      </c>
      <c r="E4185" s="336">
        <v>43707</v>
      </c>
      <c r="F4185" s="336" t="s">
        <v>800</v>
      </c>
      <c r="G4185" s="336">
        <v>43700</v>
      </c>
      <c r="H4185" s="334" t="s">
        <v>10211</v>
      </c>
      <c r="I4185" s="334">
        <v>18217197535</v>
      </c>
      <c r="J4185" s="367" t="s">
        <v>7667</v>
      </c>
      <c r="K4185" s="337"/>
      <c r="L4185" s="338"/>
      <c r="M4185" s="334">
        <v>12000</v>
      </c>
      <c r="N4185" s="362">
        <f t="shared" si="143"/>
        <v>12000</v>
      </c>
      <c r="X4185" s="339"/>
    </row>
    <row r="4186" s="330" customFormat="1" ht="17" customHeight="1" spans="1:24">
      <c r="A4186" s="334"/>
      <c r="B4186" s="348" t="s">
        <v>137</v>
      </c>
      <c r="C4186" s="348" t="s">
        <v>411</v>
      </c>
      <c r="D4186" s="334" t="s">
        <v>427</v>
      </c>
      <c r="E4186" s="336">
        <v>43707</v>
      </c>
      <c r="F4186" s="336" t="s">
        <v>800</v>
      </c>
      <c r="G4186" s="336">
        <v>43696</v>
      </c>
      <c r="H4186" s="334" t="s">
        <v>4342</v>
      </c>
      <c r="I4186" s="356">
        <v>13040790709</v>
      </c>
      <c r="J4186" s="361" t="s">
        <v>4343</v>
      </c>
      <c r="K4186" s="337"/>
      <c r="L4186" s="338"/>
      <c r="M4186" s="334">
        <v>-1800</v>
      </c>
      <c r="N4186" s="362">
        <f t="shared" si="143"/>
        <v>-1800</v>
      </c>
      <c r="X4186" s="339"/>
    </row>
    <row r="4187" s="330" customFormat="1" ht="17" customHeight="1" spans="1:24">
      <c r="A4187" s="334"/>
      <c r="B4187" s="348" t="s">
        <v>35</v>
      </c>
      <c r="C4187" s="348" t="s">
        <v>328</v>
      </c>
      <c r="D4187" s="349" t="s">
        <v>37</v>
      </c>
      <c r="E4187" s="336">
        <v>43707</v>
      </c>
      <c r="F4187" s="336" t="s">
        <v>800</v>
      </c>
      <c r="G4187" s="336">
        <v>43706</v>
      </c>
      <c r="H4187" s="334" t="s">
        <v>45</v>
      </c>
      <c r="I4187" s="334">
        <v>17701221252</v>
      </c>
      <c r="J4187" s="367" t="s">
        <v>3184</v>
      </c>
      <c r="K4187" s="337"/>
      <c r="L4187" s="338"/>
      <c r="M4187" s="334">
        <f>-50+8607</f>
        <v>8557</v>
      </c>
      <c r="N4187" s="362">
        <f t="shared" si="143"/>
        <v>8557</v>
      </c>
      <c r="X4187" s="339"/>
    </row>
    <row r="4188" s="330" customFormat="1" ht="17" customHeight="1" spans="1:24">
      <c r="A4188" s="334"/>
      <c r="B4188" s="334" t="s">
        <v>315</v>
      </c>
      <c r="C4188" s="334" t="s">
        <v>181</v>
      </c>
      <c r="D4188" s="349" t="s">
        <v>155</v>
      </c>
      <c r="E4188" s="336">
        <v>43707</v>
      </c>
      <c r="F4188" s="336" t="s">
        <v>800</v>
      </c>
      <c r="G4188" s="336">
        <v>43700</v>
      </c>
      <c r="H4188" s="334" t="s">
        <v>9578</v>
      </c>
      <c r="I4188" s="334">
        <v>13671704027</v>
      </c>
      <c r="J4188" s="367" t="s">
        <v>9579</v>
      </c>
      <c r="K4188" s="337"/>
      <c r="L4188" s="338"/>
      <c r="M4188" s="334">
        <v>0.08</v>
      </c>
      <c r="N4188" s="362">
        <f t="shared" si="143"/>
        <v>0.08</v>
      </c>
      <c r="X4188" s="339"/>
    </row>
    <row r="4189" s="330" customFormat="1" ht="17" customHeight="1" spans="1:24">
      <c r="A4189" s="334"/>
      <c r="B4189" s="348" t="s">
        <v>137</v>
      </c>
      <c r="C4189" s="334" t="s">
        <v>861</v>
      </c>
      <c r="D4189" s="349" t="s">
        <v>427</v>
      </c>
      <c r="E4189" s="336">
        <v>43707</v>
      </c>
      <c r="F4189" s="336" t="s">
        <v>800</v>
      </c>
      <c r="G4189" s="336">
        <v>43696</v>
      </c>
      <c r="H4189" s="334" t="s">
        <v>9519</v>
      </c>
      <c r="I4189" s="334">
        <v>13818973533</v>
      </c>
      <c r="J4189" s="361" t="s">
        <v>6945</v>
      </c>
      <c r="K4189" s="337"/>
      <c r="L4189" s="338"/>
      <c r="M4189" s="334">
        <v>-15000</v>
      </c>
      <c r="N4189" s="362">
        <f t="shared" si="143"/>
        <v>-15000</v>
      </c>
      <c r="X4189" s="339"/>
    </row>
    <row r="4190" s="330" customFormat="1" ht="17" customHeight="1" spans="1:24">
      <c r="A4190" s="334"/>
      <c r="B4190" s="334" t="s">
        <v>335</v>
      </c>
      <c r="C4190" s="408" t="s">
        <v>615</v>
      </c>
      <c r="D4190" s="334" t="s">
        <v>337</v>
      </c>
      <c r="E4190" s="336">
        <v>43707</v>
      </c>
      <c r="F4190" s="336" t="s">
        <v>800</v>
      </c>
      <c r="G4190" s="336">
        <v>43698</v>
      </c>
      <c r="H4190" s="334" t="s">
        <v>10212</v>
      </c>
      <c r="I4190" s="334">
        <v>18621917553</v>
      </c>
      <c r="J4190" s="367" t="s">
        <v>10213</v>
      </c>
      <c r="K4190" s="337"/>
      <c r="L4190" s="338"/>
      <c r="M4190" s="334">
        <v>488</v>
      </c>
      <c r="N4190" s="362">
        <f t="shared" si="143"/>
        <v>488</v>
      </c>
      <c r="X4190" s="339"/>
    </row>
    <row r="4191" s="330" customFormat="1" ht="17" customHeight="1" spans="1:24">
      <c r="A4191" s="334"/>
      <c r="B4191" s="348" t="s">
        <v>405</v>
      </c>
      <c r="C4191" s="334" t="s">
        <v>1234</v>
      </c>
      <c r="D4191" s="349" t="s">
        <v>407</v>
      </c>
      <c r="E4191" s="336">
        <v>43707</v>
      </c>
      <c r="F4191" s="336" t="s">
        <v>800</v>
      </c>
      <c r="G4191" s="336">
        <v>43700</v>
      </c>
      <c r="H4191" s="334" t="s">
        <v>5417</v>
      </c>
      <c r="I4191" s="334">
        <v>13564456958</v>
      </c>
      <c r="J4191" s="367" t="s">
        <v>5418</v>
      </c>
      <c r="K4191" s="337"/>
      <c r="L4191" s="338"/>
      <c r="M4191" s="334">
        <v>736</v>
      </c>
      <c r="N4191" s="362">
        <f t="shared" si="143"/>
        <v>736</v>
      </c>
      <c r="X4191" s="339"/>
    </row>
    <row r="4192" s="330" customFormat="1" ht="17" customHeight="1" spans="1:24">
      <c r="A4192" s="334"/>
      <c r="B4192" s="348" t="s">
        <v>58</v>
      </c>
      <c r="C4192" s="348" t="s">
        <v>794</v>
      </c>
      <c r="D4192" s="349" t="s">
        <v>110</v>
      </c>
      <c r="E4192" s="336">
        <v>43707</v>
      </c>
      <c r="F4192" s="336" t="s">
        <v>800</v>
      </c>
      <c r="G4192" s="336">
        <v>43706</v>
      </c>
      <c r="H4192" s="334" t="s">
        <v>6478</v>
      </c>
      <c r="I4192" s="334">
        <v>18513983908</v>
      </c>
      <c r="J4192" s="367" t="s">
        <v>6479</v>
      </c>
      <c r="K4192" s="337"/>
      <c r="L4192" s="338"/>
      <c r="M4192" s="334">
        <v>2362</v>
      </c>
      <c r="N4192" s="362">
        <f t="shared" si="143"/>
        <v>2362</v>
      </c>
      <c r="X4192" s="339"/>
    </row>
    <row r="4193" s="330" customFormat="1" ht="17" customHeight="1" spans="1:24">
      <c r="A4193" s="334"/>
      <c r="B4193" s="334" t="s">
        <v>315</v>
      </c>
      <c r="C4193" s="408" t="s">
        <v>722</v>
      </c>
      <c r="D4193" s="334" t="s">
        <v>182</v>
      </c>
      <c r="E4193" s="336">
        <v>43707</v>
      </c>
      <c r="F4193" s="336" t="s">
        <v>800</v>
      </c>
      <c r="G4193" s="336">
        <v>43707</v>
      </c>
      <c r="H4193" s="334" t="s">
        <v>10214</v>
      </c>
      <c r="I4193" s="334">
        <v>17721002124</v>
      </c>
      <c r="J4193" s="367" t="s">
        <v>10215</v>
      </c>
      <c r="K4193" s="337"/>
      <c r="L4193" s="338"/>
      <c r="M4193" s="334">
        <v>1279</v>
      </c>
      <c r="N4193" s="362">
        <f t="shared" si="143"/>
        <v>1279</v>
      </c>
      <c r="X4193" s="339"/>
    </row>
    <row r="4194" s="330" customFormat="1" ht="17" customHeight="1" spans="1:24">
      <c r="A4194" s="334"/>
      <c r="B4194" s="334" t="s">
        <v>58</v>
      </c>
      <c r="C4194" s="334" t="s">
        <v>59</v>
      </c>
      <c r="D4194" s="334" t="s">
        <v>271</v>
      </c>
      <c r="E4194" s="336">
        <v>43707</v>
      </c>
      <c r="F4194" s="336" t="s">
        <v>800</v>
      </c>
      <c r="G4194" s="336">
        <v>43706</v>
      </c>
      <c r="H4194" s="334" t="s">
        <v>10216</v>
      </c>
      <c r="I4194" s="334">
        <v>13585871760</v>
      </c>
      <c r="J4194" s="367" t="s">
        <v>10217</v>
      </c>
      <c r="K4194" s="337"/>
      <c r="L4194" s="338"/>
      <c r="M4194" s="334">
        <v>4106</v>
      </c>
      <c r="N4194" s="362">
        <f t="shared" si="143"/>
        <v>4106</v>
      </c>
      <c r="X4194" s="339"/>
    </row>
    <row r="4195" s="330" customFormat="1" ht="17" customHeight="1" spans="1:24">
      <c r="A4195" s="334"/>
      <c r="B4195" s="348" t="s">
        <v>73</v>
      </c>
      <c r="C4195" s="348" t="s">
        <v>74</v>
      </c>
      <c r="D4195" s="349" t="s">
        <v>717</v>
      </c>
      <c r="E4195" s="336">
        <v>43707</v>
      </c>
      <c r="F4195" s="336" t="s">
        <v>800</v>
      </c>
      <c r="G4195" s="336">
        <v>43705</v>
      </c>
      <c r="H4195" s="334" t="s">
        <v>2222</v>
      </c>
      <c r="I4195" s="334">
        <v>13681910877</v>
      </c>
      <c r="J4195" s="367" t="s">
        <v>10218</v>
      </c>
      <c r="K4195" s="337"/>
      <c r="L4195" s="338"/>
      <c r="M4195" s="334">
        <v>1399</v>
      </c>
      <c r="N4195" s="362">
        <f t="shared" si="143"/>
        <v>1399</v>
      </c>
      <c r="X4195" s="339"/>
    </row>
    <row r="4196" s="330" customFormat="1" ht="17" customHeight="1" spans="1:24">
      <c r="A4196" s="334"/>
      <c r="B4196" s="348" t="s">
        <v>73</v>
      </c>
      <c r="C4196" s="348" t="s">
        <v>74</v>
      </c>
      <c r="D4196" s="352" t="s">
        <v>717</v>
      </c>
      <c r="E4196" s="336">
        <v>43707</v>
      </c>
      <c r="F4196" s="336" t="s">
        <v>800</v>
      </c>
      <c r="G4196" s="336">
        <v>43701</v>
      </c>
      <c r="H4196" s="334" t="s">
        <v>2013</v>
      </c>
      <c r="I4196" s="444">
        <v>13817548551</v>
      </c>
      <c r="J4196" s="361" t="s">
        <v>2014</v>
      </c>
      <c r="K4196" s="337"/>
      <c r="L4196" s="338"/>
      <c r="M4196" s="334">
        <v>38</v>
      </c>
      <c r="N4196" s="362">
        <f t="shared" si="143"/>
        <v>38</v>
      </c>
      <c r="X4196" s="339"/>
    </row>
    <row r="4197" s="330" customFormat="1" ht="17" customHeight="1" spans="1:24">
      <c r="A4197" s="334"/>
      <c r="B4197" s="348" t="s">
        <v>137</v>
      </c>
      <c r="C4197" s="348" t="s">
        <v>411</v>
      </c>
      <c r="D4197" s="349" t="s">
        <v>427</v>
      </c>
      <c r="E4197" s="336">
        <v>43707</v>
      </c>
      <c r="F4197" s="336" t="s">
        <v>800</v>
      </c>
      <c r="G4197" s="336">
        <v>43707</v>
      </c>
      <c r="H4197" s="334" t="s">
        <v>3109</v>
      </c>
      <c r="I4197" s="444">
        <v>18321023653</v>
      </c>
      <c r="J4197" s="361" t="s">
        <v>3110</v>
      </c>
      <c r="K4197" s="337"/>
      <c r="L4197" s="338"/>
      <c r="M4197" s="334">
        <f>1403</f>
        <v>1403</v>
      </c>
      <c r="N4197" s="362">
        <f t="shared" si="143"/>
        <v>1403</v>
      </c>
      <c r="X4197" s="339"/>
    </row>
    <row r="4198" s="330" customFormat="1" ht="17" customHeight="1" spans="1:24">
      <c r="A4198" s="334"/>
      <c r="B4198" s="348" t="s">
        <v>137</v>
      </c>
      <c r="C4198" s="348" t="s">
        <v>411</v>
      </c>
      <c r="D4198" s="334" t="s">
        <v>427</v>
      </c>
      <c r="E4198" s="336">
        <v>43707</v>
      </c>
      <c r="F4198" s="336" t="s">
        <v>800</v>
      </c>
      <c r="G4198" s="336">
        <v>43707</v>
      </c>
      <c r="H4198" s="334" t="s">
        <v>6021</v>
      </c>
      <c r="I4198" s="334">
        <v>13701780572</v>
      </c>
      <c r="J4198" s="367" t="s">
        <v>10219</v>
      </c>
      <c r="K4198" s="337"/>
      <c r="L4198" s="338"/>
      <c r="M4198" s="334">
        <f>3182</f>
        <v>3182</v>
      </c>
      <c r="N4198" s="362">
        <f t="shared" si="143"/>
        <v>3182</v>
      </c>
      <c r="X4198" s="339"/>
    </row>
    <row r="4199" s="330" customFormat="1" ht="17" customHeight="1" spans="1:24">
      <c r="A4199" s="334"/>
      <c r="B4199" s="348" t="s">
        <v>137</v>
      </c>
      <c r="C4199" s="334" t="s">
        <v>480</v>
      </c>
      <c r="D4199" s="349" t="s">
        <v>139</v>
      </c>
      <c r="E4199" s="336">
        <v>43707</v>
      </c>
      <c r="F4199" s="336" t="s">
        <v>800</v>
      </c>
      <c r="G4199" s="336">
        <v>43694</v>
      </c>
      <c r="H4199" s="334" t="s">
        <v>6816</v>
      </c>
      <c r="I4199" s="356">
        <v>13611993884</v>
      </c>
      <c r="J4199" s="361" t="s">
        <v>6817</v>
      </c>
      <c r="K4199" s="337"/>
      <c r="L4199" s="338"/>
      <c r="M4199" s="334">
        <v>1000</v>
      </c>
      <c r="N4199" s="362">
        <f t="shared" si="143"/>
        <v>1000</v>
      </c>
      <c r="X4199" s="339"/>
    </row>
    <row r="4200" s="330" customFormat="1" ht="17" customHeight="1" spans="1:24">
      <c r="A4200" s="334"/>
      <c r="B4200" s="348" t="s">
        <v>137</v>
      </c>
      <c r="C4200" s="334" t="s">
        <v>406</v>
      </c>
      <c r="D4200" s="349" t="s">
        <v>139</v>
      </c>
      <c r="E4200" s="336">
        <v>43707</v>
      </c>
      <c r="F4200" s="336" t="s">
        <v>800</v>
      </c>
      <c r="G4200" s="336">
        <v>43694</v>
      </c>
      <c r="H4200" s="334" t="s">
        <v>6005</v>
      </c>
      <c r="I4200" s="356">
        <v>18019248012</v>
      </c>
      <c r="J4200" s="361" t="s">
        <v>6006</v>
      </c>
      <c r="K4200" s="337"/>
      <c r="L4200" s="338"/>
      <c r="M4200" s="334">
        <v>-800</v>
      </c>
      <c r="N4200" s="362">
        <f t="shared" si="143"/>
        <v>-800</v>
      </c>
      <c r="X4200" s="339"/>
    </row>
    <row r="4201" s="330" customFormat="1" ht="17" customHeight="1" spans="1:24">
      <c r="A4201" s="334"/>
      <c r="B4201" s="348" t="s">
        <v>58</v>
      </c>
      <c r="C4201" s="334" t="s">
        <v>347</v>
      </c>
      <c r="D4201" s="349" t="s">
        <v>343</v>
      </c>
      <c r="E4201" s="336">
        <v>43707</v>
      </c>
      <c r="F4201" s="336" t="s">
        <v>800</v>
      </c>
      <c r="G4201" s="336">
        <v>43701</v>
      </c>
      <c r="H4201" s="334" t="s">
        <v>5819</v>
      </c>
      <c r="I4201" s="334">
        <v>18621782815</v>
      </c>
      <c r="J4201" s="361" t="s">
        <v>5820</v>
      </c>
      <c r="K4201" s="337"/>
      <c r="L4201" s="338"/>
      <c r="M4201" s="334">
        <v>1378</v>
      </c>
      <c r="N4201" s="362">
        <f t="shared" si="143"/>
        <v>1378</v>
      </c>
      <c r="X4201" s="339"/>
    </row>
    <row r="4202" s="330" customFormat="1" ht="17" customHeight="1" spans="1:24">
      <c r="A4202" s="334"/>
      <c r="B4202" s="334" t="s">
        <v>73</v>
      </c>
      <c r="C4202" s="334" t="s">
        <v>74</v>
      </c>
      <c r="D4202" s="335" t="s">
        <v>143</v>
      </c>
      <c r="E4202" s="336">
        <v>43707</v>
      </c>
      <c r="F4202" s="336" t="s">
        <v>800</v>
      </c>
      <c r="G4202" s="336">
        <v>43707</v>
      </c>
      <c r="H4202" s="334" t="s">
        <v>10220</v>
      </c>
      <c r="I4202" s="334">
        <v>18621990401</v>
      </c>
      <c r="J4202" s="367" t="s">
        <v>10221</v>
      </c>
      <c r="K4202" s="337"/>
      <c r="L4202" s="338"/>
      <c r="M4202" s="334">
        <f>0.84+1050</f>
        <v>1050.84</v>
      </c>
      <c r="N4202" s="362">
        <f t="shared" si="143"/>
        <v>1050.84</v>
      </c>
      <c r="X4202" s="339"/>
    </row>
    <row r="4203" s="330" customFormat="1" ht="17" customHeight="1" spans="1:24">
      <c r="A4203" s="334"/>
      <c r="B4203" s="348" t="s">
        <v>6313</v>
      </c>
      <c r="C4203" s="334" t="s">
        <v>7871</v>
      </c>
      <c r="D4203" s="352" t="s">
        <v>6313</v>
      </c>
      <c r="E4203" s="336">
        <v>43707</v>
      </c>
      <c r="F4203" s="336" t="s">
        <v>800</v>
      </c>
      <c r="G4203" s="336">
        <v>43707</v>
      </c>
      <c r="H4203" s="334" t="s">
        <v>8517</v>
      </c>
      <c r="I4203" s="334">
        <v>18616637569</v>
      </c>
      <c r="J4203" s="367" t="s">
        <v>8518</v>
      </c>
      <c r="K4203" s="337"/>
      <c r="L4203" s="338"/>
      <c r="M4203" s="334">
        <v>2800</v>
      </c>
      <c r="N4203" s="362">
        <f t="shared" si="143"/>
        <v>2800</v>
      </c>
      <c r="X4203" s="339"/>
    </row>
    <row r="4204" s="330" customFormat="1" ht="17" customHeight="1" spans="1:24">
      <c r="A4204" s="334"/>
      <c r="B4204" s="348" t="s">
        <v>6313</v>
      </c>
      <c r="C4204" s="348" t="s">
        <v>7871</v>
      </c>
      <c r="D4204" s="352" t="s">
        <v>182</v>
      </c>
      <c r="E4204" s="336">
        <v>43707</v>
      </c>
      <c r="F4204" s="336" t="s">
        <v>800</v>
      </c>
      <c r="G4204" s="336">
        <v>43707</v>
      </c>
      <c r="H4204" s="334" t="s">
        <v>7872</v>
      </c>
      <c r="I4204" s="551" t="s">
        <v>10222</v>
      </c>
      <c r="J4204" s="367" t="s">
        <v>7873</v>
      </c>
      <c r="K4204" s="337"/>
      <c r="L4204" s="338"/>
      <c r="M4204" s="334">
        <v>5000</v>
      </c>
      <c r="N4204" s="362">
        <f t="shared" si="143"/>
        <v>5000</v>
      </c>
      <c r="X4204" s="339"/>
    </row>
    <row r="4205" s="330" customFormat="1" ht="17" customHeight="1" spans="1:24">
      <c r="A4205" s="334"/>
      <c r="B4205" s="348" t="s">
        <v>35</v>
      </c>
      <c r="C4205" s="348" t="s">
        <v>328</v>
      </c>
      <c r="D4205" s="352" t="s">
        <v>37</v>
      </c>
      <c r="E4205" s="336">
        <v>43707</v>
      </c>
      <c r="F4205" s="336" t="s">
        <v>800</v>
      </c>
      <c r="G4205" s="336">
        <v>43707</v>
      </c>
      <c r="H4205" s="334" t="s">
        <v>329</v>
      </c>
      <c r="I4205" s="334">
        <v>13301678568</v>
      </c>
      <c r="J4205" s="367" t="s">
        <v>10223</v>
      </c>
      <c r="K4205" s="337"/>
      <c r="L4205" s="338"/>
      <c r="M4205" s="334">
        <v>12238</v>
      </c>
      <c r="N4205" s="362">
        <f t="shared" si="143"/>
        <v>12238</v>
      </c>
      <c r="X4205" s="339"/>
    </row>
    <row r="4206" s="330" customFormat="1" ht="17" customHeight="1" spans="1:24">
      <c r="A4206" s="348">
        <v>2023540</v>
      </c>
      <c r="B4206" s="348" t="s">
        <v>185</v>
      </c>
      <c r="C4206" s="348" t="s">
        <v>186</v>
      </c>
      <c r="D4206" s="334" t="s">
        <v>187</v>
      </c>
      <c r="E4206" s="336">
        <v>43708</v>
      </c>
      <c r="F4206" s="336">
        <v>43677</v>
      </c>
      <c r="G4206" s="336">
        <v>43707</v>
      </c>
      <c r="H4206" s="334" t="s">
        <v>10224</v>
      </c>
      <c r="I4206" s="356">
        <v>18616152705</v>
      </c>
      <c r="J4206" s="361" t="s">
        <v>10225</v>
      </c>
      <c r="K4206" s="452">
        <f>1399+15500</f>
        <v>16899</v>
      </c>
      <c r="L4206" s="334">
        <v>16899</v>
      </c>
      <c r="M4206" s="338"/>
      <c r="N4206" s="362">
        <f t="shared" si="143"/>
        <v>16899</v>
      </c>
      <c r="X4206" s="339"/>
    </row>
    <row r="4207" s="330" customFormat="1" ht="17" customHeight="1" spans="1:24">
      <c r="A4207" s="348"/>
      <c r="B4207" s="348" t="s">
        <v>2625</v>
      </c>
      <c r="C4207" s="348" t="s">
        <v>2626</v>
      </c>
      <c r="D4207" s="334" t="s">
        <v>337</v>
      </c>
      <c r="E4207" s="336">
        <v>43775</v>
      </c>
      <c r="F4207" s="336">
        <v>43683</v>
      </c>
      <c r="G4207" s="336">
        <v>43775</v>
      </c>
      <c r="H4207" s="334" t="s">
        <v>10226</v>
      </c>
      <c r="I4207" s="444">
        <v>13482580204</v>
      </c>
      <c r="J4207" s="361" t="s">
        <v>10227</v>
      </c>
      <c r="K4207" s="452">
        <v>100</v>
      </c>
      <c r="L4207" s="334">
        <v>6300</v>
      </c>
      <c r="M4207" s="338"/>
      <c r="N4207" s="362">
        <f t="shared" si="143"/>
        <v>6300</v>
      </c>
      <c r="Q4207" s="353" t="s">
        <v>3660</v>
      </c>
      <c r="X4207" s="339"/>
    </row>
    <row r="4208" s="330" customFormat="1" ht="17" customHeight="1" spans="1:24">
      <c r="A4208" s="348"/>
      <c r="B4208" s="348" t="s">
        <v>137</v>
      </c>
      <c r="C4208" s="348" t="s">
        <v>480</v>
      </c>
      <c r="D4208" s="335" t="s">
        <v>139</v>
      </c>
      <c r="E4208" s="393">
        <v>43708</v>
      </c>
      <c r="F4208" s="336">
        <v>43684</v>
      </c>
      <c r="G4208" s="399">
        <v>43694</v>
      </c>
      <c r="H4208" s="334" t="s">
        <v>8897</v>
      </c>
      <c r="I4208" s="444">
        <v>15216890775</v>
      </c>
      <c r="J4208" s="361" t="s">
        <v>8898</v>
      </c>
      <c r="K4208" s="452">
        <v>2000</v>
      </c>
      <c r="L4208" s="338"/>
      <c r="M4208" s="338"/>
      <c r="N4208" s="362">
        <f t="shared" si="143"/>
        <v>0</v>
      </c>
      <c r="X4208" s="339"/>
    </row>
    <row r="4209" s="330" customFormat="1" ht="17" customHeight="1" spans="1:24">
      <c r="A4209" s="550" t="s">
        <v>10228</v>
      </c>
      <c r="B4209" s="348" t="s">
        <v>335</v>
      </c>
      <c r="C4209" s="348" t="s">
        <v>615</v>
      </c>
      <c r="D4209" s="334" t="s">
        <v>44</v>
      </c>
      <c r="E4209" s="336">
        <v>43708</v>
      </c>
      <c r="F4209" s="336">
        <v>43683</v>
      </c>
      <c r="G4209" s="399">
        <v>43683</v>
      </c>
      <c r="H4209" s="334" t="s">
        <v>10229</v>
      </c>
      <c r="I4209" s="356">
        <v>18918353664</v>
      </c>
      <c r="J4209" s="361" t="s">
        <v>10230</v>
      </c>
      <c r="K4209" s="452">
        <v>15705</v>
      </c>
      <c r="L4209" s="334">
        <v>15705</v>
      </c>
      <c r="M4209" s="338"/>
      <c r="N4209" s="362">
        <f t="shared" si="143"/>
        <v>15705</v>
      </c>
      <c r="X4209" s="339"/>
    </row>
    <row r="4210" s="330" customFormat="1" ht="17" customHeight="1" spans="1:24">
      <c r="A4210" s="550" t="s">
        <v>10231</v>
      </c>
      <c r="B4210" s="348" t="s">
        <v>315</v>
      </c>
      <c r="C4210" s="348" t="s">
        <v>230</v>
      </c>
      <c r="D4210" s="335" t="s">
        <v>182</v>
      </c>
      <c r="E4210" s="336">
        <v>43767</v>
      </c>
      <c r="F4210" s="336">
        <v>43687</v>
      </c>
      <c r="G4210" s="336">
        <v>43762</v>
      </c>
      <c r="H4210" s="334" t="s">
        <v>10232</v>
      </c>
      <c r="I4210" s="444">
        <v>18818265157</v>
      </c>
      <c r="J4210" s="361" t="s">
        <v>10233</v>
      </c>
      <c r="K4210" s="452">
        <v>1000</v>
      </c>
      <c r="L4210" s="334">
        <v>15975</v>
      </c>
      <c r="M4210" s="338"/>
      <c r="N4210" s="362">
        <f t="shared" si="143"/>
        <v>15975</v>
      </c>
      <c r="S4210" s="356">
        <v>1</v>
      </c>
      <c r="X4210" s="339"/>
    </row>
    <row r="4211" s="330" customFormat="1" ht="17" customHeight="1" spans="1:24">
      <c r="A4211" s="550" t="s">
        <v>10234</v>
      </c>
      <c r="B4211" s="348" t="s">
        <v>87</v>
      </c>
      <c r="C4211" s="348" t="s">
        <v>466</v>
      </c>
      <c r="D4211" s="335" t="s">
        <v>89</v>
      </c>
      <c r="E4211" s="393">
        <v>43708</v>
      </c>
      <c r="F4211" s="336">
        <v>43688</v>
      </c>
      <c r="G4211" s="448" t="s">
        <v>69</v>
      </c>
      <c r="H4211" s="334" t="s">
        <v>3368</v>
      </c>
      <c r="I4211" s="444"/>
      <c r="J4211" s="361" t="s">
        <v>10235</v>
      </c>
      <c r="K4211" s="452">
        <v>1000</v>
      </c>
      <c r="L4211" s="338"/>
      <c r="M4211" s="338"/>
      <c r="N4211" s="362">
        <f t="shared" si="143"/>
        <v>0</v>
      </c>
      <c r="X4211" s="339"/>
    </row>
    <row r="4212" s="330" customFormat="1" ht="17" customHeight="1" spans="1:24">
      <c r="A4212" s="550" t="s">
        <v>10236</v>
      </c>
      <c r="B4212" s="348" t="s">
        <v>137</v>
      </c>
      <c r="C4212" s="348" t="s">
        <v>861</v>
      </c>
      <c r="D4212" s="335" t="s">
        <v>139</v>
      </c>
      <c r="E4212" s="336">
        <v>43708</v>
      </c>
      <c r="F4212" s="336">
        <v>43688</v>
      </c>
      <c r="G4212" s="399"/>
      <c r="H4212" s="334" t="s">
        <v>10237</v>
      </c>
      <c r="I4212" s="444">
        <v>13681929866</v>
      </c>
      <c r="J4212" s="348" t="s">
        <v>10238</v>
      </c>
      <c r="K4212" s="452">
        <v>1000</v>
      </c>
      <c r="L4212" s="338"/>
      <c r="M4212" s="338"/>
      <c r="N4212" s="362">
        <f t="shared" si="143"/>
        <v>0</v>
      </c>
      <c r="P4212" s="330">
        <v>1</v>
      </c>
      <c r="U4212" s="330" t="s">
        <v>12</v>
      </c>
      <c r="X4212" s="339"/>
    </row>
    <row r="4213" s="330" customFormat="1" ht="17" customHeight="1" spans="1:24">
      <c r="A4213" s="550" t="s">
        <v>10239</v>
      </c>
      <c r="B4213" s="348" t="s">
        <v>137</v>
      </c>
      <c r="C4213" s="334" t="s">
        <v>861</v>
      </c>
      <c r="D4213" s="334" t="s">
        <v>443</v>
      </c>
      <c r="E4213" s="336">
        <v>43785</v>
      </c>
      <c r="F4213" s="336">
        <v>43688</v>
      </c>
      <c r="G4213" s="336">
        <v>43779</v>
      </c>
      <c r="H4213" s="334" t="s">
        <v>10240</v>
      </c>
      <c r="I4213" s="444">
        <v>18917672396</v>
      </c>
      <c r="J4213" s="361" t="s">
        <v>10241</v>
      </c>
      <c r="K4213" s="452">
        <v>1000</v>
      </c>
      <c r="L4213" s="334">
        <v>11449</v>
      </c>
      <c r="M4213" s="338"/>
      <c r="N4213" s="362">
        <f t="shared" si="143"/>
        <v>11449</v>
      </c>
      <c r="X4213" s="339"/>
    </row>
    <row r="4214" s="330" customFormat="1" ht="15" customHeight="1" spans="1:24">
      <c r="A4214" s="348"/>
      <c r="B4214" s="348" t="s">
        <v>405</v>
      </c>
      <c r="C4214" s="348" t="s">
        <v>1234</v>
      </c>
      <c r="D4214" s="335" t="s">
        <v>407</v>
      </c>
      <c r="E4214" s="336">
        <v>43708</v>
      </c>
      <c r="F4214" s="336">
        <v>43688</v>
      </c>
      <c r="G4214" s="399"/>
      <c r="H4214" s="334" t="s">
        <v>8310</v>
      </c>
      <c r="I4214" s="444">
        <v>13795231926</v>
      </c>
      <c r="J4214" s="361" t="s">
        <v>8311</v>
      </c>
      <c r="K4214" s="452">
        <v>800</v>
      </c>
      <c r="L4214" s="338"/>
      <c r="M4214" s="338"/>
      <c r="N4214" s="362">
        <f t="shared" si="143"/>
        <v>0</v>
      </c>
      <c r="P4214" s="356" t="s">
        <v>52</v>
      </c>
      <c r="X4214" s="339"/>
    </row>
    <row r="4215" s="330" customFormat="1" ht="17" customHeight="1" spans="1:24">
      <c r="A4215" s="550" t="s">
        <v>2139</v>
      </c>
      <c r="B4215" s="348" t="s">
        <v>123</v>
      </c>
      <c r="C4215" s="348" t="s">
        <v>902</v>
      </c>
      <c r="D4215" s="335" t="s">
        <v>125</v>
      </c>
      <c r="E4215" s="336">
        <v>43708</v>
      </c>
      <c r="F4215" s="336">
        <v>43690</v>
      </c>
      <c r="G4215" s="399">
        <v>43697</v>
      </c>
      <c r="H4215" s="334" t="s">
        <v>10242</v>
      </c>
      <c r="I4215" s="444">
        <v>13917956022</v>
      </c>
      <c r="J4215" s="361" t="s">
        <v>10243</v>
      </c>
      <c r="K4215" s="452">
        <v>1000</v>
      </c>
      <c r="L4215" s="338"/>
      <c r="M4215" s="338"/>
      <c r="N4215" s="362">
        <f t="shared" si="143"/>
        <v>0</v>
      </c>
      <c r="U4215" s="372" t="s">
        <v>128</v>
      </c>
      <c r="X4215" s="339"/>
    </row>
    <row r="4216" s="330" customFormat="1" ht="17" customHeight="1" spans="1:24">
      <c r="A4216" s="348"/>
      <c r="B4216" s="348" t="s">
        <v>153</v>
      </c>
      <c r="C4216" s="348" t="s">
        <v>302</v>
      </c>
      <c r="D4216" s="335" t="s">
        <v>155</v>
      </c>
      <c r="E4216" s="336">
        <v>43714</v>
      </c>
      <c r="F4216" s="336">
        <v>43692</v>
      </c>
      <c r="G4216" s="336">
        <v>43713</v>
      </c>
      <c r="H4216" s="334" t="s">
        <v>10244</v>
      </c>
      <c r="I4216" s="444">
        <v>18101693870</v>
      </c>
      <c r="J4216" s="361" t="s">
        <v>10245</v>
      </c>
      <c r="K4216" s="452">
        <v>999</v>
      </c>
      <c r="L4216" s="334">
        <v>1817</v>
      </c>
      <c r="M4216" s="338"/>
      <c r="N4216" s="362">
        <f t="shared" si="143"/>
        <v>1817</v>
      </c>
      <c r="X4216" s="339"/>
    </row>
    <row r="4217" s="330" customFormat="1" ht="17" customHeight="1" spans="1:24">
      <c r="A4217" s="550" t="s">
        <v>10246</v>
      </c>
      <c r="B4217" s="348" t="s">
        <v>31</v>
      </c>
      <c r="C4217" s="348" t="s">
        <v>419</v>
      </c>
      <c r="D4217" s="335" t="s">
        <v>221</v>
      </c>
      <c r="E4217" s="336">
        <v>43708</v>
      </c>
      <c r="F4217" s="336">
        <v>43693</v>
      </c>
      <c r="G4217" s="399">
        <v>43693</v>
      </c>
      <c r="H4217" s="334" t="s">
        <v>9941</v>
      </c>
      <c r="I4217" s="356">
        <v>13661688861</v>
      </c>
      <c r="J4217" s="361" t="s">
        <v>9942</v>
      </c>
      <c r="K4217" s="452">
        <v>7500</v>
      </c>
      <c r="L4217" s="338"/>
      <c r="M4217" s="338"/>
      <c r="N4217" s="362">
        <f t="shared" si="143"/>
        <v>0</v>
      </c>
      <c r="X4217" s="339"/>
    </row>
    <row r="4218" s="330" customFormat="1" ht="17" customHeight="1" spans="1:24">
      <c r="A4218" s="348"/>
      <c r="B4218" s="348" t="s">
        <v>153</v>
      </c>
      <c r="C4218" s="348" t="s">
        <v>302</v>
      </c>
      <c r="D4218" s="335" t="s">
        <v>155</v>
      </c>
      <c r="E4218" s="336">
        <v>43772</v>
      </c>
      <c r="F4218" s="336">
        <v>43693</v>
      </c>
      <c r="G4218" s="336">
        <v>43767</v>
      </c>
      <c r="H4218" s="334" t="s">
        <v>10116</v>
      </c>
      <c r="I4218" s="444">
        <v>13801708349</v>
      </c>
      <c r="J4218" s="361" t="s">
        <v>10247</v>
      </c>
      <c r="K4218" s="452">
        <v>1000</v>
      </c>
      <c r="L4218" s="334">
        <v>16371</v>
      </c>
      <c r="M4218" s="338"/>
      <c r="N4218" s="362">
        <f t="shared" si="143"/>
        <v>16371</v>
      </c>
      <c r="X4218" s="339"/>
    </row>
    <row r="4219" s="330" customFormat="1" ht="17" customHeight="1" spans="1:24">
      <c r="A4219" s="556" t="s">
        <v>10248</v>
      </c>
      <c r="B4219" s="445" t="s">
        <v>31</v>
      </c>
      <c r="C4219" s="445" t="s">
        <v>3186</v>
      </c>
      <c r="D4219" s="334" t="s">
        <v>954</v>
      </c>
      <c r="E4219" s="336">
        <v>43782</v>
      </c>
      <c r="F4219" s="464">
        <v>43694</v>
      </c>
      <c r="G4219" s="336">
        <v>43781</v>
      </c>
      <c r="H4219" s="410" t="s">
        <v>9311</v>
      </c>
      <c r="I4219" s="465">
        <v>18016031107</v>
      </c>
      <c r="J4219" s="446" t="s">
        <v>10249</v>
      </c>
      <c r="K4219" s="466">
        <v>999</v>
      </c>
      <c r="L4219" s="334">
        <v>1949</v>
      </c>
      <c r="M4219" s="338"/>
      <c r="N4219" s="362">
        <f t="shared" si="143"/>
        <v>1949</v>
      </c>
      <c r="X4219" s="339"/>
    </row>
    <row r="4220" s="330" customFormat="1" ht="17" customHeight="1" spans="1:24">
      <c r="A4220" s="445"/>
      <c r="B4220" s="445" t="s">
        <v>2625</v>
      </c>
      <c r="C4220" s="445" t="s">
        <v>2626</v>
      </c>
      <c r="D4220" s="334" t="s">
        <v>44</v>
      </c>
      <c r="E4220" s="336">
        <v>43737</v>
      </c>
      <c r="F4220" s="464">
        <v>43695</v>
      </c>
      <c r="G4220" s="336">
        <v>43737</v>
      </c>
      <c r="H4220" s="410" t="s">
        <v>8800</v>
      </c>
      <c r="I4220" s="465">
        <v>18918271583</v>
      </c>
      <c r="J4220" s="446" t="s">
        <v>8801</v>
      </c>
      <c r="K4220" s="466">
        <v>1000</v>
      </c>
      <c r="L4220" s="334">
        <v>5714</v>
      </c>
      <c r="M4220" s="338"/>
      <c r="N4220" s="362">
        <f t="shared" si="143"/>
        <v>5714</v>
      </c>
      <c r="Q4220" s="353" t="s">
        <v>3660</v>
      </c>
      <c r="X4220" s="339"/>
    </row>
    <row r="4221" s="330" customFormat="1" ht="17" customHeight="1" spans="1:24">
      <c r="A4221" s="445"/>
      <c r="B4221" s="445" t="s">
        <v>31</v>
      </c>
      <c r="C4221" s="445" t="s">
        <v>220</v>
      </c>
      <c r="D4221" s="335" t="s">
        <v>221</v>
      </c>
      <c r="E4221" s="393">
        <v>43708</v>
      </c>
      <c r="F4221" s="464">
        <v>43695</v>
      </c>
      <c r="G4221" s="468"/>
      <c r="H4221" s="410" t="s">
        <v>10250</v>
      </c>
      <c r="I4221" s="465">
        <v>18916325833</v>
      </c>
      <c r="J4221" s="446" t="s">
        <v>10251</v>
      </c>
      <c r="K4221" s="466">
        <v>1000</v>
      </c>
      <c r="L4221" s="338"/>
      <c r="M4221" s="338"/>
      <c r="N4221" s="362">
        <f t="shared" si="143"/>
        <v>0</v>
      </c>
      <c r="U4221" s="400" t="s">
        <v>1796</v>
      </c>
      <c r="X4221" s="339"/>
    </row>
    <row r="4222" s="330" customFormat="1" ht="17" customHeight="1" spans="1:24">
      <c r="A4222" s="348"/>
      <c r="B4222" s="348" t="s">
        <v>87</v>
      </c>
      <c r="C4222" s="348" t="s">
        <v>498</v>
      </c>
      <c r="D4222" s="335" t="s">
        <v>89</v>
      </c>
      <c r="E4222" s="393">
        <v>43708</v>
      </c>
      <c r="F4222" s="336">
        <v>43694</v>
      </c>
      <c r="G4222" s="353" t="s">
        <v>69</v>
      </c>
      <c r="H4222" s="334" t="s">
        <v>9328</v>
      </c>
      <c r="I4222" s="356">
        <v>13331962588</v>
      </c>
      <c r="J4222" s="361" t="s">
        <v>9329</v>
      </c>
      <c r="K4222" s="356">
        <v>3700</v>
      </c>
      <c r="L4222" s="338"/>
      <c r="M4222" s="338"/>
      <c r="N4222" s="362">
        <f t="shared" si="143"/>
        <v>0</v>
      </c>
      <c r="O4222" s="356" t="s">
        <v>52</v>
      </c>
      <c r="U4222" s="415"/>
      <c r="X4222" s="339"/>
    </row>
    <row r="4223" s="330" customFormat="1" ht="17" customHeight="1" spans="1:24">
      <c r="A4223" s="550" t="s">
        <v>10252</v>
      </c>
      <c r="B4223" s="348" t="s">
        <v>31</v>
      </c>
      <c r="C4223" s="348" t="s">
        <v>3186</v>
      </c>
      <c r="D4223" s="335" t="s">
        <v>33</v>
      </c>
      <c r="E4223" s="336">
        <v>43728</v>
      </c>
      <c r="F4223" s="336">
        <v>43701</v>
      </c>
      <c r="G4223" s="336">
        <v>43728</v>
      </c>
      <c r="H4223" s="334" t="s">
        <v>10253</v>
      </c>
      <c r="I4223" s="444">
        <v>13501717765</v>
      </c>
      <c r="J4223" s="361" t="s">
        <v>10254</v>
      </c>
      <c r="K4223" s="452">
        <v>1000</v>
      </c>
      <c r="L4223" s="334">
        <v>16750</v>
      </c>
      <c r="M4223" s="334">
        <v>4052</v>
      </c>
      <c r="N4223" s="362">
        <f t="shared" ref="N4223:N4230" si="144">L4223+M4223</f>
        <v>20802</v>
      </c>
      <c r="X4223" s="339"/>
    </row>
    <row r="4224" s="330" customFormat="1" ht="17" customHeight="1" spans="1:24">
      <c r="A4224" s="550" t="s">
        <v>10255</v>
      </c>
      <c r="B4224" s="348" t="s">
        <v>87</v>
      </c>
      <c r="C4224" s="348" t="s">
        <v>466</v>
      </c>
      <c r="D4224" s="335" t="s">
        <v>89</v>
      </c>
      <c r="E4224" s="336">
        <v>43708</v>
      </c>
      <c r="F4224" s="336">
        <v>43702</v>
      </c>
      <c r="G4224" s="399"/>
      <c r="H4224" s="334" t="s">
        <v>10256</v>
      </c>
      <c r="I4224" s="444">
        <v>15121034679</v>
      </c>
      <c r="J4224" s="361" t="s">
        <v>10257</v>
      </c>
      <c r="K4224" s="452">
        <v>5282</v>
      </c>
      <c r="L4224" s="338"/>
      <c r="M4224" s="338"/>
      <c r="N4224" s="362">
        <f t="shared" si="144"/>
        <v>0</v>
      </c>
      <c r="O4224" s="356" t="s">
        <v>52</v>
      </c>
      <c r="U4224" s="448" t="s">
        <v>69</v>
      </c>
      <c r="X4224" s="339"/>
    </row>
    <row r="4225" s="330" customFormat="1" ht="17" customHeight="1" spans="1:24">
      <c r="A4225" s="348"/>
      <c r="B4225" s="348" t="s">
        <v>66</v>
      </c>
      <c r="C4225" s="348" t="s">
        <v>10258</v>
      </c>
      <c r="D4225" s="335" t="s">
        <v>68</v>
      </c>
      <c r="E4225" s="336">
        <v>43745</v>
      </c>
      <c r="F4225" s="336">
        <v>43701</v>
      </c>
      <c r="G4225" s="336">
        <v>43745</v>
      </c>
      <c r="H4225" s="334" t="s">
        <v>10259</v>
      </c>
      <c r="I4225" s="444">
        <v>1901724318</v>
      </c>
      <c r="J4225" s="361" t="s">
        <v>10260</v>
      </c>
      <c r="K4225" s="452">
        <v>1000</v>
      </c>
      <c r="L4225" s="334">
        <v>19927</v>
      </c>
      <c r="M4225" s="338"/>
      <c r="N4225" s="362">
        <f t="shared" si="144"/>
        <v>19927</v>
      </c>
      <c r="X4225" s="339"/>
    </row>
    <row r="4226" s="330" customFormat="1" ht="17" customHeight="1" spans="1:24">
      <c r="A4226" s="550" t="s">
        <v>10261</v>
      </c>
      <c r="B4226" s="348" t="s">
        <v>137</v>
      </c>
      <c r="C4226" s="348" t="s">
        <v>861</v>
      </c>
      <c r="D4226" s="334" t="s">
        <v>343</v>
      </c>
      <c r="E4226" s="336">
        <v>43720</v>
      </c>
      <c r="F4226" s="336">
        <v>43703</v>
      </c>
      <c r="G4226" s="336">
        <v>43720</v>
      </c>
      <c r="H4226" s="334" t="s">
        <v>10262</v>
      </c>
      <c r="I4226" s="444">
        <v>15221457247</v>
      </c>
      <c r="J4226" s="361" t="s">
        <v>10263</v>
      </c>
      <c r="K4226" s="452">
        <v>1000</v>
      </c>
      <c r="L4226" s="334">
        <v>25754</v>
      </c>
      <c r="M4226" s="338"/>
      <c r="N4226" s="362">
        <f t="shared" si="144"/>
        <v>25754</v>
      </c>
      <c r="X4226" s="339"/>
    </row>
    <row r="4227" s="330" customFormat="1" ht="17" customHeight="1" spans="1:24">
      <c r="A4227" s="550" t="s">
        <v>10264</v>
      </c>
      <c r="B4227" s="348" t="s">
        <v>137</v>
      </c>
      <c r="C4227" s="348" t="s">
        <v>861</v>
      </c>
      <c r="D4227" s="335" t="s">
        <v>427</v>
      </c>
      <c r="E4227" s="336">
        <v>43708</v>
      </c>
      <c r="F4227" s="336">
        <v>43702</v>
      </c>
      <c r="G4227" s="399"/>
      <c r="H4227" s="334" t="s">
        <v>10265</v>
      </c>
      <c r="I4227" s="444">
        <v>18964336245</v>
      </c>
      <c r="J4227" s="361" t="s">
        <v>10266</v>
      </c>
      <c r="K4227" s="452">
        <v>1000</v>
      </c>
      <c r="L4227" s="338"/>
      <c r="M4227" s="338"/>
      <c r="N4227" s="362">
        <f t="shared" ref="N4227:N4268" si="145">L4227+M4227</f>
        <v>0</v>
      </c>
      <c r="U4227" s="400" t="s">
        <v>10267</v>
      </c>
      <c r="X4227" s="339"/>
    </row>
    <row r="4228" s="330" customFormat="1" ht="17" customHeight="1" spans="1:24">
      <c r="A4228" s="348"/>
      <c r="B4228" s="348" t="s">
        <v>5336</v>
      </c>
      <c r="C4228" s="348" t="s">
        <v>5336</v>
      </c>
      <c r="D4228" s="334" t="s">
        <v>10268</v>
      </c>
      <c r="E4228" s="336">
        <v>43709</v>
      </c>
      <c r="F4228" s="336">
        <v>43659</v>
      </c>
      <c r="G4228" s="336">
        <v>43709</v>
      </c>
      <c r="H4228" s="334" t="s">
        <v>10269</v>
      </c>
      <c r="I4228" s="444" t="s">
        <v>10270</v>
      </c>
      <c r="J4228" s="361" t="s">
        <v>10271</v>
      </c>
      <c r="K4228" s="452">
        <v>7457</v>
      </c>
      <c r="L4228" s="334">
        <v>7537</v>
      </c>
      <c r="M4228" s="338"/>
      <c r="N4228" s="362">
        <f t="shared" si="145"/>
        <v>7537</v>
      </c>
      <c r="X4228" s="339"/>
    </row>
    <row r="4229" s="330" customFormat="1" ht="17" customHeight="1" spans="1:24">
      <c r="A4229" s="348"/>
      <c r="B4229" s="348" t="s">
        <v>5336</v>
      </c>
      <c r="C4229" s="348" t="s">
        <v>5336</v>
      </c>
      <c r="D4229" s="334" t="s">
        <v>68</v>
      </c>
      <c r="E4229" s="336">
        <v>43730</v>
      </c>
      <c r="F4229" s="336">
        <v>43667</v>
      </c>
      <c r="G4229" s="336">
        <v>43730</v>
      </c>
      <c r="H4229" s="334" t="s">
        <v>10272</v>
      </c>
      <c r="I4229" s="444">
        <v>13917351838</v>
      </c>
      <c r="J4229" s="361" t="s">
        <v>10273</v>
      </c>
      <c r="K4229" s="452">
        <v>8036</v>
      </c>
      <c r="L4229" s="334">
        <v>10705</v>
      </c>
      <c r="M4229" s="338"/>
      <c r="N4229" s="362">
        <f t="shared" si="145"/>
        <v>10705</v>
      </c>
      <c r="X4229" s="339"/>
    </row>
    <row r="4230" s="330" customFormat="1" ht="17" customHeight="1" spans="1:24">
      <c r="A4230" s="348"/>
      <c r="B4230" s="348" t="s">
        <v>5336</v>
      </c>
      <c r="C4230" s="334" t="s">
        <v>5336</v>
      </c>
      <c r="D4230" s="334" t="s">
        <v>954</v>
      </c>
      <c r="E4230" s="336">
        <v>43736</v>
      </c>
      <c r="F4230" s="336">
        <v>43667</v>
      </c>
      <c r="G4230" s="336">
        <v>43735</v>
      </c>
      <c r="H4230" s="334" t="s">
        <v>10274</v>
      </c>
      <c r="I4230" s="334">
        <v>13524643029</v>
      </c>
      <c r="J4230" s="367" t="s">
        <v>10275</v>
      </c>
      <c r="K4230" s="334">
        <v>3394</v>
      </c>
      <c r="L4230" s="334">
        <v>4715</v>
      </c>
      <c r="M4230" s="338"/>
      <c r="N4230" s="362">
        <f t="shared" si="145"/>
        <v>4715</v>
      </c>
      <c r="X4230" s="339"/>
    </row>
    <row r="4231" s="330" customFormat="1" ht="17" customHeight="1" spans="1:24">
      <c r="A4231" s="348"/>
      <c r="B4231" s="348" t="s">
        <v>5336</v>
      </c>
      <c r="C4231" s="348" t="s">
        <v>5336</v>
      </c>
      <c r="D4231" s="334" t="s">
        <v>443</v>
      </c>
      <c r="E4231" s="336">
        <v>43717</v>
      </c>
      <c r="F4231" s="336">
        <v>43669</v>
      </c>
      <c r="G4231" s="336">
        <v>43669</v>
      </c>
      <c r="H4231" s="334" t="s">
        <v>10276</v>
      </c>
      <c r="I4231" s="444">
        <v>18321407830</v>
      </c>
      <c r="J4231" s="361" t="s">
        <v>10277</v>
      </c>
      <c r="K4231" s="452">
        <v>8591</v>
      </c>
      <c r="L4231" s="334">
        <v>9192</v>
      </c>
      <c r="M4231" s="338"/>
      <c r="N4231" s="362">
        <f t="shared" si="145"/>
        <v>9192</v>
      </c>
      <c r="X4231" s="339"/>
    </row>
    <row r="4232" s="330" customFormat="1" ht="17" customHeight="1" spans="1:24">
      <c r="A4232" s="348"/>
      <c r="B4232" s="348" t="s">
        <v>5336</v>
      </c>
      <c r="C4232" s="348" t="s">
        <v>5336</v>
      </c>
      <c r="D4232" s="348" t="s">
        <v>5336</v>
      </c>
      <c r="E4232" s="336">
        <v>43719</v>
      </c>
      <c r="F4232" s="336">
        <v>43675</v>
      </c>
      <c r="G4232" s="336">
        <v>43718</v>
      </c>
      <c r="H4232" s="334" t="s">
        <v>10278</v>
      </c>
      <c r="I4232" s="444">
        <v>13916702812</v>
      </c>
      <c r="J4232" s="361" t="s">
        <v>10279</v>
      </c>
      <c r="K4232" s="452">
        <v>11616</v>
      </c>
      <c r="L4232" s="334">
        <v>17072</v>
      </c>
      <c r="M4232" s="338"/>
      <c r="N4232" s="362">
        <f t="shared" si="145"/>
        <v>17072</v>
      </c>
      <c r="X4232" s="339"/>
    </row>
    <row r="4233" s="330" customFormat="1" ht="17" customHeight="1" spans="1:24">
      <c r="A4233" s="348"/>
      <c r="B4233" s="348" t="s">
        <v>5336</v>
      </c>
      <c r="C4233" s="348" t="s">
        <v>5336</v>
      </c>
      <c r="D4233" s="334" t="s">
        <v>337</v>
      </c>
      <c r="E4233" s="336">
        <v>43736</v>
      </c>
      <c r="F4233" s="336">
        <v>43675</v>
      </c>
      <c r="G4233" s="336">
        <v>43735</v>
      </c>
      <c r="H4233" s="334" t="s">
        <v>10280</v>
      </c>
      <c r="I4233" s="444">
        <v>13122759589</v>
      </c>
      <c r="J4233" s="361" t="s">
        <v>10281</v>
      </c>
      <c r="K4233" s="452">
        <v>2734</v>
      </c>
      <c r="L4233" s="334">
        <v>2735</v>
      </c>
      <c r="M4233" s="338"/>
      <c r="N4233" s="362">
        <f t="shared" si="145"/>
        <v>2735</v>
      </c>
      <c r="X4233" s="339"/>
    </row>
    <row r="4234" s="330" customFormat="1" ht="17" customHeight="1" spans="1:24">
      <c r="A4234" s="348"/>
      <c r="B4234" s="348" t="s">
        <v>5336</v>
      </c>
      <c r="C4234" s="348" t="s">
        <v>5336</v>
      </c>
      <c r="D4234" s="334" t="s">
        <v>68</v>
      </c>
      <c r="E4234" s="336">
        <v>43773</v>
      </c>
      <c r="F4234" s="336">
        <v>43676</v>
      </c>
      <c r="G4234" s="336">
        <v>43773</v>
      </c>
      <c r="H4234" s="334" t="s">
        <v>10282</v>
      </c>
      <c r="I4234" s="444">
        <v>13636448646</v>
      </c>
      <c r="J4234" s="361" t="s">
        <v>10283</v>
      </c>
      <c r="K4234" s="452">
        <v>7464</v>
      </c>
      <c r="L4234" s="334">
        <v>8759</v>
      </c>
      <c r="M4234" s="338"/>
      <c r="N4234" s="362">
        <f t="shared" si="145"/>
        <v>8759</v>
      </c>
      <c r="X4234" s="339"/>
    </row>
    <row r="4235" s="330" customFormat="1" ht="17" customHeight="1" spans="1:24">
      <c r="A4235" s="348"/>
      <c r="B4235" s="348" t="s">
        <v>5336</v>
      </c>
      <c r="C4235" s="408" t="s">
        <v>5336</v>
      </c>
      <c r="D4235" s="334" t="s">
        <v>110</v>
      </c>
      <c r="E4235" s="336">
        <v>43761</v>
      </c>
      <c r="F4235" s="336">
        <v>43678</v>
      </c>
      <c r="G4235" s="336">
        <v>43760</v>
      </c>
      <c r="H4235" s="334" t="s">
        <v>10284</v>
      </c>
      <c r="I4235" s="334">
        <v>13602267106</v>
      </c>
      <c r="J4235" s="367" t="s">
        <v>10285</v>
      </c>
      <c r="K4235" s="334">
        <v>24066</v>
      </c>
      <c r="L4235" s="334">
        <v>22688</v>
      </c>
      <c r="M4235" s="338"/>
      <c r="N4235" s="362">
        <f t="shared" si="145"/>
        <v>22688</v>
      </c>
      <c r="X4235" s="339"/>
    </row>
    <row r="4236" s="330" customFormat="1" ht="17" customHeight="1" spans="1:24">
      <c r="A4236" s="348"/>
      <c r="B4236" s="348" t="s">
        <v>5336</v>
      </c>
      <c r="C4236" s="348" t="s">
        <v>5336</v>
      </c>
      <c r="D4236" s="334" t="s">
        <v>68</v>
      </c>
      <c r="E4236" s="336">
        <v>43757</v>
      </c>
      <c r="F4236" s="336">
        <v>43678</v>
      </c>
      <c r="G4236" s="336">
        <v>43756</v>
      </c>
      <c r="H4236" s="334" t="s">
        <v>10284</v>
      </c>
      <c r="I4236" s="444">
        <v>13602267106</v>
      </c>
      <c r="J4236" s="361" t="s">
        <v>10286</v>
      </c>
      <c r="K4236" s="452">
        <v>22733</v>
      </c>
      <c r="L4236" s="334">
        <v>14151</v>
      </c>
      <c r="M4236" s="338"/>
      <c r="N4236" s="362">
        <f t="shared" si="145"/>
        <v>14151</v>
      </c>
      <c r="X4236" s="339"/>
    </row>
    <row r="4237" s="330" customFormat="1" ht="17" customHeight="1" spans="1:24">
      <c r="A4237" s="348"/>
      <c r="B4237" s="348" t="s">
        <v>5336</v>
      </c>
      <c r="C4237" s="334" t="s">
        <v>5336</v>
      </c>
      <c r="D4237" s="334" t="s">
        <v>44</v>
      </c>
      <c r="E4237" s="336">
        <v>43727</v>
      </c>
      <c r="F4237" s="336">
        <v>43679</v>
      </c>
      <c r="G4237" s="336">
        <v>43725</v>
      </c>
      <c r="H4237" s="334" t="s">
        <v>10287</v>
      </c>
      <c r="I4237" s="334" t="s">
        <v>10288</v>
      </c>
      <c r="J4237" s="367" t="s">
        <v>10289</v>
      </c>
      <c r="K4237" s="334">
        <v>4706</v>
      </c>
      <c r="L4237" s="334">
        <v>7068</v>
      </c>
      <c r="M4237" s="338"/>
      <c r="N4237" s="362">
        <f t="shared" si="145"/>
        <v>7068</v>
      </c>
      <c r="X4237" s="339"/>
    </row>
    <row r="4238" s="330" customFormat="1" ht="17" customHeight="1" spans="1:24">
      <c r="A4238" s="348"/>
      <c r="B4238" s="348" t="s">
        <v>5336</v>
      </c>
      <c r="C4238" s="348" t="s">
        <v>5336</v>
      </c>
      <c r="D4238" s="334" t="s">
        <v>8334</v>
      </c>
      <c r="E4238" s="336">
        <v>43773</v>
      </c>
      <c r="F4238" s="336">
        <v>43686</v>
      </c>
      <c r="G4238" s="336">
        <v>43773</v>
      </c>
      <c r="H4238" s="334" t="s">
        <v>10290</v>
      </c>
      <c r="I4238" s="444">
        <v>17521528886</v>
      </c>
      <c r="J4238" s="361" t="s">
        <v>10291</v>
      </c>
      <c r="K4238" s="452">
        <v>12994</v>
      </c>
      <c r="L4238" s="334">
        <v>14869</v>
      </c>
      <c r="M4238" s="338"/>
      <c r="N4238" s="362">
        <f t="shared" si="145"/>
        <v>14869</v>
      </c>
      <c r="X4238" s="339"/>
    </row>
    <row r="4239" s="330" customFormat="1" ht="17" customHeight="1" spans="1:24">
      <c r="A4239" s="348"/>
      <c r="B4239" s="348" t="s">
        <v>5336</v>
      </c>
      <c r="C4239" s="348" t="s">
        <v>5336</v>
      </c>
      <c r="D4239" s="335" t="s">
        <v>8334</v>
      </c>
      <c r="E4239" s="336">
        <v>43708</v>
      </c>
      <c r="F4239" s="336">
        <v>43686</v>
      </c>
      <c r="G4239" s="399" t="s">
        <v>10292</v>
      </c>
      <c r="H4239" s="334" t="s">
        <v>10293</v>
      </c>
      <c r="I4239" s="444">
        <v>15951059762</v>
      </c>
      <c r="J4239" s="361" t="s">
        <v>10294</v>
      </c>
      <c r="K4239" s="452">
        <v>1773</v>
      </c>
      <c r="L4239" s="338"/>
      <c r="M4239" s="338"/>
      <c r="N4239" s="362">
        <f t="shared" si="145"/>
        <v>0</v>
      </c>
      <c r="X4239" s="339"/>
    </row>
    <row r="4240" s="330" customFormat="1" ht="17" customHeight="1" spans="1:24">
      <c r="A4240" s="348"/>
      <c r="B4240" s="348" t="s">
        <v>5336</v>
      </c>
      <c r="C4240" s="334" t="s">
        <v>5336</v>
      </c>
      <c r="D4240" s="334" t="s">
        <v>1436</v>
      </c>
      <c r="E4240" s="336">
        <v>43724</v>
      </c>
      <c r="F4240" s="336">
        <v>43687</v>
      </c>
      <c r="G4240" s="336">
        <v>43724</v>
      </c>
      <c r="H4240" s="334" t="s">
        <v>10295</v>
      </c>
      <c r="I4240" s="334">
        <v>13524688622</v>
      </c>
      <c r="J4240" s="367" t="s">
        <v>10296</v>
      </c>
      <c r="K4240" s="334">
        <v>9652</v>
      </c>
      <c r="L4240" s="334">
        <v>15055</v>
      </c>
      <c r="M4240" s="338"/>
      <c r="N4240" s="362">
        <f t="shared" si="145"/>
        <v>15055</v>
      </c>
      <c r="X4240" s="339"/>
    </row>
    <row r="4241" s="330" customFormat="1" ht="17" customHeight="1" spans="1:24">
      <c r="A4241" s="348"/>
      <c r="B4241" s="348" t="s">
        <v>5336</v>
      </c>
      <c r="C4241" s="334" t="s">
        <v>10297</v>
      </c>
      <c r="D4241" s="334" t="s">
        <v>155</v>
      </c>
      <c r="E4241" s="336">
        <v>43715</v>
      </c>
      <c r="F4241" s="336">
        <v>43688</v>
      </c>
      <c r="G4241" s="336">
        <v>43715</v>
      </c>
      <c r="H4241" s="334" t="s">
        <v>10298</v>
      </c>
      <c r="I4241" s="444" t="s">
        <v>10299</v>
      </c>
      <c r="J4241" s="361" t="s">
        <v>10300</v>
      </c>
      <c r="K4241" s="452">
        <v>7233</v>
      </c>
      <c r="L4241" s="334">
        <v>7234</v>
      </c>
      <c r="M4241" s="338"/>
      <c r="N4241" s="362">
        <f t="shared" si="145"/>
        <v>7234</v>
      </c>
      <c r="X4241" s="339"/>
    </row>
    <row r="4242" s="330" customFormat="1" ht="17" customHeight="1" spans="1:24">
      <c r="A4242" s="348"/>
      <c r="B4242" s="348" t="s">
        <v>5336</v>
      </c>
      <c r="C4242" s="348" t="s">
        <v>5336</v>
      </c>
      <c r="D4242" s="335" t="s">
        <v>8334</v>
      </c>
      <c r="E4242" s="336">
        <v>43708</v>
      </c>
      <c r="F4242" s="336">
        <v>43690</v>
      </c>
      <c r="G4242" s="399"/>
      <c r="H4242" s="334" t="s">
        <v>10301</v>
      </c>
      <c r="I4242" s="444" t="s">
        <v>10302</v>
      </c>
      <c r="J4242" s="361" t="s">
        <v>10303</v>
      </c>
      <c r="K4242" s="452">
        <v>3962</v>
      </c>
      <c r="L4242" s="338"/>
      <c r="M4242" s="338"/>
      <c r="N4242" s="362">
        <f t="shared" si="145"/>
        <v>0</v>
      </c>
      <c r="U4242" s="471">
        <v>43773</v>
      </c>
      <c r="X4242" s="339"/>
    </row>
    <row r="4243" s="330" customFormat="1" ht="17" customHeight="1" spans="1:24">
      <c r="A4243" s="348"/>
      <c r="B4243" s="348" t="s">
        <v>5336</v>
      </c>
      <c r="C4243" s="348" t="s">
        <v>5336</v>
      </c>
      <c r="D4243" s="334" t="s">
        <v>110</v>
      </c>
      <c r="E4243" s="336">
        <v>43731</v>
      </c>
      <c r="F4243" s="336">
        <v>43693</v>
      </c>
      <c r="G4243" s="336">
        <v>43726</v>
      </c>
      <c r="H4243" s="334" t="s">
        <v>10304</v>
      </c>
      <c r="I4243" s="444" t="s">
        <v>10305</v>
      </c>
      <c r="J4243" s="361" t="s">
        <v>10306</v>
      </c>
      <c r="K4243" s="452">
        <v>4681</v>
      </c>
      <c r="L4243" s="334">
        <v>4682</v>
      </c>
      <c r="M4243" s="338"/>
      <c r="N4243" s="362">
        <f t="shared" si="145"/>
        <v>4682</v>
      </c>
      <c r="X4243" s="339"/>
    </row>
    <row r="4244" s="330" customFormat="1" ht="17" customHeight="1" spans="1:24">
      <c r="A4244" s="348"/>
      <c r="B4244" s="348" t="s">
        <v>5336</v>
      </c>
      <c r="C4244" s="348" t="s">
        <v>5336</v>
      </c>
      <c r="D4244" s="334" t="s">
        <v>2302</v>
      </c>
      <c r="E4244" s="336">
        <v>43711</v>
      </c>
      <c r="F4244" s="336">
        <v>43693</v>
      </c>
      <c r="G4244" s="336">
        <v>43710</v>
      </c>
      <c r="H4244" s="334" t="s">
        <v>10307</v>
      </c>
      <c r="I4244" s="444">
        <v>18916913549</v>
      </c>
      <c r="J4244" s="361" t="s">
        <v>10308</v>
      </c>
      <c r="K4244" s="452">
        <v>5019</v>
      </c>
      <c r="L4244" s="334">
        <v>2342</v>
      </c>
      <c r="M4244" s="338"/>
      <c r="N4244" s="362">
        <f t="shared" si="145"/>
        <v>2342</v>
      </c>
      <c r="X4244" s="339"/>
    </row>
    <row r="4245" s="330" customFormat="1" ht="17" customHeight="1" spans="1:24">
      <c r="A4245" s="348"/>
      <c r="B4245" s="348" t="s">
        <v>5336</v>
      </c>
      <c r="C4245" s="408" t="s">
        <v>5336</v>
      </c>
      <c r="D4245" s="334" t="s">
        <v>89</v>
      </c>
      <c r="E4245" s="336">
        <v>43735</v>
      </c>
      <c r="F4245" s="336">
        <v>43694</v>
      </c>
      <c r="G4245" s="336">
        <v>43735</v>
      </c>
      <c r="H4245" s="334" t="s">
        <v>10126</v>
      </c>
      <c r="I4245" s="334">
        <v>13761385464</v>
      </c>
      <c r="J4245" s="367" t="s">
        <v>10309</v>
      </c>
      <c r="K4245" s="334">
        <v>2573</v>
      </c>
      <c r="L4245" s="334">
        <v>2574</v>
      </c>
      <c r="M4245" s="338"/>
      <c r="N4245" s="362">
        <f t="shared" si="145"/>
        <v>2574</v>
      </c>
      <c r="X4245" s="339"/>
    </row>
    <row r="4246" s="330" customFormat="1" ht="17" customHeight="1" spans="1:24">
      <c r="A4246" s="348"/>
      <c r="B4246" s="348" t="s">
        <v>5336</v>
      </c>
      <c r="C4246" s="348" t="s">
        <v>5336</v>
      </c>
      <c r="D4246" s="334" t="s">
        <v>171</v>
      </c>
      <c r="E4246" s="336">
        <v>43742</v>
      </c>
      <c r="F4246" s="336">
        <v>43695</v>
      </c>
      <c r="G4246" s="336">
        <v>43742</v>
      </c>
      <c r="H4246" s="334" t="s">
        <v>10310</v>
      </c>
      <c r="I4246" s="444" t="s">
        <v>10311</v>
      </c>
      <c r="J4246" s="361" t="s">
        <v>10312</v>
      </c>
      <c r="K4246" s="452">
        <v>4564</v>
      </c>
      <c r="L4246" s="334">
        <v>7129</v>
      </c>
      <c r="M4246" s="338"/>
      <c r="N4246" s="362">
        <f t="shared" si="145"/>
        <v>7129</v>
      </c>
      <c r="X4246" s="339"/>
    </row>
    <row r="4247" s="330" customFormat="1" ht="17" customHeight="1" spans="1:24">
      <c r="A4247" s="348"/>
      <c r="B4247" s="348" t="s">
        <v>5336</v>
      </c>
      <c r="C4247" s="334" t="s">
        <v>5336</v>
      </c>
      <c r="D4247" s="335" t="s">
        <v>8334</v>
      </c>
      <c r="E4247" s="336">
        <v>43708</v>
      </c>
      <c r="F4247" s="336">
        <v>43695</v>
      </c>
      <c r="G4247" s="399"/>
      <c r="H4247" s="334" t="s">
        <v>10313</v>
      </c>
      <c r="I4247" s="334">
        <v>13905265933</v>
      </c>
      <c r="J4247" s="367" t="s">
        <v>10314</v>
      </c>
      <c r="K4247" s="334">
        <v>9087</v>
      </c>
      <c r="L4247" s="338"/>
      <c r="M4247" s="338"/>
      <c r="N4247" s="362">
        <f t="shared" si="145"/>
        <v>0</v>
      </c>
      <c r="U4247" s="471">
        <v>43733</v>
      </c>
      <c r="X4247" s="339"/>
    </row>
    <row r="4248" s="330" customFormat="1" ht="17" customHeight="1" spans="1:24">
      <c r="A4248" s="348"/>
      <c r="B4248" s="348" t="s">
        <v>5336</v>
      </c>
      <c r="C4248" s="348" t="s">
        <v>5336</v>
      </c>
      <c r="D4248" s="335" t="s">
        <v>8334</v>
      </c>
      <c r="E4248" s="336">
        <v>43708</v>
      </c>
      <c r="F4248" s="336">
        <v>43695</v>
      </c>
      <c r="G4248" s="399" t="s">
        <v>10292</v>
      </c>
      <c r="H4248" s="334" t="s">
        <v>10315</v>
      </c>
      <c r="I4248" s="444">
        <v>15721486864</v>
      </c>
      <c r="J4248" s="361" t="s">
        <v>10316</v>
      </c>
      <c r="K4248" s="452">
        <v>11035</v>
      </c>
      <c r="L4248" s="338"/>
      <c r="M4248" s="338"/>
      <c r="N4248" s="362">
        <f t="shared" si="145"/>
        <v>0</v>
      </c>
      <c r="X4248" s="339"/>
    </row>
    <row r="4249" s="330" customFormat="1" ht="17" customHeight="1" spans="1:24">
      <c r="A4249" s="348"/>
      <c r="B4249" s="348" t="s">
        <v>5336</v>
      </c>
      <c r="C4249" s="348" t="s">
        <v>5336</v>
      </c>
      <c r="D4249" s="334" t="s">
        <v>68</v>
      </c>
      <c r="E4249" s="336">
        <v>43728</v>
      </c>
      <c r="F4249" s="336">
        <v>43696</v>
      </c>
      <c r="G4249" s="336">
        <v>43728</v>
      </c>
      <c r="H4249" s="334" t="s">
        <v>10317</v>
      </c>
      <c r="I4249" s="444">
        <v>13918555338</v>
      </c>
      <c r="J4249" s="361" t="s">
        <v>10318</v>
      </c>
      <c r="K4249" s="452">
        <v>8694</v>
      </c>
      <c r="L4249" s="334">
        <v>10798</v>
      </c>
      <c r="M4249" s="338"/>
      <c r="N4249" s="362">
        <f t="shared" si="145"/>
        <v>10798</v>
      </c>
      <c r="X4249" s="339"/>
    </row>
    <row r="4250" s="330" customFormat="1" ht="17" customHeight="1" spans="1:24">
      <c r="A4250" s="348"/>
      <c r="B4250" s="348" t="s">
        <v>5336</v>
      </c>
      <c r="C4250" s="348" t="s">
        <v>5336</v>
      </c>
      <c r="D4250" s="334" t="s">
        <v>954</v>
      </c>
      <c r="E4250" s="336">
        <v>43754</v>
      </c>
      <c r="F4250" s="336">
        <v>43699</v>
      </c>
      <c r="G4250" s="336">
        <v>43754</v>
      </c>
      <c r="H4250" s="334" t="s">
        <v>3590</v>
      </c>
      <c r="I4250" s="444" t="s">
        <v>10319</v>
      </c>
      <c r="J4250" s="361" t="s">
        <v>10320</v>
      </c>
      <c r="K4250" s="452">
        <v>7355</v>
      </c>
      <c r="L4250" s="334">
        <v>12979</v>
      </c>
      <c r="M4250" s="338"/>
      <c r="N4250" s="362">
        <f t="shared" si="145"/>
        <v>12979</v>
      </c>
      <c r="X4250" s="339"/>
    </row>
    <row r="4251" s="330" customFormat="1" ht="17" customHeight="1" spans="1:24">
      <c r="A4251" s="348"/>
      <c r="B4251" s="348" t="s">
        <v>5336</v>
      </c>
      <c r="C4251" s="348" t="s">
        <v>5336</v>
      </c>
      <c r="D4251" s="334" t="s">
        <v>954</v>
      </c>
      <c r="E4251" s="336">
        <v>43750</v>
      </c>
      <c r="F4251" s="336">
        <v>43699</v>
      </c>
      <c r="G4251" s="336">
        <v>43750</v>
      </c>
      <c r="H4251" s="334" t="s">
        <v>10321</v>
      </c>
      <c r="I4251" s="444">
        <v>18121220185</v>
      </c>
      <c r="J4251" s="361" t="s">
        <v>10322</v>
      </c>
      <c r="K4251" s="452">
        <v>17913</v>
      </c>
      <c r="L4251" s="334">
        <v>17914</v>
      </c>
      <c r="M4251" s="338"/>
      <c r="N4251" s="362">
        <f t="shared" si="145"/>
        <v>17914</v>
      </c>
      <c r="X4251" s="339"/>
    </row>
    <row r="4252" s="330" customFormat="1" ht="17" customHeight="1" spans="1:24">
      <c r="A4252" s="348"/>
      <c r="B4252" s="348" t="s">
        <v>5336</v>
      </c>
      <c r="C4252" s="334" t="s">
        <v>10297</v>
      </c>
      <c r="D4252" s="334" t="s">
        <v>271</v>
      </c>
      <c r="E4252" s="336">
        <v>43715</v>
      </c>
      <c r="F4252" s="336">
        <v>43706</v>
      </c>
      <c r="G4252" s="336">
        <v>43714</v>
      </c>
      <c r="H4252" s="334" t="s">
        <v>10323</v>
      </c>
      <c r="I4252" s="334" t="s">
        <v>10324</v>
      </c>
      <c r="J4252" s="367" t="s">
        <v>10325</v>
      </c>
      <c r="K4252" s="334">
        <v>11780</v>
      </c>
      <c r="L4252" s="334">
        <v>11780</v>
      </c>
      <c r="M4252" s="338"/>
      <c r="N4252" s="362">
        <f t="shared" si="145"/>
        <v>11780</v>
      </c>
      <c r="X4252" s="339"/>
    </row>
    <row r="4253" s="330" customFormat="1" ht="17" customHeight="1" spans="1:24">
      <c r="A4253" s="348"/>
      <c r="B4253" s="348" t="s">
        <v>5336</v>
      </c>
      <c r="C4253" s="348" t="s">
        <v>5336</v>
      </c>
      <c r="D4253" s="334" t="s">
        <v>8334</v>
      </c>
      <c r="E4253" s="336">
        <v>43790</v>
      </c>
      <c r="F4253" s="336">
        <v>43707</v>
      </c>
      <c r="G4253" s="336">
        <v>43790</v>
      </c>
      <c r="H4253" s="334" t="s">
        <v>10326</v>
      </c>
      <c r="I4253" s="444" t="s">
        <v>10327</v>
      </c>
      <c r="J4253" s="361" t="s">
        <v>10328</v>
      </c>
      <c r="K4253" s="452">
        <v>8753</v>
      </c>
      <c r="L4253" s="334">
        <v>8072</v>
      </c>
      <c r="M4253" s="338"/>
      <c r="N4253" s="362">
        <f t="shared" si="145"/>
        <v>8072</v>
      </c>
      <c r="X4253" s="339"/>
    </row>
    <row r="4254" s="330" customFormat="1" ht="17" customHeight="1" spans="1:24">
      <c r="A4254" s="348">
        <v>2022512</v>
      </c>
      <c r="B4254" s="334" t="s">
        <v>73</v>
      </c>
      <c r="C4254" s="334" t="s">
        <v>178</v>
      </c>
      <c r="D4254" s="334" t="s">
        <v>75</v>
      </c>
      <c r="E4254" s="336">
        <v>43738</v>
      </c>
      <c r="F4254" s="336">
        <v>43706</v>
      </c>
      <c r="G4254" s="336">
        <v>43737</v>
      </c>
      <c r="H4254" s="334" t="s">
        <v>6428</v>
      </c>
      <c r="I4254" s="450">
        <v>13631698866</v>
      </c>
      <c r="J4254" s="334" t="s">
        <v>10329</v>
      </c>
      <c r="K4254" s="334">
        <v>1000</v>
      </c>
      <c r="L4254" s="334">
        <v>14460</v>
      </c>
      <c r="M4254" s="338"/>
      <c r="N4254" s="362">
        <f t="shared" si="145"/>
        <v>14460</v>
      </c>
      <c r="P4254" s="366" t="s">
        <v>52</v>
      </c>
      <c r="X4254" s="339"/>
    </row>
    <row r="4255" s="330" customFormat="1" ht="17" customHeight="1" spans="1:24">
      <c r="A4255" s="550" t="s">
        <v>10330</v>
      </c>
      <c r="B4255" s="348" t="s">
        <v>35</v>
      </c>
      <c r="C4255" s="348" t="s">
        <v>328</v>
      </c>
      <c r="D4255" s="335" t="s">
        <v>37</v>
      </c>
      <c r="E4255" s="336">
        <v>43710</v>
      </c>
      <c r="F4255" s="336">
        <v>43695</v>
      </c>
      <c r="G4255" s="336">
        <v>43710</v>
      </c>
      <c r="H4255" s="334" t="s">
        <v>10331</v>
      </c>
      <c r="I4255" s="444">
        <v>13671836872</v>
      </c>
      <c r="J4255" s="361" t="s">
        <v>10332</v>
      </c>
      <c r="K4255" s="452">
        <v>3000</v>
      </c>
      <c r="L4255" s="334">
        <f>20351-1472</f>
        <v>18879</v>
      </c>
      <c r="M4255" s="334">
        <f>1089-2063+1472+152</f>
        <v>650</v>
      </c>
      <c r="N4255" s="362">
        <f t="shared" si="145"/>
        <v>19529</v>
      </c>
      <c r="X4255" s="339"/>
    </row>
    <row r="4256" s="330" customFormat="1" ht="17" customHeight="1" spans="1:24">
      <c r="A4256" s="550" t="s">
        <v>10333</v>
      </c>
      <c r="B4256" s="334" t="s">
        <v>42</v>
      </c>
      <c r="C4256" s="334" t="s">
        <v>43</v>
      </c>
      <c r="D4256" s="335" t="s">
        <v>44</v>
      </c>
      <c r="E4256" s="336">
        <v>43708</v>
      </c>
      <c r="F4256" s="336">
        <v>43707</v>
      </c>
      <c r="G4256" s="399"/>
      <c r="H4256" s="334" t="s">
        <v>1045</v>
      </c>
      <c r="I4256" s="426">
        <v>18501685558</v>
      </c>
      <c r="J4256" s="367" t="s">
        <v>10334</v>
      </c>
      <c r="K4256" s="470">
        <v>1000</v>
      </c>
      <c r="L4256" s="338"/>
      <c r="M4256" s="338"/>
      <c r="N4256" s="362">
        <f t="shared" si="145"/>
        <v>0</v>
      </c>
      <c r="O4256" s="330" t="s">
        <v>10335</v>
      </c>
      <c r="U4256" s="393" t="s">
        <v>40</v>
      </c>
      <c r="X4256" s="339"/>
    </row>
    <row r="4257" s="330" customFormat="1" ht="17" customHeight="1" spans="1:24">
      <c r="A4257" s="550" t="s">
        <v>10336</v>
      </c>
      <c r="B4257" s="334" t="s">
        <v>42</v>
      </c>
      <c r="C4257" s="334" t="s">
        <v>43</v>
      </c>
      <c r="D4257" s="335" t="s">
        <v>44</v>
      </c>
      <c r="E4257" s="336">
        <v>43708</v>
      </c>
      <c r="F4257" s="336">
        <v>43707</v>
      </c>
      <c r="G4257" s="399"/>
      <c r="H4257" s="334" t="s">
        <v>10337</v>
      </c>
      <c r="I4257" s="426">
        <v>13918021254</v>
      </c>
      <c r="J4257" s="367" t="s">
        <v>10338</v>
      </c>
      <c r="K4257" s="470">
        <v>1000</v>
      </c>
      <c r="L4257" s="338"/>
      <c r="M4257" s="338"/>
      <c r="N4257" s="362">
        <f t="shared" si="145"/>
        <v>0</v>
      </c>
      <c r="O4257" s="353" t="s">
        <v>4581</v>
      </c>
      <c r="X4257" s="339"/>
    </row>
    <row r="4258" s="330" customFormat="1" ht="17" customHeight="1" spans="1:24">
      <c r="A4258" s="550" t="s">
        <v>10339</v>
      </c>
      <c r="B4258" s="334" t="s">
        <v>42</v>
      </c>
      <c r="C4258" s="334" t="s">
        <v>43</v>
      </c>
      <c r="D4258" s="335" t="s">
        <v>149</v>
      </c>
      <c r="E4258" s="336">
        <v>43717</v>
      </c>
      <c r="F4258" s="336">
        <v>43707</v>
      </c>
      <c r="G4258" s="336">
        <v>43716</v>
      </c>
      <c r="H4258" s="334" t="s">
        <v>10340</v>
      </c>
      <c r="I4258" s="426">
        <v>1761282650</v>
      </c>
      <c r="J4258" s="367" t="s">
        <v>10341</v>
      </c>
      <c r="K4258" s="470">
        <v>1000</v>
      </c>
      <c r="L4258" s="334">
        <v>7842</v>
      </c>
      <c r="M4258" s="338"/>
      <c r="N4258" s="362">
        <f t="shared" si="145"/>
        <v>7842</v>
      </c>
      <c r="O4258" s="330" t="s">
        <v>10335</v>
      </c>
      <c r="X4258" s="339"/>
    </row>
    <row r="4259" s="330" customFormat="1" ht="17" customHeight="1" spans="1:24">
      <c r="A4259" s="550" t="s">
        <v>10342</v>
      </c>
      <c r="B4259" s="334" t="s">
        <v>42</v>
      </c>
      <c r="C4259" s="334" t="s">
        <v>43</v>
      </c>
      <c r="D4259" s="335" t="s">
        <v>44</v>
      </c>
      <c r="E4259" s="336">
        <v>43708</v>
      </c>
      <c r="F4259" s="336">
        <v>43707</v>
      </c>
      <c r="G4259" s="399"/>
      <c r="H4259" s="334" t="s">
        <v>3152</v>
      </c>
      <c r="I4259" s="426">
        <v>15618798698</v>
      </c>
      <c r="J4259" s="367" t="s">
        <v>10343</v>
      </c>
      <c r="K4259" s="470">
        <v>1000</v>
      </c>
      <c r="L4259" s="338"/>
      <c r="M4259" s="338"/>
      <c r="N4259" s="362">
        <f t="shared" si="145"/>
        <v>0</v>
      </c>
      <c r="O4259" s="330" t="s">
        <v>10335</v>
      </c>
      <c r="U4259" s="336" t="s">
        <v>40</v>
      </c>
      <c r="X4259" s="339"/>
    </row>
    <row r="4260" s="330" customFormat="1" ht="17" customHeight="1" spans="1:24">
      <c r="A4260" s="550" t="s">
        <v>10344</v>
      </c>
      <c r="B4260" s="334" t="s">
        <v>42</v>
      </c>
      <c r="C4260" s="334" t="s">
        <v>43</v>
      </c>
      <c r="D4260" s="335" t="s">
        <v>44</v>
      </c>
      <c r="E4260" s="336">
        <v>43708</v>
      </c>
      <c r="F4260" s="336">
        <v>43707</v>
      </c>
      <c r="G4260" s="399"/>
      <c r="H4260" s="334" t="s">
        <v>10345</v>
      </c>
      <c r="I4260" s="426">
        <v>13916171586</v>
      </c>
      <c r="J4260" s="367" t="s">
        <v>10346</v>
      </c>
      <c r="K4260" s="470">
        <v>1000</v>
      </c>
      <c r="L4260" s="338"/>
      <c r="M4260" s="338"/>
      <c r="N4260" s="362">
        <f t="shared" si="145"/>
        <v>0</v>
      </c>
      <c r="O4260" s="330" t="s">
        <v>10335</v>
      </c>
      <c r="U4260" s="400" t="s">
        <v>10347</v>
      </c>
      <c r="X4260" s="339"/>
    </row>
    <row r="4261" s="330" customFormat="1" ht="17" customHeight="1" spans="1:24">
      <c r="A4261" s="550" t="s">
        <v>10348</v>
      </c>
      <c r="B4261" s="334" t="s">
        <v>42</v>
      </c>
      <c r="C4261" s="334" t="s">
        <v>43</v>
      </c>
      <c r="D4261" s="334" t="s">
        <v>207</v>
      </c>
      <c r="E4261" s="336">
        <v>43801</v>
      </c>
      <c r="F4261" s="336">
        <v>43707</v>
      </c>
      <c r="G4261" s="336">
        <v>43799</v>
      </c>
      <c r="H4261" s="334" t="s">
        <v>10349</v>
      </c>
      <c r="I4261" s="426">
        <v>18616268968</v>
      </c>
      <c r="J4261" s="367" t="s">
        <v>10350</v>
      </c>
      <c r="K4261" s="470">
        <v>1000</v>
      </c>
      <c r="L4261" s="334">
        <v>12093</v>
      </c>
      <c r="M4261" s="338"/>
      <c r="N4261" s="362">
        <f t="shared" si="145"/>
        <v>12093</v>
      </c>
      <c r="O4261" s="330" t="s">
        <v>10335</v>
      </c>
      <c r="X4261" s="339"/>
    </row>
    <row r="4262" s="330" customFormat="1" ht="17" customHeight="1" spans="1:24">
      <c r="A4262" s="550" t="s">
        <v>10351</v>
      </c>
      <c r="B4262" s="334" t="s">
        <v>42</v>
      </c>
      <c r="C4262" s="334" t="s">
        <v>43</v>
      </c>
      <c r="D4262" s="335" t="s">
        <v>44</v>
      </c>
      <c r="E4262" s="336">
        <v>43708</v>
      </c>
      <c r="F4262" s="336">
        <v>43707</v>
      </c>
      <c r="G4262" s="399"/>
      <c r="H4262" s="334" t="s">
        <v>10352</v>
      </c>
      <c r="I4262" s="426">
        <v>18221804932</v>
      </c>
      <c r="J4262" s="367" t="s">
        <v>10353</v>
      </c>
      <c r="K4262" s="470">
        <v>1000</v>
      </c>
      <c r="L4262" s="338"/>
      <c r="M4262" s="338"/>
      <c r="N4262" s="362">
        <f t="shared" si="145"/>
        <v>0</v>
      </c>
      <c r="O4262" s="330" t="s">
        <v>10335</v>
      </c>
      <c r="U4262" s="393" t="s">
        <v>40</v>
      </c>
      <c r="X4262" s="339"/>
    </row>
    <row r="4263" s="330" customFormat="1" ht="17" customHeight="1" spans="1:24">
      <c r="A4263" s="550" t="s">
        <v>10354</v>
      </c>
      <c r="B4263" s="334" t="s">
        <v>42</v>
      </c>
      <c r="C4263" s="334" t="s">
        <v>43</v>
      </c>
      <c r="D4263" s="335" t="s">
        <v>44</v>
      </c>
      <c r="E4263" s="336">
        <v>43708</v>
      </c>
      <c r="F4263" s="336">
        <v>43707</v>
      </c>
      <c r="G4263" s="399"/>
      <c r="H4263" s="334" t="s">
        <v>10355</v>
      </c>
      <c r="I4263" s="426">
        <v>13818768195</v>
      </c>
      <c r="J4263" s="367" t="s">
        <v>10356</v>
      </c>
      <c r="K4263" s="470">
        <v>1000</v>
      </c>
      <c r="L4263" s="338"/>
      <c r="M4263" s="338"/>
      <c r="N4263" s="362">
        <f t="shared" si="145"/>
        <v>0</v>
      </c>
      <c r="O4263" s="330" t="s">
        <v>10335</v>
      </c>
      <c r="U4263" s="393" t="s">
        <v>40</v>
      </c>
      <c r="X4263" s="339"/>
    </row>
    <row r="4264" s="330" customFormat="1" ht="17" customHeight="1" spans="1:24">
      <c r="A4264" s="550" t="s">
        <v>10357</v>
      </c>
      <c r="B4264" s="334" t="s">
        <v>42</v>
      </c>
      <c r="C4264" s="334" t="s">
        <v>43</v>
      </c>
      <c r="D4264" s="334" t="s">
        <v>149</v>
      </c>
      <c r="E4264" s="336">
        <v>43721</v>
      </c>
      <c r="F4264" s="336">
        <v>43707</v>
      </c>
      <c r="G4264" s="336">
        <v>43720</v>
      </c>
      <c r="H4264" s="334" t="s">
        <v>10358</v>
      </c>
      <c r="I4264" s="426">
        <v>13671598992</v>
      </c>
      <c r="J4264" s="367" t="s">
        <v>10359</v>
      </c>
      <c r="K4264" s="470">
        <v>1000</v>
      </c>
      <c r="L4264" s="334">
        <v>8844</v>
      </c>
      <c r="M4264" s="338"/>
      <c r="N4264" s="362">
        <f t="shared" si="145"/>
        <v>8844</v>
      </c>
      <c r="O4264" s="330" t="s">
        <v>10335</v>
      </c>
      <c r="X4264" s="339"/>
    </row>
    <row r="4265" s="330" customFormat="1" ht="17" customHeight="1" spans="1:24">
      <c r="A4265" s="550" t="s">
        <v>10360</v>
      </c>
      <c r="B4265" s="348" t="s">
        <v>185</v>
      </c>
      <c r="C4265" s="334" t="s">
        <v>1133</v>
      </c>
      <c r="D4265" s="335" t="s">
        <v>44</v>
      </c>
      <c r="E4265" s="336">
        <v>43708</v>
      </c>
      <c r="F4265" s="336">
        <v>43708</v>
      </c>
      <c r="G4265" s="399"/>
      <c r="H4265" s="334" t="s">
        <v>10361</v>
      </c>
      <c r="I4265" s="426">
        <v>13321905083</v>
      </c>
      <c r="J4265" s="367" t="s">
        <v>10362</v>
      </c>
      <c r="K4265" s="470">
        <v>999</v>
      </c>
      <c r="L4265" s="338"/>
      <c r="M4265" s="338"/>
      <c r="N4265" s="362">
        <f t="shared" si="145"/>
        <v>0</v>
      </c>
      <c r="P4265" s="356" t="s">
        <v>52</v>
      </c>
      <c r="X4265" s="339"/>
    </row>
    <row r="4266" s="330" customFormat="1" ht="17" customHeight="1" spans="1:24">
      <c r="A4266" s="550" t="s">
        <v>702</v>
      </c>
      <c r="B4266" s="334" t="s">
        <v>42</v>
      </c>
      <c r="C4266" s="334" t="s">
        <v>43</v>
      </c>
      <c r="D4266" s="335" t="s">
        <v>149</v>
      </c>
      <c r="E4266" s="336">
        <v>43717</v>
      </c>
      <c r="F4266" s="336">
        <v>43707</v>
      </c>
      <c r="G4266" s="336">
        <v>43716</v>
      </c>
      <c r="H4266" s="334" t="s">
        <v>10363</v>
      </c>
      <c r="I4266" s="426">
        <v>17702167268</v>
      </c>
      <c r="J4266" s="367" t="s">
        <v>10364</v>
      </c>
      <c r="K4266" s="470">
        <v>1000</v>
      </c>
      <c r="L4266" s="334">
        <v>10987</v>
      </c>
      <c r="M4266" s="338"/>
      <c r="N4266" s="362">
        <f t="shared" si="145"/>
        <v>10987</v>
      </c>
      <c r="O4266" s="330" t="s">
        <v>10335</v>
      </c>
      <c r="X4266" s="339"/>
    </row>
    <row r="4267" s="330" customFormat="1" ht="17" customHeight="1" spans="1:24">
      <c r="A4267" s="550" t="s">
        <v>10365</v>
      </c>
      <c r="B4267" s="334" t="s">
        <v>42</v>
      </c>
      <c r="C4267" s="334" t="s">
        <v>43</v>
      </c>
      <c r="D4267" s="335" t="s">
        <v>44</v>
      </c>
      <c r="E4267" s="336">
        <v>43708</v>
      </c>
      <c r="F4267" s="336">
        <v>43707</v>
      </c>
      <c r="G4267" s="399"/>
      <c r="H4267" s="334" t="s">
        <v>10366</v>
      </c>
      <c r="I4267" s="426">
        <v>18679428908</v>
      </c>
      <c r="J4267" s="367" t="s">
        <v>10367</v>
      </c>
      <c r="K4267" s="470">
        <v>1000</v>
      </c>
      <c r="L4267" s="338"/>
      <c r="M4267" s="338"/>
      <c r="N4267" s="362">
        <f t="shared" si="145"/>
        <v>0</v>
      </c>
      <c r="O4267" s="330" t="s">
        <v>10335</v>
      </c>
      <c r="U4267" s="471">
        <v>43723</v>
      </c>
      <c r="X4267" s="339"/>
    </row>
    <row r="4268" s="330" customFormat="1" ht="17" customHeight="1" spans="1:24">
      <c r="A4268" s="550" t="s">
        <v>10368</v>
      </c>
      <c r="B4268" s="334" t="s">
        <v>42</v>
      </c>
      <c r="C4268" s="334" t="s">
        <v>43</v>
      </c>
      <c r="D4268" s="335" t="s">
        <v>44</v>
      </c>
      <c r="E4268" s="336">
        <v>43708</v>
      </c>
      <c r="F4268" s="336">
        <v>43707</v>
      </c>
      <c r="G4268" s="399"/>
      <c r="H4268" s="334" t="s">
        <v>10369</v>
      </c>
      <c r="I4268" s="426">
        <v>17701635511</v>
      </c>
      <c r="J4268" s="367" t="s">
        <v>10370</v>
      </c>
      <c r="K4268" s="470">
        <f>500+1000</f>
        <v>1500</v>
      </c>
      <c r="L4268" s="338"/>
      <c r="M4268" s="338"/>
      <c r="N4268" s="362">
        <f t="shared" si="145"/>
        <v>0</v>
      </c>
      <c r="O4268" s="330" t="s">
        <v>10335</v>
      </c>
      <c r="U4268" s="393" t="s">
        <v>40</v>
      </c>
      <c r="X4268" s="339"/>
    </row>
    <row r="4269" s="330" customFormat="1" ht="17" customHeight="1" spans="1:24">
      <c r="A4269" s="550" t="s">
        <v>10371</v>
      </c>
      <c r="B4269" s="334" t="s">
        <v>42</v>
      </c>
      <c r="C4269" s="334" t="s">
        <v>43</v>
      </c>
      <c r="D4269" s="335" t="s">
        <v>44</v>
      </c>
      <c r="E4269" s="336">
        <v>43708</v>
      </c>
      <c r="F4269" s="336">
        <v>43707</v>
      </c>
      <c r="G4269" s="399"/>
      <c r="H4269" s="334" t="s">
        <v>10372</v>
      </c>
      <c r="I4269" s="426">
        <v>17717375771</v>
      </c>
      <c r="J4269" s="367" t="s">
        <v>10373</v>
      </c>
      <c r="K4269" s="470">
        <v>1000</v>
      </c>
      <c r="L4269" s="338"/>
      <c r="M4269" s="338"/>
      <c r="N4269" s="362">
        <f t="shared" ref="N4269:N4289" si="146">L4269+M4269</f>
        <v>0</v>
      </c>
      <c r="O4269" s="330" t="s">
        <v>10335</v>
      </c>
      <c r="U4269" s="400" t="s">
        <v>10347</v>
      </c>
      <c r="X4269" s="339"/>
    </row>
    <row r="4270" s="330" customFormat="1" ht="17" customHeight="1" spans="1:24">
      <c r="A4270" s="550" t="s">
        <v>10374</v>
      </c>
      <c r="B4270" s="334" t="s">
        <v>42</v>
      </c>
      <c r="C4270" s="334" t="s">
        <v>43</v>
      </c>
      <c r="D4270" s="335" t="s">
        <v>44</v>
      </c>
      <c r="E4270" s="336">
        <v>43708</v>
      </c>
      <c r="F4270" s="336">
        <v>43707</v>
      </c>
      <c r="G4270" s="399"/>
      <c r="H4270" s="334" t="s">
        <v>10375</v>
      </c>
      <c r="I4270" s="426">
        <v>1921096885</v>
      </c>
      <c r="J4270" s="367" t="s">
        <v>10376</v>
      </c>
      <c r="K4270" s="470">
        <v>1000</v>
      </c>
      <c r="L4270" s="338"/>
      <c r="M4270" s="338"/>
      <c r="N4270" s="362">
        <f t="shared" si="146"/>
        <v>0</v>
      </c>
      <c r="O4270" s="330" t="s">
        <v>10335</v>
      </c>
      <c r="U4270" s="400" t="s">
        <v>10377</v>
      </c>
      <c r="X4270" s="339"/>
    </row>
    <row r="4271" s="330" customFormat="1" ht="17" customHeight="1" spans="1:24">
      <c r="A4271" s="550" t="s">
        <v>10378</v>
      </c>
      <c r="B4271" s="334" t="s">
        <v>42</v>
      </c>
      <c r="C4271" s="334" t="s">
        <v>43</v>
      </c>
      <c r="D4271" s="335" t="s">
        <v>125</v>
      </c>
      <c r="E4271" s="336">
        <v>43761</v>
      </c>
      <c r="F4271" s="336">
        <v>43707</v>
      </c>
      <c r="G4271" s="336">
        <v>43761</v>
      </c>
      <c r="H4271" s="334" t="s">
        <v>10379</v>
      </c>
      <c r="I4271" s="426">
        <v>17721010508</v>
      </c>
      <c r="J4271" s="367" t="s">
        <v>10380</v>
      </c>
      <c r="K4271" s="470">
        <v>1000</v>
      </c>
      <c r="L4271" s="334">
        <v>4965</v>
      </c>
      <c r="M4271" s="338"/>
      <c r="N4271" s="362">
        <f t="shared" si="146"/>
        <v>4965</v>
      </c>
      <c r="O4271" s="330" t="s">
        <v>10335</v>
      </c>
      <c r="X4271" s="339"/>
    </row>
    <row r="4272" s="330" customFormat="1" ht="17" customHeight="1" spans="1:24">
      <c r="A4272" s="348"/>
      <c r="B4272" s="334" t="s">
        <v>31</v>
      </c>
      <c r="C4272" s="334" t="s">
        <v>220</v>
      </c>
      <c r="D4272" s="335" t="s">
        <v>221</v>
      </c>
      <c r="E4272" s="336">
        <v>43716</v>
      </c>
      <c r="F4272" s="336">
        <v>43706</v>
      </c>
      <c r="G4272" s="336">
        <v>43714</v>
      </c>
      <c r="H4272" s="334" t="s">
        <v>2840</v>
      </c>
      <c r="I4272" s="426">
        <v>13816057379</v>
      </c>
      <c r="J4272" s="367" t="s">
        <v>10381</v>
      </c>
      <c r="K4272" s="470">
        <v>1000</v>
      </c>
      <c r="L4272" s="334">
        <f>12000-536</f>
        <v>11464</v>
      </c>
      <c r="M4272" s="334">
        <v>536</v>
      </c>
      <c r="N4272" s="362">
        <f t="shared" si="146"/>
        <v>12000</v>
      </c>
      <c r="X4272" s="339"/>
    </row>
    <row r="4273" s="330" customFormat="1" ht="15" customHeight="1" spans="1:24">
      <c r="A4273" s="348"/>
      <c r="B4273" s="334" t="s">
        <v>58</v>
      </c>
      <c r="C4273" s="334" t="s">
        <v>59</v>
      </c>
      <c r="D4273" s="349" t="s">
        <v>271</v>
      </c>
      <c r="E4273" s="336">
        <v>43798</v>
      </c>
      <c r="F4273" s="336">
        <v>43701</v>
      </c>
      <c r="G4273" s="336">
        <v>43797</v>
      </c>
      <c r="H4273" s="334" t="s">
        <v>10382</v>
      </c>
      <c r="I4273" s="426">
        <v>13917415645</v>
      </c>
      <c r="J4273" s="367" t="s">
        <v>10383</v>
      </c>
      <c r="K4273" s="470">
        <v>5000</v>
      </c>
      <c r="L4273" s="334">
        <v>9773</v>
      </c>
      <c r="M4273" s="338"/>
      <c r="N4273" s="362">
        <f t="shared" si="146"/>
        <v>9773</v>
      </c>
      <c r="Q4273" s="366" t="s">
        <v>52</v>
      </c>
      <c r="X4273" s="339"/>
    </row>
    <row r="4274" s="330" customFormat="1" ht="17" customHeight="1" spans="1:24">
      <c r="A4274" s="348"/>
      <c r="B4274" s="334" t="s">
        <v>335</v>
      </c>
      <c r="C4274" s="334" t="s">
        <v>615</v>
      </c>
      <c r="D4274" s="335" t="s">
        <v>337</v>
      </c>
      <c r="E4274" s="393">
        <v>43708</v>
      </c>
      <c r="F4274" s="336">
        <v>43702</v>
      </c>
      <c r="G4274" s="356" t="s">
        <v>469</v>
      </c>
      <c r="H4274" s="408" t="s">
        <v>9778</v>
      </c>
      <c r="I4274" s="426">
        <v>18816932585</v>
      </c>
      <c r="J4274" s="334" t="s">
        <v>9779</v>
      </c>
      <c r="K4274" s="470">
        <v>1000</v>
      </c>
      <c r="L4274" s="338"/>
      <c r="M4274" s="338"/>
      <c r="N4274" s="362">
        <f t="shared" si="146"/>
        <v>0</v>
      </c>
      <c r="X4274" s="339"/>
    </row>
    <row r="4275" s="330" customFormat="1" ht="17" customHeight="1" spans="1:24">
      <c r="A4275" s="550" t="s">
        <v>10384</v>
      </c>
      <c r="B4275" s="334" t="s">
        <v>153</v>
      </c>
      <c r="C4275" s="334" t="s">
        <v>302</v>
      </c>
      <c r="D4275" s="334" t="s">
        <v>155</v>
      </c>
      <c r="E4275" s="336">
        <v>43708</v>
      </c>
      <c r="F4275" s="336">
        <v>43695</v>
      </c>
      <c r="G4275" s="336">
        <v>43708</v>
      </c>
      <c r="H4275" s="334" t="s">
        <v>2899</v>
      </c>
      <c r="I4275" s="426">
        <v>18616954324</v>
      </c>
      <c r="J4275" s="367" t="s">
        <v>10385</v>
      </c>
      <c r="K4275" s="470">
        <v>4363</v>
      </c>
      <c r="L4275" s="334">
        <v>5210</v>
      </c>
      <c r="M4275" s="334">
        <v>11059</v>
      </c>
      <c r="N4275" s="362">
        <f t="shared" si="146"/>
        <v>16269</v>
      </c>
      <c r="U4275" s="336" t="s">
        <v>40</v>
      </c>
      <c r="X4275" s="339"/>
    </row>
    <row r="4276" s="330" customFormat="1" ht="17" customHeight="1" spans="1:24">
      <c r="A4276" s="557" t="s">
        <v>3144</v>
      </c>
      <c r="B4276" s="334" t="s">
        <v>315</v>
      </c>
      <c r="C4276" s="334" t="s">
        <v>230</v>
      </c>
      <c r="D4276" s="334" t="s">
        <v>717</v>
      </c>
      <c r="E4276" s="336">
        <v>43708</v>
      </c>
      <c r="F4276" s="336">
        <v>43708</v>
      </c>
      <c r="G4276" s="399">
        <v>43708</v>
      </c>
      <c r="H4276" s="334" t="s">
        <v>10386</v>
      </c>
      <c r="I4276" s="426">
        <v>13801731602</v>
      </c>
      <c r="J4276" s="367" t="s">
        <v>10387</v>
      </c>
      <c r="K4276" s="470">
        <v>100000</v>
      </c>
      <c r="L4276" s="334">
        <v>210000</v>
      </c>
      <c r="M4276" s="338"/>
      <c r="N4276" s="362">
        <f t="shared" si="146"/>
        <v>210000</v>
      </c>
      <c r="X4276" s="339"/>
    </row>
    <row r="4277" s="330" customFormat="1" ht="17" customHeight="1" spans="1:24">
      <c r="A4277" s="550" t="s">
        <v>828</v>
      </c>
      <c r="B4277" s="334" t="s">
        <v>315</v>
      </c>
      <c r="C4277" s="334" t="s">
        <v>275</v>
      </c>
      <c r="D4277" s="334" t="s">
        <v>162</v>
      </c>
      <c r="E4277" s="336">
        <v>43708</v>
      </c>
      <c r="F4277" s="336">
        <v>43708</v>
      </c>
      <c r="G4277" s="399">
        <v>43708</v>
      </c>
      <c r="H4277" s="334" t="s">
        <v>10388</v>
      </c>
      <c r="I4277" s="426">
        <v>13764878947</v>
      </c>
      <c r="J4277" s="367" t="s">
        <v>10389</v>
      </c>
      <c r="K4277" s="470">
        <v>3998</v>
      </c>
      <c r="L4277" s="334">
        <v>3998</v>
      </c>
      <c r="M4277" s="338"/>
      <c r="N4277" s="362">
        <f t="shared" si="146"/>
        <v>3998</v>
      </c>
      <c r="X4277" s="339"/>
    </row>
    <row r="4278" s="330" customFormat="1" ht="15" customHeight="1" spans="1:24">
      <c r="A4278" s="348"/>
      <c r="B4278" s="334" t="s">
        <v>405</v>
      </c>
      <c r="C4278" s="334" t="s">
        <v>8323</v>
      </c>
      <c r="D4278" s="335" t="s">
        <v>407</v>
      </c>
      <c r="E4278" s="336">
        <v>43714</v>
      </c>
      <c r="F4278" s="336">
        <v>43708</v>
      </c>
      <c r="G4278" s="399">
        <v>43712</v>
      </c>
      <c r="H4278" s="334" t="s">
        <v>1309</v>
      </c>
      <c r="I4278" s="426">
        <v>15221400299</v>
      </c>
      <c r="J4278" s="367" t="s">
        <v>10390</v>
      </c>
      <c r="K4278" s="470">
        <v>1000</v>
      </c>
      <c r="L4278" s="334">
        <v>10161</v>
      </c>
      <c r="M4278" s="338"/>
      <c r="N4278" s="362">
        <f t="shared" si="146"/>
        <v>10161</v>
      </c>
      <c r="X4278" s="339"/>
    </row>
    <row r="4279" s="330" customFormat="1" ht="17" customHeight="1" spans="1:24">
      <c r="A4279" s="348"/>
      <c r="B4279" s="334" t="s">
        <v>35</v>
      </c>
      <c r="C4279" s="334" t="s">
        <v>36</v>
      </c>
      <c r="D4279" s="335" t="s">
        <v>37</v>
      </c>
      <c r="E4279" s="336">
        <v>43733</v>
      </c>
      <c r="F4279" s="336">
        <v>43707</v>
      </c>
      <c r="G4279" s="336">
        <v>43732</v>
      </c>
      <c r="H4279" s="334" t="s">
        <v>10391</v>
      </c>
      <c r="I4279" s="426">
        <v>18521707609</v>
      </c>
      <c r="J4279" s="367" t="s">
        <v>10392</v>
      </c>
      <c r="K4279" s="470">
        <v>18000</v>
      </c>
      <c r="L4279" s="334">
        <v>16382</v>
      </c>
      <c r="M4279" s="338"/>
      <c r="N4279" s="362">
        <f t="shared" si="146"/>
        <v>16382</v>
      </c>
      <c r="O4279" s="356" t="s">
        <v>52</v>
      </c>
      <c r="X4279" s="339"/>
    </row>
    <row r="4280" s="330" customFormat="1" ht="17" customHeight="1" spans="1:24">
      <c r="A4280" s="348"/>
      <c r="B4280" s="334" t="s">
        <v>73</v>
      </c>
      <c r="C4280" s="334" t="s">
        <v>178</v>
      </c>
      <c r="D4280" s="352" t="s">
        <v>75</v>
      </c>
      <c r="E4280" s="336">
        <v>43708</v>
      </c>
      <c r="F4280" s="336">
        <v>43708</v>
      </c>
      <c r="G4280" s="350" t="s">
        <v>69</v>
      </c>
      <c r="H4280" s="334" t="s">
        <v>10393</v>
      </c>
      <c r="I4280" s="426">
        <v>1018642922</v>
      </c>
      <c r="J4280" s="367" t="s">
        <v>10394</v>
      </c>
      <c r="K4280" s="470">
        <v>1000</v>
      </c>
      <c r="L4280" s="338"/>
      <c r="M4280" s="338"/>
      <c r="N4280" s="362">
        <f t="shared" si="146"/>
        <v>0</v>
      </c>
      <c r="O4280" s="366" t="s">
        <v>52</v>
      </c>
      <c r="X4280" s="339"/>
    </row>
    <row r="4281" s="330" customFormat="1" ht="17" customHeight="1" spans="1:24">
      <c r="A4281" s="348"/>
      <c r="B4281" s="334" t="s">
        <v>73</v>
      </c>
      <c r="C4281" s="334" t="s">
        <v>74</v>
      </c>
      <c r="D4281" s="334" t="s">
        <v>75</v>
      </c>
      <c r="E4281" s="336">
        <v>43769</v>
      </c>
      <c r="F4281" s="336">
        <v>43708</v>
      </c>
      <c r="G4281" s="336">
        <v>43769</v>
      </c>
      <c r="H4281" s="334" t="s">
        <v>10395</v>
      </c>
      <c r="I4281" s="426">
        <v>13524669166</v>
      </c>
      <c r="J4281" s="367" t="s">
        <v>10396</v>
      </c>
      <c r="K4281" s="470">
        <v>1000</v>
      </c>
      <c r="L4281" s="334">
        <v>27170</v>
      </c>
      <c r="M4281" s="338"/>
      <c r="N4281" s="362">
        <f t="shared" si="146"/>
        <v>27170</v>
      </c>
      <c r="O4281" s="366" t="s">
        <v>52</v>
      </c>
      <c r="X4281" s="339"/>
    </row>
    <row r="4282" s="330" customFormat="1" ht="17" customHeight="1" spans="1:24">
      <c r="A4282" s="348"/>
      <c r="B4282" s="334" t="s">
        <v>73</v>
      </c>
      <c r="C4282" s="334" t="s">
        <v>74</v>
      </c>
      <c r="D4282" s="335" t="s">
        <v>717</v>
      </c>
      <c r="E4282" s="336">
        <v>43737</v>
      </c>
      <c r="F4282" s="336">
        <v>43708</v>
      </c>
      <c r="G4282" s="336">
        <v>43737</v>
      </c>
      <c r="H4282" s="334" t="s">
        <v>10397</v>
      </c>
      <c r="I4282" s="334">
        <v>18930635079</v>
      </c>
      <c r="J4282" s="367" t="s">
        <v>10398</v>
      </c>
      <c r="K4282" s="334">
        <v>1000</v>
      </c>
      <c r="L4282" s="334">
        <v>24213</v>
      </c>
      <c r="M4282" s="338"/>
      <c r="N4282" s="362">
        <f t="shared" si="146"/>
        <v>24213</v>
      </c>
      <c r="O4282" s="366" t="s">
        <v>52</v>
      </c>
      <c r="X4282" s="339"/>
    </row>
    <row r="4283" s="330" customFormat="1" ht="17" customHeight="1" spans="1:24">
      <c r="A4283" s="550" t="s">
        <v>7476</v>
      </c>
      <c r="B4283" s="334" t="s">
        <v>205</v>
      </c>
      <c r="C4283" s="334" t="s">
        <v>1467</v>
      </c>
      <c r="D4283" s="349" t="s">
        <v>207</v>
      </c>
      <c r="E4283" s="336">
        <v>43708</v>
      </c>
      <c r="F4283" s="336">
        <v>43708</v>
      </c>
      <c r="G4283" s="356" t="s">
        <v>469</v>
      </c>
      <c r="H4283" s="334" t="s">
        <v>10399</v>
      </c>
      <c r="I4283" s="334"/>
      <c r="J4283" s="361" t="s">
        <v>10400</v>
      </c>
      <c r="K4283" s="334">
        <v>1000</v>
      </c>
      <c r="L4283" s="338"/>
      <c r="M4283" s="338"/>
      <c r="N4283" s="362">
        <f t="shared" si="146"/>
        <v>0</v>
      </c>
      <c r="O4283" s="353"/>
      <c r="X4283" s="339"/>
    </row>
    <row r="4284" s="330" customFormat="1" ht="17" customHeight="1" spans="1:24">
      <c r="A4284" s="348"/>
      <c r="B4284" s="334" t="s">
        <v>205</v>
      </c>
      <c r="C4284" s="334" t="s">
        <v>1467</v>
      </c>
      <c r="D4284" s="334" t="s">
        <v>207</v>
      </c>
      <c r="E4284" s="336">
        <v>43738</v>
      </c>
      <c r="F4284" s="336">
        <v>43708</v>
      </c>
      <c r="G4284" s="336">
        <v>43738</v>
      </c>
      <c r="H4284" s="334" t="s">
        <v>10401</v>
      </c>
      <c r="I4284" s="334">
        <v>15502171283</v>
      </c>
      <c r="J4284" s="367" t="s">
        <v>10402</v>
      </c>
      <c r="K4284" s="470">
        <v>8607</v>
      </c>
      <c r="L4284" s="334">
        <v>8591</v>
      </c>
      <c r="M4284" s="338"/>
      <c r="N4284" s="362">
        <f t="shared" si="146"/>
        <v>8591</v>
      </c>
      <c r="O4284" s="353" t="s">
        <v>1526</v>
      </c>
      <c r="X4284" s="339"/>
    </row>
    <row r="4285" s="330" customFormat="1" ht="17" customHeight="1" spans="1:24">
      <c r="A4285" s="348"/>
      <c r="B4285" s="334" t="s">
        <v>205</v>
      </c>
      <c r="C4285" s="334" t="s">
        <v>1467</v>
      </c>
      <c r="D4285" s="335" t="s">
        <v>1170</v>
      </c>
      <c r="E4285" s="336">
        <v>43708</v>
      </c>
      <c r="F4285" s="336">
        <v>43708</v>
      </c>
      <c r="G4285" s="399"/>
      <c r="H4285" s="334" t="s">
        <v>10403</v>
      </c>
      <c r="I4285" s="426">
        <v>13817669841</v>
      </c>
      <c r="J4285" s="367" t="s">
        <v>10404</v>
      </c>
      <c r="K4285" s="470">
        <v>1000</v>
      </c>
      <c r="L4285" s="338"/>
      <c r="M4285" s="338"/>
      <c r="N4285" s="362">
        <f t="shared" si="146"/>
        <v>0</v>
      </c>
      <c r="U4285" s="353" t="s">
        <v>63</v>
      </c>
      <c r="X4285" s="339"/>
    </row>
    <row r="4286" s="330" customFormat="1" ht="17" customHeight="1" spans="1:24">
      <c r="A4286" s="348"/>
      <c r="B4286" s="334" t="s">
        <v>137</v>
      </c>
      <c r="C4286" s="334" t="s">
        <v>480</v>
      </c>
      <c r="D4286" s="335" t="s">
        <v>139</v>
      </c>
      <c r="E4286" s="336">
        <v>43734</v>
      </c>
      <c r="F4286" s="336">
        <v>43708</v>
      </c>
      <c r="G4286" s="336">
        <v>43733</v>
      </c>
      <c r="H4286" s="334" t="s">
        <v>10405</v>
      </c>
      <c r="I4286" s="426">
        <v>16621337517</v>
      </c>
      <c r="J4286" s="367" t="s">
        <v>10406</v>
      </c>
      <c r="K4286" s="470">
        <v>1000</v>
      </c>
      <c r="L4286" s="334">
        <v>10000</v>
      </c>
      <c r="M4286" s="338"/>
      <c r="N4286" s="362">
        <f t="shared" si="146"/>
        <v>10000</v>
      </c>
      <c r="X4286" s="339"/>
    </row>
    <row r="4287" s="330" customFormat="1" ht="17" customHeight="1" spans="1:24">
      <c r="A4287" s="348"/>
      <c r="B4287" s="348" t="s">
        <v>354</v>
      </c>
      <c r="C4287" s="334" t="s">
        <v>355</v>
      </c>
      <c r="D4287" s="334" t="s">
        <v>343</v>
      </c>
      <c r="E4287" s="336">
        <v>43721</v>
      </c>
      <c r="F4287" s="336">
        <v>43708</v>
      </c>
      <c r="G4287" s="336">
        <v>43719</v>
      </c>
      <c r="H4287" s="334" t="s">
        <v>10407</v>
      </c>
      <c r="I4287" s="426" t="s">
        <v>10408</v>
      </c>
      <c r="J4287" s="367" t="s">
        <v>10409</v>
      </c>
      <c r="K4287" s="470">
        <v>2000</v>
      </c>
      <c r="L4287" s="334">
        <v>4560</v>
      </c>
      <c r="M4287" s="338"/>
      <c r="N4287" s="362">
        <f t="shared" si="146"/>
        <v>4560</v>
      </c>
      <c r="S4287" s="330" t="s">
        <v>52</v>
      </c>
      <c r="X4287" s="339"/>
    </row>
    <row r="4288" s="330" customFormat="1" ht="17" customHeight="1" spans="1:24">
      <c r="A4288" s="348"/>
      <c r="B4288" s="334" t="s">
        <v>185</v>
      </c>
      <c r="C4288" s="334" t="s">
        <v>4146</v>
      </c>
      <c r="D4288" s="334" t="s">
        <v>187</v>
      </c>
      <c r="E4288" s="336">
        <v>43708</v>
      </c>
      <c r="F4288" s="336">
        <v>43708</v>
      </c>
      <c r="G4288" s="399">
        <v>43708</v>
      </c>
      <c r="H4288" s="334" t="s">
        <v>10410</v>
      </c>
      <c r="I4288" s="426">
        <v>1512116050</v>
      </c>
      <c r="J4288" s="367" t="s">
        <v>10411</v>
      </c>
      <c r="K4288" s="470">
        <v>12000</v>
      </c>
      <c r="L4288" s="334">
        <v>12000</v>
      </c>
      <c r="M4288" s="338"/>
      <c r="N4288" s="362">
        <f t="shared" si="146"/>
        <v>12000</v>
      </c>
      <c r="X4288" s="339"/>
    </row>
    <row r="4289" s="330" customFormat="1" ht="15" customHeight="1" spans="1:24">
      <c r="A4289" s="550" t="s">
        <v>10412</v>
      </c>
      <c r="B4289" s="334" t="s">
        <v>405</v>
      </c>
      <c r="C4289" s="334" t="s">
        <v>1234</v>
      </c>
      <c r="D4289" s="335" t="s">
        <v>407</v>
      </c>
      <c r="E4289" s="336">
        <v>43737</v>
      </c>
      <c r="F4289" s="336">
        <v>43708</v>
      </c>
      <c r="G4289" s="336">
        <v>43737</v>
      </c>
      <c r="H4289" s="334" t="s">
        <v>10413</v>
      </c>
      <c r="I4289" s="426">
        <v>13817131152</v>
      </c>
      <c r="J4289" s="367" t="s">
        <v>10414</v>
      </c>
      <c r="K4289" s="470">
        <v>1000</v>
      </c>
      <c r="L4289" s="334">
        <v>23430</v>
      </c>
      <c r="M4289" s="338"/>
      <c r="N4289" s="362">
        <f t="shared" si="146"/>
        <v>23430</v>
      </c>
      <c r="O4289" s="356" t="s">
        <v>52</v>
      </c>
      <c r="X4289" s="339"/>
    </row>
    <row r="4290" s="330" customFormat="1" ht="17" customHeight="1" spans="1:24">
      <c r="A4290" s="550" t="s">
        <v>10415</v>
      </c>
      <c r="B4290" s="334" t="s">
        <v>123</v>
      </c>
      <c r="C4290" s="334" t="s">
        <v>902</v>
      </c>
      <c r="D4290" s="335" t="s">
        <v>125</v>
      </c>
      <c r="E4290" s="336">
        <v>43708</v>
      </c>
      <c r="F4290" s="336">
        <v>43708</v>
      </c>
      <c r="G4290" s="399"/>
      <c r="H4290" s="334" t="s">
        <v>10416</v>
      </c>
      <c r="I4290" s="426">
        <v>13761017719</v>
      </c>
      <c r="J4290" s="367" t="s">
        <v>10417</v>
      </c>
      <c r="K4290" s="470">
        <v>10000</v>
      </c>
      <c r="L4290" s="338"/>
      <c r="M4290" s="338"/>
      <c r="N4290" s="362">
        <f t="shared" ref="N4290:N4353" si="147">L4290+M4290</f>
        <v>0</v>
      </c>
      <c r="Q4290" s="366" t="s">
        <v>52</v>
      </c>
      <c r="U4290" s="353" t="s">
        <v>40</v>
      </c>
      <c r="X4290" s="339"/>
    </row>
    <row r="4291" s="330" customFormat="1" ht="15" customHeight="1" spans="1:24">
      <c r="A4291" s="550" t="s">
        <v>10412</v>
      </c>
      <c r="B4291" s="334" t="s">
        <v>405</v>
      </c>
      <c r="C4291" s="334" t="s">
        <v>1234</v>
      </c>
      <c r="D4291" s="335" t="s">
        <v>407</v>
      </c>
      <c r="E4291" s="336">
        <v>43708</v>
      </c>
      <c r="F4291" s="336">
        <v>43708</v>
      </c>
      <c r="G4291" s="399"/>
      <c r="H4291" s="334" t="s">
        <v>10418</v>
      </c>
      <c r="I4291" s="426">
        <v>13816602430</v>
      </c>
      <c r="J4291" s="367" t="s">
        <v>10419</v>
      </c>
      <c r="K4291" s="470">
        <v>1000</v>
      </c>
      <c r="L4291" s="338"/>
      <c r="M4291" s="338"/>
      <c r="N4291" s="362">
        <f t="shared" si="147"/>
        <v>0</v>
      </c>
      <c r="O4291" s="356"/>
      <c r="Q4291" s="356" t="s">
        <v>52</v>
      </c>
      <c r="X4291" s="339"/>
    </row>
    <row r="4292" s="330" customFormat="1" ht="17" customHeight="1" spans="1:24">
      <c r="A4292" s="550" t="s">
        <v>10420</v>
      </c>
      <c r="B4292" s="334" t="s">
        <v>185</v>
      </c>
      <c r="C4292" s="334" t="s">
        <v>886</v>
      </c>
      <c r="D4292" s="334" t="s">
        <v>191</v>
      </c>
      <c r="E4292" s="336">
        <v>43708</v>
      </c>
      <c r="F4292" s="336">
        <v>43708</v>
      </c>
      <c r="G4292" s="336">
        <v>43707</v>
      </c>
      <c r="H4292" s="334" t="s">
        <v>7174</v>
      </c>
      <c r="I4292" s="458">
        <v>13801985955</v>
      </c>
      <c r="J4292" s="367" t="s">
        <v>10421</v>
      </c>
      <c r="K4292" s="470">
        <v>5400</v>
      </c>
      <c r="L4292" s="334">
        <v>5400</v>
      </c>
      <c r="M4292" s="338"/>
      <c r="N4292" s="362">
        <f t="shared" si="147"/>
        <v>5400</v>
      </c>
      <c r="X4292" s="339"/>
    </row>
    <row r="4293" s="330" customFormat="1" ht="17" customHeight="1" spans="1:24">
      <c r="A4293" s="550" t="s">
        <v>10422</v>
      </c>
      <c r="B4293" s="334" t="s">
        <v>66</v>
      </c>
      <c r="C4293" s="334" t="s">
        <v>67</v>
      </c>
      <c r="D4293" s="335" t="s">
        <v>143</v>
      </c>
      <c r="E4293" s="336">
        <v>43724</v>
      </c>
      <c r="F4293" s="336">
        <v>43708</v>
      </c>
      <c r="G4293" s="336">
        <v>43723</v>
      </c>
      <c r="H4293" s="334" t="s">
        <v>10423</v>
      </c>
      <c r="I4293" s="426">
        <v>18201736506</v>
      </c>
      <c r="J4293" s="367" t="s">
        <v>10424</v>
      </c>
      <c r="K4293" s="470">
        <v>1000</v>
      </c>
      <c r="L4293" s="334">
        <v>39340</v>
      </c>
      <c r="M4293" s="338"/>
      <c r="N4293" s="362">
        <f t="shared" si="147"/>
        <v>39340</v>
      </c>
      <c r="X4293" s="339"/>
    </row>
    <row r="4294" s="330" customFormat="1" ht="17" customHeight="1" spans="1:24">
      <c r="A4294" s="348"/>
      <c r="B4294" s="334" t="s">
        <v>123</v>
      </c>
      <c r="C4294" s="334" t="s">
        <v>902</v>
      </c>
      <c r="D4294" s="335" t="s">
        <v>125</v>
      </c>
      <c r="E4294" s="336">
        <v>43774</v>
      </c>
      <c r="F4294" s="336">
        <v>43701</v>
      </c>
      <c r="G4294" s="336">
        <v>43772</v>
      </c>
      <c r="H4294" s="334" t="s">
        <v>10425</v>
      </c>
      <c r="I4294" s="426">
        <v>17898876376</v>
      </c>
      <c r="J4294" s="367" t="s">
        <v>10426</v>
      </c>
      <c r="K4294" s="470">
        <v>5000</v>
      </c>
      <c r="L4294" s="472">
        <v>6826</v>
      </c>
      <c r="M4294" s="338"/>
      <c r="N4294" s="362">
        <f t="shared" si="147"/>
        <v>6826</v>
      </c>
      <c r="Q4294" s="366" t="s">
        <v>52</v>
      </c>
      <c r="X4294" s="339"/>
    </row>
    <row r="4295" s="330" customFormat="1" ht="17" customHeight="1" spans="1:24">
      <c r="A4295" s="550" t="s">
        <v>9837</v>
      </c>
      <c r="B4295" s="334" t="s">
        <v>169</v>
      </c>
      <c r="C4295" s="334" t="s">
        <v>634</v>
      </c>
      <c r="D4295" s="334" t="s">
        <v>75</v>
      </c>
      <c r="E4295" s="336">
        <v>43708</v>
      </c>
      <c r="F4295" s="336">
        <v>43697</v>
      </c>
      <c r="G4295" s="336">
        <v>43708</v>
      </c>
      <c r="H4295" s="334" t="s">
        <v>10427</v>
      </c>
      <c r="I4295" s="426">
        <v>18817149153</v>
      </c>
      <c r="J4295" s="367" t="s">
        <v>10428</v>
      </c>
      <c r="K4295" s="470">
        <v>10953</v>
      </c>
      <c r="L4295" s="334">
        <v>10953</v>
      </c>
      <c r="M4295" s="338"/>
      <c r="N4295" s="362">
        <f t="shared" si="147"/>
        <v>10953</v>
      </c>
      <c r="X4295" s="339"/>
    </row>
    <row r="4296" s="330" customFormat="1" ht="17" customHeight="1" spans="1:24">
      <c r="A4296" s="348"/>
      <c r="B4296" s="334" t="s">
        <v>66</v>
      </c>
      <c r="C4296" s="334" t="s">
        <v>505</v>
      </c>
      <c r="D4296" s="335" t="s">
        <v>1436</v>
      </c>
      <c r="E4296" s="336">
        <v>43708</v>
      </c>
      <c r="F4296" s="336">
        <v>43708</v>
      </c>
      <c r="G4296" s="399"/>
      <c r="H4296" s="334" t="s">
        <v>10429</v>
      </c>
      <c r="I4296" s="558" t="s">
        <v>10430</v>
      </c>
      <c r="J4296" s="367" t="s">
        <v>10431</v>
      </c>
      <c r="K4296" s="470">
        <v>1000</v>
      </c>
      <c r="L4296" s="338"/>
      <c r="M4296" s="338"/>
      <c r="N4296" s="362">
        <f t="shared" si="147"/>
        <v>0</v>
      </c>
      <c r="O4296" s="353" t="s">
        <v>19</v>
      </c>
      <c r="U4296" s="400" t="s">
        <v>10432</v>
      </c>
      <c r="X4296" s="339"/>
    </row>
    <row r="4297" s="330" customFormat="1" ht="17" customHeight="1" spans="1:24">
      <c r="A4297" s="550" t="s">
        <v>6531</v>
      </c>
      <c r="B4297" s="334" t="s">
        <v>5435</v>
      </c>
      <c r="C4297" s="334" t="s">
        <v>1728</v>
      </c>
      <c r="D4297" s="335" t="s">
        <v>149</v>
      </c>
      <c r="E4297" s="336">
        <v>43708</v>
      </c>
      <c r="F4297" s="336">
        <v>43708</v>
      </c>
      <c r="G4297" s="356" t="s">
        <v>3654</v>
      </c>
      <c r="H4297" s="334" t="s">
        <v>1179</v>
      </c>
      <c r="I4297" s="426">
        <v>13641623349</v>
      </c>
      <c r="J4297" s="367" t="s">
        <v>10433</v>
      </c>
      <c r="K4297" s="470">
        <v>5000</v>
      </c>
      <c r="L4297" s="338"/>
      <c r="M4297" s="338"/>
      <c r="N4297" s="362">
        <f t="shared" si="147"/>
        <v>0</v>
      </c>
      <c r="O4297" s="366"/>
      <c r="P4297" s="467" t="s">
        <v>52</v>
      </c>
      <c r="X4297" s="339"/>
    </row>
    <row r="4298" s="330" customFormat="1" ht="17" customHeight="1" spans="1:24">
      <c r="A4298" s="550" t="s">
        <v>1903</v>
      </c>
      <c r="B4298" s="334" t="s">
        <v>185</v>
      </c>
      <c r="C4298" s="334" t="s">
        <v>1620</v>
      </c>
      <c r="D4298" s="334" t="s">
        <v>187</v>
      </c>
      <c r="E4298" s="336">
        <v>43711</v>
      </c>
      <c r="F4298" s="336">
        <v>43708</v>
      </c>
      <c r="G4298" s="336">
        <v>43711</v>
      </c>
      <c r="H4298" s="334" t="s">
        <v>10434</v>
      </c>
      <c r="I4298" s="426">
        <v>18621516956</v>
      </c>
      <c r="J4298" s="367" t="s">
        <v>10435</v>
      </c>
      <c r="K4298" s="470">
        <v>8600</v>
      </c>
      <c r="L4298" s="334">
        <v>8416</v>
      </c>
      <c r="M4298" s="338"/>
      <c r="N4298" s="362">
        <f t="shared" si="147"/>
        <v>8416</v>
      </c>
      <c r="X4298" s="339"/>
    </row>
    <row r="4299" s="330" customFormat="1" ht="17" customHeight="1" spans="1:24">
      <c r="A4299" s="550" t="s">
        <v>10436</v>
      </c>
      <c r="B4299" s="334" t="s">
        <v>185</v>
      </c>
      <c r="C4299" s="334" t="s">
        <v>1620</v>
      </c>
      <c r="D4299" s="335" t="s">
        <v>143</v>
      </c>
      <c r="E4299" s="336">
        <v>43708</v>
      </c>
      <c r="F4299" s="336">
        <v>43707</v>
      </c>
      <c r="G4299" s="399">
        <v>43708</v>
      </c>
      <c r="H4299" s="334" t="s">
        <v>10437</v>
      </c>
      <c r="I4299" s="426">
        <v>13524852096</v>
      </c>
      <c r="J4299" s="367" t="s">
        <v>10438</v>
      </c>
      <c r="K4299" s="470">
        <v>17600</v>
      </c>
      <c r="L4299" s="334">
        <v>17600</v>
      </c>
      <c r="M4299" s="338"/>
      <c r="N4299" s="362">
        <f t="shared" si="147"/>
        <v>17600</v>
      </c>
      <c r="X4299" s="339"/>
    </row>
    <row r="4300" s="330" customFormat="1" ht="17" customHeight="1" spans="1:24">
      <c r="A4300" s="550" t="s">
        <v>10439</v>
      </c>
      <c r="B4300" s="334" t="s">
        <v>66</v>
      </c>
      <c r="C4300" s="334" t="s">
        <v>3954</v>
      </c>
      <c r="D4300" s="335" t="s">
        <v>1436</v>
      </c>
      <c r="E4300" s="336">
        <v>43708</v>
      </c>
      <c r="F4300" s="336">
        <v>43708</v>
      </c>
      <c r="G4300" s="399"/>
      <c r="H4300" s="334" t="s">
        <v>10440</v>
      </c>
      <c r="I4300" s="426">
        <v>18501758369</v>
      </c>
      <c r="J4300" s="367" t="s">
        <v>10441</v>
      </c>
      <c r="K4300" s="470">
        <v>1000</v>
      </c>
      <c r="L4300" s="338"/>
      <c r="M4300" s="338"/>
      <c r="N4300" s="362">
        <f t="shared" si="147"/>
        <v>0</v>
      </c>
      <c r="U4300" s="372" t="s">
        <v>12</v>
      </c>
      <c r="V4300" s="353" t="s">
        <v>10442</v>
      </c>
      <c r="X4300" s="339"/>
    </row>
    <row r="4301" s="330" customFormat="1" ht="17" customHeight="1" spans="1:24">
      <c r="A4301" s="550" t="s">
        <v>9412</v>
      </c>
      <c r="B4301" s="334" t="s">
        <v>31</v>
      </c>
      <c r="C4301" s="334" t="s">
        <v>251</v>
      </c>
      <c r="D4301" s="334" t="s">
        <v>954</v>
      </c>
      <c r="E4301" s="336">
        <v>43710</v>
      </c>
      <c r="F4301" s="336">
        <v>43708</v>
      </c>
      <c r="G4301" s="336">
        <v>43709</v>
      </c>
      <c r="H4301" s="334" t="s">
        <v>10443</v>
      </c>
      <c r="I4301" s="426">
        <v>15216717689</v>
      </c>
      <c r="J4301" s="367" t="s">
        <v>10444</v>
      </c>
      <c r="K4301" s="470">
        <v>1000</v>
      </c>
      <c r="L4301" s="334">
        <v>5026</v>
      </c>
      <c r="M4301" s="338"/>
      <c r="N4301" s="362">
        <f t="shared" si="147"/>
        <v>5026</v>
      </c>
      <c r="X4301" s="339"/>
    </row>
    <row r="4302" s="330" customFormat="1" ht="17" customHeight="1" spans="1:24">
      <c r="A4302" s="550" t="s">
        <v>6092</v>
      </c>
      <c r="B4302" s="334" t="s">
        <v>147</v>
      </c>
      <c r="C4302" s="334" t="s">
        <v>148</v>
      </c>
      <c r="D4302" s="334" t="s">
        <v>1170</v>
      </c>
      <c r="E4302" s="336">
        <v>43759</v>
      </c>
      <c r="F4302" s="336">
        <v>43707</v>
      </c>
      <c r="G4302" s="336">
        <v>43757</v>
      </c>
      <c r="H4302" s="334" t="s">
        <v>10445</v>
      </c>
      <c r="I4302" s="426">
        <v>15221992686</v>
      </c>
      <c r="J4302" s="367" t="s">
        <v>10446</v>
      </c>
      <c r="K4302" s="470">
        <v>1000</v>
      </c>
      <c r="L4302" s="334">
        <v>6000</v>
      </c>
      <c r="M4302" s="338"/>
      <c r="N4302" s="362">
        <f t="shared" si="147"/>
        <v>6000</v>
      </c>
      <c r="R4302" s="356" t="s">
        <v>9289</v>
      </c>
      <c r="X4302" s="339"/>
    </row>
    <row r="4303" s="330" customFormat="1" ht="17" customHeight="1" spans="1:24">
      <c r="A4303" s="550" t="s">
        <v>5290</v>
      </c>
      <c r="B4303" s="334" t="s">
        <v>147</v>
      </c>
      <c r="C4303" s="334" t="s">
        <v>148</v>
      </c>
      <c r="D4303" s="334" t="s">
        <v>1170</v>
      </c>
      <c r="E4303" s="336">
        <v>43735</v>
      </c>
      <c r="F4303" s="336">
        <v>43701</v>
      </c>
      <c r="G4303" s="336">
        <v>43733</v>
      </c>
      <c r="H4303" s="334" t="s">
        <v>10447</v>
      </c>
      <c r="I4303" s="426">
        <v>18616719932</v>
      </c>
      <c r="J4303" s="367" t="s">
        <v>10448</v>
      </c>
      <c r="K4303" s="470">
        <v>32125</v>
      </c>
      <c r="L4303" s="334">
        <v>30908</v>
      </c>
      <c r="M4303" s="338"/>
      <c r="N4303" s="362">
        <f t="shared" si="147"/>
        <v>30908</v>
      </c>
      <c r="O4303" s="353" t="s">
        <v>19</v>
      </c>
      <c r="X4303" s="339"/>
    </row>
    <row r="4304" s="330" customFormat="1" ht="17" customHeight="1" spans="1:24">
      <c r="A4304" s="550" t="s">
        <v>6097</v>
      </c>
      <c r="B4304" s="334" t="s">
        <v>147</v>
      </c>
      <c r="C4304" s="334" t="s">
        <v>148</v>
      </c>
      <c r="D4304" s="334" t="s">
        <v>149</v>
      </c>
      <c r="E4304" s="336">
        <v>43708</v>
      </c>
      <c r="F4304" s="336">
        <v>43701</v>
      </c>
      <c r="G4304" s="336">
        <v>43708</v>
      </c>
      <c r="H4304" s="334" t="s">
        <v>10449</v>
      </c>
      <c r="I4304" s="334">
        <v>13916560508</v>
      </c>
      <c r="J4304" s="367" t="s">
        <v>10450</v>
      </c>
      <c r="K4304" s="470">
        <v>4500</v>
      </c>
      <c r="L4304" s="334">
        <v>4500</v>
      </c>
      <c r="M4304" s="338"/>
      <c r="N4304" s="362">
        <f t="shared" si="147"/>
        <v>4500</v>
      </c>
      <c r="X4304" s="339"/>
    </row>
    <row r="4305" s="330" customFormat="1" ht="17" customHeight="1" spans="1:24">
      <c r="A4305" s="348"/>
      <c r="B4305" s="334" t="s">
        <v>137</v>
      </c>
      <c r="C4305" s="334" t="s">
        <v>861</v>
      </c>
      <c r="D4305" s="335" t="s">
        <v>427</v>
      </c>
      <c r="E4305" s="336">
        <v>43738</v>
      </c>
      <c r="F4305" s="336">
        <v>43708</v>
      </c>
      <c r="G4305" s="336">
        <v>43738</v>
      </c>
      <c r="H4305" s="334" t="s">
        <v>10451</v>
      </c>
      <c r="I4305" s="334">
        <v>15316206130</v>
      </c>
      <c r="J4305" s="367" t="s">
        <v>10452</v>
      </c>
      <c r="K4305" s="470">
        <v>33000</v>
      </c>
      <c r="L4305" s="334">
        <v>33000</v>
      </c>
      <c r="M4305" s="338"/>
      <c r="N4305" s="362">
        <f t="shared" si="147"/>
        <v>33000</v>
      </c>
      <c r="U4305" s="393" t="s">
        <v>40</v>
      </c>
      <c r="X4305" s="339"/>
    </row>
    <row r="4306" s="330" customFormat="1" ht="17" customHeight="1" spans="1:24">
      <c r="A4306" s="348"/>
      <c r="B4306" s="334" t="s">
        <v>137</v>
      </c>
      <c r="C4306" s="334" t="s">
        <v>406</v>
      </c>
      <c r="D4306" s="334" t="s">
        <v>139</v>
      </c>
      <c r="E4306" s="336">
        <v>43768</v>
      </c>
      <c r="F4306" s="336">
        <v>43708</v>
      </c>
      <c r="G4306" s="336">
        <v>43767</v>
      </c>
      <c r="H4306" s="334" t="s">
        <v>10453</v>
      </c>
      <c r="I4306" s="426">
        <v>13901825418</v>
      </c>
      <c r="J4306" s="367" t="s">
        <v>10454</v>
      </c>
      <c r="K4306" s="470">
        <v>1000</v>
      </c>
      <c r="L4306" s="334">
        <v>29952</v>
      </c>
      <c r="M4306" s="338"/>
      <c r="N4306" s="362">
        <f t="shared" si="147"/>
        <v>29952</v>
      </c>
      <c r="X4306" s="339"/>
    </row>
    <row r="4307" s="330" customFormat="1" ht="17" customHeight="1" spans="1:24">
      <c r="A4307" s="348"/>
      <c r="B4307" s="334" t="s">
        <v>137</v>
      </c>
      <c r="C4307" s="334" t="s">
        <v>138</v>
      </c>
      <c r="D4307" s="335" t="s">
        <v>139</v>
      </c>
      <c r="E4307" s="336">
        <v>43708</v>
      </c>
      <c r="F4307" s="336">
        <v>43708</v>
      </c>
      <c r="G4307" s="353" t="s">
        <v>69</v>
      </c>
      <c r="H4307" s="334" t="s">
        <v>10455</v>
      </c>
      <c r="I4307" s="426" t="s">
        <v>10456</v>
      </c>
      <c r="J4307" s="334" t="s">
        <v>10457</v>
      </c>
      <c r="K4307" s="470">
        <v>1000</v>
      </c>
      <c r="L4307" s="338"/>
      <c r="M4307" s="338"/>
      <c r="N4307" s="362">
        <f t="shared" si="147"/>
        <v>0</v>
      </c>
      <c r="Q4307" s="330">
        <v>1</v>
      </c>
      <c r="X4307" s="339"/>
    </row>
    <row r="4308" s="330" customFormat="1" ht="17" customHeight="1" spans="1:24">
      <c r="A4308" s="348"/>
      <c r="B4308" s="334" t="s">
        <v>66</v>
      </c>
      <c r="C4308" s="334" t="s">
        <v>3954</v>
      </c>
      <c r="D4308" s="334" t="s">
        <v>68</v>
      </c>
      <c r="E4308" s="336">
        <v>43745</v>
      </c>
      <c r="F4308" s="336">
        <v>43708</v>
      </c>
      <c r="G4308" s="336">
        <v>43745</v>
      </c>
      <c r="H4308" s="334" t="s">
        <v>10458</v>
      </c>
      <c r="I4308" s="426">
        <v>13636517006</v>
      </c>
      <c r="J4308" s="367" t="s">
        <v>10459</v>
      </c>
      <c r="K4308" s="470">
        <v>5000</v>
      </c>
      <c r="L4308" s="334">
        <v>15000</v>
      </c>
      <c r="M4308" s="338"/>
      <c r="N4308" s="362">
        <f t="shared" si="147"/>
        <v>15000</v>
      </c>
      <c r="V4308" s="353" t="s">
        <v>2327</v>
      </c>
      <c r="X4308" s="339"/>
    </row>
    <row r="4309" s="330" customFormat="1" ht="17" customHeight="1" spans="1:24">
      <c r="A4309" s="348"/>
      <c r="B4309" s="334" t="s">
        <v>87</v>
      </c>
      <c r="C4309" s="334" t="s">
        <v>1757</v>
      </c>
      <c r="D4309" s="335" t="s">
        <v>89</v>
      </c>
      <c r="E4309" s="336">
        <v>43708</v>
      </c>
      <c r="F4309" s="336">
        <v>43708</v>
      </c>
      <c r="G4309" s="399"/>
      <c r="H4309" s="334" t="s">
        <v>2350</v>
      </c>
      <c r="I4309" s="426">
        <v>18321745607</v>
      </c>
      <c r="J4309" s="367" t="s">
        <v>10460</v>
      </c>
      <c r="K4309" s="470">
        <v>1000</v>
      </c>
      <c r="L4309" s="338"/>
      <c r="M4309" s="338"/>
      <c r="N4309" s="362">
        <f t="shared" si="147"/>
        <v>0</v>
      </c>
      <c r="O4309" s="356" t="s">
        <v>52</v>
      </c>
      <c r="X4309" s="339"/>
    </row>
    <row r="4310" s="330" customFormat="1" ht="17" customHeight="1" spans="1:24">
      <c r="A4310" s="550" t="s">
        <v>8258</v>
      </c>
      <c r="B4310" s="348" t="s">
        <v>31</v>
      </c>
      <c r="C4310" s="348" t="s">
        <v>3186</v>
      </c>
      <c r="D4310" s="334" t="s">
        <v>33</v>
      </c>
      <c r="E4310" s="336">
        <v>43715</v>
      </c>
      <c r="F4310" s="336">
        <v>43708</v>
      </c>
      <c r="G4310" s="336">
        <v>43715</v>
      </c>
      <c r="H4310" s="334" t="s">
        <v>10461</v>
      </c>
      <c r="I4310" s="444">
        <v>15316837390</v>
      </c>
      <c r="J4310" s="361" t="s">
        <v>10462</v>
      </c>
      <c r="K4310" s="452">
        <v>1000</v>
      </c>
      <c r="L4310" s="338">
        <v>7501</v>
      </c>
      <c r="M4310" s="334">
        <v>536</v>
      </c>
      <c r="N4310" s="362">
        <f t="shared" si="147"/>
        <v>8037</v>
      </c>
      <c r="X4310" s="339"/>
    </row>
    <row r="4311" s="330" customFormat="1" ht="17" customHeight="1" spans="1:24">
      <c r="A4311" s="348"/>
      <c r="B4311" s="348" t="s">
        <v>31</v>
      </c>
      <c r="C4311" s="348" t="s">
        <v>3186</v>
      </c>
      <c r="D4311" s="335" t="s">
        <v>221</v>
      </c>
      <c r="E4311" s="336">
        <v>43708</v>
      </c>
      <c r="F4311" s="336">
        <v>43708</v>
      </c>
      <c r="G4311" s="399"/>
      <c r="H4311" s="334" t="s">
        <v>10463</v>
      </c>
      <c r="I4311" s="444">
        <v>13402186420</v>
      </c>
      <c r="J4311" s="361" t="s">
        <v>10464</v>
      </c>
      <c r="K4311" s="452">
        <v>1000</v>
      </c>
      <c r="L4311" s="338"/>
      <c r="M4311" s="338"/>
      <c r="N4311" s="362">
        <f t="shared" si="147"/>
        <v>0</v>
      </c>
      <c r="Q4311" s="467" t="s">
        <v>52</v>
      </c>
      <c r="X4311" s="339"/>
    </row>
    <row r="4312" s="330" customFormat="1" ht="17" customHeight="1" spans="1:24">
      <c r="A4312" s="348"/>
      <c r="B4312" s="334" t="s">
        <v>94</v>
      </c>
      <c r="C4312" s="334" t="s">
        <v>95</v>
      </c>
      <c r="D4312" s="335" t="s">
        <v>49</v>
      </c>
      <c r="E4312" s="336">
        <v>43712</v>
      </c>
      <c r="F4312" s="336">
        <v>43708</v>
      </c>
      <c r="G4312" s="336">
        <v>43711</v>
      </c>
      <c r="H4312" s="334" t="s">
        <v>10465</v>
      </c>
      <c r="I4312" s="558" t="s">
        <v>10466</v>
      </c>
      <c r="J4312" s="367" t="s">
        <v>10467</v>
      </c>
      <c r="K4312" s="470">
        <v>10000</v>
      </c>
      <c r="L4312" s="334">
        <f>13066-1072</f>
        <v>11994</v>
      </c>
      <c r="M4312" s="334">
        <v>1072</v>
      </c>
      <c r="N4312" s="362">
        <f t="shared" si="147"/>
        <v>13066</v>
      </c>
      <c r="X4312" s="339"/>
    </row>
    <row r="4313" s="330" customFormat="1" ht="17" customHeight="1" spans="1:24">
      <c r="A4313" s="348"/>
      <c r="B4313" s="334" t="s">
        <v>87</v>
      </c>
      <c r="C4313" s="334" t="s">
        <v>199</v>
      </c>
      <c r="D4313" s="335" t="s">
        <v>89</v>
      </c>
      <c r="E4313" s="336">
        <v>43799</v>
      </c>
      <c r="F4313" s="336">
        <v>43708</v>
      </c>
      <c r="G4313" s="336">
        <v>43798</v>
      </c>
      <c r="H4313" s="334" t="s">
        <v>10468</v>
      </c>
      <c r="I4313" s="426">
        <v>13402166686</v>
      </c>
      <c r="J4313" s="367" t="s">
        <v>10469</v>
      </c>
      <c r="K4313" s="470">
        <v>10000</v>
      </c>
      <c r="L4313" s="334">
        <v>53000</v>
      </c>
      <c r="M4313" s="338"/>
      <c r="N4313" s="362">
        <f t="shared" si="147"/>
        <v>53000</v>
      </c>
      <c r="X4313" s="339"/>
    </row>
    <row r="4314" s="330" customFormat="1" ht="17" customHeight="1" spans="1:24">
      <c r="A4314" s="550" t="s">
        <v>8209</v>
      </c>
      <c r="B4314" s="334" t="s">
        <v>281</v>
      </c>
      <c r="C4314" s="334" t="s">
        <v>517</v>
      </c>
      <c r="D4314" s="334" t="s">
        <v>518</v>
      </c>
      <c r="E4314" s="336">
        <v>43744</v>
      </c>
      <c r="F4314" s="336">
        <v>43698</v>
      </c>
      <c r="G4314" s="336">
        <v>43744</v>
      </c>
      <c r="H4314" s="334" t="s">
        <v>10470</v>
      </c>
      <c r="I4314" s="334">
        <v>13524752386</v>
      </c>
      <c r="J4314" s="367" t="s">
        <v>10471</v>
      </c>
      <c r="K4314" s="470">
        <v>1000</v>
      </c>
      <c r="L4314" s="334">
        <v>8517</v>
      </c>
      <c r="M4314" s="338"/>
      <c r="N4314" s="362">
        <f t="shared" si="147"/>
        <v>8517</v>
      </c>
      <c r="X4314" s="339"/>
    </row>
    <row r="4315" s="330" customFormat="1" ht="17" customHeight="1" spans="1:24">
      <c r="A4315" s="550" t="s">
        <v>10472</v>
      </c>
      <c r="B4315" s="334" t="s">
        <v>281</v>
      </c>
      <c r="C4315" s="334" t="s">
        <v>517</v>
      </c>
      <c r="D4315" s="334" t="s">
        <v>518</v>
      </c>
      <c r="E4315" s="336">
        <v>43759</v>
      </c>
      <c r="F4315" s="336">
        <v>43708</v>
      </c>
      <c r="G4315" s="336">
        <v>43758</v>
      </c>
      <c r="H4315" s="334" t="s">
        <v>10473</v>
      </c>
      <c r="I4315" s="426">
        <v>18616585423</v>
      </c>
      <c r="J4315" s="367" t="s">
        <v>10474</v>
      </c>
      <c r="K4315" s="470">
        <v>3000</v>
      </c>
      <c r="L4315" s="334">
        <v>22847</v>
      </c>
      <c r="M4315" s="338"/>
      <c r="N4315" s="362">
        <f t="shared" si="147"/>
        <v>22847</v>
      </c>
      <c r="X4315" s="339"/>
    </row>
    <row r="4316" s="330" customFormat="1" ht="17" customHeight="1" spans="1:24">
      <c r="A4316" s="550" t="s">
        <v>9802</v>
      </c>
      <c r="B4316" s="334" t="s">
        <v>805</v>
      </c>
      <c r="C4316" s="334" t="s">
        <v>199</v>
      </c>
      <c r="D4316" s="335" t="s">
        <v>171</v>
      </c>
      <c r="E4316" s="336">
        <v>43708</v>
      </c>
      <c r="F4316" s="336">
        <v>43708</v>
      </c>
      <c r="G4316" s="399"/>
      <c r="H4316" s="334" t="s">
        <v>10475</v>
      </c>
      <c r="I4316" s="426">
        <v>18516255696</v>
      </c>
      <c r="J4316" s="367" t="s">
        <v>10476</v>
      </c>
      <c r="K4316" s="470">
        <v>1000</v>
      </c>
      <c r="L4316" s="338"/>
      <c r="M4316" s="338"/>
      <c r="N4316" s="362">
        <f t="shared" si="147"/>
        <v>0</v>
      </c>
      <c r="O4316" s="430" t="s">
        <v>52</v>
      </c>
      <c r="X4316" s="339"/>
    </row>
    <row r="4317" s="330" customFormat="1" ht="17" customHeight="1" spans="1:24">
      <c r="A4317" s="334"/>
      <c r="B4317" s="348" t="s">
        <v>236</v>
      </c>
      <c r="C4317" s="348" t="s">
        <v>703</v>
      </c>
      <c r="D4317" s="349" t="s">
        <v>187</v>
      </c>
      <c r="E4317" s="336">
        <v>43708</v>
      </c>
      <c r="F4317" s="336"/>
      <c r="G4317" s="336">
        <v>43682</v>
      </c>
      <c r="H4317" s="334" t="s">
        <v>10477</v>
      </c>
      <c r="I4317" s="356">
        <v>13002113276</v>
      </c>
      <c r="J4317" s="361" t="s">
        <v>10478</v>
      </c>
      <c r="K4317" s="337"/>
      <c r="L4317" s="334">
        <v>7100</v>
      </c>
      <c r="M4317" s="338"/>
      <c r="N4317" s="362">
        <f t="shared" si="147"/>
        <v>7100</v>
      </c>
      <c r="X4317" s="339"/>
    </row>
    <row r="4318" s="330" customFormat="1" ht="17" customHeight="1" spans="1:24">
      <c r="A4318" s="334"/>
      <c r="B4318" s="348" t="s">
        <v>137</v>
      </c>
      <c r="C4318" s="348" t="s">
        <v>861</v>
      </c>
      <c r="D4318" s="334" t="s">
        <v>171</v>
      </c>
      <c r="E4318" s="336">
        <v>43708</v>
      </c>
      <c r="F4318" s="336"/>
      <c r="G4318" s="336">
        <v>43685</v>
      </c>
      <c r="H4318" s="334" t="s">
        <v>4818</v>
      </c>
      <c r="I4318" s="356">
        <v>18516605629</v>
      </c>
      <c r="J4318" s="361" t="s">
        <v>10479</v>
      </c>
      <c r="K4318" s="337"/>
      <c r="L4318" s="334">
        <f>8443-1104</f>
        <v>7339</v>
      </c>
      <c r="M4318" s="334">
        <v>1104</v>
      </c>
      <c r="N4318" s="362">
        <f t="shared" si="147"/>
        <v>8443</v>
      </c>
      <c r="X4318" s="339"/>
    </row>
    <row r="4319" s="330" customFormat="1" ht="17" customHeight="1" spans="1:24">
      <c r="A4319" s="334"/>
      <c r="B4319" s="348" t="s">
        <v>147</v>
      </c>
      <c r="C4319" s="334" t="s">
        <v>148</v>
      </c>
      <c r="D4319" s="334" t="s">
        <v>33</v>
      </c>
      <c r="E4319" s="336">
        <v>43708</v>
      </c>
      <c r="F4319" s="336"/>
      <c r="G4319" s="336">
        <v>43688</v>
      </c>
      <c r="H4319" s="334" t="s">
        <v>10480</v>
      </c>
      <c r="I4319" s="356">
        <v>15261857308</v>
      </c>
      <c r="J4319" s="361" t="s">
        <v>10481</v>
      </c>
      <c r="K4319" s="337"/>
      <c r="L4319" s="334">
        <v>5876</v>
      </c>
      <c r="M4319" s="338"/>
      <c r="N4319" s="362">
        <f t="shared" si="147"/>
        <v>5876</v>
      </c>
      <c r="X4319" s="339"/>
    </row>
    <row r="4320" s="330" customFormat="1" ht="17" customHeight="1" spans="1:24">
      <c r="A4320" s="334"/>
      <c r="B4320" s="348" t="s">
        <v>335</v>
      </c>
      <c r="C4320" s="334" t="s">
        <v>399</v>
      </c>
      <c r="D4320" s="334" t="s">
        <v>337</v>
      </c>
      <c r="E4320" s="336">
        <v>43708</v>
      </c>
      <c r="F4320" s="336"/>
      <c r="G4320" s="336">
        <v>43691</v>
      </c>
      <c r="H4320" s="334" t="s">
        <v>10482</v>
      </c>
      <c r="I4320" s="356">
        <v>13818832997</v>
      </c>
      <c r="J4320" s="361" t="s">
        <v>10483</v>
      </c>
      <c r="K4320" s="337"/>
      <c r="L4320" s="334">
        <v>12772</v>
      </c>
      <c r="M4320" s="338"/>
      <c r="N4320" s="362">
        <f t="shared" si="147"/>
        <v>12772</v>
      </c>
      <c r="X4320" s="339"/>
    </row>
    <row r="4321" s="330" customFormat="1" ht="17" customHeight="1" spans="1:24">
      <c r="A4321" s="334"/>
      <c r="B4321" s="334" t="s">
        <v>315</v>
      </c>
      <c r="C4321" s="334" t="s">
        <v>498</v>
      </c>
      <c r="D4321" s="335" t="s">
        <v>132</v>
      </c>
      <c r="E4321" s="336">
        <v>43708</v>
      </c>
      <c r="F4321" s="336" t="s">
        <v>800</v>
      </c>
      <c r="G4321" s="336">
        <v>43698</v>
      </c>
      <c r="H4321" s="334" t="s">
        <v>10484</v>
      </c>
      <c r="I4321" s="334">
        <v>13816973128</v>
      </c>
      <c r="J4321" s="367" t="s">
        <v>10485</v>
      </c>
      <c r="K4321" s="337"/>
      <c r="L4321" s="334"/>
      <c r="M4321" s="334">
        <v>300</v>
      </c>
      <c r="N4321" s="362">
        <f t="shared" si="147"/>
        <v>300</v>
      </c>
      <c r="X4321" s="339"/>
    </row>
    <row r="4322" s="330" customFormat="1" ht="17" customHeight="1" spans="1:24">
      <c r="A4322" s="334"/>
      <c r="B4322" s="334" t="s">
        <v>137</v>
      </c>
      <c r="C4322" s="334" t="s">
        <v>411</v>
      </c>
      <c r="D4322" s="334" t="s">
        <v>427</v>
      </c>
      <c r="E4322" s="336">
        <v>43708</v>
      </c>
      <c r="F4322" s="336"/>
      <c r="G4322" s="336">
        <v>43705</v>
      </c>
      <c r="H4322" s="334" t="s">
        <v>10486</v>
      </c>
      <c r="I4322" s="334">
        <v>18516209533</v>
      </c>
      <c r="J4322" s="367" t="s">
        <v>10487</v>
      </c>
      <c r="K4322" s="337"/>
      <c r="L4322" s="334">
        <v>8314</v>
      </c>
      <c r="M4322" s="334">
        <v>1472</v>
      </c>
      <c r="N4322" s="362">
        <f t="shared" si="147"/>
        <v>9786</v>
      </c>
      <c r="X4322" s="339"/>
    </row>
    <row r="4323" s="330" customFormat="1" ht="17" customHeight="1" spans="1:24">
      <c r="A4323" s="334"/>
      <c r="B4323" s="334" t="s">
        <v>315</v>
      </c>
      <c r="C4323" s="334" t="s">
        <v>366</v>
      </c>
      <c r="D4323" s="334" t="s">
        <v>132</v>
      </c>
      <c r="E4323" s="336">
        <v>43708</v>
      </c>
      <c r="F4323" s="336"/>
      <c r="G4323" s="336">
        <v>43705</v>
      </c>
      <c r="H4323" s="334" t="s">
        <v>10488</v>
      </c>
      <c r="I4323" s="551" t="s">
        <v>10489</v>
      </c>
      <c r="J4323" s="367" t="s">
        <v>10490</v>
      </c>
      <c r="K4323" s="337"/>
      <c r="L4323" s="334">
        <v>22398</v>
      </c>
      <c r="M4323" s="338"/>
      <c r="N4323" s="362">
        <f t="shared" si="147"/>
        <v>22398</v>
      </c>
      <c r="X4323" s="339"/>
    </row>
    <row r="4324" s="330" customFormat="1" ht="17" customHeight="1" spans="1:24">
      <c r="A4324" s="334"/>
      <c r="B4324" s="334" t="s">
        <v>94</v>
      </c>
      <c r="C4324" s="334" t="s">
        <v>101</v>
      </c>
      <c r="D4324" s="335" t="s">
        <v>49</v>
      </c>
      <c r="E4324" s="336">
        <v>43708</v>
      </c>
      <c r="F4324" s="336"/>
      <c r="G4324" s="336">
        <v>43704</v>
      </c>
      <c r="H4324" s="334" t="s">
        <v>10491</v>
      </c>
      <c r="I4324" s="334">
        <v>13818460956</v>
      </c>
      <c r="J4324" s="367" t="s">
        <v>10492</v>
      </c>
      <c r="K4324" s="337"/>
      <c r="L4324" s="334">
        <f>16432-1104</f>
        <v>15328</v>
      </c>
      <c r="M4324" s="334">
        <v>1104</v>
      </c>
      <c r="N4324" s="362">
        <f t="shared" si="147"/>
        <v>16432</v>
      </c>
      <c r="X4324" s="339"/>
    </row>
    <row r="4325" s="330" customFormat="1" ht="17" customHeight="1" spans="1:24">
      <c r="A4325" s="334"/>
      <c r="B4325" s="334" t="s">
        <v>335</v>
      </c>
      <c r="C4325" s="408" t="s">
        <v>615</v>
      </c>
      <c r="D4325" s="334" t="s">
        <v>337</v>
      </c>
      <c r="E4325" s="336">
        <v>43708</v>
      </c>
      <c r="F4325" s="336"/>
      <c r="G4325" s="336">
        <v>43704</v>
      </c>
      <c r="H4325" s="334" t="s">
        <v>10493</v>
      </c>
      <c r="I4325" s="334">
        <v>15801881116</v>
      </c>
      <c r="J4325" s="367" t="s">
        <v>10494</v>
      </c>
      <c r="K4325" s="337"/>
      <c r="L4325" s="334">
        <v>8465</v>
      </c>
      <c r="M4325" s="338"/>
      <c r="N4325" s="362">
        <f t="shared" si="147"/>
        <v>8465</v>
      </c>
      <c r="X4325" s="339"/>
    </row>
    <row r="4326" s="330" customFormat="1" ht="17" customHeight="1" spans="1:24">
      <c r="A4326" s="334"/>
      <c r="B4326" s="334" t="s">
        <v>42</v>
      </c>
      <c r="C4326" s="334" t="s">
        <v>43</v>
      </c>
      <c r="D4326" s="335" t="s">
        <v>125</v>
      </c>
      <c r="E4326" s="336">
        <v>43708</v>
      </c>
      <c r="F4326" s="336"/>
      <c r="G4326" s="336">
        <v>43708</v>
      </c>
      <c r="H4326" s="334" t="s">
        <v>10495</v>
      </c>
      <c r="I4326" s="334">
        <v>13917157868</v>
      </c>
      <c r="J4326" s="367" t="s">
        <v>10496</v>
      </c>
      <c r="K4326" s="337"/>
      <c r="L4326" s="334">
        <v>9890</v>
      </c>
      <c r="M4326" s="338"/>
      <c r="N4326" s="362">
        <f t="shared" si="147"/>
        <v>9890</v>
      </c>
      <c r="X4326" s="339"/>
    </row>
    <row r="4327" s="330" customFormat="1" ht="17" customHeight="1" spans="1:24">
      <c r="A4327" s="334"/>
      <c r="B4327" s="334" t="s">
        <v>123</v>
      </c>
      <c r="C4327" s="334" t="s">
        <v>902</v>
      </c>
      <c r="D4327" s="335" t="s">
        <v>125</v>
      </c>
      <c r="E4327" s="336">
        <v>43708</v>
      </c>
      <c r="F4327" s="336"/>
      <c r="G4327" s="336">
        <v>43707</v>
      </c>
      <c r="H4327" s="334" t="s">
        <v>10497</v>
      </c>
      <c r="I4327" s="334">
        <v>13381622598</v>
      </c>
      <c r="J4327" s="367" t="s">
        <v>10498</v>
      </c>
      <c r="K4327" s="337"/>
      <c r="L4327" s="334">
        <v>2762</v>
      </c>
      <c r="M4327" s="338"/>
      <c r="N4327" s="362">
        <f t="shared" si="147"/>
        <v>2762</v>
      </c>
      <c r="X4327" s="339"/>
    </row>
    <row r="4328" s="330" customFormat="1" ht="17" customHeight="1" spans="1:24">
      <c r="A4328" s="334"/>
      <c r="B4328" s="334" t="s">
        <v>73</v>
      </c>
      <c r="C4328" s="334" t="s">
        <v>74</v>
      </c>
      <c r="D4328" s="334" t="s">
        <v>717</v>
      </c>
      <c r="E4328" s="336">
        <v>43708</v>
      </c>
      <c r="F4328" s="336"/>
      <c r="G4328" s="336">
        <v>43708</v>
      </c>
      <c r="H4328" s="334" t="s">
        <v>10499</v>
      </c>
      <c r="I4328" s="334">
        <v>1816678899</v>
      </c>
      <c r="J4328" s="367" t="s">
        <v>10500</v>
      </c>
      <c r="K4328" s="337"/>
      <c r="L4328" s="334">
        <v>27756</v>
      </c>
      <c r="M4328" s="338"/>
      <c r="N4328" s="362">
        <f t="shared" si="147"/>
        <v>27756</v>
      </c>
      <c r="X4328" s="339"/>
    </row>
    <row r="4329" s="330" customFormat="1" ht="17" customHeight="1" spans="1:24">
      <c r="A4329" s="334"/>
      <c r="B4329" s="334" t="s">
        <v>169</v>
      </c>
      <c r="C4329" s="334" t="s">
        <v>634</v>
      </c>
      <c r="D4329" s="334" t="s">
        <v>635</v>
      </c>
      <c r="E4329" s="336">
        <v>43708</v>
      </c>
      <c r="F4329" s="336"/>
      <c r="G4329" s="336">
        <v>43708</v>
      </c>
      <c r="H4329" s="334" t="s">
        <v>10501</v>
      </c>
      <c r="I4329" s="334">
        <v>13636355310</v>
      </c>
      <c r="J4329" s="367" t="s">
        <v>10502</v>
      </c>
      <c r="K4329" s="337"/>
      <c r="L4329" s="334">
        <v>11379</v>
      </c>
      <c r="M4329" s="338"/>
      <c r="N4329" s="362">
        <f t="shared" si="147"/>
        <v>11379</v>
      </c>
      <c r="X4329" s="339"/>
    </row>
    <row r="4330" s="330" customFormat="1" ht="17" customHeight="1" spans="1:24">
      <c r="A4330" s="334"/>
      <c r="B4330" s="334" t="s">
        <v>94</v>
      </c>
      <c r="C4330" s="334" t="s">
        <v>3196</v>
      </c>
      <c r="D4330" s="334" t="s">
        <v>49</v>
      </c>
      <c r="E4330" s="336">
        <v>43708</v>
      </c>
      <c r="F4330" s="336"/>
      <c r="G4330" s="336">
        <v>43707</v>
      </c>
      <c r="H4330" s="334" t="s">
        <v>10503</v>
      </c>
      <c r="I4330" s="334">
        <v>17601768570</v>
      </c>
      <c r="J4330" s="367" t="s">
        <v>10504</v>
      </c>
      <c r="K4330" s="337"/>
      <c r="L4330" s="334">
        <v>12991</v>
      </c>
      <c r="M4330" s="338"/>
      <c r="N4330" s="362">
        <f t="shared" si="147"/>
        <v>12991</v>
      </c>
      <c r="X4330" s="339"/>
    </row>
    <row r="4331" s="330" customFormat="1" ht="17" customHeight="1" spans="1:24">
      <c r="A4331" s="334"/>
      <c r="B4331" s="334" t="s">
        <v>335</v>
      </c>
      <c r="C4331" s="334" t="s">
        <v>399</v>
      </c>
      <c r="D4331" s="334" t="s">
        <v>68</v>
      </c>
      <c r="E4331" s="336">
        <v>43708</v>
      </c>
      <c r="F4331" s="336"/>
      <c r="G4331" s="336">
        <v>43708</v>
      </c>
      <c r="H4331" s="334" t="s">
        <v>10505</v>
      </c>
      <c r="I4331" s="334">
        <v>15021000178</v>
      </c>
      <c r="J4331" s="367" t="s">
        <v>10506</v>
      </c>
      <c r="K4331" s="337"/>
      <c r="L4331" s="334">
        <v>14150</v>
      </c>
      <c r="M4331" s="338"/>
      <c r="N4331" s="362">
        <f t="shared" si="147"/>
        <v>14150</v>
      </c>
      <c r="X4331" s="339"/>
    </row>
    <row r="4332" s="330" customFormat="1" ht="17" customHeight="1" spans="1:24">
      <c r="A4332" s="334"/>
      <c r="B4332" s="348" t="s">
        <v>726</v>
      </c>
      <c r="C4332" s="334" t="s">
        <v>727</v>
      </c>
      <c r="D4332" s="334" t="s">
        <v>10507</v>
      </c>
      <c r="E4332" s="336">
        <v>43708</v>
      </c>
      <c r="F4332" s="336" t="s">
        <v>800</v>
      </c>
      <c r="G4332" s="336">
        <v>43679</v>
      </c>
      <c r="H4332" s="334" t="s">
        <v>1470</v>
      </c>
      <c r="I4332" s="356">
        <v>13681918881</v>
      </c>
      <c r="J4332" s="361" t="s">
        <v>6686</v>
      </c>
      <c r="K4332" s="337"/>
      <c r="L4332" s="338"/>
      <c r="M4332" s="334">
        <v>600</v>
      </c>
      <c r="N4332" s="362">
        <f t="shared" si="147"/>
        <v>600</v>
      </c>
      <c r="X4332" s="339"/>
    </row>
    <row r="4333" s="330" customFormat="1" ht="17" customHeight="1" spans="1:24">
      <c r="A4333" s="334"/>
      <c r="B4333" s="348" t="s">
        <v>335</v>
      </c>
      <c r="C4333" s="348" t="s">
        <v>399</v>
      </c>
      <c r="D4333" s="352" t="s">
        <v>337</v>
      </c>
      <c r="E4333" s="336">
        <v>43708</v>
      </c>
      <c r="F4333" s="336" t="s">
        <v>800</v>
      </c>
      <c r="G4333" s="336">
        <v>43683</v>
      </c>
      <c r="H4333" s="334" t="s">
        <v>6612</v>
      </c>
      <c r="I4333" s="356">
        <v>13816133757</v>
      </c>
      <c r="J4333" s="361" t="s">
        <v>10508</v>
      </c>
      <c r="K4333" s="337"/>
      <c r="L4333" s="338"/>
      <c r="M4333" s="334">
        <v>6950</v>
      </c>
      <c r="N4333" s="362">
        <f t="shared" si="147"/>
        <v>6950</v>
      </c>
      <c r="X4333" s="339"/>
    </row>
    <row r="4334" s="330" customFormat="1" ht="17" customHeight="1" spans="1:24">
      <c r="A4334" s="334"/>
      <c r="B4334" s="348" t="s">
        <v>236</v>
      </c>
      <c r="C4334" s="348" t="s">
        <v>703</v>
      </c>
      <c r="D4334" s="349" t="s">
        <v>37</v>
      </c>
      <c r="E4334" s="336">
        <v>43708</v>
      </c>
      <c r="F4334" s="336" t="s">
        <v>800</v>
      </c>
      <c r="G4334" s="336">
        <v>43682</v>
      </c>
      <c r="H4334" s="334" t="s">
        <v>5912</v>
      </c>
      <c r="I4334" s="356">
        <v>13641777025</v>
      </c>
      <c r="J4334" s="361" t="s">
        <v>10509</v>
      </c>
      <c r="K4334" s="337"/>
      <c r="L4334" s="338"/>
      <c r="M4334" s="334">
        <v>4210</v>
      </c>
      <c r="N4334" s="362">
        <f t="shared" si="147"/>
        <v>4210</v>
      </c>
      <c r="X4334" s="339"/>
    </row>
    <row r="4335" s="330" customFormat="1" ht="17" customHeight="1" spans="1:24">
      <c r="A4335" s="334"/>
      <c r="B4335" s="348" t="s">
        <v>58</v>
      </c>
      <c r="C4335" s="334" t="s">
        <v>10510</v>
      </c>
      <c r="D4335" s="334" t="s">
        <v>271</v>
      </c>
      <c r="E4335" s="336">
        <v>43708</v>
      </c>
      <c r="F4335" s="336"/>
      <c r="G4335" s="336">
        <v>43685</v>
      </c>
      <c r="H4335" s="334" t="s">
        <v>10511</v>
      </c>
      <c r="I4335" s="356">
        <v>13962815671</v>
      </c>
      <c r="J4335" s="361" t="s">
        <v>10512</v>
      </c>
      <c r="K4335" s="337"/>
      <c r="L4335" s="334">
        <v>7082</v>
      </c>
      <c r="M4335" s="334">
        <v>1140</v>
      </c>
      <c r="N4335" s="362">
        <f t="shared" si="147"/>
        <v>8222</v>
      </c>
      <c r="X4335" s="339"/>
    </row>
    <row r="4336" s="330" customFormat="1" ht="17" customHeight="1" spans="1:24">
      <c r="A4336" s="334"/>
      <c r="B4336" s="348" t="s">
        <v>58</v>
      </c>
      <c r="C4336" s="348" t="s">
        <v>109</v>
      </c>
      <c r="D4336" s="352" t="s">
        <v>110</v>
      </c>
      <c r="E4336" s="336">
        <v>43708</v>
      </c>
      <c r="F4336" s="336" t="s">
        <v>800</v>
      </c>
      <c r="G4336" s="336">
        <v>43688</v>
      </c>
      <c r="H4336" s="334" t="s">
        <v>3525</v>
      </c>
      <c r="I4336" s="356">
        <v>13918015383</v>
      </c>
      <c r="J4336" s="361" t="s">
        <v>10513</v>
      </c>
      <c r="K4336" s="337"/>
      <c r="L4336" s="338"/>
      <c r="M4336" s="334">
        <v>994</v>
      </c>
      <c r="N4336" s="362">
        <f t="shared" si="147"/>
        <v>994</v>
      </c>
      <c r="X4336" s="339"/>
    </row>
    <row r="4337" s="330" customFormat="1" ht="17" customHeight="1" spans="1:24">
      <c r="A4337" s="334"/>
      <c r="B4337" s="348" t="s">
        <v>5435</v>
      </c>
      <c r="C4337" s="334" t="s">
        <v>251</v>
      </c>
      <c r="D4337" s="334" t="s">
        <v>149</v>
      </c>
      <c r="E4337" s="336">
        <v>43708</v>
      </c>
      <c r="F4337" s="336" t="s">
        <v>800</v>
      </c>
      <c r="G4337" s="336">
        <v>43691</v>
      </c>
      <c r="H4337" s="334" t="s">
        <v>5453</v>
      </c>
      <c r="I4337" s="356">
        <v>13564221250</v>
      </c>
      <c r="J4337" s="361" t="s">
        <v>10514</v>
      </c>
      <c r="K4337" s="337"/>
      <c r="L4337" s="338"/>
      <c r="M4337" s="334">
        <f>4511</f>
        <v>4511</v>
      </c>
      <c r="N4337" s="362">
        <f t="shared" si="147"/>
        <v>4511</v>
      </c>
      <c r="X4337" s="339"/>
    </row>
    <row r="4338" s="330" customFormat="1" ht="17" customHeight="1" spans="1:24">
      <c r="A4338" s="334"/>
      <c r="B4338" s="348" t="s">
        <v>335</v>
      </c>
      <c r="C4338" s="334" t="s">
        <v>615</v>
      </c>
      <c r="D4338" s="349" t="s">
        <v>337</v>
      </c>
      <c r="E4338" s="336">
        <v>43708</v>
      </c>
      <c r="F4338" s="336" t="s">
        <v>800</v>
      </c>
      <c r="G4338" s="336">
        <v>43693</v>
      </c>
      <c r="H4338" s="334" t="s">
        <v>7672</v>
      </c>
      <c r="I4338" s="356">
        <v>17621387878</v>
      </c>
      <c r="J4338" s="361" t="s">
        <v>7673</v>
      </c>
      <c r="K4338" s="337"/>
      <c r="L4338" s="338"/>
      <c r="M4338" s="334">
        <v>2200</v>
      </c>
      <c r="N4338" s="362">
        <f t="shared" si="147"/>
        <v>2200</v>
      </c>
      <c r="X4338" s="339"/>
    </row>
    <row r="4339" s="330" customFormat="1" ht="17" customHeight="1" spans="1:24">
      <c r="A4339" s="334"/>
      <c r="B4339" s="334" t="s">
        <v>137</v>
      </c>
      <c r="C4339" s="334" t="s">
        <v>861</v>
      </c>
      <c r="D4339" s="334" t="s">
        <v>171</v>
      </c>
      <c r="E4339" s="336">
        <v>43708</v>
      </c>
      <c r="F4339" s="336" t="s">
        <v>800</v>
      </c>
      <c r="G4339" s="336">
        <v>43701</v>
      </c>
      <c r="H4339" s="334" t="s">
        <v>6142</v>
      </c>
      <c r="I4339" s="334">
        <v>13221967671</v>
      </c>
      <c r="J4339" s="361" t="s">
        <v>6143</v>
      </c>
      <c r="K4339" s="337"/>
      <c r="L4339" s="338"/>
      <c r="M4339" s="334">
        <v>5048</v>
      </c>
      <c r="N4339" s="362">
        <f t="shared" si="147"/>
        <v>5048</v>
      </c>
      <c r="X4339" s="339"/>
    </row>
    <row r="4340" s="330" customFormat="1" ht="17" customHeight="1" spans="1:24">
      <c r="A4340" s="334"/>
      <c r="B4340" s="348" t="s">
        <v>137</v>
      </c>
      <c r="C4340" s="348" t="s">
        <v>861</v>
      </c>
      <c r="D4340" s="334" t="s">
        <v>2381</v>
      </c>
      <c r="E4340" s="336">
        <v>43708</v>
      </c>
      <c r="F4340" s="336" t="s">
        <v>800</v>
      </c>
      <c r="G4340" s="336">
        <v>43702</v>
      </c>
      <c r="H4340" s="334" t="s">
        <v>6160</v>
      </c>
      <c r="I4340" s="444" t="s">
        <v>10515</v>
      </c>
      <c r="J4340" s="361" t="s">
        <v>6162</v>
      </c>
      <c r="K4340" s="337"/>
      <c r="L4340" s="338"/>
      <c r="M4340" s="334">
        <f>639</f>
        <v>639</v>
      </c>
      <c r="N4340" s="362">
        <f t="shared" si="147"/>
        <v>639</v>
      </c>
      <c r="X4340" s="339"/>
    </row>
    <row r="4341" s="330" customFormat="1" ht="17" customHeight="1" spans="1:24">
      <c r="A4341" s="334"/>
      <c r="B4341" s="348" t="s">
        <v>94</v>
      </c>
      <c r="C4341" s="334" t="s">
        <v>101</v>
      </c>
      <c r="D4341" s="352" t="s">
        <v>49</v>
      </c>
      <c r="E4341" s="336">
        <v>43708</v>
      </c>
      <c r="F4341" s="336" t="s">
        <v>800</v>
      </c>
      <c r="G4341" s="336">
        <v>43674</v>
      </c>
      <c r="H4341" s="334" t="s">
        <v>96</v>
      </c>
      <c r="I4341" s="334">
        <v>13120540503</v>
      </c>
      <c r="J4341" s="367" t="s">
        <v>10516</v>
      </c>
      <c r="K4341" s="337"/>
      <c r="L4341" s="338"/>
      <c r="M4341" s="334">
        <v>1272</v>
      </c>
      <c r="N4341" s="362">
        <f t="shared" si="147"/>
        <v>1272</v>
      </c>
      <c r="X4341" s="339"/>
    </row>
    <row r="4342" s="330" customFormat="1" ht="17" customHeight="1" spans="1:24">
      <c r="A4342" s="334"/>
      <c r="B4342" s="348" t="s">
        <v>66</v>
      </c>
      <c r="C4342" s="334" t="s">
        <v>951</v>
      </c>
      <c r="D4342" s="349" t="s">
        <v>68</v>
      </c>
      <c r="E4342" s="336">
        <v>43708</v>
      </c>
      <c r="F4342" s="336" t="s">
        <v>800</v>
      </c>
      <c r="G4342" s="336">
        <v>43698</v>
      </c>
      <c r="H4342" s="334" t="s">
        <v>7543</v>
      </c>
      <c r="I4342" s="334">
        <v>13916514223</v>
      </c>
      <c r="J4342" s="367" t="s">
        <v>7544</v>
      </c>
      <c r="K4342" s="337"/>
      <c r="L4342" s="338"/>
      <c r="M4342" s="334">
        <f>6312</f>
        <v>6312</v>
      </c>
      <c r="N4342" s="362">
        <f t="shared" si="147"/>
        <v>6312</v>
      </c>
      <c r="X4342" s="339"/>
    </row>
    <row r="4343" s="330" customFormat="1" ht="17" customHeight="1" spans="1:24">
      <c r="A4343" s="334"/>
      <c r="B4343" s="348" t="s">
        <v>359</v>
      </c>
      <c r="C4343" s="348" t="s">
        <v>3018</v>
      </c>
      <c r="D4343" s="349" t="s">
        <v>361</v>
      </c>
      <c r="E4343" s="336">
        <v>43708</v>
      </c>
      <c r="F4343" s="336" t="s">
        <v>800</v>
      </c>
      <c r="G4343" s="336">
        <v>43708</v>
      </c>
      <c r="H4343" s="334" t="s">
        <v>3019</v>
      </c>
      <c r="I4343" s="334">
        <v>13661959982</v>
      </c>
      <c r="J4343" s="367" t="s">
        <v>10517</v>
      </c>
      <c r="K4343" s="337"/>
      <c r="L4343" s="338"/>
      <c r="M4343" s="334">
        <v>7638</v>
      </c>
      <c r="N4343" s="362">
        <f t="shared" si="147"/>
        <v>7638</v>
      </c>
      <c r="X4343" s="339"/>
    </row>
    <row r="4344" s="330" customFormat="1" ht="17" customHeight="1" spans="1:24">
      <c r="A4344" s="334"/>
      <c r="B4344" s="348" t="s">
        <v>35</v>
      </c>
      <c r="C4344" s="348" t="s">
        <v>36</v>
      </c>
      <c r="D4344" s="349" t="s">
        <v>37</v>
      </c>
      <c r="E4344" s="336">
        <v>43708</v>
      </c>
      <c r="F4344" s="336" t="s">
        <v>800</v>
      </c>
      <c r="G4344" s="336">
        <v>43704</v>
      </c>
      <c r="H4344" s="334" t="s">
        <v>4956</v>
      </c>
      <c r="I4344" s="334">
        <v>13801659195</v>
      </c>
      <c r="J4344" s="367" t="s">
        <v>4957</v>
      </c>
      <c r="K4344" s="337"/>
      <c r="L4344" s="338"/>
      <c r="M4344" s="334">
        <v>1042</v>
      </c>
      <c r="N4344" s="362">
        <f t="shared" si="147"/>
        <v>1042</v>
      </c>
      <c r="X4344" s="339"/>
    </row>
    <row r="4345" s="330" customFormat="1" ht="17" customHeight="1" spans="1:24">
      <c r="A4345" s="334"/>
      <c r="B4345" s="348" t="s">
        <v>726</v>
      </c>
      <c r="C4345" s="348" t="s">
        <v>727</v>
      </c>
      <c r="D4345" s="349" t="s">
        <v>271</v>
      </c>
      <c r="E4345" s="336">
        <v>43708</v>
      </c>
      <c r="F4345" s="336" t="s">
        <v>800</v>
      </c>
      <c r="G4345" s="336">
        <v>43707</v>
      </c>
      <c r="H4345" s="334" t="s">
        <v>4876</v>
      </c>
      <c r="I4345" s="334">
        <v>18017587289</v>
      </c>
      <c r="J4345" s="361" t="s">
        <v>4877</v>
      </c>
      <c r="K4345" s="337"/>
      <c r="L4345" s="338"/>
      <c r="M4345" s="334">
        <v>-3450</v>
      </c>
      <c r="N4345" s="362">
        <f t="shared" si="147"/>
        <v>-3450</v>
      </c>
      <c r="X4345" s="339"/>
    </row>
    <row r="4346" s="330" customFormat="1" ht="17" customHeight="1" spans="1:24">
      <c r="A4346" s="334"/>
      <c r="B4346" s="348" t="s">
        <v>35</v>
      </c>
      <c r="C4346" s="334" t="s">
        <v>36</v>
      </c>
      <c r="D4346" s="349" t="s">
        <v>187</v>
      </c>
      <c r="E4346" s="336">
        <v>43708</v>
      </c>
      <c r="F4346" s="336" t="s">
        <v>800</v>
      </c>
      <c r="G4346" s="336">
        <v>43707</v>
      </c>
      <c r="H4346" s="334" t="s">
        <v>971</v>
      </c>
      <c r="I4346" s="334">
        <v>13651911115</v>
      </c>
      <c r="J4346" s="367" t="s">
        <v>972</v>
      </c>
      <c r="K4346" s="337"/>
      <c r="L4346" s="338"/>
      <c r="M4346" s="334">
        <v>2705</v>
      </c>
      <c r="N4346" s="362">
        <f t="shared" si="147"/>
        <v>2705</v>
      </c>
      <c r="X4346" s="339"/>
    </row>
    <row r="4347" s="330" customFormat="1" ht="17" customHeight="1" spans="1:24">
      <c r="A4347" s="334"/>
      <c r="B4347" s="348" t="s">
        <v>236</v>
      </c>
      <c r="C4347" s="348" t="s">
        <v>703</v>
      </c>
      <c r="D4347" s="349" t="s">
        <v>37</v>
      </c>
      <c r="E4347" s="336">
        <v>43708</v>
      </c>
      <c r="F4347" s="336" t="s">
        <v>800</v>
      </c>
      <c r="G4347" s="336">
        <v>43695</v>
      </c>
      <c r="H4347" s="334" t="s">
        <v>5915</v>
      </c>
      <c r="I4347" s="444">
        <v>15316965323</v>
      </c>
      <c r="J4347" s="361" t="s">
        <v>5916</v>
      </c>
      <c r="K4347" s="337"/>
      <c r="L4347" s="338"/>
      <c r="M4347" s="334">
        <f>1607</f>
        <v>1607</v>
      </c>
      <c r="N4347" s="362">
        <f t="shared" si="147"/>
        <v>1607</v>
      </c>
      <c r="X4347" s="339"/>
    </row>
    <row r="4348" s="330" customFormat="1" ht="17" customHeight="1" spans="1:24">
      <c r="A4348" s="334"/>
      <c r="B4348" s="334" t="s">
        <v>73</v>
      </c>
      <c r="C4348" s="334" t="s">
        <v>178</v>
      </c>
      <c r="D4348" s="334" t="s">
        <v>717</v>
      </c>
      <c r="E4348" s="336">
        <v>43708</v>
      </c>
      <c r="F4348" s="336" t="s">
        <v>800</v>
      </c>
      <c r="G4348" s="336">
        <v>43708</v>
      </c>
      <c r="H4348" s="334" t="s">
        <v>7757</v>
      </c>
      <c r="I4348" s="334">
        <v>13817588090</v>
      </c>
      <c r="J4348" s="367" t="s">
        <v>9950</v>
      </c>
      <c r="K4348" s="337"/>
      <c r="L4348" s="338"/>
      <c r="M4348" s="334">
        <v>-737</v>
      </c>
      <c r="N4348" s="362">
        <f t="shared" si="147"/>
        <v>-737</v>
      </c>
      <c r="X4348" s="339"/>
    </row>
    <row r="4349" s="330" customFormat="1" ht="17" customHeight="1" spans="1:24">
      <c r="A4349" s="334"/>
      <c r="B4349" s="334" t="s">
        <v>169</v>
      </c>
      <c r="C4349" s="334" t="s">
        <v>542</v>
      </c>
      <c r="D4349" s="334" t="s">
        <v>171</v>
      </c>
      <c r="E4349" s="336">
        <v>43708</v>
      </c>
      <c r="F4349" s="336" t="s">
        <v>800</v>
      </c>
      <c r="G4349" s="336">
        <v>43708</v>
      </c>
      <c r="H4349" s="334" t="s">
        <v>2219</v>
      </c>
      <c r="I4349" s="334">
        <v>13918987222</v>
      </c>
      <c r="J4349" s="367" t="s">
        <v>10518</v>
      </c>
      <c r="K4349" s="337"/>
      <c r="L4349" s="338"/>
      <c r="M4349" s="334">
        <v>11450</v>
      </c>
      <c r="N4349" s="362">
        <f t="shared" si="147"/>
        <v>11450</v>
      </c>
      <c r="X4349" s="339"/>
    </row>
    <row r="4350" s="330" customFormat="1" ht="17" customHeight="1" spans="1:24">
      <c r="A4350" s="334"/>
      <c r="B4350" s="348" t="s">
        <v>42</v>
      </c>
      <c r="C4350" s="348" t="s">
        <v>43</v>
      </c>
      <c r="D4350" s="349" t="s">
        <v>125</v>
      </c>
      <c r="E4350" s="336">
        <v>43708</v>
      </c>
      <c r="F4350" s="336" t="s">
        <v>800</v>
      </c>
      <c r="G4350" s="336">
        <v>43708</v>
      </c>
      <c r="H4350" s="334" t="s">
        <v>6565</v>
      </c>
      <c r="I4350" s="334">
        <v>13818506443</v>
      </c>
      <c r="J4350" s="367" t="s">
        <v>6566</v>
      </c>
      <c r="K4350" s="337"/>
      <c r="L4350" s="338"/>
      <c r="M4350" s="334">
        <v>14</v>
      </c>
      <c r="N4350" s="362">
        <f t="shared" si="147"/>
        <v>14</v>
      </c>
      <c r="X4350" s="339"/>
    </row>
    <row r="4351" s="330" customFormat="1" ht="17" customHeight="1" spans="1:24">
      <c r="A4351" s="334"/>
      <c r="B4351" s="348" t="s">
        <v>185</v>
      </c>
      <c r="C4351" s="334" t="s">
        <v>1620</v>
      </c>
      <c r="D4351" s="352" t="s">
        <v>44</v>
      </c>
      <c r="E4351" s="336">
        <v>43708</v>
      </c>
      <c r="F4351" s="336" t="s">
        <v>800</v>
      </c>
      <c r="G4351" s="336">
        <v>43696</v>
      </c>
      <c r="H4351" s="334" t="s">
        <v>10519</v>
      </c>
      <c r="I4351" s="334">
        <v>13916567027</v>
      </c>
      <c r="J4351" s="367" t="s">
        <v>10520</v>
      </c>
      <c r="K4351" s="337"/>
      <c r="L4351" s="338"/>
      <c r="M4351" s="334">
        <v>2156</v>
      </c>
      <c r="N4351" s="362">
        <f t="shared" si="147"/>
        <v>2156</v>
      </c>
      <c r="X4351" s="339"/>
    </row>
    <row r="4352" s="330" customFormat="1" ht="17" customHeight="1" spans="1:24">
      <c r="A4352" s="334"/>
      <c r="B4352" s="334" t="s">
        <v>58</v>
      </c>
      <c r="C4352" s="334" t="s">
        <v>59</v>
      </c>
      <c r="D4352" s="334" t="s">
        <v>343</v>
      </c>
      <c r="E4352" s="336">
        <v>43708</v>
      </c>
      <c r="F4352" s="336" t="s">
        <v>800</v>
      </c>
      <c r="G4352" s="336">
        <v>43708</v>
      </c>
      <c r="H4352" s="334" t="s">
        <v>10521</v>
      </c>
      <c r="I4352" s="334">
        <v>15618903546</v>
      </c>
      <c r="J4352" s="361" t="s">
        <v>10522</v>
      </c>
      <c r="K4352" s="337"/>
      <c r="L4352" s="338"/>
      <c r="M4352" s="334">
        <v>5969</v>
      </c>
      <c r="N4352" s="362">
        <f t="shared" si="147"/>
        <v>5969</v>
      </c>
      <c r="X4352" s="339"/>
    </row>
    <row r="4353" s="330" customFormat="1" ht="17" customHeight="1" spans="1:24">
      <c r="A4353" s="334"/>
      <c r="B4353" s="348" t="s">
        <v>87</v>
      </c>
      <c r="C4353" s="348" t="s">
        <v>466</v>
      </c>
      <c r="D4353" s="349" t="s">
        <v>1170</v>
      </c>
      <c r="E4353" s="336">
        <v>43708</v>
      </c>
      <c r="F4353" s="336" t="s">
        <v>800</v>
      </c>
      <c r="G4353" s="336">
        <v>43708</v>
      </c>
      <c r="H4353" s="334" t="s">
        <v>3087</v>
      </c>
      <c r="I4353" s="334">
        <v>18640038007</v>
      </c>
      <c r="J4353" s="361" t="s">
        <v>6366</v>
      </c>
      <c r="K4353" s="337"/>
      <c r="L4353" s="338"/>
      <c r="M4353" s="334">
        <f>860+22008</f>
        <v>22868</v>
      </c>
      <c r="N4353" s="362">
        <f t="shared" si="147"/>
        <v>22868</v>
      </c>
      <c r="X4353" s="339"/>
    </row>
    <row r="4354" s="330" customFormat="1" ht="17" customHeight="1" spans="1:24">
      <c r="A4354" s="334"/>
      <c r="B4354" s="334" t="s">
        <v>130</v>
      </c>
      <c r="C4354" s="334" t="s">
        <v>161</v>
      </c>
      <c r="D4354" s="334" t="s">
        <v>162</v>
      </c>
      <c r="E4354" s="336">
        <v>43708</v>
      </c>
      <c r="F4354" s="336" t="s">
        <v>800</v>
      </c>
      <c r="G4354" s="336">
        <v>43708</v>
      </c>
      <c r="H4354" s="334" t="s">
        <v>10523</v>
      </c>
      <c r="I4354" s="334">
        <v>13641683640</v>
      </c>
      <c r="J4354" s="367" t="s">
        <v>10524</v>
      </c>
      <c r="K4354" s="337"/>
      <c r="L4354" s="338"/>
      <c r="M4354" s="334">
        <v>10000</v>
      </c>
      <c r="N4354" s="362">
        <f t="shared" ref="N4354:N4363" si="148">L4354+M4354</f>
        <v>10000</v>
      </c>
      <c r="X4354" s="339"/>
    </row>
    <row r="4355" s="330" customFormat="1" ht="17" customHeight="1" spans="1:24">
      <c r="A4355" s="334"/>
      <c r="B4355" s="348" t="s">
        <v>137</v>
      </c>
      <c r="C4355" s="348" t="s">
        <v>138</v>
      </c>
      <c r="D4355" s="349" t="s">
        <v>139</v>
      </c>
      <c r="E4355" s="336">
        <v>43708</v>
      </c>
      <c r="F4355" s="336" t="s">
        <v>800</v>
      </c>
      <c r="G4355" s="336">
        <v>43708</v>
      </c>
      <c r="H4355" s="334" t="s">
        <v>4801</v>
      </c>
      <c r="I4355" s="356">
        <v>15800656726</v>
      </c>
      <c r="J4355" s="361" t="s">
        <v>10525</v>
      </c>
      <c r="K4355" s="337"/>
      <c r="L4355" s="338"/>
      <c r="M4355" s="334">
        <v>-1005</v>
      </c>
      <c r="N4355" s="362">
        <f t="shared" si="148"/>
        <v>-1005</v>
      </c>
      <c r="X4355" s="339"/>
    </row>
    <row r="4356" s="330" customFormat="1" ht="17" customHeight="1" spans="1:24">
      <c r="A4356" s="334"/>
      <c r="B4356" s="334" t="s">
        <v>315</v>
      </c>
      <c r="C4356" s="334" t="s">
        <v>161</v>
      </c>
      <c r="D4356" s="334" t="s">
        <v>162</v>
      </c>
      <c r="E4356" s="336">
        <v>43708</v>
      </c>
      <c r="F4356" s="336" t="s">
        <v>800</v>
      </c>
      <c r="G4356" s="336">
        <v>43708</v>
      </c>
      <c r="H4356" s="334" t="s">
        <v>10526</v>
      </c>
      <c r="I4356" s="334">
        <v>18049829318</v>
      </c>
      <c r="J4356" s="367" t="s">
        <v>10527</v>
      </c>
      <c r="K4356" s="337"/>
      <c r="L4356" s="338"/>
      <c r="M4356" s="334">
        <v>155</v>
      </c>
      <c r="N4356" s="362">
        <f t="shared" si="148"/>
        <v>155</v>
      </c>
      <c r="X4356" s="339"/>
    </row>
    <row r="4357" s="330" customFormat="1" ht="17" customHeight="1" spans="1:24">
      <c r="A4357" s="334"/>
      <c r="B4357" s="334" t="s">
        <v>315</v>
      </c>
      <c r="C4357" s="334" t="s">
        <v>161</v>
      </c>
      <c r="D4357" s="334" t="s">
        <v>162</v>
      </c>
      <c r="E4357" s="336">
        <v>43708</v>
      </c>
      <c r="F4357" s="336" t="s">
        <v>800</v>
      </c>
      <c r="G4357" s="336">
        <v>43708</v>
      </c>
      <c r="H4357" s="334" t="s">
        <v>10528</v>
      </c>
      <c r="I4357" s="334">
        <v>13761380683</v>
      </c>
      <c r="J4357" s="367" t="s">
        <v>10529</v>
      </c>
      <c r="K4357" s="337"/>
      <c r="L4357" s="338"/>
      <c r="M4357" s="334">
        <v>200</v>
      </c>
      <c r="N4357" s="362">
        <f t="shared" si="148"/>
        <v>200</v>
      </c>
      <c r="X4357" s="339"/>
    </row>
    <row r="4358" s="330" customFormat="1" ht="17" customHeight="1" spans="1:24">
      <c r="A4358" s="334"/>
      <c r="B4358" s="334" t="s">
        <v>35</v>
      </c>
      <c r="C4358" s="334" t="s">
        <v>36</v>
      </c>
      <c r="D4358" s="334" t="s">
        <v>37</v>
      </c>
      <c r="E4358" s="336">
        <v>43708</v>
      </c>
      <c r="F4358" s="336" t="s">
        <v>800</v>
      </c>
      <c r="G4358" s="336">
        <v>43708</v>
      </c>
      <c r="H4358" s="334" t="s">
        <v>10530</v>
      </c>
      <c r="I4358" s="334">
        <v>13918541546</v>
      </c>
      <c r="J4358" s="367" t="s">
        <v>10531</v>
      </c>
      <c r="K4358" s="337"/>
      <c r="L4358" s="338"/>
      <c r="M4358" s="334">
        <v>792</v>
      </c>
      <c r="N4358" s="362">
        <f t="shared" si="148"/>
        <v>792</v>
      </c>
      <c r="X4358" s="339"/>
    </row>
    <row r="4359" s="330" customFormat="1" ht="17" customHeight="1" spans="1:24">
      <c r="A4359" s="334"/>
      <c r="B4359" s="334" t="s">
        <v>35</v>
      </c>
      <c r="C4359" s="334" t="s">
        <v>392</v>
      </c>
      <c r="D4359" s="334" t="s">
        <v>143</v>
      </c>
      <c r="E4359" s="336">
        <v>43708</v>
      </c>
      <c r="F4359" s="336" t="s">
        <v>800</v>
      </c>
      <c r="G4359" s="336">
        <v>43708</v>
      </c>
      <c r="H4359" s="334" t="s">
        <v>10532</v>
      </c>
      <c r="I4359" s="334">
        <v>13918688735</v>
      </c>
      <c r="J4359" s="367" t="s">
        <v>10533</v>
      </c>
      <c r="K4359" s="337"/>
      <c r="L4359" s="338"/>
      <c r="M4359" s="334">
        <v>210</v>
      </c>
      <c r="N4359" s="362">
        <f t="shared" si="148"/>
        <v>210</v>
      </c>
      <c r="X4359" s="339"/>
    </row>
    <row r="4360" s="330" customFormat="1" ht="17" customHeight="1" spans="1:24">
      <c r="A4360" s="334"/>
      <c r="B4360" s="334" t="s">
        <v>243</v>
      </c>
      <c r="C4360" s="334" t="s">
        <v>244</v>
      </c>
      <c r="D4360" s="335" t="s">
        <v>49</v>
      </c>
      <c r="E4360" s="336">
        <v>43708</v>
      </c>
      <c r="F4360" s="336" t="s">
        <v>800</v>
      </c>
      <c r="G4360" s="336">
        <v>43708</v>
      </c>
      <c r="H4360" s="334" t="s">
        <v>10534</v>
      </c>
      <c r="I4360" s="334">
        <v>15921150252</v>
      </c>
      <c r="J4360" s="367" t="s">
        <v>10535</v>
      </c>
      <c r="K4360" s="337"/>
      <c r="L4360" s="338"/>
      <c r="M4360" s="334">
        <f>2665</f>
        <v>2665</v>
      </c>
      <c r="N4360" s="362">
        <f t="shared" si="148"/>
        <v>2665</v>
      </c>
      <c r="X4360" s="339"/>
    </row>
    <row r="4361" s="330" customFormat="1" ht="17" customHeight="1" spans="1:24">
      <c r="A4361" s="334"/>
      <c r="B4361" s="334" t="s">
        <v>137</v>
      </c>
      <c r="C4361" s="334" t="s">
        <v>406</v>
      </c>
      <c r="D4361" s="334" t="s">
        <v>443</v>
      </c>
      <c r="E4361" s="336">
        <v>43708</v>
      </c>
      <c r="F4361" s="336" t="s">
        <v>800</v>
      </c>
      <c r="G4361" s="336">
        <v>43708</v>
      </c>
      <c r="H4361" s="334" t="s">
        <v>10536</v>
      </c>
      <c r="I4361" s="334">
        <v>13661611516</v>
      </c>
      <c r="J4361" s="367" t="s">
        <v>10537</v>
      </c>
      <c r="K4361" s="337"/>
      <c r="L4361" s="338"/>
      <c r="M4361" s="334">
        <v>10823</v>
      </c>
      <c r="N4361" s="362">
        <f t="shared" si="148"/>
        <v>10823</v>
      </c>
      <c r="X4361" s="339"/>
    </row>
    <row r="4362" s="330" customFormat="1" ht="17" customHeight="1" spans="1:24">
      <c r="A4362" s="334"/>
      <c r="B4362" s="334" t="s">
        <v>236</v>
      </c>
      <c r="C4362" s="334" t="s">
        <v>703</v>
      </c>
      <c r="D4362" s="349" t="s">
        <v>187</v>
      </c>
      <c r="E4362" s="336">
        <v>43708</v>
      </c>
      <c r="F4362" s="336" t="s">
        <v>800</v>
      </c>
      <c r="G4362" s="336">
        <v>43703</v>
      </c>
      <c r="H4362" s="334" t="s">
        <v>10538</v>
      </c>
      <c r="I4362" s="334">
        <v>18621871798</v>
      </c>
      <c r="J4362" s="361" t="s">
        <v>10539</v>
      </c>
      <c r="K4362" s="337"/>
      <c r="L4362" s="338"/>
      <c r="M4362" s="334">
        <v>300</v>
      </c>
      <c r="N4362" s="362">
        <f t="shared" si="148"/>
        <v>300</v>
      </c>
      <c r="X4362" s="339"/>
    </row>
    <row r="4363" s="330" customFormat="1" ht="17" customHeight="1" spans="1:24">
      <c r="A4363" s="334"/>
      <c r="B4363" s="334" t="s">
        <v>185</v>
      </c>
      <c r="C4363" s="334" t="s">
        <v>1530</v>
      </c>
      <c r="D4363" s="349" t="s">
        <v>44</v>
      </c>
      <c r="E4363" s="336">
        <v>43708</v>
      </c>
      <c r="F4363" s="336" t="s">
        <v>800</v>
      </c>
      <c r="G4363" s="336">
        <v>43708</v>
      </c>
      <c r="H4363" s="334" t="s">
        <v>7572</v>
      </c>
      <c r="I4363" s="334">
        <v>13901746886</v>
      </c>
      <c r="J4363" s="367" t="s">
        <v>7573</v>
      </c>
      <c r="K4363" s="337"/>
      <c r="L4363" s="338"/>
      <c r="M4363" s="334">
        <v>2995</v>
      </c>
      <c r="N4363" s="362">
        <f t="shared" si="148"/>
        <v>2995</v>
      </c>
      <c r="X4363" s="339"/>
    </row>
    <row r="4364" s="330" customFormat="1" ht="17" customHeight="1" spans="1:24">
      <c r="A4364" s="348"/>
      <c r="B4364" s="334" t="s">
        <v>805</v>
      </c>
      <c r="C4364" s="334" t="s">
        <v>4935</v>
      </c>
      <c r="D4364" s="334" t="s">
        <v>171</v>
      </c>
      <c r="E4364" s="336">
        <v>43725</v>
      </c>
      <c r="F4364" s="336">
        <v>43708</v>
      </c>
      <c r="G4364" s="336">
        <v>43722</v>
      </c>
      <c r="H4364" s="334" t="s">
        <v>10540</v>
      </c>
      <c r="I4364" s="426">
        <v>13795453711</v>
      </c>
      <c r="J4364" s="367" t="s">
        <v>10541</v>
      </c>
      <c r="K4364" s="470">
        <v>1000</v>
      </c>
      <c r="L4364" s="334">
        <f>18715-1472</f>
        <v>17243</v>
      </c>
      <c r="M4364" s="334">
        <v>1472</v>
      </c>
      <c r="N4364" s="362">
        <f t="shared" ref="N4364:N4407" si="149">L4364+M4364</f>
        <v>18715</v>
      </c>
      <c r="Q4364" s="430" t="s">
        <v>52</v>
      </c>
      <c r="V4364" s="471">
        <v>43709</v>
      </c>
      <c r="W4364" s="372" t="s">
        <v>809</v>
      </c>
      <c r="X4364" s="339"/>
    </row>
    <row r="4365" s="330" customFormat="1" ht="17" customHeight="1" spans="1:24">
      <c r="A4365" s="550" t="s">
        <v>10542</v>
      </c>
      <c r="B4365" s="334" t="s">
        <v>42</v>
      </c>
      <c r="C4365" s="334" t="s">
        <v>43</v>
      </c>
      <c r="D4365" s="334" t="s">
        <v>237</v>
      </c>
      <c r="E4365" s="336">
        <v>43734</v>
      </c>
      <c r="F4365" s="336">
        <v>43709</v>
      </c>
      <c r="G4365" s="336">
        <v>43734</v>
      </c>
      <c r="H4365" s="334" t="s">
        <v>10543</v>
      </c>
      <c r="I4365" s="426">
        <v>18001660988</v>
      </c>
      <c r="J4365" s="367" t="s">
        <v>10544</v>
      </c>
      <c r="K4365" s="470">
        <v>20000</v>
      </c>
      <c r="L4365" s="334">
        <v>19271</v>
      </c>
      <c r="M4365" s="338"/>
      <c r="N4365" s="362">
        <f t="shared" si="149"/>
        <v>19271</v>
      </c>
      <c r="O4365" s="330" t="s">
        <v>10335</v>
      </c>
      <c r="X4365" s="339"/>
    </row>
    <row r="4366" s="330" customFormat="1" ht="17" customHeight="1" spans="1:24">
      <c r="A4366" s="550" t="s">
        <v>10545</v>
      </c>
      <c r="B4366" s="334" t="s">
        <v>31</v>
      </c>
      <c r="C4366" s="334" t="s">
        <v>2716</v>
      </c>
      <c r="D4366" s="335" t="s">
        <v>33</v>
      </c>
      <c r="E4366" s="336">
        <v>43709</v>
      </c>
      <c r="F4366" s="336">
        <v>43709</v>
      </c>
      <c r="G4366" s="399"/>
      <c r="H4366" s="334" t="s">
        <v>401</v>
      </c>
      <c r="I4366" s="426">
        <v>13818420875</v>
      </c>
      <c r="J4366" s="367" t="s">
        <v>10546</v>
      </c>
      <c r="K4366" s="470">
        <v>1000</v>
      </c>
      <c r="L4366" s="338"/>
      <c r="M4366" s="338"/>
      <c r="N4366" s="362">
        <f t="shared" si="149"/>
        <v>0</v>
      </c>
      <c r="U4366" s="336" t="s">
        <v>40</v>
      </c>
      <c r="X4366" s="339"/>
    </row>
    <row r="4367" s="330" customFormat="1" ht="15" customHeight="1" spans="1:24">
      <c r="A4367" s="550" t="s">
        <v>10422</v>
      </c>
      <c r="B4367" s="334" t="s">
        <v>58</v>
      </c>
      <c r="C4367" s="334" t="s">
        <v>347</v>
      </c>
      <c r="D4367" s="335" t="s">
        <v>343</v>
      </c>
      <c r="E4367" s="336">
        <v>43759</v>
      </c>
      <c r="F4367" s="336">
        <v>43708</v>
      </c>
      <c r="G4367" s="336">
        <v>43758</v>
      </c>
      <c r="H4367" s="334" t="s">
        <v>10547</v>
      </c>
      <c r="I4367" s="426" t="s">
        <v>10548</v>
      </c>
      <c r="J4367" s="367" t="s">
        <v>10549</v>
      </c>
      <c r="K4367" s="470">
        <v>1000</v>
      </c>
      <c r="L4367" s="334">
        <v>21760</v>
      </c>
      <c r="M4367" s="334">
        <v>1840</v>
      </c>
      <c r="N4367" s="362">
        <f t="shared" si="149"/>
        <v>23600</v>
      </c>
      <c r="P4367" s="366" t="s">
        <v>52</v>
      </c>
      <c r="X4367" s="339"/>
    </row>
    <row r="4368" s="330" customFormat="1" ht="15" customHeight="1" spans="1:24">
      <c r="A4368" s="550" t="s">
        <v>1233</v>
      </c>
      <c r="B4368" s="334" t="s">
        <v>58</v>
      </c>
      <c r="C4368" s="334" t="s">
        <v>347</v>
      </c>
      <c r="D4368" s="334" t="s">
        <v>110</v>
      </c>
      <c r="E4368" s="336">
        <v>43712</v>
      </c>
      <c r="F4368" s="336">
        <v>43708</v>
      </c>
      <c r="G4368" s="336">
        <v>43712</v>
      </c>
      <c r="H4368" s="334" t="s">
        <v>10550</v>
      </c>
      <c r="I4368" s="426">
        <v>13717337957</v>
      </c>
      <c r="J4368" s="367" t="s">
        <v>10551</v>
      </c>
      <c r="K4368" s="470">
        <v>1000</v>
      </c>
      <c r="L4368" s="334">
        <v>3649</v>
      </c>
      <c r="M4368" s="338"/>
      <c r="N4368" s="362">
        <f t="shared" si="149"/>
        <v>3649</v>
      </c>
      <c r="X4368" s="339"/>
    </row>
    <row r="4369" s="330" customFormat="1" ht="17" customHeight="1" spans="1:24">
      <c r="A4369" s="550" t="s">
        <v>10552</v>
      </c>
      <c r="B4369" s="348" t="s">
        <v>354</v>
      </c>
      <c r="C4369" s="450" t="s">
        <v>355</v>
      </c>
      <c r="D4369" s="334" t="s">
        <v>237</v>
      </c>
      <c r="E4369" s="336">
        <v>43786</v>
      </c>
      <c r="F4369" s="336">
        <v>43695</v>
      </c>
      <c r="G4369" s="336">
        <v>43785</v>
      </c>
      <c r="H4369" s="334" t="s">
        <v>10553</v>
      </c>
      <c r="I4369" s="426">
        <v>13816305305</v>
      </c>
      <c r="J4369" s="367" t="s">
        <v>10554</v>
      </c>
      <c r="K4369" s="470">
        <v>2000</v>
      </c>
      <c r="L4369" s="334">
        <v>10430</v>
      </c>
      <c r="M4369" s="338"/>
      <c r="N4369" s="362">
        <f t="shared" si="149"/>
        <v>10430</v>
      </c>
      <c r="X4369" s="339"/>
    </row>
    <row r="4370" s="330" customFormat="1" ht="17" customHeight="1" spans="1:24">
      <c r="A4370" s="348"/>
      <c r="B4370" s="334" t="s">
        <v>315</v>
      </c>
      <c r="C4370" s="334" t="s">
        <v>161</v>
      </c>
      <c r="D4370" s="335" t="s">
        <v>162</v>
      </c>
      <c r="E4370" s="336">
        <v>43710</v>
      </c>
      <c r="F4370" s="336">
        <v>43709</v>
      </c>
      <c r="G4370" s="336">
        <v>43709</v>
      </c>
      <c r="H4370" s="334" t="s">
        <v>10555</v>
      </c>
      <c r="I4370" s="426">
        <v>13641691107</v>
      </c>
      <c r="J4370" s="367" t="s">
        <v>10556</v>
      </c>
      <c r="K4370" s="470">
        <v>1000</v>
      </c>
      <c r="L4370" s="334">
        <v>7709</v>
      </c>
      <c r="M4370" s="338"/>
      <c r="N4370" s="362">
        <f t="shared" si="149"/>
        <v>7709</v>
      </c>
      <c r="X4370" s="339"/>
    </row>
    <row r="4371" s="330" customFormat="1" ht="17" customHeight="1" spans="1:24">
      <c r="A4371" s="348"/>
      <c r="B4371" s="334" t="s">
        <v>153</v>
      </c>
      <c r="C4371" s="334" t="s">
        <v>302</v>
      </c>
      <c r="D4371" s="335" t="s">
        <v>155</v>
      </c>
      <c r="E4371" s="336">
        <v>43709</v>
      </c>
      <c r="F4371" s="336">
        <v>43709</v>
      </c>
      <c r="G4371" s="399"/>
      <c r="H4371" s="334" t="s">
        <v>10557</v>
      </c>
      <c r="I4371" s="426">
        <v>13564400642</v>
      </c>
      <c r="J4371" s="367" t="s">
        <v>10558</v>
      </c>
      <c r="K4371" s="470">
        <v>1988</v>
      </c>
      <c r="L4371" s="338"/>
      <c r="M4371" s="338"/>
      <c r="N4371" s="362">
        <f t="shared" si="149"/>
        <v>0</v>
      </c>
      <c r="U4371" s="330" t="s">
        <v>12</v>
      </c>
      <c r="V4371" s="330" t="s">
        <v>2494</v>
      </c>
      <c r="X4371" s="339"/>
    </row>
    <row r="4372" s="330" customFormat="1" ht="17" customHeight="1" spans="1:24">
      <c r="A4372" s="348"/>
      <c r="B4372" s="334" t="s">
        <v>66</v>
      </c>
      <c r="C4372" s="334" t="s">
        <v>3954</v>
      </c>
      <c r="D4372" s="335" t="s">
        <v>1436</v>
      </c>
      <c r="E4372" s="336">
        <v>43709</v>
      </c>
      <c r="F4372" s="336">
        <v>43709</v>
      </c>
      <c r="G4372" s="399"/>
      <c r="H4372" s="334" t="s">
        <v>10559</v>
      </c>
      <c r="I4372" s="426">
        <v>13817944259</v>
      </c>
      <c r="J4372" s="367" t="s">
        <v>10560</v>
      </c>
      <c r="K4372" s="470">
        <f>500+1000</f>
        <v>1500</v>
      </c>
      <c r="L4372" s="338"/>
      <c r="M4372" s="338"/>
      <c r="N4372" s="362">
        <f t="shared" si="149"/>
        <v>0</v>
      </c>
      <c r="P4372" s="353" t="s">
        <v>19</v>
      </c>
      <c r="U4372" s="372" t="s">
        <v>12</v>
      </c>
      <c r="X4372" s="339"/>
    </row>
    <row r="4373" s="330" customFormat="1" ht="17" customHeight="1" spans="1:24">
      <c r="A4373" s="550" t="s">
        <v>10561</v>
      </c>
      <c r="B4373" s="334" t="s">
        <v>42</v>
      </c>
      <c r="C4373" s="334" t="s">
        <v>43</v>
      </c>
      <c r="D4373" s="335" t="s">
        <v>125</v>
      </c>
      <c r="E4373" s="336">
        <v>43712</v>
      </c>
      <c r="F4373" s="336">
        <v>43709</v>
      </c>
      <c r="G4373" s="336">
        <v>43709</v>
      </c>
      <c r="H4373" s="334" t="s">
        <v>3435</v>
      </c>
      <c r="I4373" s="426">
        <v>13162644388</v>
      </c>
      <c r="J4373" s="367" t="s">
        <v>10562</v>
      </c>
      <c r="K4373" s="470">
        <v>10000</v>
      </c>
      <c r="L4373" s="334">
        <v>10867</v>
      </c>
      <c r="M4373" s="338"/>
      <c r="N4373" s="362">
        <f t="shared" si="149"/>
        <v>10867</v>
      </c>
      <c r="O4373" s="330" t="s">
        <v>10335</v>
      </c>
      <c r="X4373" s="339"/>
    </row>
    <row r="4374" s="330" customFormat="1" ht="17" customHeight="1" spans="1:24">
      <c r="A4374" s="348">
        <v>2067608</v>
      </c>
      <c r="B4374" s="334" t="s">
        <v>243</v>
      </c>
      <c r="C4374" s="334" t="s">
        <v>244</v>
      </c>
      <c r="D4374" s="335" t="s">
        <v>49</v>
      </c>
      <c r="E4374" s="336">
        <v>43753</v>
      </c>
      <c r="F4374" s="336">
        <v>43709</v>
      </c>
      <c r="G4374" s="336">
        <v>43753</v>
      </c>
      <c r="H4374" s="334" t="s">
        <v>10563</v>
      </c>
      <c r="I4374" s="426">
        <v>13501613631</v>
      </c>
      <c r="J4374" s="367" t="s">
        <v>10564</v>
      </c>
      <c r="K4374" s="470">
        <v>1000</v>
      </c>
      <c r="L4374" s="334">
        <v>31969</v>
      </c>
      <c r="M4374" s="338"/>
      <c r="N4374" s="362">
        <f t="shared" si="149"/>
        <v>31969</v>
      </c>
      <c r="X4374" s="339"/>
    </row>
    <row r="4375" s="330" customFormat="1" ht="17" customHeight="1" spans="1:24">
      <c r="A4375" s="550" t="s">
        <v>5355</v>
      </c>
      <c r="B4375" s="334" t="s">
        <v>73</v>
      </c>
      <c r="C4375" s="334" t="s">
        <v>74</v>
      </c>
      <c r="D4375" s="335" t="s">
        <v>125</v>
      </c>
      <c r="E4375" s="336">
        <v>43751</v>
      </c>
      <c r="F4375" s="336">
        <v>43709</v>
      </c>
      <c r="G4375" s="336">
        <v>43751</v>
      </c>
      <c r="H4375" s="334" t="s">
        <v>10565</v>
      </c>
      <c r="I4375" s="426">
        <v>13331852826</v>
      </c>
      <c r="J4375" s="367" t="s">
        <v>10566</v>
      </c>
      <c r="K4375" s="470">
        <v>1000</v>
      </c>
      <c r="L4375" s="334">
        <v>23217</v>
      </c>
      <c r="M4375" s="338"/>
      <c r="N4375" s="362">
        <f t="shared" si="149"/>
        <v>23217</v>
      </c>
      <c r="P4375" s="366" t="s">
        <v>52</v>
      </c>
      <c r="X4375" s="339"/>
    </row>
    <row r="4376" s="330" customFormat="1" ht="17" customHeight="1" spans="1:24">
      <c r="A4376" s="550" t="s">
        <v>2115</v>
      </c>
      <c r="B4376" s="334" t="s">
        <v>73</v>
      </c>
      <c r="C4376" s="334" t="s">
        <v>74</v>
      </c>
      <c r="D4376" s="352" t="s">
        <v>75</v>
      </c>
      <c r="E4376" s="336">
        <v>43709</v>
      </c>
      <c r="F4376" s="336">
        <v>43709</v>
      </c>
      <c r="G4376" s="350" t="s">
        <v>69</v>
      </c>
      <c r="H4376" s="334" t="s">
        <v>10567</v>
      </c>
      <c r="I4376" s="426">
        <v>1117551793</v>
      </c>
      <c r="J4376" s="367" t="s">
        <v>10568</v>
      </c>
      <c r="K4376" s="470">
        <v>1000</v>
      </c>
      <c r="L4376" s="338"/>
      <c r="M4376" s="338"/>
      <c r="N4376" s="362">
        <f t="shared" si="149"/>
        <v>0</v>
      </c>
      <c r="P4376" s="366" t="s">
        <v>52</v>
      </c>
      <c r="X4376" s="339"/>
    </row>
    <row r="4377" s="330" customFormat="1" ht="17" customHeight="1" spans="1:24">
      <c r="A4377" s="550" t="s">
        <v>10569</v>
      </c>
      <c r="B4377" s="334" t="s">
        <v>726</v>
      </c>
      <c r="C4377" s="334" t="s">
        <v>727</v>
      </c>
      <c r="D4377" s="334" t="s">
        <v>271</v>
      </c>
      <c r="E4377" s="336">
        <v>43760</v>
      </c>
      <c r="F4377" s="336">
        <v>43709</v>
      </c>
      <c r="G4377" s="336">
        <v>43759</v>
      </c>
      <c r="H4377" s="334" t="s">
        <v>10570</v>
      </c>
      <c r="I4377" s="426">
        <v>18964168662</v>
      </c>
      <c r="J4377" s="367" t="s">
        <v>10571</v>
      </c>
      <c r="K4377" s="470">
        <v>1000</v>
      </c>
      <c r="L4377" s="334">
        <v>23993</v>
      </c>
      <c r="M4377" s="338"/>
      <c r="N4377" s="362">
        <f t="shared" si="149"/>
        <v>23993</v>
      </c>
      <c r="R4377" s="353" t="s">
        <v>2997</v>
      </c>
      <c r="X4377" s="339"/>
    </row>
    <row r="4378" s="330" customFormat="1" ht="17" customHeight="1" spans="1:24">
      <c r="A4378" s="550" t="s">
        <v>10572</v>
      </c>
      <c r="B4378" s="334" t="s">
        <v>2625</v>
      </c>
      <c r="C4378" s="334" t="s">
        <v>2626</v>
      </c>
      <c r="D4378" s="334" t="s">
        <v>44</v>
      </c>
      <c r="E4378" s="336">
        <v>43773</v>
      </c>
      <c r="F4378" s="336">
        <v>43709</v>
      </c>
      <c r="G4378" s="336">
        <v>43772</v>
      </c>
      <c r="H4378" s="334" t="s">
        <v>10573</v>
      </c>
      <c r="I4378" s="426">
        <v>1621807045</v>
      </c>
      <c r="J4378" s="367" t="s">
        <v>10574</v>
      </c>
      <c r="K4378" s="470">
        <v>1000</v>
      </c>
      <c r="L4378" s="334">
        <v>7506</v>
      </c>
      <c r="M4378" s="334">
        <v>10794</v>
      </c>
      <c r="N4378" s="362">
        <f t="shared" si="149"/>
        <v>18300</v>
      </c>
      <c r="P4378" s="330" t="s">
        <v>1526</v>
      </c>
      <c r="X4378" s="339"/>
    </row>
    <row r="4379" s="330" customFormat="1" ht="17" customHeight="1" spans="1:28">
      <c r="A4379" s="348"/>
      <c r="B4379" s="334" t="s">
        <v>73</v>
      </c>
      <c r="C4379" s="334" t="s">
        <v>74</v>
      </c>
      <c r="D4379" s="352" t="s">
        <v>75</v>
      </c>
      <c r="E4379" s="336">
        <v>43712</v>
      </c>
      <c r="F4379" s="336">
        <v>43712</v>
      </c>
      <c r="G4379" s="350"/>
      <c r="H4379" s="334" t="s">
        <v>10575</v>
      </c>
      <c r="I4379" s="426">
        <v>13801746006</v>
      </c>
      <c r="J4379" s="367" t="s">
        <v>10576</v>
      </c>
      <c r="K4379" s="470">
        <v>1000</v>
      </c>
      <c r="L4379" s="338"/>
      <c r="M4379" s="338"/>
      <c r="N4379" s="362">
        <f t="shared" si="149"/>
        <v>0</v>
      </c>
      <c r="O4379" s="366" t="s">
        <v>52</v>
      </c>
      <c r="P4379" s="331"/>
      <c r="Q4379" s="331"/>
      <c r="R4379" s="331"/>
      <c r="S4379" s="331"/>
      <c r="T4379" s="331"/>
      <c r="U4379" s="331"/>
      <c r="V4379" s="331"/>
      <c r="W4379" s="331"/>
      <c r="X4379" s="339"/>
      <c r="Y4379" s="331"/>
      <c r="Z4379" s="331"/>
      <c r="AA4379" s="331"/>
      <c r="AB4379" s="331"/>
    </row>
    <row r="4380" s="330" customFormat="1" ht="17" customHeight="1" spans="1:24">
      <c r="A4380" s="348"/>
      <c r="B4380" s="334" t="s">
        <v>5336</v>
      </c>
      <c r="C4380" s="334" t="s">
        <v>5336</v>
      </c>
      <c r="D4380" s="334" t="s">
        <v>954</v>
      </c>
      <c r="E4380" s="336">
        <v>43728</v>
      </c>
      <c r="F4380" s="336">
        <v>43709</v>
      </c>
      <c r="G4380" s="336">
        <v>43728</v>
      </c>
      <c r="H4380" s="334" t="s">
        <v>10577</v>
      </c>
      <c r="I4380" s="334">
        <v>13681690024</v>
      </c>
      <c r="J4380" s="367" t="s">
        <v>10578</v>
      </c>
      <c r="K4380" s="470">
        <v>3347</v>
      </c>
      <c r="L4380" s="334">
        <v>3310</v>
      </c>
      <c r="M4380" s="338"/>
      <c r="N4380" s="362">
        <f t="shared" si="149"/>
        <v>3310</v>
      </c>
      <c r="X4380" s="339"/>
    </row>
    <row r="4381" s="330" customFormat="1" ht="17" customHeight="1" spans="1:24">
      <c r="A4381" s="348"/>
      <c r="B4381" s="334" t="s">
        <v>5336</v>
      </c>
      <c r="C4381" s="334" t="s">
        <v>5336</v>
      </c>
      <c r="D4381" s="334" t="s">
        <v>271</v>
      </c>
      <c r="E4381" s="336">
        <v>43717</v>
      </c>
      <c r="F4381" s="336">
        <v>43709</v>
      </c>
      <c r="G4381" s="336">
        <v>43717</v>
      </c>
      <c r="H4381" s="334" t="s">
        <v>10579</v>
      </c>
      <c r="I4381" s="426">
        <v>13817863887</v>
      </c>
      <c r="J4381" s="367" t="s">
        <v>10580</v>
      </c>
      <c r="K4381" s="470">
        <v>5324</v>
      </c>
      <c r="L4381" s="334">
        <v>7462</v>
      </c>
      <c r="M4381" s="338"/>
      <c r="N4381" s="362">
        <f t="shared" si="149"/>
        <v>7462</v>
      </c>
      <c r="X4381" s="339"/>
    </row>
    <row r="4382" s="330" customFormat="1" ht="17" customHeight="1" spans="1:24">
      <c r="A4382" s="348"/>
      <c r="B4382" s="334" t="s">
        <v>123</v>
      </c>
      <c r="C4382" s="334" t="s">
        <v>32</v>
      </c>
      <c r="D4382" s="335" t="s">
        <v>125</v>
      </c>
      <c r="E4382" s="336">
        <v>43718</v>
      </c>
      <c r="F4382" s="336">
        <v>43709</v>
      </c>
      <c r="G4382" s="336">
        <v>43717</v>
      </c>
      <c r="H4382" s="334" t="s">
        <v>10581</v>
      </c>
      <c r="I4382" s="426">
        <v>13524595551</v>
      </c>
      <c r="J4382" s="367" t="s">
        <v>10582</v>
      </c>
      <c r="K4382" s="470">
        <v>1000</v>
      </c>
      <c r="L4382" s="334">
        <v>17000</v>
      </c>
      <c r="M4382" s="338"/>
      <c r="N4382" s="362">
        <f t="shared" si="149"/>
        <v>17000</v>
      </c>
      <c r="Q4382" s="366" t="s">
        <v>52</v>
      </c>
      <c r="X4382" s="339"/>
    </row>
    <row r="4383" s="330" customFormat="1" ht="17" customHeight="1" spans="1:24">
      <c r="A4383" s="348"/>
      <c r="B4383" s="334" t="s">
        <v>123</v>
      </c>
      <c r="C4383" s="334" t="s">
        <v>902</v>
      </c>
      <c r="D4383" s="335" t="s">
        <v>125</v>
      </c>
      <c r="E4383" s="336">
        <v>43709</v>
      </c>
      <c r="F4383" s="336">
        <v>43709</v>
      </c>
      <c r="G4383" s="399"/>
      <c r="H4383" s="334" t="s">
        <v>10583</v>
      </c>
      <c r="I4383" s="426">
        <v>15900600613</v>
      </c>
      <c r="J4383" s="367" t="s">
        <v>10584</v>
      </c>
      <c r="K4383" s="470">
        <v>1000</v>
      </c>
      <c r="L4383" s="338"/>
      <c r="M4383" s="338"/>
      <c r="N4383" s="362">
        <f t="shared" si="149"/>
        <v>0</v>
      </c>
      <c r="Q4383" s="366" t="s">
        <v>52</v>
      </c>
      <c r="U4383" s="400" t="s">
        <v>1595</v>
      </c>
      <c r="X4383" s="339"/>
    </row>
    <row r="4384" s="330" customFormat="1" ht="15" customHeight="1" spans="1:24">
      <c r="A4384" s="550" t="s">
        <v>3717</v>
      </c>
      <c r="B4384" s="348" t="s">
        <v>58</v>
      </c>
      <c r="C4384" s="334" t="s">
        <v>794</v>
      </c>
      <c r="D4384" s="335" t="s">
        <v>110</v>
      </c>
      <c r="E4384" s="336">
        <v>43716</v>
      </c>
      <c r="F4384" s="336">
        <v>43708</v>
      </c>
      <c r="G4384" s="336">
        <v>43715</v>
      </c>
      <c r="H4384" s="334" t="s">
        <v>10585</v>
      </c>
      <c r="I4384" s="426">
        <v>13917171566</v>
      </c>
      <c r="J4384" s="367" t="s">
        <v>10586</v>
      </c>
      <c r="K4384" s="470">
        <v>10000</v>
      </c>
      <c r="L4384" s="334">
        <v>15259</v>
      </c>
      <c r="M4384" s="338"/>
      <c r="N4384" s="362">
        <f t="shared" si="149"/>
        <v>15259</v>
      </c>
      <c r="S4384" s="366" t="s">
        <v>52</v>
      </c>
      <c r="X4384" s="339"/>
    </row>
    <row r="4385" s="330" customFormat="1" ht="17" customHeight="1" spans="1:24">
      <c r="A4385" s="550" t="s">
        <v>9671</v>
      </c>
      <c r="B4385" s="334" t="s">
        <v>169</v>
      </c>
      <c r="C4385" s="334" t="s">
        <v>634</v>
      </c>
      <c r="D4385" s="335" t="s">
        <v>635</v>
      </c>
      <c r="E4385" s="336">
        <v>43774</v>
      </c>
      <c r="F4385" s="336">
        <v>43709</v>
      </c>
      <c r="G4385" s="336">
        <v>43774</v>
      </c>
      <c r="H4385" s="336" t="s">
        <v>10587</v>
      </c>
      <c r="I4385" s="426">
        <v>13916349551</v>
      </c>
      <c r="J4385" s="367" t="s">
        <v>10588</v>
      </c>
      <c r="K4385" s="470">
        <v>1000</v>
      </c>
      <c r="L4385" s="334">
        <v>7368</v>
      </c>
      <c r="M4385" s="338"/>
      <c r="N4385" s="362">
        <f t="shared" si="149"/>
        <v>7368</v>
      </c>
      <c r="X4385" s="339"/>
    </row>
    <row r="4386" s="330" customFormat="1" ht="17" customHeight="1" spans="1:24">
      <c r="A4386" s="348"/>
      <c r="B4386" s="334" t="s">
        <v>315</v>
      </c>
      <c r="C4386" s="334" t="s">
        <v>275</v>
      </c>
      <c r="D4386" s="334" t="s">
        <v>1431</v>
      </c>
      <c r="E4386" s="336">
        <v>43761</v>
      </c>
      <c r="F4386" s="336">
        <v>43709</v>
      </c>
      <c r="G4386" s="336">
        <v>43757</v>
      </c>
      <c r="H4386" s="334" t="s">
        <v>7749</v>
      </c>
      <c r="I4386" s="426">
        <v>13671763998</v>
      </c>
      <c r="J4386" s="367" t="s">
        <v>10589</v>
      </c>
      <c r="K4386" s="470">
        <v>1000</v>
      </c>
      <c r="L4386" s="334">
        <v>13330</v>
      </c>
      <c r="M4386" s="338"/>
      <c r="N4386" s="362">
        <f t="shared" si="149"/>
        <v>13330</v>
      </c>
      <c r="Q4386" s="356">
        <v>1</v>
      </c>
      <c r="X4386" s="339"/>
    </row>
    <row r="4387" s="330" customFormat="1" ht="17" customHeight="1" spans="1:24">
      <c r="A4387" s="334"/>
      <c r="B4387" s="334" t="s">
        <v>58</v>
      </c>
      <c r="C4387" s="334" t="s">
        <v>109</v>
      </c>
      <c r="D4387" s="334" t="s">
        <v>271</v>
      </c>
      <c r="E4387" s="336">
        <v>43709</v>
      </c>
      <c r="F4387" s="336"/>
      <c r="G4387" s="336">
        <v>43709</v>
      </c>
      <c r="H4387" s="334" t="s">
        <v>10590</v>
      </c>
      <c r="I4387" s="334">
        <v>15000500700</v>
      </c>
      <c r="J4387" s="367" t="s">
        <v>10591</v>
      </c>
      <c r="K4387" s="337"/>
      <c r="L4387" s="334">
        <v>1952</v>
      </c>
      <c r="M4387" s="338"/>
      <c r="N4387" s="362">
        <f t="shared" si="149"/>
        <v>1952</v>
      </c>
      <c r="X4387" s="339"/>
    </row>
    <row r="4388" s="330" customFormat="1" ht="17" customHeight="1" spans="1:24">
      <c r="A4388" s="334"/>
      <c r="B4388" s="334" t="s">
        <v>31</v>
      </c>
      <c r="C4388" s="334" t="s">
        <v>251</v>
      </c>
      <c r="D4388" s="334" t="s">
        <v>221</v>
      </c>
      <c r="E4388" s="336">
        <v>43709</v>
      </c>
      <c r="F4388" s="336"/>
      <c r="G4388" s="336">
        <v>43708</v>
      </c>
      <c r="H4388" s="334" t="s">
        <v>10592</v>
      </c>
      <c r="I4388" s="334">
        <v>13482738854</v>
      </c>
      <c r="J4388" s="367" t="s">
        <v>10593</v>
      </c>
      <c r="K4388" s="337"/>
      <c r="L4388" s="334">
        <v>8590</v>
      </c>
      <c r="M4388" s="338"/>
      <c r="N4388" s="362">
        <f t="shared" si="149"/>
        <v>8590</v>
      </c>
      <c r="X4388" s="339"/>
    </row>
    <row r="4389" s="330" customFormat="1" ht="17" customHeight="1" spans="1:24">
      <c r="A4389" s="334"/>
      <c r="B4389" s="348" t="s">
        <v>87</v>
      </c>
      <c r="C4389" s="348" t="s">
        <v>466</v>
      </c>
      <c r="D4389" s="334" t="s">
        <v>1170</v>
      </c>
      <c r="E4389" s="336">
        <v>43709</v>
      </c>
      <c r="F4389" s="336"/>
      <c r="G4389" s="336">
        <v>43709</v>
      </c>
      <c r="H4389" s="334" t="s">
        <v>3087</v>
      </c>
      <c r="I4389" s="334">
        <v>18640038007</v>
      </c>
      <c r="J4389" s="367" t="s">
        <v>10594</v>
      </c>
      <c r="K4389" s="337"/>
      <c r="L4389" s="334"/>
      <c r="M4389" s="334">
        <v>-1262</v>
      </c>
      <c r="N4389" s="362">
        <f t="shared" si="149"/>
        <v>-1262</v>
      </c>
      <c r="X4389" s="339"/>
    </row>
    <row r="4390" s="330" customFormat="1" ht="17" customHeight="1" spans="1:24">
      <c r="A4390" s="334"/>
      <c r="B4390" s="334" t="s">
        <v>335</v>
      </c>
      <c r="C4390" s="334" t="s">
        <v>399</v>
      </c>
      <c r="D4390" s="334" t="s">
        <v>68</v>
      </c>
      <c r="E4390" s="336">
        <v>43709</v>
      </c>
      <c r="F4390" s="336"/>
      <c r="G4390" s="336">
        <v>43708</v>
      </c>
      <c r="H4390" s="334" t="s">
        <v>10595</v>
      </c>
      <c r="I4390" s="334">
        <v>15021000178</v>
      </c>
      <c r="J4390" s="367" t="s">
        <v>10506</v>
      </c>
      <c r="K4390" s="337"/>
      <c r="L4390" s="338"/>
      <c r="M4390" s="334">
        <v>-1350</v>
      </c>
      <c r="N4390" s="362">
        <f t="shared" si="149"/>
        <v>-1350</v>
      </c>
      <c r="X4390" s="339"/>
    </row>
    <row r="4391" s="330" customFormat="1" ht="17" customHeight="1" spans="1:24">
      <c r="A4391" s="334"/>
      <c r="B4391" s="348" t="s">
        <v>123</v>
      </c>
      <c r="C4391" s="348" t="s">
        <v>902</v>
      </c>
      <c r="D4391" s="349" t="s">
        <v>125</v>
      </c>
      <c r="E4391" s="336">
        <v>43709</v>
      </c>
      <c r="F4391" s="336"/>
      <c r="G4391" s="336">
        <v>43709</v>
      </c>
      <c r="H4391" s="334" t="s">
        <v>4623</v>
      </c>
      <c r="I4391" s="334">
        <v>13621715926</v>
      </c>
      <c r="J4391" s="361" t="s">
        <v>10596</v>
      </c>
      <c r="K4391" s="337"/>
      <c r="L4391" s="338"/>
      <c r="M4391" s="334">
        <v>-585</v>
      </c>
      <c r="N4391" s="362">
        <f t="shared" si="149"/>
        <v>-585</v>
      </c>
      <c r="X4391" s="339"/>
    </row>
    <row r="4392" s="330" customFormat="1" ht="17" customHeight="1" spans="1:24">
      <c r="A4392" s="334"/>
      <c r="B4392" s="348" t="s">
        <v>73</v>
      </c>
      <c r="C4392" s="348" t="s">
        <v>178</v>
      </c>
      <c r="D4392" s="352" t="s">
        <v>143</v>
      </c>
      <c r="E4392" s="336">
        <v>43709</v>
      </c>
      <c r="F4392" s="336"/>
      <c r="G4392" s="336">
        <v>43709</v>
      </c>
      <c r="H4392" s="334" t="s">
        <v>4832</v>
      </c>
      <c r="I4392" s="334">
        <v>13816108743</v>
      </c>
      <c r="J4392" s="367" t="s">
        <v>10597</v>
      </c>
      <c r="K4392" s="337"/>
      <c r="L4392" s="338"/>
      <c r="M4392" s="334">
        <v>-3520</v>
      </c>
      <c r="N4392" s="362">
        <f t="shared" si="149"/>
        <v>-3520</v>
      </c>
      <c r="X4392" s="339"/>
    </row>
    <row r="4393" s="330" customFormat="1" ht="17" customHeight="1" spans="1:24">
      <c r="A4393" s="334"/>
      <c r="B4393" s="348" t="s">
        <v>35</v>
      </c>
      <c r="C4393" s="348" t="s">
        <v>392</v>
      </c>
      <c r="D4393" s="352" t="s">
        <v>37</v>
      </c>
      <c r="E4393" s="336">
        <v>43709</v>
      </c>
      <c r="F4393" s="336"/>
      <c r="G4393" s="336">
        <v>43709</v>
      </c>
      <c r="H4393" s="334" t="s">
        <v>9170</v>
      </c>
      <c r="I4393" s="334">
        <v>13817194942</v>
      </c>
      <c r="J4393" s="367" t="s">
        <v>10598</v>
      </c>
      <c r="K4393" s="337"/>
      <c r="L4393" s="338"/>
      <c r="M4393" s="334">
        <f>1500</f>
        <v>1500</v>
      </c>
      <c r="N4393" s="362">
        <f t="shared" si="149"/>
        <v>1500</v>
      </c>
      <c r="X4393" s="339"/>
    </row>
    <row r="4394" s="330" customFormat="1" ht="17" customHeight="1" spans="1:24">
      <c r="A4394" s="334"/>
      <c r="B4394" s="334" t="s">
        <v>58</v>
      </c>
      <c r="C4394" s="334" t="s">
        <v>794</v>
      </c>
      <c r="D4394" s="334" t="s">
        <v>110</v>
      </c>
      <c r="E4394" s="336">
        <v>43709</v>
      </c>
      <c r="F4394" s="336"/>
      <c r="G4394" s="336">
        <v>43709</v>
      </c>
      <c r="H4394" s="334" t="s">
        <v>6791</v>
      </c>
      <c r="I4394" s="334">
        <v>13585816185</v>
      </c>
      <c r="J4394" s="367" t="s">
        <v>10599</v>
      </c>
      <c r="K4394" s="337"/>
      <c r="L4394" s="338"/>
      <c r="M4394" s="334">
        <v>802</v>
      </c>
      <c r="N4394" s="362">
        <f t="shared" si="149"/>
        <v>802</v>
      </c>
      <c r="X4394" s="339"/>
    </row>
    <row r="4395" s="330" customFormat="1" ht="17" customHeight="1" spans="1:24">
      <c r="A4395" s="334"/>
      <c r="B4395" s="348" t="s">
        <v>66</v>
      </c>
      <c r="C4395" s="334" t="s">
        <v>505</v>
      </c>
      <c r="D4395" s="349" t="s">
        <v>143</v>
      </c>
      <c r="E4395" s="336">
        <v>43709</v>
      </c>
      <c r="F4395" s="336"/>
      <c r="G4395" s="336">
        <v>43709</v>
      </c>
      <c r="H4395" s="334" t="s">
        <v>5457</v>
      </c>
      <c r="I4395" s="334">
        <v>13917321146</v>
      </c>
      <c r="J4395" s="367" t="s">
        <v>5458</v>
      </c>
      <c r="K4395" s="337"/>
      <c r="L4395" s="338"/>
      <c r="M4395" s="334">
        <v>632</v>
      </c>
      <c r="N4395" s="362">
        <f t="shared" si="149"/>
        <v>632</v>
      </c>
      <c r="X4395" s="339"/>
    </row>
    <row r="4396" s="330" customFormat="1" ht="17" customHeight="1" spans="1:24">
      <c r="A4396" s="550" t="s">
        <v>6094</v>
      </c>
      <c r="B4396" s="334" t="s">
        <v>147</v>
      </c>
      <c r="C4396" s="334" t="s">
        <v>148</v>
      </c>
      <c r="D4396" s="334" t="s">
        <v>1170</v>
      </c>
      <c r="E4396" s="336">
        <v>43737</v>
      </c>
      <c r="F4396" s="336">
        <v>43709</v>
      </c>
      <c r="G4396" s="336">
        <v>43736</v>
      </c>
      <c r="H4396" s="334" t="s">
        <v>10600</v>
      </c>
      <c r="I4396" s="426">
        <v>13501795518</v>
      </c>
      <c r="J4396" s="367" t="s">
        <v>10601</v>
      </c>
      <c r="K4396" s="470">
        <v>1000</v>
      </c>
      <c r="L4396" s="334">
        <v>9426</v>
      </c>
      <c r="M4396" s="338"/>
      <c r="N4396" s="362">
        <f t="shared" si="149"/>
        <v>9426</v>
      </c>
      <c r="X4396" s="339"/>
    </row>
    <row r="4397" s="330" customFormat="1" ht="17" customHeight="1" spans="1:24">
      <c r="A4397" s="550" t="s">
        <v>6118</v>
      </c>
      <c r="B4397" s="334" t="s">
        <v>147</v>
      </c>
      <c r="C4397" s="334" t="s">
        <v>148</v>
      </c>
      <c r="D4397" s="334" t="s">
        <v>1170</v>
      </c>
      <c r="E4397" s="336">
        <v>43734</v>
      </c>
      <c r="F4397" s="336">
        <v>43701</v>
      </c>
      <c r="G4397" s="336">
        <v>43733</v>
      </c>
      <c r="H4397" s="334" t="s">
        <v>10602</v>
      </c>
      <c r="I4397" s="426">
        <v>13917393951</v>
      </c>
      <c r="J4397" s="367" t="s">
        <v>10603</v>
      </c>
      <c r="K4397" s="470">
        <v>15004</v>
      </c>
      <c r="L4397" s="334">
        <f>15360-760</f>
        <v>14600</v>
      </c>
      <c r="M4397" s="334">
        <v>760</v>
      </c>
      <c r="N4397" s="362">
        <f t="shared" si="149"/>
        <v>15360</v>
      </c>
      <c r="X4397" s="339"/>
    </row>
    <row r="4398" s="330" customFormat="1" ht="17" customHeight="1" spans="1:24">
      <c r="A4398" s="550" t="s">
        <v>10604</v>
      </c>
      <c r="B4398" s="334" t="s">
        <v>66</v>
      </c>
      <c r="C4398" s="334" t="s">
        <v>119</v>
      </c>
      <c r="D4398" s="335" t="s">
        <v>68</v>
      </c>
      <c r="E4398" s="336">
        <v>43730</v>
      </c>
      <c r="F4398" s="336">
        <v>43709</v>
      </c>
      <c r="G4398" s="336">
        <v>43729</v>
      </c>
      <c r="H4398" s="334" t="s">
        <v>10605</v>
      </c>
      <c r="I4398" s="426">
        <v>13818514618</v>
      </c>
      <c r="J4398" s="367" t="s">
        <v>10606</v>
      </c>
      <c r="K4398" s="470">
        <v>1000</v>
      </c>
      <c r="L4398" s="334">
        <v>7034</v>
      </c>
      <c r="M4398" s="338"/>
      <c r="N4398" s="362">
        <f t="shared" si="149"/>
        <v>7034</v>
      </c>
      <c r="P4398" s="330" t="s">
        <v>1526</v>
      </c>
      <c r="X4398" s="339"/>
    </row>
    <row r="4399" s="330" customFormat="1" ht="17" customHeight="1" spans="1:24">
      <c r="A4399" s="550" t="s">
        <v>10607</v>
      </c>
      <c r="B4399" s="334" t="s">
        <v>185</v>
      </c>
      <c r="C4399" s="334" t="s">
        <v>1620</v>
      </c>
      <c r="D4399" s="335" t="s">
        <v>44</v>
      </c>
      <c r="E4399" s="336">
        <v>43731</v>
      </c>
      <c r="F4399" s="336">
        <v>43709</v>
      </c>
      <c r="G4399" s="336">
        <v>43730</v>
      </c>
      <c r="H4399" s="334" t="s">
        <v>10608</v>
      </c>
      <c r="I4399" s="426">
        <v>13501615209</v>
      </c>
      <c r="J4399" s="367" t="s">
        <v>10609</v>
      </c>
      <c r="K4399" s="470">
        <v>37000</v>
      </c>
      <c r="L4399" s="334">
        <v>53700</v>
      </c>
      <c r="M4399" s="338"/>
      <c r="N4399" s="362">
        <f t="shared" si="149"/>
        <v>53700</v>
      </c>
      <c r="X4399" s="339"/>
    </row>
    <row r="4400" s="330" customFormat="1" ht="17" customHeight="1" spans="1:24">
      <c r="A4400" s="348"/>
      <c r="B4400" s="334" t="s">
        <v>315</v>
      </c>
      <c r="C4400" s="334" t="s">
        <v>161</v>
      </c>
      <c r="D4400" s="335" t="s">
        <v>162</v>
      </c>
      <c r="E4400" s="336">
        <v>43766</v>
      </c>
      <c r="F4400" s="336">
        <v>43709</v>
      </c>
      <c r="G4400" s="336">
        <v>43765</v>
      </c>
      <c r="H4400" s="408" t="s">
        <v>10610</v>
      </c>
      <c r="I4400" s="426">
        <v>18907939661</v>
      </c>
      <c r="J4400" s="367" t="s">
        <v>10611</v>
      </c>
      <c r="K4400" s="470">
        <v>1000</v>
      </c>
      <c r="L4400" s="334">
        <v>23600</v>
      </c>
      <c r="M4400" s="338"/>
      <c r="N4400" s="362">
        <f t="shared" si="149"/>
        <v>23600</v>
      </c>
      <c r="P4400" s="356">
        <v>1</v>
      </c>
      <c r="X4400" s="339"/>
    </row>
    <row r="4401" s="330" customFormat="1" ht="17" customHeight="1" spans="1:24">
      <c r="A4401" s="550" t="s">
        <v>215</v>
      </c>
      <c r="B4401" s="334" t="s">
        <v>31</v>
      </c>
      <c r="C4401" s="334" t="s">
        <v>9433</v>
      </c>
      <c r="D4401" s="335" t="s">
        <v>221</v>
      </c>
      <c r="E4401" s="336">
        <v>43710</v>
      </c>
      <c r="F4401" s="336">
        <v>43709</v>
      </c>
      <c r="G4401" s="399"/>
      <c r="H4401" s="334" t="s">
        <v>10612</v>
      </c>
      <c r="I4401" s="426">
        <v>13761237975</v>
      </c>
      <c r="J4401" s="367" t="s">
        <v>10613</v>
      </c>
      <c r="K4401" s="470">
        <v>1000</v>
      </c>
      <c r="L4401" s="338"/>
      <c r="M4401" s="338"/>
      <c r="N4401" s="362">
        <f t="shared" si="149"/>
        <v>0</v>
      </c>
      <c r="U4401" s="400" t="s">
        <v>10432</v>
      </c>
      <c r="X4401" s="339"/>
    </row>
    <row r="4402" s="330" customFormat="1" ht="17" customHeight="1" spans="1:24">
      <c r="A4402" s="348"/>
      <c r="B4402" s="334" t="s">
        <v>31</v>
      </c>
      <c r="C4402" s="334" t="s">
        <v>419</v>
      </c>
      <c r="D4402" s="335" t="s">
        <v>221</v>
      </c>
      <c r="E4402" s="336">
        <v>43730</v>
      </c>
      <c r="F4402" s="336">
        <v>43709</v>
      </c>
      <c r="G4402" s="336">
        <v>43729</v>
      </c>
      <c r="H4402" s="334" t="s">
        <v>10614</v>
      </c>
      <c r="I4402" s="426">
        <v>15921816538</v>
      </c>
      <c r="J4402" s="367" t="s">
        <v>10615</v>
      </c>
      <c r="K4402" s="470">
        <v>1000</v>
      </c>
      <c r="L4402" s="334">
        <f>21500-1104</f>
        <v>20396</v>
      </c>
      <c r="M4402" s="334">
        <v>1104</v>
      </c>
      <c r="N4402" s="362">
        <f t="shared" si="149"/>
        <v>21500</v>
      </c>
      <c r="X4402" s="339"/>
    </row>
    <row r="4403" s="330" customFormat="1" ht="17" customHeight="1" spans="1:24">
      <c r="A4403" s="348">
        <v>2066236</v>
      </c>
      <c r="B4403" s="334" t="s">
        <v>243</v>
      </c>
      <c r="C4403" s="334" t="s">
        <v>309</v>
      </c>
      <c r="D4403" s="335" t="s">
        <v>49</v>
      </c>
      <c r="E4403" s="336">
        <v>43769</v>
      </c>
      <c r="F4403" s="336">
        <v>43709</v>
      </c>
      <c r="G4403" s="336">
        <v>43769</v>
      </c>
      <c r="H4403" s="334" t="s">
        <v>10616</v>
      </c>
      <c r="I4403" s="426">
        <v>15821337908</v>
      </c>
      <c r="J4403" s="367" t="s">
        <v>10617</v>
      </c>
      <c r="K4403" s="470">
        <v>5000</v>
      </c>
      <c r="L4403" s="334">
        <v>6608</v>
      </c>
      <c r="M4403" s="338"/>
      <c r="N4403" s="362">
        <f t="shared" si="149"/>
        <v>6608</v>
      </c>
      <c r="X4403" s="339"/>
    </row>
    <row r="4404" s="330" customFormat="1" ht="17" customHeight="1" spans="1:24">
      <c r="A4404" s="348"/>
      <c r="B4404" s="334" t="s">
        <v>137</v>
      </c>
      <c r="C4404" s="334" t="s">
        <v>406</v>
      </c>
      <c r="D4404" s="334" t="s">
        <v>2381</v>
      </c>
      <c r="E4404" s="336">
        <v>43771</v>
      </c>
      <c r="F4404" s="336">
        <v>43710</v>
      </c>
      <c r="G4404" s="336">
        <v>43771</v>
      </c>
      <c r="H4404" s="334" t="s">
        <v>10618</v>
      </c>
      <c r="I4404" s="426">
        <v>13917908083</v>
      </c>
      <c r="J4404" s="367" t="s">
        <v>10619</v>
      </c>
      <c r="K4404" s="470">
        <v>1000</v>
      </c>
      <c r="L4404" s="334">
        <v>6282</v>
      </c>
      <c r="M4404" s="338"/>
      <c r="N4404" s="362">
        <f t="shared" si="149"/>
        <v>6282</v>
      </c>
      <c r="X4404" s="339"/>
    </row>
    <row r="4405" s="330" customFormat="1" ht="17" customHeight="1" spans="1:24">
      <c r="A4405" s="348"/>
      <c r="B4405" s="334" t="s">
        <v>5336</v>
      </c>
      <c r="C4405" s="334" t="s">
        <v>5336</v>
      </c>
      <c r="D4405" s="334" t="s">
        <v>8334</v>
      </c>
      <c r="E4405" s="336">
        <v>43789</v>
      </c>
      <c r="F4405" s="336">
        <v>43710</v>
      </c>
      <c r="G4405" s="336">
        <v>43789</v>
      </c>
      <c r="H4405" s="334" t="s">
        <v>10620</v>
      </c>
      <c r="I4405" s="426">
        <v>17717395968</v>
      </c>
      <c r="J4405" s="367" t="s">
        <v>10621</v>
      </c>
      <c r="K4405" s="470">
        <v>1000</v>
      </c>
      <c r="L4405" s="334">
        <v>21503</v>
      </c>
      <c r="M4405" s="338"/>
      <c r="N4405" s="362">
        <f t="shared" si="149"/>
        <v>21503</v>
      </c>
      <c r="X4405" s="339"/>
    </row>
    <row r="4406" s="330" customFormat="1" ht="17" customHeight="1" spans="1:24">
      <c r="A4406" s="348"/>
      <c r="B4406" s="348" t="s">
        <v>185</v>
      </c>
      <c r="C4406" s="334" t="s">
        <v>886</v>
      </c>
      <c r="D4406" s="334" t="s">
        <v>37</v>
      </c>
      <c r="E4406" s="336">
        <v>43721</v>
      </c>
      <c r="F4406" s="336">
        <v>43709</v>
      </c>
      <c r="G4406" s="336">
        <v>43720</v>
      </c>
      <c r="H4406" s="334" t="s">
        <v>10622</v>
      </c>
      <c r="I4406" s="426">
        <v>18817842425</v>
      </c>
      <c r="J4406" s="367" t="s">
        <v>10623</v>
      </c>
      <c r="K4406" s="470">
        <v>1000</v>
      </c>
      <c r="L4406" s="334">
        <f>4834-736</f>
        <v>4098</v>
      </c>
      <c r="M4406" s="334">
        <v>736</v>
      </c>
      <c r="N4406" s="362">
        <f t="shared" si="149"/>
        <v>4834</v>
      </c>
      <c r="X4406" s="339"/>
    </row>
    <row r="4407" s="330" customFormat="1" ht="17" customHeight="1" spans="1:24">
      <c r="A4407" s="348"/>
      <c r="B4407" s="334" t="s">
        <v>123</v>
      </c>
      <c r="C4407" s="334" t="s">
        <v>32</v>
      </c>
      <c r="D4407" s="335" t="s">
        <v>125</v>
      </c>
      <c r="E4407" s="336">
        <v>43710</v>
      </c>
      <c r="F4407" s="336">
        <v>43710</v>
      </c>
      <c r="G4407" s="336">
        <v>43710</v>
      </c>
      <c r="H4407" s="334" t="s">
        <v>10624</v>
      </c>
      <c r="I4407" s="426">
        <v>15002171088</v>
      </c>
      <c r="J4407" s="367" t="s">
        <v>10625</v>
      </c>
      <c r="K4407" s="470">
        <v>5568</v>
      </c>
      <c r="L4407" s="334">
        <f>5568-368</f>
        <v>5200</v>
      </c>
      <c r="M4407" s="334">
        <v>368</v>
      </c>
      <c r="N4407" s="362">
        <f t="shared" si="149"/>
        <v>5568</v>
      </c>
      <c r="X4407" s="339"/>
    </row>
    <row r="4408" s="330" customFormat="1" ht="17" customHeight="1" spans="1:24">
      <c r="A4408" s="550" t="s">
        <v>10626</v>
      </c>
      <c r="B4408" s="334" t="s">
        <v>58</v>
      </c>
      <c r="C4408" s="334" t="s">
        <v>347</v>
      </c>
      <c r="D4408" s="334" t="s">
        <v>343</v>
      </c>
      <c r="E4408" s="336">
        <v>43710</v>
      </c>
      <c r="F4408" s="336">
        <v>43710</v>
      </c>
      <c r="G4408" s="399">
        <v>43710</v>
      </c>
      <c r="H4408" s="334" t="s">
        <v>10627</v>
      </c>
      <c r="I4408" s="426">
        <v>13817799043</v>
      </c>
      <c r="J4408" s="367" t="s">
        <v>10628</v>
      </c>
      <c r="K4408" s="470">
        <v>13300</v>
      </c>
      <c r="L4408" s="334">
        <f>13300-536</f>
        <v>12764</v>
      </c>
      <c r="M4408" s="334">
        <v>536</v>
      </c>
      <c r="N4408" s="362">
        <f t="shared" ref="N4408:N4451" si="150">L4408+M4408</f>
        <v>13300</v>
      </c>
      <c r="X4408" s="339"/>
    </row>
    <row r="4409" s="330" customFormat="1" customHeight="1" spans="1:24">
      <c r="A4409" s="550" t="s">
        <v>10629</v>
      </c>
      <c r="B4409" s="334" t="s">
        <v>236</v>
      </c>
      <c r="C4409" s="334" t="s">
        <v>703</v>
      </c>
      <c r="D4409" s="352" t="s">
        <v>237</v>
      </c>
      <c r="E4409" s="336">
        <v>43710</v>
      </c>
      <c r="F4409" s="336">
        <v>43708</v>
      </c>
      <c r="G4409" s="399"/>
      <c r="H4409" s="334" t="s">
        <v>10630</v>
      </c>
      <c r="I4409" s="426">
        <v>1101862672</v>
      </c>
      <c r="J4409" s="367" t="s">
        <v>10631</v>
      </c>
      <c r="K4409" s="470">
        <v>1000</v>
      </c>
      <c r="L4409" s="338"/>
      <c r="M4409" s="338"/>
      <c r="N4409" s="362">
        <f t="shared" si="150"/>
        <v>0</v>
      </c>
      <c r="P4409" s="457" t="s">
        <v>3729</v>
      </c>
      <c r="Q4409" s="457"/>
      <c r="X4409" s="339"/>
    </row>
    <row r="4410" s="330" customFormat="1" ht="15" customHeight="1" spans="1:24">
      <c r="A4410" s="550" t="s">
        <v>10632</v>
      </c>
      <c r="B4410" s="334" t="s">
        <v>58</v>
      </c>
      <c r="C4410" s="334" t="s">
        <v>347</v>
      </c>
      <c r="D4410" s="334" t="s">
        <v>75</v>
      </c>
      <c r="E4410" s="336">
        <v>43723</v>
      </c>
      <c r="F4410" s="336">
        <v>43708</v>
      </c>
      <c r="G4410" s="336">
        <v>43722</v>
      </c>
      <c r="H4410" s="334" t="s">
        <v>10633</v>
      </c>
      <c r="I4410" s="426">
        <v>1901747664</v>
      </c>
      <c r="J4410" s="367" t="s">
        <v>10634</v>
      </c>
      <c r="K4410" s="470">
        <v>1000</v>
      </c>
      <c r="L4410" s="334">
        <v>31612</v>
      </c>
      <c r="M4410" s="338"/>
      <c r="N4410" s="362">
        <f t="shared" si="150"/>
        <v>31612</v>
      </c>
      <c r="X4410" s="339"/>
    </row>
    <row r="4411" s="330" customFormat="1" ht="15" customHeight="1" spans="1:24">
      <c r="A4411" s="550" t="s">
        <v>7929</v>
      </c>
      <c r="B4411" s="334" t="s">
        <v>58</v>
      </c>
      <c r="C4411" s="334" t="s">
        <v>347</v>
      </c>
      <c r="D4411" s="335" t="s">
        <v>343</v>
      </c>
      <c r="E4411" s="336">
        <v>43738</v>
      </c>
      <c r="F4411" s="336">
        <v>43709</v>
      </c>
      <c r="G4411" s="336">
        <v>43738</v>
      </c>
      <c r="H4411" s="334" t="s">
        <v>10635</v>
      </c>
      <c r="I4411" s="426">
        <v>13817524892</v>
      </c>
      <c r="J4411" s="367" t="s">
        <v>10636</v>
      </c>
      <c r="K4411" s="470">
        <v>5000</v>
      </c>
      <c r="L4411" s="334">
        <v>10000</v>
      </c>
      <c r="M4411" s="338"/>
      <c r="N4411" s="362">
        <f t="shared" si="150"/>
        <v>10000</v>
      </c>
      <c r="X4411" s="339"/>
    </row>
    <row r="4412" s="330" customFormat="1" ht="17" customHeight="1" spans="1:24">
      <c r="A4412" s="550" t="s">
        <v>6090</v>
      </c>
      <c r="B4412" s="334" t="s">
        <v>147</v>
      </c>
      <c r="C4412" s="334" t="s">
        <v>148</v>
      </c>
      <c r="D4412" s="334" t="s">
        <v>1170</v>
      </c>
      <c r="E4412" s="336">
        <v>43735</v>
      </c>
      <c r="F4412" s="336">
        <v>43702</v>
      </c>
      <c r="G4412" s="336">
        <v>43715</v>
      </c>
      <c r="H4412" s="334" t="s">
        <v>10637</v>
      </c>
      <c r="I4412" s="426">
        <v>13564467199</v>
      </c>
      <c r="J4412" s="367" t="s">
        <v>10638</v>
      </c>
      <c r="K4412" s="470">
        <v>1000</v>
      </c>
      <c r="L4412" s="334">
        <v>13184</v>
      </c>
      <c r="M4412" s="338"/>
      <c r="N4412" s="362">
        <f t="shared" si="150"/>
        <v>13184</v>
      </c>
      <c r="X4412" s="339"/>
    </row>
    <row r="4413" s="330" customFormat="1" ht="15" customHeight="1" spans="1:24">
      <c r="A4413" s="550" t="s">
        <v>10639</v>
      </c>
      <c r="B4413" s="348" t="s">
        <v>58</v>
      </c>
      <c r="C4413" s="334" t="s">
        <v>59</v>
      </c>
      <c r="D4413" s="349" t="s">
        <v>271</v>
      </c>
      <c r="E4413" s="336">
        <v>43738</v>
      </c>
      <c r="F4413" s="336">
        <v>43709</v>
      </c>
      <c r="G4413" s="336">
        <v>43738</v>
      </c>
      <c r="H4413" s="334" t="s">
        <v>10640</v>
      </c>
      <c r="I4413" s="426">
        <v>15900056398</v>
      </c>
      <c r="J4413" s="367" t="s">
        <v>10641</v>
      </c>
      <c r="K4413" s="470">
        <v>10000</v>
      </c>
      <c r="L4413" s="334">
        <v>9816</v>
      </c>
      <c r="M4413" s="338"/>
      <c r="N4413" s="362">
        <f t="shared" si="150"/>
        <v>9816</v>
      </c>
      <c r="U4413" s="330" t="s">
        <v>12</v>
      </c>
      <c r="X4413" s="339"/>
    </row>
    <row r="4414" s="330" customFormat="1" ht="17" customHeight="1" spans="1:24">
      <c r="A4414" s="550" t="s">
        <v>10642</v>
      </c>
      <c r="B4414" s="334" t="s">
        <v>31</v>
      </c>
      <c r="C4414" s="334" t="s">
        <v>251</v>
      </c>
      <c r="D4414" s="334" t="s">
        <v>221</v>
      </c>
      <c r="E4414" s="336">
        <v>43710</v>
      </c>
      <c r="F4414" s="336">
        <v>43710</v>
      </c>
      <c r="G4414" s="399">
        <v>43710</v>
      </c>
      <c r="H4414" s="334" t="s">
        <v>10643</v>
      </c>
      <c r="I4414" s="334">
        <v>13162064618</v>
      </c>
      <c r="J4414" s="367" t="s">
        <v>10644</v>
      </c>
      <c r="K4414" s="470">
        <v>1000</v>
      </c>
      <c r="L4414" s="334">
        <v>9600</v>
      </c>
      <c r="M4414" s="338"/>
      <c r="N4414" s="362">
        <f t="shared" si="150"/>
        <v>9600</v>
      </c>
      <c r="X4414" s="339"/>
    </row>
    <row r="4415" s="330" customFormat="1" ht="17" customHeight="1" spans="1:24">
      <c r="A4415" s="348"/>
      <c r="B4415" s="334" t="s">
        <v>2625</v>
      </c>
      <c r="C4415" s="334" t="s">
        <v>2626</v>
      </c>
      <c r="D4415" s="334" t="s">
        <v>2302</v>
      </c>
      <c r="E4415" s="336">
        <v>43714</v>
      </c>
      <c r="F4415" s="336">
        <v>43710</v>
      </c>
      <c r="G4415" s="336">
        <v>43696</v>
      </c>
      <c r="H4415" s="334" t="s">
        <v>10645</v>
      </c>
      <c r="I4415" s="426">
        <v>13052075223</v>
      </c>
      <c r="J4415" s="367" t="s">
        <v>10646</v>
      </c>
      <c r="K4415" s="470">
        <v>9000</v>
      </c>
      <c r="L4415" s="334">
        <v>17200</v>
      </c>
      <c r="M4415" s="338"/>
      <c r="N4415" s="362">
        <f t="shared" si="150"/>
        <v>17200</v>
      </c>
      <c r="X4415" s="339"/>
    </row>
    <row r="4416" s="330" customFormat="1" ht="17" customHeight="1" spans="1:24">
      <c r="A4416" s="348"/>
      <c r="B4416" s="334" t="s">
        <v>5336</v>
      </c>
      <c r="C4416" s="334" t="s">
        <v>5336</v>
      </c>
      <c r="D4416" s="334" t="s">
        <v>1436</v>
      </c>
      <c r="E4416" s="336">
        <v>43721</v>
      </c>
      <c r="F4416" s="336">
        <v>43710</v>
      </c>
      <c r="G4416" s="336">
        <v>43720</v>
      </c>
      <c r="H4416" s="334" t="s">
        <v>10647</v>
      </c>
      <c r="I4416" s="426">
        <v>13918268144</v>
      </c>
      <c r="J4416" s="367" t="s">
        <v>10648</v>
      </c>
      <c r="K4416" s="470">
        <v>7274</v>
      </c>
      <c r="L4416" s="334">
        <v>8274</v>
      </c>
      <c r="M4416" s="338"/>
      <c r="N4416" s="362">
        <f t="shared" si="150"/>
        <v>8274</v>
      </c>
      <c r="X4416" s="339"/>
    </row>
    <row r="4417" s="330" customFormat="1" ht="17" customHeight="1" spans="1:24">
      <c r="A4417" s="550" t="s">
        <v>10649</v>
      </c>
      <c r="B4417" s="334" t="s">
        <v>31</v>
      </c>
      <c r="C4417" s="334" t="s">
        <v>419</v>
      </c>
      <c r="D4417" s="335" t="s">
        <v>221</v>
      </c>
      <c r="E4417" s="336">
        <v>43718</v>
      </c>
      <c r="F4417" s="336">
        <v>43710</v>
      </c>
      <c r="G4417" s="336">
        <v>43714</v>
      </c>
      <c r="H4417" s="334" t="s">
        <v>10650</v>
      </c>
      <c r="I4417" s="426">
        <v>18621508488</v>
      </c>
      <c r="J4417" s="367" t="s">
        <v>10651</v>
      </c>
      <c r="K4417" s="470">
        <v>1000</v>
      </c>
      <c r="L4417" s="334">
        <v>9537</v>
      </c>
      <c r="M4417" s="338"/>
      <c r="N4417" s="362">
        <f t="shared" si="150"/>
        <v>9537</v>
      </c>
      <c r="X4417" s="339"/>
    </row>
    <row r="4418" s="330" customFormat="1" ht="17" customHeight="1" spans="1:24">
      <c r="A4418" s="550" t="s">
        <v>7938</v>
      </c>
      <c r="B4418" s="334" t="s">
        <v>31</v>
      </c>
      <c r="C4418" s="334" t="s">
        <v>3186</v>
      </c>
      <c r="D4418" s="334" t="s">
        <v>33</v>
      </c>
      <c r="E4418" s="336">
        <v>43710</v>
      </c>
      <c r="F4418" s="336">
        <v>43707</v>
      </c>
      <c r="G4418" s="336">
        <v>43708</v>
      </c>
      <c r="H4418" s="334" t="s">
        <v>10652</v>
      </c>
      <c r="I4418" s="426">
        <v>13916868652</v>
      </c>
      <c r="J4418" s="367" t="s">
        <v>10653</v>
      </c>
      <c r="K4418" s="470">
        <v>27742</v>
      </c>
      <c r="L4418" s="334">
        <f>27742-736</f>
        <v>27006</v>
      </c>
      <c r="M4418" s="334">
        <v>736</v>
      </c>
      <c r="N4418" s="362">
        <f t="shared" si="150"/>
        <v>27742</v>
      </c>
      <c r="X4418" s="339"/>
    </row>
    <row r="4419" s="330" customFormat="1" ht="17" customHeight="1" spans="1:24">
      <c r="A4419" s="348"/>
      <c r="B4419" s="334" t="s">
        <v>31</v>
      </c>
      <c r="C4419" s="334" t="s">
        <v>3186</v>
      </c>
      <c r="D4419" s="334" t="s">
        <v>954</v>
      </c>
      <c r="E4419" s="336">
        <v>43713</v>
      </c>
      <c r="F4419" s="336">
        <v>43710</v>
      </c>
      <c r="G4419" s="336">
        <v>43713</v>
      </c>
      <c r="H4419" s="334" t="s">
        <v>10654</v>
      </c>
      <c r="I4419" s="426">
        <v>13816745851</v>
      </c>
      <c r="J4419" s="367" t="s">
        <v>10655</v>
      </c>
      <c r="K4419" s="470">
        <v>1000</v>
      </c>
      <c r="L4419" s="334">
        <v>6308</v>
      </c>
      <c r="M4419" s="334">
        <v>666</v>
      </c>
      <c r="N4419" s="362">
        <f t="shared" si="150"/>
        <v>6974</v>
      </c>
      <c r="X4419" s="339"/>
    </row>
    <row r="4420" s="330" customFormat="1" ht="17" customHeight="1" spans="1:24">
      <c r="A4420" s="550" t="s">
        <v>10656</v>
      </c>
      <c r="B4420" s="334" t="s">
        <v>35</v>
      </c>
      <c r="C4420" s="334" t="s">
        <v>392</v>
      </c>
      <c r="D4420" s="335" t="s">
        <v>37</v>
      </c>
      <c r="E4420" s="336">
        <v>43725</v>
      </c>
      <c r="F4420" s="336">
        <v>43710</v>
      </c>
      <c r="G4420" s="336">
        <v>43724</v>
      </c>
      <c r="H4420" s="334" t="s">
        <v>10657</v>
      </c>
      <c r="I4420" s="426">
        <v>18217114431</v>
      </c>
      <c r="J4420" s="367" t="s">
        <v>10658</v>
      </c>
      <c r="K4420" s="470">
        <v>13461</v>
      </c>
      <c r="L4420" s="334">
        <f>19500-1340</f>
        <v>18160</v>
      </c>
      <c r="M4420" s="334">
        <v>1340</v>
      </c>
      <c r="N4420" s="362">
        <f t="shared" si="150"/>
        <v>19500</v>
      </c>
      <c r="X4420" s="339"/>
    </row>
    <row r="4421" s="330" customFormat="1" ht="17" customHeight="1" spans="1:24">
      <c r="A4421" s="348"/>
      <c r="B4421" s="348" t="s">
        <v>169</v>
      </c>
      <c r="C4421" s="334" t="s">
        <v>634</v>
      </c>
      <c r="D4421" s="335" t="s">
        <v>635</v>
      </c>
      <c r="E4421" s="336">
        <v>43738</v>
      </c>
      <c r="F4421" s="336">
        <v>43710</v>
      </c>
      <c r="G4421" s="336">
        <v>43738</v>
      </c>
      <c r="H4421" s="334" t="s">
        <v>10659</v>
      </c>
      <c r="I4421" s="426" t="s">
        <v>10660</v>
      </c>
      <c r="J4421" s="367" t="s">
        <v>10661</v>
      </c>
      <c r="K4421" s="470">
        <v>1000</v>
      </c>
      <c r="L4421" s="334">
        <v>8600</v>
      </c>
      <c r="M4421" s="338"/>
      <c r="N4421" s="362">
        <f t="shared" si="150"/>
        <v>8600</v>
      </c>
      <c r="X4421" s="339"/>
    </row>
    <row r="4422" s="330" customFormat="1" ht="17" customHeight="1" spans="1:24">
      <c r="A4422" s="550" t="s">
        <v>10662</v>
      </c>
      <c r="B4422" s="334" t="s">
        <v>31</v>
      </c>
      <c r="C4422" s="334" t="s">
        <v>2716</v>
      </c>
      <c r="D4422" s="335" t="s">
        <v>33</v>
      </c>
      <c r="E4422" s="336">
        <v>43830</v>
      </c>
      <c r="F4422" s="336">
        <v>43710</v>
      </c>
      <c r="G4422" s="336">
        <v>43830</v>
      </c>
      <c r="H4422" s="334" t="s">
        <v>10663</v>
      </c>
      <c r="I4422" s="426">
        <v>18939928952</v>
      </c>
      <c r="J4422" s="367" t="s">
        <v>10664</v>
      </c>
      <c r="K4422" s="470">
        <v>1000</v>
      </c>
      <c r="L4422" s="334">
        <v>66132</v>
      </c>
      <c r="M4422" s="338"/>
      <c r="N4422" s="362">
        <f t="shared" si="150"/>
        <v>66132</v>
      </c>
      <c r="Q4422" s="467" t="s">
        <v>52</v>
      </c>
      <c r="X4422" s="339"/>
    </row>
    <row r="4423" s="330" customFormat="1" ht="15" customHeight="1" spans="1:24">
      <c r="A4423" s="550" t="s">
        <v>4591</v>
      </c>
      <c r="B4423" s="334" t="s">
        <v>58</v>
      </c>
      <c r="C4423" s="334" t="s">
        <v>109</v>
      </c>
      <c r="D4423" s="335" t="s">
        <v>110</v>
      </c>
      <c r="E4423" s="336">
        <v>43711</v>
      </c>
      <c r="F4423" s="336">
        <v>43711</v>
      </c>
      <c r="G4423" s="399"/>
      <c r="H4423" s="334" t="s">
        <v>10665</v>
      </c>
      <c r="I4423" s="426">
        <v>13761760356</v>
      </c>
      <c r="J4423" s="367" t="s">
        <v>10666</v>
      </c>
      <c r="K4423" s="470">
        <v>9795</v>
      </c>
      <c r="L4423" s="338"/>
      <c r="M4423" s="338"/>
      <c r="N4423" s="362">
        <f t="shared" si="150"/>
        <v>0</v>
      </c>
      <c r="U4423" s="471">
        <v>43656</v>
      </c>
      <c r="V4423" s="353"/>
      <c r="X4423" s="339"/>
    </row>
    <row r="4424" s="330" customFormat="1" ht="17" customHeight="1" spans="1:24">
      <c r="A4424" s="348"/>
      <c r="B4424" s="334" t="s">
        <v>87</v>
      </c>
      <c r="C4424" s="334" t="s">
        <v>199</v>
      </c>
      <c r="D4424" s="335" t="s">
        <v>89</v>
      </c>
      <c r="E4424" s="336">
        <v>43717</v>
      </c>
      <c r="F4424" s="336">
        <v>43711</v>
      </c>
      <c r="G4424" s="336">
        <v>43717</v>
      </c>
      <c r="H4424" s="334" t="s">
        <v>10667</v>
      </c>
      <c r="I4424" s="426">
        <v>15221542809</v>
      </c>
      <c r="J4424" s="367" t="s">
        <v>10668</v>
      </c>
      <c r="K4424" s="470">
        <v>1998</v>
      </c>
      <c r="L4424" s="334">
        <v>2834</v>
      </c>
      <c r="M4424" s="338"/>
      <c r="N4424" s="362">
        <f t="shared" si="150"/>
        <v>2834</v>
      </c>
      <c r="X4424" s="339"/>
    </row>
    <row r="4425" s="330" customFormat="1" ht="17" customHeight="1" spans="1:24">
      <c r="A4425" s="348"/>
      <c r="B4425" s="334" t="s">
        <v>137</v>
      </c>
      <c r="C4425" s="334" t="s">
        <v>861</v>
      </c>
      <c r="D4425" s="334" t="s">
        <v>443</v>
      </c>
      <c r="E4425" s="336">
        <v>43730</v>
      </c>
      <c r="F4425" s="336">
        <v>43711</v>
      </c>
      <c r="G4425" s="336">
        <v>43728</v>
      </c>
      <c r="H4425" s="334" t="s">
        <v>10669</v>
      </c>
      <c r="I4425" s="426">
        <v>18017260857</v>
      </c>
      <c r="J4425" s="367" t="s">
        <v>10670</v>
      </c>
      <c r="K4425" s="470">
        <v>1000</v>
      </c>
      <c r="L4425" s="334">
        <v>12906</v>
      </c>
      <c r="M4425" s="338"/>
      <c r="N4425" s="362">
        <f t="shared" si="150"/>
        <v>12906</v>
      </c>
      <c r="X4425" s="339"/>
    </row>
    <row r="4426" s="330" customFormat="1" ht="17" customHeight="1" spans="1:24">
      <c r="A4426" s="334"/>
      <c r="B4426" s="334" t="s">
        <v>335</v>
      </c>
      <c r="C4426" s="334" t="s">
        <v>615</v>
      </c>
      <c r="D4426" s="334" t="s">
        <v>337</v>
      </c>
      <c r="E4426" s="336">
        <v>43710</v>
      </c>
      <c r="F4426" s="336" t="s">
        <v>800</v>
      </c>
      <c r="G4426" s="336">
        <v>43709</v>
      </c>
      <c r="H4426" s="334" t="s">
        <v>10671</v>
      </c>
      <c r="I4426" s="334">
        <v>15921506740</v>
      </c>
      <c r="J4426" s="361" t="s">
        <v>10672</v>
      </c>
      <c r="K4426" s="337"/>
      <c r="L4426" s="334"/>
      <c r="M4426" s="334">
        <v>1299</v>
      </c>
      <c r="N4426" s="362">
        <f t="shared" si="150"/>
        <v>1299</v>
      </c>
      <c r="X4426" s="339"/>
    </row>
    <row r="4427" s="330" customFormat="1" ht="17" customHeight="1" spans="1:24">
      <c r="A4427" s="334"/>
      <c r="B4427" s="334" t="s">
        <v>66</v>
      </c>
      <c r="C4427" s="334" t="s">
        <v>119</v>
      </c>
      <c r="D4427" s="334" t="s">
        <v>33</v>
      </c>
      <c r="E4427" s="336">
        <v>43710</v>
      </c>
      <c r="F4427" s="336" t="s">
        <v>800</v>
      </c>
      <c r="G4427" s="336">
        <v>43708</v>
      </c>
      <c r="H4427" s="334" t="s">
        <v>10673</v>
      </c>
      <c r="I4427" s="356">
        <v>13816526285</v>
      </c>
      <c r="J4427" s="361" t="s">
        <v>10674</v>
      </c>
      <c r="K4427" s="337"/>
      <c r="L4427" s="334"/>
      <c r="M4427" s="334">
        <v>5513</v>
      </c>
      <c r="N4427" s="362">
        <f t="shared" si="150"/>
        <v>5513</v>
      </c>
      <c r="X4427" s="339"/>
    </row>
    <row r="4428" s="330" customFormat="1" ht="17" customHeight="1" spans="1:24">
      <c r="A4428" s="334"/>
      <c r="B4428" s="334" t="s">
        <v>147</v>
      </c>
      <c r="C4428" s="334" t="s">
        <v>148</v>
      </c>
      <c r="D4428" s="334" t="s">
        <v>1170</v>
      </c>
      <c r="E4428" s="336">
        <v>43710</v>
      </c>
      <c r="F4428" s="336"/>
      <c r="G4428" s="336">
        <v>43702</v>
      </c>
      <c r="H4428" s="334" t="s">
        <v>1928</v>
      </c>
      <c r="I4428" s="334">
        <v>18900976005</v>
      </c>
      <c r="J4428" s="367" t="s">
        <v>10675</v>
      </c>
      <c r="K4428" s="337"/>
      <c r="L4428" s="334">
        <v>4506</v>
      </c>
      <c r="M4428" s="338"/>
      <c r="N4428" s="362">
        <f t="shared" si="150"/>
        <v>4506</v>
      </c>
      <c r="X4428" s="339"/>
    </row>
    <row r="4429" s="330" customFormat="1" ht="17" customHeight="1" spans="1:24">
      <c r="A4429" s="334"/>
      <c r="B4429" s="334" t="s">
        <v>58</v>
      </c>
      <c r="C4429" s="334" t="s">
        <v>347</v>
      </c>
      <c r="D4429" s="334" t="s">
        <v>343</v>
      </c>
      <c r="E4429" s="336">
        <v>43710</v>
      </c>
      <c r="F4429" s="336"/>
      <c r="G4429" s="336">
        <v>43709</v>
      </c>
      <c r="H4429" s="334" t="s">
        <v>10676</v>
      </c>
      <c r="I4429" s="334">
        <v>18221313617</v>
      </c>
      <c r="J4429" s="367" t="s">
        <v>10677</v>
      </c>
      <c r="K4429" s="337"/>
      <c r="L4429" s="334">
        <f>5348-736</f>
        <v>4612</v>
      </c>
      <c r="M4429" s="334">
        <v>736</v>
      </c>
      <c r="N4429" s="362">
        <f t="shared" si="150"/>
        <v>5348</v>
      </c>
      <c r="X4429" s="339"/>
    </row>
    <row r="4430" s="330" customFormat="1" ht="17" customHeight="1" spans="1:24">
      <c r="A4430" s="334"/>
      <c r="B4430" s="348" t="s">
        <v>236</v>
      </c>
      <c r="C4430" s="348" t="s">
        <v>195</v>
      </c>
      <c r="D4430" s="334" t="s">
        <v>37</v>
      </c>
      <c r="E4430" s="336">
        <v>43710</v>
      </c>
      <c r="F4430" s="336"/>
      <c r="G4430" s="336">
        <v>43702</v>
      </c>
      <c r="H4430" s="334" t="s">
        <v>6768</v>
      </c>
      <c r="I4430" s="334">
        <v>18017761231</v>
      </c>
      <c r="J4430" s="361" t="s">
        <v>10678</v>
      </c>
      <c r="K4430" s="337"/>
      <c r="L4430" s="334">
        <f>1144-1340</f>
        <v>-196</v>
      </c>
      <c r="M4430" s="334">
        <v>1340</v>
      </c>
      <c r="N4430" s="362">
        <f t="shared" si="150"/>
        <v>1144</v>
      </c>
      <c r="X4430" s="339"/>
    </row>
    <row r="4431" s="330" customFormat="1" ht="17" customHeight="1" spans="1:24">
      <c r="A4431" s="334"/>
      <c r="B4431" s="334" t="s">
        <v>185</v>
      </c>
      <c r="C4431" s="334" t="s">
        <v>186</v>
      </c>
      <c r="D4431" s="334" t="s">
        <v>44</v>
      </c>
      <c r="E4431" s="336">
        <v>43711</v>
      </c>
      <c r="F4431" s="336"/>
      <c r="G4431" s="336">
        <v>43710</v>
      </c>
      <c r="H4431" s="334" t="s">
        <v>10679</v>
      </c>
      <c r="I4431" s="334">
        <v>13917346779</v>
      </c>
      <c r="J4431" s="367" t="s">
        <v>10680</v>
      </c>
      <c r="K4431" s="337"/>
      <c r="L4431" s="334">
        <v>8023</v>
      </c>
      <c r="M4431" s="338"/>
      <c r="N4431" s="362">
        <f t="shared" si="150"/>
        <v>8023</v>
      </c>
      <c r="X4431" s="339"/>
    </row>
    <row r="4432" s="330" customFormat="1" ht="17" customHeight="1" spans="1:24">
      <c r="A4432" s="334"/>
      <c r="B4432" s="348" t="s">
        <v>153</v>
      </c>
      <c r="C4432" s="348" t="s">
        <v>154</v>
      </c>
      <c r="D4432" s="352" t="s">
        <v>155</v>
      </c>
      <c r="E4432" s="336">
        <v>43711</v>
      </c>
      <c r="F4432" s="336"/>
      <c r="G4432" s="336">
        <v>43710</v>
      </c>
      <c r="H4432" s="334" t="s">
        <v>10681</v>
      </c>
      <c r="I4432" s="334" t="s">
        <v>10682</v>
      </c>
      <c r="J4432" s="367" t="s">
        <v>10683</v>
      </c>
      <c r="K4432" s="337"/>
      <c r="L4432" s="334">
        <v>18362</v>
      </c>
      <c r="M4432" s="338"/>
      <c r="N4432" s="362">
        <f t="shared" si="150"/>
        <v>18362</v>
      </c>
      <c r="X4432" s="339"/>
    </row>
    <row r="4433" s="330" customFormat="1" ht="17" customHeight="1" spans="1:24">
      <c r="A4433" s="334"/>
      <c r="B4433" s="334" t="s">
        <v>315</v>
      </c>
      <c r="C4433" s="334" t="s">
        <v>230</v>
      </c>
      <c r="D4433" s="334" t="s">
        <v>132</v>
      </c>
      <c r="E4433" s="336">
        <v>43711</v>
      </c>
      <c r="F4433" s="336"/>
      <c r="G4433" s="336">
        <v>43711</v>
      </c>
      <c r="H4433" s="334" t="s">
        <v>10684</v>
      </c>
      <c r="I4433" s="334">
        <v>18821188288</v>
      </c>
      <c r="J4433" s="367" t="s">
        <v>10685</v>
      </c>
      <c r="K4433" s="337"/>
      <c r="L4433" s="334">
        <v>19836</v>
      </c>
      <c r="M4433" s="338"/>
      <c r="N4433" s="362">
        <f t="shared" si="150"/>
        <v>19836</v>
      </c>
      <c r="X4433" s="339"/>
    </row>
    <row r="4434" s="330" customFormat="1" ht="15" customHeight="1" spans="1:24">
      <c r="A4434" s="334"/>
      <c r="B4434" s="348" t="s">
        <v>31</v>
      </c>
      <c r="C4434" s="348" t="s">
        <v>220</v>
      </c>
      <c r="D4434" s="334" t="s">
        <v>33</v>
      </c>
      <c r="E4434" s="336">
        <v>43710</v>
      </c>
      <c r="F4434" s="336" t="s">
        <v>800</v>
      </c>
      <c r="G4434" s="336">
        <v>43709</v>
      </c>
      <c r="H4434" s="334" t="s">
        <v>10100</v>
      </c>
      <c r="I4434" s="334">
        <v>1616590505</v>
      </c>
      <c r="J4434" s="367" t="s">
        <v>10686</v>
      </c>
      <c r="K4434" s="337"/>
      <c r="L4434" s="338"/>
      <c r="M4434" s="334">
        <v>664</v>
      </c>
      <c r="N4434" s="362">
        <f t="shared" si="150"/>
        <v>664</v>
      </c>
      <c r="X4434" s="339"/>
    </row>
    <row r="4435" s="330" customFormat="1" ht="15" customHeight="1" spans="1:24">
      <c r="A4435" s="334"/>
      <c r="B4435" s="348" t="s">
        <v>805</v>
      </c>
      <c r="C4435" s="348" t="s">
        <v>4935</v>
      </c>
      <c r="D4435" s="349" t="s">
        <v>171</v>
      </c>
      <c r="E4435" s="336">
        <v>43710</v>
      </c>
      <c r="F4435" s="336" t="s">
        <v>800</v>
      </c>
      <c r="G4435" s="336">
        <v>43709</v>
      </c>
      <c r="H4435" s="334" t="s">
        <v>4936</v>
      </c>
      <c r="I4435" s="356">
        <v>13301909331</v>
      </c>
      <c r="J4435" s="361" t="s">
        <v>4937</v>
      </c>
      <c r="K4435" s="337"/>
      <c r="L4435" s="338"/>
      <c r="M4435" s="334">
        <v>408</v>
      </c>
      <c r="N4435" s="362">
        <f t="shared" si="150"/>
        <v>408</v>
      </c>
      <c r="X4435" s="339"/>
    </row>
    <row r="4436" s="330" customFormat="1" ht="15" customHeight="1" spans="1:24">
      <c r="A4436" s="334"/>
      <c r="B4436" s="348" t="s">
        <v>137</v>
      </c>
      <c r="C4436" s="348" t="s">
        <v>411</v>
      </c>
      <c r="D4436" s="349" t="s">
        <v>139</v>
      </c>
      <c r="E4436" s="336">
        <v>43710</v>
      </c>
      <c r="F4436" s="336" t="s">
        <v>800</v>
      </c>
      <c r="G4436" s="336">
        <v>43710</v>
      </c>
      <c r="H4436" s="334" t="s">
        <v>6131</v>
      </c>
      <c r="I4436" s="444">
        <v>15269198505</v>
      </c>
      <c r="J4436" s="361" t="s">
        <v>6132</v>
      </c>
      <c r="K4436" s="337"/>
      <c r="L4436" s="338"/>
      <c r="M4436" s="334">
        <v>734</v>
      </c>
      <c r="N4436" s="362">
        <f t="shared" si="150"/>
        <v>734</v>
      </c>
      <c r="X4436" s="339"/>
    </row>
    <row r="4437" s="330" customFormat="1" ht="15" customHeight="1" spans="1:24">
      <c r="A4437" s="334"/>
      <c r="B4437" s="348" t="s">
        <v>73</v>
      </c>
      <c r="C4437" s="348" t="s">
        <v>74</v>
      </c>
      <c r="D4437" s="334" t="s">
        <v>68</v>
      </c>
      <c r="E4437" s="336">
        <v>43710</v>
      </c>
      <c r="F4437" s="336" t="s">
        <v>800</v>
      </c>
      <c r="G4437" s="336">
        <v>43711</v>
      </c>
      <c r="H4437" s="334" t="s">
        <v>10176</v>
      </c>
      <c r="I4437" s="334">
        <v>13918426465</v>
      </c>
      <c r="J4437" s="367" t="s">
        <v>10178</v>
      </c>
      <c r="K4437" s="337"/>
      <c r="L4437" s="338"/>
      <c r="M4437" s="334">
        <v>-1708</v>
      </c>
      <c r="N4437" s="362">
        <f t="shared" si="150"/>
        <v>-1708</v>
      </c>
      <c r="X4437" s="339"/>
    </row>
    <row r="4438" s="330" customFormat="1" ht="15" customHeight="1" spans="1:24">
      <c r="A4438" s="334"/>
      <c r="B4438" s="334" t="s">
        <v>315</v>
      </c>
      <c r="C4438" s="334" t="s">
        <v>275</v>
      </c>
      <c r="D4438" s="334" t="s">
        <v>162</v>
      </c>
      <c r="E4438" s="336">
        <v>43710</v>
      </c>
      <c r="F4438" s="336" t="s">
        <v>800</v>
      </c>
      <c r="G4438" s="336">
        <v>43709</v>
      </c>
      <c r="H4438" s="334" t="s">
        <v>10203</v>
      </c>
      <c r="I4438" s="334">
        <v>13917788083</v>
      </c>
      <c r="J4438" s="367" t="s">
        <v>10204</v>
      </c>
      <c r="K4438" s="337"/>
      <c r="L4438" s="338"/>
      <c r="M4438" s="334">
        <v>1357</v>
      </c>
      <c r="N4438" s="362">
        <f t="shared" si="150"/>
        <v>1357</v>
      </c>
      <c r="X4438" s="339"/>
    </row>
    <row r="4439" s="330" customFormat="1" ht="17" customHeight="1" spans="1:24">
      <c r="A4439" s="334"/>
      <c r="B4439" s="334" t="s">
        <v>73</v>
      </c>
      <c r="C4439" s="334" t="s">
        <v>74</v>
      </c>
      <c r="D4439" s="334" t="s">
        <v>33</v>
      </c>
      <c r="E4439" s="336">
        <v>43710</v>
      </c>
      <c r="F4439" s="336" t="s">
        <v>800</v>
      </c>
      <c r="G4439" s="336">
        <v>43710</v>
      </c>
      <c r="H4439" s="334" t="s">
        <v>10687</v>
      </c>
      <c r="I4439" s="334">
        <v>18618499880</v>
      </c>
      <c r="J4439" s="367" t="s">
        <v>10688</v>
      </c>
      <c r="K4439" s="337"/>
      <c r="L4439" s="338"/>
      <c r="M4439" s="334">
        <v>1248</v>
      </c>
      <c r="N4439" s="362">
        <f t="shared" si="150"/>
        <v>1248</v>
      </c>
      <c r="X4439" s="339"/>
    </row>
    <row r="4440" s="330" customFormat="1" ht="15" customHeight="1" spans="1:24">
      <c r="A4440" s="334"/>
      <c r="B4440" s="348" t="s">
        <v>315</v>
      </c>
      <c r="C4440" s="334" t="s">
        <v>275</v>
      </c>
      <c r="D4440" s="349" t="s">
        <v>132</v>
      </c>
      <c r="E4440" s="336">
        <v>43710</v>
      </c>
      <c r="F4440" s="336" t="s">
        <v>800</v>
      </c>
      <c r="G4440" s="336">
        <v>43710</v>
      </c>
      <c r="H4440" s="334" t="s">
        <v>7721</v>
      </c>
      <c r="I4440" s="334">
        <v>13916495660</v>
      </c>
      <c r="J4440" s="367" t="s">
        <v>10689</v>
      </c>
      <c r="K4440" s="337"/>
      <c r="L4440" s="338"/>
      <c r="M4440" s="334">
        <v>249</v>
      </c>
      <c r="N4440" s="362">
        <f t="shared" si="150"/>
        <v>249</v>
      </c>
      <c r="X4440" s="339"/>
    </row>
    <row r="4441" s="330" customFormat="1" ht="15" customHeight="1" spans="1:24">
      <c r="A4441" s="334"/>
      <c r="B4441" s="348" t="s">
        <v>236</v>
      </c>
      <c r="C4441" s="348" t="s">
        <v>703</v>
      </c>
      <c r="D4441" s="349" t="s">
        <v>37</v>
      </c>
      <c r="E4441" s="336">
        <v>43711</v>
      </c>
      <c r="F4441" s="336" t="s">
        <v>800</v>
      </c>
      <c r="G4441" s="336">
        <v>43706</v>
      </c>
      <c r="H4441" s="334" t="s">
        <v>4752</v>
      </c>
      <c r="I4441" s="334">
        <v>13611828723</v>
      </c>
      <c r="J4441" s="367" t="s">
        <v>10690</v>
      </c>
      <c r="K4441" s="337"/>
      <c r="L4441" s="338"/>
      <c r="M4441" s="334">
        <v>1520</v>
      </c>
      <c r="N4441" s="362">
        <f t="shared" si="150"/>
        <v>1520</v>
      </c>
      <c r="X4441" s="339"/>
    </row>
    <row r="4442" s="330" customFormat="1" ht="15" customHeight="1" spans="1:24">
      <c r="A4442" s="334"/>
      <c r="B4442" s="348" t="s">
        <v>47</v>
      </c>
      <c r="C4442" s="334" t="s">
        <v>80</v>
      </c>
      <c r="D4442" s="352" t="s">
        <v>49</v>
      </c>
      <c r="E4442" s="336">
        <v>43710</v>
      </c>
      <c r="F4442" s="336" t="s">
        <v>800</v>
      </c>
      <c r="G4442" s="336">
        <v>43710</v>
      </c>
      <c r="H4442" s="334" t="s">
        <v>2409</v>
      </c>
      <c r="I4442" s="334">
        <v>13585596776</v>
      </c>
      <c r="J4442" s="367" t="s">
        <v>10691</v>
      </c>
      <c r="K4442" s="337"/>
      <c r="L4442" s="338"/>
      <c r="M4442" s="334">
        <v>1658</v>
      </c>
      <c r="N4442" s="362">
        <f t="shared" si="150"/>
        <v>1658</v>
      </c>
      <c r="X4442" s="339"/>
    </row>
    <row r="4443" s="330" customFormat="1" ht="15" customHeight="1" spans="1:24">
      <c r="A4443" s="334"/>
      <c r="B4443" s="348" t="s">
        <v>2625</v>
      </c>
      <c r="C4443" s="348" t="s">
        <v>2626</v>
      </c>
      <c r="D4443" s="334" t="s">
        <v>44</v>
      </c>
      <c r="E4443" s="336">
        <v>43710</v>
      </c>
      <c r="F4443" s="336" t="s">
        <v>800</v>
      </c>
      <c r="G4443" s="336">
        <v>43710</v>
      </c>
      <c r="H4443" s="334" t="s">
        <v>7916</v>
      </c>
      <c r="I4443" s="334">
        <v>13585982640</v>
      </c>
      <c r="J4443" s="367" t="s">
        <v>7917</v>
      </c>
      <c r="K4443" s="337"/>
      <c r="L4443" s="338"/>
      <c r="M4443" s="334">
        <v>1400</v>
      </c>
      <c r="N4443" s="362">
        <f t="shared" si="150"/>
        <v>1400</v>
      </c>
      <c r="X4443" s="339"/>
    </row>
    <row r="4444" s="330" customFormat="1" ht="15" customHeight="1" spans="1:24">
      <c r="A4444" s="334"/>
      <c r="B4444" s="348" t="s">
        <v>335</v>
      </c>
      <c r="C4444" s="334" t="s">
        <v>615</v>
      </c>
      <c r="D4444" s="334" t="s">
        <v>337</v>
      </c>
      <c r="E4444" s="336">
        <v>43711</v>
      </c>
      <c r="F4444" s="336" t="s">
        <v>800</v>
      </c>
      <c r="G4444" s="336">
        <v>43711</v>
      </c>
      <c r="H4444" s="334" t="s">
        <v>1895</v>
      </c>
      <c r="I4444" s="334">
        <v>13382079889</v>
      </c>
      <c r="J4444" s="367" t="s">
        <v>1896</v>
      </c>
      <c r="K4444" s="337"/>
      <c r="L4444" s="338"/>
      <c r="M4444" s="334">
        <v>2738</v>
      </c>
      <c r="N4444" s="362">
        <f t="shared" si="150"/>
        <v>2738</v>
      </c>
      <c r="X4444" s="339"/>
    </row>
    <row r="4445" s="330" customFormat="1" ht="15" customHeight="1" spans="1:24">
      <c r="A4445" s="334"/>
      <c r="B4445" s="348" t="s">
        <v>185</v>
      </c>
      <c r="C4445" s="334" t="s">
        <v>886</v>
      </c>
      <c r="D4445" s="349" t="s">
        <v>44</v>
      </c>
      <c r="E4445" s="336">
        <v>43711</v>
      </c>
      <c r="F4445" s="336" t="s">
        <v>800</v>
      </c>
      <c r="G4445" s="336">
        <v>43710</v>
      </c>
      <c r="H4445" s="334" t="s">
        <v>6604</v>
      </c>
      <c r="I4445" s="334">
        <v>13524208889</v>
      </c>
      <c r="J4445" s="367" t="s">
        <v>6609</v>
      </c>
      <c r="K4445" s="337"/>
      <c r="L4445" s="338"/>
      <c r="M4445" s="334">
        <v>1030</v>
      </c>
      <c r="N4445" s="362">
        <f t="shared" si="150"/>
        <v>1030</v>
      </c>
      <c r="X4445" s="339"/>
    </row>
    <row r="4446" s="330" customFormat="1" ht="15" customHeight="1" spans="1:24">
      <c r="A4446" s="334"/>
      <c r="B4446" s="334" t="s">
        <v>185</v>
      </c>
      <c r="C4446" s="334" t="s">
        <v>1620</v>
      </c>
      <c r="D4446" s="335" t="s">
        <v>143</v>
      </c>
      <c r="E4446" s="336">
        <v>43711</v>
      </c>
      <c r="F4446" s="336" t="s">
        <v>800</v>
      </c>
      <c r="G4446" s="336">
        <v>43709</v>
      </c>
      <c r="H4446" s="334" t="s">
        <v>10437</v>
      </c>
      <c r="I4446" s="334">
        <v>13524852096</v>
      </c>
      <c r="J4446" s="367" t="s">
        <v>10692</v>
      </c>
      <c r="K4446" s="337"/>
      <c r="L4446" s="338"/>
      <c r="M4446" s="334">
        <f>536-6136</f>
        <v>-5600</v>
      </c>
      <c r="N4446" s="362">
        <f t="shared" si="150"/>
        <v>-5600</v>
      </c>
      <c r="X4446" s="339"/>
    </row>
    <row r="4447" s="330" customFormat="1" ht="15" customHeight="1" spans="1:24">
      <c r="A4447" s="334"/>
      <c r="B4447" s="348" t="s">
        <v>185</v>
      </c>
      <c r="C4447" s="348" t="s">
        <v>1133</v>
      </c>
      <c r="D4447" s="349" t="s">
        <v>89</v>
      </c>
      <c r="E4447" s="336">
        <v>43711</v>
      </c>
      <c r="F4447" s="336" t="s">
        <v>800</v>
      </c>
      <c r="G4447" s="336">
        <v>43710</v>
      </c>
      <c r="H4447" s="334" t="s">
        <v>5300</v>
      </c>
      <c r="I4447" s="334">
        <v>13917893482</v>
      </c>
      <c r="J4447" s="367" t="s">
        <v>10693</v>
      </c>
      <c r="K4447" s="337"/>
      <c r="L4447" s="338"/>
      <c r="M4447" s="334">
        <v>1332</v>
      </c>
      <c r="N4447" s="362">
        <f t="shared" si="150"/>
        <v>1332</v>
      </c>
      <c r="X4447" s="339"/>
    </row>
    <row r="4448" s="330" customFormat="1" ht="15" customHeight="1" spans="1:24">
      <c r="A4448" s="334"/>
      <c r="B4448" s="348" t="s">
        <v>185</v>
      </c>
      <c r="C4448" s="348" t="s">
        <v>186</v>
      </c>
      <c r="D4448" s="334" t="s">
        <v>37</v>
      </c>
      <c r="E4448" s="336">
        <v>43711</v>
      </c>
      <c r="F4448" s="336" t="s">
        <v>800</v>
      </c>
      <c r="G4448" s="336">
        <v>43708</v>
      </c>
      <c r="H4448" s="334" t="s">
        <v>963</v>
      </c>
      <c r="I4448" s="334">
        <v>15000159852</v>
      </c>
      <c r="J4448" s="367" t="s">
        <v>10694</v>
      </c>
      <c r="K4448" s="337"/>
      <c r="L4448" s="338"/>
      <c r="M4448" s="334">
        <f>674</f>
        <v>674</v>
      </c>
      <c r="N4448" s="362">
        <f t="shared" si="150"/>
        <v>674</v>
      </c>
      <c r="X4448" s="339"/>
    </row>
    <row r="4449" s="330" customFormat="1" ht="17" customHeight="1" spans="1:24">
      <c r="A4449" s="334"/>
      <c r="B4449" s="334" t="s">
        <v>31</v>
      </c>
      <c r="C4449" s="334" t="s">
        <v>220</v>
      </c>
      <c r="D4449" s="334" t="s">
        <v>33</v>
      </c>
      <c r="E4449" s="336">
        <v>43711</v>
      </c>
      <c r="F4449" s="336" t="s">
        <v>800</v>
      </c>
      <c r="G4449" s="336">
        <v>43711</v>
      </c>
      <c r="H4449" s="334" t="s">
        <v>10695</v>
      </c>
      <c r="I4449" s="334">
        <v>13901704243</v>
      </c>
      <c r="J4449" s="367" t="s">
        <v>10696</v>
      </c>
      <c r="K4449" s="337"/>
      <c r="L4449" s="338"/>
      <c r="M4449" s="334">
        <v>496</v>
      </c>
      <c r="N4449" s="362">
        <f t="shared" si="150"/>
        <v>496</v>
      </c>
      <c r="X4449" s="339"/>
    </row>
    <row r="4450" s="330" customFormat="1" ht="17" customHeight="1" spans="1:24">
      <c r="A4450" s="334"/>
      <c r="B4450" s="334" t="s">
        <v>87</v>
      </c>
      <c r="C4450" s="334" t="s">
        <v>199</v>
      </c>
      <c r="D4450" s="334" t="s">
        <v>89</v>
      </c>
      <c r="E4450" s="336">
        <v>43711</v>
      </c>
      <c r="F4450" s="336" t="s">
        <v>800</v>
      </c>
      <c r="G4450" s="336">
        <v>43711</v>
      </c>
      <c r="H4450" s="334" t="s">
        <v>10697</v>
      </c>
      <c r="I4450" s="334">
        <v>18602127733</v>
      </c>
      <c r="J4450" s="361" t="s">
        <v>10698</v>
      </c>
      <c r="K4450" s="337"/>
      <c r="L4450" s="338"/>
      <c r="M4450" s="334">
        <v>1599</v>
      </c>
      <c r="N4450" s="362">
        <f t="shared" si="150"/>
        <v>1599</v>
      </c>
      <c r="X4450" s="339"/>
    </row>
    <row r="4451" s="330" customFormat="1" ht="17" customHeight="1" spans="1:24">
      <c r="A4451" s="334"/>
      <c r="B4451" s="334" t="s">
        <v>87</v>
      </c>
      <c r="C4451" s="334" t="s">
        <v>199</v>
      </c>
      <c r="D4451" s="334" t="s">
        <v>89</v>
      </c>
      <c r="E4451" s="336">
        <v>43711</v>
      </c>
      <c r="F4451" s="336" t="s">
        <v>800</v>
      </c>
      <c r="G4451" s="336">
        <v>43711</v>
      </c>
      <c r="H4451" s="334" t="s">
        <v>10699</v>
      </c>
      <c r="I4451" s="334">
        <v>13817790331</v>
      </c>
      <c r="J4451" s="367" t="s">
        <v>10700</v>
      </c>
      <c r="K4451" s="337"/>
      <c r="L4451" s="338"/>
      <c r="M4451" s="334">
        <v>3398</v>
      </c>
      <c r="N4451" s="362">
        <f t="shared" si="150"/>
        <v>3398</v>
      </c>
      <c r="X4451" s="339"/>
    </row>
    <row r="4452" s="330" customFormat="1" ht="15" customHeight="1" spans="1:24">
      <c r="A4452" s="348">
        <v>2023255</v>
      </c>
      <c r="B4452" s="334" t="s">
        <v>94</v>
      </c>
      <c r="C4452" s="334" t="s">
        <v>101</v>
      </c>
      <c r="D4452" s="335" t="s">
        <v>49</v>
      </c>
      <c r="E4452" s="336">
        <v>43712</v>
      </c>
      <c r="F4452" s="336">
        <v>43710</v>
      </c>
      <c r="G4452" s="353" t="s">
        <v>469</v>
      </c>
      <c r="H4452" s="334" t="s">
        <v>10701</v>
      </c>
      <c r="I4452" s="426">
        <v>13505906361</v>
      </c>
      <c r="J4452" s="367" t="s">
        <v>10702</v>
      </c>
      <c r="K4452" s="470">
        <v>1000</v>
      </c>
      <c r="L4452" s="338"/>
      <c r="M4452" s="338"/>
      <c r="N4452" s="362">
        <f t="shared" ref="N4452:N4473" si="151">L4452+M4452</f>
        <v>0</v>
      </c>
      <c r="X4452" s="339"/>
    </row>
    <row r="4453" s="330" customFormat="1" ht="15" customHeight="1" spans="1:24">
      <c r="A4453" s="550" t="s">
        <v>10703</v>
      </c>
      <c r="B4453" s="334" t="s">
        <v>153</v>
      </c>
      <c r="C4453" s="334" t="s">
        <v>302</v>
      </c>
      <c r="D4453" s="335" t="s">
        <v>155</v>
      </c>
      <c r="E4453" s="336">
        <v>43712</v>
      </c>
      <c r="F4453" s="336">
        <v>43711</v>
      </c>
      <c r="G4453" s="399" t="s">
        <v>231</v>
      </c>
      <c r="H4453" s="334" t="s">
        <v>10704</v>
      </c>
      <c r="I4453" s="426">
        <v>16621757216</v>
      </c>
      <c r="J4453" s="367" t="s">
        <v>10705</v>
      </c>
      <c r="K4453" s="470">
        <v>1000</v>
      </c>
      <c r="L4453" s="338"/>
      <c r="M4453" s="338"/>
      <c r="N4453" s="362">
        <f t="shared" si="151"/>
        <v>0</v>
      </c>
      <c r="V4453" s="330" t="s">
        <v>1328</v>
      </c>
      <c r="X4453" s="339"/>
    </row>
    <row r="4454" s="330" customFormat="1" ht="15" customHeight="1" spans="1:24">
      <c r="A4454" s="550" t="s">
        <v>10706</v>
      </c>
      <c r="B4454" s="334" t="s">
        <v>66</v>
      </c>
      <c r="C4454" s="334" t="s">
        <v>1749</v>
      </c>
      <c r="D4454" s="335" t="s">
        <v>68</v>
      </c>
      <c r="E4454" s="336">
        <v>43712</v>
      </c>
      <c r="F4454" s="336">
        <v>43712</v>
      </c>
      <c r="G4454" s="399"/>
      <c r="H4454" s="334" t="s">
        <v>10707</v>
      </c>
      <c r="I4454" s="426">
        <v>13472535440</v>
      </c>
      <c r="J4454" s="367" t="s">
        <v>10708</v>
      </c>
      <c r="K4454" s="470">
        <v>1000</v>
      </c>
      <c r="L4454" s="338"/>
      <c r="M4454" s="338"/>
      <c r="N4454" s="362">
        <f t="shared" si="151"/>
        <v>0</v>
      </c>
      <c r="P4454" s="366" t="s">
        <v>52</v>
      </c>
      <c r="U4454" s="385" t="s">
        <v>52</v>
      </c>
      <c r="X4454" s="339"/>
    </row>
    <row r="4455" s="330" customFormat="1" ht="15" customHeight="1" spans="1:24">
      <c r="A4455" s="348"/>
      <c r="B4455" s="334" t="s">
        <v>137</v>
      </c>
      <c r="C4455" s="334" t="s">
        <v>406</v>
      </c>
      <c r="D4455" s="334" t="s">
        <v>2381</v>
      </c>
      <c r="E4455" s="336">
        <v>43737</v>
      </c>
      <c r="F4455" s="336">
        <v>43711</v>
      </c>
      <c r="G4455" s="336">
        <v>43736</v>
      </c>
      <c r="H4455" s="334" t="s">
        <v>10709</v>
      </c>
      <c r="I4455" s="426">
        <v>1802190688</v>
      </c>
      <c r="J4455" s="367" t="s">
        <v>10710</v>
      </c>
      <c r="K4455" s="470">
        <v>7000</v>
      </c>
      <c r="L4455" s="334">
        <v>7999</v>
      </c>
      <c r="M4455" s="338"/>
      <c r="N4455" s="362">
        <f t="shared" si="151"/>
        <v>7999</v>
      </c>
      <c r="X4455" s="339"/>
    </row>
    <row r="4456" s="330" customFormat="1" ht="15" customHeight="1" spans="1:24">
      <c r="A4456" s="348"/>
      <c r="B4456" s="334" t="s">
        <v>137</v>
      </c>
      <c r="C4456" s="334" t="s">
        <v>480</v>
      </c>
      <c r="D4456" s="334" t="s">
        <v>139</v>
      </c>
      <c r="E4456" s="336">
        <v>43712</v>
      </c>
      <c r="F4456" s="336">
        <v>43710</v>
      </c>
      <c r="G4456" s="399">
        <v>43710</v>
      </c>
      <c r="H4456" s="334" t="s">
        <v>10711</v>
      </c>
      <c r="I4456" s="426">
        <v>13818580667</v>
      </c>
      <c r="J4456" s="367" t="s">
        <v>10712</v>
      </c>
      <c r="K4456" s="470">
        <v>5996</v>
      </c>
      <c r="L4456" s="334">
        <v>5996</v>
      </c>
      <c r="M4456" s="338"/>
      <c r="N4456" s="362">
        <f t="shared" si="151"/>
        <v>5996</v>
      </c>
      <c r="X4456" s="339"/>
    </row>
    <row r="4457" s="330" customFormat="1" ht="15" customHeight="1" spans="1:24">
      <c r="A4457" s="550" t="s">
        <v>10713</v>
      </c>
      <c r="B4457" s="334" t="s">
        <v>87</v>
      </c>
      <c r="C4457" s="334" t="s">
        <v>199</v>
      </c>
      <c r="D4457" s="335" t="s">
        <v>89</v>
      </c>
      <c r="E4457" s="336">
        <v>43717</v>
      </c>
      <c r="F4457" s="336">
        <v>43712</v>
      </c>
      <c r="G4457" s="336">
        <v>43716</v>
      </c>
      <c r="H4457" s="334" t="s">
        <v>10714</v>
      </c>
      <c r="I4457" s="426">
        <v>13816949132</v>
      </c>
      <c r="J4457" s="367" t="s">
        <v>10715</v>
      </c>
      <c r="K4457" s="470">
        <v>1000</v>
      </c>
      <c r="L4457" s="334">
        <v>28852</v>
      </c>
      <c r="M4457" s="338"/>
      <c r="N4457" s="362">
        <f t="shared" si="151"/>
        <v>28852</v>
      </c>
      <c r="X4457" s="339"/>
    </row>
    <row r="4458" s="330" customFormat="1" ht="15" customHeight="1" spans="1:24">
      <c r="A4458" s="348"/>
      <c r="B4458" s="334" t="s">
        <v>66</v>
      </c>
      <c r="C4458" s="334" t="s">
        <v>67</v>
      </c>
      <c r="D4458" s="335" t="s">
        <v>1436</v>
      </c>
      <c r="E4458" s="336">
        <v>43712</v>
      </c>
      <c r="F4458" s="336">
        <v>43712</v>
      </c>
      <c r="G4458" s="399"/>
      <c r="H4458" s="334" t="s">
        <v>10716</v>
      </c>
      <c r="I4458" s="426">
        <v>13917622136</v>
      </c>
      <c r="J4458" s="367" t="s">
        <v>10717</v>
      </c>
      <c r="K4458" s="470">
        <v>5997</v>
      </c>
      <c r="L4458" s="338"/>
      <c r="M4458" s="338"/>
      <c r="N4458" s="362">
        <f t="shared" si="151"/>
        <v>0</v>
      </c>
      <c r="Q4458" s="330" t="s">
        <v>52</v>
      </c>
      <c r="X4458" s="339"/>
    </row>
    <row r="4459" s="330" customFormat="1" ht="15" customHeight="1" spans="1:24">
      <c r="A4459" s="550" t="s">
        <v>10718</v>
      </c>
      <c r="B4459" s="334" t="s">
        <v>66</v>
      </c>
      <c r="C4459" s="334" t="s">
        <v>951</v>
      </c>
      <c r="D4459" s="334" t="s">
        <v>2302</v>
      </c>
      <c r="E4459" s="336">
        <v>43715</v>
      </c>
      <c r="F4459" s="336">
        <v>43712</v>
      </c>
      <c r="G4459" s="336">
        <v>43713</v>
      </c>
      <c r="H4459" s="334" t="s">
        <v>10719</v>
      </c>
      <c r="I4459" s="426">
        <v>15921326908</v>
      </c>
      <c r="J4459" s="367" t="s">
        <v>10720</v>
      </c>
      <c r="K4459" s="470">
        <v>1000</v>
      </c>
      <c r="L4459" s="334">
        <v>2439</v>
      </c>
      <c r="M4459" s="334">
        <v>268</v>
      </c>
      <c r="N4459" s="362">
        <f t="shared" si="151"/>
        <v>2707</v>
      </c>
      <c r="X4459" s="339"/>
    </row>
    <row r="4460" s="330" customFormat="1" ht="15" customHeight="1" spans="1:24">
      <c r="A4460" s="348">
        <v>2023312</v>
      </c>
      <c r="B4460" s="334" t="s">
        <v>243</v>
      </c>
      <c r="C4460" s="334" t="s">
        <v>304</v>
      </c>
      <c r="D4460" s="335" t="s">
        <v>49</v>
      </c>
      <c r="E4460" s="336">
        <v>43782</v>
      </c>
      <c r="F4460" s="336">
        <v>43712</v>
      </c>
      <c r="G4460" s="336">
        <v>43779</v>
      </c>
      <c r="H4460" s="334" t="s">
        <v>10721</v>
      </c>
      <c r="I4460" s="426">
        <v>13180052721</v>
      </c>
      <c r="J4460" s="367" t="s">
        <v>10722</v>
      </c>
      <c r="K4460" s="470">
        <v>1000</v>
      </c>
      <c r="L4460" s="334">
        <v>7501</v>
      </c>
      <c r="M4460" s="338"/>
      <c r="N4460" s="362">
        <f t="shared" si="151"/>
        <v>7501</v>
      </c>
      <c r="X4460" s="339"/>
    </row>
    <row r="4461" s="330" customFormat="1" ht="15" customHeight="1" spans="1:24">
      <c r="A4461" s="348"/>
      <c r="B4461" s="348" t="s">
        <v>169</v>
      </c>
      <c r="C4461" s="334" t="s">
        <v>634</v>
      </c>
      <c r="D4461" s="335" t="s">
        <v>635</v>
      </c>
      <c r="E4461" s="336">
        <v>43738</v>
      </c>
      <c r="F4461" s="336">
        <v>43712</v>
      </c>
      <c r="G4461" s="336">
        <v>43738</v>
      </c>
      <c r="H4461" s="334" t="s">
        <v>10723</v>
      </c>
      <c r="I4461" s="426">
        <v>13817897701</v>
      </c>
      <c r="J4461" s="334" t="s">
        <v>10724</v>
      </c>
      <c r="K4461" s="470">
        <v>1000</v>
      </c>
      <c r="L4461" s="334">
        <v>15000</v>
      </c>
      <c r="M4461" s="338"/>
      <c r="N4461" s="362">
        <f t="shared" si="151"/>
        <v>15000</v>
      </c>
      <c r="X4461" s="339"/>
    </row>
    <row r="4462" s="330" customFormat="1" ht="15" customHeight="1" spans="1:24">
      <c r="A4462" s="550" t="s">
        <v>10725</v>
      </c>
      <c r="B4462" s="334" t="s">
        <v>2625</v>
      </c>
      <c r="C4462" s="334" t="s">
        <v>2626</v>
      </c>
      <c r="D4462" s="334" t="s">
        <v>2302</v>
      </c>
      <c r="E4462" s="336">
        <v>43714</v>
      </c>
      <c r="F4462" s="336">
        <v>43712</v>
      </c>
      <c r="G4462" s="336">
        <v>43714</v>
      </c>
      <c r="H4462" s="334" t="s">
        <v>10726</v>
      </c>
      <c r="I4462" s="426">
        <v>13501281722</v>
      </c>
      <c r="J4462" s="367" t="s">
        <v>10727</v>
      </c>
      <c r="K4462" s="470">
        <v>10800</v>
      </c>
      <c r="L4462" s="334">
        <v>11800</v>
      </c>
      <c r="M4462" s="338"/>
      <c r="N4462" s="362">
        <f t="shared" si="151"/>
        <v>11800</v>
      </c>
      <c r="X4462" s="339"/>
    </row>
    <row r="4463" s="330" customFormat="1" ht="15" customHeight="1" spans="1:24">
      <c r="A4463" s="550" t="s">
        <v>9746</v>
      </c>
      <c r="B4463" s="334" t="s">
        <v>73</v>
      </c>
      <c r="C4463" s="334" t="s">
        <v>74</v>
      </c>
      <c r="D4463" s="352" t="s">
        <v>75</v>
      </c>
      <c r="E4463" s="336">
        <v>43716</v>
      </c>
      <c r="F4463" s="336">
        <v>43716</v>
      </c>
      <c r="G4463" s="399"/>
      <c r="H4463" s="334" t="s">
        <v>2011</v>
      </c>
      <c r="I4463" s="426">
        <v>18621631995</v>
      </c>
      <c r="J4463" s="367" t="s">
        <v>10728</v>
      </c>
      <c r="K4463" s="470">
        <v>1000</v>
      </c>
      <c r="L4463" s="338"/>
      <c r="M4463" s="338"/>
      <c r="N4463" s="362">
        <f t="shared" si="151"/>
        <v>0</v>
      </c>
      <c r="O4463" s="366" t="s">
        <v>52</v>
      </c>
      <c r="X4463" s="339"/>
    </row>
    <row r="4464" s="330" customFormat="1" ht="15" customHeight="1" spans="1:24">
      <c r="A4464" s="550" t="s">
        <v>1290</v>
      </c>
      <c r="B4464" s="334" t="s">
        <v>31</v>
      </c>
      <c r="C4464" s="334" t="s">
        <v>9433</v>
      </c>
      <c r="D4464" s="334" t="s">
        <v>33</v>
      </c>
      <c r="E4464" s="336">
        <v>43773</v>
      </c>
      <c r="F4464" s="336">
        <v>43712</v>
      </c>
      <c r="G4464" s="336">
        <v>43772</v>
      </c>
      <c r="H4464" s="334" t="s">
        <v>10729</v>
      </c>
      <c r="I4464" s="426">
        <v>13701935321</v>
      </c>
      <c r="J4464" s="367" t="s">
        <v>10730</v>
      </c>
      <c r="K4464" s="470">
        <v>1000</v>
      </c>
      <c r="L4464" s="334">
        <v>3965</v>
      </c>
      <c r="M4464" s="338"/>
      <c r="N4464" s="362">
        <f t="shared" si="151"/>
        <v>3965</v>
      </c>
      <c r="X4464" s="339"/>
    </row>
    <row r="4465" s="330" customFormat="1" ht="15" customHeight="1" spans="1:24">
      <c r="A4465" s="348"/>
      <c r="B4465" s="334" t="s">
        <v>315</v>
      </c>
      <c r="C4465" s="334" t="s">
        <v>722</v>
      </c>
      <c r="D4465" s="349" t="s">
        <v>132</v>
      </c>
      <c r="E4465" s="336">
        <v>43730</v>
      </c>
      <c r="F4465" s="336">
        <v>43709</v>
      </c>
      <c r="G4465" s="336">
        <v>43729</v>
      </c>
      <c r="H4465" s="334" t="s">
        <v>4027</v>
      </c>
      <c r="I4465" s="426">
        <v>13917298258</v>
      </c>
      <c r="J4465" s="367" t="s">
        <v>10731</v>
      </c>
      <c r="K4465" s="470">
        <v>5000</v>
      </c>
      <c r="L4465" s="334">
        <v>11952</v>
      </c>
      <c r="M4465" s="338"/>
      <c r="N4465" s="362">
        <f t="shared" si="151"/>
        <v>11952</v>
      </c>
      <c r="X4465" s="339"/>
    </row>
    <row r="4466" s="330" customFormat="1" ht="15" customHeight="1" spans="1:24">
      <c r="A4466" s="334"/>
      <c r="B4466" s="334" t="s">
        <v>281</v>
      </c>
      <c r="C4466" s="334" t="s">
        <v>517</v>
      </c>
      <c r="D4466" s="334" t="s">
        <v>518</v>
      </c>
      <c r="E4466" s="336">
        <v>43712</v>
      </c>
      <c r="F4466" s="336"/>
      <c r="G4466" s="336">
        <v>43712</v>
      </c>
      <c r="H4466" s="334" t="s">
        <v>10732</v>
      </c>
      <c r="I4466" s="334">
        <v>18018823599</v>
      </c>
      <c r="J4466" s="367" t="s">
        <v>10733</v>
      </c>
      <c r="K4466" s="337"/>
      <c r="L4466" s="334">
        <v>14693</v>
      </c>
      <c r="M4466" s="338"/>
      <c r="N4466" s="362">
        <f t="shared" si="151"/>
        <v>14693</v>
      </c>
      <c r="X4466" s="339"/>
    </row>
    <row r="4467" s="330" customFormat="1" ht="15" customHeight="1" spans="1:24">
      <c r="A4467" s="334"/>
      <c r="B4467" s="334" t="s">
        <v>185</v>
      </c>
      <c r="C4467" s="334" t="s">
        <v>886</v>
      </c>
      <c r="D4467" s="334" t="s">
        <v>221</v>
      </c>
      <c r="E4467" s="336">
        <v>43712</v>
      </c>
      <c r="F4467" s="336"/>
      <c r="G4467" s="336">
        <v>43712</v>
      </c>
      <c r="H4467" s="334" t="s">
        <v>10734</v>
      </c>
      <c r="I4467" s="334">
        <v>17621086701</v>
      </c>
      <c r="J4467" s="367" t="s">
        <v>10735</v>
      </c>
      <c r="K4467" s="337"/>
      <c r="L4467" s="334">
        <v>4000</v>
      </c>
      <c r="M4467" s="338"/>
      <c r="N4467" s="362">
        <f t="shared" si="151"/>
        <v>4000</v>
      </c>
      <c r="X4467" s="339"/>
    </row>
    <row r="4468" s="330" customFormat="1" ht="15" customHeight="1" spans="1:24">
      <c r="A4468" s="334"/>
      <c r="B4468" s="348" t="s">
        <v>73</v>
      </c>
      <c r="C4468" s="348" t="s">
        <v>178</v>
      </c>
      <c r="D4468" s="334" t="s">
        <v>143</v>
      </c>
      <c r="E4468" s="336">
        <v>43712</v>
      </c>
      <c r="F4468" s="336" t="s">
        <v>800</v>
      </c>
      <c r="G4468" s="336">
        <v>43712</v>
      </c>
      <c r="H4468" s="334" t="s">
        <v>871</v>
      </c>
      <c r="I4468" s="334">
        <v>13918742423</v>
      </c>
      <c r="J4468" s="367" t="s">
        <v>872</v>
      </c>
      <c r="K4468" s="337"/>
      <c r="L4468" s="338"/>
      <c r="M4468" s="334">
        <v>410.98</v>
      </c>
      <c r="N4468" s="362">
        <f t="shared" si="151"/>
        <v>410.98</v>
      </c>
      <c r="X4468" s="339"/>
    </row>
    <row r="4469" s="330" customFormat="1" ht="15" customHeight="1" spans="1:24">
      <c r="A4469" s="334"/>
      <c r="B4469" s="348" t="s">
        <v>87</v>
      </c>
      <c r="C4469" s="348" t="s">
        <v>199</v>
      </c>
      <c r="D4469" s="352" t="s">
        <v>89</v>
      </c>
      <c r="E4469" s="336">
        <v>43712</v>
      </c>
      <c r="F4469" s="336" t="s">
        <v>800</v>
      </c>
      <c r="G4469" s="336">
        <v>43712</v>
      </c>
      <c r="H4469" s="334" t="s">
        <v>8931</v>
      </c>
      <c r="I4469" s="356">
        <v>13621768196</v>
      </c>
      <c r="J4469" s="361" t="s">
        <v>8932</v>
      </c>
      <c r="K4469" s="337"/>
      <c r="L4469" s="338"/>
      <c r="M4469" s="334">
        <v>24491</v>
      </c>
      <c r="N4469" s="362">
        <f t="shared" si="151"/>
        <v>24491</v>
      </c>
      <c r="X4469" s="339"/>
    </row>
    <row r="4470" s="330" customFormat="1" ht="15" customHeight="1" spans="1:24">
      <c r="A4470" s="334"/>
      <c r="B4470" s="348" t="s">
        <v>137</v>
      </c>
      <c r="C4470" s="348" t="s">
        <v>861</v>
      </c>
      <c r="D4470" s="334" t="s">
        <v>443</v>
      </c>
      <c r="E4470" s="336">
        <v>43712</v>
      </c>
      <c r="F4470" s="336" t="s">
        <v>800</v>
      </c>
      <c r="G4470" s="336">
        <v>43712</v>
      </c>
      <c r="H4470" s="334" t="s">
        <v>6154</v>
      </c>
      <c r="I4470" s="334">
        <v>13564961215</v>
      </c>
      <c r="J4470" s="367" t="s">
        <v>6155</v>
      </c>
      <c r="K4470" s="337"/>
      <c r="L4470" s="338"/>
      <c r="M4470" s="334">
        <v>-610</v>
      </c>
      <c r="N4470" s="362">
        <f t="shared" si="151"/>
        <v>-610</v>
      </c>
      <c r="X4470" s="339"/>
    </row>
    <row r="4471" s="330" customFormat="1" ht="15" customHeight="1" spans="1:24">
      <c r="A4471" s="334"/>
      <c r="B4471" s="348" t="s">
        <v>58</v>
      </c>
      <c r="C4471" s="348" t="s">
        <v>347</v>
      </c>
      <c r="D4471" s="352" t="s">
        <v>343</v>
      </c>
      <c r="E4471" s="336">
        <v>43712</v>
      </c>
      <c r="F4471" s="336" t="s">
        <v>800</v>
      </c>
      <c r="G4471" s="336">
        <v>43711</v>
      </c>
      <c r="H4471" s="334" t="s">
        <v>9055</v>
      </c>
      <c r="I4471" s="334">
        <v>13916288036</v>
      </c>
      <c r="J4471" s="367" t="s">
        <v>9056</v>
      </c>
      <c r="K4471" s="337"/>
      <c r="L4471" s="338"/>
      <c r="M4471" s="334">
        <v>10905</v>
      </c>
      <c r="N4471" s="362">
        <f t="shared" si="151"/>
        <v>10905</v>
      </c>
      <c r="X4471" s="339"/>
    </row>
    <row r="4472" s="330" customFormat="1" ht="15" customHeight="1" spans="1:24">
      <c r="A4472" s="334"/>
      <c r="B4472" s="348" t="s">
        <v>58</v>
      </c>
      <c r="C4472" s="348" t="s">
        <v>347</v>
      </c>
      <c r="D4472" s="349" t="s">
        <v>343</v>
      </c>
      <c r="E4472" s="336">
        <v>43712</v>
      </c>
      <c r="F4472" s="336" t="s">
        <v>800</v>
      </c>
      <c r="G4472" s="336">
        <v>43711</v>
      </c>
      <c r="H4472" s="334" t="s">
        <v>3888</v>
      </c>
      <c r="I4472" s="334">
        <v>18515100596</v>
      </c>
      <c r="J4472" s="367" t="s">
        <v>10736</v>
      </c>
      <c r="K4472" s="337"/>
      <c r="L4472" s="338"/>
      <c r="M4472" s="334">
        <v>2670</v>
      </c>
      <c r="N4472" s="362">
        <f t="shared" si="151"/>
        <v>2670</v>
      </c>
      <c r="X4472" s="339"/>
    </row>
    <row r="4473" s="330" customFormat="1" ht="15" customHeight="1" spans="1:24">
      <c r="A4473" s="334"/>
      <c r="B4473" s="348" t="s">
        <v>31</v>
      </c>
      <c r="C4473" s="334" t="s">
        <v>2716</v>
      </c>
      <c r="D4473" s="334" t="s">
        <v>182</v>
      </c>
      <c r="E4473" s="336">
        <v>43712</v>
      </c>
      <c r="F4473" s="336" t="s">
        <v>800</v>
      </c>
      <c r="G4473" s="336">
        <v>43712</v>
      </c>
      <c r="H4473" s="334" t="s">
        <v>8759</v>
      </c>
      <c r="I4473" s="334">
        <v>13817903778</v>
      </c>
      <c r="J4473" s="367" t="s">
        <v>10737</v>
      </c>
      <c r="K4473" s="337"/>
      <c r="L4473" s="338"/>
      <c r="M4473" s="334">
        <v>-3871</v>
      </c>
      <c r="N4473" s="362">
        <f t="shared" si="151"/>
        <v>-3871</v>
      </c>
      <c r="X4473" s="339"/>
    </row>
    <row r="4474" s="330" customFormat="1" ht="15" customHeight="1" spans="1:24">
      <c r="A4474" s="348"/>
      <c r="B4474" s="334" t="s">
        <v>137</v>
      </c>
      <c r="C4474" s="334" t="s">
        <v>406</v>
      </c>
      <c r="D4474" s="349" t="s">
        <v>443</v>
      </c>
      <c r="E4474" s="336">
        <v>43762</v>
      </c>
      <c r="F4474" s="336">
        <v>43712</v>
      </c>
      <c r="G4474" s="336">
        <v>43762</v>
      </c>
      <c r="H4474" s="334" t="s">
        <v>10738</v>
      </c>
      <c r="I4474" s="426">
        <v>13801778767</v>
      </c>
      <c r="J4474" s="367" t="s">
        <v>10739</v>
      </c>
      <c r="K4474" s="470">
        <v>3000</v>
      </c>
      <c r="L4474" s="334">
        <v>12888</v>
      </c>
      <c r="M4474" s="338"/>
      <c r="N4474" s="362">
        <f t="shared" ref="N4474:N4500" si="152">L4474+M4474</f>
        <v>12888</v>
      </c>
      <c r="X4474" s="339"/>
    </row>
    <row r="4475" s="330" customFormat="1" ht="15" customHeight="1" spans="1:24">
      <c r="A4475" s="348"/>
      <c r="B4475" s="334" t="s">
        <v>137</v>
      </c>
      <c r="C4475" s="334" t="s">
        <v>411</v>
      </c>
      <c r="D4475" s="335" t="s">
        <v>427</v>
      </c>
      <c r="E4475" s="336">
        <v>43765</v>
      </c>
      <c r="F4475" s="336">
        <v>43713</v>
      </c>
      <c r="G4475" s="336">
        <v>43765</v>
      </c>
      <c r="H4475" s="334" t="s">
        <v>10740</v>
      </c>
      <c r="I4475" s="426">
        <v>1921571646</v>
      </c>
      <c r="J4475" s="367" t="s">
        <v>10741</v>
      </c>
      <c r="K4475" s="470">
        <v>1000</v>
      </c>
      <c r="L4475" s="334">
        <v>12559</v>
      </c>
      <c r="M4475" s="338"/>
      <c r="N4475" s="362">
        <f t="shared" si="152"/>
        <v>12559</v>
      </c>
      <c r="X4475" s="339"/>
    </row>
    <row r="4476" s="330" customFormat="1" ht="15" customHeight="1" spans="1:24">
      <c r="A4476" s="348"/>
      <c r="B4476" s="334" t="s">
        <v>137</v>
      </c>
      <c r="C4476" s="334" t="s">
        <v>411</v>
      </c>
      <c r="D4476" s="334" t="s">
        <v>2381</v>
      </c>
      <c r="E4476" s="336">
        <v>43762</v>
      </c>
      <c r="F4476" s="336">
        <v>43713</v>
      </c>
      <c r="G4476" s="336">
        <v>43762</v>
      </c>
      <c r="H4476" s="334" t="s">
        <v>10742</v>
      </c>
      <c r="I4476" s="426">
        <v>13917215556</v>
      </c>
      <c r="J4476" s="367" t="s">
        <v>10743</v>
      </c>
      <c r="K4476" s="470">
        <v>1000</v>
      </c>
      <c r="L4476" s="334">
        <v>10090</v>
      </c>
      <c r="M4476" s="338"/>
      <c r="N4476" s="362">
        <f t="shared" si="152"/>
        <v>10090</v>
      </c>
      <c r="X4476" s="339"/>
    </row>
    <row r="4477" s="330" customFormat="1" ht="15" customHeight="1" spans="1:24">
      <c r="A4477" s="550" t="s">
        <v>10744</v>
      </c>
      <c r="B4477" s="334" t="s">
        <v>405</v>
      </c>
      <c r="C4477" s="334" t="s">
        <v>1234</v>
      </c>
      <c r="D4477" s="335" t="s">
        <v>407</v>
      </c>
      <c r="E4477" s="336">
        <v>43714</v>
      </c>
      <c r="F4477" s="336">
        <v>43713</v>
      </c>
      <c r="G4477" s="336">
        <v>43709</v>
      </c>
      <c r="H4477" s="334" t="s">
        <v>10745</v>
      </c>
      <c r="I4477" s="426">
        <v>13585937288</v>
      </c>
      <c r="J4477" s="367" t="s">
        <v>10746</v>
      </c>
      <c r="K4477" s="470">
        <v>7298</v>
      </c>
      <c r="L4477" s="334">
        <v>7298</v>
      </c>
      <c r="M4477" s="338"/>
      <c r="N4477" s="362">
        <f t="shared" si="152"/>
        <v>7298</v>
      </c>
      <c r="X4477" s="339"/>
    </row>
    <row r="4478" s="330" customFormat="1" ht="15" customHeight="1" spans="1:24">
      <c r="A4478" s="550" t="s">
        <v>10747</v>
      </c>
      <c r="B4478" s="334" t="s">
        <v>405</v>
      </c>
      <c r="C4478" s="334" t="s">
        <v>1234</v>
      </c>
      <c r="D4478" s="335" t="s">
        <v>407</v>
      </c>
      <c r="E4478" s="336">
        <v>43725</v>
      </c>
      <c r="F4478" s="336">
        <v>43713</v>
      </c>
      <c r="G4478" s="336">
        <v>43725</v>
      </c>
      <c r="H4478" s="334" t="s">
        <v>10745</v>
      </c>
      <c r="I4478" s="426">
        <v>13585937288</v>
      </c>
      <c r="J4478" s="367" t="s">
        <v>10746</v>
      </c>
      <c r="K4478" s="470">
        <v>23395</v>
      </c>
      <c r="L4478" s="334">
        <v>23395</v>
      </c>
      <c r="M4478" s="338"/>
      <c r="N4478" s="362">
        <f t="shared" si="152"/>
        <v>23395</v>
      </c>
      <c r="X4478" s="339"/>
    </row>
    <row r="4479" s="330" customFormat="1" ht="15" customHeight="1" spans="1:24">
      <c r="A4479" s="550" t="s">
        <v>6555</v>
      </c>
      <c r="B4479" s="348" t="s">
        <v>58</v>
      </c>
      <c r="C4479" s="334" t="s">
        <v>59</v>
      </c>
      <c r="D4479" s="349" t="s">
        <v>271</v>
      </c>
      <c r="E4479" s="336">
        <v>43713</v>
      </c>
      <c r="F4479" s="336">
        <v>43673</v>
      </c>
      <c r="G4479" s="463">
        <v>43770</v>
      </c>
      <c r="H4479" s="334" t="s">
        <v>6556</v>
      </c>
      <c r="I4479" s="426">
        <v>13636500566</v>
      </c>
      <c r="J4479" s="361" t="s">
        <v>6557</v>
      </c>
      <c r="K4479" s="470">
        <v>5000</v>
      </c>
      <c r="L4479" s="338"/>
      <c r="M4479" s="338"/>
      <c r="N4479" s="362">
        <f t="shared" si="152"/>
        <v>0</v>
      </c>
      <c r="X4479" s="339"/>
    </row>
    <row r="4480" s="330" customFormat="1" ht="15" customHeight="1" spans="1:24">
      <c r="A4480" s="550" t="s">
        <v>10748</v>
      </c>
      <c r="B4480" s="334" t="s">
        <v>42</v>
      </c>
      <c r="C4480" s="334" t="s">
        <v>43</v>
      </c>
      <c r="D4480" s="335" t="s">
        <v>44</v>
      </c>
      <c r="E4480" s="336">
        <v>43713</v>
      </c>
      <c r="F4480" s="336">
        <v>43707</v>
      </c>
      <c r="G4480" s="399"/>
      <c r="H4480" s="334" t="s">
        <v>10749</v>
      </c>
      <c r="I4480" s="426">
        <v>15300921201</v>
      </c>
      <c r="J4480" s="367" t="s">
        <v>10750</v>
      </c>
      <c r="K4480" s="470">
        <v>1000</v>
      </c>
      <c r="L4480" s="338"/>
      <c r="M4480" s="338"/>
      <c r="N4480" s="362">
        <f t="shared" si="152"/>
        <v>0</v>
      </c>
      <c r="U4480" s="471">
        <v>43723</v>
      </c>
      <c r="X4480" s="339"/>
    </row>
    <row r="4481" s="330" customFormat="1" ht="15" customHeight="1" spans="1:24">
      <c r="A4481" s="334"/>
      <c r="B4481" s="334" t="s">
        <v>47</v>
      </c>
      <c r="C4481" s="334" t="s">
        <v>53</v>
      </c>
      <c r="D4481" s="335" t="s">
        <v>49</v>
      </c>
      <c r="E4481" s="336">
        <v>43713</v>
      </c>
      <c r="F4481" s="336"/>
      <c r="G4481" s="336">
        <v>43713</v>
      </c>
      <c r="H4481" s="334" t="s">
        <v>1925</v>
      </c>
      <c r="I4481" s="334">
        <v>13916473488</v>
      </c>
      <c r="J4481" s="367" t="s">
        <v>10751</v>
      </c>
      <c r="K4481" s="337"/>
      <c r="L4481" s="334">
        <f>11883-1472</f>
        <v>10411</v>
      </c>
      <c r="M4481" s="334">
        <v>1472</v>
      </c>
      <c r="N4481" s="362">
        <f t="shared" si="152"/>
        <v>11883</v>
      </c>
      <c r="X4481" s="339"/>
    </row>
    <row r="4482" s="330" customFormat="1" ht="15" customHeight="1" spans="1:24">
      <c r="A4482" s="334"/>
      <c r="B4482" s="334" t="s">
        <v>94</v>
      </c>
      <c r="C4482" s="334" t="s">
        <v>101</v>
      </c>
      <c r="D4482" s="335" t="s">
        <v>49</v>
      </c>
      <c r="E4482" s="336">
        <v>43713</v>
      </c>
      <c r="F4482" s="336"/>
      <c r="G4482" s="336">
        <v>43713</v>
      </c>
      <c r="H4482" s="334" t="s">
        <v>10752</v>
      </c>
      <c r="I4482" s="334">
        <v>13585749074</v>
      </c>
      <c r="J4482" s="367" t="s">
        <v>9695</v>
      </c>
      <c r="K4482" s="337"/>
      <c r="L4482" s="334">
        <v>4420</v>
      </c>
      <c r="M4482" s="338"/>
      <c r="N4482" s="362">
        <f t="shared" si="152"/>
        <v>4420</v>
      </c>
      <c r="X4482" s="339"/>
    </row>
    <row r="4483" s="330" customFormat="1" ht="15" customHeight="1" spans="1:24">
      <c r="A4483" s="334"/>
      <c r="B4483" s="334" t="s">
        <v>137</v>
      </c>
      <c r="C4483" s="334" t="s">
        <v>480</v>
      </c>
      <c r="D4483" s="334" t="s">
        <v>139</v>
      </c>
      <c r="E4483" s="336">
        <v>43713</v>
      </c>
      <c r="F4483" s="336" t="s">
        <v>800</v>
      </c>
      <c r="G4483" s="336">
        <v>43711</v>
      </c>
      <c r="H4483" s="334" t="s">
        <v>785</v>
      </c>
      <c r="I4483" s="334">
        <v>13601920863</v>
      </c>
      <c r="J4483" s="367" t="s">
        <v>786</v>
      </c>
      <c r="K4483" s="337"/>
      <c r="L4483" s="338"/>
      <c r="M4483" s="334">
        <v>12961</v>
      </c>
      <c r="N4483" s="362">
        <f t="shared" si="152"/>
        <v>12961</v>
      </c>
      <c r="X4483" s="339"/>
    </row>
    <row r="4484" s="330" customFormat="1" ht="15" customHeight="1" spans="1:24">
      <c r="A4484" s="334"/>
      <c r="B4484" s="348" t="s">
        <v>185</v>
      </c>
      <c r="C4484" s="348" t="s">
        <v>1620</v>
      </c>
      <c r="D4484" s="352" t="s">
        <v>44</v>
      </c>
      <c r="E4484" s="336">
        <v>43713</v>
      </c>
      <c r="F4484" s="336" t="s">
        <v>800</v>
      </c>
      <c r="G4484" s="336">
        <v>43712</v>
      </c>
      <c r="H4484" s="334" t="s">
        <v>7279</v>
      </c>
      <c r="I4484" s="334">
        <v>13512102166</v>
      </c>
      <c r="J4484" s="367" t="s">
        <v>10753</v>
      </c>
      <c r="K4484" s="337"/>
      <c r="L4484" s="338"/>
      <c r="M4484" s="334">
        <v>1400</v>
      </c>
      <c r="N4484" s="362">
        <f t="shared" si="152"/>
        <v>1400</v>
      </c>
      <c r="X4484" s="339"/>
    </row>
    <row r="4485" s="330" customFormat="1" ht="15" customHeight="1" spans="1:24">
      <c r="A4485" s="334"/>
      <c r="B4485" s="334" t="s">
        <v>805</v>
      </c>
      <c r="C4485" s="334" t="s">
        <v>806</v>
      </c>
      <c r="D4485" s="334" t="s">
        <v>44</v>
      </c>
      <c r="E4485" s="336">
        <v>43713</v>
      </c>
      <c r="F4485" s="336" t="s">
        <v>800</v>
      </c>
      <c r="G4485" s="336">
        <v>43712</v>
      </c>
      <c r="H4485" s="334" t="s">
        <v>10754</v>
      </c>
      <c r="I4485" s="334">
        <v>13916604612</v>
      </c>
      <c r="J4485" s="367" t="s">
        <v>10755</v>
      </c>
      <c r="K4485" s="337"/>
      <c r="L4485" s="338"/>
      <c r="M4485" s="334">
        <v>6154</v>
      </c>
      <c r="N4485" s="362">
        <f t="shared" si="152"/>
        <v>6154</v>
      </c>
      <c r="X4485" s="339"/>
    </row>
    <row r="4486" s="330" customFormat="1" ht="15" customHeight="1" spans="1:24">
      <c r="A4486" s="334"/>
      <c r="B4486" s="348" t="s">
        <v>47</v>
      </c>
      <c r="C4486" s="334" t="s">
        <v>53</v>
      </c>
      <c r="D4486" s="352" t="s">
        <v>49</v>
      </c>
      <c r="E4486" s="336">
        <v>43713</v>
      </c>
      <c r="F4486" s="336" t="s">
        <v>800</v>
      </c>
      <c r="G4486" s="336">
        <v>43713</v>
      </c>
      <c r="H4486" s="334" t="s">
        <v>10756</v>
      </c>
      <c r="I4486" s="334">
        <v>17701878669</v>
      </c>
      <c r="J4486" s="367" t="s">
        <v>10757</v>
      </c>
      <c r="K4486" s="337"/>
      <c r="L4486" s="338"/>
      <c r="M4486" s="334">
        <v>1875</v>
      </c>
      <c r="N4486" s="362">
        <f t="shared" si="152"/>
        <v>1875</v>
      </c>
      <c r="X4486" s="339"/>
    </row>
    <row r="4487" s="330" customFormat="1" ht="15" customHeight="1" spans="1:24">
      <c r="A4487" s="334"/>
      <c r="B4487" s="348" t="s">
        <v>87</v>
      </c>
      <c r="C4487" s="334" t="s">
        <v>199</v>
      </c>
      <c r="D4487" s="349" t="s">
        <v>89</v>
      </c>
      <c r="E4487" s="336">
        <v>43713</v>
      </c>
      <c r="F4487" s="336" t="s">
        <v>800</v>
      </c>
      <c r="G4487" s="336">
        <v>43713</v>
      </c>
      <c r="H4487" s="334" t="s">
        <v>7557</v>
      </c>
      <c r="I4487" s="334">
        <v>13818348811</v>
      </c>
      <c r="J4487" s="367" t="s">
        <v>10758</v>
      </c>
      <c r="K4487" s="337"/>
      <c r="L4487" s="338"/>
      <c r="M4487" s="334">
        <v>831</v>
      </c>
      <c r="N4487" s="362">
        <f t="shared" si="152"/>
        <v>831</v>
      </c>
      <c r="X4487" s="339"/>
    </row>
    <row r="4488" s="330" customFormat="1" ht="15" customHeight="1" spans="1:24">
      <c r="A4488" s="334"/>
      <c r="B4488" s="348" t="s">
        <v>123</v>
      </c>
      <c r="C4488" s="334" t="s">
        <v>2301</v>
      </c>
      <c r="D4488" s="349" t="s">
        <v>125</v>
      </c>
      <c r="E4488" s="336">
        <v>43713</v>
      </c>
      <c r="F4488" s="336" t="s">
        <v>800</v>
      </c>
      <c r="G4488" s="336">
        <v>43708</v>
      </c>
      <c r="H4488" s="334" t="s">
        <v>2345</v>
      </c>
      <c r="I4488" s="334">
        <v>13564626272</v>
      </c>
      <c r="J4488" s="367" t="s">
        <v>10759</v>
      </c>
      <c r="K4488" s="337"/>
      <c r="L4488" s="338"/>
      <c r="M4488" s="334">
        <v>314</v>
      </c>
      <c r="N4488" s="362">
        <f t="shared" si="152"/>
        <v>314</v>
      </c>
      <c r="X4488" s="339"/>
    </row>
    <row r="4489" s="330" customFormat="1" ht="15" customHeight="1" spans="1:24">
      <c r="A4489" s="334"/>
      <c r="B4489" s="334" t="s">
        <v>137</v>
      </c>
      <c r="C4489" s="334" t="s">
        <v>411</v>
      </c>
      <c r="D4489" s="335" t="s">
        <v>60</v>
      </c>
      <c r="E4489" s="336">
        <v>43713</v>
      </c>
      <c r="F4489" s="336" t="s">
        <v>800</v>
      </c>
      <c r="G4489" s="336">
        <v>43713</v>
      </c>
      <c r="H4489" s="334" t="s">
        <v>10760</v>
      </c>
      <c r="I4489" s="334">
        <v>18501661661</v>
      </c>
      <c r="J4489" s="367" t="s">
        <v>10761</v>
      </c>
      <c r="K4489" s="337"/>
      <c r="L4489" s="338"/>
      <c r="M4489" s="334">
        <v>176</v>
      </c>
      <c r="N4489" s="362">
        <f t="shared" si="152"/>
        <v>176</v>
      </c>
      <c r="X4489" s="339"/>
    </row>
    <row r="4490" s="330" customFormat="1" ht="15" customHeight="1" spans="1:24">
      <c r="A4490" s="334"/>
      <c r="B4490" s="348" t="s">
        <v>335</v>
      </c>
      <c r="C4490" s="348" t="s">
        <v>615</v>
      </c>
      <c r="D4490" s="349" t="s">
        <v>635</v>
      </c>
      <c r="E4490" s="336">
        <v>43713</v>
      </c>
      <c r="F4490" s="336" t="s">
        <v>800</v>
      </c>
      <c r="G4490" s="336">
        <v>43712</v>
      </c>
      <c r="H4490" s="334" t="s">
        <v>1837</v>
      </c>
      <c r="I4490" s="334">
        <v>13671593380</v>
      </c>
      <c r="J4490" s="367" t="s">
        <v>1838</v>
      </c>
      <c r="K4490" s="337"/>
      <c r="L4490" s="338"/>
      <c r="M4490" s="334">
        <v>176</v>
      </c>
      <c r="N4490" s="362">
        <f t="shared" si="152"/>
        <v>176</v>
      </c>
      <c r="X4490" s="339"/>
    </row>
    <row r="4491" s="330" customFormat="1" ht="15" customHeight="1" spans="1:24">
      <c r="A4491" s="334"/>
      <c r="B4491" s="348" t="s">
        <v>87</v>
      </c>
      <c r="C4491" s="348" t="s">
        <v>199</v>
      </c>
      <c r="D4491" s="352" t="s">
        <v>89</v>
      </c>
      <c r="E4491" s="336">
        <v>43713</v>
      </c>
      <c r="F4491" s="336" t="s">
        <v>800</v>
      </c>
      <c r="G4491" s="336">
        <v>43713</v>
      </c>
      <c r="H4491" s="334" t="s">
        <v>8565</v>
      </c>
      <c r="I4491" s="334">
        <v>17717375062</v>
      </c>
      <c r="J4491" s="367" t="s">
        <v>10089</v>
      </c>
      <c r="K4491" s="337"/>
      <c r="L4491" s="338"/>
      <c r="M4491" s="334">
        <v>205</v>
      </c>
      <c r="N4491" s="362">
        <f t="shared" si="152"/>
        <v>205</v>
      </c>
      <c r="X4491" s="339"/>
    </row>
    <row r="4492" s="330" customFormat="1" ht="15" customHeight="1" spans="1:24">
      <c r="A4492" s="348">
        <v>2067091</v>
      </c>
      <c r="B4492" s="334" t="s">
        <v>5336</v>
      </c>
      <c r="C4492" s="334" t="s">
        <v>5336</v>
      </c>
      <c r="D4492" s="334" t="s">
        <v>954</v>
      </c>
      <c r="E4492" s="336">
        <v>43760</v>
      </c>
      <c r="F4492" s="336">
        <v>43712</v>
      </c>
      <c r="G4492" s="336">
        <v>43760</v>
      </c>
      <c r="H4492" s="334" t="s">
        <v>10762</v>
      </c>
      <c r="I4492" s="426">
        <v>13482222848</v>
      </c>
      <c r="J4492" s="367" t="s">
        <v>10763</v>
      </c>
      <c r="K4492" s="470">
        <v>6477</v>
      </c>
      <c r="L4492" s="334">
        <v>4732</v>
      </c>
      <c r="M4492" s="338"/>
      <c r="N4492" s="362">
        <f t="shared" si="152"/>
        <v>4732</v>
      </c>
      <c r="X4492" s="339"/>
    </row>
    <row r="4493" s="330" customFormat="1" ht="15" customHeight="1" spans="1:24">
      <c r="A4493" s="348">
        <v>2067092</v>
      </c>
      <c r="B4493" s="334" t="s">
        <v>5336</v>
      </c>
      <c r="C4493" s="334" t="s">
        <v>5336</v>
      </c>
      <c r="D4493" s="335" t="s">
        <v>8334</v>
      </c>
      <c r="E4493" s="336">
        <v>43714</v>
      </c>
      <c r="F4493" s="336">
        <v>43713</v>
      </c>
      <c r="G4493" s="399"/>
      <c r="H4493" s="334" t="s">
        <v>10764</v>
      </c>
      <c r="I4493" s="426">
        <v>13661396095</v>
      </c>
      <c r="J4493" s="367" t="s">
        <v>10765</v>
      </c>
      <c r="K4493" s="470">
        <v>2628</v>
      </c>
      <c r="L4493" s="338"/>
      <c r="M4493" s="338"/>
      <c r="N4493" s="362">
        <f t="shared" si="152"/>
        <v>0</v>
      </c>
      <c r="U4493" s="471">
        <v>43726</v>
      </c>
      <c r="X4493" s="339"/>
    </row>
    <row r="4494" s="330" customFormat="1" ht="15" customHeight="1" spans="1:24">
      <c r="A4494" s="550" t="s">
        <v>1985</v>
      </c>
      <c r="B4494" s="334" t="s">
        <v>31</v>
      </c>
      <c r="C4494" s="334" t="s">
        <v>2716</v>
      </c>
      <c r="D4494" s="335" t="s">
        <v>33</v>
      </c>
      <c r="E4494" s="336">
        <v>43737</v>
      </c>
      <c r="F4494" s="336">
        <v>43714</v>
      </c>
      <c r="G4494" s="336">
        <v>43737</v>
      </c>
      <c r="H4494" s="334" t="s">
        <v>10766</v>
      </c>
      <c r="I4494" s="426">
        <v>18018608823</v>
      </c>
      <c r="J4494" s="367" t="s">
        <v>10767</v>
      </c>
      <c r="K4494" s="470">
        <v>1000</v>
      </c>
      <c r="L4494" s="334">
        <v>24287</v>
      </c>
      <c r="M4494" s="334">
        <v>400</v>
      </c>
      <c r="N4494" s="362">
        <f t="shared" si="152"/>
        <v>24687</v>
      </c>
      <c r="X4494" s="339"/>
    </row>
    <row r="4495" s="330" customFormat="1" ht="15" customHeight="1" spans="1:24">
      <c r="A4495" s="550" t="s">
        <v>10768</v>
      </c>
      <c r="B4495" s="334" t="s">
        <v>805</v>
      </c>
      <c r="C4495" s="334" t="s">
        <v>806</v>
      </c>
      <c r="D4495" s="335" t="s">
        <v>171</v>
      </c>
      <c r="E4495" s="336">
        <v>43727</v>
      </c>
      <c r="F4495" s="336">
        <v>43714</v>
      </c>
      <c r="G4495" s="336">
        <v>43727</v>
      </c>
      <c r="H4495" s="334" t="s">
        <v>10769</v>
      </c>
      <c r="I4495" s="426">
        <v>15901912128</v>
      </c>
      <c r="J4495" s="367" t="s">
        <v>10770</v>
      </c>
      <c r="K4495" s="470">
        <v>10000</v>
      </c>
      <c r="L4495" s="334">
        <v>7299</v>
      </c>
      <c r="M4495" s="338"/>
      <c r="N4495" s="362">
        <f t="shared" si="152"/>
        <v>7299</v>
      </c>
      <c r="X4495" s="339"/>
    </row>
    <row r="4496" s="330" customFormat="1" ht="15" customHeight="1" spans="1:24">
      <c r="A4496" s="550" t="s">
        <v>10771</v>
      </c>
      <c r="B4496" s="334" t="s">
        <v>335</v>
      </c>
      <c r="C4496" s="334" t="s">
        <v>615</v>
      </c>
      <c r="D4496" s="335" t="s">
        <v>337</v>
      </c>
      <c r="E4496" s="336">
        <v>43757</v>
      </c>
      <c r="F4496" s="336">
        <v>43714</v>
      </c>
      <c r="G4496" s="336">
        <v>43757</v>
      </c>
      <c r="H4496" s="334" t="s">
        <v>10772</v>
      </c>
      <c r="I4496" s="426">
        <v>13917145038</v>
      </c>
      <c r="J4496" s="367" t="s">
        <v>10773</v>
      </c>
      <c r="K4496" s="470">
        <v>1000</v>
      </c>
      <c r="L4496" s="334">
        <v>9000</v>
      </c>
      <c r="M4496" s="334">
        <v>-1000</v>
      </c>
      <c r="N4496" s="362">
        <f t="shared" si="152"/>
        <v>8000</v>
      </c>
      <c r="X4496" s="339"/>
    </row>
    <row r="4497" s="330" customFormat="1" ht="15" customHeight="1" spans="1:24">
      <c r="A4497" s="550" t="s">
        <v>10774</v>
      </c>
      <c r="B4497" s="334" t="s">
        <v>31</v>
      </c>
      <c r="C4497" s="334" t="s">
        <v>3186</v>
      </c>
      <c r="D4497" s="334" t="s">
        <v>33</v>
      </c>
      <c r="E4497" s="336">
        <v>43795</v>
      </c>
      <c r="F4497" s="336">
        <v>43714</v>
      </c>
      <c r="G4497" s="336">
        <v>43788</v>
      </c>
      <c r="H4497" s="334" t="s">
        <v>10775</v>
      </c>
      <c r="I4497" s="426">
        <v>13761272003</v>
      </c>
      <c r="J4497" s="367" t="s">
        <v>10776</v>
      </c>
      <c r="K4497" s="470">
        <v>1000</v>
      </c>
      <c r="L4497" s="334">
        <v>7629</v>
      </c>
      <c r="M4497" s="334">
        <v>4152</v>
      </c>
      <c r="N4497" s="362">
        <f t="shared" si="152"/>
        <v>11781</v>
      </c>
      <c r="X4497" s="339"/>
    </row>
    <row r="4498" s="330" customFormat="1" ht="15" customHeight="1" spans="1:24">
      <c r="A4498" s="348">
        <v>2022518</v>
      </c>
      <c r="B4498" s="334" t="s">
        <v>73</v>
      </c>
      <c r="C4498" s="334" t="s">
        <v>178</v>
      </c>
      <c r="D4498" s="334" t="s">
        <v>139</v>
      </c>
      <c r="E4498" s="336">
        <v>43733</v>
      </c>
      <c r="F4498" s="336">
        <v>43714</v>
      </c>
      <c r="G4498" s="336">
        <v>43733</v>
      </c>
      <c r="H4498" s="334" t="s">
        <v>10777</v>
      </c>
      <c r="I4498" s="426">
        <v>13501770510</v>
      </c>
      <c r="J4498" s="361" t="s">
        <v>10778</v>
      </c>
      <c r="K4498" s="470">
        <v>1000</v>
      </c>
      <c r="L4498" s="334">
        <f>23976-2208</f>
        <v>21768</v>
      </c>
      <c r="M4498" s="334">
        <v>2208</v>
      </c>
      <c r="N4498" s="362">
        <f t="shared" si="152"/>
        <v>23976</v>
      </c>
      <c r="X4498" s="339"/>
    </row>
    <row r="4499" s="330" customFormat="1" ht="15" customHeight="1" spans="1:24">
      <c r="A4499" s="550" t="s">
        <v>10779</v>
      </c>
      <c r="B4499" s="334" t="s">
        <v>87</v>
      </c>
      <c r="C4499" s="334" t="s">
        <v>466</v>
      </c>
      <c r="D4499" s="335" t="s">
        <v>89</v>
      </c>
      <c r="E4499" s="336">
        <v>43714</v>
      </c>
      <c r="F4499" s="336">
        <v>43713</v>
      </c>
      <c r="G4499" s="339" t="s">
        <v>1140</v>
      </c>
      <c r="H4499" s="334" t="s">
        <v>7845</v>
      </c>
      <c r="I4499" s="426">
        <v>1350719898</v>
      </c>
      <c r="J4499" s="367" t="s">
        <v>10780</v>
      </c>
      <c r="K4499" s="470">
        <v>1000</v>
      </c>
      <c r="L4499" s="338"/>
      <c r="M4499" s="338"/>
      <c r="N4499" s="362">
        <f t="shared" si="152"/>
        <v>0</v>
      </c>
      <c r="X4499" s="339"/>
    </row>
    <row r="4500" s="330" customFormat="1" ht="15" customHeight="1" spans="1:24">
      <c r="A4500" s="348"/>
      <c r="B4500" s="334" t="s">
        <v>137</v>
      </c>
      <c r="C4500" s="334" t="s">
        <v>861</v>
      </c>
      <c r="D4500" s="334" t="s">
        <v>139</v>
      </c>
      <c r="E4500" s="336">
        <v>43782</v>
      </c>
      <c r="F4500" s="336">
        <v>43713</v>
      </c>
      <c r="G4500" s="336">
        <v>43778</v>
      </c>
      <c r="H4500" s="334" t="s">
        <v>10781</v>
      </c>
      <c r="I4500" s="426">
        <v>18018552460</v>
      </c>
      <c r="J4500" s="367" t="s">
        <v>10782</v>
      </c>
      <c r="K4500" s="470">
        <v>1000</v>
      </c>
      <c r="L4500" s="334">
        <v>6100</v>
      </c>
      <c r="M4500" s="338"/>
      <c r="N4500" s="362">
        <f t="shared" ref="N4500:N4520" si="153">L4500+M4500</f>
        <v>6100</v>
      </c>
      <c r="X4500" s="339"/>
    </row>
    <row r="4501" s="330" customFormat="1" ht="15" customHeight="1" spans="1:24">
      <c r="A4501" s="550" t="s">
        <v>1146</v>
      </c>
      <c r="B4501" s="334" t="s">
        <v>31</v>
      </c>
      <c r="C4501" s="334" t="s">
        <v>419</v>
      </c>
      <c r="D4501" s="334" t="s">
        <v>33</v>
      </c>
      <c r="E4501" s="336">
        <v>43737</v>
      </c>
      <c r="F4501" s="336">
        <v>43714</v>
      </c>
      <c r="G4501" s="336">
        <v>43736</v>
      </c>
      <c r="H4501" s="334" t="s">
        <v>10783</v>
      </c>
      <c r="I4501" s="426">
        <v>13761634488</v>
      </c>
      <c r="J4501" s="367" t="s">
        <v>10784</v>
      </c>
      <c r="K4501" s="470">
        <v>1000</v>
      </c>
      <c r="L4501" s="334">
        <f>10150-1104</f>
        <v>9046</v>
      </c>
      <c r="M4501" s="334">
        <v>1104</v>
      </c>
      <c r="N4501" s="362">
        <f t="shared" si="153"/>
        <v>10150</v>
      </c>
      <c r="X4501" s="339"/>
    </row>
    <row r="4502" s="330" customFormat="1" ht="15" customHeight="1" spans="1:24">
      <c r="A4502" s="550" t="s">
        <v>10785</v>
      </c>
      <c r="B4502" s="334" t="s">
        <v>405</v>
      </c>
      <c r="C4502" s="334" t="s">
        <v>823</v>
      </c>
      <c r="D4502" s="334" t="s">
        <v>407</v>
      </c>
      <c r="E4502" s="336">
        <v>43777</v>
      </c>
      <c r="F4502" s="336">
        <v>43709</v>
      </c>
      <c r="G4502" s="336">
        <v>43771</v>
      </c>
      <c r="H4502" s="334" t="s">
        <v>10786</v>
      </c>
      <c r="I4502" s="426">
        <v>13524601892</v>
      </c>
      <c r="J4502" s="348" t="s">
        <v>10787</v>
      </c>
      <c r="K4502" s="470">
        <v>1000</v>
      </c>
      <c r="L4502" s="334">
        <v>12984</v>
      </c>
      <c r="M4502" s="338"/>
      <c r="N4502" s="362">
        <f t="shared" si="153"/>
        <v>12984</v>
      </c>
      <c r="X4502" s="339"/>
    </row>
    <row r="4503" s="330" customFormat="1" ht="15" customHeight="1" spans="1:24">
      <c r="A4503" s="550" t="s">
        <v>10788</v>
      </c>
      <c r="B4503" s="334" t="s">
        <v>42</v>
      </c>
      <c r="C4503" s="334" t="s">
        <v>43</v>
      </c>
      <c r="D4503" s="334" t="s">
        <v>149</v>
      </c>
      <c r="E4503" s="336">
        <v>43726</v>
      </c>
      <c r="F4503" s="336">
        <v>43709</v>
      </c>
      <c r="G4503" s="336">
        <v>43725</v>
      </c>
      <c r="H4503" s="334" t="s">
        <v>10789</v>
      </c>
      <c r="I4503" s="426">
        <v>18502187186</v>
      </c>
      <c r="J4503" s="367" t="s">
        <v>10790</v>
      </c>
      <c r="K4503" s="470">
        <v>1000</v>
      </c>
      <c r="L4503" s="334">
        <v>7393</v>
      </c>
      <c r="M4503" s="338"/>
      <c r="N4503" s="362">
        <f t="shared" si="153"/>
        <v>7393</v>
      </c>
      <c r="X4503" s="339"/>
    </row>
    <row r="4504" s="330" customFormat="1" ht="15" customHeight="1" spans="1:24">
      <c r="A4504" s="550" t="s">
        <v>876</v>
      </c>
      <c r="B4504" s="334" t="s">
        <v>42</v>
      </c>
      <c r="C4504" s="334" t="s">
        <v>43</v>
      </c>
      <c r="D4504" s="335" t="s">
        <v>44</v>
      </c>
      <c r="E4504" s="336">
        <v>43714</v>
      </c>
      <c r="F4504" s="336">
        <v>43709</v>
      </c>
      <c r="G4504" s="399"/>
      <c r="H4504" s="334" t="s">
        <v>10791</v>
      </c>
      <c r="I4504" s="426">
        <v>13262891967</v>
      </c>
      <c r="J4504" s="367" t="s">
        <v>10792</v>
      </c>
      <c r="K4504" s="470">
        <v>1000</v>
      </c>
      <c r="L4504" s="338"/>
      <c r="M4504" s="338"/>
      <c r="N4504" s="362">
        <f t="shared" si="153"/>
        <v>0</v>
      </c>
      <c r="U4504" s="471">
        <v>43723</v>
      </c>
      <c r="X4504" s="339"/>
    </row>
    <row r="4505" s="330" customFormat="1" ht="15" customHeight="1" spans="1:24">
      <c r="A4505" s="550" t="s">
        <v>10793</v>
      </c>
      <c r="B4505" s="334" t="s">
        <v>42</v>
      </c>
      <c r="C4505" s="334" t="s">
        <v>43</v>
      </c>
      <c r="D4505" s="335" t="s">
        <v>44</v>
      </c>
      <c r="E4505" s="336">
        <v>43714</v>
      </c>
      <c r="F4505" s="336">
        <v>43709</v>
      </c>
      <c r="G4505" s="399"/>
      <c r="H4505" s="334" t="s">
        <v>10794</v>
      </c>
      <c r="I4505" s="426">
        <v>15800963490</v>
      </c>
      <c r="J4505" s="367" t="s">
        <v>10795</v>
      </c>
      <c r="K4505" s="470">
        <v>1000</v>
      </c>
      <c r="L4505" s="338"/>
      <c r="M4505" s="338"/>
      <c r="N4505" s="362">
        <f t="shared" si="153"/>
        <v>0</v>
      </c>
      <c r="U4505" s="471">
        <v>43723</v>
      </c>
      <c r="X4505" s="339"/>
    </row>
    <row r="4506" s="330" customFormat="1" ht="15" customHeight="1" spans="1:24">
      <c r="A4506" s="550" t="s">
        <v>3958</v>
      </c>
      <c r="B4506" s="348" t="s">
        <v>185</v>
      </c>
      <c r="C4506" s="334" t="s">
        <v>4146</v>
      </c>
      <c r="D4506" s="335" t="s">
        <v>187</v>
      </c>
      <c r="E4506" s="336">
        <v>43720</v>
      </c>
      <c r="F4506" s="336">
        <v>43714</v>
      </c>
      <c r="G4506" s="336">
        <v>43718</v>
      </c>
      <c r="H4506" s="334" t="s">
        <v>8534</v>
      </c>
      <c r="I4506" s="426">
        <v>13571973658</v>
      </c>
      <c r="J4506" s="367" t="s">
        <v>10796</v>
      </c>
      <c r="K4506" s="470">
        <v>1000</v>
      </c>
      <c r="L4506" s="334">
        <f>13198-736</f>
        <v>12462</v>
      </c>
      <c r="M4506" s="334">
        <v>736</v>
      </c>
      <c r="N4506" s="362">
        <f t="shared" si="153"/>
        <v>13198</v>
      </c>
      <c r="X4506" s="339"/>
    </row>
    <row r="4507" s="330" customFormat="1" ht="15" customHeight="1" spans="1:24">
      <c r="A4507" s="550" t="s">
        <v>10797</v>
      </c>
      <c r="B4507" s="334" t="s">
        <v>137</v>
      </c>
      <c r="C4507" s="334" t="s">
        <v>480</v>
      </c>
      <c r="D4507" s="334" t="s">
        <v>443</v>
      </c>
      <c r="E4507" s="336">
        <v>43749</v>
      </c>
      <c r="F4507" s="336">
        <v>43714</v>
      </c>
      <c r="G4507" s="336">
        <v>43749</v>
      </c>
      <c r="H4507" s="334" t="s">
        <v>10798</v>
      </c>
      <c r="I4507" s="426">
        <v>13764676527</v>
      </c>
      <c r="J4507" s="367" t="s">
        <v>10799</v>
      </c>
      <c r="K4507" s="470">
        <v>1000</v>
      </c>
      <c r="L4507" s="334">
        <v>5738</v>
      </c>
      <c r="M4507" s="338"/>
      <c r="N4507" s="362">
        <f t="shared" si="153"/>
        <v>5738</v>
      </c>
      <c r="X4507" s="339"/>
    </row>
    <row r="4508" s="330" customFormat="1" ht="15" customHeight="1" spans="1:24">
      <c r="A4508" s="550" t="s">
        <v>10800</v>
      </c>
      <c r="B4508" s="334" t="s">
        <v>42</v>
      </c>
      <c r="C4508" s="334" t="s">
        <v>43</v>
      </c>
      <c r="D4508" s="334" t="s">
        <v>149</v>
      </c>
      <c r="E4508" s="336">
        <v>43731</v>
      </c>
      <c r="F4508" s="336">
        <v>43701</v>
      </c>
      <c r="G4508" s="336">
        <v>43730</v>
      </c>
      <c r="H4508" s="334" t="s">
        <v>10801</v>
      </c>
      <c r="I4508" s="426">
        <v>13801967180</v>
      </c>
      <c r="J4508" s="367" t="s">
        <v>10802</v>
      </c>
      <c r="K4508" s="470">
        <v>8000</v>
      </c>
      <c r="L4508" s="334">
        <v>8949</v>
      </c>
      <c r="M4508" s="338"/>
      <c r="N4508" s="362">
        <f t="shared" si="153"/>
        <v>8949</v>
      </c>
      <c r="X4508" s="339"/>
    </row>
    <row r="4509" s="330" customFormat="1" ht="15" customHeight="1" spans="1:24">
      <c r="A4509" s="348"/>
      <c r="B4509" s="334" t="s">
        <v>315</v>
      </c>
      <c r="C4509" s="334" t="s">
        <v>181</v>
      </c>
      <c r="D4509" s="352" t="s">
        <v>182</v>
      </c>
      <c r="E4509" s="336">
        <v>43719</v>
      </c>
      <c r="F4509" s="336">
        <v>43714</v>
      </c>
      <c r="G4509" s="336">
        <v>43719</v>
      </c>
      <c r="H4509" s="334" t="s">
        <v>10803</v>
      </c>
      <c r="I4509" s="426">
        <v>15317500029</v>
      </c>
      <c r="J4509" s="367" t="s">
        <v>10804</v>
      </c>
      <c r="K4509" s="470">
        <v>3100</v>
      </c>
      <c r="L4509" s="334">
        <v>3100</v>
      </c>
      <c r="M4509" s="338"/>
      <c r="N4509" s="362">
        <f t="shared" si="153"/>
        <v>3100</v>
      </c>
      <c r="X4509" s="339"/>
    </row>
    <row r="4510" s="330" customFormat="1" ht="15" customHeight="1" spans="1:24">
      <c r="A4510" s="334"/>
      <c r="B4510" s="334" t="s">
        <v>335</v>
      </c>
      <c r="C4510" s="334" t="s">
        <v>615</v>
      </c>
      <c r="D4510" s="334" t="s">
        <v>337</v>
      </c>
      <c r="E4510" s="336">
        <v>43714</v>
      </c>
      <c r="F4510" s="336"/>
      <c r="G4510" s="336">
        <v>43712</v>
      </c>
      <c r="H4510" s="334" t="s">
        <v>10805</v>
      </c>
      <c r="I4510" s="334">
        <v>13671725004</v>
      </c>
      <c r="J4510" s="334" t="s">
        <v>10806</v>
      </c>
      <c r="K4510" s="337"/>
      <c r="L4510" s="334">
        <v>16940</v>
      </c>
      <c r="M4510" s="338"/>
      <c r="N4510" s="362">
        <f t="shared" si="153"/>
        <v>16940</v>
      </c>
      <c r="X4510" s="339"/>
    </row>
    <row r="4511" s="330" customFormat="1" ht="15" customHeight="1" spans="1:24">
      <c r="A4511" s="334"/>
      <c r="B4511" s="334" t="s">
        <v>805</v>
      </c>
      <c r="C4511" s="334" t="s">
        <v>806</v>
      </c>
      <c r="D4511" s="334" t="s">
        <v>171</v>
      </c>
      <c r="E4511" s="336">
        <v>43714</v>
      </c>
      <c r="F4511" s="336"/>
      <c r="G4511" s="336">
        <v>43713</v>
      </c>
      <c r="H4511" s="334" t="s">
        <v>10807</v>
      </c>
      <c r="I4511" s="334">
        <v>13818138860</v>
      </c>
      <c r="J4511" s="334" t="s">
        <v>10808</v>
      </c>
      <c r="K4511" s="337"/>
      <c r="L4511" s="334">
        <f>55000-1680</f>
        <v>53320</v>
      </c>
      <c r="M4511" s="334">
        <v>1680</v>
      </c>
      <c r="N4511" s="362">
        <f t="shared" si="153"/>
        <v>55000</v>
      </c>
      <c r="X4511" s="339"/>
    </row>
    <row r="4512" s="330" customFormat="1" ht="15" customHeight="1" spans="1:24">
      <c r="A4512" s="334"/>
      <c r="B4512" s="348" t="s">
        <v>4009</v>
      </c>
      <c r="C4512" s="334" t="s">
        <v>6401</v>
      </c>
      <c r="D4512" s="334" t="s">
        <v>1170</v>
      </c>
      <c r="E4512" s="336">
        <v>43714</v>
      </c>
      <c r="F4512" s="336"/>
      <c r="G4512" s="336">
        <v>43707</v>
      </c>
      <c r="H4512" s="334" t="s">
        <v>10809</v>
      </c>
      <c r="I4512" s="334">
        <v>13761375244</v>
      </c>
      <c r="J4512" s="334" t="s">
        <v>10810</v>
      </c>
      <c r="K4512" s="337"/>
      <c r="L4512" s="334">
        <v>7840</v>
      </c>
      <c r="M4512" s="338"/>
      <c r="N4512" s="362">
        <f t="shared" si="153"/>
        <v>7840</v>
      </c>
      <c r="X4512" s="339"/>
    </row>
    <row r="4513" s="330" customFormat="1" ht="15" customHeight="1" spans="1:24">
      <c r="A4513" s="334"/>
      <c r="B4513" s="334" t="s">
        <v>726</v>
      </c>
      <c r="C4513" s="334" t="s">
        <v>727</v>
      </c>
      <c r="D4513" s="334" t="s">
        <v>271</v>
      </c>
      <c r="E4513" s="336">
        <v>43714</v>
      </c>
      <c r="F4513" s="336"/>
      <c r="G4513" s="336">
        <v>43714</v>
      </c>
      <c r="H4513" s="334" t="s">
        <v>10811</v>
      </c>
      <c r="I4513" s="334">
        <v>13901787710</v>
      </c>
      <c r="J4513" s="334" t="s">
        <v>10812</v>
      </c>
      <c r="K4513" s="337"/>
      <c r="L4513" s="334">
        <v>18600</v>
      </c>
      <c r="M4513" s="334">
        <v>3165</v>
      </c>
      <c r="N4513" s="362">
        <f t="shared" si="153"/>
        <v>21765</v>
      </c>
      <c r="X4513" s="339"/>
    </row>
    <row r="4514" s="330" customFormat="1" ht="15" customHeight="1" spans="1:24">
      <c r="A4514" s="334"/>
      <c r="B4514" s="334" t="s">
        <v>153</v>
      </c>
      <c r="C4514" s="334" t="s">
        <v>154</v>
      </c>
      <c r="D4514" s="334" t="s">
        <v>155</v>
      </c>
      <c r="E4514" s="336">
        <v>43714</v>
      </c>
      <c r="F4514" s="336" t="s">
        <v>800</v>
      </c>
      <c r="G4514" s="336">
        <v>43712</v>
      </c>
      <c r="H4514" s="334" t="s">
        <v>10813</v>
      </c>
      <c r="I4514" s="334">
        <v>13564730791</v>
      </c>
      <c r="J4514" s="334" t="s">
        <v>10814</v>
      </c>
      <c r="K4514" s="337"/>
      <c r="L4514" s="338"/>
      <c r="M4514" s="334">
        <v>2372</v>
      </c>
      <c r="N4514" s="362">
        <f t="shared" si="153"/>
        <v>2372</v>
      </c>
      <c r="X4514" s="339"/>
    </row>
    <row r="4515" s="330" customFormat="1" ht="15" customHeight="1" spans="1:24">
      <c r="A4515" s="334"/>
      <c r="B4515" s="334" t="s">
        <v>137</v>
      </c>
      <c r="C4515" s="334" t="s">
        <v>138</v>
      </c>
      <c r="D4515" s="334" t="s">
        <v>139</v>
      </c>
      <c r="E4515" s="336">
        <v>43714</v>
      </c>
      <c r="F4515" s="336" t="s">
        <v>800</v>
      </c>
      <c r="G4515" s="336">
        <v>43714</v>
      </c>
      <c r="H4515" s="334" t="s">
        <v>212</v>
      </c>
      <c r="I4515" s="334">
        <v>13311668865</v>
      </c>
      <c r="J4515" s="334" t="s">
        <v>213</v>
      </c>
      <c r="K4515" s="337"/>
      <c r="L4515" s="334"/>
      <c r="M4515" s="334">
        <v>371</v>
      </c>
      <c r="N4515" s="362">
        <f t="shared" si="153"/>
        <v>371</v>
      </c>
      <c r="X4515" s="339"/>
    </row>
    <row r="4516" s="330" customFormat="1" ht="15" customHeight="1" spans="1:24">
      <c r="A4516" s="334"/>
      <c r="B4516" s="334" t="s">
        <v>123</v>
      </c>
      <c r="C4516" s="334" t="s">
        <v>902</v>
      </c>
      <c r="D4516" s="335" t="s">
        <v>125</v>
      </c>
      <c r="E4516" s="336">
        <v>43714</v>
      </c>
      <c r="F4516" s="336" t="s">
        <v>800</v>
      </c>
      <c r="G4516" s="336">
        <v>43713</v>
      </c>
      <c r="H4516" s="334" t="s">
        <v>10815</v>
      </c>
      <c r="I4516" s="334">
        <v>18964190871</v>
      </c>
      <c r="J4516" s="334" t="s">
        <v>10816</v>
      </c>
      <c r="K4516" s="337"/>
      <c r="L4516" s="338"/>
      <c r="M4516" s="334">
        <v>1832</v>
      </c>
      <c r="N4516" s="362">
        <f t="shared" si="153"/>
        <v>1832</v>
      </c>
      <c r="X4516" s="339"/>
    </row>
    <row r="4517" s="330" customFormat="1" ht="15" customHeight="1" spans="1:24">
      <c r="A4517" s="334"/>
      <c r="B4517" s="348" t="s">
        <v>35</v>
      </c>
      <c r="C4517" s="348" t="s">
        <v>328</v>
      </c>
      <c r="D4517" s="349" t="s">
        <v>37</v>
      </c>
      <c r="E4517" s="336">
        <v>43714</v>
      </c>
      <c r="F4517" s="336" t="s">
        <v>800</v>
      </c>
      <c r="G4517" s="336">
        <v>43714</v>
      </c>
      <c r="H4517" s="334" t="s">
        <v>10817</v>
      </c>
      <c r="I4517" s="334">
        <v>18918552996</v>
      </c>
      <c r="J4517" s="334" t="s">
        <v>10818</v>
      </c>
      <c r="K4517" s="337"/>
      <c r="L4517" s="338"/>
      <c r="M4517" s="338">
        <f>-140+1340</f>
        <v>1200</v>
      </c>
      <c r="N4517" s="362">
        <f t="shared" si="153"/>
        <v>1200</v>
      </c>
      <c r="X4517" s="339"/>
    </row>
    <row r="4518" s="330" customFormat="1" ht="15" customHeight="1" spans="1:24">
      <c r="A4518" s="334"/>
      <c r="B4518" s="348" t="s">
        <v>137</v>
      </c>
      <c r="C4518" s="348" t="s">
        <v>480</v>
      </c>
      <c r="D4518" s="349" t="s">
        <v>139</v>
      </c>
      <c r="E4518" s="336">
        <v>43714</v>
      </c>
      <c r="F4518" s="336" t="s">
        <v>800</v>
      </c>
      <c r="G4518" s="336">
        <v>43714</v>
      </c>
      <c r="H4518" s="334" t="s">
        <v>1992</v>
      </c>
      <c r="I4518" s="334">
        <v>18117547050</v>
      </c>
      <c r="J4518" s="334" t="s">
        <v>1993</v>
      </c>
      <c r="K4518" s="337"/>
      <c r="L4518" s="338"/>
      <c r="M4518" s="334">
        <f>2729</f>
        <v>2729</v>
      </c>
      <c r="N4518" s="362">
        <f t="shared" si="153"/>
        <v>2729</v>
      </c>
      <c r="X4518" s="339"/>
    </row>
    <row r="4519" s="330" customFormat="1" ht="15" customHeight="1" spans="1:24">
      <c r="A4519" s="334"/>
      <c r="B4519" s="348" t="s">
        <v>243</v>
      </c>
      <c r="C4519" s="348" t="s">
        <v>309</v>
      </c>
      <c r="D4519" s="352" t="s">
        <v>49</v>
      </c>
      <c r="E4519" s="336">
        <v>43714</v>
      </c>
      <c r="F4519" s="336" t="s">
        <v>800</v>
      </c>
      <c r="G4519" s="336">
        <v>43714</v>
      </c>
      <c r="H4519" s="334" t="s">
        <v>6335</v>
      </c>
      <c r="I4519" s="334">
        <v>13818535742</v>
      </c>
      <c r="J4519" s="334" t="s">
        <v>10819</v>
      </c>
      <c r="K4519" s="337"/>
      <c r="L4519" s="338"/>
      <c r="M4519" s="334">
        <v>5149</v>
      </c>
      <c r="N4519" s="362">
        <f t="shared" si="153"/>
        <v>5149</v>
      </c>
      <c r="X4519" s="339"/>
    </row>
    <row r="4520" s="330" customFormat="1" ht="15" customHeight="1" spans="1:24">
      <c r="A4520" s="334"/>
      <c r="B4520" s="348" t="s">
        <v>87</v>
      </c>
      <c r="C4520" s="348" t="s">
        <v>1757</v>
      </c>
      <c r="D4520" s="349" t="s">
        <v>89</v>
      </c>
      <c r="E4520" s="336">
        <v>43714</v>
      </c>
      <c r="F4520" s="336" t="s">
        <v>800</v>
      </c>
      <c r="G4520" s="336">
        <v>43714</v>
      </c>
      <c r="H4520" s="334" t="s">
        <v>2907</v>
      </c>
      <c r="I4520" s="356">
        <v>13817498368</v>
      </c>
      <c r="J4520" s="348" t="s">
        <v>2908</v>
      </c>
      <c r="K4520" s="337"/>
      <c r="L4520" s="338"/>
      <c r="M4520" s="334">
        <v>2059</v>
      </c>
      <c r="N4520" s="362">
        <f t="shared" si="153"/>
        <v>2059</v>
      </c>
      <c r="X4520" s="339"/>
    </row>
    <row r="4521" s="330" customFormat="1" ht="15" customHeight="1" spans="1:24">
      <c r="A4521" s="348"/>
      <c r="B4521" s="334" t="s">
        <v>137</v>
      </c>
      <c r="C4521" s="334" t="s">
        <v>861</v>
      </c>
      <c r="D4521" s="334" t="s">
        <v>139</v>
      </c>
      <c r="E4521" s="336">
        <v>43716</v>
      </c>
      <c r="F4521" s="336">
        <v>43714</v>
      </c>
      <c r="G4521" s="336">
        <v>43715</v>
      </c>
      <c r="H4521" s="334" t="s">
        <v>10820</v>
      </c>
      <c r="I4521" s="426">
        <v>13901878965</v>
      </c>
      <c r="J4521" s="367" t="s">
        <v>10821</v>
      </c>
      <c r="K4521" s="470">
        <v>5500</v>
      </c>
      <c r="L4521" s="334">
        <f>27500-1472</f>
        <v>26028</v>
      </c>
      <c r="M4521" s="334">
        <v>1472</v>
      </c>
      <c r="N4521" s="362">
        <f t="shared" ref="N4521:N4550" si="154">L4521+M4521</f>
        <v>27500</v>
      </c>
      <c r="X4521" s="339"/>
    </row>
    <row r="4522" s="330" customFormat="1" ht="15" customHeight="1" spans="1:24">
      <c r="A4522" s="550" t="s">
        <v>10822</v>
      </c>
      <c r="B4522" s="334" t="s">
        <v>42</v>
      </c>
      <c r="C4522" s="334" t="s">
        <v>43</v>
      </c>
      <c r="D4522" s="335" t="s">
        <v>44</v>
      </c>
      <c r="E4522" s="336">
        <v>43715</v>
      </c>
      <c r="F4522" s="336">
        <v>43714</v>
      </c>
      <c r="G4522" s="399"/>
      <c r="H4522" s="334" t="s">
        <v>10823</v>
      </c>
      <c r="I4522" s="426">
        <v>13818347598</v>
      </c>
      <c r="J4522" s="367" t="s">
        <v>10824</v>
      </c>
      <c r="K4522" s="470">
        <v>1000</v>
      </c>
      <c r="L4522" s="338"/>
      <c r="M4522" s="338"/>
      <c r="N4522" s="362">
        <f t="shared" si="154"/>
        <v>0</v>
      </c>
      <c r="U4522" s="471">
        <v>43723</v>
      </c>
      <c r="X4522" s="339"/>
    </row>
    <row r="4523" s="330" customFormat="1" ht="15" customHeight="1" spans="1:24">
      <c r="A4523" s="550" t="s">
        <v>10825</v>
      </c>
      <c r="B4523" s="334" t="s">
        <v>66</v>
      </c>
      <c r="C4523" s="334" t="s">
        <v>10826</v>
      </c>
      <c r="D4523" s="335" t="s">
        <v>68</v>
      </c>
      <c r="E4523" s="336">
        <v>43715</v>
      </c>
      <c r="F4523" s="336">
        <v>43714</v>
      </c>
      <c r="G4523" s="399"/>
      <c r="H4523" s="334" t="s">
        <v>10826</v>
      </c>
      <c r="I4523" s="426">
        <v>18616093176</v>
      </c>
      <c r="J4523" s="367" t="s">
        <v>10827</v>
      </c>
      <c r="K4523" s="470">
        <v>1000</v>
      </c>
      <c r="L4523" s="338"/>
      <c r="M4523" s="338"/>
      <c r="N4523" s="362">
        <f t="shared" si="154"/>
        <v>0</v>
      </c>
      <c r="X4523" s="339"/>
    </row>
    <row r="4524" s="330" customFormat="1" ht="15" customHeight="1" spans="1:24">
      <c r="A4524" s="348">
        <v>2068683</v>
      </c>
      <c r="B4524" s="334" t="s">
        <v>137</v>
      </c>
      <c r="C4524" s="334" t="s">
        <v>411</v>
      </c>
      <c r="D4524" s="335" t="s">
        <v>427</v>
      </c>
      <c r="E4524" s="336">
        <v>43721</v>
      </c>
      <c r="F4524" s="336">
        <v>43715</v>
      </c>
      <c r="G4524" s="336">
        <v>43720</v>
      </c>
      <c r="H4524" s="334" t="s">
        <v>10828</v>
      </c>
      <c r="I4524" s="426">
        <v>13816699329</v>
      </c>
      <c r="J4524" s="367" t="s">
        <v>10829</v>
      </c>
      <c r="K4524" s="470">
        <v>1000</v>
      </c>
      <c r="L4524" s="334">
        <v>6771</v>
      </c>
      <c r="M4524" s="334">
        <v>100</v>
      </c>
      <c r="N4524" s="362">
        <f t="shared" si="154"/>
        <v>6871</v>
      </c>
      <c r="X4524" s="339"/>
    </row>
    <row r="4525" s="330" customFormat="1" ht="15" customHeight="1" spans="1:24">
      <c r="A4525" s="348"/>
      <c r="B4525" s="334" t="s">
        <v>31</v>
      </c>
      <c r="C4525" s="334" t="s">
        <v>3186</v>
      </c>
      <c r="D4525" s="334" t="s">
        <v>954</v>
      </c>
      <c r="E4525" s="336">
        <v>43731</v>
      </c>
      <c r="F4525" s="336">
        <v>43714</v>
      </c>
      <c r="G4525" s="336">
        <v>43730</v>
      </c>
      <c r="H4525" s="334" t="s">
        <v>10830</v>
      </c>
      <c r="I4525" s="426">
        <v>18717794587</v>
      </c>
      <c r="J4525" s="367" t="s">
        <v>10831</v>
      </c>
      <c r="K4525" s="470">
        <v>1000</v>
      </c>
      <c r="L4525" s="334">
        <v>5625</v>
      </c>
      <c r="M4525" s="338"/>
      <c r="N4525" s="362">
        <f t="shared" si="154"/>
        <v>5625</v>
      </c>
      <c r="X4525" s="339"/>
    </row>
    <row r="4526" s="330" customFormat="1" ht="15" customHeight="1" spans="1:24">
      <c r="A4526" s="348"/>
      <c r="B4526" s="348" t="s">
        <v>169</v>
      </c>
      <c r="C4526" s="334" t="s">
        <v>542</v>
      </c>
      <c r="D4526" s="335" t="s">
        <v>171</v>
      </c>
      <c r="E4526" s="336">
        <v>43727</v>
      </c>
      <c r="F4526" s="336">
        <v>43714</v>
      </c>
      <c r="G4526" s="336">
        <v>43723</v>
      </c>
      <c r="H4526" s="334" t="s">
        <v>10832</v>
      </c>
      <c r="I4526" s="426">
        <v>18502100432</v>
      </c>
      <c r="J4526" s="367" t="s">
        <v>10833</v>
      </c>
      <c r="K4526" s="470">
        <v>1000</v>
      </c>
      <c r="L4526" s="334">
        <f>14568-1072</f>
        <v>13496</v>
      </c>
      <c r="M4526" s="334">
        <v>1072</v>
      </c>
      <c r="N4526" s="362">
        <f t="shared" si="154"/>
        <v>14568</v>
      </c>
      <c r="X4526" s="339"/>
    </row>
    <row r="4527" s="330" customFormat="1" ht="15" customHeight="1" spans="1:24">
      <c r="A4527" s="550" t="s">
        <v>10649</v>
      </c>
      <c r="B4527" s="334" t="s">
        <v>153</v>
      </c>
      <c r="C4527" s="334" t="s">
        <v>154</v>
      </c>
      <c r="D4527" s="335" t="s">
        <v>155</v>
      </c>
      <c r="E4527" s="336">
        <v>43721</v>
      </c>
      <c r="F4527" s="336">
        <v>43715</v>
      </c>
      <c r="G4527" s="336">
        <v>43721</v>
      </c>
      <c r="H4527" s="334" t="s">
        <v>10834</v>
      </c>
      <c r="I4527" s="426">
        <v>17321058009</v>
      </c>
      <c r="J4527" s="367" t="s">
        <v>10835</v>
      </c>
      <c r="K4527" s="470">
        <v>1000</v>
      </c>
      <c r="L4527" s="473">
        <v>6158</v>
      </c>
      <c r="M4527" s="338"/>
      <c r="N4527" s="362">
        <f t="shared" si="154"/>
        <v>6158</v>
      </c>
      <c r="V4527" s="330" t="s">
        <v>2494</v>
      </c>
      <c r="X4527" s="339"/>
    </row>
    <row r="4528" s="330" customFormat="1" ht="15" customHeight="1" spans="1:24">
      <c r="A4528" s="550" t="s">
        <v>10836</v>
      </c>
      <c r="B4528" s="334" t="s">
        <v>335</v>
      </c>
      <c r="C4528" s="334" t="s">
        <v>615</v>
      </c>
      <c r="D4528" s="335" t="s">
        <v>337</v>
      </c>
      <c r="E4528" s="336">
        <v>43726</v>
      </c>
      <c r="F4528" s="336">
        <v>43715</v>
      </c>
      <c r="G4528" s="336">
        <v>43725</v>
      </c>
      <c r="H4528" s="334" t="s">
        <v>10837</v>
      </c>
      <c r="I4528" s="426">
        <v>15317385179</v>
      </c>
      <c r="J4528" s="367" t="s">
        <v>10838</v>
      </c>
      <c r="K4528" s="470">
        <v>5097</v>
      </c>
      <c r="L4528" s="334">
        <v>6251</v>
      </c>
      <c r="M4528" s="338"/>
      <c r="N4528" s="362">
        <f t="shared" si="154"/>
        <v>6251</v>
      </c>
      <c r="X4528" s="339"/>
    </row>
    <row r="4529" s="330" customFormat="1" ht="15" customHeight="1" spans="1:24">
      <c r="A4529" s="550" t="s">
        <v>10839</v>
      </c>
      <c r="B4529" s="334" t="s">
        <v>405</v>
      </c>
      <c r="C4529" s="334" t="s">
        <v>1234</v>
      </c>
      <c r="D4529" s="335" t="s">
        <v>407</v>
      </c>
      <c r="E4529" s="336">
        <v>43719</v>
      </c>
      <c r="F4529" s="336">
        <v>43714</v>
      </c>
      <c r="G4529" s="336">
        <v>43714</v>
      </c>
      <c r="H4529" s="334" t="s">
        <v>10840</v>
      </c>
      <c r="I4529" s="426">
        <v>13321899509</v>
      </c>
      <c r="J4529" s="367" t="s">
        <v>10841</v>
      </c>
      <c r="K4529" s="470">
        <v>3697.97</v>
      </c>
      <c r="L4529" s="334">
        <f>13658-536</f>
        <v>13122</v>
      </c>
      <c r="M4529" s="334">
        <v>536</v>
      </c>
      <c r="N4529" s="362">
        <f t="shared" si="154"/>
        <v>13658</v>
      </c>
      <c r="X4529" s="339"/>
    </row>
    <row r="4530" s="330" customFormat="1" ht="15" customHeight="1" spans="1:24">
      <c r="A4530" s="348"/>
      <c r="B4530" s="334" t="s">
        <v>805</v>
      </c>
      <c r="C4530" s="334" t="s">
        <v>806</v>
      </c>
      <c r="D4530" s="335" t="s">
        <v>171</v>
      </c>
      <c r="E4530" s="336">
        <v>43719</v>
      </c>
      <c r="F4530" s="336">
        <v>43715</v>
      </c>
      <c r="G4530" s="336">
        <v>43719</v>
      </c>
      <c r="H4530" s="334" t="s">
        <v>10842</v>
      </c>
      <c r="I4530" s="426">
        <v>13041629080</v>
      </c>
      <c r="J4530" s="367" t="s">
        <v>10843</v>
      </c>
      <c r="K4530" s="470">
        <v>3634</v>
      </c>
      <c r="L4530" s="334">
        <v>4303</v>
      </c>
      <c r="M4530" s="338"/>
      <c r="N4530" s="362">
        <f t="shared" si="154"/>
        <v>4303</v>
      </c>
      <c r="X4530" s="339"/>
    </row>
    <row r="4531" s="330" customFormat="1" ht="15" customHeight="1" spans="1:24">
      <c r="A4531" s="550" t="s">
        <v>10844</v>
      </c>
      <c r="B4531" s="334" t="s">
        <v>42</v>
      </c>
      <c r="C4531" s="334" t="s">
        <v>43</v>
      </c>
      <c r="D4531" s="334" t="s">
        <v>149</v>
      </c>
      <c r="E4531" s="336">
        <v>43721</v>
      </c>
      <c r="F4531" s="336">
        <v>43715</v>
      </c>
      <c r="G4531" s="336">
        <v>43720</v>
      </c>
      <c r="H4531" s="334" t="s">
        <v>10845</v>
      </c>
      <c r="I4531" s="426">
        <v>13482527270</v>
      </c>
      <c r="J4531" s="367" t="s">
        <v>10846</v>
      </c>
      <c r="K4531" s="470">
        <v>22000</v>
      </c>
      <c r="L4531" s="334">
        <v>24704</v>
      </c>
      <c r="M4531" s="338"/>
      <c r="N4531" s="362">
        <f t="shared" si="154"/>
        <v>24704</v>
      </c>
      <c r="X4531" s="339"/>
    </row>
    <row r="4532" s="330" customFormat="1" ht="15" customHeight="1" spans="1:24">
      <c r="A4532" s="348"/>
      <c r="B4532" s="334" t="s">
        <v>169</v>
      </c>
      <c r="C4532" s="334" t="s">
        <v>542</v>
      </c>
      <c r="D4532" s="335" t="s">
        <v>171</v>
      </c>
      <c r="E4532" s="336">
        <v>43738</v>
      </c>
      <c r="F4532" s="336">
        <v>43715</v>
      </c>
      <c r="G4532" s="336">
        <v>43738</v>
      </c>
      <c r="H4532" s="334" t="s">
        <v>10847</v>
      </c>
      <c r="I4532" s="426">
        <v>15821631127</v>
      </c>
      <c r="J4532" s="367" t="s">
        <v>10848</v>
      </c>
      <c r="K4532" s="470">
        <v>1000</v>
      </c>
      <c r="L4532" s="334">
        <v>12100</v>
      </c>
      <c r="M4532" s="338"/>
      <c r="N4532" s="362">
        <f t="shared" si="154"/>
        <v>12100</v>
      </c>
      <c r="X4532" s="339"/>
    </row>
    <row r="4533" s="330" customFormat="1" ht="15" customHeight="1" spans="1:24">
      <c r="A4533" s="550" t="s">
        <v>5272</v>
      </c>
      <c r="B4533" s="334" t="s">
        <v>31</v>
      </c>
      <c r="C4533" s="334" t="s">
        <v>220</v>
      </c>
      <c r="D4533" s="335" t="s">
        <v>221</v>
      </c>
      <c r="E4533" s="336">
        <v>43715</v>
      </c>
      <c r="F4533" s="336">
        <v>43715</v>
      </c>
      <c r="G4533" s="399"/>
      <c r="H4533" s="334" t="s">
        <v>10849</v>
      </c>
      <c r="I4533" s="426">
        <v>13501729530</v>
      </c>
      <c r="J4533" s="367" t="s">
        <v>10850</v>
      </c>
      <c r="K4533" s="470">
        <v>1000</v>
      </c>
      <c r="L4533" s="338"/>
      <c r="M4533" s="338"/>
      <c r="N4533" s="362">
        <f t="shared" si="154"/>
        <v>0</v>
      </c>
      <c r="U4533" s="400" t="s">
        <v>7304</v>
      </c>
      <c r="X4533" s="339"/>
    </row>
    <row r="4534" s="330" customFormat="1" ht="15" customHeight="1" spans="1:24">
      <c r="A4534" s="348">
        <v>20225</v>
      </c>
      <c r="B4534" s="334" t="s">
        <v>73</v>
      </c>
      <c r="C4534" s="334" t="s">
        <v>74</v>
      </c>
      <c r="D4534" s="334" t="s">
        <v>75</v>
      </c>
      <c r="E4534" s="336">
        <v>43738</v>
      </c>
      <c r="F4534" s="336">
        <v>43715</v>
      </c>
      <c r="G4534" s="336">
        <v>43738</v>
      </c>
      <c r="H4534" s="334" t="s">
        <v>10851</v>
      </c>
      <c r="I4534" s="426">
        <v>13651986450</v>
      </c>
      <c r="J4534" s="367" t="s">
        <v>10852</v>
      </c>
      <c r="K4534" s="470">
        <v>1000</v>
      </c>
      <c r="L4534" s="334">
        <v>43425</v>
      </c>
      <c r="M4534" s="338"/>
      <c r="N4534" s="362">
        <f t="shared" si="154"/>
        <v>43425</v>
      </c>
      <c r="X4534" s="339"/>
    </row>
    <row r="4535" s="330" customFormat="1" ht="15" customHeight="1" spans="1:24">
      <c r="A4535" s="550" t="s">
        <v>927</v>
      </c>
      <c r="B4535" s="334" t="s">
        <v>42</v>
      </c>
      <c r="C4535" s="334" t="s">
        <v>43</v>
      </c>
      <c r="D4535" s="334" t="s">
        <v>207</v>
      </c>
      <c r="E4535" s="336">
        <v>43738</v>
      </c>
      <c r="F4535" s="336">
        <v>43715</v>
      </c>
      <c r="G4535" s="336">
        <v>43738</v>
      </c>
      <c r="H4535" s="334" t="s">
        <v>10853</v>
      </c>
      <c r="I4535" s="334">
        <v>17811981756</v>
      </c>
      <c r="J4535" s="334" t="s">
        <v>10854</v>
      </c>
      <c r="K4535" s="470">
        <v>1000</v>
      </c>
      <c r="L4535" s="334">
        <v>5968</v>
      </c>
      <c r="M4535" s="338"/>
      <c r="N4535" s="362">
        <f t="shared" si="154"/>
        <v>5968</v>
      </c>
      <c r="X4535" s="339"/>
    </row>
    <row r="4536" s="330" customFormat="1" ht="15" customHeight="1" spans="1:24">
      <c r="A4536" s="348"/>
      <c r="B4536" s="334" t="s">
        <v>137</v>
      </c>
      <c r="C4536" s="334" t="s">
        <v>406</v>
      </c>
      <c r="D4536" s="334" t="s">
        <v>139</v>
      </c>
      <c r="E4536" s="336">
        <v>43729</v>
      </c>
      <c r="F4536" s="336">
        <v>43715</v>
      </c>
      <c r="G4536" s="336">
        <v>43728</v>
      </c>
      <c r="H4536" s="334" t="s">
        <v>10855</v>
      </c>
      <c r="I4536" s="426">
        <v>18917609285</v>
      </c>
      <c r="J4536" s="367" t="s">
        <v>10856</v>
      </c>
      <c r="K4536" s="470">
        <v>1000</v>
      </c>
      <c r="L4536" s="334">
        <v>10889</v>
      </c>
      <c r="M4536" s="338"/>
      <c r="N4536" s="362">
        <f t="shared" si="154"/>
        <v>10889</v>
      </c>
      <c r="X4536" s="339"/>
    </row>
    <row r="4537" s="330" customFormat="1" ht="15" customHeight="1" spans="1:24">
      <c r="A4537" s="550" t="s">
        <v>10857</v>
      </c>
      <c r="B4537" s="334" t="s">
        <v>47</v>
      </c>
      <c r="C4537" s="334" t="s">
        <v>80</v>
      </c>
      <c r="D4537" s="335" t="s">
        <v>49</v>
      </c>
      <c r="E4537" s="336">
        <v>43718</v>
      </c>
      <c r="F4537" s="336">
        <v>43715</v>
      </c>
      <c r="G4537" s="336">
        <v>43718</v>
      </c>
      <c r="H4537" s="334" t="s">
        <v>10858</v>
      </c>
      <c r="I4537" s="426">
        <v>13162987877</v>
      </c>
      <c r="J4537" s="367" t="s">
        <v>10859</v>
      </c>
      <c r="K4537" s="470">
        <v>1000</v>
      </c>
      <c r="L4537" s="334">
        <v>3754</v>
      </c>
      <c r="M4537" s="338"/>
      <c r="N4537" s="362">
        <f t="shared" si="154"/>
        <v>3754</v>
      </c>
      <c r="X4537" s="339"/>
    </row>
    <row r="4538" s="330" customFormat="1" ht="15" customHeight="1" spans="1:24">
      <c r="A4538" s="550" t="s">
        <v>10860</v>
      </c>
      <c r="B4538" s="334" t="s">
        <v>4009</v>
      </c>
      <c r="C4538" s="334" t="s">
        <v>6401</v>
      </c>
      <c r="D4538" s="349" t="s">
        <v>207</v>
      </c>
      <c r="E4538" s="336">
        <v>43715</v>
      </c>
      <c r="F4538" s="336">
        <v>43715</v>
      </c>
      <c r="G4538" s="399"/>
      <c r="H4538" s="334" t="s">
        <v>10861</v>
      </c>
      <c r="I4538" s="426">
        <v>15821854392</v>
      </c>
      <c r="J4538" s="367" t="s">
        <v>10862</v>
      </c>
      <c r="K4538" s="470">
        <v>10000</v>
      </c>
      <c r="L4538" s="338"/>
      <c r="M4538" s="338"/>
      <c r="N4538" s="362">
        <f t="shared" si="154"/>
        <v>0</v>
      </c>
      <c r="U4538" s="353" t="s">
        <v>10863</v>
      </c>
      <c r="X4538" s="339"/>
    </row>
    <row r="4539" s="330" customFormat="1" ht="15" customHeight="1" spans="1:24">
      <c r="A4539" s="550" t="s">
        <v>10864</v>
      </c>
      <c r="B4539" s="334" t="s">
        <v>66</v>
      </c>
      <c r="C4539" s="334" t="s">
        <v>1749</v>
      </c>
      <c r="D4539" s="335" t="s">
        <v>68</v>
      </c>
      <c r="E4539" s="336">
        <v>43722</v>
      </c>
      <c r="F4539" s="336">
        <v>43715</v>
      </c>
      <c r="G4539" s="336">
        <v>43721</v>
      </c>
      <c r="H4539" s="334" t="s">
        <v>10865</v>
      </c>
      <c r="I4539" s="426">
        <v>18121004184</v>
      </c>
      <c r="J4539" s="367" t="s">
        <v>10866</v>
      </c>
      <c r="K4539" s="470">
        <v>1000</v>
      </c>
      <c r="L4539" s="334">
        <v>22678</v>
      </c>
      <c r="M4539" s="338"/>
      <c r="N4539" s="362">
        <f t="shared" si="154"/>
        <v>22678</v>
      </c>
      <c r="X4539" s="339"/>
    </row>
    <row r="4540" s="330" customFormat="1" ht="15" customHeight="1" spans="1:24">
      <c r="A4540" s="348">
        <v>2022520</v>
      </c>
      <c r="B4540" s="334" t="s">
        <v>73</v>
      </c>
      <c r="C4540" s="334" t="s">
        <v>178</v>
      </c>
      <c r="D4540" s="334" t="s">
        <v>44</v>
      </c>
      <c r="E4540" s="336">
        <v>43765</v>
      </c>
      <c r="F4540" s="336">
        <v>43715</v>
      </c>
      <c r="G4540" s="336">
        <v>43765</v>
      </c>
      <c r="H4540" s="334" t="s">
        <v>10867</v>
      </c>
      <c r="I4540" s="426">
        <v>18917616837</v>
      </c>
      <c r="J4540" s="367" t="s">
        <v>10868</v>
      </c>
      <c r="K4540" s="470">
        <v>1000</v>
      </c>
      <c r="L4540" s="334">
        <v>22500</v>
      </c>
      <c r="M4540" s="338"/>
      <c r="N4540" s="362">
        <f t="shared" si="154"/>
        <v>22500</v>
      </c>
      <c r="X4540" s="339"/>
    </row>
    <row r="4541" s="330" customFormat="1" ht="15" customHeight="1" spans="1:24">
      <c r="A4541" s="348"/>
      <c r="B4541" s="334" t="s">
        <v>31</v>
      </c>
      <c r="C4541" s="334" t="s">
        <v>32</v>
      </c>
      <c r="D4541" s="335" t="s">
        <v>125</v>
      </c>
      <c r="E4541" s="336">
        <v>43718</v>
      </c>
      <c r="F4541" s="336">
        <v>43715</v>
      </c>
      <c r="G4541" s="336">
        <v>43718</v>
      </c>
      <c r="H4541" s="334" t="s">
        <v>2983</v>
      </c>
      <c r="I4541" s="426">
        <v>15800370970</v>
      </c>
      <c r="J4541" s="367" t="s">
        <v>10869</v>
      </c>
      <c r="K4541" s="470">
        <v>1000</v>
      </c>
      <c r="L4541" s="334">
        <f>9536-1472</f>
        <v>8064</v>
      </c>
      <c r="M4541" s="334">
        <v>1472</v>
      </c>
      <c r="N4541" s="362">
        <f t="shared" si="154"/>
        <v>9536</v>
      </c>
      <c r="X4541" s="339"/>
    </row>
    <row r="4542" s="330" customFormat="1" ht="15" customHeight="1" spans="1:24">
      <c r="A4542" s="550" t="s">
        <v>10870</v>
      </c>
      <c r="B4542" s="334" t="s">
        <v>354</v>
      </c>
      <c r="C4542" s="334" t="s">
        <v>355</v>
      </c>
      <c r="D4542" s="334" t="s">
        <v>207</v>
      </c>
      <c r="E4542" s="336">
        <v>43737</v>
      </c>
      <c r="F4542" s="336">
        <v>43695</v>
      </c>
      <c r="G4542" s="336">
        <v>43734</v>
      </c>
      <c r="H4542" s="334" t="s">
        <v>10871</v>
      </c>
      <c r="I4542" s="426">
        <v>13901608305</v>
      </c>
      <c r="J4542" s="367" t="s">
        <v>10872</v>
      </c>
      <c r="K4542" s="470">
        <v>21021</v>
      </c>
      <c r="L4542" s="334">
        <v>20978</v>
      </c>
      <c r="M4542" s="338"/>
      <c r="N4542" s="362">
        <f t="shared" si="154"/>
        <v>20978</v>
      </c>
      <c r="P4542" s="356" t="s">
        <v>52</v>
      </c>
      <c r="X4542" s="339"/>
    </row>
    <row r="4543" s="330" customFormat="1" ht="15" customHeight="1" spans="1:24">
      <c r="A4543" s="348"/>
      <c r="B4543" s="334" t="s">
        <v>123</v>
      </c>
      <c r="C4543" s="334" t="s">
        <v>32</v>
      </c>
      <c r="D4543" s="335" t="s">
        <v>125</v>
      </c>
      <c r="E4543" s="336">
        <v>43718</v>
      </c>
      <c r="F4543" s="336">
        <v>43715</v>
      </c>
      <c r="G4543" s="336">
        <v>43718</v>
      </c>
      <c r="H4543" s="334" t="s">
        <v>10873</v>
      </c>
      <c r="I4543" s="426">
        <v>1331166189</v>
      </c>
      <c r="J4543" s="367" t="s">
        <v>10874</v>
      </c>
      <c r="K4543" s="470">
        <v>1000</v>
      </c>
      <c r="L4543" s="334">
        <v>5943</v>
      </c>
      <c r="M4543" s="338"/>
      <c r="N4543" s="362">
        <f t="shared" si="154"/>
        <v>5943</v>
      </c>
      <c r="X4543" s="339"/>
    </row>
    <row r="4544" s="330" customFormat="1" ht="15" customHeight="1" spans="1:24">
      <c r="A4544" s="550" t="s">
        <v>10875</v>
      </c>
      <c r="B4544" s="334" t="s">
        <v>35</v>
      </c>
      <c r="C4544" s="334" t="s">
        <v>328</v>
      </c>
      <c r="D4544" s="335" t="s">
        <v>37</v>
      </c>
      <c r="E4544" s="336">
        <v>43738</v>
      </c>
      <c r="F4544" s="336">
        <v>43715</v>
      </c>
      <c r="G4544" s="336">
        <v>43738</v>
      </c>
      <c r="H4544" s="334" t="s">
        <v>10876</v>
      </c>
      <c r="I4544" s="426">
        <v>15800617426</v>
      </c>
      <c r="J4544" s="367" t="s">
        <v>10877</v>
      </c>
      <c r="K4544" s="470">
        <v>10000</v>
      </c>
      <c r="L4544" s="334">
        <v>10000</v>
      </c>
      <c r="M4544" s="338"/>
      <c r="N4544" s="362">
        <f t="shared" si="154"/>
        <v>10000</v>
      </c>
      <c r="X4544" s="339"/>
    </row>
    <row r="4545" s="330" customFormat="1" ht="15" customHeight="1" spans="1:24">
      <c r="A4545" s="334"/>
      <c r="B4545" s="334" t="s">
        <v>58</v>
      </c>
      <c r="C4545" s="334" t="s">
        <v>794</v>
      </c>
      <c r="D4545" s="334" t="s">
        <v>110</v>
      </c>
      <c r="E4545" s="336">
        <v>43715</v>
      </c>
      <c r="F4545" s="336"/>
      <c r="G4545" s="336">
        <v>43714</v>
      </c>
      <c r="H4545" s="334" t="s">
        <v>4307</v>
      </c>
      <c r="I4545" s="334">
        <v>13918199160</v>
      </c>
      <c r="J4545" s="348" t="s">
        <v>4308</v>
      </c>
      <c r="K4545" s="337"/>
      <c r="L4545" s="334">
        <v>658</v>
      </c>
      <c r="M4545" s="334">
        <v>1104</v>
      </c>
      <c r="N4545" s="362">
        <f t="shared" si="154"/>
        <v>1762</v>
      </c>
      <c r="X4545" s="339"/>
    </row>
    <row r="4546" s="330" customFormat="1" ht="15" customHeight="1" spans="1:24">
      <c r="A4546" s="334"/>
      <c r="B4546" s="334" t="s">
        <v>153</v>
      </c>
      <c r="C4546" s="334" t="s">
        <v>154</v>
      </c>
      <c r="D4546" s="334" t="s">
        <v>271</v>
      </c>
      <c r="E4546" s="336">
        <v>43715</v>
      </c>
      <c r="F4546" s="336"/>
      <c r="G4546" s="336">
        <v>43714</v>
      </c>
      <c r="H4546" s="334" t="s">
        <v>357</v>
      </c>
      <c r="I4546" s="334">
        <v>13585696478</v>
      </c>
      <c r="J4546" s="348" t="s">
        <v>553</v>
      </c>
      <c r="K4546" s="337"/>
      <c r="L4546" s="334">
        <v>4850</v>
      </c>
      <c r="M4546" s="334">
        <v>-50</v>
      </c>
      <c r="N4546" s="362">
        <f t="shared" si="154"/>
        <v>4800</v>
      </c>
      <c r="X4546" s="339"/>
    </row>
    <row r="4547" s="330" customFormat="1" ht="15" customHeight="1" spans="1:24">
      <c r="A4547" s="334"/>
      <c r="B4547" s="334" t="s">
        <v>58</v>
      </c>
      <c r="C4547" s="334" t="s">
        <v>342</v>
      </c>
      <c r="D4547" s="334" t="s">
        <v>343</v>
      </c>
      <c r="E4547" s="336">
        <v>43715</v>
      </c>
      <c r="F4547" s="336" t="s">
        <v>800</v>
      </c>
      <c r="G4547" s="336">
        <v>43708</v>
      </c>
      <c r="H4547" s="334" t="s">
        <v>10878</v>
      </c>
      <c r="I4547" s="334">
        <v>18616529757</v>
      </c>
      <c r="J4547" s="348" t="s">
        <v>10879</v>
      </c>
      <c r="K4547" s="337"/>
      <c r="L4547" s="334"/>
      <c r="M4547" s="334">
        <v>8507</v>
      </c>
      <c r="N4547" s="362">
        <f t="shared" si="154"/>
        <v>8507</v>
      </c>
      <c r="X4547" s="339"/>
    </row>
    <row r="4548" s="330" customFormat="1" ht="15" customHeight="1" spans="1:24">
      <c r="A4548" s="334"/>
      <c r="B4548" s="334" t="s">
        <v>31</v>
      </c>
      <c r="C4548" s="334" t="s">
        <v>220</v>
      </c>
      <c r="D4548" s="334" t="s">
        <v>221</v>
      </c>
      <c r="E4548" s="336">
        <v>43715</v>
      </c>
      <c r="F4548" s="336" t="s">
        <v>800</v>
      </c>
      <c r="G4548" s="336">
        <v>43715</v>
      </c>
      <c r="H4548" s="334" t="s">
        <v>517</v>
      </c>
      <c r="I4548" s="334">
        <v>13918227864</v>
      </c>
      <c r="J4548" s="334" t="s">
        <v>10880</v>
      </c>
      <c r="K4548" s="337"/>
      <c r="L4548" s="338"/>
      <c r="M4548" s="334">
        <v>606</v>
      </c>
      <c r="N4548" s="362">
        <f t="shared" si="154"/>
        <v>606</v>
      </c>
      <c r="X4548" s="339"/>
    </row>
    <row r="4549" s="330" customFormat="1" ht="15" customHeight="1" spans="1:24">
      <c r="A4549" s="334"/>
      <c r="B4549" s="334" t="s">
        <v>31</v>
      </c>
      <c r="C4549" s="334" t="s">
        <v>32</v>
      </c>
      <c r="D4549" s="349" t="s">
        <v>162</v>
      </c>
      <c r="E4549" s="336">
        <v>43715</v>
      </c>
      <c r="F4549" s="336" t="s">
        <v>800</v>
      </c>
      <c r="G4549" s="336">
        <v>43715</v>
      </c>
      <c r="H4549" s="334" t="s">
        <v>2684</v>
      </c>
      <c r="I4549" s="334">
        <v>18116033387</v>
      </c>
      <c r="J4549" s="334" t="s">
        <v>2685</v>
      </c>
      <c r="K4549" s="337"/>
      <c r="L4549" s="338"/>
      <c r="M4549" s="334">
        <f>268+2555</f>
        <v>2823</v>
      </c>
      <c r="N4549" s="362">
        <f t="shared" si="154"/>
        <v>2823</v>
      </c>
      <c r="X4549" s="339"/>
    </row>
    <row r="4550" s="330" customFormat="1" ht="15" customHeight="1" spans="1:24">
      <c r="A4550" s="334"/>
      <c r="B4550" s="348" t="s">
        <v>73</v>
      </c>
      <c r="C4550" s="348" t="s">
        <v>1130</v>
      </c>
      <c r="D4550" s="334" t="s">
        <v>717</v>
      </c>
      <c r="E4550" s="336">
        <v>43715</v>
      </c>
      <c r="F4550" s="336" t="s">
        <v>800</v>
      </c>
      <c r="G4550" s="336">
        <v>43715</v>
      </c>
      <c r="H4550" s="334" t="s">
        <v>2611</v>
      </c>
      <c r="I4550" s="334">
        <v>1500543308</v>
      </c>
      <c r="J4550" s="334" t="s">
        <v>10881</v>
      </c>
      <c r="K4550" s="337"/>
      <c r="L4550" s="338"/>
      <c r="M4550" s="334">
        <v>-1011</v>
      </c>
      <c r="N4550" s="362">
        <f t="shared" si="154"/>
        <v>-1011</v>
      </c>
      <c r="X4550" s="339"/>
    </row>
    <row r="4551" s="330" customFormat="1" ht="15" customHeight="1" spans="1:24">
      <c r="A4551" s="550" t="s">
        <v>10882</v>
      </c>
      <c r="B4551" s="334" t="s">
        <v>236</v>
      </c>
      <c r="C4551" s="334" t="s">
        <v>195</v>
      </c>
      <c r="D4551" s="335" t="s">
        <v>237</v>
      </c>
      <c r="E4551" s="336">
        <v>43727</v>
      </c>
      <c r="F4551" s="336">
        <v>43715</v>
      </c>
      <c r="G4551" s="336">
        <v>43719</v>
      </c>
      <c r="H4551" s="334" t="s">
        <v>10883</v>
      </c>
      <c r="I4551" s="426">
        <v>13901441166</v>
      </c>
      <c r="J4551" s="367" t="s">
        <v>10884</v>
      </c>
      <c r="K4551" s="470">
        <v>6000</v>
      </c>
      <c r="L4551" s="334">
        <v>8927</v>
      </c>
      <c r="M4551" s="338"/>
      <c r="N4551" s="362">
        <f t="shared" ref="N4551:N4602" si="155">L4551+M4551</f>
        <v>8927</v>
      </c>
      <c r="X4551" s="339"/>
    </row>
    <row r="4552" s="330" customFormat="1" ht="15" customHeight="1" spans="1:24">
      <c r="A4552" s="550" t="s">
        <v>10885</v>
      </c>
      <c r="B4552" s="334" t="s">
        <v>236</v>
      </c>
      <c r="C4552" s="334" t="s">
        <v>195</v>
      </c>
      <c r="D4552" s="334" t="s">
        <v>207</v>
      </c>
      <c r="E4552" s="336">
        <v>43738</v>
      </c>
      <c r="F4552" s="336">
        <v>43715</v>
      </c>
      <c r="G4552" s="336">
        <v>43738</v>
      </c>
      <c r="H4552" s="334" t="s">
        <v>10886</v>
      </c>
      <c r="I4552" s="426" t="s">
        <v>10887</v>
      </c>
      <c r="J4552" s="367" t="s">
        <v>10888</v>
      </c>
      <c r="K4552" s="470">
        <v>5000</v>
      </c>
      <c r="L4552" s="334">
        <v>5000</v>
      </c>
      <c r="M4552" s="338"/>
      <c r="N4552" s="362">
        <f t="shared" si="155"/>
        <v>5000</v>
      </c>
      <c r="X4552" s="339"/>
    </row>
    <row r="4553" s="330" customFormat="1" ht="15" customHeight="1" spans="1:24">
      <c r="A4553" s="550" t="s">
        <v>10889</v>
      </c>
      <c r="B4553" s="334" t="s">
        <v>354</v>
      </c>
      <c r="C4553" s="334" t="s">
        <v>355</v>
      </c>
      <c r="D4553" s="334" t="s">
        <v>207</v>
      </c>
      <c r="E4553" s="336">
        <v>43737</v>
      </c>
      <c r="F4553" s="336">
        <v>43709</v>
      </c>
      <c r="G4553" s="336">
        <v>43736</v>
      </c>
      <c r="H4553" s="334" t="s">
        <v>10890</v>
      </c>
      <c r="I4553" s="426">
        <v>17717672389</v>
      </c>
      <c r="J4553" s="367" t="s">
        <v>10891</v>
      </c>
      <c r="K4553" s="470">
        <v>2000</v>
      </c>
      <c r="L4553" s="334">
        <v>9655</v>
      </c>
      <c r="M4553" s="338"/>
      <c r="N4553" s="362">
        <f t="shared" si="155"/>
        <v>9655</v>
      </c>
      <c r="X4553" s="339"/>
    </row>
    <row r="4554" s="330" customFormat="1" ht="15" customHeight="1" spans="1:24">
      <c r="A4554" s="550" t="s">
        <v>10892</v>
      </c>
      <c r="B4554" s="348" t="s">
        <v>42</v>
      </c>
      <c r="C4554" s="334" t="s">
        <v>43</v>
      </c>
      <c r="D4554" s="334" t="s">
        <v>149</v>
      </c>
      <c r="E4554" s="336">
        <v>43721</v>
      </c>
      <c r="F4554" s="336">
        <v>43716</v>
      </c>
      <c r="G4554" s="336">
        <v>43721</v>
      </c>
      <c r="H4554" s="334" t="s">
        <v>10893</v>
      </c>
      <c r="I4554" s="426">
        <v>13761176071</v>
      </c>
      <c r="J4554" s="367" t="s">
        <v>10894</v>
      </c>
      <c r="K4554" s="470">
        <v>10000</v>
      </c>
      <c r="L4554" s="334">
        <v>15778</v>
      </c>
      <c r="M4554" s="338"/>
      <c r="N4554" s="362">
        <f t="shared" si="155"/>
        <v>15778</v>
      </c>
      <c r="X4554" s="339"/>
    </row>
    <row r="4555" s="330" customFormat="1" ht="15" customHeight="1" spans="1:24">
      <c r="A4555" s="348"/>
      <c r="B4555" s="334" t="s">
        <v>137</v>
      </c>
      <c r="C4555" s="334" t="s">
        <v>2705</v>
      </c>
      <c r="D4555" s="334" t="s">
        <v>427</v>
      </c>
      <c r="E4555" s="336">
        <v>43718</v>
      </c>
      <c r="F4555" s="336">
        <v>43714</v>
      </c>
      <c r="G4555" s="336">
        <v>43716</v>
      </c>
      <c r="H4555" s="334" t="s">
        <v>1527</v>
      </c>
      <c r="I4555" s="426">
        <v>13918239133</v>
      </c>
      <c r="J4555" s="367" t="s">
        <v>10895</v>
      </c>
      <c r="K4555" s="470">
        <v>1000</v>
      </c>
      <c r="L4555" s="334">
        <v>10711</v>
      </c>
      <c r="M4555" s="338"/>
      <c r="N4555" s="362">
        <f t="shared" si="155"/>
        <v>10711</v>
      </c>
      <c r="X4555" s="339"/>
    </row>
    <row r="4556" s="330" customFormat="1" ht="15" customHeight="1" spans="1:24">
      <c r="A4556" s="550" t="s">
        <v>5065</v>
      </c>
      <c r="B4556" s="334" t="s">
        <v>147</v>
      </c>
      <c r="C4556" s="334" t="s">
        <v>148</v>
      </c>
      <c r="D4556" s="334" t="s">
        <v>110</v>
      </c>
      <c r="E4556" s="336">
        <v>43717</v>
      </c>
      <c r="F4556" s="336">
        <v>43716</v>
      </c>
      <c r="G4556" s="336">
        <v>43715</v>
      </c>
      <c r="H4556" s="334" t="s">
        <v>10896</v>
      </c>
      <c r="I4556" s="426">
        <v>18616850339</v>
      </c>
      <c r="J4556" s="367" t="s">
        <v>10897</v>
      </c>
      <c r="K4556" s="470">
        <v>4683</v>
      </c>
      <c r="L4556" s="334">
        <f>4683-536</f>
        <v>4147</v>
      </c>
      <c r="M4556" s="334">
        <v>536</v>
      </c>
      <c r="N4556" s="362">
        <f t="shared" si="155"/>
        <v>4683</v>
      </c>
      <c r="X4556" s="339"/>
    </row>
    <row r="4557" s="330" customFormat="1" ht="15" customHeight="1" spans="1:24">
      <c r="A4557" s="550" t="s">
        <v>10898</v>
      </c>
      <c r="B4557" s="334" t="s">
        <v>87</v>
      </c>
      <c r="C4557" s="334" t="s">
        <v>199</v>
      </c>
      <c r="D4557" s="335" t="s">
        <v>89</v>
      </c>
      <c r="E4557" s="336">
        <v>43724</v>
      </c>
      <c r="F4557" s="336">
        <v>43715</v>
      </c>
      <c r="G4557" s="336">
        <v>43723</v>
      </c>
      <c r="H4557" s="334" t="s">
        <v>10899</v>
      </c>
      <c r="I4557" s="426">
        <v>13636582795</v>
      </c>
      <c r="J4557" s="367" t="s">
        <v>10900</v>
      </c>
      <c r="K4557" s="470">
        <v>1000</v>
      </c>
      <c r="L4557" s="334">
        <v>22389</v>
      </c>
      <c r="M4557" s="338"/>
      <c r="N4557" s="362">
        <f t="shared" si="155"/>
        <v>22389</v>
      </c>
      <c r="X4557" s="339"/>
    </row>
    <row r="4558" s="330" customFormat="1" ht="15" customHeight="1" spans="1:24">
      <c r="A4558" s="348"/>
      <c r="B4558" s="334" t="s">
        <v>169</v>
      </c>
      <c r="C4558" s="334" t="s">
        <v>542</v>
      </c>
      <c r="D4558" s="335" t="s">
        <v>171</v>
      </c>
      <c r="E4558" s="336">
        <v>43716</v>
      </c>
      <c r="F4558" s="336">
        <v>43715</v>
      </c>
      <c r="G4558" s="399"/>
      <c r="H4558" s="334" t="s">
        <v>10901</v>
      </c>
      <c r="I4558" s="426">
        <v>18917290557</v>
      </c>
      <c r="J4558" s="367" t="s">
        <v>10902</v>
      </c>
      <c r="K4558" s="470">
        <v>1000</v>
      </c>
      <c r="L4558" s="338"/>
      <c r="M4558" s="338"/>
      <c r="N4558" s="362">
        <f t="shared" si="155"/>
        <v>0</v>
      </c>
      <c r="O4558" s="353" t="s">
        <v>19</v>
      </c>
      <c r="U4558" s="330" t="s">
        <v>40</v>
      </c>
      <c r="X4558" s="339"/>
    </row>
    <row r="4559" s="330" customFormat="1" ht="15" customHeight="1" spans="1:24">
      <c r="A4559" s="550" t="s">
        <v>10903</v>
      </c>
      <c r="B4559" s="334" t="s">
        <v>87</v>
      </c>
      <c r="C4559" s="334" t="s">
        <v>466</v>
      </c>
      <c r="D4559" s="335" t="s">
        <v>89</v>
      </c>
      <c r="E4559" s="336">
        <v>43718</v>
      </c>
      <c r="F4559" s="336">
        <v>43715</v>
      </c>
      <c r="G4559" s="336">
        <v>43718</v>
      </c>
      <c r="H4559" s="334" t="s">
        <v>10904</v>
      </c>
      <c r="I4559" s="426">
        <v>13901693459</v>
      </c>
      <c r="J4559" s="367" t="s">
        <v>10905</v>
      </c>
      <c r="K4559" s="470">
        <v>25000</v>
      </c>
      <c r="L4559" s="334">
        <v>27673</v>
      </c>
      <c r="M4559" s="338"/>
      <c r="N4559" s="362">
        <f t="shared" si="155"/>
        <v>27673</v>
      </c>
      <c r="X4559" s="339"/>
    </row>
    <row r="4560" s="330" customFormat="1" ht="15" customHeight="1" spans="1:24">
      <c r="A4560" s="550" t="s">
        <v>6703</v>
      </c>
      <c r="B4560" s="334" t="s">
        <v>31</v>
      </c>
      <c r="C4560" s="334" t="s">
        <v>9433</v>
      </c>
      <c r="D4560" s="334" t="s">
        <v>954</v>
      </c>
      <c r="E4560" s="336">
        <v>43717</v>
      </c>
      <c r="F4560" s="336">
        <v>43715</v>
      </c>
      <c r="G4560" s="336">
        <v>43716</v>
      </c>
      <c r="H4560" s="334" t="s">
        <v>10906</v>
      </c>
      <c r="I4560" s="426" t="s">
        <v>10907</v>
      </c>
      <c r="J4560" s="367" t="s">
        <v>10908</v>
      </c>
      <c r="K4560" s="470">
        <v>1000</v>
      </c>
      <c r="L4560" s="334">
        <v>15915</v>
      </c>
      <c r="M4560" s="338"/>
      <c r="N4560" s="362">
        <f t="shared" si="155"/>
        <v>15915</v>
      </c>
      <c r="X4560" s="339"/>
    </row>
    <row r="4561" s="330" customFormat="1" ht="15" customHeight="1" spans="1:24">
      <c r="A4561" s="550" t="s">
        <v>10909</v>
      </c>
      <c r="B4561" s="334" t="s">
        <v>137</v>
      </c>
      <c r="C4561" s="334" t="s">
        <v>138</v>
      </c>
      <c r="D4561" s="408" t="s">
        <v>2381</v>
      </c>
      <c r="E4561" s="336">
        <v>43717</v>
      </c>
      <c r="F4561" s="336">
        <v>43715</v>
      </c>
      <c r="G4561" s="336">
        <v>43716</v>
      </c>
      <c r="H4561" s="334" t="s">
        <v>10910</v>
      </c>
      <c r="I4561" s="426">
        <v>18600807503</v>
      </c>
      <c r="J4561" s="367" t="s">
        <v>10911</v>
      </c>
      <c r="K4561" s="470">
        <v>1000</v>
      </c>
      <c r="L4561" s="334">
        <v>2769</v>
      </c>
      <c r="M4561" s="338"/>
      <c r="N4561" s="362">
        <f t="shared" si="155"/>
        <v>2769</v>
      </c>
      <c r="X4561" s="339"/>
    </row>
    <row r="4562" s="330" customFormat="1" ht="15" customHeight="1" spans="1:24">
      <c r="A4562" s="550" t="s">
        <v>1889</v>
      </c>
      <c r="B4562" s="348" t="s">
        <v>58</v>
      </c>
      <c r="C4562" s="334" t="s">
        <v>59</v>
      </c>
      <c r="D4562" s="335" t="s">
        <v>271</v>
      </c>
      <c r="E4562" s="336">
        <v>43724</v>
      </c>
      <c r="F4562" s="336">
        <v>43715</v>
      </c>
      <c r="G4562" s="336">
        <v>43723</v>
      </c>
      <c r="H4562" s="334" t="s">
        <v>10912</v>
      </c>
      <c r="I4562" s="426">
        <v>13564423605</v>
      </c>
      <c r="J4562" s="367" t="s">
        <v>10913</v>
      </c>
      <c r="K4562" s="470">
        <v>20000</v>
      </c>
      <c r="L4562" s="334">
        <v>19571</v>
      </c>
      <c r="M4562" s="338"/>
      <c r="N4562" s="362">
        <f t="shared" si="155"/>
        <v>19571</v>
      </c>
      <c r="X4562" s="339"/>
    </row>
    <row r="4563" s="330" customFormat="1" ht="15" customHeight="1" spans="1:24">
      <c r="A4563" s="550" t="s">
        <v>10914</v>
      </c>
      <c r="B4563" s="334" t="s">
        <v>335</v>
      </c>
      <c r="C4563" s="334" t="s">
        <v>615</v>
      </c>
      <c r="D4563" s="335" t="s">
        <v>337</v>
      </c>
      <c r="E4563" s="336">
        <v>43716</v>
      </c>
      <c r="F4563" s="336">
        <v>43715</v>
      </c>
      <c r="G4563" s="356" t="s">
        <v>469</v>
      </c>
      <c r="H4563" s="334" t="s">
        <v>10805</v>
      </c>
      <c r="I4563" s="426">
        <v>13671725004</v>
      </c>
      <c r="J4563" s="367" t="s">
        <v>10806</v>
      </c>
      <c r="K4563" s="470">
        <v>16940</v>
      </c>
      <c r="L4563" s="338"/>
      <c r="M4563" s="338"/>
      <c r="N4563" s="362">
        <f t="shared" si="155"/>
        <v>0</v>
      </c>
      <c r="X4563" s="339"/>
    </row>
    <row r="4564" s="330" customFormat="1" ht="15" customHeight="1" spans="1:24">
      <c r="A4564" s="550" t="s">
        <v>10915</v>
      </c>
      <c r="B4564" s="334" t="s">
        <v>335</v>
      </c>
      <c r="C4564" s="334" t="s">
        <v>615</v>
      </c>
      <c r="D4564" s="335" t="s">
        <v>337</v>
      </c>
      <c r="E4564" s="336">
        <v>43739</v>
      </c>
      <c r="F4564" s="336">
        <v>43715</v>
      </c>
      <c r="G4564" s="336">
        <v>43738</v>
      </c>
      <c r="H4564" s="334" t="s">
        <v>10916</v>
      </c>
      <c r="I4564" s="426">
        <v>15000757899</v>
      </c>
      <c r="J4564" s="367" t="s">
        <v>10917</v>
      </c>
      <c r="K4564" s="470">
        <v>1998</v>
      </c>
      <c r="L4564" s="334">
        <v>4611</v>
      </c>
      <c r="M4564" s="338"/>
      <c r="N4564" s="362">
        <f t="shared" si="155"/>
        <v>4611</v>
      </c>
      <c r="X4564" s="339"/>
    </row>
    <row r="4565" s="330" customFormat="1" ht="15" customHeight="1" spans="1:24">
      <c r="A4565" s="550" t="s">
        <v>10918</v>
      </c>
      <c r="B4565" s="334" t="s">
        <v>726</v>
      </c>
      <c r="C4565" s="334" t="s">
        <v>727</v>
      </c>
      <c r="D4565" s="334" t="s">
        <v>271</v>
      </c>
      <c r="E4565" s="336">
        <v>43735</v>
      </c>
      <c r="F4565" s="336">
        <v>43715</v>
      </c>
      <c r="G4565" s="336">
        <v>43735</v>
      </c>
      <c r="H4565" s="334" t="s">
        <v>2773</v>
      </c>
      <c r="I4565" s="426">
        <v>18017101700</v>
      </c>
      <c r="J4565" s="367" t="s">
        <v>10919</v>
      </c>
      <c r="K4565" s="470">
        <v>24346</v>
      </c>
      <c r="L4565" s="334">
        <v>24346</v>
      </c>
      <c r="M4565" s="338"/>
      <c r="N4565" s="362">
        <f t="shared" si="155"/>
        <v>24346</v>
      </c>
      <c r="X4565" s="339"/>
    </row>
    <row r="4566" s="330" customFormat="1" ht="15" customHeight="1" spans="1:24">
      <c r="A4566" s="550" t="s">
        <v>10920</v>
      </c>
      <c r="B4566" s="334" t="s">
        <v>87</v>
      </c>
      <c r="C4566" s="334" t="s">
        <v>10921</v>
      </c>
      <c r="D4566" s="335" t="s">
        <v>89</v>
      </c>
      <c r="E4566" s="336">
        <v>43725</v>
      </c>
      <c r="F4566" s="336">
        <v>43715</v>
      </c>
      <c r="G4566" s="336">
        <v>43724</v>
      </c>
      <c r="H4566" s="334" t="s">
        <v>10922</v>
      </c>
      <c r="I4566" s="426">
        <v>13116771948</v>
      </c>
      <c r="J4566" s="367" t="s">
        <v>10923</v>
      </c>
      <c r="K4566" s="470">
        <v>1000</v>
      </c>
      <c r="L4566" s="334">
        <v>4103</v>
      </c>
      <c r="M4566" s="338"/>
      <c r="N4566" s="362">
        <f t="shared" si="155"/>
        <v>4103</v>
      </c>
      <c r="X4566" s="339"/>
    </row>
    <row r="4567" s="330" customFormat="1" customHeight="1" spans="1:24">
      <c r="A4567" s="550" t="s">
        <v>10924</v>
      </c>
      <c r="B4567" s="334" t="s">
        <v>236</v>
      </c>
      <c r="C4567" s="334" t="s">
        <v>703</v>
      </c>
      <c r="D4567" s="335" t="s">
        <v>237</v>
      </c>
      <c r="E4567" s="336">
        <v>43716</v>
      </c>
      <c r="F4567" s="336">
        <v>43710</v>
      </c>
      <c r="G4567" s="399"/>
      <c r="H4567" s="334" t="s">
        <v>10925</v>
      </c>
      <c r="I4567" s="426">
        <v>15921121158</v>
      </c>
      <c r="J4567" s="367" t="s">
        <v>10926</v>
      </c>
      <c r="K4567" s="470">
        <v>1000</v>
      </c>
      <c r="L4567" s="338"/>
      <c r="M4567" s="338"/>
      <c r="N4567" s="362">
        <f t="shared" si="155"/>
        <v>0</v>
      </c>
      <c r="P4567" s="356" t="s">
        <v>52</v>
      </c>
      <c r="X4567" s="339"/>
    </row>
    <row r="4568" s="330" customFormat="1" ht="15" customHeight="1" spans="1:24">
      <c r="A4568" s="550" t="s">
        <v>10927</v>
      </c>
      <c r="B4568" s="334" t="s">
        <v>236</v>
      </c>
      <c r="C4568" s="334" t="s">
        <v>703</v>
      </c>
      <c r="D4568" s="335" t="s">
        <v>237</v>
      </c>
      <c r="E4568" s="336">
        <v>43723</v>
      </c>
      <c r="F4568" s="336">
        <v>43714</v>
      </c>
      <c r="G4568" s="336">
        <v>43715</v>
      </c>
      <c r="H4568" s="334" t="s">
        <v>10928</v>
      </c>
      <c r="I4568" s="426">
        <v>15000839237</v>
      </c>
      <c r="J4568" s="367" t="s">
        <v>10929</v>
      </c>
      <c r="K4568" s="470">
        <v>4934</v>
      </c>
      <c r="L4568" s="334">
        <f>4943-536</f>
        <v>4407</v>
      </c>
      <c r="M4568" s="334">
        <v>536</v>
      </c>
      <c r="N4568" s="362">
        <f t="shared" si="155"/>
        <v>4943</v>
      </c>
      <c r="X4568" s="339"/>
    </row>
    <row r="4569" s="330" customFormat="1" customHeight="1" spans="1:24">
      <c r="A4569" s="550" t="s">
        <v>10930</v>
      </c>
      <c r="B4569" s="334" t="s">
        <v>236</v>
      </c>
      <c r="C4569" s="334" t="s">
        <v>703</v>
      </c>
      <c r="D4569" s="335" t="s">
        <v>237</v>
      </c>
      <c r="E4569" s="336">
        <v>43716</v>
      </c>
      <c r="F4569" s="336">
        <v>43715</v>
      </c>
      <c r="G4569" s="399"/>
      <c r="H4569" s="334" t="s">
        <v>10931</v>
      </c>
      <c r="I4569" s="426">
        <v>15601873791</v>
      </c>
      <c r="J4569" s="367" t="s">
        <v>10932</v>
      </c>
      <c r="K4569" s="470">
        <v>1000</v>
      </c>
      <c r="L4569" s="338"/>
      <c r="M4569" s="338"/>
      <c r="N4569" s="362">
        <f t="shared" si="155"/>
        <v>0</v>
      </c>
      <c r="O4569" s="353" t="s">
        <v>19</v>
      </c>
      <c r="X4569" s="339"/>
    </row>
    <row r="4570" s="330" customFormat="1" ht="15" customHeight="1" spans="1:24">
      <c r="A4570" s="550" t="s">
        <v>10933</v>
      </c>
      <c r="B4570" s="334" t="s">
        <v>66</v>
      </c>
      <c r="C4570" s="334" t="s">
        <v>1749</v>
      </c>
      <c r="D4570" s="334" t="s">
        <v>1436</v>
      </c>
      <c r="E4570" s="336">
        <v>43732</v>
      </c>
      <c r="F4570" s="336">
        <v>43715</v>
      </c>
      <c r="G4570" s="336">
        <v>43732</v>
      </c>
      <c r="H4570" s="334" t="s">
        <v>1212</v>
      </c>
      <c r="I4570" s="558" t="s">
        <v>10934</v>
      </c>
      <c r="J4570" s="367" t="s">
        <v>10935</v>
      </c>
      <c r="K4570" s="470">
        <v>1000</v>
      </c>
      <c r="L4570" s="334">
        <v>18283</v>
      </c>
      <c r="M4570" s="338"/>
      <c r="N4570" s="362">
        <f t="shared" si="155"/>
        <v>18283</v>
      </c>
      <c r="X4570" s="339"/>
    </row>
    <row r="4571" s="330" customFormat="1" ht="15" customHeight="1" spans="1:24">
      <c r="A4571" s="550" t="s">
        <v>194</v>
      </c>
      <c r="B4571" s="334" t="s">
        <v>58</v>
      </c>
      <c r="C4571" s="334" t="s">
        <v>342</v>
      </c>
      <c r="D4571" s="335" t="s">
        <v>343</v>
      </c>
      <c r="E4571" s="336">
        <v>43726</v>
      </c>
      <c r="F4571" s="336">
        <v>43715</v>
      </c>
      <c r="G4571" s="336">
        <v>43726</v>
      </c>
      <c r="H4571" s="334" t="s">
        <v>10936</v>
      </c>
      <c r="I4571" s="426">
        <v>18621161228</v>
      </c>
      <c r="J4571" s="367" t="s">
        <v>10937</v>
      </c>
      <c r="K4571" s="470">
        <v>5000</v>
      </c>
      <c r="L4571" s="334">
        <f>21786-1840</f>
        <v>19946</v>
      </c>
      <c r="M4571" s="334">
        <v>1840</v>
      </c>
      <c r="N4571" s="362">
        <f t="shared" si="155"/>
        <v>21786</v>
      </c>
      <c r="X4571" s="339"/>
    </row>
    <row r="4572" s="330" customFormat="1" ht="15" customHeight="1" spans="1:24">
      <c r="A4572" s="550" t="s">
        <v>10938</v>
      </c>
      <c r="B4572" s="334" t="s">
        <v>805</v>
      </c>
      <c r="C4572" s="334" t="s">
        <v>806</v>
      </c>
      <c r="D4572" s="334" t="s">
        <v>171</v>
      </c>
      <c r="E4572" s="336">
        <v>43738</v>
      </c>
      <c r="F4572" s="474">
        <v>43716</v>
      </c>
      <c r="G4572" s="336">
        <v>43738</v>
      </c>
      <c r="H4572" s="334" t="s">
        <v>10939</v>
      </c>
      <c r="I4572" s="426">
        <v>13004188462</v>
      </c>
      <c r="J4572" s="367" t="s">
        <v>10940</v>
      </c>
      <c r="K4572" s="470">
        <v>1000</v>
      </c>
      <c r="L4572" s="334">
        <f>8450-536</f>
        <v>7914</v>
      </c>
      <c r="M4572" s="334">
        <v>536</v>
      </c>
      <c r="N4572" s="362">
        <f t="shared" si="155"/>
        <v>8450</v>
      </c>
      <c r="X4572" s="339"/>
    </row>
    <row r="4573" s="330" customFormat="1" ht="15" customHeight="1" spans="1:24">
      <c r="A4573" s="550" t="s">
        <v>10941</v>
      </c>
      <c r="B4573" s="334" t="s">
        <v>94</v>
      </c>
      <c r="C4573" s="334" t="s">
        <v>95</v>
      </c>
      <c r="D4573" s="335" t="s">
        <v>49</v>
      </c>
      <c r="E4573" s="336">
        <v>43771</v>
      </c>
      <c r="F4573" s="336">
        <v>43715</v>
      </c>
      <c r="G4573" s="336">
        <v>43771</v>
      </c>
      <c r="H4573" s="334" t="s">
        <v>10942</v>
      </c>
      <c r="I4573" s="426">
        <v>13681910675</v>
      </c>
      <c r="J4573" s="367" t="s">
        <v>10943</v>
      </c>
      <c r="K4573" s="470">
        <v>10000</v>
      </c>
      <c r="L4573" s="334">
        <v>12064</v>
      </c>
      <c r="M4573" s="338"/>
      <c r="N4573" s="362">
        <f t="shared" si="155"/>
        <v>12064</v>
      </c>
      <c r="X4573" s="339"/>
    </row>
    <row r="4574" s="330" customFormat="1" ht="15" customHeight="1" spans="1:24">
      <c r="A4574" s="348"/>
      <c r="B4574" s="334" t="s">
        <v>315</v>
      </c>
      <c r="C4574" s="334" t="s">
        <v>275</v>
      </c>
      <c r="D4574" s="335" t="s">
        <v>162</v>
      </c>
      <c r="E4574" s="336">
        <v>43727</v>
      </c>
      <c r="F4574" s="336">
        <v>43715</v>
      </c>
      <c r="G4574" s="336">
        <v>43727</v>
      </c>
      <c r="H4574" s="334" t="s">
        <v>10944</v>
      </c>
      <c r="I4574" s="426">
        <v>13916912620</v>
      </c>
      <c r="J4574" s="367" t="s">
        <v>10945</v>
      </c>
      <c r="K4574" s="470">
        <v>10000</v>
      </c>
      <c r="L4574" s="334">
        <v>14997</v>
      </c>
      <c r="M4574" s="338"/>
      <c r="N4574" s="362">
        <f t="shared" si="155"/>
        <v>14997</v>
      </c>
      <c r="X4574" s="339"/>
    </row>
    <row r="4575" s="330" customFormat="1" ht="15" customHeight="1" spans="1:24">
      <c r="A4575" s="550" t="s">
        <v>10228</v>
      </c>
      <c r="B4575" s="334" t="s">
        <v>5435</v>
      </c>
      <c r="C4575" s="334" t="s">
        <v>1728</v>
      </c>
      <c r="D4575" s="334" t="s">
        <v>237</v>
      </c>
      <c r="E4575" s="336">
        <v>43735</v>
      </c>
      <c r="F4575" s="336">
        <v>43714</v>
      </c>
      <c r="G4575" s="336">
        <v>43734</v>
      </c>
      <c r="H4575" s="334" t="s">
        <v>10946</v>
      </c>
      <c r="I4575" s="426">
        <v>18930749880</v>
      </c>
      <c r="J4575" s="367" t="s">
        <v>10947</v>
      </c>
      <c r="K4575" s="470">
        <v>10967</v>
      </c>
      <c r="L4575" s="334">
        <v>12430</v>
      </c>
      <c r="M4575" s="338"/>
      <c r="N4575" s="362">
        <f t="shared" si="155"/>
        <v>12430</v>
      </c>
      <c r="P4575" s="467" t="s">
        <v>52</v>
      </c>
      <c r="X4575" s="339"/>
    </row>
    <row r="4576" s="330" customFormat="1" ht="15" customHeight="1" spans="1:24">
      <c r="A4576" s="348"/>
      <c r="B4576" s="334" t="s">
        <v>315</v>
      </c>
      <c r="C4576" s="334" t="s">
        <v>722</v>
      </c>
      <c r="D4576" s="335" t="s">
        <v>132</v>
      </c>
      <c r="E4576" s="336">
        <v>43716</v>
      </c>
      <c r="F4576" s="336">
        <v>43716</v>
      </c>
      <c r="G4576" s="399"/>
      <c r="H4576" s="334" t="s">
        <v>10948</v>
      </c>
      <c r="I4576" s="426">
        <v>15900807679</v>
      </c>
      <c r="J4576" s="367" t="s">
        <v>10949</v>
      </c>
      <c r="K4576" s="470">
        <v>1000</v>
      </c>
      <c r="L4576" s="338"/>
      <c r="M4576" s="338"/>
      <c r="N4576" s="362">
        <f t="shared" si="155"/>
        <v>0</v>
      </c>
      <c r="Q4576" s="330">
        <v>1</v>
      </c>
      <c r="U4576" s="330" t="s">
        <v>12</v>
      </c>
      <c r="X4576" s="339"/>
    </row>
    <row r="4577" s="330" customFormat="1" ht="15" customHeight="1" spans="1:24">
      <c r="A4577" s="550" t="s">
        <v>10950</v>
      </c>
      <c r="B4577" s="334" t="s">
        <v>2625</v>
      </c>
      <c r="C4577" s="334" t="s">
        <v>2626</v>
      </c>
      <c r="D4577" s="335" t="s">
        <v>89</v>
      </c>
      <c r="E4577" s="336">
        <v>43716</v>
      </c>
      <c r="F4577" s="336">
        <v>43716</v>
      </c>
      <c r="G4577" s="399"/>
      <c r="H4577" s="334" t="s">
        <v>10445</v>
      </c>
      <c r="I4577" s="426">
        <v>15221992696</v>
      </c>
      <c r="J4577" s="367" t="s">
        <v>10951</v>
      </c>
      <c r="K4577" s="470">
        <v>3000</v>
      </c>
      <c r="L4577" s="338"/>
      <c r="M4577" s="338"/>
      <c r="N4577" s="362">
        <f t="shared" si="155"/>
        <v>0</v>
      </c>
      <c r="U4577" s="475">
        <v>43720</v>
      </c>
      <c r="X4577" s="339"/>
    </row>
    <row r="4578" s="330" customFormat="1" ht="15" customHeight="1" spans="1:24">
      <c r="A4578" s="348"/>
      <c r="B4578" s="334" t="s">
        <v>66</v>
      </c>
      <c r="C4578" s="334" t="s">
        <v>505</v>
      </c>
      <c r="D4578" s="334" t="s">
        <v>2302</v>
      </c>
      <c r="E4578" s="336">
        <v>43721</v>
      </c>
      <c r="F4578" s="336">
        <v>43716</v>
      </c>
      <c r="G4578" s="336">
        <v>43720</v>
      </c>
      <c r="H4578" s="334" t="s">
        <v>10952</v>
      </c>
      <c r="I4578" s="426">
        <v>13851016776</v>
      </c>
      <c r="J4578" s="367" t="s">
        <v>10953</v>
      </c>
      <c r="K4578" s="470">
        <v>16746</v>
      </c>
      <c r="L4578" s="334">
        <v>21426</v>
      </c>
      <c r="M4578" s="338"/>
      <c r="N4578" s="362">
        <f t="shared" si="155"/>
        <v>21426</v>
      </c>
      <c r="X4578" s="339"/>
    </row>
    <row r="4579" s="330" customFormat="1" ht="15" customHeight="1" spans="1:24">
      <c r="A4579" s="550" t="s">
        <v>7450</v>
      </c>
      <c r="B4579" s="334" t="s">
        <v>5435</v>
      </c>
      <c r="C4579" s="334" t="s">
        <v>1728</v>
      </c>
      <c r="D4579" s="334" t="s">
        <v>237</v>
      </c>
      <c r="E4579" s="336">
        <v>43737</v>
      </c>
      <c r="F4579" s="336">
        <v>43715</v>
      </c>
      <c r="G4579" s="336">
        <v>43734</v>
      </c>
      <c r="H4579" s="334" t="s">
        <v>10954</v>
      </c>
      <c r="I4579" s="558" t="s">
        <v>10955</v>
      </c>
      <c r="J4579" s="367" t="s">
        <v>10956</v>
      </c>
      <c r="K4579" s="470">
        <v>4000</v>
      </c>
      <c r="L4579" s="334">
        <v>4000</v>
      </c>
      <c r="M4579" s="338"/>
      <c r="N4579" s="362">
        <f t="shared" si="155"/>
        <v>4000</v>
      </c>
      <c r="O4579" s="467" t="s">
        <v>52</v>
      </c>
      <c r="X4579" s="339"/>
    </row>
    <row r="4580" s="330" customFormat="1" ht="15" customHeight="1" spans="1:24">
      <c r="A4580" s="348"/>
      <c r="B4580" s="334" t="s">
        <v>281</v>
      </c>
      <c r="C4580" s="334" t="s">
        <v>517</v>
      </c>
      <c r="D4580" s="335" t="s">
        <v>49</v>
      </c>
      <c r="E4580" s="336">
        <v>43716</v>
      </c>
      <c r="F4580" s="336">
        <v>43712</v>
      </c>
      <c r="G4580" s="407" t="s">
        <v>231</v>
      </c>
      <c r="H4580" s="334" t="s">
        <v>10957</v>
      </c>
      <c r="I4580" s="426">
        <v>18918831889</v>
      </c>
      <c r="J4580" s="367" t="s">
        <v>10958</v>
      </c>
      <c r="K4580" s="470">
        <v>1000</v>
      </c>
      <c r="L4580" s="338"/>
      <c r="M4580" s="338"/>
      <c r="N4580" s="362">
        <f t="shared" si="155"/>
        <v>0</v>
      </c>
      <c r="X4580" s="339"/>
    </row>
    <row r="4581" s="330" customFormat="1" ht="15" customHeight="1" spans="1:24">
      <c r="A4581" s="550" t="s">
        <v>10959</v>
      </c>
      <c r="B4581" s="334" t="s">
        <v>354</v>
      </c>
      <c r="C4581" s="334" t="s">
        <v>355</v>
      </c>
      <c r="D4581" s="335" t="s">
        <v>149</v>
      </c>
      <c r="E4581" s="336">
        <v>43719</v>
      </c>
      <c r="F4581" s="336">
        <v>43716</v>
      </c>
      <c r="G4581" s="336">
        <v>43718</v>
      </c>
      <c r="H4581" s="334" t="s">
        <v>10960</v>
      </c>
      <c r="I4581" s="426">
        <v>15802104730</v>
      </c>
      <c r="J4581" s="367" t="s">
        <v>10961</v>
      </c>
      <c r="K4581" s="470">
        <v>500</v>
      </c>
      <c r="L4581" s="334">
        <v>2109</v>
      </c>
      <c r="M4581" s="338"/>
      <c r="N4581" s="362">
        <f t="shared" si="155"/>
        <v>2109</v>
      </c>
      <c r="X4581" s="339"/>
    </row>
    <row r="4582" s="330" customFormat="1" ht="15" customHeight="1" spans="1:24">
      <c r="A4582" s="348"/>
      <c r="B4582" s="334" t="s">
        <v>66</v>
      </c>
      <c r="C4582" s="334" t="s">
        <v>505</v>
      </c>
      <c r="D4582" s="334" t="s">
        <v>2302</v>
      </c>
      <c r="E4582" s="336">
        <v>43745</v>
      </c>
      <c r="F4582" s="336">
        <v>43716</v>
      </c>
      <c r="G4582" s="336">
        <v>43744</v>
      </c>
      <c r="H4582" s="334" t="s">
        <v>10962</v>
      </c>
      <c r="I4582" s="426">
        <v>13764716627</v>
      </c>
      <c r="J4582" s="367" t="s">
        <v>10963</v>
      </c>
      <c r="K4582" s="470">
        <v>10000</v>
      </c>
      <c r="L4582" s="334">
        <v>10000</v>
      </c>
      <c r="M4582" s="338"/>
      <c r="N4582" s="362">
        <f t="shared" si="155"/>
        <v>10000</v>
      </c>
      <c r="X4582" s="339"/>
    </row>
    <row r="4583" s="330" customFormat="1" ht="15" customHeight="1" spans="1:24">
      <c r="A4583" s="348"/>
      <c r="B4583" s="334" t="s">
        <v>31</v>
      </c>
      <c r="C4583" s="334" t="s">
        <v>32</v>
      </c>
      <c r="D4583" s="335" t="s">
        <v>125</v>
      </c>
      <c r="E4583" s="336">
        <v>43722</v>
      </c>
      <c r="F4583" s="336">
        <v>43716</v>
      </c>
      <c r="G4583" s="336">
        <v>43722</v>
      </c>
      <c r="H4583" s="334" t="s">
        <v>10964</v>
      </c>
      <c r="I4583" s="426">
        <v>13942073178</v>
      </c>
      <c r="J4583" s="367" t="s">
        <v>10965</v>
      </c>
      <c r="K4583" s="470">
        <v>1000</v>
      </c>
      <c r="L4583" s="334">
        <v>5291</v>
      </c>
      <c r="M4583" s="338"/>
      <c r="N4583" s="362">
        <f t="shared" si="155"/>
        <v>5291</v>
      </c>
      <c r="X4583" s="339"/>
    </row>
    <row r="4584" s="330" customFormat="1" ht="15" customHeight="1" spans="1:24">
      <c r="A4584" s="550" t="s">
        <v>10966</v>
      </c>
      <c r="B4584" s="334" t="s">
        <v>354</v>
      </c>
      <c r="C4584" s="334" t="s">
        <v>355</v>
      </c>
      <c r="D4584" s="334" t="s">
        <v>237</v>
      </c>
      <c r="E4584" s="336">
        <v>43765</v>
      </c>
      <c r="F4584" s="336">
        <v>43695</v>
      </c>
      <c r="G4584" s="336">
        <v>43765</v>
      </c>
      <c r="H4584" s="334" t="s">
        <v>10967</v>
      </c>
      <c r="I4584" s="426">
        <v>18107988588</v>
      </c>
      <c r="J4584" s="367" t="s">
        <v>10968</v>
      </c>
      <c r="K4584" s="470">
        <v>2000</v>
      </c>
      <c r="L4584" s="338"/>
      <c r="M4584" s="334">
        <v>-955</v>
      </c>
      <c r="N4584" s="362">
        <f t="shared" si="155"/>
        <v>-955</v>
      </c>
      <c r="X4584" s="339"/>
    </row>
    <row r="4585" s="330" customFormat="1" ht="15" customHeight="1" spans="1:24">
      <c r="A4585" s="550" t="s">
        <v>10185</v>
      </c>
      <c r="B4585" s="334" t="s">
        <v>73</v>
      </c>
      <c r="C4585" s="334" t="s">
        <v>74</v>
      </c>
      <c r="D4585" s="335" t="s">
        <v>75</v>
      </c>
      <c r="E4585" s="336">
        <v>43716</v>
      </c>
      <c r="F4585" s="336">
        <v>43716</v>
      </c>
      <c r="G4585" s="399"/>
      <c r="H4585" s="334" t="s">
        <v>10969</v>
      </c>
      <c r="I4585" s="426">
        <v>18621631995</v>
      </c>
      <c r="J4585" s="367" t="s">
        <v>10970</v>
      </c>
      <c r="K4585" s="470">
        <v>1000</v>
      </c>
      <c r="L4585" s="338"/>
      <c r="M4585" s="338"/>
      <c r="N4585" s="362">
        <f t="shared" si="155"/>
        <v>0</v>
      </c>
      <c r="O4585" s="331"/>
      <c r="P4585" s="405" t="s">
        <v>52</v>
      </c>
      <c r="X4585" s="339"/>
    </row>
    <row r="4586" s="330" customFormat="1" ht="15" customHeight="1" spans="1:24">
      <c r="A4586" s="550" t="s">
        <v>10168</v>
      </c>
      <c r="B4586" s="334" t="s">
        <v>73</v>
      </c>
      <c r="C4586" s="334" t="s">
        <v>74</v>
      </c>
      <c r="D4586" s="335" t="s">
        <v>143</v>
      </c>
      <c r="E4586" s="336">
        <v>43787</v>
      </c>
      <c r="F4586" s="336">
        <v>43716</v>
      </c>
      <c r="G4586" s="336">
        <v>43786</v>
      </c>
      <c r="H4586" s="334" t="s">
        <v>10971</v>
      </c>
      <c r="I4586" s="426">
        <v>13636357097</v>
      </c>
      <c r="J4586" s="367" t="s">
        <v>10972</v>
      </c>
      <c r="K4586" s="470">
        <v>1000</v>
      </c>
      <c r="L4586" s="334">
        <v>10864</v>
      </c>
      <c r="M4586" s="338"/>
      <c r="N4586" s="362">
        <f t="shared" si="155"/>
        <v>10864</v>
      </c>
      <c r="X4586" s="339"/>
    </row>
    <row r="4587" s="330" customFormat="1" ht="15" customHeight="1" spans="1:24">
      <c r="A4587" s="550" t="s">
        <v>10973</v>
      </c>
      <c r="B4587" s="334" t="s">
        <v>73</v>
      </c>
      <c r="C4587" s="334" t="s">
        <v>74</v>
      </c>
      <c r="D4587" s="334" t="s">
        <v>427</v>
      </c>
      <c r="E4587" s="336">
        <v>43799</v>
      </c>
      <c r="F4587" s="336">
        <v>43716</v>
      </c>
      <c r="G4587" s="336">
        <v>43799</v>
      </c>
      <c r="H4587" s="334" t="s">
        <v>10974</v>
      </c>
      <c r="I4587" s="426">
        <v>17749725687</v>
      </c>
      <c r="J4587" s="367" t="s">
        <v>10975</v>
      </c>
      <c r="K4587" s="470">
        <v>1000</v>
      </c>
      <c r="L4587" s="334">
        <v>40321</v>
      </c>
      <c r="M4587" s="338"/>
      <c r="N4587" s="362">
        <f t="shared" si="155"/>
        <v>40321</v>
      </c>
      <c r="P4587" s="366" t="s">
        <v>52</v>
      </c>
      <c r="X4587" s="339"/>
    </row>
    <row r="4588" s="330" customFormat="1" ht="15" customHeight="1" spans="1:24">
      <c r="A4588" s="348"/>
      <c r="B4588" s="334" t="s">
        <v>73</v>
      </c>
      <c r="C4588" s="334" t="s">
        <v>74</v>
      </c>
      <c r="D4588" s="335" t="s">
        <v>75</v>
      </c>
      <c r="E4588" s="336">
        <v>43721</v>
      </c>
      <c r="F4588" s="336">
        <v>43721</v>
      </c>
      <c r="G4588" s="399"/>
      <c r="H4588" s="334" t="s">
        <v>10976</v>
      </c>
      <c r="I4588" s="426">
        <v>13701900653</v>
      </c>
      <c r="J4588" s="367" t="s">
        <v>10977</v>
      </c>
      <c r="K4588" s="470">
        <v>1000</v>
      </c>
      <c r="L4588" s="338"/>
      <c r="M4588" s="338"/>
      <c r="N4588" s="362">
        <f t="shared" si="155"/>
        <v>0</v>
      </c>
      <c r="P4588" s="331"/>
      <c r="Q4588" s="405" t="s">
        <v>52</v>
      </c>
      <c r="X4588" s="339"/>
    </row>
    <row r="4589" s="330" customFormat="1" ht="15" customHeight="1" spans="1:24">
      <c r="A4589" s="348">
        <v>2022521</v>
      </c>
      <c r="B4589" s="334" t="s">
        <v>73</v>
      </c>
      <c r="C4589" s="334" t="s">
        <v>178</v>
      </c>
      <c r="D4589" s="334" t="s">
        <v>427</v>
      </c>
      <c r="E4589" s="336">
        <v>43799</v>
      </c>
      <c r="F4589" s="336">
        <v>43716</v>
      </c>
      <c r="G4589" s="336">
        <v>43799</v>
      </c>
      <c r="H4589" s="334" t="s">
        <v>10978</v>
      </c>
      <c r="I4589" s="426">
        <v>13611693216</v>
      </c>
      <c r="J4589" s="367" t="s">
        <v>10979</v>
      </c>
      <c r="K4589" s="470">
        <v>1000</v>
      </c>
      <c r="L4589" s="334">
        <v>25276</v>
      </c>
      <c r="M4589" s="338"/>
      <c r="N4589" s="362">
        <f t="shared" si="155"/>
        <v>25276</v>
      </c>
      <c r="P4589" s="366" t="s">
        <v>52</v>
      </c>
      <c r="X4589" s="339"/>
    </row>
    <row r="4590" s="330" customFormat="1" ht="15" customHeight="1" spans="1:24">
      <c r="A4590" s="550" t="s">
        <v>1903</v>
      </c>
      <c r="B4590" s="334" t="s">
        <v>73</v>
      </c>
      <c r="C4590" s="334" t="s">
        <v>178</v>
      </c>
      <c r="D4590" s="334" t="s">
        <v>75</v>
      </c>
      <c r="E4590" s="336">
        <v>43735</v>
      </c>
      <c r="F4590" s="336">
        <v>43716</v>
      </c>
      <c r="G4590" s="336">
        <v>43735</v>
      </c>
      <c r="H4590" s="334" t="s">
        <v>10980</v>
      </c>
      <c r="I4590" s="426">
        <v>13003258622</v>
      </c>
      <c r="J4590" s="367" t="s">
        <v>10981</v>
      </c>
      <c r="K4590" s="470">
        <v>1000</v>
      </c>
      <c r="L4590" s="334">
        <v>11049</v>
      </c>
      <c r="M4590" s="338"/>
      <c r="N4590" s="362">
        <f t="shared" si="155"/>
        <v>11049</v>
      </c>
      <c r="X4590" s="339"/>
    </row>
    <row r="4591" s="330" customFormat="1" ht="15" customHeight="1" spans="1:24">
      <c r="A4591" s="550" t="s">
        <v>10982</v>
      </c>
      <c r="B4591" s="334" t="s">
        <v>205</v>
      </c>
      <c r="C4591" s="334" t="s">
        <v>1467</v>
      </c>
      <c r="D4591" s="334" t="s">
        <v>89</v>
      </c>
      <c r="E4591" s="336">
        <v>43736</v>
      </c>
      <c r="F4591" s="336">
        <v>43716</v>
      </c>
      <c r="G4591" s="336">
        <v>43734</v>
      </c>
      <c r="H4591" s="334" t="s">
        <v>10983</v>
      </c>
      <c r="I4591" s="426">
        <v>13817886049</v>
      </c>
      <c r="J4591" s="367" t="s">
        <v>10984</v>
      </c>
      <c r="K4591" s="470">
        <v>5000</v>
      </c>
      <c r="L4591" s="334">
        <v>9050</v>
      </c>
      <c r="M4591" s="338"/>
      <c r="N4591" s="362">
        <f t="shared" si="155"/>
        <v>9050</v>
      </c>
      <c r="O4591" s="353" t="s">
        <v>1526</v>
      </c>
      <c r="X4591" s="339"/>
    </row>
    <row r="4592" s="330" customFormat="1" ht="15" customHeight="1" spans="1:24">
      <c r="A4592" s="334"/>
      <c r="B4592" s="334" t="s">
        <v>281</v>
      </c>
      <c r="C4592" s="334" t="s">
        <v>517</v>
      </c>
      <c r="D4592" s="334" t="s">
        <v>518</v>
      </c>
      <c r="E4592" s="336">
        <v>43716</v>
      </c>
      <c r="F4592" s="336"/>
      <c r="G4592" s="336">
        <v>43713</v>
      </c>
      <c r="H4592" s="334" t="s">
        <v>10985</v>
      </c>
      <c r="I4592" s="334">
        <v>13916634947</v>
      </c>
      <c r="J4592" s="334" t="s">
        <v>10986</v>
      </c>
      <c r="K4592" s="337"/>
      <c r="L4592" s="334">
        <v>19840</v>
      </c>
      <c r="M4592" s="338"/>
      <c r="N4592" s="362">
        <f t="shared" si="155"/>
        <v>19840</v>
      </c>
      <c r="X4592" s="339"/>
    </row>
    <row r="4593" s="330" customFormat="1" ht="15" customHeight="1" spans="1:24">
      <c r="A4593" s="334"/>
      <c r="B4593" s="334" t="s">
        <v>205</v>
      </c>
      <c r="C4593" s="334" t="s">
        <v>1467</v>
      </c>
      <c r="D4593" s="334" t="s">
        <v>407</v>
      </c>
      <c r="E4593" s="336">
        <v>43716</v>
      </c>
      <c r="F4593" s="336"/>
      <c r="G4593" s="336">
        <v>43716</v>
      </c>
      <c r="H4593" s="334" t="s">
        <v>10987</v>
      </c>
      <c r="I4593" s="334">
        <v>13795407555</v>
      </c>
      <c r="J4593" s="334" t="s">
        <v>10988</v>
      </c>
      <c r="K4593" s="337"/>
      <c r="L4593" s="334">
        <v>12440</v>
      </c>
      <c r="M4593" s="338"/>
      <c r="N4593" s="362">
        <f t="shared" si="155"/>
        <v>12440</v>
      </c>
      <c r="X4593" s="339"/>
    </row>
    <row r="4594" s="330" customFormat="1" ht="15" customHeight="1" spans="1:24">
      <c r="A4594" s="334"/>
      <c r="B4594" s="334" t="s">
        <v>6313</v>
      </c>
      <c r="C4594" s="334" t="s">
        <v>7818</v>
      </c>
      <c r="D4594" s="334" t="s">
        <v>7871</v>
      </c>
      <c r="E4594" s="336">
        <v>43716</v>
      </c>
      <c r="F4594" s="336"/>
      <c r="G4594" s="336">
        <v>43711</v>
      </c>
      <c r="H4594" s="334" t="s">
        <v>10989</v>
      </c>
      <c r="I4594" s="334">
        <v>18717993880</v>
      </c>
      <c r="J4594" s="334" t="s">
        <v>10990</v>
      </c>
      <c r="K4594" s="337"/>
      <c r="L4594" s="334">
        <v>4479</v>
      </c>
      <c r="M4594" s="338"/>
      <c r="N4594" s="362">
        <f t="shared" si="155"/>
        <v>4479</v>
      </c>
      <c r="X4594" s="339"/>
    </row>
    <row r="4595" s="330" customFormat="1" ht="15" customHeight="1" spans="1:24">
      <c r="A4595" s="334"/>
      <c r="B4595" s="348" t="s">
        <v>205</v>
      </c>
      <c r="C4595" s="348" t="s">
        <v>1467</v>
      </c>
      <c r="D4595" s="352" t="s">
        <v>407</v>
      </c>
      <c r="E4595" s="336">
        <v>43716</v>
      </c>
      <c r="F4595" s="336" t="s">
        <v>800</v>
      </c>
      <c r="G4595" s="336">
        <v>43714</v>
      </c>
      <c r="H4595" s="334" t="s">
        <v>6574</v>
      </c>
      <c r="I4595" s="334">
        <v>15618368320</v>
      </c>
      <c r="J4595" s="348" t="s">
        <v>6575</v>
      </c>
      <c r="K4595" s="337"/>
      <c r="L4595" s="338"/>
      <c r="M4595" s="334">
        <v>2403</v>
      </c>
      <c r="N4595" s="362">
        <f t="shared" si="155"/>
        <v>2403</v>
      </c>
      <c r="X4595" s="339"/>
    </row>
    <row r="4596" s="330" customFormat="1" ht="15" customHeight="1" spans="1:24">
      <c r="A4596" s="334"/>
      <c r="B4596" s="348" t="s">
        <v>137</v>
      </c>
      <c r="C4596" s="348" t="s">
        <v>406</v>
      </c>
      <c r="D4596" s="349" t="s">
        <v>427</v>
      </c>
      <c r="E4596" s="336">
        <v>43716</v>
      </c>
      <c r="F4596" s="336" t="s">
        <v>800</v>
      </c>
      <c r="G4596" s="336">
        <v>43715</v>
      </c>
      <c r="H4596" s="334" t="s">
        <v>4691</v>
      </c>
      <c r="I4596" s="356">
        <v>18664356413</v>
      </c>
      <c r="J4596" s="348" t="s">
        <v>4692</v>
      </c>
      <c r="K4596" s="337"/>
      <c r="L4596" s="338"/>
      <c r="M4596" s="334">
        <v>885</v>
      </c>
      <c r="N4596" s="362">
        <f t="shared" si="155"/>
        <v>885</v>
      </c>
      <c r="X4596" s="339"/>
    </row>
    <row r="4597" s="330" customFormat="1" ht="15" customHeight="1" spans="1:24">
      <c r="A4597" s="334"/>
      <c r="B4597" s="348" t="s">
        <v>66</v>
      </c>
      <c r="C4597" s="348" t="s">
        <v>1749</v>
      </c>
      <c r="D4597" s="352" t="s">
        <v>68</v>
      </c>
      <c r="E4597" s="336">
        <v>43716</v>
      </c>
      <c r="F4597" s="336" t="s">
        <v>800</v>
      </c>
      <c r="G4597" s="336">
        <v>43716</v>
      </c>
      <c r="H4597" s="334" t="s">
        <v>9255</v>
      </c>
      <c r="I4597" s="334">
        <v>18721984993</v>
      </c>
      <c r="J4597" s="334" t="s">
        <v>9256</v>
      </c>
      <c r="K4597" s="337"/>
      <c r="L4597" s="338"/>
      <c r="M4597" s="334">
        <v>1515</v>
      </c>
      <c r="N4597" s="362">
        <f t="shared" si="155"/>
        <v>1515</v>
      </c>
      <c r="X4597" s="339"/>
    </row>
    <row r="4598" s="330" customFormat="1" ht="15" customHeight="1" spans="1:24">
      <c r="A4598" s="334"/>
      <c r="B4598" s="348" t="s">
        <v>2625</v>
      </c>
      <c r="C4598" s="348" t="s">
        <v>2626</v>
      </c>
      <c r="D4598" s="334" t="s">
        <v>635</v>
      </c>
      <c r="E4598" s="336">
        <v>43716</v>
      </c>
      <c r="F4598" s="336" t="s">
        <v>800</v>
      </c>
      <c r="G4598" s="336">
        <v>43716</v>
      </c>
      <c r="H4598" s="334" t="s">
        <v>10991</v>
      </c>
      <c r="I4598" s="334">
        <v>13564686522</v>
      </c>
      <c r="J4598" s="334" t="s">
        <v>10992</v>
      </c>
      <c r="K4598" s="337"/>
      <c r="L4598" s="338"/>
      <c r="M4598" s="334">
        <v>4598</v>
      </c>
      <c r="N4598" s="362">
        <f t="shared" si="155"/>
        <v>4598</v>
      </c>
      <c r="X4598" s="339"/>
    </row>
    <row r="4599" s="330" customFormat="1" ht="15" customHeight="1" spans="1:24">
      <c r="A4599" s="334"/>
      <c r="B4599" s="334" t="s">
        <v>6313</v>
      </c>
      <c r="C4599" s="334" t="s">
        <v>7818</v>
      </c>
      <c r="D4599" s="334" t="s">
        <v>7871</v>
      </c>
      <c r="E4599" s="336">
        <v>43716</v>
      </c>
      <c r="F4599" s="336" t="s">
        <v>800</v>
      </c>
      <c r="G4599" s="336">
        <v>43714</v>
      </c>
      <c r="H4599" s="334" t="s">
        <v>10993</v>
      </c>
      <c r="I4599" s="334">
        <v>18221035448</v>
      </c>
      <c r="J4599" s="334" t="s">
        <v>10994</v>
      </c>
      <c r="K4599" s="337"/>
      <c r="L4599" s="338"/>
      <c r="M4599" s="334">
        <v>-150</v>
      </c>
      <c r="N4599" s="362">
        <f t="shared" si="155"/>
        <v>-150</v>
      </c>
      <c r="X4599" s="339"/>
    </row>
    <row r="4600" s="330" customFormat="1" ht="15" customHeight="1" spans="1:24">
      <c r="A4600" s="334"/>
      <c r="B4600" s="348" t="s">
        <v>31</v>
      </c>
      <c r="C4600" s="348" t="s">
        <v>377</v>
      </c>
      <c r="D4600" s="349" t="s">
        <v>33</v>
      </c>
      <c r="E4600" s="336">
        <v>43716</v>
      </c>
      <c r="F4600" s="336" t="s">
        <v>800</v>
      </c>
      <c r="G4600" s="336">
        <v>43716</v>
      </c>
      <c r="H4600" s="334" t="s">
        <v>5973</v>
      </c>
      <c r="I4600" s="334">
        <v>13585947060</v>
      </c>
      <c r="J4600" s="334" t="s">
        <v>10995</v>
      </c>
      <c r="K4600" s="337"/>
      <c r="L4600" s="338"/>
      <c r="M4600" s="334">
        <v>2255</v>
      </c>
      <c r="N4600" s="362">
        <f t="shared" si="155"/>
        <v>2255</v>
      </c>
      <c r="X4600" s="339"/>
    </row>
    <row r="4601" s="330" customFormat="1" ht="15" customHeight="1" spans="1:24">
      <c r="A4601" s="334"/>
      <c r="B4601" s="334" t="s">
        <v>185</v>
      </c>
      <c r="C4601" s="334" t="s">
        <v>4146</v>
      </c>
      <c r="D4601" s="334" t="s">
        <v>187</v>
      </c>
      <c r="E4601" s="336">
        <v>43716</v>
      </c>
      <c r="F4601" s="336" t="s">
        <v>800</v>
      </c>
      <c r="G4601" s="336">
        <v>43714</v>
      </c>
      <c r="H4601" s="334" t="s">
        <v>10996</v>
      </c>
      <c r="I4601" s="334">
        <v>13512116050</v>
      </c>
      <c r="J4601" s="334" t="s">
        <v>10997</v>
      </c>
      <c r="K4601" s="337"/>
      <c r="L4601" s="338"/>
      <c r="M4601" s="334">
        <v>-2185</v>
      </c>
      <c r="N4601" s="362">
        <f t="shared" si="155"/>
        <v>-2185</v>
      </c>
      <c r="X4601" s="339"/>
    </row>
    <row r="4602" s="330" customFormat="1" ht="15" customHeight="1" spans="1:24">
      <c r="A4602" s="334"/>
      <c r="B4602" s="348" t="s">
        <v>35</v>
      </c>
      <c r="C4602" s="348" t="s">
        <v>36</v>
      </c>
      <c r="D4602" s="349" t="s">
        <v>37</v>
      </c>
      <c r="E4602" s="336">
        <v>43716</v>
      </c>
      <c r="F4602" s="336" t="s">
        <v>800</v>
      </c>
      <c r="G4602" s="336">
        <v>43716</v>
      </c>
      <c r="H4602" s="334" t="s">
        <v>5277</v>
      </c>
      <c r="I4602" s="334">
        <v>13918511644</v>
      </c>
      <c r="J4602" s="334" t="s">
        <v>10998</v>
      </c>
      <c r="K4602" s="337"/>
      <c r="L4602" s="338"/>
      <c r="M4602" s="334">
        <v>1746</v>
      </c>
      <c r="N4602" s="362">
        <f t="shared" si="155"/>
        <v>1746</v>
      </c>
      <c r="X4602" s="339"/>
    </row>
    <row r="4603" s="330" customFormat="1" ht="15" customHeight="1" spans="1:24">
      <c r="A4603" s="550" t="s">
        <v>10999</v>
      </c>
      <c r="B4603" s="334" t="s">
        <v>236</v>
      </c>
      <c r="C4603" s="334" t="s">
        <v>195</v>
      </c>
      <c r="D4603" s="334" t="s">
        <v>237</v>
      </c>
      <c r="E4603" s="336">
        <v>43717</v>
      </c>
      <c r="F4603" s="336">
        <v>43715</v>
      </c>
      <c r="G4603" s="399">
        <v>43715</v>
      </c>
      <c r="H4603" s="334" t="s">
        <v>11000</v>
      </c>
      <c r="I4603" s="426">
        <v>13120663630</v>
      </c>
      <c r="J4603" s="367" t="s">
        <v>11001</v>
      </c>
      <c r="K4603" s="470">
        <v>4000</v>
      </c>
      <c r="L4603" s="334">
        <v>4000</v>
      </c>
      <c r="M4603" s="338"/>
      <c r="N4603" s="362">
        <f t="shared" ref="N4603:N4634" si="156">L4603+M4603</f>
        <v>4000</v>
      </c>
      <c r="X4603" s="339"/>
    </row>
    <row r="4604" s="330" customFormat="1" ht="15" customHeight="1" spans="1:24">
      <c r="A4604" s="550" t="s">
        <v>11002</v>
      </c>
      <c r="B4604" s="334" t="s">
        <v>66</v>
      </c>
      <c r="C4604" s="334" t="s">
        <v>3954</v>
      </c>
      <c r="D4604" s="335" t="s">
        <v>1436</v>
      </c>
      <c r="E4604" s="336">
        <v>43717</v>
      </c>
      <c r="F4604" s="336">
        <v>43715</v>
      </c>
      <c r="G4604" s="399"/>
      <c r="H4604" s="334" t="s">
        <v>11003</v>
      </c>
      <c r="I4604" s="426">
        <v>13701644062</v>
      </c>
      <c r="J4604" s="367" t="s">
        <v>11004</v>
      </c>
      <c r="K4604" s="470">
        <v>1000</v>
      </c>
      <c r="L4604" s="338"/>
      <c r="M4604" s="338"/>
      <c r="N4604" s="362">
        <f t="shared" si="156"/>
        <v>0</v>
      </c>
      <c r="U4604" s="400" t="s">
        <v>10432</v>
      </c>
      <c r="X4604" s="339"/>
    </row>
    <row r="4605" s="330" customFormat="1" ht="15" customHeight="1" spans="1:24">
      <c r="A4605" s="550" t="s">
        <v>11005</v>
      </c>
      <c r="B4605" s="334" t="s">
        <v>31</v>
      </c>
      <c r="C4605" s="334" t="s">
        <v>220</v>
      </c>
      <c r="D4605" s="334" t="s">
        <v>954</v>
      </c>
      <c r="E4605" s="336">
        <v>43737</v>
      </c>
      <c r="F4605" s="336">
        <v>43717</v>
      </c>
      <c r="G4605" s="336">
        <v>43736</v>
      </c>
      <c r="H4605" s="334" t="s">
        <v>11006</v>
      </c>
      <c r="I4605" s="426">
        <v>13774251983</v>
      </c>
      <c r="J4605" s="367" t="s">
        <v>11007</v>
      </c>
      <c r="K4605" s="470">
        <v>1000</v>
      </c>
      <c r="L4605" s="334">
        <f>12885-736</f>
        <v>12149</v>
      </c>
      <c r="M4605" s="334">
        <v>736</v>
      </c>
      <c r="N4605" s="362">
        <f t="shared" si="156"/>
        <v>12885</v>
      </c>
      <c r="X4605" s="339"/>
    </row>
    <row r="4606" s="330" customFormat="1" ht="15" customHeight="1" spans="1:24">
      <c r="A4606" s="550" t="s">
        <v>11008</v>
      </c>
      <c r="B4606" s="334" t="s">
        <v>58</v>
      </c>
      <c r="C4606" s="348" t="s">
        <v>347</v>
      </c>
      <c r="D4606" s="334" t="s">
        <v>110</v>
      </c>
      <c r="E4606" s="336">
        <v>43787</v>
      </c>
      <c r="F4606" s="336">
        <v>43716</v>
      </c>
      <c r="G4606" s="336">
        <v>43786</v>
      </c>
      <c r="H4606" s="334" t="s">
        <v>11009</v>
      </c>
      <c r="I4606" s="426">
        <v>18317086617</v>
      </c>
      <c r="J4606" s="367" t="s">
        <v>11010</v>
      </c>
      <c r="K4606" s="470">
        <v>5000</v>
      </c>
      <c r="L4606" s="334">
        <v>13337</v>
      </c>
      <c r="M4606" s="338"/>
      <c r="N4606" s="362">
        <f t="shared" si="156"/>
        <v>13337</v>
      </c>
      <c r="X4606" s="339"/>
    </row>
    <row r="4607" s="330" customFormat="1" ht="15" customHeight="1" spans="1:24">
      <c r="A4607" s="550" t="s">
        <v>4823</v>
      </c>
      <c r="B4607" s="334" t="s">
        <v>58</v>
      </c>
      <c r="C4607" s="348" t="s">
        <v>347</v>
      </c>
      <c r="D4607" s="335" t="s">
        <v>343</v>
      </c>
      <c r="E4607" s="336">
        <v>43737</v>
      </c>
      <c r="F4607" s="336">
        <v>43716</v>
      </c>
      <c r="G4607" s="336">
        <v>43737</v>
      </c>
      <c r="H4607" s="334" t="s">
        <v>11011</v>
      </c>
      <c r="I4607" s="426">
        <v>13817780678</v>
      </c>
      <c r="J4607" s="367" t="s">
        <v>11012</v>
      </c>
      <c r="K4607" s="470">
        <v>10000</v>
      </c>
      <c r="L4607" s="334">
        <v>9974</v>
      </c>
      <c r="M4607" s="338"/>
      <c r="N4607" s="362">
        <f t="shared" si="156"/>
        <v>9974</v>
      </c>
      <c r="X4607" s="339"/>
    </row>
    <row r="4608" s="330" customFormat="1" ht="15" customHeight="1" spans="1:24">
      <c r="A4608" s="550" t="s">
        <v>11013</v>
      </c>
      <c r="B4608" s="348" t="s">
        <v>58</v>
      </c>
      <c r="C4608" s="334" t="s">
        <v>794</v>
      </c>
      <c r="D4608" s="335" t="s">
        <v>110</v>
      </c>
      <c r="E4608" s="336">
        <v>43785</v>
      </c>
      <c r="F4608" s="336">
        <v>43716</v>
      </c>
      <c r="G4608" s="336">
        <v>43783</v>
      </c>
      <c r="H4608" s="334" t="s">
        <v>11014</v>
      </c>
      <c r="I4608" s="426">
        <v>13621656554</v>
      </c>
      <c r="J4608" s="367" t="s">
        <v>11015</v>
      </c>
      <c r="K4608" s="470">
        <v>1000</v>
      </c>
      <c r="L4608" s="334">
        <v>25749</v>
      </c>
      <c r="M4608" s="338"/>
      <c r="N4608" s="362">
        <f t="shared" si="156"/>
        <v>25749</v>
      </c>
      <c r="X4608" s="339"/>
    </row>
    <row r="4609" s="330" customFormat="1" ht="15" customHeight="1" spans="1:24">
      <c r="A4609" s="550" t="s">
        <v>4733</v>
      </c>
      <c r="B4609" s="348" t="s">
        <v>58</v>
      </c>
      <c r="C4609" s="334" t="s">
        <v>794</v>
      </c>
      <c r="D4609" s="335" t="s">
        <v>110</v>
      </c>
      <c r="E4609" s="336">
        <v>43717</v>
      </c>
      <c r="F4609" s="336">
        <v>43716</v>
      </c>
      <c r="G4609" s="399">
        <v>43785</v>
      </c>
      <c r="H4609" s="334" t="s">
        <v>11016</v>
      </c>
      <c r="I4609" s="426" t="s">
        <v>11017</v>
      </c>
      <c r="J4609" s="367" t="s">
        <v>11018</v>
      </c>
      <c r="K4609" s="470">
        <v>5000</v>
      </c>
      <c r="L4609" s="338"/>
      <c r="M4609" s="338"/>
      <c r="N4609" s="362">
        <f t="shared" si="156"/>
        <v>0</v>
      </c>
      <c r="X4609" s="339"/>
    </row>
    <row r="4610" s="330" customFormat="1" ht="15" customHeight="1" spans="1:24">
      <c r="A4610" s="550" t="s">
        <v>5124</v>
      </c>
      <c r="B4610" s="334" t="s">
        <v>58</v>
      </c>
      <c r="C4610" s="334" t="s">
        <v>342</v>
      </c>
      <c r="D4610" s="335" t="s">
        <v>343</v>
      </c>
      <c r="E4610" s="336">
        <v>43769</v>
      </c>
      <c r="F4610" s="336">
        <v>43716</v>
      </c>
      <c r="G4610" s="336">
        <v>43769</v>
      </c>
      <c r="H4610" s="334" t="s">
        <v>11019</v>
      </c>
      <c r="I4610" s="426">
        <v>18915589925</v>
      </c>
      <c r="J4610" s="348" t="s">
        <v>11020</v>
      </c>
      <c r="K4610" s="470">
        <v>10000</v>
      </c>
      <c r="L4610" s="334">
        <v>27647</v>
      </c>
      <c r="M4610" s="338"/>
      <c r="N4610" s="362">
        <f t="shared" si="156"/>
        <v>27647</v>
      </c>
      <c r="X4610" s="339"/>
    </row>
    <row r="4611" s="330" customFormat="1" ht="15" customHeight="1" spans="1:24">
      <c r="A4611" s="550" t="s">
        <v>11021</v>
      </c>
      <c r="B4611" s="334" t="s">
        <v>66</v>
      </c>
      <c r="C4611" s="334" t="s">
        <v>3954</v>
      </c>
      <c r="D4611" s="335" t="s">
        <v>1436</v>
      </c>
      <c r="E4611" s="336">
        <v>43717</v>
      </c>
      <c r="F4611" s="336">
        <v>43717</v>
      </c>
      <c r="G4611" s="399"/>
      <c r="H4611" s="334" t="s">
        <v>11022</v>
      </c>
      <c r="I4611" s="426">
        <v>13585951239</v>
      </c>
      <c r="J4611" s="367" t="s">
        <v>11023</v>
      </c>
      <c r="K4611" s="470">
        <v>10000</v>
      </c>
      <c r="L4611" s="338"/>
      <c r="M4611" s="338"/>
      <c r="N4611" s="362">
        <f t="shared" si="156"/>
        <v>0</v>
      </c>
      <c r="O4611" s="330" t="s">
        <v>19</v>
      </c>
      <c r="X4611" s="339"/>
    </row>
    <row r="4612" s="330" customFormat="1" ht="15" customHeight="1" spans="1:24">
      <c r="A4612" s="550" t="s">
        <v>1078</v>
      </c>
      <c r="B4612" s="334" t="s">
        <v>169</v>
      </c>
      <c r="C4612" s="334" t="s">
        <v>634</v>
      </c>
      <c r="D4612" s="334" t="s">
        <v>635</v>
      </c>
      <c r="E4612" s="336">
        <v>43717</v>
      </c>
      <c r="F4612" s="336">
        <v>43717</v>
      </c>
      <c r="G4612" s="399">
        <v>43716</v>
      </c>
      <c r="H4612" s="334" t="s">
        <v>11024</v>
      </c>
      <c r="I4612" s="426">
        <v>13701949666</v>
      </c>
      <c r="J4612" s="367" t="s">
        <v>11025</v>
      </c>
      <c r="K4612" s="470">
        <v>48123</v>
      </c>
      <c r="L4612" s="334">
        <v>48123</v>
      </c>
      <c r="M4612" s="338"/>
      <c r="N4612" s="362">
        <f t="shared" si="156"/>
        <v>48123</v>
      </c>
      <c r="X4612" s="339"/>
    </row>
    <row r="4613" s="330" customFormat="1" ht="15" customHeight="1" spans="1:24">
      <c r="A4613" s="348"/>
      <c r="B4613" s="334" t="s">
        <v>137</v>
      </c>
      <c r="C4613" s="334" t="s">
        <v>138</v>
      </c>
      <c r="D4613" s="335" t="s">
        <v>139</v>
      </c>
      <c r="E4613" s="336">
        <v>43717</v>
      </c>
      <c r="F4613" s="336">
        <v>43716</v>
      </c>
      <c r="G4613" s="399"/>
      <c r="H4613" s="334" t="s">
        <v>11026</v>
      </c>
      <c r="I4613" s="426">
        <v>13901836977</v>
      </c>
      <c r="J4613" s="367" t="s">
        <v>11027</v>
      </c>
      <c r="K4613" s="470">
        <v>1000</v>
      </c>
      <c r="L4613" s="338"/>
      <c r="M4613" s="338"/>
      <c r="N4613" s="362">
        <f t="shared" si="156"/>
        <v>0</v>
      </c>
      <c r="U4613" s="393" t="s">
        <v>40</v>
      </c>
      <c r="X4613" s="339"/>
    </row>
    <row r="4614" s="330" customFormat="1" ht="15" customHeight="1" spans="1:24">
      <c r="A4614" s="348"/>
      <c r="B4614" s="334" t="s">
        <v>405</v>
      </c>
      <c r="C4614" s="334" t="s">
        <v>823</v>
      </c>
      <c r="D4614" s="335" t="s">
        <v>407</v>
      </c>
      <c r="E4614" s="336">
        <v>43783</v>
      </c>
      <c r="F4614" s="336">
        <v>43716</v>
      </c>
      <c r="G4614" s="336">
        <v>43776</v>
      </c>
      <c r="H4614" s="334" t="s">
        <v>7246</v>
      </c>
      <c r="I4614" s="426">
        <v>15201958790</v>
      </c>
      <c r="J4614" s="367" t="s">
        <v>11028</v>
      </c>
      <c r="K4614" s="470">
        <v>1000</v>
      </c>
      <c r="L4614" s="334">
        <v>13964</v>
      </c>
      <c r="M4614" s="338"/>
      <c r="N4614" s="362">
        <f t="shared" si="156"/>
        <v>13964</v>
      </c>
      <c r="X4614" s="339"/>
    </row>
    <row r="4615" s="330" customFormat="1" ht="15" customHeight="1" spans="1:24">
      <c r="A4615" s="550" t="s">
        <v>6929</v>
      </c>
      <c r="B4615" s="348" t="s">
        <v>31</v>
      </c>
      <c r="C4615" s="334" t="s">
        <v>3186</v>
      </c>
      <c r="D4615" s="334" t="s">
        <v>954</v>
      </c>
      <c r="E4615" s="336">
        <v>43745</v>
      </c>
      <c r="F4615" s="336">
        <v>43716</v>
      </c>
      <c r="G4615" s="336">
        <v>43744</v>
      </c>
      <c r="H4615" s="334" t="s">
        <v>4027</v>
      </c>
      <c r="I4615" s="426" t="s">
        <v>11029</v>
      </c>
      <c r="J4615" s="367" t="s">
        <v>11030</v>
      </c>
      <c r="K4615" s="470">
        <v>1000</v>
      </c>
      <c r="L4615" s="334">
        <v>4548</v>
      </c>
      <c r="M4615" s="338"/>
      <c r="N4615" s="362">
        <f t="shared" si="156"/>
        <v>4548</v>
      </c>
      <c r="X4615" s="339"/>
    </row>
    <row r="4616" s="330" customFormat="1" ht="15" customHeight="1" spans="1:24">
      <c r="A4616" s="550" t="s">
        <v>7417</v>
      </c>
      <c r="B4616" s="348" t="s">
        <v>31</v>
      </c>
      <c r="C4616" s="334" t="s">
        <v>3186</v>
      </c>
      <c r="D4616" s="334" t="s">
        <v>954</v>
      </c>
      <c r="E4616" s="336">
        <v>43737</v>
      </c>
      <c r="F4616" s="336">
        <v>43716</v>
      </c>
      <c r="G4616" s="336">
        <v>43735</v>
      </c>
      <c r="H4616" s="334" t="s">
        <v>11031</v>
      </c>
      <c r="I4616" s="426">
        <v>13817392258</v>
      </c>
      <c r="J4616" s="367" t="s">
        <v>11032</v>
      </c>
      <c r="K4616" s="470">
        <v>1000</v>
      </c>
      <c r="L4616" s="334">
        <v>21899</v>
      </c>
      <c r="M4616" s="338"/>
      <c r="N4616" s="362">
        <f t="shared" si="156"/>
        <v>21899</v>
      </c>
      <c r="X4616" s="339"/>
    </row>
    <row r="4617" s="330" customFormat="1" ht="15" customHeight="1" spans="1:24">
      <c r="A4617" s="550" t="s">
        <v>11033</v>
      </c>
      <c r="B4617" s="334" t="s">
        <v>87</v>
      </c>
      <c r="C4617" s="334" t="s">
        <v>466</v>
      </c>
      <c r="D4617" s="335" t="s">
        <v>89</v>
      </c>
      <c r="E4617" s="336">
        <v>43769</v>
      </c>
      <c r="F4617" s="336">
        <v>43716</v>
      </c>
      <c r="G4617" s="336">
        <v>43769</v>
      </c>
      <c r="H4617" s="334" t="s">
        <v>11034</v>
      </c>
      <c r="I4617" s="426">
        <v>13901974784</v>
      </c>
      <c r="J4617" s="367" t="s">
        <v>11035</v>
      </c>
      <c r="K4617" s="470">
        <v>3000</v>
      </c>
      <c r="L4617" s="334">
        <v>18770</v>
      </c>
      <c r="M4617" s="338"/>
      <c r="N4617" s="362">
        <f t="shared" si="156"/>
        <v>18770</v>
      </c>
      <c r="X4617" s="339"/>
    </row>
    <row r="4618" s="330" customFormat="1" ht="15" customHeight="1" spans="1:24">
      <c r="A4618" s="550" t="s">
        <v>11036</v>
      </c>
      <c r="B4618" s="334" t="s">
        <v>153</v>
      </c>
      <c r="C4618" s="334" t="s">
        <v>302</v>
      </c>
      <c r="D4618" s="335" t="s">
        <v>155</v>
      </c>
      <c r="E4618" s="336">
        <v>43737</v>
      </c>
      <c r="F4618" s="336">
        <v>43716</v>
      </c>
      <c r="G4618" s="336">
        <v>43737</v>
      </c>
      <c r="H4618" s="334" t="s">
        <v>11037</v>
      </c>
      <c r="I4618" s="334" t="s">
        <v>11038</v>
      </c>
      <c r="J4618" s="367" t="s">
        <v>11039</v>
      </c>
      <c r="K4618" s="470">
        <f>20000+1000</f>
        <v>21000</v>
      </c>
      <c r="L4618" s="334">
        <v>20237</v>
      </c>
      <c r="M4618" s="338"/>
      <c r="N4618" s="362">
        <f t="shared" si="156"/>
        <v>20237</v>
      </c>
      <c r="X4618" s="339"/>
    </row>
    <row r="4619" s="330" customFormat="1" ht="15" customHeight="1" spans="1:24">
      <c r="A4619" s="550" t="s">
        <v>11040</v>
      </c>
      <c r="B4619" s="334" t="s">
        <v>31</v>
      </c>
      <c r="C4619" s="334" t="s">
        <v>251</v>
      </c>
      <c r="D4619" s="334" t="s">
        <v>954</v>
      </c>
      <c r="E4619" s="336">
        <v>43722</v>
      </c>
      <c r="F4619" s="336">
        <v>43717</v>
      </c>
      <c r="G4619" s="336">
        <v>43719</v>
      </c>
      <c r="H4619" s="334" t="s">
        <v>11041</v>
      </c>
      <c r="I4619" s="426">
        <v>13764218569</v>
      </c>
      <c r="J4619" s="367" t="s">
        <v>11042</v>
      </c>
      <c r="K4619" s="470">
        <v>1000</v>
      </c>
      <c r="L4619" s="334">
        <v>4700</v>
      </c>
      <c r="M4619" s="338"/>
      <c r="N4619" s="362">
        <f t="shared" si="156"/>
        <v>4700</v>
      </c>
      <c r="X4619" s="339"/>
    </row>
    <row r="4620" s="330" customFormat="1" ht="15" customHeight="1" spans="1:24">
      <c r="A4620" s="550" t="s">
        <v>11043</v>
      </c>
      <c r="B4620" s="334" t="s">
        <v>236</v>
      </c>
      <c r="C4620" s="334" t="s">
        <v>703</v>
      </c>
      <c r="D4620" s="335" t="s">
        <v>237</v>
      </c>
      <c r="E4620" s="336">
        <v>43732</v>
      </c>
      <c r="F4620" s="336">
        <v>43716</v>
      </c>
      <c r="G4620" s="336">
        <v>43731</v>
      </c>
      <c r="H4620" s="334" t="s">
        <v>11044</v>
      </c>
      <c r="I4620" s="426">
        <v>13611839267</v>
      </c>
      <c r="J4620" s="367" t="s">
        <v>11045</v>
      </c>
      <c r="K4620" s="470">
        <v>1000</v>
      </c>
      <c r="L4620" s="334">
        <f>10513-736</f>
        <v>9777</v>
      </c>
      <c r="M4620" s="334">
        <v>736</v>
      </c>
      <c r="N4620" s="362">
        <f t="shared" si="156"/>
        <v>10513</v>
      </c>
      <c r="X4620" s="339"/>
    </row>
    <row r="4621" s="330" customFormat="1" ht="15" customHeight="1" spans="1:24">
      <c r="A4621" s="550" t="s">
        <v>11046</v>
      </c>
      <c r="B4621" s="334" t="s">
        <v>236</v>
      </c>
      <c r="C4621" s="334" t="s">
        <v>195</v>
      </c>
      <c r="D4621" s="334" t="s">
        <v>207</v>
      </c>
      <c r="E4621" s="336">
        <v>43738</v>
      </c>
      <c r="F4621" s="336">
        <v>43716</v>
      </c>
      <c r="G4621" s="336">
        <v>43738</v>
      </c>
      <c r="H4621" s="334" t="s">
        <v>1131</v>
      </c>
      <c r="I4621" s="426">
        <v>13641990575</v>
      </c>
      <c r="J4621" s="367" t="s">
        <v>11047</v>
      </c>
      <c r="K4621" s="470">
        <v>5000</v>
      </c>
      <c r="L4621" s="334">
        <v>5000</v>
      </c>
      <c r="M4621" s="338"/>
      <c r="N4621" s="362">
        <f t="shared" si="156"/>
        <v>5000</v>
      </c>
      <c r="X4621" s="339"/>
    </row>
    <row r="4622" s="330" customFormat="1" ht="15" customHeight="1" spans="1:24">
      <c r="A4622" s="348"/>
      <c r="B4622" s="334" t="s">
        <v>137</v>
      </c>
      <c r="C4622" s="334" t="s">
        <v>426</v>
      </c>
      <c r="D4622" s="335" t="s">
        <v>443</v>
      </c>
      <c r="E4622" s="336">
        <v>43724</v>
      </c>
      <c r="F4622" s="336">
        <v>43716</v>
      </c>
      <c r="G4622" s="336">
        <v>43722</v>
      </c>
      <c r="H4622" s="334" t="s">
        <v>11048</v>
      </c>
      <c r="I4622" s="426">
        <v>13164977100</v>
      </c>
      <c r="J4622" s="367" t="s">
        <v>11049</v>
      </c>
      <c r="K4622" s="470">
        <v>1000</v>
      </c>
      <c r="L4622" s="334">
        <v>10402</v>
      </c>
      <c r="M4622" s="338"/>
      <c r="N4622" s="362">
        <f t="shared" si="156"/>
        <v>10402</v>
      </c>
      <c r="X4622" s="339"/>
    </row>
    <row r="4623" s="330" customFormat="1" ht="15" customHeight="1" spans="1:24">
      <c r="A4623" s="348"/>
      <c r="B4623" s="334" t="s">
        <v>137</v>
      </c>
      <c r="C4623" s="334" t="s">
        <v>426</v>
      </c>
      <c r="D4623" s="335" t="s">
        <v>443</v>
      </c>
      <c r="E4623" s="336">
        <v>43780</v>
      </c>
      <c r="F4623" s="336">
        <v>43716</v>
      </c>
      <c r="G4623" s="336">
        <v>43778</v>
      </c>
      <c r="H4623" s="334" t="s">
        <v>11050</v>
      </c>
      <c r="I4623" s="426">
        <v>18964336892</v>
      </c>
      <c r="J4623" s="367" t="s">
        <v>11051</v>
      </c>
      <c r="K4623" s="470">
        <v>1000</v>
      </c>
      <c r="L4623" s="334">
        <v>12597</v>
      </c>
      <c r="M4623" s="338"/>
      <c r="N4623" s="362">
        <f t="shared" si="156"/>
        <v>12597</v>
      </c>
      <c r="X4623" s="339"/>
    </row>
    <row r="4624" s="330" customFormat="1" ht="15" customHeight="1" spans="1:24">
      <c r="A4624" s="550" t="s">
        <v>11052</v>
      </c>
      <c r="B4624" s="334" t="s">
        <v>35</v>
      </c>
      <c r="C4624" s="334" t="s">
        <v>36</v>
      </c>
      <c r="D4624" s="335" t="s">
        <v>37</v>
      </c>
      <c r="E4624" s="336">
        <v>43738</v>
      </c>
      <c r="F4624" s="336">
        <v>43716</v>
      </c>
      <c r="G4624" s="336">
        <v>43738</v>
      </c>
      <c r="H4624" s="334" t="s">
        <v>11053</v>
      </c>
      <c r="I4624" s="426">
        <v>13801783078</v>
      </c>
      <c r="J4624" s="367" t="s">
        <v>11054</v>
      </c>
      <c r="K4624" s="470">
        <v>10000</v>
      </c>
      <c r="L4624" s="334">
        <v>10000</v>
      </c>
      <c r="M4624" s="338"/>
      <c r="N4624" s="362">
        <f t="shared" si="156"/>
        <v>10000</v>
      </c>
      <c r="X4624" s="339"/>
    </row>
    <row r="4625" s="330" customFormat="1" ht="15" customHeight="1" spans="1:24">
      <c r="A4625" s="348"/>
      <c r="B4625" s="334" t="s">
        <v>87</v>
      </c>
      <c r="C4625" s="334" t="s">
        <v>199</v>
      </c>
      <c r="D4625" s="335" t="s">
        <v>89</v>
      </c>
      <c r="E4625" s="336">
        <v>43717</v>
      </c>
      <c r="F4625" s="336">
        <v>43717</v>
      </c>
      <c r="G4625" s="399"/>
      <c r="H4625" s="334" t="s">
        <v>11055</v>
      </c>
      <c r="I4625" s="426">
        <v>15000133858</v>
      </c>
      <c r="J4625" s="367" t="s">
        <v>11056</v>
      </c>
      <c r="K4625" s="470">
        <v>1099</v>
      </c>
      <c r="L4625" s="338"/>
      <c r="M4625" s="338"/>
      <c r="N4625" s="362">
        <f t="shared" si="156"/>
        <v>0</v>
      </c>
      <c r="U4625" s="330" t="s">
        <v>12</v>
      </c>
      <c r="X4625" s="339"/>
    </row>
    <row r="4626" s="330" customFormat="1" ht="15" customHeight="1" spans="1:24">
      <c r="A4626" s="348">
        <v>2066239</v>
      </c>
      <c r="B4626" s="334" t="s">
        <v>243</v>
      </c>
      <c r="C4626" s="334" t="s">
        <v>309</v>
      </c>
      <c r="D4626" s="335" t="s">
        <v>49</v>
      </c>
      <c r="E4626" s="336">
        <v>43794</v>
      </c>
      <c r="F4626" s="336">
        <v>43717</v>
      </c>
      <c r="G4626" s="336">
        <v>43794</v>
      </c>
      <c r="H4626" s="334" t="s">
        <v>11057</v>
      </c>
      <c r="I4626" s="426">
        <v>13816736399</v>
      </c>
      <c r="J4626" s="367" t="s">
        <v>11058</v>
      </c>
      <c r="K4626" s="470">
        <v>6156</v>
      </c>
      <c r="L4626" s="334">
        <v>10027</v>
      </c>
      <c r="M4626" s="338"/>
      <c r="N4626" s="362">
        <f t="shared" si="156"/>
        <v>10027</v>
      </c>
      <c r="R4626" s="356" t="s">
        <v>52</v>
      </c>
      <c r="X4626" s="339"/>
    </row>
    <row r="4627" s="330" customFormat="1" ht="15" customHeight="1" spans="1:24">
      <c r="A4627" s="348"/>
      <c r="B4627" s="334" t="s">
        <v>5336</v>
      </c>
      <c r="C4627" s="334" t="s">
        <v>5336</v>
      </c>
      <c r="D4627" s="334" t="s">
        <v>1436</v>
      </c>
      <c r="E4627" s="336">
        <v>43724</v>
      </c>
      <c r="F4627" s="336">
        <v>43717</v>
      </c>
      <c r="G4627" s="336">
        <v>43717</v>
      </c>
      <c r="H4627" s="334" t="s">
        <v>11059</v>
      </c>
      <c r="I4627" s="426">
        <v>18916715397</v>
      </c>
      <c r="J4627" s="367" t="s">
        <v>11060</v>
      </c>
      <c r="K4627" s="470">
        <v>8275</v>
      </c>
      <c r="L4627" s="334">
        <v>13490</v>
      </c>
      <c r="M4627" s="338"/>
      <c r="N4627" s="362">
        <f t="shared" si="156"/>
        <v>13490</v>
      </c>
      <c r="X4627" s="339"/>
    </row>
    <row r="4628" s="330" customFormat="1" ht="15" customHeight="1" spans="1:24">
      <c r="A4628" s="550" t="s">
        <v>11061</v>
      </c>
      <c r="B4628" s="334" t="s">
        <v>31</v>
      </c>
      <c r="C4628" s="334" t="s">
        <v>3186</v>
      </c>
      <c r="D4628" s="334" t="s">
        <v>33</v>
      </c>
      <c r="E4628" s="336">
        <v>43720</v>
      </c>
      <c r="F4628" s="336">
        <v>43717</v>
      </c>
      <c r="G4628" s="399">
        <v>43719</v>
      </c>
      <c r="H4628" s="334" t="s">
        <v>11062</v>
      </c>
      <c r="I4628" s="426">
        <v>15216686815</v>
      </c>
      <c r="J4628" s="367" t="s">
        <v>11063</v>
      </c>
      <c r="K4628" s="470">
        <v>1000</v>
      </c>
      <c r="L4628" s="334">
        <v>37300</v>
      </c>
      <c r="M4628" s="338"/>
      <c r="N4628" s="362">
        <f t="shared" si="156"/>
        <v>37300</v>
      </c>
      <c r="X4628" s="339"/>
    </row>
    <row r="4629" s="330" customFormat="1" ht="15" customHeight="1" spans="1:24">
      <c r="A4629" s="550" t="s">
        <v>11064</v>
      </c>
      <c r="B4629" s="334" t="s">
        <v>31</v>
      </c>
      <c r="C4629" s="334" t="s">
        <v>251</v>
      </c>
      <c r="D4629" s="335" t="s">
        <v>33</v>
      </c>
      <c r="E4629" s="336">
        <v>43750</v>
      </c>
      <c r="F4629" s="336">
        <v>43717</v>
      </c>
      <c r="G4629" s="336">
        <v>43749</v>
      </c>
      <c r="H4629" s="334" t="s">
        <v>11065</v>
      </c>
      <c r="I4629" s="426">
        <v>13764940469</v>
      </c>
      <c r="J4629" s="367" t="s">
        <v>11066</v>
      </c>
      <c r="K4629" s="470">
        <v>1000</v>
      </c>
      <c r="L4629" s="334">
        <v>1699</v>
      </c>
      <c r="M4629" s="338"/>
      <c r="N4629" s="362">
        <f t="shared" si="156"/>
        <v>1699</v>
      </c>
      <c r="X4629" s="339"/>
    </row>
    <row r="4630" s="330" customFormat="1" ht="15" customHeight="1" spans="1:24">
      <c r="A4630" s="550" t="s">
        <v>2033</v>
      </c>
      <c r="B4630" s="348" t="s">
        <v>185</v>
      </c>
      <c r="C4630" s="334" t="s">
        <v>886</v>
      </c>
      <c r="D4630" s="335" t="s">
        <v>187</v>
      </c>
      <c r="E4630" s="336">
        <v>43738</v>
      </c>
      <c r="F4630" s="336">
        <v>43717</v>
      </c>
      <c r="G4630" s="336">
        <v>43736</v>
      </c>
      <c r="H4630" s="334" t="s">
        <v>5173</v>
      </c>
      <c r="I4630" s="426">
        <v>18918328737</v>
      </c>
      <c r="J4630" s="367" t="s">
        <v>11067</v>
      </c>
      <c r="K4630" s="470">
        <v>2299</v>
      </c>
      <c r="L4630" s="334">
        <v>19000</v>
      </c>
      <c r="M4630" s="338"/>
      <c r="N4630" s="362">
        <f t="shared" si="156"/>
        <v>19000</v>
      </c>
      <c r="X4630" s="339"/>
    </row>
    <row r="4631" s="330" customFormat="1" ht="15" customHeight="1" spans="1:24">
      <c r="A4631" s="348"/>
      <c r="B4631" s="334" t="s">
        <v>315</v>
      </c>
      <c r="C4631" s="334" t="s">
        <v>366</v>
      </c>
      <c r="D4631" s="335" t="s">
        <v>132</v>
      </c>
      <c r="E4631" s="336">
        <v>43738</v>
      </c>
      <c r="F4631" s="336">
        <v>43715</v>
      </c>
      <c r="G4631" s="336">
        <v>43732</v>
      </c>
      <c r="H4631" s="334" t="s">
        <v>11068</v>
      </c>
      <c r="I4631" s="426">
        <v>13661720297</v>
      </c>
      <c r="J4631" s="367" t="s">
        <v>11069</v>
      </c>
      <c r="K4631" s="470">
        <v>1000</v>
      </c>
      <c r="L4631" s="334">
        <v>31945</v>
      </c>
      <c r="M4631" s="338"/>
      <c r="N4631" s="362">
        <f t="shared" si="156"/>
        <v>31945</v>
      </c>
      <c r="X4631" s="339"/>
    </row>
    <row r="4632" s="330" customFormat="1" ht="15" customHeight="1" spans="1:24">
      <c r="A4632" s="550" t="s">
        <v>11070</v>
      </c>
      <c r="B4632" s="334" t="s">
        <v>726</v>
      </c>
      <c r="C4632" s="334" t="s">
        <v>727</v>
      </c>
      <c r="D4632" s="334" t="s">
        <v>271</v>
      </c>
      <c r="E4632" s="336">
        <v>43738</v>
      </c>
      <c r="F4632" s="336">
        <v>43715</v>
      </c>
      <c r="G4632" s="336">
        <v>43738</v>
      </c>
      <c r="H4632" s="334" t="s">
        <v>11071</v>
      </c>
      <c r="I4632" s="426">
        <v>17721059587</v>
      </c>
      <c r="J4632" s="367" t="s">
        <v>11072</v>
      </c>
      <c r="K4632" s="470">
        <v>12500</v>
      </c>
      <c r="L4632" s="334">
        <v>12500</v>
      </c>
      <c r="M4632" s="338"/>
      <c r="N4632" s="362">
        <f t="shared" si="156"/>
        <v>12500</v>
      </c>
      <c r="X4632" s="339"/>
    </row>
    <row r="4633" s="330" customFormat="1" ht="15" customHeight="1" spans="1:24">
      <c r="A4633" s="550" t="s">
        <v>11073</v>
      </c>
      <c r="B4633" s="334" t="s">
        <v>58</v>
      </c>
      <c r="C4633" s="334" t="s">
        <v>109</v>
      </c>
      <c r="D4633" s="335" t="s">
        <v>110</v>
      </c>
      <c r="E4633" s="336">
        <v>43753</v>
      </c>
      <c r="F4633" s="336">
        <v>43717</v>
      </c>
      <c r="G4633" s="336">
        <v>43750</v>
      </c>
      <c r="H4633" s="334" t="s">
        <v>11074</v>
      </c>
      <c r="I4633" s="426">
        <v>13311826869</v>
      </c>
      <c r="J4633" s="367" t="s">
        <v>11075</v>
      </c>
      <c r="K4633" s="470">
        <v>1000</v>
      </c>
      <c r="L4633" s="334">
        <v>19774</v>
      </c>
      <c r="M4633" s="338"/>
      <c r="N4633" s="362">
        <f t="shared" si="156"/>
        <v>19774</v>
      </c>
      <c r="X4633" s="339"/>
    </row>
    <row r="4634" s="330" customFormat="1" ht="15" customHeight="1" spans="1:24">
      <c r="A4634" s="550" t="s">
        <v>11076</v>
      </c>
      <c r="B4634" s="334" t="s">
        <v>35</v>
      </c>
      <c r="C4634" s="348" t="s">
        <v>392</v>
      </c>
      <c r="D4634" s="335" t="s">
        <v>37</v>
      </c>
      <c r="E4634" s="336">
        <v>43718</v>
      </c>
      <c r="F4634" s="336">
        <v>43717</v>
      </c>
      <c r="G4634" s="399"/>
      <c r="H4634" s="334" t="s">
        <v>11077</v>
      </c>
      <c r="I4634" s="426">
        <v>13601980874</v>
      </c>
      <c r="J4634" s="367" t="s">
        <v>11078</v>
      </c>
      <c r="K4634" s="470">
        <v>4158</v>
      </c>
      <c r="L4634" s="338"/>
      <c r="M4634" s="338"/>
      <c r="N4634" s="362">
        <f t="shared" si="156"/>
        <v>0</v>
      </c>
      <c r="U4634" s="330" t="s">
        <v>40</v>
      </c>
      <c r="X4634" s="339"/>
    </row>
    <row r="4635" s="330" customFormat="1" ht="15" customHeight="1" spans="1:24">
      <c r="A4635" s="550" t="s">
        <v>804</v>
      </c>
      <c r="B4635" s="334" t="s">
        <v>315</v>
      </c>
      <c r="C4635" s="334" t="s">
        <v>722</v>
      </c>
      <c r="D4635" s="335" t="s">
        <v>132</v>
      </c>
      <c r="E4635" s="336">
        <v>43738</v>
      </c>
      <c r="F4635" s="336">
        <v>43717</v>
      </c>
      <c r="G4635" s="336">
        <v>43736</v>
      </c>
      <c r="H4635" s="334" t="s">
        <v>11079</v>
      </c>
      <c r="I4635" s="426">
        <v>13004146836</v>
      </c>
      <c r="J4635" s="367" t="s">
        <v>11080</v>
      </c>
      <c r="K4635" s="470">
        <v>1000</v>
      </c>
      <c r="L4635" s="334">
        <v>13420</v>
      </c>
      <c r="M4635" s="338"/>
      <c r="N4635" s="362">
        <f t="shared" ref="N4635:N4666" si="157">L4635+M4635</f>
        <v>13420</v>
      </c>
      <c r="X4635" s="339"/>
    </row>
    <row r="4636" s="330" customFormat="1" ht="15" customHeight="1" spans="1:24">
      <c r="A4636" s="550" t="s">
        <v>6729</v>
      </c>
      <c r="B4636" s="334" t="s">
        <v>185</v>
      </c>
      <c r="C4636" s="334" t="s">
        <v>186</v>
      </c>
      <c r="D4636" s="335" t="s">
        <v>187</v>
      </c>
      <c r="E4636" s="336">
        <v>43718</v>
      </c>
      <c r="F4636" s="336">
        <v>43716</v>
      </c>
      <c r="G4636" s="399"/>
      <c r="H4636" s="334" t="s">
        <v>11081</v>
      </c>
      <c r="I4636" s="426">
        <v>18668623939</v>
      </c>
      <c r="J4636" s="367" t="s">
        <v>11082</v>
      </c>
      <c r="K4636" s="470">
        <v>1000</v>
      </c>
      <c r="L4636" s="338"/>
      <c r="M4636" s="338"/>
      <c r="N4636" s="362">
        <f t="shared" si="157"/>
        <v>0</v>
      </c>
      <c r="U4636" s="330" t="s">
        <v>12</v>
      </c>
      <c r="X4636" s="339"/>
    </row>
    <row r="4637" s="330" customFormat="1" ht="15" customHeight="1" spans="1:24">
      <c r="A4637" s="550" t="s">
        <v>11083</v>
      </c>
      <c r="B4637" s="334" t="s">
        <v>31</v>
      </c>
      <c r="C4637" s="334" t="s">
        <v>419</v>
      </c>
      <c r="D4637" s="334" t="s">
        <v>954</v>
      </c>
      <c r="E4637" s="336">
        <v>43796</v>
      </c>
      <c r="F4637" s="336">
        <v>43717</v>
      </c>
      <c r="G4637" s="336">
        <v>43779</v>
      </c>
      <c r="H4637" s="334" t="s">
        <v>11084</v>
      </c>
      <c r="I4637" s="426">
        <v>13916917344</v>
      </c>
      <c r="J4637" s="367" t="s">
        <v>11085</v>
      </c>
      <c r="K4637" s="470">
        <v>1000</v>
      </c>
      <c r="L4637" s="334">
        <v>4900</v>
      </c>
      <c r="M4637" s="338"/>
      <c r="N4637" s="362">
        <f t="shared" si="157"/>
        <v>4900</v>
      </c>
      <c r="X4637" s="339"/>
    </row>
    <row r="4638" s="330" customFormat="1" ht="15" customHeight="1" spans="1:24">
      <c r="A4638" s="348"/>
      <c r="B4638" s="334" t="s">
        <v>137</v>
      </c>
      <c r="C4638" s="334" t="s">
        <v>2705</v>
      </c>
      <c r="D4638" s="335" t="s">
        <v>443</v>
      </c>
      <c r="E4638" s="336">
        <v>43727</v>
      </c>
      <c r="F4638" s="336">
        <v>43717</v>
      </c>
      <c r="G4638" s="336">
        <v>43726</v>
      </c>
      <c r="H4638" s="334" t="s">
        <v>11086</v>
      </c>
      <c r="I4638" s="426">
        <v>18019080748</v>
      </c>
      <c r="J4638" s="367" t="s">
        <v>11087</v>
      </c>
      <c r="K4638" s="470">
        <v>6237</v>
      </c>
      <c r="L4638" s="334">
        <v>9984</v>
      </c>
      <c r="M4638" s="338"/>
      <c r="N4638" s="362">
        <f t="shared" si="157"/>
        <v>9984</v>
      </c>
      <c r="X4638" s="339"/>
    </row>
    <row r="4639" s="330" customFormat="1" ht="15" customHeight="1" spans="1:24">
      <c r="A4639" s="550" t="s">
        <v>11088</v>
      </c>
      <c r="B4639" s="334" t="s">
        <v>58</v>
      </c>
      <c r="C4639" s="334" t="s">
        <v>342</v>
      </c>
      <c r="D4639" s="335" t="s">
        <v>343</v>
      </c>
      <c r="E4639" s="336">
        <v>43725</v>
      </c>
      <c r="F4639" s="336">
        <v>43718</v>
      </c>
      <c r="G4639" s="336">
        <v>43724</v>
      </c>
      <c r="H4639" s="334" t="s">
        <v>11089</v>
      </c>
      <c r="I4639" s="426">
        <v>13816161405</v>
      </c>
      <c r="J4639" s="367" t="s">
        <v>11090</v>
      </c>
      <c r="K4639" s="470">
        <v>10000</v>
      </c>
      <c r="L4639" s="334">
        <f>12500-1008</f>
        <v>11492</v>
      </c>
      <c r="M4639" s="334">
        <v>1008</v>
      </c>
      <c r="N4639" s="362">
        <f t="shared" si="157"/>
        <v>12500</v>
      </c>
      <c r="X4639" s="339"/>
    </row>
    <row r="4640" s="330" customFormat="1" ht="15" customHeight="1" spans="1:24">
      <c r="A4640" s="348"/>
      <c r="B4640" s="334" t="s">
        <v>66</v>
      </c>
      <c r="C4640" s="334" t="s">
        <v>505</v>
      </c>
      <c r="D4640" s="334" t="s">
        <v>2302</v>
      </c>
      <c r="E4640" s="336">
        <v>43721</v>
      </c>
      <c r="F4640" s="336">
        <v>43717</v>
      </c>
      <c r="G4640" s="336">
        <v>43720</v>
      </c>
      <c r="H4640" s="334" t="s">
        <v>11091</v>
      </c>
      <c r="I4640" s="426">
        <v>13601954649</v>
      </c>
      <c r="J4640" s="367" t="s">
        <v>11092</v>
      </c>
      <c r="K4640" s="470">
        <v>2190</v>
      </c>
      <c r="L4640" s="334">
        <v>2968</v>
      </c>
      <c r="M4640" s="338"/>
      <c r="N4640" s="362">
        <f t="shared" si="157"/>
        <v>2968</v>
      </c>
      <c r="X4640" s="339"/>
    </row>
    <row r="4641" s="330" customFormat="1" ht="15" customHeight="1" spans="1:24">
      <c r="A4641" s="348"/>
      <c r="B4641" s="334" t="s">
        <v>58</v>
      </c>
      <c r="C4641" s="348" t="s">
        <v>347</v>
      </c>
      <c r="D4641" s="334" t="s">
        <v>343</v>
      </c>
      <c r="E4641" s="336">
        <v>43718</v>
      </c>
      <c r="F4641" s="336">
        <v>43717</v>
      </c>
      <c r="G4641" s="336">
        <v>43717</v>
      </c>
      <c r="H4641" s="334" t="s">
        <v>11093</v>
      </c>
      <c r="I4641" s="334">
        <v>13916899190</v>
      </c>
      <c r="J4641" s="334" t="s">
        <v>11094</v>
      </c>
      <c r="K4641" s="334">
        <v>17900</v>
      </c>
      <c r="L4641" s="334">
        <v>17900</v>
      </c>
      <c r="M4641" s="338"/>
      <c r="N4641" s="362">
        <f t="shared" si="157"/>
        <v>17900</v>
      </c>
      <c r="X4641" s="339"/>
    </row>
    <row r="4642" s="330" customFormat="1" ht="15" customHeight="1" spans="1:24">
      <c r="A4642" s="348">
        <v>2067609</v>
      </c>
      <c r="B4642" s="334" t="s">
        <v>243</v>
      </c>
      <c r="C4642" s="334" t="s">
        <v>309</v>
      </c>
      <c r="D4642" s="335" t="s">
        <v>49</v>
      </c>
      <c r="E4642" s="336">
        <v>43718</v>
      </c>
      <c r="F4642" s="336">
        <v>43717</v>
      </c>
      <c r="G4642" s="399"/>
      <c r="H4642" s="334" t="s">
        <v>11095</v>
      </c>
      <c r="I4642" s="426">
        <v>1921980963</v>
      </c>
      <c r="J4642" s="367" t="s">
        <v>11096</v>
      </c>
      <c r="K4642" s="470">
        <v>2998</v>
      </c>
      <c r="L4642" s="338"/>
      <c r="M4642" s="338"/>
      <c r="N4642" s="362">
        <f t="shared" si="157"/>
        <v>0</v>
      </c>
      <c r="U4642" s="356" t="s">
        <v>52</v>
      </c>
      <c r="X4642" s="339"/>
    </row>
    <row r="4643" s="330" customFormat="1" ht="15" customHeight="1" spans="1:24">
      <c r="A4643" s="550" t="s">
        <v>11097</v>
      </c>
      <c r="B4643" s="334" t="s">
        <v>205</v>
      </c>
      <c r="C4643" s="334" t="s">
        <v>1467</v>
      </c>
      <c r="D4643" s="334" t="s">
        <v>237</v>
      </c>
      <c r="E4643" s="336">
        <v>43721</v>
      </c>
      <c r="F4643" s="336">
        <v>43718</v>
      </c>
      <c r="G4643" s="336">
        <v>43720</v>
      </c>
      <c r="H4643" s="334" t="s">
        <v>11098</v>
      </c>
      <c r="I4643" s="426">
        <v>13601712383</v>
      </c>
      <c r="J4643" s="367" t="s">
        <v>11099</v>
      </c>
      <c r="K4643" s="470">
        <v>2529</v>
      </c>
      <c r="L4643" s="334">
        <v>2751</v>
      </c>
      <c r="M4643" s="338"/>
      <c r="N4643" s="362">
        <f t="shared" si="157"/>
        <v>2751</v>
      </c>
      <c r="X4643" s="339"/>
    </row>
    <row r="4644" s="330" customFormat="1" ht="15" customHeight="1" spans="1:24">
      <c r="A4644" s="348"/>
      <c r="B4644" s="334" t="s">
        <v>315</v>
      </c>
      <c r="C4644" s="334" t="s">
        <v>275</v>
      </c>
      <c r="D4644" s="334" t="s">
        <v>1431</v>
      </c>
      <c r="E4644" s="336">
        <v>43773</v>
      </c>
      <c r="F4644" s="336">
        <v>43718</v>
      </c>
      <c r="G4644" s="336">
        <v>43773</v>
      </c>
      <c r="H4644" s="334" t="s">
        <v>9768</v>
      </c>
      <c r="I4644" s="426">
        <v>13917853835</v>
      </c>
      <c r="J4644" s="367" t="s">
        <v>11100</v>
      </c>
      <c r="K4644" s="470">
        <v>1000</v>
      </c>
      <c r="L4644" s="334">
        <v>1405</v>
      </c>
      <c r="M4644" s="338"/>
      <c r="N4644" s="362">
        <f t="shared" si="157"/>
        <v>1405</v>
      </c>
      <c r="X4644" s="339"/>
    </row>
    <row r="4645" s="330" customFormat="1" ht="15" customHeight="1" spans="1:24">
      <c r="A4645" s="348"/>
      <c r="B4645" s="334" t="s">
        <v>315</v>
      </c>
      <c r="C4645" s="334" t="s">
        <v>722</v>
      </c>
      <c r="D4645" s="335" t="s">
        <v>132</v>
      </c>
      <c r="E4645" s="336">
        <v>43735</v>
      </c>
      <c r="F4645" s="336">
        <v>43718</v>
      </c>
      <c r="G4645" s="336">
        <v>43735</v>
      </c>
      <c r="H4645" s="334" t="s">
        <v>11101</v>
      </c>
      <c r="I4645" s="426">
        <v>13816703695</v>
      </c>
      <c r="J4645" s="367" t="s">
        <v>11102</v>
      </c>
      <c r="K4645" s="470">
        <v>5000</v>
      </c>
      <c r="L4645" s="334">
        <v>13215</v>
      </c>
      <c r="M4645" s="338"/>
      <c r="N4645" s="362">
        <f t="shared" si="157"/>
        <v>13215</v>
      </c>
      <c r="X4645" s="339"/>
    </row>
    <row r="4646" s="330" customFormat="1" ht="15" customHeight="1" spans="1:24">
      <c r="A4646" s="348"/>
      <c r="B4646" s="334" t="s">
        <v>315</v>
      </c>
      <c r="C4646" s="334" t="s">
        <v>275</v>
      </c>
      <c r="D4646" s="335" t="s">
        <v>162</v>
      </c>
      <c r="E4646" s="336">
        <v>43737</v>
      </c>
      <c r="F4646" s="336">
        <v>43718</v>
      </c>
      <c r="G4646" s="336">
        <v>43737</v>
      </c>
      <c r="H4646" s="334" t="s">
        <v>11103</v>
      </c>
      <c r="I4646" s="426">
        <v>17717001512</v>
      </c>
      <c r="J4646" s="367" t="s">
        <v>11104</v>
      </c>
      <c r="K4646" s="470">
        <v>13530</v>
      </c>
      <c r="L4646" s="334">
        <v>13530</v>
      </c>
      <c r="M4646" s="338"/>
      <c r="N4646" s="362">
        <f t="shared" si="157"/>
        <v>13530</v>
      </c>
      <c r="X4646" s="339"/>
    </row>
    <row r="4647" s="330" customFormat="1" ht="15" customHeight="1" spans="1:24">
      <c r="A4647" s="550" t="s">
        <v>11105</v>
      </c>
      <c r="B4647" s="334" t="s">
        <v>185</v>
      </c>
      <c r="C4647" s="334" t="s">
        <v>1204</v>
      </c>
      <c r="D4647" s="334" t="s">
        <v>187</v>
      </c>
      <c r="E4647" s="336">
        <v>43721</v>
      </c>
      <c r="F4647" s="336">
        <v>43718</v>
      </c>
      <c r="G4647" s="336">
        <v>43720</v>
      </c>
      <c r="H4647" s="334" t="s">
        <v>11106</v>
      </c>
      <c r="I4647" s="426">
        <v>13301951765</v>
      </c>
      <c r="J4647" s="367" t="s">
        <v>11107</v>
      </c>
      <c r="K4647" s="470">
        <v>1919</v>
      </c>
      <c r="L4647" s="334">
        <v>3783</v>
      </c>
      <c r="M4647" s="338"/>
      <c r="N4647" s="362">
        <f t="shared" si="157"/>
        <v>3783</v>
      </c>
      <c r="X4647" s="339"/>
    </row>
    <row r="4648" s="330" customFormat="1" ht="15" customHeight="1" spans="1:24">
      <c r="A4648" s="550" t="s">
        <v>11108</v>
      </c>
      <c r="B4648" s="334" t="s">
        <v>137</v>
      </c>
      <c r="C4648" s="334" t="s">
        <v>480</v>
      </c>
      <c r="D4648" s="335" t="s">
        <v>139</v>
      </c>
      <c r="E4648" s="336">
        <v>43718</v>
      </c>
      <c r="F4648" s="336">
        <v>43714</v>
      </c>
      <c r="G4648" s="399"/>
      <c r="H4648" s="334" t="s">
        <v>11109</v>
      </c>
      <c r="I4648" s="426">
        <v>13961466937</v>
      </c>
      <c r="J4648" s="334" t="s">
        <v>11110</v>
      </c>
      <c r="K4648" s="470">
        <v>3269</v>
      </c>
      <c r="L4648" s="338"/>
      <c r="M4648" s="338"/>
      <c r="N4648" s="362">
        <f t="shared" si="157"/>
        <v>0</v>
      </c>
      <c r="P4648" s="330">
        <v>1</v>
      </c>
      <c r="U4648" s="372" t="s">
        <v>12</v>
      </c>
      <c r="X4648" s="339"/>
    </row>
    <row r="4649" s="330" customFormat="1" ht="15" customHeight="1" spans="1:24">
      <c r="A4649" s="348"/>
      <c r="B4649" s="334" t="s">
        <v>315</v>
      </c>
      <c r="C4649" s="334" t="s">
        <v>161</v>
      </c>
      <c r="D4649" s="335" t="s">
        <v>162</v>
      </c>
      <c r="E4649" s="336">
        <v>43724</v>
      </c>
      <c r="F4649" s="336">
        <v>43717</v>
      </c>
      <c r="G4649" s="336">
        <v>43724</v>
      </c>
      <c r="H4649" s="334" t="s">
        <v>11111</v>
      </c>
      <c r="I4649" s="426">
        <v>13917435876</v>
      </c>
      <c r="J4649" s="367" t="s">
        <v>11112</v>
      </c>
      <c r="K4649" s="470">
        <v>3799</v>
      </c>
      <c r="L4649" s="334">
        <f>4067-268</f>
        <v>3799</v>
      </c>
      <c r="M4649" s="334">
        <v>268</v>
      </c>
      <c r="N4649" s="362">
        <f t="shared" si="157"/>
        <v>4067</v>
      </c>
      <c r="X4649" s="339"/>
    </row>
    <row r="4650" s="330" customFormat="1" ht="15" customHeight="1" spans="1:24">
      <c r="A4650" s="348"/>
      <c r="B4650" s="334" t="s">
        <v>315</v>
      </c>
      <c r="C4650" s="334" t="s">
        <v>161</v>
      </c>
      <c r="D4650" s="335" t="s">
        <v>162</v>
      </c>
      <c r="E4650" s="336">
        <v>43726</v>
      </c>
      <c r="F4650" s="336">
        <v>43717</v>
      </c>
      <c r="G4650" s="336">
        <v>43726</v>
      </c>
      <c r="H4650" s="334" t="s">
        <v>11113</v>
      </c>
      <c r="I4650" s="426">
        <v>17701759088</v>
      </c>
      <c r="J4650" s="367" t="s">
        <v>11114</v>
      </c>
      <c r="K4650" s="470">
        <v>1667</v>
      </c>
      <c r="L4650" s="334">
        <v>2167</v>
      </c>
      <c r="M4650" s="338"/>
      <c r="N4650" s="362">
        <f t="shared" si="157"/>
        <v>2167</v>
      </c>
      <c r="X4650" s="339"/>
    </row>
    <row r="4651" s="330" customFormat="1" ht="15" customHeight="1" spans="1:24">
      <c r="A4651" s="550" t="s">
        <v>11115</v>
      </c>
      <c r="B4651" s="334" t="s">
        <v>137</v>
      </c>
      <c r="C4651" s="334" t="s">
        <v>480</v>
      </c>
      <c r="D4651" s="335" t="s">
        <v>139</v>
      </c>
      <c r="E4651" s="336">
        <v>43718</v>
      </c>
      <c r="F4651" s="336">
        <v>43718</v>
      </c>
      <c r="G4651" s="399"/>
      <c r="H4651" s="334" t="s">
        <v>11116</v>
      </c>
      <c r="I4651" s="426">
        <v>17921903727</v>
      </c>
      <c r="J4651" s="334" t="s">
        <v>11117</v>
      </c>
      <c r="K4651" s="470">
        <v>5059</v>
      </c>
      <c r="L4651" s="338"/>
      <c r="M4651" s="338"/>
      <c r="N4651" s="362">
        <f t="shared" si="157"/>
        <v>0</v>
      </c>
      <c r="Q4651" s="330">
        <v>1</v>
      </c>
      <c r="U4651" s="372" t="s">
        <v>12</v>
      </c>
      <c r="X4651" s="339"/>
    </row>
    <row r="4652" s="330" customFormat="1" ht="15" customHeight="1" spans="1:24">
      <c r="A4652" s="550" t="s">
        <v>11118</v>
      </c>
      <c r="B4652" s="334" t="s">
        <v>137</v>
      </c>
      <c r="C4652" s="334" t="s">
        <v>138</v>
      </c>
      <c r="D4652" s="334" t="s">
        <v>443</v>
      </c>
      <c r="E4652" s="336">
        <v>43765</v>
      </c>
      <c r="F4652" s="336">
        <v>43718</v>
      </c>
      <c r="G4652" s="336">
        <v>43765</v>
      </c>
      <c r="H4652" s="334" t="s">
        <v>11119</v>
      </c>
      <c r="I4652" s="426">
        <v>13818136226</v>
      </c>
      <c r="J4652" s="367" t="s">
        <v>11120</v>
      </c>
      <c r="K4652" s="470">
        <v>3996</v>
      </c>
      <c r="L4652" s="334">
        <v>8787</v>
      </c>
      <c r="M4652" s="338"/>
      <c r="N4652" s="362">
        <f t="shared" si="157"/>
        <v>8787</v>
      </c>
      <c r="X4652" s="339"/>
    </row>
    <row r="4653" s="330" customFormat="1" ht="15" customHeight="1" spans="1:24">
      <c r="A4653" s="550" t="s">
        <v>11121</v>
      </c>
      <c r="B4653" s="334" t="s">
        <v>47</v>
      </c>
      <c r="C4653" s="334" t="s">
        <v>53</v>
      </c>
      <c r="D4653" s="335" t="s">
        <v>49</v>
      </c>
      <c r="E4653" s="336">
        <v>43719</v>
      </c>
      <c r="F4653" s="336">
        <v>43715</v>
      </c>
      <c r="G4653" s="336">
        <v>43719</v>
      </c>
      <c r="H4653" s="334" t="s">
        <v>11122</v>
      </c>
      <c r="I4653" s="426">
        <v>17717919060</v>
      </c>
      <c r="J4653" s="367" t="s">
        <v>11123</v>
      </c>
      <c r="K4653" s="470">
        <v>1000</v>
      </c>
      <c r="L4653" s="334">
        <f>7700-1104</f>
        <v>6596</v>
      </c>
      <c r="M4653" s="334">
        <v>1104</v>
      </c>
      <c r="N4653" s="362">
        <f t="shared" si="157"/>
        <v>7700</v>
      </c>
      <c r="X4653" s="339"/>
    </row>
    <row r="4654" s="330" customFormat="1" ht="15" customHeight="1" spans="1:24">
      <c r="A4654" s="348"/>
      <c r="B4654" s="334" t="s">
        <v>315</v>
      </c>
      <c r="C4654" s="334" t="s">
        <v>181</v>
      </c>
      <c r="D4654" s="334" t="s">
        <v>207</v>
      </c>
      <c r="E4654" s="336">
        <v>43737</v>
      </c>
      <c r="F4654" s="336">
        <v>43717</v>
      </c>
      <c r="G4654" s="336">
        <v>43736</v>
      </c>
      <c r="H4654" s="334" t="s">
        <v>11124</v>
      </c>
      <c r="I4654" s="426">
        <v>18501638615</v>
      </c>
      <c r="J4654" s="367" t="s">
        <v>11125</v>
      </c>
      <c r="K4654" s="470">
        <v>1099</v>
      </c>
      <c r="L4654" s="334">
        <f>5040-268</f>
        <v>4772</v>
      </c>
      <c r="M4654" s="334">
        <v>268</v>
      </c>
      <c r="N4654" s="362">
        <f t="shared" si="157"/>
        <v>5040</v>
      </c>
      <c r="X4654" s="339"/>
    </row>
    <row r="4655" s="330" customFormat="1" ht="15" customHeight="1" spans="1:24">
      <c r="A4655" s="550" t="s">
        <v>11126</v>
      </c>
      <c r="B4655" s="334" t="s">
        <v>185</v>
      </c>
      <c r="C4655" s="334" t="s">
        <v>1204</v>
      </c>
      <c r="D4655" s="335" t="s">
        <v>44</v>
      </c>
      <c r="E4655" s="336">
        <v>43754</v>
      </c>
      <c r="F4655" s="336">
        <v>43718</v>
      </c>
      <c r="G4655" s="336">
        <v>43754</v>
      </c>
      <c r="H4655" s="334" t="s">
        <v>11127</v>
      </c>
      <c r="I4655" s="426">
        <v>19921274627</v>
      </c>
      <c r="J4655" s="367" t="s">
        <v>11128</v>
      </c>
      <c r="K4655" s="470">
        <v>5949.5</v>
      </c>
      <c r="L4655" s="334">
        <v>7373.5</v>
      </c>
      <c r="M4655" s="338"/>
      <c r="N4655" s="362">
        <f t="shared" si="157"/>
        <v>7373.5</v>
      </c>
      <c r="X4655" s="339"/>
    </row>
    <row r="4656" s="330" customFormat="1" ht="15" customHeight="1" spans="1:24">
      <c r="A4656" s="348"/>
      <c r="B4656" s="334" t="s">
        <v>66</v>
      </c>
      <c r="C4656" s="334" t="s">
        <v>505</v>
      </c>
      <c r="D4656" s="334" t="s">
        <v>2302</v>
      </c>
      <c r="E4656" s="336">
        <v>43732</v>
      </c>
      <c r="F4656" s="336">
        <v>43718</v>
      </c>
      <c r="G4656" s="336">
        <v>43732</v>
      </c>
      <c r="H4656" s="334" t="s">
        <v>11129</v>
      </c>
      <c r="I4656" s="426">
        <v>13816789165</v>
      </c>
      <c r="J4656" s="367" t="s">
        <v>11130</v>
      </c>
      <c r="K4656" s="470">
        <v>4566.5</v>
      </c>
      <c r="L4656" s="334">
        <f>8875-760</f>
        <v>8115</v>
      </c>
      <c r="M4656" s="334">
        <v>760</v>
      </c>
      <c r="N4656" s="362">
        <f t="shared" si="157"/>
        <v>8875</v>
      </c>
      <c r="X4656" s="339"/>
    </row>
    <row r="4657" s="330" customFormat="1" ht="15" customHeight="1" spans="1:24">
      <c r="A4657" s="550" t="s">
        <v>11131</v>
      </c>
      <c r="B4657" s="334" t="s">
        <v>726</v>
      </c>
      <c r="C4657" s="334" t="s">
        <v>727</v>
      </c>
      <c r="D4657" s="334" t="s">
        <v>271</v>
      </c>
      <c r="E4657" s="336">
        <v>43735</v>
      </c>
      <c r="F4657" s="336">
        <v>43719</v>
      </c>
      <c r="G4657" s="336">
        <v>43735</v>
      </c>
      <c r="H4657" s="334" t="s">
        <v>11132</v>
      </c>
      <c r="I4657" s="426">
        <v>13311989323</v>
      </c>
      <c r="J4657" s="367" t="s">
        <v>11133</v>
      </c>
      <c r="K4657" s="470">
        <v>26900</v>
      </c>
      <c r="L4657" s="334">
        <v>26900</v>
      </c>
      <c r="M4657" s="338"/>
      <c r="N4657" s="362">
        <f t="shared" si="157"/>
        <v>26900</v>
      </c>
      <c r="X4657" s="339"/>
    </row>
    <row r="4658" s="330" customFormat="1" ht="15" customHeight="1" spans="1:24">
      <c r="A4658" s="550" t="s">
        <v>11134</v>
      </c>
      <c r="B4658" s="334" t="s">
        <v>335</v>
      </c>
      <c r="C4658" s="334" t="s">
        <v>615</v>
      </c>
      <c r="D4658" s="334" t="s">
        <v>427</v>
      </c>
      <c r="E4658" s="336">
        <v>43719</v>
      </c>
      <c r="F4658" s="336">
        <v>43716</v>
      </c>
      <c r="G4658" s="336">
        <v>43716</v>
      </c>
      <c r="H4658" s="334" t="s">
        <v>11135</v>
      </c>
      <c r="I4658" s="334">
        <v>13611953964</v>
      </c>
      <c r="J4658" s="334" t="s">
        <v>11136</v>
      </c>
      <c r="K4658" s="470">
        <v>9480</v>
      </c>
      <c r="L4658" s="334">
        <v>9480</v>
      </c>
      <c r="M4658" s="338"/>
      <c r="N4658" s="362">
        <f t="shared" si="157"/>
        <v>9480</v>
      </c>
      <c r="X4658" s="339"/>
    </row>
    <row r="4659" s="330" customFormat="1" ht="15" customHeight="1" spans="1:24">
      <c r="A4659" s="348"/>
      <c r="B4659" s="334" t="s">
        <v>153</v>
      </c>
      <c r="C4659" s="334" t="s">
        <v>154</v>
      </c>
      <c r="D4659" s="335" t="s">
        <v>155</v>
      </c>
      <c r="E4659" s="336">
        <v>43728</v>
      </c>
      <c r="F4659" s="336">
        <v>43719</v>
      </c>
      <c r="G4659" s="336">
        <v>43728</v>
      </c>
      <c r="H4659" s="334" t="s">
        <v>11137</v>
      </c>
      <c r="I4659" s="426">
        <v>18217718004</v>
      </c>
      <c r="J4659" s="367" t="s">
        <v>11138</v>
      </c>
      <c r="K4659" s="470">
        <v>1000</v>
      </c>
      <c r="L4659" s="334">
        <v>14791</v>
      </c>
      <c r="M4659" s="338"/>
      <c r="N4659" s="362">
        <f t="shared" si="157"/>
        <v>14791</v>
      </c>
      <c r="X4659" s="339"/>
    </row>
    <row r="4660" s="330" customFormat="1" ht="15" customHeight="1" spans="1:24">
      <c r="A4660" s="550" t="s">
        <v>2279</v>
      </c>
      <c r="B4660" s="334" t="s">
        <v>153</v>
      </c>
      <c r="C4660" s="334" t="s">
        <v>154</v>
      </c>
      <c r="D4660" s="335" t="s">
        <v>155</v>
      </c>
      <c r="E4660" s="336">
        <v>43724</v>
      </c>
      <c r="F4660" s="336">
        <v>43719</v>
      </c>
      <c r="G4660" s="336">
        <v>43723</v>
      </c>
      <c r="H4660" s="334" t="s">
        <v>11139</v>
      </c>
      <c r="I4660" s="426">
        <v>15000884327</v>
      </c>
      <c r="J4660" s="367" t="s">
        <v>11140</v>
      </c>
      <c r="K4660" s="470">
        <v>1000</v>
      </c>
      <c r="L4660" s="334">
        <v>15496</v>
      </c>
      <c r="M4660" s="338"/>
      <c r="N4660" s="362">
        <f t="shared" si="157"/>
        <v>15496</v>
      </c>
      <c r="X4660" s="339"/>
    </row>
    <row r="4661" s="330" customFormat="1" ht="15" customHeight="1" spans="1:24">
      <c r="A4661" s="550" t="s">
        <v>11141</v>
      </c>
      <c r="B4661" s="334" t="s">
        <v>137</v>
      </c>
      <c r="C4661" s="334" t="s">
        <v>138</v>
      </c>
      <c r="D4661" s="334" t="s">
        <v>635</v>
      </c>
      <c r="E4661" s="336">
        <v>43724</v>
      </c>
      <c r="F4661" s="336">
        <v>43719</v>
      </c>
      <c r="G4661" s="336">
        <v>43723</v>
      </c>
      <c r="H4661" s="334" t="s">
        <v>11142</v>
      </c>
      <c r="I4661" s="426">
        <v>13816556131</v>
      </c>
      <c r="J4661" s="367" t="s">
        <v>11143</v>
      </c>
      <c r="K4661" s="470">
        <v>1000</v>
      </c>
      <c r="L4661" s="334">
        <v>7620</v>
      </c>
      <c r="M4661" s="334">
        <v>1305</v>
      </c>
      <c r="N4661" s="362">
        <f t="shared" si="157"/>
        <v>8925</v>
      </c>
      <c r="X4661" s="339"/>
    </row>
    <row r="4662" s="330" customFormat="1" ht="15" customHeight="1" spans="1:24">
      <c r="A4662" s="348"/>
      <c r="B4662" s="334" t="s">
        <v>2625</v>
      </c>
      <c r="C4662" s="334" t="s">
        <v>2626</v>
      </c>
      <c r="D4662" s="334" t="s">
        <v>337</v>
      </c>
      <c r="E4662" s="336">
        <v>43721</v>
      </c>
      <c r="F4662" s="336">
        <v>43719</v>
      </c>
      <c r="G4662" s="336">
        <v>43719</v>
      </c>
      <c r="H4662" s="334" t="s">
        <v>11144</v>
      </c>
      <c r="I4662" s="426">
        <v>13917772661</v>
      </c>
      <c r="J4662" s="367" t="s">
        <v>11145</v>
      </c>
      <c r="K4662" s="470">
        <v>4082</v>
      </c>
      <c r="L4662" s="334">
        <v>4082</v>
      </c>
      <c r="M4662" s="338"/>
      <c r="N4662" s="362">
        <f t="shared" si="157"/>
        <v>4082</v>
      </c>
      <c r="X4662" s="339"/>
    </row>
    <row r="4663" s="330" customFormat="1" ht="15" customHeight="1" spans="1:24">
      <c r="A4663" s="550" t="s">
        <v>11146</v>
      </c>
      <c r="B4663" s="334" t="s">
        <v>58</v>
      </c>
      <c r="C4663" s="348" t="s">
        <v>347</v>
      </c>
      <c r="D4663" s="334" t="s">
        <v>75</v>
      </c>
      <c r="E4663" s="336">
        <v>43720</v>
      </c>
      <c r="F4663" s="336">
        <v>43719</v>
      </c>
      <c r="G4663" s="399">
        <v>43719</v>
      </c>
      <c r="H4663" s="334" t="s">
        <v>11147</v>
      </c>
      <c r="I4663" s="426">
        <v>13916697215</v>
      </c>
      <c r="J4663" s="367" t="s">
        <v>11148</v>
      </c>
      <c r="K4663" s="470">
        <v>10000</v>
      </c>
      <c r="L4663" s="334">
        <v>23447</v>
      </c>
      <c r="M4663" s="338"/>
      <c r="N4663" s="362">
        <f t="shared" si="157"/>
        <v>23447</v>
      </c>
      <c r="X4663" s="339"/>
    </row>
    <row r="4664" s="330" customFormat="1" ht="15" customHeight="1" spans="1:24">
      <c r="A4664" s="550" t="s">
        <v>11149</v>
      </c>
      <c r="B4664" s="334" t="s">
        <v>31</v>
      </c>
      <c r="C4664" s="334" t="s">
        <v>419</v>
      </c>
      <c r="D4664" s="335" t="s">
        <v>221</v>
      </c>
      <c r="E4664" s="336">
        <v>43769</v>
      </c>
      <c r="F4664" s="336">
        <v>43720</v>
      </c>
      <c r="G4664" s="336">
        <v>43769</v>
      </c>
      <c r="H4664" s="336" t="s">
        <v>3508</v>
      </c>
      <c r="I4664" s="426">
        <v>13501861062</v>
      </c>
      <c r="J4664" s="367" t="s">
        <v>11150</v>
      </c>
      <c r="K4664" s="470">
        <v>1000</v>
      </c>
      <c r="L4664" s="334">
        <v>11000</v>
      </c>
      <c r="M4664" s="338"/>
      <c r="N4664" s="362">
        <f t="shared" si="157"/>
        <v>11000</v>
      </c>
      <c r="X4664" s="339"/>
    </row>
    <row r="4665" s="330" customFormat="1" ht="15" customHeight="1" spans="1:24">
      <c r="A4665" s="550" t="s">
        <v>11151</v>
      </c>
      <c r="B4665" s="334" t="s">
        <v>58</v>
      </c>
      <c r="C4665" s="334" t="s">
        <v>109</v>
      </c>
      <c r="D4665" s="335" t="s">
        <v>110</v>
      </c>
      <c r="E4665" s="336">
        <v>43735</v>
      </c>
      <c r="F4665" s="336">
        <v>43720</v>
      </c>
      <c r="G4665" s="336">
        <v>43734</v>
      </c>
      <c r="H4665" s="334" t="s">
        <v>11152</v>
      </c>
      <c r="I4665" s="334" t="s">
        <v>11153</v>
      </c>
      <c r="J4665" s="334" t="s">
        <v>11154</v>
      </c>
      <c r="K4665" s="470">
        <v>1000</v>
      </c>
      <c r="L4665" s="334">
        <v>5757</v>
      </c>
      <c r="M4665" s="338"/>
      <c r="N4665" s="362">
        <f t="shared" si="157"/>
        <v>5757</v>
      </c>
      <c r="X4665" s="339"/>
    </row>
    <row r="4666" s="330" customFormat="1" ht="15" customHeight="1" spans="1:24">
      <c r="A4666" s="550" t="s">
        <v>11155</v>
      </c>
      <c r="B4666" s="334" t="s">
        <v>31</v>
      </c>
      <c r="C4666" s="334" t="s">
        <v>3186</v>
      </c>
      <c r="D4666" s="335" t="s">
        <v>221</v>
      </c>
      <c r="E4666" s="336">
        <v>43720</v>
      </c>
      <c r="F4666" s="336">
        <v>43717</v>
      </c>
      <c r="G4666" s="399"/>
      <c r="H4666" s="334" t="s">
        <v>11156</v>
      </c>
      <c r="I4666" s="426">
        <v>18516535669</v>
      </c>
      <c r="J4666" s="367" t="s">
        <v>11157</v>
      </c>
      <c r="K4666" s="470">
        <v>1800.48</v>
      </c>
      <c r="L4666" s="338"/>
      <c r="M4666" s="338"/>
      <c r="N4666" s="362">
        <f t="shared" si="157"/>
        <v>0</v>
      </c>
      <c r="O4666" s="467" t="s">
        <v>52</v>
      </c>
      <c r="X4666" s="339"/>
    </row>
    <row r="4667" s="330" customFormat="1" ht="15" customHeight="1" spans="1:24">
      <c r="A4667" s="348"/>
      <c r="B4667" s="334" t="s">
        <v>243</v>
      </c>
      <c r="C4667" s="334" t="s">
        <v>244</v>
      </c>
      <c r="D4667" s="335" t="s">
        <v>49</v>
      </c>
      <c r="E4667" s="336">
        <v>43728</v>
      </c>
      <c r="F4667" s="336">
        <v>43719</v>
      </c>
      <c r="G4667" s="336">
        <v>43727</v>
      </c>
      <c r="H4667" s="334" t="s">
        <v>11158</v>
      </c>
      <c r="I4667" s="426">
        <v>13524777074</v>
      </c>
      <c r="J4667" s="367" t="s">
        <v>11159</v>
      </c>
      <c r="K4667" s="470">
        <v>3000</v>
      </c>
      <c r="L4667" s="334">
        <v>7458</v>
      </c>
      <c r="M4667" s="338"/>
      <c r="N4667" s="362">
        <f t="shared" ref="N4667:N4730" si="158">L4667+M4667</f>
        <v>7458</v>
      </c>
      <c r="X4667" s="339"/>
    </row>
    <row r="4668" s="330" customFormat="1" ht="15" customHeight="1" spans="1:24">
      <c r="A4668" s="348"/>
      <c r="B4668" s="334" t="s">
        <v>137</v>
      </c>
      <c r="C4668" s="334" t="s">
        <v>426</v>
      </c>
      <c r="D4668" s="335" t="s">
        <v>443</v>
      </c>
      <c r="E4668" s="336">
        <v>43720</v>
      </c>
      <c r="F4668" s="336">
        <v>43715</v>
      </c>
      <c r="G4668" s="399"/>
      <c r="H4668" s="334" t="s">
        <v>11160</v>
      </c>
      <c r="I4668" s="426">
        <v>18821680558</v>
      </c>
      <c r="J4668" s="334" t="s">
        <v>11161</v>
      </c>
      <c r="K4668" s="470">
        <v>1000</v>
      </c>
      <c r="L4668" s="338"/>
      <c r="M4668" s="338"/>
      <c r="N4668" s="362">
        <f t="shared" si="158"/>
        <v>0</v>
      </c>
      <c r="R4668" s="330">
        <v>1</v>
      </c>
      <c r="X4668" s="339"/>
    </row>
    <row r="4669" s="330" customFormat="1" ht="15" customHeight="1" spans="1:24">
      <c r="A4669" s="348"/>
      <c r="B4669" s="334" t="s">
        <v>153</v>
      </c>
      <c r="C4669" s="334" t="s">
        <v>154</v>
      </c>
      <c r="D4669" s="335" t="s">
        <v>155</v>
      </c>
      <c r="E4669" s="336">
        <v>43725</v>
      </c>
      <c r="F4669" s="336">
        <v>43720</v>
      </c>
      <c r="G4669" s="336">
        <v>43723</v>
      </c>
      <c r="H4669" s="334" t="s">
        <v>11162</v>
      </c>
      <c r="I4669" s="426">
        <v>13512187782</v>
      </c>
      <c r="J4669" s="367" t="s">
        <v>11163</v>
      </c>
      <c r="K4669" s="470">
        <v>1000</v>
      </c>
      <c r="L4669" s="334">
        <v>20610</v>
      </c>
      <c r="M4669" s="338"/>
      <c r="N4669" s="362">
        <f t="shared" si="158"/>
        <v>20610</v>
      </c>
      <c r="X4669" s="339"/>
    </row>
    <row r="4670" s="330" customFormat="1" ht="15" customHeight="1" spans="1:24">
      <c r="A4670" s="348"/>
      <c r="B4670" s="334" t="s">
        <v>66</v>
      </c>
      <c r="C4670" s="334" t="s">
        <v>119</v>
      </c>
      <c r="D4670" s="335" t="s">
        <v>68</v>
      </c>
      <c r="E4670" s="336">
        <v>43737</v>
      </c>
      <c r="F4670" s="336">
        <v>43720</v>
      </c>
      <c r="G4670" s="336">
        <v>43737</v>
      </c>
      <c r="H4670" s="334" t="s">
        <v>11164</v>
      </c>
      <c r="I4670" s="426">
        <v>13817859776</v>
      </c>
      <c r="J4670" s="367" t="s">
        <v>11165</v>
      </c>
      <c r="K4670" s="470">
        <v>7630</v>
      </c>
      <c r="L4670" s="334">
        <v>7630</v>
      </c>
      <c r="M4670" s="338"/>
      <c r="N4670" s="362">
        <f t="shared" si="158"/>
        <v>7630</v>
      </c>
      <c r="X4670" s="339"/>
    </row>
    <row r="4671" s="330" customFormat="1" ht="15" customHeight="1" spans="1:24">
      <c r="A4671" s="348"/>
      <c r="B4671" s="334" t="s">
        <v>315</v>
      </c>
      <c r="C4671" s="334" t="s">
        <v>161</v>
      </c>
      <c r="D4671" s="334" t="s">
        <v>162</v>
      </c>
      <c r="E4671" s="336">
        <v>43720</v>
      </c>
      <c r="F4671" s="336">
        <v>43720</v>
      </c>
      <c r="G4671" s="336">
        <v>43718</v>
      </c>
      <c r="H4671" s="334" t="s">
        <v>11166</v>
      </c>
      <c r="I4671" s="426">
        <v>13601965072</v>
      </c>
      <c r="J4671" s="367" t="s">
        <v>11167</v>
      </c>
      <c r="K4671" s="470">
        <v>6782</v>
      </c>
      <c r="L4671" s="334">
        <v>6782</v>
      </c>
      <c r="M4671" s="338"/>
      <c r="N4671" s="362">
        <f t="shared" si="158"/>
        <v>6782</v>
      </c>
      <c r="X4671" s="339"/>
    </row>
    <row r="4672" s="330" customFormat="1" ht="15" customHeight="1" spans="1:24">
      <c r="A4672" s="348"/>
      <c r="B4672" s="334" t="s">
        <v>31</v>
      </c>
      <c r="C4672" s="334" t="s">
        <v>419</v>
      </c>
      <c r="D4672" s="334" t="s">
        <v>1436</v>
      </c>
      <c r="E4672" s="336">
        <v>43759</v>
      </c>
      <c r="F4672" s="336">
        <v>43719</v>
      </c>
      <c r="G4672" s="336">
        <v>43758</v>
      </c>
      <c r="H4672" s="334" t="s">
        <v>11168</v>
      </c>
      <c r="I4672" s="426">
        <v>13621897322</v>
      </c>
      <c r="J4672" s="367" t="s">
        <v>11169</v>
      </c>
      <c r="K4672" s="470">
        <v>1000</v>
      </c>
      <c r="L4672" s="334">
        <v>9969</v>
      </c>
      <c r="M4672" s="338"/>
      <c r="N4672" s="362">
        <f t="shared" si="158"/>
        <v>9969</v>
      </c>
      <c r="X4672" s="339"/>
    </row>
    <row r="4673" s="330" customFormat="1" ht="15" customHeight="1" spans="1:24">
      <c r="A4673" s="348"/>
      <c r="B4673" s="334" t="s">
        <v>5336</v>
      </c>
      <c r="C4673" s="334" t="s">
        <v>5336</v>
      </c>
      <c r="D4673" s="334" t="s">
        <v>954</v>
      </c>
      <c r="E4673" s="336">
        <v>43727</v>
      </c>
      <c r="F4673" s="336">
        <v>43720</v>
      </c>
      <c r="G4673" s="336">
        <v>43727</v>
      </c>
      <c r="H4673" s="334" t="s">
        <v>11170</v>
      </c>
      <c r="I4673" s="426">
        <v>13601943701</v>
      </c>
      <c r="J4673" s="367" t="s">
        <v>11171</v>
      </c>
      <c r="K4673" s="470">
        <v>2793</v>
      </c>
      <c r="L4673" s="334">
        <v>2793</v>
      </c>
      <c r="M4673" s="338"/>
      <c r="N4673" s="362">
        <f t="shared" si="158"/>
        <v>2793</v>
      </c>
      <c r="X4673" s="339"/>
    </row>
    <row r="4674" s="330" customFormat="1" ht="15" customHeight="1" spans="1:24">
      <c r="A4674" s="550" t="s">
        <v>2497</v>
      </c>
      <c r="B4674" s="334" t="s">
        <v>185</v>
      </c>
      <c r="C4674" s="334" t="s">
        <v>886</v>
      </c>
      <c r="D4674" s="335" t="s">
        <v>187</v>
      </c>
      <c r="E4674" s="336">
        <v>43721</v>
      </c>
      <c r="F4674" s="336">
        <v>43721</v>
      </c>
      <c r="G4674" s="399"/>
      <c r="H4674" s="334" t="s">
        <v>11172</v>
      </c>
      <c r="I4674" s="426">
        <v>15900730150</v>
      </c>
      <c r="J4674" s="367" t="s">
        <v>11173</v>
      </c>
      <c r="K4674" s="470">
        <v>1299</v>
      </c>
      <c r="L4674" s="338"/>
      <c r="M4674" s="338"/>
      <c r="N4674" s="362">
        <f t="shared" si="158"/>
        <v>0</v>
      </c>
      <c r="U4674" s="471">
        <v>43728</v>
      </c>
      <c r="X4674" s="339"/>
    </row>
    <row r="4675" s="330" customFormat="1" ht="15" customHeight="1" spans="1:24">
      <c r="A4675" s="348"/>
      <c r="B4675" s="334" t="s">
        <v>169</v>
      </c>
      <c r="C4675" s="334" t="s">
        <v>542</v>
      </c>
      <c r="D4675" s="335" t="s">
        <v>171</v>
      </c>
      <c r="E4675" s="336">
        <v>43727</v>
      </c>
      <c r="F4675" s="336">
        <v>43721</v>
      </c>
      <c r="G4675" s="336">
        <v>43726</v>
      </c>
      <c r="H4675" s="334" t="s">
        <v>11174</v>
      </c>
      <c r="I4675" s="426">
        <v>18901903030</v>
      </c>
      <c r="J4675" s="367" t="s">
        <v>11175</v>
      </c>
      <c r="K4675" s="470">
        <v>10800</v>
      </c>
      <c r="L4675" s="334">
        <v>11546</v>
      </c>
      <c r="M4675" s="338"/>
      <c r="N4675" s="362">
        <f t="shared" si="158"/>
        <v>11546</v>
      </c>
      <c r="X4675" s="339"/>
    </row>
    <row r="4676" s="330" customFormat="1" ht="15" customHeight="1" spans="1:24">
      <c r="A4676" s="348"/>
      <c r="B4676" s="334" t="s">
        <v>169</v>
      </c>
      <c r="C4676" s="334" t="s">
        <v>542</v>
      </c>
      <c r="D4676" s="335" t="s">
        <v>171</v>
      </c>
      <c r="E4676" s="336">
        <v>43738</v>
      </c>
      <c r="F4676" s="336">
        <v>43721</v>
      </c>
      <c r="G4676" s="336">
        <v>43738</v>
      </c>
      <c r="H4676" s="334" t="s">
        <v>11176</v>
      </c>
      <c r="I4676" s="426" t="s">
        <v>11177</v>
      </c>
      <c r="J4676" s="367" t="s">
        <v>11178</v>
      </c>
      <c r="K4676" s="470">
        <v>12000</v>
      </c>
      <c r="L4676" s="334">
        <v>12000</v>
      </c>
      <c r="M4676" s="338"/>
      <c r="N4676" s="362">
        <f t="shared" si="158"/>
        <v>12000</v>
      </c>
      <c r="X4676" s="339"/>
    </row>
    <row r="4677" s="330" customFormat="1" ht="15" customHeight="1" spans="1:24">
      <c r="A4677" s="348"/>
      <c r="B4677" s="334" t="s">
        <v>315</v>
      </c>
      <c r="C4677" s="334" t="s">
        <v>161</v>
      </c>
      <c r="D4677" s="334" t="s">
        <v>207</v>
      </c>
      <c r="E4677" s="336">
        <v>43738</v>
      </c>
      <c r="F4677" s="336">
        <v>43721</v>
      </c>
      <c r="G4677" s="336">
        <v>43738</v>
      </c>
      <c r="H4677" s="334" t="s">
        <v>11179</v>
      </c>
      <c r="I4677" s="426">
        <v>13764595897</v>
      </c>
      <c r="J4677" s="367" t="s">
        <v>11180</v>
      </c>
      <c r="K4677" s="470">
        <v>2413</v>
      </c>
      <c r="L4677" s="334">
        <v>5713</v>
      </c>
      <c r="M4677" s="338"/>
      <c r="N4677" s="362">
        <f t="shared" si="158"/>
        <v>5713</v>
      </c>
      <c r="X4677" s="339"/>
    </row>
    <row r="4678" s="330" customFormat="1" ht="15" customHeight="1" spans="1:24">
      <c r="A4678" s="550" t="s">
        <v>7453</v>
      </c>
      <c r="B4678" s="334" t="s">
        <v>5435</v>
      </c>
      <c r="C4678" s="334" t="s">
        <v>1728</v>
      </c>
      <c r="D4678" s="334" t="s">
        <v>207</v>
      </c>
      <c r="E4678" s="336">
        <v>43735</v>
      </c>
      <c r="F4678" s="336">
        <v>43721</v>
      </c>
      <c r="G4678" s="336">
        <v>43735</v>
      </c>
      <c r="H4678" s="334" t="s">
        <v>11181</v>
      </c>
      <c r="I4678" s="426">
        <v>18601719688</v>
      </c>
      <c r="J4678" s="367" t="s">
        <v>11182</v>
      </c>
      <c r="K4678" s="470">
        <v>16092</v>
      </c>
      <c r="L4678" s="334">
        <v>16092</v>
      </c>
      <c r="M4678" s="338"/>
      <c r="N4678" s="362">
        <f t="shared" si="158"/>
        <v>16092</v>
      </c>
      <c r="X4678" s="339"/>
    </row>
    <row r="4679" s="330" customFormat="1" ht="15" customHeight="1" spans="1:24">
      <c r="A4679" s="550" t="s">
        <v>11183</v>
      </c>
      <c r="B4679" s="334" t="s">
        <v>31</v>
      </c>
      <c r="C4679" s="334" t="s">
        <v>419</v>
      </c>
      <c r="D4679" s="334" t="s">
        <v>33</v>
      </c>
      <c r="E4679" s="336">
        <v>43737</v>
      </c>
      <c r="F4679" s="336">
        <v>43721</v>
      </c>
      <c r="G4679" s="336">
        <v>43737</v>
      </c>
      <c r="H4679" s="334" t="s">
        <v>11184</v>
      </c>
      <c r="I4679" s="426">
        <v>17701784433</v>
      </c>
      <c r="J4679" s="367" t="s">
        <v>11185</v>
      </c>
      <c r="K4679" s="470">
        <v>1000</v>
      </c>
      <c r="L4679" s="334">
        <v>11000</v>
      </c>
      <c r="M4679" s="338"/>
      <c r="N4679" s="362">
        <f t="shared" si="158"/>
        <v>11000</v>
      </c>
      <c r="X4679" s="339"/>
    </row>
    <row r="4680" s="330" customFormat="1" ht="15" customHeight="1" spans="1:24">
      <c r="A4680" s="348"/>
      <c r="B4680" s="334" t="s">
        <v>73</v>
      </c>
      <c r="C4680" s="334" t="s">
        <v>74</v>
      </c>
      <c r="D4680" s="334" t="s">
        <v>717</v>
      </c>
      <c r="E4680" s="336">
        <v>43731</v>
      </c>
      <c r="F4680" s="336">
        <v>43721</v>
      </c>
      <c r="G4680" s="336">
        <v>43730</v>
      </c>
      <c r="H4680" s="334" t="s">
        <v>11186</v>
      </c>
      <c r="I4680" s="426">
        <v>15216757869</v>
      </c>
      <c r="J4680" s="367" t="s">
        <v>11187</v>
      </c>
      <c r="K4680" s="470">
        <v>1000</v>
      </c>
      <c r="L4680" s="334">
        <v>29798</v>
      </c>
      <c r="M4680" s="334">
        <v>1328</v>
      </c>
      <c r="N4680" s="362">
        <f t="shared" si="158"/>
        <v>31126</v>
      </c>
      <c r="X4680" s="339"/>
    </row>
    <row r="4681" s="330" customFormat="1" ht="15" customHeight="1" spans="1:24">
      <c r="A4681" s="348"/>
      <c r="B4681" s="334" t="s">
        <v>123</v>
      </c>
      <c r="C4681" s="334" t="s">
        <v>32</v>
      </c>
      <c r="D4681" s="335" t="s">
        <v>125</v>
      </c>
      <c r="E4681" s="336">
        <v>43723</v>
      </c>
      <c r="F4681" s="336">
        <v>43721</v>
      </c>
      <c r="G4681" s="336">
        <v>43723</v>
      </c>
      <c r="H4681" s="334" t="s">
        <v>11188</v>
      </c>
      <c r="I4681" s="426">
        <v>13601632218</v>
      </c>
      <c r="J4681" s="367" t="s">
        <v>11189</v>
      </c>
      <c r="K4681" s="470">
        <v>1000</v>
      </c>
      <c r="L4681" s="334">
        <v>9000</v>
      </c>
      <c r="M4681" s="338"/>
      <c r="N4681" s="362">
        <f t="shared" si="158"/>
        <v>9000</v>
      </c>
      <c r="X4681" s="339"/>
    </row>
    <row r="4682" s="330" customFormat="1" ht="15" customHeight="1" spans="1:24">
      <c r="A4682" s="348"/>
      <c r="B4682" s="334" t="s">
        <v>87</v>
      </c>
      <c r="C4682" s="348" t="s">
        <v>466</v>
      </c>
      <c r="D4682" s="335" t="s">
        <v>89</v>
      </c>
      <c r="E4682" s="336">
        <v>43721</v>
      </c>
      <c r="F4682" s="336">
        <v>43721</v>
      </c>
      <c r="G4682" s="399"/>
      <c r="H4682" s="334" t="s">
        <v>11190</v>
      </c>
      <c r="I4682" s="426">
        <v>13916849588</v>
      </c>
      <c r="J4682" s="367" t="s">
        <v>11191</v>
      </c>
      <c r="K4682" s="470">
        <v>1000</v>
      </c>
      <c r="L4682" s="338"/>
      <c r="M4682" s="338"/>
      <c r="N4682" s="362">
        <f t="shared" si="158"/>
        <v>0</v>
      </c>
      <c r="U4682" s="330" t="s">
        <v>12</v>
      </c>
      <c r="X4682" s="339"/>
    </row>
    <row r="4683" s="330" customFormat="1" ht="15" customHeight="1" spans="1:24">
      <c r="A4683" s="348"/>
      <c r="B4683" s="334" t="s">
        <v>2625</v>
      </c>
      <c r="C4683" s="334" t="s">
        <v>2626</v>
      </c>
      <c r="D4683" s="334" t="s">
        <v>44</v>
      </c>
      <c r="E4683" s="336">
        <v>43757</v>
      </c>
      <c r="F4683" s="336">
        <v>43721</v>
      </c>
      <c r="G4683" s="336">
        <v>43756</v>
      </c>
      <c r="H4683" s="334" t="s">
        <v>11192</v>
      </c>
      <c r="I4683" s="334">
        <v>17701783689</v>
      </c>
      <c r="J4683" s="361" t="s">
        <v>11193</v>
      </c>
      <c r="K4683" s="470">
        <v>3000</v>
      </c>
      <c r="L4683" s="334">
        <v>20000</v>
      </c>
      <c r="M4683" s="338"/>
      <c r="N4683" s="362">
        <f t="shared" si="158"/>
        <v>20000</v>
      </c>
      <c r="X4683" s="339"/>
    </row>
    <row r="4684" s="330" customFormat="1" ht="15" customHeight="1" spans="1:24">
      <c r="A4684" s="348"/>
      <c r="B4684" s="334" t="s">
        <v>2625</v>
      </c>
      <c r="C4684" s="334" t="s">
        <v>2626</v>
      </c>
      <c r="D4684" s="334" t="s">
        <v>337</v>
      </c>
      <c r="E4684" s="336">
        <v>43724</v>
      </c>
      <c r="F4684" s="336">
        <v>43721</v>
      </c>
      <c r="G4684" s="336">
        <v>43724</v>
      </c>
      <c r="H4684" s="334" t="s">
        <v>11194</v>
      </c>
      <c r="I4684" s="334">
        <v>17317604070</v>
      </c>
      <c r="J4684" s="334" t="s">
        <v>11195</v>
      </c>
      <c r="K4684" s="470">
        <v>1000</v>
      </c>
      <c r="L4684" s="334">
        <v>4858</v>
      </c>
      <c r="M4684" s="338"/>
      <c r="N4684" s="362">
        <f t="shared" si="158"/>
        <v>4858</v>
      </c>
      <c r="X4684" s="339"/>
    </row>
    <row r="4685" s="330" customFormat="1" ht="15" customHeight="1" spans="1:24">
      <c r="A4685" s="348"/>
      <c r="B4685" s="334" t="s">
        <v>137</v>
      </c>
      <c r="C4685" s="334" t="s">
        <v>138</v>
      </c>
      <c r="D4685" s="335" t="s">
        <v>139</v>
      </c>
      <c r="E4685" s="336">
        <v>43730</v>
      </c>
      <c r="F4685" s="336">
        <v>43721</v>
      </c>
      <c r="G4685" s="336">
        <v>43730</v>
      </c>
      <c r="H4685" s="334" t="s">
        <v>11196</v>
      </c>
      <c r="I4685" s="426">
        <v>15921292255</v>
      </c>
      <c r="J4685" s="367" t="s">
        <v>11197</v>
      </c>
      <c r="K4685" s="470">
        <v>22500</v>
      </c>
      <c r="L4685" s="334">
        <v>27000</v>
      </c>
      <c r="M4685" s="338"/>
      <c r="N4685" s="362">
        <f t="shared" si="158"/>
        <v>27000</v>
      </c>
      <c r="X4685" s="339"/>
    </row>
    <row r="4686" s="330" customFormat="1" ht="15" customHeight="1" spans="1:24">
      <c r="A4686" s="348"/>
      <c r="B4686" s="334" t="s">
        <v>726</v>
      </c>
      <c r="C4686" s="334" t="s">
        <v>727</v>
      </c>
      <c r="D4686" s="334" t="s">
        <v>271</v>
      </c>
      <c r="E4686" s="336">
        <v>43729</v>
      </c>
      <c r="F4686" s="336">
        <v>43721</v>
      </c>
      <c r="G4686" s="336">
        <v>43729</v>
      </c>
      <c r="H4686" s="334" t="s">
        <v>11198</v>
      </c>
      <c r="I4686" s="426">
        <v>18521591618</v>
      </c>
      <c r="J4686" s="367" t="s">
        <v>11199</v>
      </c>
      <c r="K4686" s="470">
        <v>1000</v>
      </c>
      <c r="L4686" s="334">
        <v>23000</v>
      </c>
      <c r="M4686" s="338"/>
      <c r="N4686" s="362">
        <f t="shared" si="158"/>
        <v>23000</v>
      </c>
      <c r="X4686" s="339"/>
    </row>
    <row r="4687" s="330" customFormat="1" ht="15" customHeight="1" spans="1:24">
      <c r="A4687" s="348"/>
      <c r="B4687" s="334" t="s">
        <v>354</v>
      </c>
      <c r="C4687" s="334" t="s">
        <v>355</v>
      </c>
      <c r="D4687" s="334" t="s">
        <v>207</v>
      </c>
      <c r="E4687" s="424">
        <v>43737</v>
      </c>
      <c r="F4687" s="336">
        <v>43721</v>
      </c>
      <c r="G4687" s="336">
        <v>43734</v>
      </c>
      <c r="H4687" s="334" t="s">
        <v>11200</v>
      </c>
      <c r="I4687" s="426">
        <v>13764823040</v>
      </c>
      <c r="J4687" s="367" t="s">
        <v>11201</v>
      </c>
      <c r="K4687" s="470">
        <v>7025</v>
      </c>
      <c r="L4687" s="334">
        <v>7025</v>
      </c>
      <c r="M4687" s="338"/>
      <c r="N4687" s="362">
        <f t="shared" si="158"/>
        <v>7025</v>
      </c>
      <c r="X4687" s="339"/>
    </row>
    <row r="4688" s="330" customFormat="1" ht="15" customHeight="1" spans="1:24">
      <c r="A4688" s="348"/>
      <c r="B4688" s="334" t="s">
        <v>805</v>
      </c>
      <c r="C4688" s="334" t="s">
        <v>806</v>
      </c>
      <c r="D4688" s="335" t="s">
        <v>635</v>
      </c>
      <c r="E4688" s="336">
        <v>43721</v>
      </c>
      <c r="F4688" s="336">
        <v>43721</v>
      </c>
      <c r="G4688" s="476">
        <v>43773</v>
      </c>
      <c r="H4688" s="334" t="s">
        <v>11202</v>
      </c>
      <c r="I4688" s="426">
        <v>13046671838</v>
      </c>
      <c r="J4688" s="367" t="s">
        <v>11203</v>
      </c>
      <c r="K4688" s="470">
        <v>18427</v>
      </c>
      <c r="L4688" s="338"/>
      <c r="M4688" s="338"/>
      <c r="N4688" s="362">
        <f t="shared" si="158"/>
        <v>0</v>
      </c>
      <c r="X4688" s="339"/>
    </row>
    <row r="4689" s="330" customFormat="1" ht="15" customHeight="1" spans="1:24">
      <c r="A4689" s="348"/>
      <c r="B4689" s="334" t="s">
        <v>35</v>
      </c>
      <c r="C4689" s="334" t="s">
        <v>36</v>
      </c>
      <c r="D4689" s="335" t="s">
        <v>37</v>
      </c>
      <c r="E4689" s="336">
        <v>43735</v>
      </c>
      <c r="F4689" s="336">
        <v>43721</v>
      </c>
      <c r="G4689" s="336">
        <v>43734</v>
      </c>
      <c r="H4689" s="334" t="s">
        <v>11204</v>
      </c>
      <c r="I4689" s="426">
        <v>18964593676</v>
      </c>
      <c r="J4689" s="367" t="s">
        <v>11205</v>
      </c>
      <c r="K4689" s="470">
        <v>10000</v>
      </c>
      <c r="L4689" s="334">
        <v>17212</v>
      </c>
      <c r="M4689" s="338"/>
      <c r="N4689" s="362">
        <f t="shared" si="158"/>
        <v>17212</v>
      </c>
      <c r="X4689" s="339"/>
    </row>
    <row r="4690" s="330" customFormat="1" ht="15" customHeight="1" spans="1:24">
      <c r="A4690" s="348"/>
      <c r="B4690" s="334" t="s">
        <v>58</v>
      </c>
      <c r="C4690" s="334" t="s">
        <v>109</v>
      </c>
      <c r="D4690" s="335" t="s">
        <v>110</v>
      </c>
      <c r="E4690" s="336">
        <v>43722</v>
      </c>
      <c r="F4690" s="336">
        <v>43721</v>
      </c>
      <c r="G4690" s="336">
        <v>43721</v>
      </c>
      <c r="H4690" s="334" t="s">
        <v>11206</v>
      </c>
      <c r="I4690" s="426">
        <v>13795317247</v>
      </c>
      <c r="J4690" s="367" t="s">
        <v>11207</v>
      </c>
      <c r="K4690" s="470">
        <v>18792</v>
      </c>
      <c r="L4690" s="334">
        <f>18792-1104</f>
        <v>17688</v>
      </c>
      <c r="M4690" s="334">
        <v>1104</v>
      </c>
      <c r="N4690" s="362">
        <f t="shared" si="158"/>
        <v>18792</v>
      </c>
      <c r="X4690" s="339"/>
    </row>
    <row r="4691" s="330" customFormat="1" ht="15" customHeight="1" spans="1:24">
      <c r="A4691" s="348"/>
      <c r="B4691" s="334" t="s">
        <v>137</v>
      </c>
      <c r="C4691" s="334" t="s">
        <v>480</v>
      </c>
      <c r="D4691" s="335" t="s">
        <v>139</v>
      </c>
      <c r="E4691" s="336">
        <v>43722</v>
      </c>
      <c r="F4691" s="336">
        <v>43721</v>
      </c>
      <c r="G4691" s="336">
        <v>43721</v>
      </c>
      <c r="H4691" s="334" t="s">
        <v>11208</v>
      </c>
      <c r="I4691" s="426">
        <v>18916097691</v>
      </c>
      <c r="J4691" s="367" t="s">
        <v>11209</v>
      </c>
      <c r="K4691" s="470">
        <v>17410</v>
      </c>
      <c r="L4691" s="334">
        <v>17410</v>
      </c>
      <c r="M4691" s="338"/>
      <c r="N4691" s="362">
        <f t="shared" si="158"/>
        <v>17410</v>
      </c>
      <c r="X4691" s="339"/>
    </row>
    <row r="4692" s="330" customFormat="1" ht="15" customHeight="1" spans="1:24">
      <c r="A4692" s="348"/>
      <c r="B4692" s="334" t="s">
        <v>205</v>
      </c>
      <c r="C4692" s="334" t="s">
        <v>1467</v>
      </c>
      <c r="D4692" s="334" t="s">
        <v>407</v>
      </c>
      <c r="E4692" s="336">
        <v>43737</v>
      </c>
      <c r="F4692" s="336">
        <v>43721</v>
      </c>
      <c r="G4692" s="336">
        <v>43737</v>
      </c>
      <c r="H4692" s="334" t="s">
        <v>11210</v>
      </c>
      <c r="I4692" s="426">
        <v>13917188013</v>
      </c>
      <c r="J4692" s="367" t="s">
        <v>11211</v>
      </c>
      <c r="K4692" s="470">
        <v>20000</v>
      </c>
      <c r="L4692" s="334">
        <v>19967</v>
      </c>
      <c r="M4692" s="338"/>
      <c r="N4692" s="362">
        <f t="shared" si="158"/>
        <v>19967</v>
      </c>
      <c r="X4692" s="339"/>
    </row>
    <row r="4693" s="330" customFormat="1" ht="15" customHeight="1" spans="1:24">
      <c r="A4693" s="348"/>
      <c r="B4693" s="334" t="s">
        <v>73</v>
      </c>
      <c r="C4693" s="334" t="s">
        <v>178</v>
      </c>
      <c r="D4693" s="335" t="s">
        <v>75</v>
      </c>
      <c r="E4693" s="336">
        <v>43721</v>
      </c>
      <c r="F4693" s="336">
        <v>43721</v>
      </c>
      <c r="G4693" s="399"/>
      <c r="H4693" s="334" t="s">
        <v>11212</v>
      </c>
      <c r="I4693" s="426">
        <v>13761074592</v>
      </c>
      <c r="J4693" s="367" t="s">
        <v>11213</v>
      </c>
      <c r="K4693" s="470">
        <v>1000</v>
      </c>
      <c r="L4693" s="338"/>
      <c r="M4693" s="338"/>
      <c r="N4693" s="362">
        <f t="shared" si="158"/>
        <v>0</v>
      </c>
      <c r="Q4693" s="366" t="s">
        <v>52</v>
      </c>
      <c r="X4693" s="339"/>
    </row>
    <row r="4694" s="330" customFormat="1" ht="15" customHeight="1" spans="1:24">
      <c r="A4694" s="348">
        <v>2022523</v>
      </c>
      <c r="B4694" s="334" t="s">
        <v>73</v>
      </c>
      <c r="C4694" s="334" t="s">
        <v>74</v>
      </c>
      <c r="D4694" s="352" t="s">
        <v>75</v>
      </c>
      <c r="E4694" s="336">
        <v>43731</v>
      </c>
      <c r="F4694" s="336">
        <v>43723</v>
      </c>
      <c r="G4694" s="399"/>
      <c r="H4694" s="334" t="s">
        <v>11214</v>
      </c>
      <c r="I4694" s="426">
        <v>13916176534</v>
      </c>
      <c r="J4694" s="334" t="s">
        <v>11215</v>
      </c>
      <c r="K4694" s="455">
        <v>0</v>
      </c>
      <c r="L4694" s="338"/>
      <c r="M4694" s="338"/>
      <c r="N4694" s="362">
        <f t="shared" si="158"/>
        <v>0</v>
      </c>
      <c r="O4694" s="405" t="s">
        <v>52</v>
      </c>
      <c r="Q4694" s="331"/>
      <c r="X4694" s="339"/>
    </row>
    <row r="4695" s="330" customFormat="1" ht="15" customHeight="1" spans="1:24">
      <c r="A4695" s="334"/>
      <c r="B4695" s="348" t="s">
        <v>31</v>
      </c>
      <c r="C4695" s="348" t="s">
        <v>377</v>
      </c>
      <c r="D4695" s="349" t="s">
        <v>221</v>
      </c>
      <c r="E4695" s="336">
        <v>43717</v>
      </c>
      <c r="F4695" s="336"/>
      <c r="G4695" s="336">
        <v>43716</v>
      </c>
      <c r="H4695" s="334" t="s">
        <v>3693</v>
      </c>
      <c r="I4695" s="334">
        <v>15121122062</v>
      </c>
      <c r="J4695" s="334" t="s">
        <v>11216</v>
      </c>
      <c r="K4695" s="337"/>
      <c r="L4695" s="334">
        <f>12734-1104</f>
        <v>11630</v>
      </c>
      <c r="M4695" s="334">
        <f>300+1104-7999</f>
        <v>-6595</v>
      </c>
      <c r="N4695" s="362">
        <f t="shared" si="158"/>
        <v>5035</v>
      </c>
      <c r="X4695" s="339"/>
    </row>
    <row r="4696" s="330" customFormat="1" ht="15" customHeight="1" spans="1:24">
      <c r="A4696" s="334"/>
      <c r="B4696" s="334" t="s">
        <v>42</v>
      </c>
      <c r="C4696" s="334" t="s">
        <v>43</v>
      </c>
      <c r="D4696" s="334" t="s">
        <v>149</v>
      </c>
      <c r="E4696" s="336">
        <v>43717</v>
      </c>
      <c r="F4696" s="336"/>
      <c r="G4696" s="336">
        <v>43716</v>
      </c>
      <c r="H4696" s="334" t="s">
        <v>11217</v>
      </c>
      <c r="I4696" s="334">
        <v>13524631759</v>
      </c>
      <c r="J4696" s="334" t="s">
        <v>11218</v>
      </c>
      <c r="K4696" s="337"/>
      <c r="L4696" s="334">
        <v>17522</v>
      </c>
      <c r="M4696" s="334">
        <v>1046</v>
      </c>
      <c r="N4696" s="362">
        <f t="shared" si="158"/>
        <v>18568</v>
      </c>
      <c r="X4696" s="339"/>
    </row>
    <row r="4697" s="330" customFormat="1" ht="15" customHeight="1" spans="1:24">
      <c r="A4697" s="334"/>
      <c r="B4697" s="334" t="s">
        <v>185</v>
      </c>
      <c r="C4697" s="334" t="s">
        <v>886</v>
      </c>
      <c r="D4697" s="334" t="s">
        <v>191</v>
      </c>
      <c r="E4697" s="336">
        <v>43717</v>
      </c>
      <c r="F4697" s="336"/>
      <c r="G4697" s="336">
        <v>43714</v>
      </c>
      <c r="H4697" s="334" t="s">
        <v>11219</v>
      </c>
      <c r="I4697" s="334">
        <v>13167070935</v>
      </c>
      <c r="J4697" s="334" t="s">
        <v>11220</v>
      </c>
      <c r="K4697" s="337"/>
      <c r="L4697" s="334">
        <f>6160-736</f>
        <v>5424</v>
      </c>
      <c r="M4697" s="334">
        <v>736</v>
      </c>
      <c r="N4697" s="362">
        <f t="shared" si="158"/>
        <v>6160</v>
      </c>
      <c r="X4697" s="339"/>
    </row>
    <row r="4698" s="330" customFormat="1" ht="15" customHeight="1" spans="1:24">
      <c r="A4698" s="334"/>
      <c r="B4698" s="334" t="s">
        <v>236</v>
      </c>
      <c r="C4698" s="334" t="s">
        <v>195</v>
      </c>
      <c r="D4698" s="334" t="s">
        <v>37</v>
      </c>
      <c r="E4698" s="336">
        <v>43717</v>
      </c>
      <c r="F4698" s="336"/>
      <c r="G4698" s="336">
        <v>43711</v>
      </c>
      <c r="H4698" s="334" t="s">
        <v>11221</v>
      </c>
      <c r="I4698" s="334">
        <v>1611769297</v>
      </c>
      <c r="J4698" s="334" t="s">
        <v>3304</v>
      </c>
      <c r="K4698" s="337"/>
      <c r="L4698" s="334">
        <f>2527-268</f>
        <v>2259</v>
      </c>
      <c r="M4698" s="334">
        <v>268</v>
      </c>
      <c r="N4698" s="362">
        <f t="shared" si="158"/>
        <v>2527</v>
      </c>
      <c r="X4698" s="339"/>
    </row>
    <row r="4699" s="330" customFormat="1" ht="15" customHeight="1" spans="1:24">
      <c r="A4699" s="334"/>
      <c r="B4699" s="334" t="s">
        <v>335</v>
      </c>
      <c r="C4699" s="334" t="s">
        <v>615</v>
      </c>
      <c r="D4699" s="334" t="s">
        <v>337</v>
      </c>
      <c r="E4699" s="336">
        <v>43717</v>
      </c>
      <c r="F4699" s="336"/>
      <c r="G4699" s="336">
        <v>43717</v>
      </c>
      <c r="H4699" s="334" t="s">
        <v>84</v>
      </c>
      <c r="I4699" s="334">
        <v>18901831836</v>
      </c>
      <c r="J4699" s="334" t="s">
        <v>11222</v>
      </c>
      <c r="K4699" s="337"/>
      <c r="L4699" s="334">
        <v>21473</v>
      </c>
      <c r="M4699" s="338"/>
      <c r="N4699" s="362">
        <f t="shared" si="158"/>
        <v>21473</v>
      </c>
      <c r="X4699" s="339"/>
    </row>
    <row r="4700" s="330" customFormat="1" ht="15" customHeight="1" spans="1:24">
      <c r="A4700" s="334"/>
      <c r="B4700" s="334" t="s">
        <v>185</v>
      </c>
      <c r="C4700" s="334" t="s">
        <v>186</v>
      </c>
      <c r="D4700" s="334" t="s">
        <v>171</v>
      </c>
      <c r="E4700" s="336">
        <v>43717</v>
      </c>
      <c r="F4700" s="336"/>
      <c r="G4700" s="336">
        <v>43717</v>
      </c>
      <c r="H4700" s="334" t="s">
        <v>11223</v>
      </c>
      <c r="I4700" s="334">
        <v>18504805888</v>
      </c>
      <c r="J4700" s="334" t="s">
        <v>11224</v>
      </c>
      <c r="K4700" s="337"/>
      <c r="L4700" s="334">
        <v>4610</v>
      </c>
      <c r="M4700" s="338"/>
      <c r="N4700" s="362">
        <f t="shared" si="158"/>
        <v>4610</v>
      </c>
      <c r="X4700" s="339"/>
    </row>
    <row r="4701" s="330" customFormat="1" ht="15" customHeight="1" spans="1:24">
      <c r="A4701" s="334"/>
      <c r="B4701" s="334" t="s">
        <v>315</v>
      </c>
      <c r="C4701" s="334" t="s">
        <v>181</v>
      </c>
      <c r="D4701" s="334" t="s">
        <v>89</v>
      </c>
      <c r="E4701" s="336">
        <v>43718</v>
      </c>
      <c r="F4701" s="336"/>
      <c r="G4701" s="336">
        <v>43717</v>
      </c>
      <c r="H4701" s="334" t="s">
        <v>11225</v>
      </c>
      <c r="I4701" s="334">
        <v>13301987289</v>
      </c>
      <c r="J4701" s="334" t="s">
        <v>11226</v>
      </c>
      <c r="K4701" s="337"/>
      <c r="L4701" s="334">
        <v>14695</v>
      </c>
      <c r="M4701" s="338"/>
      <c r="N4701" s="362">
        <f t="shared" si="158"/>
        <v>14695</v>
      </c>
      <c r="X4701" s="339"/>
    </row>
    <row r="4702" s="330" customFormat="1" ht="15" customHeight="1" spans="1:24">
      <c r="A4702" s="334"/>
      <c r="B4702" s="334" t="s">
        <v>123</v>
      </c>
      <c r="C4702" s="334" t="s">
        <v>902</v>
      </c>
      <c r="D4702" s="335" t="s">
        <v>125</v>
      </c>
      <c r="E4702" s="336">
        <v>43718</v>
      </c>
      <c r="F4702" s="336"/>
      <c r="G4702" s="336">
        <v>43716</v>
      </c>
      <c r="H4702" s="334" t="s">
        <v>11227</v>
      </c>
      <c r="I4702" s="334">
        <v>13761935042</v>
      </c>
      <c r="J4702" s="334" t="s">
        <v>11228</v>
      </c>
      <c r="K4702" s="337"/>
      <c r="L4702" s="334">
        <v>7600</v>
      </c>
      <c r="M4702" s="338"/>
      <c r="N4702" s="362">
        <f t="shared" si="158"/>
        <v>7600</v>
      </c>
      <c r="X4702" s="339"/>
    </row>
    <row r="4703" s="330" customFormat="1" ht="15" customHeight="1" spans="1:24">
      <c r="A4703" s="334"/>
      <c r="B4703" s="348" t="s">
        <v>137</v>
      </c>
      <c r="C4703" s="348" t="s">
        <v>480</v>
      </c>
      <c r="D4703" s="334" t="s">
        <v>139</v>
      </c>
      <c r="E4703" s="336">
        <v>43718</v>
      </c>
      <c r="F4703" s="336"/>
      <c r="G4703" s="336">
        <v>43715</v>
      </c>
      <c r="H4703" s="334" t="s">
        <v>5118</v>
      </c>
      <c r="I4703" s="444">
        <v>13761581152</v>
      </c>
      <c r="J4703" s="348" t="s">
        <v>5119</v>
      </c>
      <c r="K4703" s="337"/>
      <c r="L4703" s="334">
        <f>3950-1900</f>
        <v>2050</v>
      </c>
      <c r="M4703" s="334">
        <v>1900</v>
      </c>
      <c r="N4703" s="362">
        <f t="shared" si="158"/>
        <v>3950</v>
      </c>
      <c r="X4703" s="339"/>
    </row>
    <row r="4704" s="330" customFormat="1" ht="15" customHeight="1" spans="1:24">
      <c r="A4704" s="334"/>
      <c r="B4704" s="334" t="s">
        <v>315</v>
      </c>
      <c r="C4704" s="334" t="s">
        <v>722</v>
      </c>
      <c r="D4704" s="334" t="s">
        <v>132</v>
      </c>
      <c r="E4704" s="336">
        <v>43718</v>
      </c>
      <c r="F4704" s="336"/>
      <c r="G4704" s="336">
        <v>43715</v>
      </c>
      <c r="H4704" s="334" t="s">
        <v>11229</v>
      </c>
      <c r="I4704" s="334">
        <v>18016851969</v>
      </c>
      <c r="J4704" s="334" t="s">
        <v>11230</v>
      </c>
      <c r="K4704" s="337"/>
      <c r="L4704" s="334">
        <v>39809</v>
      </c>
      <c r="M4704" s="338"/>
      <c r="N4704" s="362">
        <f t="shared" si="158"/>
        <v>39809</v>
      </c>
      <c r="X4704" s="339"/>
    </row>
    <row r="4705" s="330" customFormat="1" ht="15" customHeight="1" spans="1:24">
      <c r="A4705" s="334"/>
      <c r="B4705" s="334" t="s">
        <v>123</v>
      </c>
      <c r="C4705" s="334" t="s">
        <v>2301</v>
      </c>
      <c r="D4705" s="335" t="s">
        <v>125</v>
      </c>
      <c r="E4705" s="336">
        <v>43720</v>
      </c>
      <c r="F4705" s="336"/>
      <c r="G4705" s="336">
        <v>43719</v>
      </c>
      <c r="H4705" s="334" t="s">
        <v>11231</v>
      </c>
      <c r="I4705" s="334">
        <v>18616022163</v>
      </c>
      <c r="J4705" s="334" t="s">
        <v>11232</v>
      </c>
      <c r="K4705" s="337"/>
      <c r="L4705" s="334">
        <f>18000-2144</f>
        <v>15856</v>
      </c>
      <c r="M4705" s="334">
        <v>2144</v>
      </c>
      <c r="N4705" s="362">
        <f t="shared" si="158"/>
        <v>18000</v>
      </c>
      <c r="X4705" s="339"/>
    </row>
    <row r="4706" s="330" customFormat="1" ht="15" customHeight="1" spans="1:24">
      <c r="A4706" s="334"/>
      <c r="B4706" s="334" t="s">
        <v>137</v>
      </c>
      <c r="C4706" s="334" t="s">
        <v>2705</v>
      </c>
      <c r="D4706" s="334" t="s">
        <v>139</v>
      </c>
      <c r="E4706" s="336">
        <v>43721</v>
      </c>
      <c r="F4706" s="336"/>
      <c r="G4706" s="336">
        <v>43718</v>
      </c>
      <c r="H4706" s="334" t="s">
        <v>5305</v>
      </c>
      <c r="I4706" s="334">
        <v>18620979210</v>
      </c>
      <c r="J4706" s="334" t="s">
        <v>11233</v>
      </c>
      <c r="K4706" s="337"/>
      <c r="L4706" s="334">
        <v>11956</v>
      </c>
      <c r="M4706" s="338"/>
      <c r="N4706" s="362">
        <f t="shared" si="158"/>
        <v>11956</v>
      </c>
      <c r="X4706" s="339"/>
    </row>
    <row r="4707" s="330" customFormat="1" ht="15" customHeight="1" spans="1:24">
      <c r="A4707" s="334"/>
      <c r="B4707" s="334" t="s">
        <v>315</v>
      </c>
      <c r="C4707" s="334" t="s">
        <v>366</v>
      </c>
      <c r="D4707" s="334" t="s">
        <v>132</v>
      </c>
      <c r="E4707" s="336">
        <v>43721</v>
      </c>
      <c r="F4707" s="336"/>
      <c r="G4707" s="336">
        <v>43719</v>
      </c>
      <c r="H4707" s="334" t="s">
        <v>11234</v>
      </c>
      <c r="I4707" s="334">
        <v>13661894497</v>
      </c>
      <c r="J4707" s="334" t="s">
        <v>11235</v>
      </c>
      <c r="K4707" s="337"/>
      <c r="L4707" s="334">
        <v>3134</v>
      </c>
      <c r="M4707" s="338"/>
      <c r="N4707" s="362">
        <f t="shared" si="158"/>
        <v>3134</v>
      </c>
      <c r="X4707" s="339"/>
    </row>
    <row r="4708" s="330" customFormat="1" ht="15" customHeight="1" spans="1:24">
      <c r="A4708" s="334"/>
      <c r="B4708" s="334" t="s">
        <v>281</v>
      </c>
      <c r="C4708" s="334" t="s">
        <v>517</v>
      </c>
      <c r="D4708" s="334" t="s">
        <v>518</v>
      </c>
      <c r="E4708" s="336">
        <v>43721</v>
      </c>
      <c r="F4708" s="336"/>
      <c r="G4708" s="336">
        <v>43720</v>
      </c>
      <c r="H4708" s="334" t="s">
        <v>11236</v>
      </c>
      <c r="I4708" s="334">
        <v>13311837407</v>
      </c>
      <c r="J4708" s="334" t="s">
        <v>11237</v>
      </c>
      <c r="K4708" s="337"/>
      <c r="L4708" s="334">
        <v>9804</v>
      </c>
      <c r="M4708" s="338"/>
      <c r="N4708" s="362">
        <f t="shared" si="158"/>
        <v>9804</v>
      </c>
      <c r="X4708" s="339"/>
    </row>
    <row r="4709" s="330" customFormat="1" ht="15" customHeight="1" spans="1:24">
      <c r="A4709" s="334"/>
      <c r="B4709" s="334" t="s">
        <v>73</v>
      </c>
      <c r="C4709" s="334" t="s">
        <v>178</v>
      </c>
      <c r="D4709" s="334" t="s">
        <v>75</v>
      </c>
      <c r="E4709" s="336">
        <v>43721</v>
      </c>
      <c r="F4709" s="336"/>
      <c r="G4709" s="336">
        <v>43720</v>
      </c>
      <c r="H4709" s="334" t="s">
        <v>11238</v>
      </c>
      <c r="I4709" s="334">
        <v>18019435556</v>
      </c>
      <c r="J4709" s="334" t="s">
        <v>11239</v>
      </c>
      <c r="K4709" s="337"/>
      <c r="L4709" s="334">
        <f>15129</f>
        <v>15129</v>
      </c>
      <c r="M4709" s="338"/>
      <c r="N4709" s="362">
        <f t="shared" si="158"/>
        <v>15129</v>
      </c>
      <c r="X4709" s="339"/>
    </row>
    <row r="4710" s="330" customFormat="1" ht="15" customHeight="1" spans="1:24">
      <c r="A4710" s="334"/>
      <c r="B4710" s="334" t="s">
        <v>73</v>
      </c>
      <c r="C4710" s="334" t="s">
        <v>178</v>
      </c>
      <c r="D4710" s="334" t="s">
        <v>139</v>
      </c>
      <c r="E4710" s="336">
        <v>43721</v>
      </c>
      <c r="F4710" s="336"/>
      <c r="G4710" s="336">
        <v>43719</v>
      </c>
      <c r="H4710" s="334" t="s">
        <v>11240</v>
      </c>
      <c r="I4710" s="334">
        <v>15821094982</v>
      </c>
      <c r="J4710" s="334" t="s">
        <v>11241</v>
      </c>
      <c r="K4710" s="337"/>
      <c r="L4710" s="334">
        <v>12596</v>
      </c>
      <c r="M4710" s="338"/>
      <c r="N4710" s="362">
        <f t="shared" si="158"/>
        <v>12596</v>
      </c>
      <c r="X4710" s="339"/>
    </row>
    <row r="4711" s="330" customFormat="1" ht="15" customHeight="1" spans="1:24">
      <c r="A4711" s="334"/>
      <c r="B4711" s="334" t="s">
        <v>137</v>
      </c>
      <c r="C4711" s="334" t="s">
        <v>480</v>
      </c>
      <c r="D4711" s="334" t="s">
        <v>443</v>
      </c>
      <c r="E4711" s="336">
        <v>43721</v>
      </c>
      <c r="F4711" s="336"/>
      <c r="G4711" s="336">
        <v>43721</v>
      </c>
      <c r="H4711" s="334" t="s">
        <v>11242</v>
      </c>
      <c r="I4711" s="334">
        <v>18918375381</v>
      </c>
      <c r="J4711" s="334" t="s">
        <v>11243</v>
      </c>
      <c r="K4711" s="337"/>
      <c r="L4711" s="334">
        <f>12711-1200-840</f>
        <v>10671</v>
      </c>
      <c r="M4711" s="334">
        <v>840</v>
      </c>
      <c r="N4711" s="362">
        <f t="shared" si="158"/>
        <v>11511</v>
      </c>
      <c r="X4711" s="339"/>
    </row>
    <row r="4712" s="330" customFormat="1" ht="15" customHeight="1" spans="1:24">
      <c r="A4712" s="334"/>
      <c r="B4712" s="334" t="s">
        <v>315</v>
      </c>
      <c r="C4712" s="334" t="s">
        <v>366</v>
      </c>
      <c r="D4712" s="334" t="s">
        <v>132</v>
      </c>
      <c r="E4712" s="336">
        <v>43717</v>
      </c>
      <c r="F4712" s="336" t="s">
        <v>800</v>
      </c>
      <c r="G4712" s="336">
        <v>43716</v>
      </c>
      <c r="H4712" s="334" t="s">
        <v>11244</v>
      </c>
      <c r="I4712" s="334">
        <v>13661550777</v>
      </c>
      <c r="J4712" s="334" t="s">
        <v>11245</v>
      </c>
      <c r="K4712" s="337"/>
      <c r="L4712" s="338"/>
      <c r="M4712" s="334">
        <v>1200</v>
      </c>
      <c r="N4712" s="362">
        <f t="shared" si="158"/>
        <v>1200</v>
      </c>
      <c r="X4712" s="339"/>
    </row>
    <row r="4713" s="330" customFormat="1" ht="15" customHeight="1" spans="1:24">
      <c r="A4713" s="334"/>
      <c r="B4713" s="334" t="s">
        <v>31</v>
      </c>
      <c r="C4713" s="334" t="s">
        <v>419</v>
      </c>
      <c r="D4713" s="349" t="s">
        <v>33</v>
      </c>
      <c r="E4713" s="336">
        <v>43717</v>
      </c>
      <c r="F4713" s="336" t="s">
        <v>800</v>
      </c>
      <c r="G4713" s="336">
        <v>43716</v>
      </c>
      <c r="H4713" s="334" t="s">
        <v>11246</v>
      </c>
      <c r="I4713" s="334">
        <v>13818987379</v>
      </c>
      <c r="J4713" s="348" t="s">
        <v>11247</v>
      </c>
      <c r="K4713" s="337"/>
      <c r="L4713" s="338"/>
      <c r="M4713" s="334">
        <v>7628</v>
      </c>
      <c r="N4713" s="362">
        <f t="shared" si="158"/>
        <v>7628</v>
      </c>
      <c r="X4713" s="339"/>
    </row>
    <row r="4714" s="330" customFormat="1" ht="15" customHeight="1" spans="1:24">
      <c r="A4714" s="334"/>
      <c r="B4714" s="348" t="s">
        <v>73</v>
      </c>
      <c r="C4714" s="348" t="s">
        <v>178</v>
      </c>
      <c r="D4714" s="349" t="s">
        <v>132</v>
      </c>
      <c r="E4714" s="336">
        <v>43717</v>
      </c>
      <c r="F4714" s="336" t="s">
        <v>800</v>
      </c>
      <c r="G4714" s="336">
        <v>43716</v>
      </c>
      <c r="H4714" s="334" t="s">
        <v>5785</v>
      </c>
      <c r="I4714" s="444">
        <v>13501854089</v>
      </c>
      <c r="J4714" s="348" t="s">
        <v>5786</v>
      </c>
      <c r="K4714" s="337"/>
      <c r="L4714" s="338"/>
      <c r="M4714" s="334">
        <v>-28604</v>
      </c>
      <c r="N4714" s="362">
        <f t="shared" si="158"/>
        <v>-28604</v>
      </c>
      <c r="X4714" s="339"/>
    </row>
    <row r="4715" s="330" customFormat="1" ht="15" customHeight="1" spans="1:24">
      <c r="A4715" s="334"/>
      <c r="B4715" s="334" t="s">
        <v>137</v>
      </c>
      <c r="C4715" s="334" t="s">
        <v>480</v>
      </c>
      <c r="D4715" s="334" t="s">
        <v>443</v>
      </c>
      <c r="E4715" s="336">
        <v>43717</v>
      </c>
      <c r="F4715" s="336" t="s">
        <v>800</v>
      </c>
      <c r="G4715" s="336">
        <v>43717</v>
      </c>
      <c r="H4715" s="334" t="s">
        <v>11248</v>
      </c>
      <c r="I4715" s="334">
        <v>13916857886</v>
      </c>
      <c r="J4715" s="348" t="s">
        <v>11249</v>
      </c>
      <c r="K4715" s="337"/>
      <c r="L4715" s="338"/>
      <c r="M4715" s="334">
        <v>5078</v>
      </c>
      <c r="N4715" s="362">
        <f t="shared" si="158"/>
        <v>5078</v>
      </c>
      <c r="X4715" s="339"/>
    </row>
    <row r="4716" s="330" customFormat="1" ht="15" customHeight="1" spans="1:24">
      <c r="A4716" s="334"/>
      <c r="B4716" s="334" t="s">
        <v>58</v>
      </c>
      <c r="C4716" s="334" t="s">
        <v>347</v>
      </c>
      <c r="D4716" s="334" t="s">
        <v>343</v>
      </c>
      <c r="E4716" s="336">
        <v>43717</v>
      </c>
      <c r="F4716" s="336" t="s">
        <v>800</v>
      </c>
      <c r="G4716" s="336">
        <v>43714</v>
      </c>
      <c r="H4716" s="334" t="s">
        <v>11250</v>
      </c>
      <c r="I4716" s="334">
        <v>13601606482</v>
      </c>
      <c r="J4716" s="334" t="s">
        <v>11251</v>
      </c>
      <c r="K4716" s="337"/>
      <c r="L4716" s="338"/>
      <c r="M4716" s="334">
        <v>3721</v>
      </c>
      <c r="N4716" s="362">
        <f t="shared" si="158"/>
        <v>3721</v>
      </c>
      <c r="X4716" s="339"/>
    </row>
    <row r="4717" s="330" customFormat="1" ht="15" customHeight="1" spans="1:24">
      <c r="A4717" s="334"/>
      <c r="B4717" s="348" t="s">
        <v>58</v>
      </c>
      <c r="C4717" s="348" t="s">
        <v>347</v>
      </c>
      <c r="D4717" s="334" t="s">
        <v>343</v>
      </c>
      <c r="E4717" s="336">
        <v>43717</v>
      </c>
      <c r="F4717" s="336" t="s">
        <v>800</v>
      </c>
      <c r="G4717" s="336">
        <v>43714</v>
      </c>
      <c r="H4717" s="334" t="s">
        <v>6122</v>
      </c>
      <c r="I4717" s="334">
        <v>18516393535</v>
      </c>
      <c r="J4717" s="334" t="s">
        <v>6123</v>
      </c>
      <c r="K4717" s="337"/>
      <c r="L4717" s="338"/>
      <c r="M4717" s="334">
        <v>659</v>
      </c>
      <c r="N4717" s="362">
        <f t="shared" si="158"/>
        <v>659</v>
      </c>
      <c r="X4717" s="339"/>
    </row>
    <row r="4718" s="330" customFormat="1" ht="15" customHeight="1" spans="1:24">
      <c r="A4718" s="334"/>
      <c r="B4718" s="334" t="s">
        <v>137</v>
      </c>
      <c r="C4718" s="334" t="s">
        <v>2705</v>
      </c>
      <c r="D4718" s="334" t="s">
        <v>443</v>
      </c>
      <c r="E4718" s="336">
        <v>43717</v>
      </c>
      <c r="F4718" s="336" t="s">
        <v>800</v>
      </c>
      <c r="G4718" s="336">
        <v>43716</v>
      </c>
      <c r="H4718" s="334" t="s">
        <v>11252</v>
      </c>
      <c r="I4718" s="334">
        <v>13917694785</v>
      </c>
      <c r="J4718" s="334" t="s">
        <v>11253</v>
      </c>
      <c r="K4718" s="337"/>
      <c r="L4718" s="338"/>
      <c r="M4718" s="334">
        <v>298</v>
      </c>
      <c r="N4718" s="362">
        <f t="shared" si="158"/>
        <v>298</v>
      </c>
      <c r="X4718" s="339"/>
    </row>
    <row r="4719" s="330" customFormat="1" ht="15" customHeight="1" spans="1:24">
      <c r="A4719" s="334"/>
      <c r="B4719" s="348" t="s">
        <v>236</v>
      </c>
      <c r="C4719" s="348" t="s">
        <v>703</v>
      </c>
      <c r="D4719" s="349" t="s">
        <v>187</v>
      </c>
      <c r="E4719" s="336">
        <v>43717</v>
      </c>
      <c r="F4719" s="336" t="s">
        <v>800</v>
      </c>
      <c r="G4719" s="336">
        <v>43715</v>
      </c>
      <c r="H4719" s="334" t="s">
        <v>10477</v>
      </c>
      <c r="I4719" s="334">
        <v>13002113276</v>
      </c>
      <c r="J4719" s="348" t="s">
        <v>10478</v>
      </c>
      <c r="K4719" s="337"/>
      <c r="L4719" s="338"/>
      <c r="M4719" s="334">
        <v>4446</v>
      </c>
      <c r="N4719" s="362">
        <f t="shared" si="158"/>
        <v>4446</v>
      </c>
      <c r="X4719" s="339"/>
    </row>
    <row r="4720" s="330" customFormat="1" ht="15" customHeight="1" spans="1:24">
      <c r="A4720" s="334"/>
      <c r="B4720" s="348" t="s">
        <v>236</v>
      </c>
      <c r="C4720" s="348" t="s">
        <v>703</v>
      </c>
      <c r="D4720" s="349" t="s">
        <v>37</v>
      </c>
      <c r="E4720" s="336">
        <v>43717</v>
      </c>
      <c r="F4720" s="336" t="s">
        <v>800</v>
      </c>
      <c r="G4720" s="336">
        <v>43715</v>
      </c>
      <c r="H4720" s="334" t="s">
        <v>4748</v>
      </c>
      <c r="I4720" s="334">
        <v>13801657951</v>
      </c>
      <c r="J4720" s="348" t="s">
        <v>4749</v>
      </c>
      <c r="K4720" s="337"/>
      <c r="L4720" s="338"/>
      <c r="M4720" s="334">
        <v>-1846</v>
      </c>
      <c r="N4720" s="362">
        <f t="shared" si="158"/>
        <v>-1846</v>
      </c>
      <c r="X4720" s="339"/>
    </row>
    <row r="4721" s="330" customFormat="1" ht="15" customHeight="1" spans="1:24">
      <c r="A4721" s="334"/>
      <c r="B4721" s="348" t="s">
        <v>236</v>
      </c>
      <c r="C4721" s="348" t="s">
        <v>195</v>
      </c>
      <c r="D4721" s="349" t="s">
        <v>125</v>
      </c>
      <c r="E4721" s="336">
        <v>43717</v>
      </c>
      <c r="F4721" s="336" t="s">
        <v>800</v>
      </c>
      <c r="G4721" s="336">
        <v>43715</v>
      </c>
      <c r="H4721" s="334" t="s">
        <v>6919</v>
      </c>
      <c r="I4721" s="444">
        <v>18918350059</v>
      </c>
      <c r="J4721" s="348" t="s">
        <v>11254</v>
      </c>
      <c r="K4721" s="337"/>
      <c r="L4721" s="338"/>
      <c r="M4721" s="334">
        <v>-6446</v>
      </c>
      <c r="N4721" s="362">
        <f t="shared" si="158"/>
        <v>-6446</v>
      </c>
      <c r="X4721" s="339"/>
    </row>
    <row r="4722" s="330" customFormat="1" ht="15" customHeight="1" spans="1:24">
      <c r="A4722" s="334"/>
      <c r="B4722" s="348" t="s">
        <v>236</v>
      </c>
      <c r="C4722" s="348" t="s">
        <v>195</v>
      </c>
      <c r="D4722" s="349" t="s">
        <v>37</v>
      </c>
      <c r="E4722" s="336">
        <v>43717</v>
      </c>
      <c r="F4722" s="336" t="s">
        <v>800</v>
      </c>
      <c r="G4722" s="336">
        <v>43715</v>
      </c>
      <c r="H4722" s="334" t="s">
        <v>8928</v>
      </c>
      <c r="I4722" s="334">
        <v>1900981088</v>
      </c>
      <c r="J4722" s="334" t="s">
        <v>8929</v>
      </c>
      <c r="K4722" s="337"/>
      <c r="L4722" s="338"/>
      <c r="M4722" s="334">
        <v>200</v>
      </c>
      <c r="N4722" s="362">
        <f t="shared" si="158"/>
        <v>200</v>
      </c>
      <c r="X4722" s="339"/>
    </row>
    <row r="4723" s="330" customFormat="1" ht="15" customHeight="1" spans="1:24">
      <c r="A4723" s="334"/>
      <c r="B4723" s="348" t="s">
        <v>153</v>
      </c>
      <c r="C4723" s="348" t="s">
        <v>154</v>
      </c>
      <c r="D4723" s="352" t="s">
        <v>155</v>
      </c>
      <c r="E4723" s="336">
        <v>43717</v>
      </c>
      <c r="F4723" s="336" t="s">
        <v>800</v>
      </c>
      <c r="G4723" s="336">
        <v>43710</v>
      </c>
      <c r="H4723" s="334" t="s">
        <v>10681</v>
      </c>
      <c r="I4723" s="334" t="s">
        <v>10682</v>
      </c>
      <c r="J4723" s="334" t="s">
        <v>10683</v>
      </c>
      <c r="K4723" s="337"/>
      <c r="L4723" s="338"/>
      <c r="M4723" s="334">
        <v>-9915</v>
      </c>
      <c r="N4723" s="362">
        <f t="shared" si="158"/>
        <v>-9915</v>
      </c>
      <c r="X4723" s="339"/>
    </row>
    <row r="4724" s="330" customFormat="1" ht="15" customHeight="1" spans="1:24">
      <c r="A4724" s="334"/>
      <c r="B4724" s="334" t="s">
        <v>137</v>
      </c>
      <c r="C4724" s="334" t="s">
        <v>411</v>
      </c>
      <c r="D4724" s="334" t="s">
        <v>139</v>
      </c>
      <c r="E4724" s="336">
        <v>43717</v>
      </c>
      <c r="F4724" s="336" t="s">
        <v>800</v>
      </c>
      <c r="G4724" s="336">
        <v>43717</v>
      </c>
      <c r="H4724" s="334" t="s">
        <v>3793</v>
      </c>
      <c r="I4724" s="334">
        <v>13913249152</v>
      </c>
      <c r="J4724" s="334" t="s">
        <v>11255</v>
      </c>
      <c r="K4724" s="337"/>
      <c r="L4724" s="338"/>
      <c r="M4724" s="334">
        <v>1586</v>
      </c>
      <c r="N4724" s="362">
        <f t="shared" si="158"/>
        <v>1586</v>
      </c>
      <c r="X4724" s="339"/>
    </row>
    <row r="4725" s="330" customFormat="1" ht="15" customHeight="1" spans="1:24">
      <c r="A4725" s="334"/>
      <c r="B4725" s="334" t="s">
        <v>87</v>
      </c>
      <c r="C4725" s="334" t="s">
        <v>466</v>
      </c>
      <c r="D4725" s="352" t="s">
        <v>89</v>
      </c>
      <c r="E4725" s="336">
        <v>43717</v>
      </c>
      <c r="F4725" s="336" t="s">
        <v>800</v>
      </c>
      <c r="G4725" s="336">
        <v>43703</v>
      </c>
      <c r="H4725" s="334" t="s">
        <v>8787</v>
      </c>
      <c r="I4725" s="356">
        <v>13916605540</v>
      </c>
      <c r="J4725" s="348" t="s">
        <v>11256</v>
      </c>
      <c r="K4725" s="337"/>
      <c r="L4725" s="338"/>
      <c r="M4725" s="334">
        <v>-769</v>
      </c>
      <c r="N4725" s="362">
        <f t="shared" si="158"/>
        <v>-769</v>
      </c>
      <c r="X4725" s="339"/>
    </row>
    <row r="4726" s="330" customFormat="1" ht="15" customHeight="1" spans="1:24">
      <c r="A4726" s="334"/>
      <c r="B4726" s="348" t="s">
        <v>35</v>
      </c>
      <c r="C4726" s="348" t="s">
        <v>392</v>
      </c>
      <c r="D4726" s="349" t="s">
        <v>37</v>
      </c>
      <c r="E4726" s="336">
        <v>43717</v>
      </c>
      <c r="F4726" s="336" t="s">
        <v>800</v>
      </c>
      <c r="G4726" s="336">
        <v>43717</v>
      </c>
      <c r="H4726" s="334" t="s">
        <v>4211</v>
      </c>
      <c r="I4726" s="334">
        <v>13701725815</v>
      </c>
      <c r="J4726" s="334" t="s">
        <v>11257</v>
      </c>
      <c r="K4726" s="337"/>
      <c r="L4726" s="338"/>
      <c r="M4726" s="334">
        <v>2609</v>
      </c>
      <c r="N4726" s="362">
        <f t="shared" si="158"/>
        <v>2609</v>
      </c>
      <c r="X4726" s="339"/>
    </row>
    <row r="4727" s="330" customFormat="1" ht="15" customHeight="1" spans="1:24">
      <c r="A4727" s="334"/>
      <c r="B4727" s="334" t="s">
        <v>31</v>
      </c>
      <c r="C4727" s="334" t="s">
        <v>9433</v>
      </c>
      <c r="D4727" s="334" t="s">
        <v>221</v>
      </c>
      <c r="E4727" s="336">
        <v>43717</v>
      </c>
      <c r="F4727" s="336" t="s">
        <v>800</v>
      </c>
      <c r="G4727" s="336">
        <v>43717</v>
      </c>
      <c r="H4727" s="334" t="s">
        <v>11258</v>
      </c>
      <c r="I4727" s="334">
        <v>18516521071</v>
      </c>
      <c r="J4727" s="334" t="s">
        <v>11259</v>
      </c>
      <c r="K4727" s="337"/>
      <c r="L4727" s="338"/>
      <c r="M4727" s="334">
        <v>264</v>
      </c>
      <c r="N4727" s="362">
        <f t="shared" si="158"/>
        <v>264</v>
      </c>
      <c r="X4727" s="339"/>
    </row>
    <row r="4728" s="330" customFormat="1" ht="15" customHeight="1" spans="1:24">
      <c r="A4728" s="334"/>
      <c r="B4728" s="334" t="s">
        <v>153</v>
      </c>
      <c r="C4728" s="334" t="s">
        <v>154</v>
      </c>
      <c r="D4728" s="349" t="s">
        <v>155</v>
      </c>
      <c r="E4728" s="336">
        <v>43717</v>
      </c>
      <c r="F4728" s="336" t="s">
        <v>800</v>
      </c>
      <c r="G4728" s="336">
        <v>43716</v>
      </c>
      <c r="H4728" s="334" t="s">
        <v>9768</v>
      </c>
      <c r="I4728" s="334">
        <v>13817230898</v>
      </c>
      <c r="J4728" s="334" t="s">
        <v>9769</v>
      </c>
      <c r="K4728" s="337"/>
      <c r="L4728" s="338"/>
      <c r="M4728" s="334">
        <v>2730</v>
      </c>
      <c r="N4728" s="362">
        <f t="shared" si="158"/>
        <v>2730</v>
      </c>
      <c r="X4728" s="339"/>
    </row>
    <row r="4729" s="330" customFormat="1" ht="15" customHeight="1" spans="1:24">
      <c r="A4729" s="334"/>
      <c r="B4729" s="348" t="s">
        <v>6313</v>
      </c>
      <c r="C4729" s="334" t="s">
        <v>7871</v>
      </c>
      <c r="D4729" s="352" t="s">
        <v>6313</v>
      </c>
      <c r="E4729" s="336">
        <v>43717</v>
      </c>
      <c r="F4729" s="336" t="s">
        <v>800</v>
      </c>
      <c r="G4729" s="336">
        <v>43696</v>
      </c>
      <c r="H4729" s="334" t="s">
        <v>8517</v>
      </c>
      <c r="I4729" s="334">
        <v>18616637569</v>
      </c>
      <c r="J4729" s="334" t="s">
        <v>8518</v>
      </c>
      <c r="K4729" s="337"/>
      <c r="L4729" s="338"/>
      <c r="M4729" s="334">
        <v>1250</v>
      </c>
      <c r="N4729" s="362">
        <f t="shared" si="158"/>
        <v>1250</v>
      </c>
      <c r="X4729" s="339"/>
    </row>
    <row r="4730" s="330" customFormat="1" ht="15" customHeight="1" spans="1:24">
      <c r="A4730" s="334"/>
      <c r="B4730" s="348" t="s">
        <v>87</v>
      </c>
      <c r="C4730" s="348" t="s">
        <v>466</v>
      </c>
      <c r="D4730" s="352" t="s">
        <v>89</v>
      </c>
      <c r="E4730" s="336">
        <v>43717</v>
      </c>
      <c r="F4730" s="336" t="s">
        <v>800</v>
      </c>
      <c r="G4730" s="336">
        <v>43717</v>
      </c>
      <c r="H4730" s="334" t="s">
        <v>7208</v>
      </c>
      <c r="I4730" s="334">
        <v>13817138599</v>
      </c>
      <c r="J4730" s="334" t="s">
        <v>11260</v>
      </c>
      <c r="K4730" s="337"/>
      <c r="L4730" s="338"/>
      <c r="M4730" s="334">
        <v>2219</v>
      </c>
      <c r="N4730" s="362">
        <f t="shared" si="158"/>
        <v>2219</v>
      </c>
      <c r="X4730" s="339"/>
    </row>
    <row r="4731" s="330" customFormat="1" ht="15" customHeight="1" spans="1:24">
      <c r="A4731" s="334"/>
      <c r="B4731" s="348" t="s">
        <v>123</v>
      </c>
      <c r="C4731" s="348" t="s">
        <v>902</v>
      </c>
      <c r="D4731" s="349" t="s">
        <v>125</v>
      </c>
      <c r="E4731" s="336">
        <v>43718</v>
      </c>
      <c r="F4731" s="336" t="s">
        <v>800</v>
      </c>
      <c r="G4731" s="336">
        <v>43716</v>
      </c>
      <c r="H4731" s="334" t="s">
        <v>5740</v>
      </c>
      <c r="I4731" s="334">
        <v>13564786712</v>
      </c>
      <c r="J4731" s="348" t="s">
        <v>5741</v>
      </c>
      <c r="K4731" s="337"/>
      <c r="L4731" s="338"/>
      <c r="M4731" s="334">
        <f>1268</f>
        <v>1268</v>
      </c>
      <c r="N4731" s="362">
        <f t="shared" ref="N4731:N4768" si="159">L4731+M4731</f>
        <v>1268</v>
      </c>
      <c r="X4731" s="339"/>
    </row>
    <row r="4732" s="330" customFormat="1" ht="15" customHeight="1" spans="1:24">
      <c r="A4732" s="334"/>
      <c r="B4732" s="348" t="s">
        <v>137</v>
      </c>
      <c r="C4732" s="348" t="s">
        <v>2705</v>
      </c>
      <c r="D4732" s="334" t="s">
        <v>191</v>
      </c>
      <c r="E4732" s="336">
        <v>43718</v>
      </c>
      <c r="F4732" s="336" t="s">
        <v>800</v>
      </c>
      <c r="G4732" s="336">
        <v>43718</v>
      </c>
      <c r="H4732" s="334" t="s">
        <v>11261</v>
      </c>
      <c r="I4732" s="334">
        <v>13601900556</v>
      </c>
      <c r="J4732" s="334" t="s">
        <v>4699</v>
      </c>
      <c r="K4732" s="337"/>
      <c r="L4732" s="338"/>
      <c r="M4732" s="334">
        <v>452</v>
      </c>
      <c r="N4732" s="362">
        <f t="shared" si="159"/>
        <v>452</v>
      </c>
      <c r="X4732" s="339"/>
    </row>
    <row r="4733" s="330" customFormat="1" ht="15" customHeight="1" spans="1:24">
      <c r="A4733" s="334"/>
      <c r="B4733" s="334" t="s">
        <v>5336</v>
      </c>
      <c r="C4733" s="334" t="s">
        <v>5336</v>
      </c>
      <c r="D4733" s="334" t="s">
        <v>89</v>
      </c>
      <c r="E4733" s="336">
        <v>43718</v>
      </c>
      <c r="F4733" s="336" t="s">
        <v>800</v>
      </c>
      <c r="G4733" s="336">
        <v>43718</v>
      </c>
      <c r="H4733" s="334" t="s">
        <v>11262</v>
      </c>
      <c r="I4733" s="334">
        <v>13501811087</v>
      </c>
      <c r="J4733" s="334" t="s">
        <v>11263</v>
      </c>
      <c r="K4733" s="337"/>
      <c r="L4733" s="338"/>
      <c r="M4733" s="334">
        <v>4505</v>
      </c>
      <c r="N4733" s="362">
        <f t="shared" si="159"/>
        <v>4505</v>
      </c>
      <c r="X4733" s="339"/>
    </row>
    <row r="4734" s="330" customFormat="1" ht="15" customHeight="1" spans="1:24">
      <c r="A4734" s="334"/>
      <c r="B4734" s="348" t="s">
        <v>153</v>
      </c>
      <c r="C4734" s="334" t="s">
        <v>302</v>
      </c>
      <c r="D4734" s="349" t="s">
        <v>155</v>
      </c>
      <c r="E4734" s="336">
        <v>43718</v>
      </c>
      <c r="F4734" s="336" t="s">
        <v>800</v>
      </c>
      <c r="G4734" s="336">
        <v>43718</v>
      </c>
      <c r="H4734" s="334" t="s">
        <v>5449</v>
      </c>
      <c r="I4734" s="334">
        <v>13601630658</v>
      </c>
      <c r="J4734" s="334" t="s">
        <v>5450</v>
      </c>
      <c r="K4734" s="337"/>
      <c r="L4734" s="338"/>
      <c r="M4734" s="334">
        <v>2100</v>
      </c>
      <c r="N4734" s="362">
        <f t="shared" si="159"/>
        <v>2100</v>
      </c>
      <c r="X4734" s="339"/>
    </row>
    <row r="4735" s="330" customFormat="1" ht="15" customHeight="1" spans="1:24">
      <c r="A4735" s="334"/>
      <c r="B4735" s="334" t="s">
        <v>185</v>
      </c>
      <c r="C4735" s="334" t="s">
        <v>186</v>
      </c>
      <c r="D4735" s="349" t="s">
        <v>187</v>
      </c>
      <c r="E4735" s="336">
        <v>43718</v>
      </c>
      <c r="F4735" s="336" t="s">
        <v>800</v>
      </c>
      <c r="G4735" s="336">
        <v>43718</v>
      </c>
      <c r="H4735" s="334" t="s">
        <v>9512</v>
      </c>
      <c r="I4735" s="334">
        <v>13122209876</v>
      </c>
      <c r="J4735" s="334" t="s">
        <v>11264</v>
      </c>
      <c r="K4735" s="337"/>
      <c r="L4735" s="338"/>
      <c r="M4735" s="334">
        <v>858</v>
      </c>
      <c r="N4735" s="362">
        <f t="shared" si="159"/>
        <v>858</v>
      </c>
      <c r="X4735" s="339"/>
    </row>
    <row r="4736" s="330" customFormat="1" ht="15" customHeight="1" spans="1:24">
      <c r="A4736" s="334"/>
      <c r="B4736" s="348" t="s">
        <v>66</v>
      </c>
      <c r="C4736" s="348" t="s">
        <v>1749</v>
      </c>
      <c r="D4736" s="334" t="s">
        <v>68</v>
      </c>
      <c r="E4736" s="336">
        <v>43718</v>
      </c>
      <c r="F4736" s="336" t="s">
        <v>800</v>
      </c>
      <c r="G4736" s="336">
        <v>43718</v>
      </c>
      <c r="H4736" s="334" t="s">
        <v>2990</v>
      </c>
      <c r="I4736" s="334">
        <v>13916680531</v>
      </c>
      <c r="J4736" s="334" t="s">
        <v>11265</v>
      </c>
      <c r="K4736" s="337"/>
      <c r="L4736" s="338"/>
      <c r="M4736" s="334">
        <v>3660</v>
      </c>
      <c r="N4736" s="362">
        <f t="shared" si="159"/>
        <v>3660</v>
      </c>
      <c r="X4736" s="339"/>
    </row>
    <row r="4737" s="330" customFormat="1" ht="15" customHeight="1" spans="1:24">
      <c r="A4737" s="334"/>
      <c r="B4737" s="348" t="s">
        <v>137</v>
      </c>
      <c r="C4737" s="348" t="s">
        <v>411</v>
      </c>
      <c r="D4737" s="349" t="s">
        <v>427</v>
      </c>
      <c r="E4737" s="336">
        <v>43718</v>
      </c>
      <c r="F4737" s="336" t="s">
        <v>800</v>
      </c>
      <c r="G4737" s="336">
        <v>43718</v>
      </c>
      <c r="H4737" s="334" t="s">
        <v>3142</v>
      </c>
      <c r="I4737" s="334">
        <v>13818481080</v>
      </c>
      <c r="J4737" s="348" t="s">
        <v>3143</v>
      </c>
      <c r="K4737" s="337"/>
      <c r="L4737" s="338"/>
      <c r="M4737" s="334">
        <v>1881</v>
      </c>
      <c r="N4737" s="362">
        <f t="shared" si="159"/>
        <v>1881</v>
      </c>
      <c r="X4737" s="339"/>
    </row>
    <row r="4738" s="330" customFormat="1" ht="15" customHeight="1" spans="1:24">
      <c r="A4738" s="334"/>
      <c r="B4738" s="348" t="s">
        <v>87</v>
      </c>
      <c r="C4738" s="334" t="s">
        <v>466</v>
      </c>
      <c r="D4738" s="349" t="s">
        <v>89</v>
      </c>
      <c r="E4738" s="336">
        <v>43718</v>
      </c>
      <c r="F4738" s="336" t="s">
        <v>800</v>
      </c>
      <c r="G4738" s="336">
        <v>43718</v>
      </c>
      <c r="H4738" s="334" t="s">
        <v>6935</v>
      </c>
      <c r="I4738" s="356">
        <v>13917626918</v>
      </c>
      <c r="J4738" s="348" t="s">
        <v>6936</v>
      </c>
      <c r="K4738" s="337"/>
      <c r="L4738" s="338"/>
      <c r="M4738" s="334">
        <v>26355</v>
      </c>
      <c r="N4738" s="362">
        <f t="shared" si="159"/>
        <v>26355</v>
      </c>
      <c r="X4738" s="339"/>
    </row>
    <row r="4739" s="330" customFormat="1" ht="15" customHeight="1" spans="1:24">
      <c r="A4739" s="334"/>
      <c r="B4739" s="348" t="s">
        <v>73</v>
      </c>
      <c r="C4739" s="348" t="s">
        <v>74</v>
      </c>
      <c r="D4739" s="334" t="s">
        <v>68</v>
      </c>
      <c r="E4739" s="336">
        <v>43718</v>
      </c>
      <c r="F4739" s="336" t="s">
        <v>800</v>
      </c>
      <c r="G4739" s="336">
        <v>43718</v>
      </c>
      <c r="H4739" s="334" t="s">
        <v>10176</v>
      </c>
      <c r="I4739" s="334">
        <v>13918426465</v>
      </c>
      <c r="J4739" s="334" t="s">
        <v>10178</v>
      </c>
      <c r="K4739" s="337"/>
      <c r="L4739" s="338"/>
      <c r="M4739" s="334">
        <v>452</v>
      </c>
      <c r="N4739" s="362">
        <f t="shared" si="159"/>
        <v>452</v>
      </c>
      <c r="X4739" s="339"/>
    </row>
    <row r="4740" s="330" customFormat="1" ht="15" customHeight="1" spans="1:24">
      <c r="A4740" s="334"/>
      <c r="B4740" s="348" t="s">
        <v>73</v>
      </c>
      <c r="C4740" s="348" t="s">
        <v>74</v>
      </c>
      <c r="D4740" s="349" t="s">
        <v>132</v>
      </c>
      <c r="E4740" s="336">
        <v>43719</v>
      </c>
      <c r="F4740" s="336" t="s">
        <v>800</v>
      </c>
      <c r="G4740" s="336">
        <v>43718</v>
      </c>
      <c r="H4740" s="334" t="s">
        <v>6056</v>
      </c>
      <c r="I4740" s="334">
        <v>13681639859</v>
      </c>
      <c r="J4740" s="334" t="s">
        <v>6057</v>
      </c>
      <c r="K4740" s="337"/>
      <c r="L4740" s="338"/>
      <c r="M4740" s="334">
        <v>1367</v>
      </c>
      <c r="N4740" s="362">
        <f t="shared" si="159"/>
        <v>1367</v>
      </c>
      <c r="X4740" s="339"/>
    </row>
    <row r="4741" s="330" customFormat="1" ht="15" customHeight="1" spans="1:24">
      <c r="A4741" s="334"/>
      <c r="B4741" s="348" t="s">
        <v>315</v>
      </c>
      <c r="C4741" s="348" t="s">
        <v>161</v>
      </c>
      <c r="D4741" s="352" t="s">
        <v>162</v>
      </c>
      <c r="E4741" s="336">
        <v>43719</v>
      </c>
      <c r="F4741" s="336" t="s">
        <v>800</v>
      </c>
      <c r="G4741" s="336">
        <v>43718</v>
      </c>
      <c r="H4741" s="334" t="s">
        <v>8027</v>
      </c>
      <c r="I4741" s="334">
        <v>13585992719</v>
      </c>
      <c r="J4741" s="334" t="s">
        <v>11266</v>
      </c>
      <c r="K4741" s="337"/>
      <c r="L4741" s="338"/>
      <c r="M4741" s="334">
        <v>4193</v>
      </c>
      <c r="N4741" s="362">
        <f t="shared" si="159"/>
        <v>4193</v>
      </c>
      <c r="X4741" s="339"/>
    </row>
    <row r="4742" s="330" customFormat="1" ht="15" customHeight="1" spans="1:24">
      <c r="A4742" s="334"/>
      <c r="B4742" s="348" t="s">
        <v>58</v>
      </c>
      <c r="C4742" s="348" t="s">
        <v>347</v>
      </c>
      <c r="D4742" s="349" t="s">
        <v>110</v>
      </c>
      <c r="E4742" s="336">
        <v>43719</v>
      </c>
      <c r="F4742" s="336" t="s">
        <v>800</v>
      </c>
      <c r="G4742" s="336">
        <v>43719</v>
      </c>
      <c r="H4742" s="334" t="s">
        <v>7914</v>
      </c>
      <c r="I4742" s="334">
        <v>18818252461</v>
      </c>
      <c r="J4742" s="334" t="s">
        <v>7915</v>
      </c>
      <c r="K4742" s="337"/>
      <c r="L4742" s="338"/>
      <c r="M4742" s="334">
        <v>2048</v>
      </c>
      <c r="N4742" s="362">
        <f t="shared" si="159"/>
        <v>2048</v>
      </c>
      <c r="X4742" s="339"/>
    </row>
    <row r="4743" s="330" customFormat="1" ht="15" customHeight="1" spans="1:24">
      <c r="A4743" s="334"/>
      <c r="B4743" s="348" t="s">
        <v>405</v>
      </c>
      <c r="C4743" s="348" t="s">
        <v>1234</v>
      </c>
      <c r="D4743" s="352" t="s">
        <v>407</v>
      </c>
      <c r="E4743" s="336">
        <v>43719</v>
      </c>
      <c r="F4743" s="336" t="s">
        <v>800</v>
      </c>
      <c r="G4743" s="336">
        <v>43719</v>
      </c>
      <c r="H4743" s="334" t="s">
        <v>7371</v>
      </c>
      <c r="I4743" s="334">
        <v>1616217170</v>
      </c>
      <c r="J4743" s="334" t="s">
        <v>7372</v>
      </c>
      <c r="K4743" s="337"/>
      <c r="L4743" s="338"/>
      <c r="M4743" s="334">
        <v>6100</v>
      </c>
      <c r="N4743" s="362">
        <f t="shared" si="159"/>
        <v>6100</v>
      </c>
      <c r="X4743" s="339"/>
    </row>
    <row r="4744" s="330" customFormat="1" ht="15" customHeight="1" spans="1:24">
      <c r="A4744" s="334"/>
      <c r="B4744" s="348" t="s">
        <v>169</v>
      </c>
      <c r="C4744" s="348" t="s">
        <v>634</v>
      </c>
      <c r="D4744" s="349" t="s">
        <v>635</v>
      </c>
      <c r="E4744" s="336">
        <v>43719</v>
      </c>
      <c r="F4744" s="336" t="s">
        <v>800</v>
      </c>
      <c r="G4744" s="336">
        <v>43719</v>
      </c>
      <c r="H4744" s="334" t="s">
        <v>5091</v>
      </c>
      <c r="I4744" s="334">
        <v>13501897053</v>
      </c>
      <c r="J4744" s="334" t="s">
        <v>11267</v>
      </c>
      <c r="K4744" s="337"/>
      <c r="L4744" s="338"/>
      <c r="M4744" s="334">
        <v>-1084</v>
      </c>
      <c r="N4744" s="362">
        <f t="shared" si="159"/>
        <v>-1084</v>
      </c>
      <c r="X4744" s="339"/>
    </row>
    <row r="4745" s="330" customFormat="1" ht="15" customHeight="1" spans="1:24">
      <c r="A4745" s="334"/>
      <c r="B4745" s="348" t="s">
        <v>169</v>
      </c>
      <c r="C4745" s="348" t="s">
        <v>634</v>
      </c>
      <c r="D4745" s="334" t="s">
        <v>75</v>
      </c>
      <c r="E4745" s="336">
        <v>43719</v>
      </c>
      <c r="F4745" s="336" t="s">
        <v>800</v>
      </c>
      <c r="G4745" s="336">
        <v>43710</v>
      </c>
      <c r="H4745" s="334" t="s">
        <v>11268</v>
      </c>
      <c r="I4745" s="356">
        <v>13585769868</v>
      </c>
      <c r="J4745" s="348" t="s">
        <v>11269</v>
      </c>
      <c r="K4745" s="337"/>
      <c r="L4745" s="338"/>
      <c r="M4745" s="334">
        <v>15476</v>
      </c>
      <c r="N4745" s="362">
        <f t="shared" si="159"/>
        <v>15476</v>
      </c>
      <c r="X4745" s="339"/>
    </row>
    <row r="4746" s="330" customFormat="1" ht="15" customHeight="1" spans="1:24">
      <c r="A4746" s="334"/>
      <c r="B4746" s="334" t="s">
        <v>185</v>
      </c>
      <c r="C4746" s="334" t="s">
        <v>1204</v>
      </c>
      <c r="D4746" s="334" t="s">
        <v>187</v>
      </c>
      <c r="E4746" s="336">
        <v>43719</v>
      </c>
      <c r="F4746" s="336" t="s">
        <v>800</v>
      </c>
      <c r="G4746" s="336">
        <v>43716</v>
      </c>
      <c r="H4746" s="334" t="s">
        <v>11270</v>
      </c>
      <c r="I4746" s="334">
        <v>13636682546</v>
      </c>
      <c r="J4746" s="348" t="s">
        <v>11271</v>
      </c>
      <c r="K4746" s="337"/>
      <c r="L4746" s="338"/>
      <c r="M4746" s="334">
        <v>24000</v>
      </c>
      <c r="N4746" s="362">
        <f t="shared" si="159"/>
        <v>24000</v>
      </c>
      <c r="X4746" s="339"/>
    </row>
    <row r="4747" s="330" customFormat="1" ht="15" customHeight="1" spans="1:24">
      <c r="A4747" s="334"/>
      <c r="B4747" s="348" t="s">
        <v>185</v>
      </c>
      <c r="C4747" s="334" t="s">
        <v>1620</v>
      </c>
      <c r="D4747" s="349" t="s">
        <v>44</v>
      </c>
      <c r="E4747" s="336">
        <v>43719</v>
      </c>
      <c r="F4747" s="336" t="s">
        <v>800</v>
      </c>
      <c r="G4747" s="336">
        <v>43719</v>
      </c>
      <c r="H4747" s="334" t="s">
        <v>4127</v>
      </c>
      <c r="I4747" s="334">
        <v>13564391173</v>
      </c>
      <c r="J4747" s="334" t="s">
        <v>4128</v>
      </c>
      <c r="K4747" s="337"/>
      <c r="L4747" s="338"/>
      <c r="M4747" s="334">
        <v>1600</v>
      </c>
      <c r="N4747" s="362">
        <f t="shared" si="159"/>
        <v>1600</v>
      </c>
      <c r="X4747" s="339"/>
    </row>
    <row r="4748" s="330" customFormat="1" ht="15" customHeight="1" spans="1:24">
      <c r="A4748" s="334"/>
      <c r="B4748" s="348" t="s">
        <v>137</v>
      </c>
      <c r="C4748" s="348" t="s">
        <v>861</v>
      </c>
      <c r="D4748" s="334" t="s">
        <v>443</v>
      </c>
      <c r="E4748" s="336">
        <v>43720</v>
      </c>
      <c r="F4748" s="336" t="s">
        <v>800</v>
      </c>
      <c r="G4748" s="336">
        <v>43712</v>
      </c>
      <c r="H4748" s="334" t="s">
        <v>6154</v>
      </c>
      <c r="I4748" s="334">
        <v>13564961215</v>
      </c>
      <c r="J4748" s="334" t="s">
        <v>6155</v>
      </c>
      <c r="K4748" s="337"/>
      <c r="L4748" s="338"/>
      <c r="M4748" s="334">
        <v>-400</v>
      </c>
      <c r="N4748" s="362">
        <f t="shared" si="159"/>
        <v>-400</v>
      </c>
      <c r="X4748" s="339"/>
    </row>
    <row r="4749" s="330" customFormat="1" ht="15" customHeight="1" spans="1:24">
      <c r="A4749" s="334"/>
      <c r="B4749" s="348" t="s">
        <v>31</v>
      </c>
      <c r="C4749" s="348" t="s">
        <v>220</v>
      </c>
      <c r="D4749" s="352" t="s">
        <v>221</v>
      </c>
      <c r="E4749" s="336">
        <v>43720</v>
      </c>
      <c r="F4749" s="336" t="s">
        <v>800</v>
      </c>
      <c r="G4749" s="336">
        <v>43709</v>
      </c>
      <c r="H4749" s="334" t="s">
        <v>8452</v>
      </c>
      <c r="I4749" s="334">
        <v>13818978917</v>
      </c>
      <c r="J4749" s="334" t="s">
        <v>11272</v>
      </c>
      <c r="K4749" s="337"/>
      <c r="L4749" s="338"/>
      <c r="M4749" s="334">
        <v>-1</v>
      </c>
      <c r="N4749" s="362">
        <f t="shared" si="159"/>
        <v>-1</v>
      </c>
      <c r="X4749" s="339"/>
    </row>
    <row r="4750" s="330" customFormat="1" ht="15" customHeight="1" spans="1:24">
      <c r="A4750" s="334"/>
      <c r="B4750" s="348" t="s">
        <v>31</v>
      </c>
      <c r="C4750" s="334" t="s">
        <v>3186</v>
      </c>
      <c r="D4750" s="334" t="s">
        <v>33</v>
      </c>
      <c r="E4750" s="336">
        <v>43720</v>
      </c>
      <c r="F4750" s="336" t="s">
        <v>800</v>
      </c>
      <c r="G4750" s="336">
        <v>43719</v>
      </c>
      <c r="H4750" s="334" t="s">
        <v>8736</v>
      </c>
      <c r="I4750" s="334">
        <v>13795275689</v>
      </c>
      <c r="J4750" s="334" t="s">
        <v>11273</v>
      </c>
      <c r="K4750" s="337"/>
      <c r="L4750" s="338"/>
      <c r="M4750" s="334">
        <v>403</v>
      </c>
      <c r="N4750" s="362">
        <f t="shared" si="159"/>
        <v>403</v>
      </c>
      <c r="X4750" s="339"/>
    </row>
    <row r="4751" s="330" customFormat="1" ht="15" customHeight="1" spans="1:24">
      <c r="A4751" s="334"/>
      <c r="B4751" s="348" t="s">
        <v>73</v>
      </c>
      <c r="C4751" s="348" t="s">
        <v>74</v>
      </c>
      <c r="D4751" s="349" t="s">
        <v>132</v>
      </c>
      <c r="E4751" s="336">
        <v>43720</v>
      </c>
      <c r="F4751" s="336" t="s">
        <v>800</v>
      </c>
      <c r="G4751" s="336">
        <v>43717</v>
      </c>
      <c r="H4751" s="334" t="s">
        <v>3918</v>
      </c>
      <c r="I4751" s="334">
        <v>13917333893</v>
      </c>
      <c r="J4751" s="348" t="s">
        <v>11274</v>
      </c>
      <c r="K4751" s="337"/>
      <c r="L4751" s="338"/>
      <c r="M4751" s="334">
        <v>-8672</v>
      </c>
      <c r="N4751" s="362">
        <f t="shared" si="159"/>
        <v>-8672</v>
      </c>
      <c r="X4751" s="339"/>
    </row>
    <row r="4752" s="330" customFormat="1" ht="15" customHeight="1" spans="1:24">
      <c r="A4752" s="334"/>
      <c r="B4752" s="348" t="s">
        <v>147</v>
      </c>
      <c r="C4752" s="348" t="s">
        <v>148</v>
      </c>
      <c r="D4752" s="349" t="s">
        <v>187</v>
      </c>
      <c r="E4752" s="336">
        <v>43720</v>
      </c>
      <c r="F4752" s="336" t="s">
        <v>800</v>
      </c>
      <c r="G4752" s="336">
        <v>43716</v>
      </c>
      <c r="H4752" s="334" t="s">
        <v>7112</v>
      </c>
      <c r="I4752" s="444">
        <v>13621866564</v>
      </c>
      <c r="J4752" s="348" t="s">
        <v>7113</v>
      </c>
      <c r="K4752" s="337"/>
      <c r="L4752" s="338"/>
      <c r="M4752" s="338">
        <v>1204</v>
      </c>
      <c r="N4752" s="362">
        <f t="shared" si="159"/>
        <v>1204</v>
      </c>
      <c r="X4752" s="339"/>
    </row>
    <row r="4753" s="330" customFormat="1" ht="15" customHeight="1" spans="1:24">
      <c r="A4753" s="334"/>
      <c r="B4753" s="348" t="s">
        <v>66</v>
      </c>
      <c r="C4753" s="348" t="s">
        <v>67</v>
      </c>
      <c r="D4753" s="349" t="s">
        <v>68</v>
      </c>
      <c r="E4753" s="336">
        <v>43720</v>
      </c>
      <c r="F4753" s="336" t="s">
        <v>800</v>
      </c>
      <c r="G4753" s="336">
        <v>43720</v>
      </c>
      <c r="H4753" s="334" t="s">
        <v>3372</v>
      </c>
      <c r="I4753" s="334">
        <v>13122697162</v>
      </c>
      <c r="J4753" s="334" t="s">
        <v>11275</v>
      </c>
      <c r="K4753" s="337"/>
      <c r="L4753" s="338"/>
      <c r="M4753" s="334">
        <v>1340</v>
      </c>
      <c r="N4753" s="362">
        <f t="shared" si="159"/>
        <v>1340</v>
      </c>
      <c r="X4753" s="339"/>
    </row>
    <row r="4754" s="330" customFormat="1" ht="15" customHeight="1" spans="1:24">
      <c r="A4754" s="334"/>
      <c r="B4754" s="348" t="s">
        <v>137</v>
      </c>
      <c r="C4754" s="348" t="s">
        <v>480</v>
      </c>
      <c r="D4754" s="349" t="s">
        <v>139</v>
      </c>
      <c r="E4754" s="336">
        <v>43720</v>
      </c>
      <c r="F4754" s="336" t="s">
        <v>800</v>
      </c>
      <c r="G4754" s="336">
        <v>43719</v>
      </c>
      <c r="H4754" s="334" t="s">
        <v>6320</v>
      </c>
      <c r="I4754" s="334">
        <v>18916889883</v>
      </c>
      <c r="J4754" s="334" t="s">
        <v>11276</v>
      </c>
      <c r="K4754" s="337"/>
      <c r="L4754" s="338"/>
      <c r="M4754" s="334">
        <v>2481</v>
      </c>
      <c r="N4754" s="362">
        <f t="shared" si="159"/>
        <v>2481</v>
      </c>
      <c r="X4754" s="339"/>
    </row>
    <row r="4755" s="330" customFormat="1" ht="15" customHeight="1" spans="1:24">
      <c r="A4755" s="334"/>
      <c r="B4755" s="348" t="s">
        <v>31</v>
      </c>
      <c r="C4755" s="348" t="s">
        <v>220</v>
      </c>
      <c r="D4755" s="334" t="s">
        <v>33</v>
      </c>
      <c r="E4755" s="336">
        <v>43720</v>
      </c>
      <c r="F4755" s="336" t="s">
        <v>800</v>
      </c>
      <c r="G4755" s="336">
        <v>43717</v>
      </c>
      <c r="H4755" s="334" t="s">
        <v>10100</v>
      </c>
      <c r="I4755" s="334">
        <v>18616590505</v>
      </c>
      <c r="J4755" s="334" t="s">
        <v>10686</v>
      </c>
      <c r="K4755" s="337"/>
      <c r="L4755" s="338"/>
      <c r="M4755" s="334">
        <v>7748</v>
      </c>
      <c r="N4755" s="362">
        <f t="shared" si="159"/>
        <v>7748</v>
      </c>
      <c r="X4755" s="339"/>
    </row>
    <row r="4756" s="330" customFormat="1" ht="15" customHeight="1" spans="1:24">
      <c r="A4756" s="334"/>
      <c r="B4756" s="348" t="s">
        <v>31</v>
      </c>
      <c r="C4756" s="348" t="s">
        <v>251</v>
      </c>
      <c r="D4756" s="349" t="s">
        <v>33</v>
      </c>
      <c r="E4756" s="336">
        <v>43720</v>
      </c>
      <c r="F4756" s="336" t="s">
        <v>800</v>
      </c>
      <c r="G4756" s="336">
        <v>43673</v>
      </c>
      <c r="H4756" s="334" t="s">
        <v>6501</v>
      </c>
      <c r="I4756" s="334">
        <v>13918033316</v>
      </c>
      <c r="J4756" s="348" t="s">
        <v>6502</v>
      </c>
      <c r="K4756" s="337"/>
      <c r="L4756" s="338"/>
      <c r="M4756" s="334">
        <v>1647</v>
      </c>
      <c r="N4756" s="362">
        <f t="shared" si="159"/>
        <v>1647</v>
      </c>
      <c r="X4756" s="339"/>
    </row>
    <row r="4757" s="330" customFormat="1" ht="15" customHeight="1" spans="1:24">
      <c r="A4757" s="334"/>
      <c r="B4757" s="334" t="s">
        <v>66</v>
      </c>
      <c r="C4757" s="334" t="s">
        <v>119</v>
      </c>
      <c r="D4757" s="334" t="s">
        <v>68</v>
      </c>
      <c r="E4757" s="336">
        <v>43720</v>
      </c>
      <c r="F4757" s="336" t="s">
        <v>800</v>
      </c>
      <c r="G4757" s="336">
        <v>43720</v>
      </c>
      <c r="H4757" s="334" t="s">
        <v>11277</v>
      </c>
      <c r="I4757" s="334">
        <v>1618952938</v>
      </c>
      <c r="J4757" s="334" t="s">
        <v>11278</v>
      </c>
      <c r="K4757" s="337"/>
      <c r="L4757" s="338"/>
      <c r="M4757" s="334">
        <f>2095</f>
        <v>2095</v>
      </c>
      <c r="N4757" s="362">
        <f t="shared" si="159"/>
        <v>2095</v>
      </c>
      <c r="X4757" s="339"/>
    </row>
    <row r="4758" s="330" customFormat="1" ht="15" customHeight="1" spans="1:24">
      <c r="A4758" s="334"/>
      <c r="B4758" s="334" t="s">
        <v>66</v>
      </c>
      <c r="C4758" s="334" t="s">
        <v>505</v>
      </c>
      <c r="D4758" s="334" t="s">
        <v>68</v>
      </c>
      <c r="E4758" s="336">
        <v>43720</v>
      </c>
      <c r="F4758" s="336" t="s">
        <v>800</v>
      </c>
      <c r="G4758" s="336">
        <v>43720</v>
      </c>
      <c r="H4758" s="334" t="s">
        <v>4619</v>
      </c>
      <c r="I4758" s="334">
        <v>18621373816</v>
      </c>
      <c r="J4758" s="334" t="s">
        <v>11279</v>
      </c>
      <c r="K4758" s="337"/>
      <c r="L4758" s="338"/>
      <c r="M4758" s="334">
        <v>605</v>
      </c>
      <c r="N4758" s="362">
        <f t="shared" si="159"/>
        <v>605</v>
      </c>
      <c r="X4758" s="339"/>
    </row>
    <row r="4759" s="330" customFormat="1" ht="15" customHeight="1" spans="1:24">
      <c r="A4759" s="334"/>
      <c r="B4759" s="334" t="s">
        <v>315</v>
      </c>
      <c r="C4759" s="334" t="s">
        <v>275</v>
      </c>
      <c r="D4759" s="334" t="s">
        <v>717</v>
      </c>
      <c r="E4759" s="336">
        <v>43721</v>
      </c>
      <c r="F4759" s="336" t="s">
        <v>800</v>
      </c>
      <c r="G4759" s="336">
        <v>43720</v>
      </c>
      <c r="H4759" s="334" t="s">
        <v>529</v>
      </c>
      <c r="I4759" s="334">
        <v>18621532967</v>
      </c>
      <c r="J4759" s="334" t="s">
        <v>11280</v>
      </c>
      <c r="K4759" s="337"/>
      <c r="L4759" s="338"/>
      <c r="M4759" s="334">
        <v>1024</v>
      </c>
      <c r="N4759" s="362">
        <f t="shared" si="159"/>
        <v>1024</v>
      </c>
      <c r="X4759" s="339"/>
    </row>
    <row r="4760" s="330" customFormat="1" ht="15" customHeight="1" spans="1:24">
      <c r="A4760" s="334"/>
      <c r="B4760" s="334" t="s">
        <v>354</v>
      </c>
      <c r="C4760" s="334" t="s">
        <v>355</v>
      </c>
      <c r="D4760" s="349" t="s">
        <v>162</v>
      </c>
      <c r="E4760" s="336">
        <v>43721</v>
      </c>
      <c r="F4760" s="336" t="s">
        <v>800</v>
      </c>
      <c r="G4760" s="336">
        <v>43720</v>
      </c>
      <c r="H4760" s="334" t="s">
        <v>11281</v>
      </c>
      <c r="I4760" s="334">
        <v>15921963177</v>
      </c>
      <c r="J4760" s="334" t="s">
        <v>9783</v>
      </c>
      <c r="K4760" s="337"/>
      <c r="L4760" s="338"/>
      <c r="M4760" s="334">
        <f>368+2199</f>
        <v>2567</v>
      </c>
      <c r="N4760" s="362">
        <f t="shared" si="159"/>
        <v>2567</v>
      </c>
      <c r="X4760" s="339"/>
    </row>
    <row r="4761" s="330" customFormat="1" ht="15" customHeight="1" spans="1:24">
      <c r="A4761" s="334"/>
      <c r="B4761" s="334" t="s">
        <v>354</v>
      </c>
      <c r="C4761" s="334" t="s">
        <v>355</v>
      </c>
      <c r="D4761" s="334" t="s">
        <v>182</v>
      </c>
      <c r="E4761" s="336">
        <v>43721</v>
      </c>
      <c r="F4761" s="336" t="s">
        <v>800</v>
      </c>
      <c r="G4761" s="336">
        <v>43720</v>
      </c>
      <c r="H4761" s="334" t="s">
        <v>5861</v>
      </c>
      <c r="I4761" s="334">
        <v>18021037955</v>
      </c>
      <c r="J4761" s="348" t="s">
        <v>11282</v>
      </c>
      <c r="K4761" s="337"/>
      <c r="L4761" s="338"/>
      <c r="M4761" s="334">
        <f>13282+1104-8291</f>
        <v>6095</v>
      </c>
      <c r="N4761" s="362">
        <f t="shared" si="159"/>
        <v>6095</v>
      </c>
      <c r="X4761" s="339"/>
    </row>
    <row r="4762" s="330" customFormat="1" ht="15" customHeight="1" spans="1:24">
      <c r="A4762" s="334"/>
      <c r="B4762" s="348" t="s">
        <v>31</v>
      </c>
      <c r="C4762" s="348" t="s">
        <v>220</v>
      </c>
      <c r="D4762" s="349" t="s">
        <v>221</v>
      </c>
      <c r="E4762" s="336">
        <v>43721</v>
      </c>
      <c r="F4762" s="336" t="s">
        <v>800</v>
      </c>
      <c r="G4762" s="336">
        <v>43721</v>
      </c>
      <c r="H4762" s="334" t="s">
        <v>4966</v>
      </c>
      <c r="I4762" s="334">
        <v>13761595677</v>
      </c>
      <c r="J4762" s="334" t="s">
        <v>11283</v>
      </c>
      <c r="K4762" s="337"/>
      <c r="L4762" s="338"/>
      <c r="M4762" s="334">
        <v>1408</v>
      </c>
      <c r="N4762" s="362">
        <f t="shared" si="159"/>
        <v>1408</v>
      </c>
      <c r="X4762" s="339"/>
    </row>
    <row r="4763" s="330" customFormat="1" ht="15" customHeight="1" spans="1:24">
      <c r="A4763" s="334"/>
      <c r="B4763" s="348" t="s">
        <v>130</v>
      </c>
      <c r="C4763" s="348" t="s">
        <v>181</v>
      </c>
      <c r="D4763" s="349" t="s">
        <v>717</v>
      </c>
      <c r="E4763" s="336">
        <v>43721</v>
      </c>
      <c r="F4763" s="336" t="s">
        <v>800</v>
      </c>
      <c r="G4763" s="336">
        <v>43720</v>
      </c>
      <c r="H4763" s="334" t="s">
        <v>1221</v>
      </c>
      <c r="I4763" s="334">
        <v>13482712925</v>
      </c>
      <c r="J4763" s="334" t="s">
        <v>11284</v>
      </c>
      <c r="K4763" s="337"/>
      <c r="L4763" s="338"/>
      <c r="M4763" s="334">
        <v>234</v>
      </c>
      <c r="N4763" s="362">
        <f t="shared" si="159"/>
        <v>234</v>
      </c>
      <c r="X4763" s="339"/>
    </row>
    <row r="4764" s="330" customFormat="1" ht="15" customHeight="1" spans="1:24">
      <c r="A4764" s="334"/>
      <c r="B4764" s="348" t="s">
        <v>137</v>
      </c>
      <c r="C4764" s="348" t="s">
        <v>406</v>
      </c>
      <c r="D4764" s="349" t="s">
        <v>139</v>
      </c>
      <c r="E4764" s="336">
        <v>43721</v>
      </c>
      <c r="F4764" s="336" t="s">
        <v>800</v>
      </c>
      <c r="G4764" s="336">
        <v>43721</v>
      </c>
      <c r="H4764" s="334" t="s">
        <v>4340</v>
      </c>
      <c r="I4764" s="334">
        <v>18816588360</v>
      </c>
      <c r="J4764" s="334" t="s">
        <v>11285</v>
      </c>
      <c r="K4764" s="337"/>
      <c r="L4764" s="338"/>
      <c r="M4764" s="334">
        <v>223</v>
      </c>
      <c r="N4764" s="362">
        <f t="shared" si="159"/>
        <v>223</v>
      </c>
      <c r="X4764" s="339"/>
    </row>
    <row r="4765" s="330" customFormat="1" ht="15" customHeight="1" spans="1:24">
      <c r="A4765" s="334"/>
      <c r="B4765" s="334" t="s">
        <v>185</v>
      </c>
      <c r="C4765" s="334" t="s">
        <v>886</v>
      </c>
      <c r="D4765" s="334" t="s">
        <v>187</v>
      </c>
      <c r="E4765" s="336">
        <v>43721</v>
      </c>
      <c r="F4765" s="336" t="s">
        <v>800</v>
      </c>
      <c r="G4765" s="336">
        <v>43721</v>
      </c>
      <c r="H4765" s="334" t="s">
        <v>11286</v>
      </c>
      <c r="I4765" s="356">
        <v>13636395961</v>
      </c>
      <c r="J4765" s="348" t="s">
        <v>11287</v>
      </c>
      <c r="K4765" s="337"/>
      <c r="L4765" s="338"/>
      <c r="M4765" s="334">
        <f>14900-10000</f>
        <v>4900</v>
      </c>
      <c r="N4765" s="362">
        <f t="shared" si="159"/>
        <v>4900</v>
      </c>
      <c r="X4765" s="339"/>
    </row>
    <row r="4766" s="330" customFormat="1" ht="15" customHeight="1" spans="1:24">
      <c r="A4766" s="334"/>
      <c r="B4766" s="334" t="s">
        <v>87</v>
      </c>
      <c r="C4766" s="334" t="s">
        <v>466</v>
      </c>
      <c r="D4766" s="334" t="s">
        <v>89</v>
      </c>
      <c r="E4766" s="336">
        <v>43721</v>
      </c>
      <c r="F4766" s="336" t="s">
        <v>800</v>
      </c>
      <c r="G4766" s="336">
        <v>43721</v>
      </c>
      <c r="H4766" s="334" t="s">
        <v>6529</v>
      </c>
      <c r="I4766" s="334">
        <v>19921058469</v>
      </c>
      <c r="J4766" s="348" t="s">
        <v>11288</v>
      </c>
      <c r="K4766" s="337"/>
      <c r="L4766" s="338"/>
      <c r="M4766" s="334">
        <f>39465-30000</f>
        <v>9465</v>
      </c>
      <c r="N4766" s="362">
        <f t="shared" si="159"/>
        <v>9465</v>
      </c>
      <c r="X4766" s="339"/>
    </row>
    <row r="4767" s="330" customFormat="1" ht="15" customHeight="1" spans="1:24">
      <c r="A4767" s="334"/>
      <c r="B4767" s="348" t="s">
        <v>354</v>
      </c>
      <c r="C4767" s="348" t="s">
        <v>355</v>
      </c>
      <c r="D4767" s="349" t="s">
        <v>343</v>
      </c>
      <c r="E4767" s="336">
        <v>43721</v>
      </c>
      <c r="F4767" s="336" t="s">
        <v>800</v>
      </c>
      <c r="G4767" s="336">
        <v>43720</v>
      </c>
      <c r="H4767" s="334" t="s">
        <v>5875</v>
      </c>
      <c r="I4767" s="356">
        <v>13817303502</v>
      </c>
      <c r="J4767" s="348" t="s">
        <v>11289</v>
      </c>
      <c r="K4767" s="337"/>
      <c r="L4767" s="338"/>
      <c r="M4767" s="334">
        <f>5057+536-804</f>
        <v>4789</v>
      </c>
      <c r="N4767" s="362">
        <f t="shared" si="159"/>
        <v>4789</v>
      </c>
      <c r="X4767" s="339"/>
    </row>
    <row r="4768" s="330" customFormat="1" ht="15" customHeight="1" spans="1:24">
      <c r="A4768" s="334"/>
      <c r="B4768" s="334" t="s">
        <v>137</v>
      </c>
      <c r="C4768" s="334" t="s">
        <v>411</v>
      </c>
      <c r="D4768" s="334" t="s">
        <v>427</v>
      </c>
      <c r="E4768" s="336">
        <v>43721</v>
      </c>
      <c r="F4768" s="336" t="s">
        <v>800</v>
      </c>
      <c r="G4768" s="336">
        <v>43721</v>
      </c>
      <c r="H4768" s="334" t="s">
        <v>4510</v>
      </c>
      <c r="I4768" s="334">
        <v>18101850159</v>
      </c>
      <c r="J4768" s="334" t="s">
        <v>11290</v>
      </c>
      <c r="K4768" s="337"/>
      <c r="L4768" s="338"/>
      <c r="M4768" s="334">
        <f>16937-6400</f>
        <v>10537</v>
      </c>
      <c r="N4768" s="362">
        <f t="shared" si="159"/>
        <v>10537</v>
      </c>
      <c r="X4768" s="339"/>
    </row>
    <row r="4769" s="330" customFormat="1" ht="15" customHeight="1" spans="1:24">
      <c r="A4769" s="348"/>
      <c r="B4769" s="334" t="s">
        <v>315</v>
      </c>
      <c r="C4769" s="334" t="s">
        <v>722</v>
      </c>
      <c r="D4769" s="334" t="s">
        <v>717</v>
      </c>
      <c r="E4769" s="336">
        <v>43722</v>
      </c>
      <c r="F4769" s="336">
        <v>43721</v>
      </c>
      <c r="G4769" s="336">
        <v>43721</v>
      </c>
      <c r="H4769" s="334" t="s">
        <v>11291</v>
      </c>
      <c r="I4769" s="334">
        <v>13956351072</v>
      </c>
      <c r="J4769" s="334" t="s">
        <v>11292</v>
      </c>
      <c r="K4769" s="470">
        <v>38695</v>
      </c>
      <c r="L4769" s="334">
        <v>38695</v>
      </c>
      <c r="M4769" s="338"/>
      <c r="N4769" s="362">
        <f t="shared" ref="N4769:N4800" si="160">L4769+M4769</f>
        <v>38695</v>
      </c>
      <c r="X4769" s="339"/>
    </row>
    <row r="4770" s="330" customFormat="1" ht="15" customHeight="1" spans="1:24">
      <c r="A4770" s="550" t="s">
        <v>11293</v>
      </c>
      <c r="B4770" s="334" t="s">
        <v>31</v>
      </c>
      <c r="C4770" s="334" t="s">
        <v>251</v>
      </c>
      <c r="D4770" s="334" t="s">
        <v>33</v>
      </c>
      <c r="E4770" s="336">
        <v>43725</v>
      </c>
      <c r="F4770" s="336">
        <v>43721</v>
      </c>
      <c r="G4770" s="336">
        <v>43723</v>
      </c>
      <c r="H4770" s="353" t="s">
        <v>11294</v>
      </c>
      <c r="I4770" s="426">
        <v>18918939680</v>
      </c>
      <c r="J4770" s="367" t="s">
        <v>11295</v>
      </c>
      <c r="K4770" s="470">
        <v>1000</v>
      </c>
      <c r="L4770" s="334">
        <f>11700-1104</f>
        <v>10596</v>
      </c>
      <c r="M4770" s="334">
        <v>1104</v>
      </c>
      <c r="N4770" s="362">
        <f t="shared" si="160"/>
        <v>11700</v>
      </c>
      <c r="X4770" s="339"/>
    </row>
    <row r="4771" s="330" customFormat="1" ht="15" customHeight="1" spans="1:24">
      <c r="A4771" s="550" t="s">
        <v>11296</v>
      </c>
      <c r="B4771" s="334" t="s">
        <v>31</v>
      </c>
      <c r="C4771" s="334" t="s">
        <v>251</v>
      </c>
      <c r="D4771" s="335" t="s">
        <v>33</v>
      </c>
      <c r="E4771" s="336">
        <v>43722</v>
      </c>
      <c r="F4771" s="336">
        <v>43721</v>
      </c>
      <c r="G4771" s="399"/>
      <c r="H4771" s="334" t="s">
        <v>8674</v>
      </c>
      <c r="I4771" s="426">
        <v>13524787623</v>
      </c>
      <c r="J4771" s="367" t="s">
        <v>11297</v>
      </c>
      <c r="K4771" s="470">
        <v>2000</v>
      </c>
      <c r="L4771" s="338"/>
      <c r="M4771" s="338"/>
      <c r="N4771" s="362">
        <f t="shared" si="160"/>
        <v>0</v>
      </c>
      <c r="X4771" s="339"/>
    </row>
    <row r="4772" s="330" customFormat="1" ht="15" customHeight="1" spans="1:24">
      <c r="A4772" s="348"/>
      <c r="B4772" s="334" t="s">
        <v>315</v>
      </c>
      <c r="C4772" s="334" t="s">
        <v>722</v>
      </c>
      <c r="D4772" s="335" t="s">
        <v>132</v>
      </c>
      <c r="E4772" s="336">
        <v>43738</v>
      </c>
      <c r="F4772" s="336">
        <v>43721</v>
      </c>
      <c r="G4772" s="336">
        <v>43738</v>
      </c>
      <c r="H4772" s="334" t="s">
        <v>11298</v>
      </c>
      <c r="I4772" s="426" t="s">
        <v>11299</v>
      </c>
      <c r="J4772" s="367" t="s">
        <v>11300</v>
      </c>
      <c r="K4772" s="470">
        <v>20000</v>
      </c>
      <c r="L4772" s="334">
        <v>20000</v>
      </c>
      <c r="M4772" s="338"/>
      <c r="N4772" s="362">
        <f t="shared" si="160"/>
        <v>20000</v>
      </c>
      <c r="X4772" s="339"/>
    </row>
    <row r="4773" s="330" customFormat="1" ht="15" customHeight="1" spans="1:24">
      <c r="A4773" s="550" t="s">
        <v>11301</v>
      </c>
      <c r="B4773" s="334" t="s">
        <v>58</v>
      </c>
      <c r="C4773" s="334" t="s">
        <v>59</v>
      </c>
      <c r="D4773" s="335" t="s">
        <v>271</v>
      </c>
      <c r="E4773" s="336">
        <v>43722</v>
      </c>
      <c r="F4773" s="336">
        <v>43721</v>
      </c>
      <c r="G4773" s="399"/>
      <c r="H4773" s="334" t="s">
        <v>11302</v>
      </c>
      <c r="I4773" s="426">
        <v>13564951833</v>
      </c>
      <c r="J4773" s="367" t="s">
        <v>11303</v>
      </c>
      <c r="K4773" s="470">
        <v>5000</v>
      </c>
      <c r="L4773" s="338"/>
      <c r="M4773" s="338"/>
      <c r="N4773" s="362">
        <f t="shared" si="160"/>
        <v>0</v>
      </c>
      <c r="Q4773" s="366" t="s">
        <v>52</v>
      </c>
      <c r="W4773" s="471">
        <v>43829</v>
      </c>
      <c r="X4773" s="339"/>
    </row>
    <row r="4774" s="330" customFormat="1" ht="15" customHeight="1" spans="1:24">
      <c r="A4774" s="348"/>
      <c r="B4774" s="334" t="s">
        <v>58</v>
      </c>
      <c r="C4774" s="334" t="s">
        <v>342</v>
      </c>
      <c r="D4774" s="335" t="s">
        <v>343</v>
      </c>
      <c r="E4774" s="336">
        <v>43729</v>
      </c>
      <c r="F4774" s="336">
        <v>43721</v>
      </c>
      <c r="G4774" s="336">
        <v>43729</v>
      </c>
      <c r="H4774" s="334" t="s">
        <v>11304</v>
      </c>
      <c r="I4774" s="426">
        <v>13901935793</v>
      </c>
      <c r="J4774" s="367" t="s">
        <v>11305</v>
      </c>
      <c r="K4774" s="470">
        <v>10000</v>
      </c>
      <c r="L4774" s="334">
        <v>13974</v>
      </c>
      <c r="M4774" s="338"/>
      <c r="N4774" s="362">
        <f t="shared" si="160"/>
        <v>13974</v>
      </c>
      <c r="X4774" s="339"/>
    </row>
    <row r="4775" s="330" customFormat="1" ht="15" customHeight="1" spans="1:24">
      <c r="A4775" s="348"/>
      <c r="B4775" s="334" t="s">
        <v>315</v>
      </c>
      <c r="C4775" s="334" t="s">
        <v>230</v>
      </c>
      <c r="D4775" s="335" t="s">
        <v>182</v>
      </c>
      <c r="E4775" s="336">
        <v>43730</v>
      </c>
      <c r="F4775" s="336">
        <v>43721</v>
      </c>
      <c r="G4775" s="336">
        <v>43729</v>
      </c>
      <c r="H4775" s="334" t="s">
        <v>11306</v>
      </c>
      <c r="I4775" s="426">
        <v>13701627990</v>
      </c>
      <c r="J4775" s="367" t="s">
        <v>11307</v>
      </c>
      <c r="K4775" s="470">
        <v>1000</v>
      </c>
      <c r="L4775" s="334">
        <f>5660-736</f>
        <v>4924</v>
      </c>
      <c r="M4775" s="334">
        <v>736</v>
      </c>
      <c r="N4775" s="362">
        <f t="shared" si="160"/>
        <v>5660</v>
      </c>
      <c r="X4775" s="339"/>
    </row>
    <row r="4776" s="330" customFormat="1" ht="15" customHeight="1" spans="1:24">
      <c r="A4776" s="348"/>
      <c r="B4776" s="334" t="s">
        <v>315</v>
      </c>
      <c r="C4776" s="334" t="s">
        <v>230</v>
      </c>
      <c r="D4776" s="335" t="s">
        <v>182</v>
      </c>
      <c r="E4776" s="336">
        <v>43732</v>
      </c>
      <c r="F4776" s="336">
        <v>43720</v>
      </c>
      <c r="G4776" s="336">
        <v>43730</v>
      </c>
      <c r="H4776" s="334" t="s">
        <v>11308</v>
      </c>
      <c r="I4776" s="426">
        <v>13166136037</v>
      </c>
      <c r="J4776" s="367" t="s">
        <v>11309</v>
      </c>
      <c r="K4776" s="470">
        <v>1000</v>
      </c>
      <c r="L4776" s="334">
        <v>28067</v>
      </c>
      <c r="M4776" s="338"/>
      <c r="N4776" s="362">
        <f t="shared" si="160"/>
        <v>28067</v>
      </c>
      <c r="X4776" s="339"/>
    </row>
    <row r="4777" s="330" customFormat="1" ht="15" customHeight="1" spans="1:24">
      <c r="A4777" s="550" t="s">
        <v>11310</v>
      </c>
      <c r="B4777" s="334" t="s">
        <v>335</v>
      </c>
      <c r="C4777" s="334" t="s">
        <v>399</v>
      </c>
      <c r="D4777" s="335" t="s">
        <v>337</v>
      </c>
      <c r="E4777" s="336">
        <v>43752</v>
      </c>
      <c r="F4777" s="336">
        <v>43722</v>
      </c>
      <c r="G4777" s="336">
        <v>43751</v>
      </c>
      <c r="H4777" s="334" t="s">
        <v>11311</v>
      </c>
      <c r="I4777" s="426">
        <v>13661788510</v>
      </c>
      <c r="J4777" s="367" t="s">
        <v>11312</v>
      </c>
      <c r="K4777" s="470">
        <v>6000</v>
      </c>
      <c r="L4777" s="334">
        <v>22880</v>
      </c>
      <c r="M4777" s="338"/>
      <c r="N4777" s="362">
        <f t="shared" si="160"/>
        <v>22880</v>
      </c>
      <c r="X4777" s="339"/>
    </row>
    <row r="4778" s="330" customFormat="1" ht="15" customHeight="1" spans="1:24">
      <c r="A4778" s="348"/>
      <c r="B4778" s="334" t="s">
        <v>315</v>
      </c>
      <c r="C4778" s="334" t="s">
        <v>230</v>
      </c>
      <c r="D4778" s="334" t="s">
        <v>1431</v>
      </c>
      <c r="E4778" s="336">
        <v>43795</v>
      </c>
      <c r="F4778" s="336">
        <v>43721</v>
      </c>
      <c r="G4778" s="336">
        <v>43795</v>
      </c>
      <c r="H4778" s="334" t="s">
        <v>11313</v>
      </c>
      <c r="I4778" s="426">
        <v>18501732801</v>
      </c>
      <c r="J4778" s="367" t="s">
        <v>11314</v>
      </c>
      <c r="K4778" s="470">
        <v>1000</v>
      </c>
      <c r="L4778" s="334">
        <v>8991</v>
      </c>
      <c r="M4778" s="338"/>
      <c r="N4778" s="362">
        <f t="shared" si="160"/>
        <v>8991</v>
      </c>
      <c r="X4778" s="339"/>
    </row>
    <row r="4779" s="330" customFormat="1" ht="15" customHeight="1" spans="1:24">
      <c r="A4779" s="550" t="s">
        <v>7530</v>
      </c>
      <c r="B4779" s="334" t="s">
        <v>185</v>
      </c>
      <c r="C4779" s="334" t="s">
        <v>1204</v>
      </c>
      <c r="D4779" s="335" t="s">
        <v>44</v>
      </c>
      <c r="E4779" s="336">
        <v>43728</v>
      </c>
      <c r="F4779" s="336">
        <v>43721</v>
      </c>
      <c r="G4779" s="336">
        <v>43728</v>
      </c>
      <c r="H4779" s="334" t="s">
        <v>11315</v>
      </c>
      <c r="I4779" s="426">
        <v>15901663652</v>
      </c>
      <c r="J4779" s="367" t="s">
        <v>11316</v>
      </c>
      <c r="K4779" s="470">
        <v>1000</v>
      </c>
      <c r="L4779" s="334">
        <v>14678</v>
      </c>
      <c r="M4779" s="338"/>
      <c r="N4779" s="362">
        <f t="shared" si="160"/>
        <v>14678</v>
      </c>
      <c r="X4779" s="339"/>
    </row>
    <row r="4780" s="330" customFormat="1" ht="15" customHeight="1" spans="1:24">
      <c r="A4780" s="550" t="s">
        <v>11317</v>
      </c>
      <c r="B4780" s="334" t="s">
        <v>31</v>
      </c>
      <c r="C4780" s="334" t="s">
        <v>3186</v>
      </c>
      <c r="D4780" s="334" t="s">
        <v>33</v>
      </c>
      <c r="E4780" s="336">
        <v>43789</v>
      </c>
      <c r="F4780" s="336">
        <v>43722</v>
      </c>
      <c r="G4780" s="336">
        <v>43774</v>
      </c>
      <c r="H4780" s="334" t="s">
        <v>11318</v>
      </c>
      <c r="I4780" s="426">
        <v>13816595688</v>
      </c>
      <c r="J4780" s="367" t="s">
        <v>11319</v>
      </c>
      <c r="K4780" s="470">
        <v>1000</v>
      </c>
      <c r="L4780" s="334">
        <v>31732</v>
      </c>
      <c r="M4780" s="338"/>
      <c r="N4780" s="362">
        <f t="shared" si="160"/>
        <v>31732</v>
      </c>
      <c r="X4780" s="339"/>
    </row>
    <row r="4781" s="330" customFormat="1" ht="15" customHeight="1" spans="1:24">
      <c r="A4781" s="550" t="s">
        <v>425</v>
      </c>
      <c r="B4781" s="334" t="s">
        <v>31</v>
      </c>
      <c r="C4781" s="334" t="s">
        <v>3186</v>
      </c>
      <c r="D4781" s="334" t="s">
        <v>33</v>
      </c>
      <c r="E4781" s="336">
        <v>43722</v>
      </c>
      <c r="F4781" s="336">
        <v>43721</v>
      </c>
      <c r="G4781" s="336">
        <v>43720</v>
      </c>
      <c r="H4781" s="334" t="s">
        <v>11320</v>
      </c>
      <c r="I4781" s="426">
        <v>13916569039</v>
      </c>
      <c r="J4781" s="367" t="s">
        <v>11321</v>
      </c>
      <c r="K4781" s="470">
        <v>1867</v>
      </c>
      <c r="L4781" s="334">
        <v>1867</v>
      </c>
      <c r="M4781" s="338"/>
      <c r="N4781" s="362">
        <f t="shared" si="160"/>
        <v>1867</v>
      </c>
      <c r="X4781" s="339"/>
    </row>
    <row r="4782" s="330" customFormat="1" ht="15" customHeight="1" spans="1:24">
      <c r="A4782" s="550" t="s">
        <v>11322</v>
      </c>
      <c r="B4782" s="334" t="s">
        <v>31</v>
      </c>
      <c r="C4782" s="334" t="s">
        <v>3186</v>
      </c>
      <c r="D4782" s="334" t="s">
        <v>954</v>
      </c>
      <c r="E4782" s="336">
        <v>43733</v>
      </c>
      <c r="F4782" s="336">
        <v>43721</v>
      </c>
      <c r="G4782" s="336">
        <v>43731</v>
      </c>
      <c r="H4782" s="334" t="s">
        <v>11323</v>
      </c>
      <c r="I4782" s="426">
        <v>15618765269</v>
      </c>
      <c r="J4782" s="367" t="s">
        <v>11324</v>
      </c>
      <c r="K4782" s="470">
        <v>1723</v>
      </c>
      <c r="L4782" s="334">
        <v>1723</v>
      </c>
      <c r="M4782" s="334">
        <v>180</v>
      </c>
      <c r="N4782" s="362">
        <f t="shared" si="160"/>
        <v>1903</v>
      </c>
      <c r="X4782" s="339"/>
    </row>
    <row r="4783" s="330" customFormat="1" ht="15" customHeight="1" spans="1:24">
      <c r="A4783" s="550" t="s">
        <v>9549</v>
      </c>
      <c r="B4783" s="334" t="s">
        <v>153</v>
      </c>
      <c r="C4783" s="334" t="s">
        <v>302</v>
      </c>
      <c r="D4783" s="334" t="s">
        <v>155</v>
      </c>
      <c r="E4783" s="336">
        <v>43725</v>
      </c>
      <c r="F4783" s="336">
        <v>43721</v>
      </c>
      <c r="G4783" s="336">
        <v>43724</v>
      </c>
      <c r="H4783" s="334" t="s">
        <v>11325</v>
      </c>
      <c r="I4783" s="426">
        <v>13331993835</v>
      </c>
      <c r="J4783" s="367" t="s">
        <v>11326</v>
      </c>
      <c r="K4783" s="470">
        <v>2199</v>
      </c>
      <c r="L4783" s="334">
        <v>2199</v>
      </c>
      <c r="M4783" s="338"/>
      <c r="N4783" s="362">
        <f t="shared" si="160"/>
        <v>2199</v>
      </c>
      <c r="X4783" s="339"/>
    </row>
    <row r="4784" s="330" customFormat="1" ht="15" customHeight="1" spans="1:24">
      <c r="A4784" s="550" t="s">
        <v>11327</v>
      </c>
      <c r="B4784" s="334" t="s">
        <v>354</v>
      </c>
      <c r="C4784" s="334" t="s">
        <v>355</v>
      </c>
      <c r="D4784" s="334" t="s">
        <v>237</v>
      </c>
      <c r="E4784" s="336">
        <v>43765</v>
      </c>
      <c r="F4784" s="336">
        <v>43719</v>
      </c>
      <c r="G4784" s="336">
        <v>43761</v>
      </c>
      <c r="H4784" s="334" t="s">
        <v>11328</v>
      </c>
      <c r="I4784" s="426">
        <v>13636655373</v>
      </c>
      <c r="J4784" s="367" t="s">
        <v>11329</v>
      </c>
      <c r="K4784" s="470">
        <v>5700</v>
      </c>
      <c r="L4784" s="334">
        <v>10383</v>
      </c>
      <c r="M4784" s="338"/>
      <c r="N4784" s="362">
        <f t="shared" si="160"/>
        <v>10383</v>
      </c>
      <c r="X4784" s="339"/>
    </row>
    <row r="4785" s="330" customFormat="1" ht="15" customHeight="1" spans="1:24">
      <c r="A4785" s="550" t="s">
        <v>11330</v>
      </c>
      <c r="B4785" s="334" t="s">
        <v>137</v>
      </c>
      <c r="C4785" s="334" t="s">
        <v>2705</v>
      </c>
      <c r="D4785" s="334" t="s">
        <v>139</v>
      </c>
      <c r="E4785" s="336">
        <v>43728</v>
      </c>
      <c r="F4785" s="336">
        <v>43722</v>
      </c>
      <c r="G4785" s="336">
        <v>43726</v>
      </c>
      <c r="H4785" s="334" t="s">
        <v>11331</v>
      </c>
      <c r="I4785" s="426">
        <v>13817958168</v>
      </c>
      <c r="J4785" s="367" t="s">
        <v>11332</v>
      </c>
      <c r="K4785" s="470">
        <v>1000</v>
      </c>
      <c r="L4785" s="334">
        <v>20868</v>
      </c>
      <c r="M4785" s="338"/>
      <c r="N4785" s="362">
        <f t="shared" si="160"/>
        <v>20868</v>
      </c>
      <c r="X4785" s="339"/>
    </row>
    <row r="4786" s="330" customFormat="1" ht="15" customHeight="1" spans="1:24">
      <c r="A4786" s="550" t="s">
        <v>11333</v>
      </c>
      <c r="B4786" s="334" t="s">
        <v>335</v>
      </c>
      <c r="C4786" s="334" t="s">
        <v>399</v>
      </c>
      <c r="D4786" s="334" t="s">
        <v>635</v>
      </c>
      <c r="E4786" s="336">
        <v>43734</v>
      </c>
      <c r="F4786" s="336">
        <v>43721</v>
      </c>
      <c r="G4786" s="336">
        <v>43731</v>
      </c>
      <c r="H4786" s="334" t="s">
        <v>11334</v>
      </c>
      <c r="I4786" s="426">
        <v>13918588218</v>
      </c>
      <c r="J4786" s="367" t="s">
        <v>11335</v>
      </c>
      <c r="K4786" s="470">
        <v>8000</v>
      </c>
      <c r="L4786" s="334">
        <f>21176-1104</f>
        <v>20072</v>
      </c>
      <c r="M4786" s="334">
        <v>1104</v>
      </c>
      <c r="N4786" s="362">
        <f t="shared" si="160"/>
        <v>21176</v>
      </c>
      <c r="X4786" s="339"/>
    </row>
    <row r="4787" s="330" customFormat="1" ht="15" customHeight="1" spans="1:24">
      <c r="A4787" s="348"/>
      <c r="B4787" s="334" t="s">
        <v>2625</v>
      </c>
      <c r="C4787" s="334" t="s">
        <v>2626</v>
      </c>
      <c r="D4787" s="334" t="s">
        <v>44</v>
      </c>
      <c r="E4787" s="336">
        <v>43755</v>
      </c>
      <c r="F4787" s="336">
        <v>43721</v>
      </c>
      <c r="G4787" s="336">
        <v>43755</v>
      </c>
      <c r="H4787" s="334" t="s">
        <v>11336</v>
      </c>
      <c r="I4787" s="426">
        <v>13918421421</v>
      </c>
      <c r="J4787" s="367" t="s">
        <v>11337</v>
      </c>
      <c r="K4787" s="470">
        <v>5000</v>
      </c>
      <c r="L4787" s="334">
        <v>9135</v>
      </c>
      <c r="M4787" s="338"/>
      <c r="N4787" s="362">
        <f t="shared" si="160"/>
        <v>9135</v>
      </c>
      <c r="X4787" s="339"/>
    </row>
    <row r="4788" s="330" customFormat="1" ht="15" customHeight="1" spans="1:24">
      <c r="A4788" s="348"/>
      <c r="B4788" s="334" t="s">
        <v>153</v>
      </c>
      <c r="C4788" s="334" t="s">
        <v>302</v>
      </c>
      <c r="D4788" s="335" t="s">
        <v>155</v>
      </c>
      <c r="E4788" s="336">
        <v>43737</v>
      </c>
      <c r="F4788" s="336">
        <v>43721</v>
      </c>
      <c r="G4788" s="336">
        <v>43737</v>
      </c>
      <c r="H4788" s="334" t="s">
        <v>11338</v>
      </c>
      <c r="I4788" s="426">
        <v>13818618127</v>
      </c>
      <c r="J4788" s="367" t="s">
        <v>11339</v>
      </c>
      <c r="K4788" s="470">
        <v>19400</v>
      </c>
      <c r="L4788" s="334">
        <v>19595</v>
      </c>
      <c r="M4788" s="338"/>
      <c r="N4788" s="362">
        <f t="shared" si="160"/>
        <v>19595</v>
      </c>
      <c r="X4788" s="339"/>
    </row>
    <row r="4789" s="330" customFormat="1" ht="15" customHeight="1" spans="1:24">
      <c r="A4789" s="550" t="s">
        <v>2183</v>
      </c>
      <c r="B4789" s="334" t="s">
        <v>185</v>
      </c>
      <c r="C4789" s="334" t="s">
        <v>186</v>
      </c>
      <c r="D4789" s="335" t="s">
        <v>187</v>
      </c>
      <c r="E4789" s="336">
        <v>43722</v>
      </c>
      <c r="F4789" s="336">
        <v>43728</v>
      </c>
      <c r="G4789" s="399"/>
      <c r="H4789" s="334" t="s">
        <v>11340</v>
      </c>
      <c r="I4789" s="426">
        <v>18018636036</v>
      </c>
      <c r="J4789" s="367" t="s">
        <v>11341</v>
      </c>
      <c r="K4789" s="470">
        <v>1000</v>
      </c>
      <c r="L4789" s="338"/>
      <c r="M4789" s="338"/>
      <c r="N4789" s="362">
        <f t="shared" si="160"/>
        <v>0</v>
      </c>
      <c r="U4789" s="393" t="s">
        <v>40</v>
      </c>
      <c r="X4789" s="339"/>
    </row>
    <row r="4790" s="330" customFormat="1" ht="15" customHeight="1" spans="1:24">
      <c r="A4790" s="348"/>
      <c r="B4790" s="334" t="s">
        <v>315</v>
      </c>
      <c r="C4790" s="334" t="s">
        <v>181</v>
      </c>
      <c r="D4790" s="335" t="s">
        <v>182</v>
      </c>
      <c r="E4790" s="336">
        <v>43738</v>
      </c>
      <c r="F4790" s="336">
        <v>43722</v>
      </c>
      <c r="G4790" s="336">
        <v>43738</v>
      </c>
      <c r="H4790" s="334" t="s">
        <v>11342</v>
      </c>
      <c r="I4790" s="426">
        <v>13162835919</v>
      </c>
      <c r="J4790" s="367" t="s">
        <v>11343</v>
      </c>
      <c r="K4790" s="470">
        <v>10000</v>
      </c>
      <c r="L4790" s="334">
        <v>10000</v>
      </c>
      <c r="M4790" s="338"/>
      <c r="N4790" s="362">
        <f t="shared" si="160"/>
        <v>10000</v>
      </c>
      <c r="X4790" s="339"/>
    </row>
    <row r="4791" s="330" customFormat="1" ht="15" customHeight="1" spans="1:24">
      <c r="A4791" s="348"/>
      <c r="B4791" s="334" t="s">
        <v>169</v>
      </c>
      <c r="C4791" s="334" t="s">
        <v>634</v>
      </c>
      <c r="D4791" s="334" t="s">
        <v>171</v>
      </c>
      <c r="E4791" s="336">
        <v>43767</v>
      </c>
      <c r="F4791" s="336">
        <v>43722</v>
      </c>
      <c r="G4791" s="336">
        <v>43764</v>
      </c>
      <c r="H4791" s="334" t="s">
        <v>11344</v>
      </c>
      <c r="I4791" s="426">
        <v>17721337735</v>
      </c>
      <c r="J4791" s="367" t="s">
        <v>11345</v>
      </c>
      <c r="K4791" s="470">
        <v>1867</v>
      </c>
      <c r="L4791" s="334">
        <v>1867</v>
      </c>
      <c r="M4791" s="338"/>
      <c r="N4791" s="362">
        <f t="shared" si="160"/>
        <v>1867</v>
      </c>
      <c r="X4791" s="339"/>
    </row>
    <row r="4792" s="330" customFormat="1" ht="15" customHeight="1" spans="1:24">
      <c r="A4792" s="550" t="s">
        <v>11346</v>
      </c>
      <c r="B4792" s="334" t="s">
        <v>137</v>
      </c>
      <c r="C4792" s="334" t="s">
        <v>406</v>
      </c>
      <c r="D4792" s="425" t="s">
        <v>139</v>
      </c>
      <c r="E4792" s="424">
        <v>43737</v>
      </c>
      <c r="F4792" s="336">
        <v>43721</v>
      </c>
      <c r="G4792" s="424">
        <v>43737</v>
      </c>
      <c r="H4792" s="425" t="s">
        <v>11347</v>
      </c>
      <c r="I4792" s="426">
        <v>13818438228</v>
      </c>
      <c r="J4792" s="367" t="s">
        <v>11348</v>
      </c>
      <c r="K4792" s="470">
        <v>21000</v>
      </c>
      <c r="L4792" s="425">
        <v>21000</v>
      </c>
      <c r="M4792" s="338"/>
      <c r="N4792" s="362">
        <f t="shared" si="160"/>
        <v>21000</v>
      </c>
      <c r="X4792" s="339"/>
    </row>
    <row r="4793" s="330" customFormat="1" ht="15" customHeight="1" spans="1:24">
      <c r="A4793" s="348">
        <v>2066518</v>
      </c>
      <c r="B4793" s="334" t="s">
        <v>243</v>
      </c>
      <c r="C4793" s="334" t="s">
        <v>304</v>
      </c>
      <c r="D4793" s="335" t="s">
        <v>49</v>
      </c>
      <c r="E4793" s="336">
        <v>43726</v>
      </c>
      <c r="F4793" s="336">
        <v>43722</v>
      </c>
      <c r="G4793" s="336">
        <v>43723</v>
      </c>
      <c r="H4793" s="334" t="s">
        <v>11349</v>
      </c>
      <c r="I4793" s="426" t="s">
        <v>11350</v>
      </c>
      <c r="J4793" s="367" t="s">
        <v>11351</v>
      </c>
      <c r="K4793" s="470">
        <v>1536</v>
      </c>
      <c r="L4793" s="334">
        <v>9497</v>
      </c>
      <c r="M4793" s="338"/>
      <c r="N4793" s="362">
        <f t="shared" si="160"/>
        <v>9497</v>
      </c>
      <c r="X4793" s="339"/>
    </row>
    <row r="4794" s="330" customFormat="1" ht="15" customHeight="1" spans="1:24">
      <c r="A4794" s="348"/>
      <c r="B4794" s="334" t="s">
        <v>66</v>
      </c>
      <c r="C4794" s="334" t="s">
        <v>3954</v>
      </c>
      <c r="D4794" s="334" t="s">
        <v>68</v>
      </c>
      <c r="E4794" s="336">
        <v>43726</v>
      </c>
      <c r="F4794" s="336">
        <v>43722</v>
      </c>
      <c r="G4794" s="336">
        <v>43725</v>
      </c>
      <c r="H4794" s="334" t="s">
        <v>11352</v>
      </c>
      <c r="I4794" s="426">
        <v>13651889696</v>
      </c>
      <c r="J4794" s="367" t="s">
        <v>11353</v>
      </c>
      <c r="K4794" s="470">
        <v>12865</v>
      </c>
      <c r="L4794" s="334">
        <f>13352-1140</f>
        <v>12212</v>
      </c>
      <c r="M4794" s="334">
        <v>1140</v>
      </c>
      <c r="N4794" s="362">
        <f t="shared" si="160"/>
        <v>13352</v>
      </c>
      <c r="X4794" s="339"/>
    </row>
    <row r="4795" s="330" customFormat="1" ht="15" customHeight="1" spans="1:24">
      <c r="A4795" s="550" t="s">
        <v>11354</v>
      </c>
      <c r="B4795" s="334" t="s">
        <v>281</v>
      </c>
      <c r="C4795" s="334" t="s">
        <v>491</v>
      </c>
      <c r="D4795" s="335" t="s">
        <v>49</v>
      </c>
      <c r="E4795" s="336">
        <v>43722</v>
      </c>
      <c r="F4795" s="336">
        <v>43722</v>
      </c>
      <c r="G4795" s="399"/>
      <c r="H4795" s="334" t="s">
        <v>11355</v>
      </c>
      <c r="I4795" s="426">
        <v>1616616132</v>
      </c>
      <c r="J4795" s="367" t="s">
        <v>11356</v>
      </c>
      <c r="K4795" s="470">
        <v>1000</v>
      </c>
      <c r="L4795" s="338"/>
      <c r="M4795" s="338"/>
      <c r="N4795" s="362">
        <f t="shared" si="160"/>
        <v>0</v>
      </c>
      <c r="R4795" s="356" t="s">
        <v>52</v>
      </c>
      <c r="X4795" s="339"/>
    </row>
    <row r="4796" s="330" customFormat="1" ht="15" customHeight="1" spans="1:24">
      <c r="A4796" s="550" t="s">
        <v>11357</v>
      </c>
      <c r="B4796" s="334" t="s">
        <v>137</v>
      </c>
      <c r="C4796" s="334" t="s">
        <v>138</v>
      </c>
      <c r="D4796" s="335" t="s">
        <v>139</v>
      </c>
      <c r="E4796" s="336">
        <v>43735</v>
      </c>
      <c r="F4796" s="336">
        <v>43722</v>
      </c>
      <c r="G4796" s="336">
        <v>43735</v>
      </c>
      <c r="H4796" s="334" t="s">
        <v>11358</v>
      </c>
      <c r="I4796" s="426">
        <v>1801715412</v>
      </c>
      <c r="J4796" s="367" t="s">
        <v>11359</v>
      </c>
      <c r="K4796" s="470">
        <v>12600</v>
      </c>
      <c r="L4796" s="334">
        <v>12600</v>
      </c>
      <c r="M4796" s="338"/>
      <c r="N4796" s="362">
        <f t="shared" si="160"/>
        <v>12600</v>
      </c>
      <c r="X4796" s="339"/>
    </row>
    <row r="4797" s="330" customFormat="1" ht="15" customHeight="1" spans="1:24">
      <c r="A4797" s="348"/>
      <c r="B4797" s="334" t="s">
        <v>169</v>
      </c>
      <c r="C4797" s="334" t="s">
        <v>542</v>
      </c>
      <c r="D4797" s="335" t="s">
        <v>171</v>
      </c>
      <c r="E4797" s="336">
        <v>43738</v>
      </c>
      <c r="F4797" s="336">
        <v>43722</v>
      </c>
      <c r="G4797" s="336">
        <v>43738</v>
      </c>
      <c r="H4797" s="334" t="s">
        <v>11360</v>
      </c>
      <c r="I4797" s="426">
        <v>1000789887</v>
      </c>
      <c r="J4797" s="367" t="s">
        <v>11361</v>
      </c>
      <c r="K4797" s="470">
        <v>18000</v>
      </c>
      <c r="L4797" s="334">
        <v>18000</v>
      </c>
      <c r="M4797" s="338"/>
      <c r="N4797" s="362">
        <f t="shared" si="160"/>
        <v>18000</v>
      </c>
      <c r="U4797" s="393" t="s">
        <v>40</v>
      </c>
      <c r="X4797" s="339"/>
    </row>
    <row r="4798" s="330" customFormat="1" ht="15" customHeight="1" spans="1:24">
      <c r="A4798" s="550" t="s">
        <v>11362</v>
      </c>
      <c r="B4798" s="334" t="s">
        <v>137</v>
      </c>
      <c r="C4798" s="334" t="s">
        <v>480</v>
      </c>
      <c r="D4798" s="335" t="s">
        <v>139</v>
      </c>
      <c r="E4798" s="336">
        <v>43734</v>
      </c>
      <c r="F4798" s="336">
        <v>43722</v>
      </c>
      <c r="G4798" s="336">
        <v>43733</v>
      </c>
      <c r="H4798" s="334" t="s">
        <v>11363</v>
      </c>
      <c r="I4798" s="426">
        <v>18019769716</v>
      </c>
      <c r="J4798" s="367" t="s">
        <v>11364</v>
      </c>
      <c r="K4798" s="470">
        <v>20700</v>
      </c>
      <c r="L4798" s="334">
        <f>20700-2576</f>
        <v>18124</v>
      </c>
      <c r="M4798" s="334">
        <v>2576</v>
      </c>
      <c r="N4798" s="362">
        <f t="shared" si="160"/>
        <v>20700</v>
      </c>
      <c r="X4798" s="339"/>
    </row>
    <row r="4799" s="330" customFormat="1" ht="15" customHeight="1" spans="1:24">
      <c r="A4799" s="550" t="s">
        <v>11365</v>
      </c>
      <c r="B4799" s="334" t="s">
        <v>137</v>
      </c>
      <c r="C4799" s="334" t="s">
        <v>411</v>
      </c>
      <c r="D4799" s="335" t="s">
        <v>427</v>
      </c>
      <c r="E4799" s="336">
        <v>43738</v>
      </c>
      <c r="F4799" s="336">
        <v>43722</v>
      </c>
      <c r="G4799" s="336">
        <v>43738</v>
      </c>
      <c r="H4799" s="334" t="s">
        <v>11366</v>
      </c>
      <c r="I4799" s="426">
        <v>18078346906</v>
      </c>
      <c r="J4799" s="367" t="s">
        <v>11367</v>
      </c>
      <c r="K4799" s="470">
        <v>4800</v>
      </c>
      <c r="L4799" s="334">
        <v>4800</v>
      </c>
      <c r="M4799" s="338"/>
      <c r="N4799" s="362">
        <f t="shared" si="160"/>
        <v>4800</v>
      </c>
      <c r="X4799" s="339"/>
    </row>
    <row r="4800" s="330" customFormat="1" ht="15" customHeight="1" spans="1:24">
      <c r="A4800" s="348"/>
      <c r="B4800" s="334" t="s">
        <v>66</v>
      </c>
      <c r="C4800" s="334" t="s">
        <v>3954</v>
      </c>
      <c r="D4800" s="334" t="s">
        <v>68</v>
      </c>
      <c r="E4800" s="336">
        <v>43729</v>
      </c>
      <c r="F4800" s="336">
        <v>43722</v>
      </c>
      <c r="G4800" s="336">
        <v>43728</v>
      </c>
      <c r="H4800" s="334" t="s">
        <v>11368</v>
      </c>
      <c r="I4800" s="426">
        <v>18616554308</v>
      </c>
      <c r="J4800" s="367" t="s">
        <v>11369</v>
      </c>
      <c r="K4800" s="470">
        <v>1000</v>
      </c>
      <c r="L4800" s="334">
        <v>1992</v>
      </c>
      <c r="M4800" s="338"/>
      <c r="N4800" s="362">
        <f t="shared" ref="N4800:N4831" si="161">L4800+M4800</f>
        <v>1992</v>
      </c>
      <c r="X4800" s="339"/>
    </row>
    <row r="4801" s="330" customFormat="1" ht="15" customHeight="1" spans="1:24">
      <c r="A4801" s="348"/>
      <c r="B4801" s="334" t="s">
        <v>315</v>
      </c>
      <c r="C4801" s="334" t="s">
        <v>275</v>
      </c>
      <c r="D4801" s="334" t="s">
        <v>162</v>
      </c>
      <c r="E4801" s="336">
        <v>43723</v>
      </c>
      <c r="F4801" s="336">
        <v>43721</v>
      </c>
      <c r="G4801" s="336">
        <v>43721</v>
      </c>
      <c r="H4801" s="334" t="s">
        <v>11370</v>
      </c>
      <c r="I4801" s="334">
        <v>15901859526</v>
      </c>
      <c r="J4801" s="367" t="s">
        <v>11371</v>
      </c>
      <c r="K4801" s="334">
        <v>7716</v>
      </c>
      <c r="L4801" s="334">
        <v>7716</v>
      </c>
      <c r="M4801" s="338"/>
      <c r="N4801" s="362">
        <f t="shared" si="161"/>
        <v>7716</v>
      </c>
      <c r="X4801" s="339"/>
    </row>
    <row r="4802" s="330" customFormat="1" ht="15" customHeight="1" spans="1:24">
      <c r="A4802" s="348"/>
      <c r="B4802" s="348" t="s">
        <v>315</v>
      </c>
      <c r="C4802" s="334" t="s">
        <v>275</v>
      </c>
      <c r="D4802" s="335" t="s">
        <v>162</v>
      </c>
      <c r="E4802" s="336">
        <v>43722</v>
      </c>
      <c r="F4802" s="336">
        <v>43721</v>
      </c>
      <c r="G4802" s="350"/>
      <c r="H4802" s="334" t="s">
        <v>11372</v>
      </c>
      <c r="I4802" s="356">
        <v>15900803470</v>
      </c>
      <c r="J4802" s="361" t="s">
        <v>11373</v>
      </c>
      <c r="K4802" s="356">
        <v>1999</v>
      </c>
      <c r="L4802" s="338"/>
      <c r="M4802" s="338"/>
      <c r="N4802" s="362">
        <f t="shared" si="161"/>
        <v>0</v>
      </c>
      <c r="U4802" s="330" t="s">
        <v>11374</v>
      </c>
      <c r="X4802" s="339"/>
    </row>
    <row r="4803" s="330" customFormat="1" ht="15" customHeight="1" spans="1:24">
      <c r="A4803" s="348"/>
      <c r="B4803" s="348" t="s">
        <v>315</v>
      </c>
      <c r="C4803" s="334" t="s">
        <v>275</v>
      </c>
      <c r="D4803" s="334" t="s">
        <v>162</v>
      </c>
      <c r="E4803" s="336">
        <v>43722</v>
      </c>
      <c r="F4803" s="336">
        <v>43722</v>
      </c>
      <c r="G4803" s="350">
        <v>43723</v>
      </c>
      <c r="H4803" s="334" t="s">
        <v>10654</v>
      </c>
      <c r="I4803" s="356">
        <v>13636359732</v>
      </c>
      <c r="J4803" s="361" t="s">
        <v>11375</v>
      </c>
      <c r="K4803" s="356">
        <v>9872</v>
      </c>
      <c r="L4803" s="338"/>
      <c r="M4803" s="334">
        <v>9872</v>
      </c>
      <c r="N4803" s="362">
        <f t="shared" si="161"/>
        <v>9872</v>
      </c>
      <c r="X4803" s="339"/>
    </row>
    <row r="4804" s="330" customFormat="1" ht="15" customHeight="1" spans="1:24">
      <c r="A4804" s="348"/>
      <c r="B4804" s="348" t="s">
        <v>315</v>
      </c>
      <c r="C4804" s="334" t="s">
        <v>275</v>
      </c>
      <c r="D4804" s="334" t="s">
        <v>427</v>
      </c>
      <c r="E4804" s="336">
        <v>43789</v>
      </c>
      <c r="F4804" s="336">
        <v>43721</v>
      </c>
      <c r="G4804" s="336">
        <v>43788</v>
      </c>
      <c r="H4804" s="334" t="s">
        <v>11376</v>
      </c>
      <c r="I4804" s="356">
        <v>13901869872</v>
      </c>
      <c r="J4804" s="361" t="s">
        <v>11377</v>
      </c>
      <c r="K4804" s="356">
        <v>9736</v>
      </c>
      <c r="L4804" s="334">
        <v>10500</v>
      </c>
      <c r="M4804" s="338"/>
      <c r="N4804" s="362">
        <f t="shared" si="161"/>
        <v>10500</v>
      </c>
      <c r="X4804" s="339"/>
    </row>
    <row r="4805" s="330" customFormat="1" ht="15" customHeight="1" spans="1:24">
      <c r="A4805" s="348"/>
      <c r="B4805" s="348" t="s">
        <v>315</v>
      </c>
      <c r="C4805" s="334" t="s">
        <v>275</v>
      </c>
      <c r="D4805" s="334" t="s">
        <v>207</v>
      </c>
      <c r="E4805" s="336">
        <v>43722</v>
      </c>
      <c r="F4805" s="336">
        <v>43721</v>
      </c>
      <c r="G4805" s="350">
        <v>43723</v>
      </c>
      <c r="H4805" s="334" t="s">
        <v>11378</v>
      </c>
      <c r="I4805" s="356">
        <v>18801922530</v>
      </c>
      <c r="J4805" s="361" t="s">
        <v>11379</v>
      </c>
      <c r="K4805" s="356">
        <v>1182</v>
      </c>
      <c r="L4805" s="334">
        <v>1182</v>
      </c>
      <c r="M4805" s="338"/>
      <c r="N4805" s="362">
        <f t="shared" si="161"/>
        <v>1182</v>
      </c>
      <c r="X4805" s="339"/>
    </row>
    <row r="4806" s="330" customFormat="1" ht="15" customHeight="1" spans="1:24">
      <c r="A4806" s="348"/>
      <c r="B4806" s="348" t="s">
        <v>315</v>
      </c>
      <c r="C4806" s="348" t="s">
        <v>161</v>
      </c>
      <c r="D4806" s="335" t="s">
        <v>162</v>
      </c>
      <c r="E4806" s="336">
        <v>43729</v>
      </c>
      <c r="F4806" s="336">
        <v>43721</v>
      </c>
      <c r="G4806" s="336">
        <v>43729</v>
      </c>
      <c r="H4806" s="334" t="s">
        <v>11380</v>
      </c>
      <c r="I4806" s="356">
        <v>18916212950</v>
      </c>
      <c r="J4806" s="361" t="s">
        <v>11381</v>
      </c>
      <c r="K4806" s="356">
        <v>1000</v>
      </c>
      <c r="L4806" s="334">
        <v>1667</v>
      </c>
      <c r="M4806" s="338"/>
      <c r="N4806" s="362">
        <f t="shared" si="161"/>
        <v>1667</v>
      </c>
      <c r="X4806" s="339"/>
    </row>
    <row r="4807" s="330" customFormat="1" ht="15" customHeight="1" spans="1:24">
      <c r="A4807" s="348"/>
      <c r="B4807" s="348" t="s">
        <v>315</v>
      </c>
      <c r="C4807" s="334" t="s">
        <v>275</v>
      </c>
      <c r="D4807" s="335" t="s">
        <v>162</v>
      </c>
      <c r="E4807" s="336">
        <v>43737</v>
      </c>
      <c r="F4807" s="336">
        <v>43721</v>
      </c>
      <c r="G4807" s="336">
        <v>43737</v>
      </c>
      <c r="H4807" s="334" t="s">
        <v>973</v>
      </c>
      <c r="I4807" s="356">
        <v>13816631215</v>
      </c>
      <c r="J4807" s="361" t="s">
        <v>11382</v>
      </c>
      <c r="K4807" s="356">
        <v>10000</v>
      </c>
      <c r="L4807" s="334">
        <v>10000</v>
      </c>
      <c r="M4807" s="338"/>
      <c r="N4807" s="362">
        <f t="shared" si="161"/>
        <v>10000</v>
      </c>
      <c r="X4807" s="339"/>
    </row>
    <row r="4808" s="330" customFormat="1" ht="15" customHeight="1" spans="1:24">
      <c r="A4808" s="348"/>
      <c r="B4808" s="334" t="s">
        <v>169</v>
      </c>
      <c r="C4808" s="348" t="s">
        <v>542</v>
      </c>
      <c r="D4808" s="335" t="s">
        <v>171</v>
      </c>
      <c r="E4808" s="336">
        <v>43722</v>
      </c>
      <c r="F4808" s="336">
        <v>43721</v>
      </c>
      <c r="G4808" s="350"/>
      <c r="H4808" s="334" t="s">
        <v>11383</v>
      </c>
      <c r="I4808" s="356">
        <v>13761108251</v>
      </c>
      <c r="J4808" s="361" t="s">
        <v>11384</v>
      </c>
      <c r="K4808" s="356">
        <v>13500</v>
      </c>
      <c r="L4808" s="338"/>
      <c r="M4808" s="338"/>
      <c r="N4808" s="362">
        <f t="shared" si="161"/>
        <v>0</v>
      </c>
      <c r="U4808" s="477" t="s">
        <v>12</v>
      </c>
      <c r="X4808" s="339"/>
    </row>
    <row r="4809" s="330" customFormat="1" ht="15" customHeight="1" spans="1:24">
      <c r="A4809" s="550" t="s">
        <v>7495</v>
      </c>
      <c r="B4809" s="348" t="s">
        <v>5435</v>
      </c>
      <c r="C4809" s="348" t="s">
        <v>1728</v>
      </c>
      <c r="D4809" s="334" t="s">
        <v>237</v>
      </c>
      <c r="E4809" s="336">
        <v>43734</v>
      </c>
      <c r="F4809" s="336">
        <v>43722</v>
      </c>
      <c r="G4809" s="336">
        <v>43734</v>
      </c>
      <c r="H4809" s="334" t="s">
        <v>11385</v>
      </c>
      <c r="I4809" s="356">
        <v>18616300751</v>
      </c>
      <c r="J4809" s="361" t="s">
        <v>11386</v>
      </c>
      <c r="K4809" s="356">
        <v>7954</v>
      </c>
      <c r="L4809" s="334">
        <v>7954</v>
      </c>
      <c r="M4809" s="338"/>
      <c r="N4809" s="362">
        <f t="shared" si="161"/>
        <v>7954</v>
      </c>
      <c r="X4809" s="339"/>
    </row>
    <row r="4810" s="330" customFormat="1" ht="15" customHeight="1" spans="1:24">
      <c r="A4810" s="334"/>
      <c r="B4810" s="334" t="s">
        <v>185</v>
      </c>
      <c r="C4810" s="334" t="s">
        <v>1204</v>
      </c>
      <c r="D4810" s="335" t="s">
        <v>44</v>
      </c>
      <c r="E4810" s="336">
        <v>43726</v>
      </c>
      <c r="F4810" s="336">
        <v>43722</v>
      </c>
      <c r="G4810" s="336">
        <v>43726</v>
      </c>
      <c r="H4810" s="334" t="s">
        <v>1794</v>
      </c>
      <c r="I4810" s="334">
        <v>13918577395</v>
      </c>
      <c r="J4810" s="367" t="s">
        <v>11387</v>
      </c>
      <c r="K4810" s="334">
        <v>4000</v>
      </c>
      <c r="L4810" s="334">
        <v>5268</v>
      </c>
      <c r="M4810" s="338"/>
      <c r="N4810" s="362">
        <f t="shared" si="161"/>
        <v>5268</v>
      </c>
      <c r="X4810" s="339"/>
    </row>
    <row r="4811" s="330" customFormat="1" ht="15" customHeight="1" spans="1:24">
      <c r="A4811" s="334"/>
      <c r="B4811" s="334" t="s">
        <v>169</v>
      </c>
      <c r="C4811" s="348" t="s">
        <v>542</v>
      </c>
      <c r="D4811" s="335" t="s">
        <v>171</v>
      </c>
      <c r="E4811" s="336">
        <v>43722</v>
      </c>
      <c r="F4811" s="336">
        <v>43722</v>
      </c>
      <c r="G4811" s="334"/>
      <c r="H4811" s="334" t="s">
        <v>11388</v>
      </c>
      <c r="I4811" s="334">
        <v>17317383517</v>
      </c>
      <c r="J4811" s="367" t="s">
        <v>11389</v>
      </c>
      <c r="K4811" s="334">
        <v>1000</v>
      </c>
      <c r="L4811" s="338"/>
      <c r="M4811" s="338"/>
      <c r="N4811" s="362">
        <f t="shared" si="161"/>
        <v>0</v>
      </c>
      <c r="U4811" s="393" t="s">
        <v>40</v>
      </c>
      <c r="X4811" s="339"/>
    </row>
    <row r="4812" s="330" customFormat="1" ht="15" customHeight="1" spans="1:24">
      <c r="A4812" s="334"/>
      <c r="B4812" s="334" t="s">
        <v>66</v>
      </c>
      <c r="C4812" s="334" t="s">
        <v>67</v>
      </c>
      <c r="D4812" s="334" t="s">
        <v>2302</v>
      </c>
      <c r="E4812" s="336">
        <v>43725</v>
      </c>
      <c r="F4812" s="336">
        <v>43722</v>
      </c>
      <c r="G4812" s="336">
        <v>43725</v>
      </c>
      <c r="H4812" s="334" t="s">
        <v>11390</v>
      </c>
      <c r="I4812" s="334">
        <v>13681949452</v>
      </c>
      <c r="J4812" s="367" t="s">
        <v>11391</v>
      </c>
      <c r="K4812" s="334">
        <v>10000</v>
      </c>
      <c r="L4812" s="334">
        <v>13091</v>
      </c>
      <c r="M4812" s="338"/>
      <c r="N4812" s="362">
        <f t="shared" si="161"/>
        <v>13091</v>
      </c>
      <c r="X4812" s="339"/>
    </row>
    <row r="4813" s="330" customFormat="1" ht="15" customHeight="1" spans="1:24">
      <c r="A4813" s="551" t="s">
        <v>11392</v>
      </c>
      <c r="B4813" s="334" t="s">
        <v>205</v>
      </c>
      <c r="C4813" s="334" t="s">
        <v>1467</v>
      </c>
      <c r="D4813" s="335" t="s">
        <v>1170</v>
      </c>
      <c r="E4813" s="336">
        <v>43733</v>
      </c>
      <c r="F4813" s="336">
        <v>43722</v>
      </c>
      <c r="G4813" s="336">
        <v>43732</v>
      </c>
      <c r="H4813" s="334" t="s">
        <v>11393</v>
      </c>
      <c r="I4813" s="334">
        <v>13681733075</v>
      </c>
      <c r="J4813" s="367" t="s">
        <v>11394</v>
      </c>
      <c r="K4813" s="334">
        <v>6500</v>
      </c>
      <c r="L4813" s="334">
        <v>6887</v>
      </c>
      <c r="M4813" s="338"/>
      <c r="N4813" s="362">
        <f t="shared" si="161"/>
        <v>6887</v>
      </c>
      <c r="X4813" s="339"/>
    </row>
    <row r="4814" s="330" customFormat="1" ht="15" customHeight="1" spans="1:24">
      <c r="A4814" s="334"/>
      <c r="B4814" s="334" t="s">
        <v>35</v>
      </c>
      <c r="C4814" s="334" t="s">
        <v>36</v>
      </c>
      <c r="D4814" s="335" t="s">
        <v>37</v>
      </c>
      <c r="E4814" s="336">
        <v>43738</v>
      </c>
      <c r="F4814" s="336">
        <v>43722</v>
      </c>
      <c r="G4814" s="336">
        <v>43736</v>
      </c>
      <c r="H4814" s="334" t="s">
        <v>11395</v>
      </c>
      <c r="I4814" s="334" t="s">
        <v>11396</v>
      </c>
      <c r="J4814" s="367" t="s">
        <v>11397</v>
      </c>
      <c r="K4814" s="334">
        <v>17000</v>
      </c>
      <c r="L4814" s="334">
        <v>17000</v>
      </c>
      <c r="M4814" s="338"/>
      <c r="N4814" s="362">
        <f t="shared" si="161"/>
        <v>17000</v>
      </c>
      <c r="X4814" s="339"/>
    </row>
    <row r="4815" s="330" customFormat="1" ht="15" customHeight="1" spans="1:24">
      <c r="A4815" s="334"/>
      <c r="B4815" s="334" t="s">
        <v>137</v>
      </c>
      <c r="C4815" s="334" t="s">
        <v>406</v>
      </c>
      <c r="D4815" s="334" t="s">
        <v>2381</v>
      </c>
      <c r="E4815" s="336">
        <v>43739</v>
      </c>
      <c r="F4815" s="336">
        <v>43722</v>
      </c>
      <c r="G4815" s="336">
        <v>43739</v>
      </c>
      <c r="H4815" s="334" t="s">
        <v>11398</v>
      </c>
      <c r="I4815" s="334">
        <v>13918997899</v>
      </c>
      <c r="J4815" s="367" t="s">
        <v>11399</v>
      </c>
      <c r="K4815" s="334">
        <v>4500</v>
      </c>
      <c r="L4815" s="334">
        <v>4557</v>
      </c>
      <c r="M4815" s="338"/>
      <c r="N4815" s="362">
        <f t="shared" si="161"/>
        <v>4557</v>
      </c>
      <c r="X4815" s="339"/>
    </row>
    <row r="4816" s="330" customFormat="1" ht="15" customHeight="1" spans="1:24">
      <c r="A4816" s="334"/>
      <c r="B4816" s="334" t="s">
        <v>185</v>
      </c>
      <c r="C4816" s="334" t="s">
        <v>886</v>
      </c>
      <c r="D4816" s="335" t="s">
        <v>187</v>
      </c>
      <c r="E4816" s="336">
        <v>43738</v>
      </c>
      <c r="F4816" s="336">
        <v>43722</v>
      </c>
      <c r="G4816" s="336">
        <v>43738</v>
      </c>
      <c r="H4816" s="334" t="s">
        <v>11400</v>
      </c>
      <c r="I4816" s="334">
        <v>15800395981</v>
      </c>
      <c r="J4816" s="367" t="s">
        <v>11401</v>
      </c>
      <c r="K4816" s="334">
        <v>20000</v>
      </c>
      <c r="L4816" s="334">
        <v>20000</v>
      </c>
      <c r="M4816" s="338"/>
      <c r="N4816" s="362">
        <f t="shared" si="161"/>
        <v>20000</v>
      </c>
      <c r="X4816" s="339"/>
    </row>
    <row r="4817" s="330" customFormat="1" ht="15" customHeight="1" spans="1:24">
      <c r="A4817" s="551" t="s">
        <v>11402</v>
      </c>
      <c r="B4817" s="334" t="s">
        <v>58</v>
      </c>
      <c r="C4817" s="334" t="s">
        <v>347</v>
      </c>
      <c r="D4817" s="334" t="s">
        <v>271</v>
      </c>
      <c r="E4817" s="336">
        <v>43723</v>
      </c>
      <c r="F4817" s="336">
        <v>43722</v>
      </c>
      <c r="G4817" s="336">
        <v>43723</v>
      </c>
      <c r="H4817" s="334" t="s">
        <v>11403</v>
      </c>
      <c r="I4817" s="334">
        <v>13761010010</v>
      </c>
      <c r="J4817" s="367" t="s">
        <v>11404</v>
      </c>
      <c r="K4817" s="334">
        <v>8900</v>
      </c>
      <c r="L4817" s="334">
        <v>8900</v>
      </c>
      <c r="M4817" s="338"/>
      <c r="N4817" s="362">
        <f t="shared" si="161"/>
        <v>8900</v>
      </c>
      <c r="X4817" s="339"/>
    </row>
    <row r="4818" s="330" customFormat="1" ht="15" customHeight="1" spans="1:24">
      <c r="A4818" s="551" t="s">
        <v>11405</v>
      </c>
      <c r="B4818" s="334" t="s">
        <v>137</v>
      </c>
      <c r="C4818" s="334" t="s">
        <v>138</v>
      </c>
      <c r="D4818" s="335" t="s">
        <v>139</v>
      </c>
      <c r="E4818" s="336">
        <v>43734</v>
      </c>
      <c r="F4818" s="336">
        <v>43721</v>
      </c>
      <c r="G4818" s="336">
        <v>43734</v>
      </c>
      <c r="H4818" s="334" t="s">
        <v>11406</v>
      </c>
      <c r="I4818" s="334">
        <v>13817795846</v>
      </c>
      <c r="J4818" s="367" t="s">
        <v>11407</v>
      </c>
      <c r="K4818" s="334">
        <v>20700</v>
      </c>
      <c r="L4818" s="334">
        <f>20700-1900</f>
        <v>18800</v>
      </c>
      <c r="M4818" s="334">
        <v>1900</v>
      </c>
      <c r="N4818" s="362">
        <f t="shared" si="161"/>
        <v>20700</v>
      </c>
      <c r="X4818" s="339"/>
    </row>
    <row r="4819" s="330" customFormat="1" ht="15" customHeight="1" spans="1:24">
      <c r="A4819" s="348"/>
      <c r="B4819" s="334" t="s">
        <v>66</v>
      </c>
      <c r="C4819" s="334" t="s">
        <v>1749</v>
      </c>
      <c r="D4819" s="335" t="s">
        <v>68</v>
      </c>
      <c r="E4819" s="336">
        <v>43731</v>
      </c>
      <c r="F4819" s="336">
        <v>43722</v>
      </c>
      <c r="G4819" s="336">
        <v>43730</v>
      </c>
      <c r="H4819" s="334" t="s">
        <v>7751</v>
      </c>
      <c r="I4819" s="426">
        <v>13386152366</v>
      </c>
      <c r="J4819" s="367" t="s">
        <v>11408</v>
      </c>
      <c r="K4819" s="470">
        <v>1000</v>
      </c>
      <c r="L4819" s="334">
        <v>30894</v>
      </c>
      <c r="M4819" s="338"/>
      <c r="N4819" s="362">
        <f t="shared" si="161"/>
        <v>30894</v>
      </c>
      <c r="X4819" s="339"/>
    </row>
    <row r="4820" s="330" customFormat="1" ht="15" customHeight="1" spans="1:24">
      <c r="A4820" s="348"/>
      <c r="B4820" s="334" t="s">
        <v>66</v>
      </c>
      <c r="C4820" s="334" t="s">
        <v>1749</v>
      </c>
      <c r="D4820" s="334" t="s">
        <v>1436</v>
      </c>
      <c r="E4820" s="336">
        <v>43731</v>
      </c>
      <c r="F4820" s="336">
        <v>43722</v>
      </c>
      <c r="G4820" s="336">
        <v>43730</v>
      </c>
      <c r="H4820" s="334" t="s">
        <v>11409</v>
      </c>
      <c r="I4820" s="426">
        <v>15021955865</v>
      </c>
      <c r="J4820" s="367" t="s">
        <v>11410</v>
      </c>
      <c r="K4820" s="470">
        <v>10000</v>
      </c>
      <c r="L4820" s="334">
        <v>14211</v>
      </c>
      <c r="M4820" s="338"/>
      <c r="N4820" s="362">
        <f t="shared" si="161"/>
        <v>14211</v>
      </c>
      <c r="X4820" s="339"/>
    </row>
    <row r="4821" s="330" customFormat="1" ht="15" customHeight="1" spans="1:24">
      <c r="A4821" s="550" t="s">
        <v>11411</v>
      </c>
      <c r="B4821" s="334" t="s">
        <v>805</v>
      </c>
      <c r="C4821" s="334" t="s">
        <v>4935</v>
      </c>
      <c r="D4821" s="334" t="s">
        <v>171</v>
      </c>
      <c r="E4821" s="336">
        <v>43752</v>
      </c>
      <c r="F4821" s="336">
        <v>43722</v>
      </c>
      <c r="G4821" s="336">
        <v>43751</v>
      </c>
      <c r="H4821" s="334" t="s">
        <v>11412</v>
      </c>
      <c r="I4821" s="426">
        <v>13661856929</v>
      </c>
      <c r="J4821" s="367" t="s">
        <v>11413</v>
      </c>
      <c r="K4821" s="470">
        <v>1000</v>
      </c>
      <c r="L4821" s="334">
        <v>13219</v>
      </c>
      <c r="M4821" s="338"/>
      <c r="N4821" s="362">
        <f t="shared" si="161"/>
        <v>13219</v>
      </c>
      <c r="X4821" s="339"/>
    </row>
    <row r="4822" s="330" customFormat="1" ht="15" customHeight="1" spans="1:24">
      <c r="A4822" s="550" t="s">
        <v>11414</v>
      </c>
      <c r="B4822" s="334" t="s">
        <v>354</v>
      </c>
      <c r="C4822" s="334" t="s">
        <v>355</v>
      </c>
      <c r="D4822" s="335" t="s">
        <v>149</v>
      </c>
      <c r="E4822" s="336">
        <v>43723</v>
      </c>
      <c r="F4822" s="336">
        <v>43721</v>
      </c>
      <c r="G4822" s="399"/>
      <c r="H4822" s="334" t="s">
        <v>1179</v>
      </c>
      <c r="I4822" s="426">
        <v>1901912900</v>
      </c>
      <c r="J4822" s="367" t="s">
        <v>11415</v>
      </c>
      <c r="K4822" s="470">
        <v>4770</v>
      </c>
      <c r="L4822" s="338"/>
      <c r="M4822" s="338"/>
      <c r="N4822" s="362">
        <f t="shared" si="161"/>
        <v>0</v>
      </c>
      <c r="X4822" s="339"/>
    </row>
    <row r="4823" s="330" customFormat="1" ht="15" customHeight="1" spans="1:24">
      <c r="A4823" s="550" t="s">
        <v>11416</v>
      </c>
      <c r="B4823" s="334" t="s">
        <v>137</v>
      </c>
      <c r="C4823" s="334" t="s">
        <v>411</v>
      </c>
      <c r="D4823" s="334" t="s">
        <v>139</v>
      </c>
      <c r="E4823" s="336">
        <v>43738</v>
      </c>
      <c r="F4823" s="336">
        <v>43722</v>
      </c>
      <c r="G4823" s="336">
        <v>43738</v>
      </c>
      <c r="H4823" s="334" t="s">
        <v>11417</v>
      </c>
      <c r="I4823" s="426">
        <v>13601298269</v>
      </c>
      <c r="J4823" s="367" t="s">
        <v>11418</v>
      </c>
      <c r="K4823" s="470">
        <v>39600</v>
      </c>
      <c r="L4823" s="334">
        <f>44241-12861</f>
        <v>31380</v>
      </c>
      <c r="M4823" s="334">
        <v>12861</v>
      </c>
      <c r="N4823" s="362">
        <f t="shared" si="161"/>
        <v>44241</v>
      </c>
      <c r="X4823" s="339"/>
    </row>
    <row r="4824" s="330" customFormat="1" ht="15" customHeight="1" spans="1:24">
      <c r="A4824" s="550" t="s">
        <v>11419</v>
      </c>
      <c r="B4824" s="334" t="s">
        <v>42</v>
      </c>
      <c r="C4824" s="334" t="s">
        <v>43</v>
      </c>
      <c r="D4824" s="334" t="s">
        <v>237</v>
      </c>
      <c r="E4824" s="336">
        <v>43735</v>
      </c>
      <c r="F4824" s="336">
        <v>43722</v>
      </c>
      <c r="G4824" s="336">
        <v>43735</v>
      </c>
      <c r="H4824" s="334" t="s">
        <v>11420</v>
      </c>
      <c r="I4824" s="426">
        <v>1821202281</v>
      </c>
      <c r="J4824" s="367" t="s">
        <v>11421</v>
      </c>
      <c r="K4824" s="470">
        <v>27500</v>
      </c>
      <c r="L4824" s="334">
        <f>27262-1340</f>
        <v>25922</v>
      </c>
      <c r="M4824" s="334">
        <v>1340</v>
      </c>
      <c r="N4824" s="362">
        <f t="shared" si="161"/>
        <v>27262</v>
      </c>
      <c r="X4824" s="339"/>
    </row>
    <row r="4825" s="330" customFormat="1" ht="15" customHeight="1" spans="1:24">
      <c r="A4825" s="348"/>
      <c r="B4825" s="334" t="s">
        <v>73</v>
      </c>
      <c r="C4825" s="334" t="s">
        <v>74</v>
      </c>
      <c r="D4825" s="334" t="s">
        <v>132</v>
      </c>
      <c r="E4825" s="336">
        <v>43760</v>
      </c>
      <c r="F4825" s="336">
        <v>43722</v>
      </c>
      <c r="G4825" s="336">
        <v>43759</v>
      </c>
      <c r="H4825" s="334" t="s">
        <v>11422</v>
      </c>
      <c r="I4825" s="426">
        <v>1761498962</v>
      </c>
      <c r="J4825" s="367" t="s">
        <v>11423</v>
      </c>
      <c r="K4825" s="470">
        <v>1000</v>
      </c>
      <c r="L4825" s="334">
        <v>23318</v>
      </c>
      <c r="M4825" s="338"/>
      <c r="N4825" s="362">
        <f t="shared" si="161"/>
        <v>23318</v>
      </c>
      <c r="X4825" s="339"/>
    </row>
    <row r="4826" s="330" customFormat="1" ht="15" customHeight="1" spans="1:24">
      <c r="A4826" s="550" t="s">
        <v>11424</v>
      </c>
      <c r="B4826" s="334" t="s">
        <v>42</v>
      </c>
      <c r="C4826" s="334" t="s">
        <v>43</v>
      </c>
      <c r="D4826" s="334" t="s">
        <v>149</v>
      </c>
      <c r="E4826" s="336">
        <v>43731</v>
      </c>
      <c r="F4826" s="336">
        <v>43723</v>
      </c>
      <c r="G4826" s="336">
        <v>43729</v>
      </c>
      <c r="H4826" s="334" t="s">
        <v>1883</v>
      </c>
      <c r="I4826" s="426">
        <v>13917545366</v>
      </c>
      <c r="J4826" s="367" t="s">
        <v>11425</v>
      </c>
      <c r="K4826" s="470">
        <v>9150</v>
      </c>
      <c r="L4826" s="334">
        <v>14060</v>
      </c>
      <c r="M4826" s="334">
        <v>950</v>
      </c>
      <c r="N4826" s="362">
        <f t="shared" si="161"/>
        <v>15010</v>
      </c>
      <c r="X4826" s="339"/>
    </row>
    <row r="4827" s="330" customFormat="1" ht="15" customHeight="1" spans="1:24">
      <c r="A4827" s="348"/>
      <c r="B4827" s="334" t="s">
        <v>169</v>
      </c>
      <c r="C4827" s="334" t="s">
        <v>542</v>
      </c>
      <c r="D4827" s="335" t="s">
        <v>171</v>
      </c>
      <c r="E4827" s="336">
        <v>43727</v>
      </c>
      <c r="F4827" s="336">
        <v>43721</v>
      </c>
      <c r="G4827" s="336">
        <v>43726</v>
      </c>
      <c r="H4827" s="334" t="s">
        <v>11426</v>
      </c>
      <c r="I4827" s="426">
        <v>13901869528</v>
      </c>
      <c r="J4827" s="367" t="s">
        <v>11427</v>
      </c>
      <c r="K4827" s="470">
        <v>8000</v>
      </c>
      <c r="L4827" s="334">
        <v>8232</v>
      </c>
      <c r="M4827" s="338"/>
      <c r="N4827" s="362">
        <f t="shared" si="161"/>
        <v>8232</v>
      </c>
      <c r="X4827" s="339"/>
    </row>
    <row r="4828" s="330" customFormat="1" ht="15" customHeight="1" spans="1:24">
      <c r="A4828" s="348"/>
      <c r="B4828" s="334" t="s">
        <v>169</v>
      </c>
      <c r="C4828" s="334" t="s">
        <v>542</v>
      </c>
      <c r="D4828" s="335" t="s">
        <v>171</v>
      </c>
      <c r="E4828" s="336">
        <v>43738</v>
      </c>
      <c r="F4828" s="336">
        <v>43723</v>
      </c>
      <c r="G4828" s="336">
        <v>43738</v>
      </c>
      <c r="H4828" s="334" t="s">
        <v>11428</v>
      </c>
      <c r="I4828" s="426">
        <v>18321108319</v>
      </c>
      <c r="J4828" s="367" t="s">
        <v>11429</v>
      </c>
      <c r="K4828" s="470">
        <v>3000</v>
      </c>
      <c r="L4828" s="334">
        <v>3000</v>
      </c>
      <c r="M4828" s="338"/>
      <c r="N4828" s="362">
        <f t="shared" si="161"/>
        <v>3000</v>
      </c>
      <c r="U4828" s="393" t="s">
        <v>40</v>
      </c>
      <c r="X4828" s="339"/>
    </row>
    <row r="4829" s="330" customFormat="1" ht="15" customHeight="1" spans="1:24">
      <c r="A4829" s="550" t="s">
        <v>2848</v>
      </c>
      <c r="B4829" s="348" t="s">
        <v>31</v>
      </c>
      <c r="C4829" s="334" t="s">
        <v>251</v>
      </c>
      <c r="D4829" s="334" t="s">
        <v>221</v>
      </c>
      <c r="E4829" s="336">
        <v>43759</v>
      </c>
      <c r="F4829" s="336">
        <v>43722</v>
      </c>
      <c r="G4829" s="336">
        <v>43758</v>
      </c>
      <c r="H4829" s="334" t="s">
        <v>11430</v>
      </c>
      <c r="I4829" s="426">
        <v>13801693611</v>
      </c>
      <c r="J4829" s="367" t="s">
        <v>11431</v>
      </c>
      <c r="K4829" s="470">
        <f>2000+1000</f>
        <v>3000</v>
      </c>
      <c r="L4829" s="334">
        <f>18371-7098</f>
        <v>11273</v>
      </c>
      <c r="M4829" s="338"/>
      <c r="N4829" s="362">
        <f t="shared" si="161"/>
        <v>11273</v>
      </c>
      <c r="X4829" s="339"/>
    </row>
    <row r="4830" s="330" customFormat="1" ht="15" customHeight="1" spans="1:24">
      <c r="A4830" s="550" t="s">
        <v>11432</v>
      </c>
      <c r="B4830" s="334" t="s">
        <v>31</v>
      </c>
      <c r="C4830" s="334" t="s">
        <v>419</v>
      </c>
      <c r="D4830" s="335" t="s">
        <v>221</v>
      </c>
      <c r="E4830" s="336">
        <v>43723</v>
      </c>
      <c r="F4830" s="336">
        <v>43721</v>
      </c>
      <c r="G4830" s="399"/>
      <c r="H4830" s="334" t="s">
        <v>11433</v>
      </c>
      <c r="I4830" s="426">
        <v>15821171089</v>
      </c>
      <c r="J4830" s="367" t="s">
        <v>11434</v>
      </c>
      <c r="K4830" s="470">
        <v>4854</v>
      </c>
      <c r="L4830" s="338"/>
      <c r="M4830" s="338"/>
      <c r="N4830" s="362">
        <f t="shared" ref="N4830:N4866" si="162">L4830+M4830</f>
        <v>0</v>
      </c>
      <c r="U4830" s="336" t="s">
        <v>40</v>
      </c>
      <c r="X4830" s="339"/>
    </row>
    <row r="4831" s="330" customFormat="1" ht="15" customHeight="1" spans="1:24">
      <c r="A4831" s="348"/>
      <c r="B4831" s="334" t="s">
        <v>315</v>
      </c>
      <c r="C4831" s="334" t="s">
        <v>722</v>
      </c>
      <c r="D4831" s="334" t="s">
        <v>149</v>
      </c>
      <c r="E4831" s="336">
        <v>43737</v>
      </c>
      <c r="F4831" s="336">
        <v>43722</v>
      </c>
      <c r="G4831" s="336">
        <v>43736</v>
      </c>
      <c r="H4831" s="334" t="s">
        <v>11435</v>
      </c>
      <c r="I4831" s="426">
        <v>13917992336</v>
      </c>
      <c r="J4831" s="367" t="s">
        <v>11436</v>
      </c>
      <c r="K4831" s="470">
        <v>10000</v>
      </c>
      <c r="L4831" s="334">
        <v>12286</v>
      </c>
      <c r="M4831" s="338"/>
      <c r="N4831" s="362">
        <f t="shared" si="162"/>
        <v>12286</v>
      </c>
      <c r="X4831" s="339"/>
    </row>
    <row r="4832" s="330" customFormat="1" ht="15" customHeight="1" spans="1:24">
      <c r="A4832" s="550" t="s">
        <v>11437</v>
      </c>
      <c r="B4832" s="334" t="s">
        <v>31</v>
      </c>
      <c r="C4832" s="334" t="s">
        <v>419</v>
      </c>
      <c r="D4832" s="334" t="s">
        <v>954</v>
      </c>
      <c r="E4832" s="336">
        <v>43780</v>
      </c>
      <c r="F4832" s="336">
        <v>43721</v>
      </c>
      <c r="G4832" s="336">
        <v>43779</v>
      </c>
      <c r="H4832" s="334" t="s">
        <v>11438</v>
      </c>
      <c r="I4832" s="426">
        <v>18021007585</v>
      </c>
      <c r="J4832" s="367" t="s">
        <v>11439</v>
      </c>
      <c r="K4832" s="470">
        <v>1000</v>
      </c>
      <c r="L4832" s="334">
        <v>6600</v>
      </c>
      <c r="M4832" s="338"/>
      <c r="N4832" s="362">
        <f t="shared" si="162"/>
        <v>6600</v>
      </c>
      <c r="X4832" s="339"/>
    </row>
    <row r="4833" s="330" customFormat="1" ht="15" customHeight="1" spans="1:24">
      <c r="A4833" s="550" t="s">
        <v>11440</v>
      </c>
      <c r="B4833" s="334" t="s">
        <v>137</v>
      </c>
      <c r="C4833" s="334" t="s">
        <v>138</v>
      </c>
      <c r="D4833" s="334" t="s">
        <v>2381</v>
      </c>
      <c r="E4833" s="336">
        <v>43815</v>
      </c>
      <c r="F4833" s="336">
        <v>43722</v>
      </c>
      <c r="G4833" s="336">
        <v>43814</v>
      </c>
      <c r="H4833" s="334" t="s">
        <v>11441</v>
      </c>
      <c r="I4833" s="426">
        <v>18621190529</v>
      </c>
      <c r="J4833" s="334" t="s">
        <v>11442</v>
      </c>
      <c r="K4833" s="470">
        <v>4000</v>
      </c>
      <c r="L4833" s="334">
        <v>2520</v>
      </c>
      <c r="M4833" s="338"/>
      <c r="N4833" s="362">
        <f t="shared" si="162"/>
        <v>2520</v>
      </c>
      <c r="R4833" s="330">
        <v>1</v>
      </c>
      <c r="X4833" s="339"/>
    </row>
    <row r="4834" s="330" customFormat="1" ht="15" customHeight="1" spans="1:24">
      <c r="A4834" s="550" t="s">
        <v>11443</v>
      </c>
      <c r="B4834" s="334" t="s">
        <v>87</v>
      </c>
      <c r="C4834" s="334" t="s">
        <v>199</v>
      </c>
      <c r="D4834" s="335" t="s">
        <v>89</v>
      </c>
      <c r="E4834" s="336">
        <v>43759</v>
      </c>
      <c r="F4834" s="336">
        <v>43721</v>
      </c>
      <c r="G4834" s="336">
        <v>43758</v>
      </c>
      <c r="H4834" s="334" t="s">
        <v>11444</v>
      </c>
      <c r="I4834" s="426">
        <v>13636679777</v>
      </c>
      <c r="J4834" s="367" t="s">
        <v>11445</v>
      </c>
      <c r="K4834" s="470">
        <v>13400</v>
      </c>
      <c r="L4834" s="334">
        <v>14711</v>
      </c>
      <c r="M4834" s="334">
        <v>1472</v>
      </c>
      <c r="N4834" s="362">
        <f t="shared" si="162"/>
        <v>16183</v>
      </c>
      <c r="X4834" s="339"/>
    </row>
    <row r="4835" s="330" customFormat="1" ht="15" customHeight="1" spans="1:24">
      <c r="A4835" s="550" t="s">
        <v>11446</v>
      </c>
      <c r="B4835" s="334" t="s">
        <v>87</v>
      </c>
      <c r="C4835" s="334" t="s">
        <v>199</v>
      </c>
      <c r="D4835" s="335" t="s">
        <v>89</v>
      </c>
      <c r="E4835" s="336">
        <v>43723</v>
      </c>
      <c r="F4835" s="336">
        <v>43722</v>
      </c>
      <c r="G4835" s="399"/>
      <c r="H4835" s="334" t="s">
        <v>11447</v>
      </c>
      <c r="I4835" s="426">
        <v>17717375585</v>
      </c>
      <c r="J4835" s="367" t="s">
        <v>11448</v>
      </c>
      <c r="K4835" s="470">
        <v>3000</v>
      </c>
      <c r="L4835" s="338"/>
      <c r="M4835" s="338"/>
      <c r="N4835" s="362">
        <f t="shared" si="162"/>
        <v>0</v>
      </c>
      <c r="Q4835" s="356"/>
      <c r="X4835" s="339"/>
    </row>
    <row r="4836" s="330" customFormat="1" ht="15" customHeight="1" spans="1:24">
      <c r="A4836" s="550" t="s">
        <v>11449</v>
      </c>
      <c r="B4836" s="348" t="s">
        <v>185</v>
      </c>
      <c r="C4836" s="334" t="s">
        <v>1620</v>
      </c>
      <c r="D4836" s="335" t="s">
        <v>44</v>
      </c>
      <c r="E4836" s="336">
        <v>43794</v>
      </c>
      <c r="F4836" s="336">
        <v>43722</v>
      </c>
      <c r="G4836" s="336">
        <v>43794</v>
      </c>
      <c r="H4836" s="334" t="s">
        <v>11450</v>
      </c>
      <c r="I4836" s="426">
        <v>13816622565</v>
      </c>
      <c r="J4836" s="367" t="s">
        <v>11451</v>
      </c>
      <c r="K4836" s="470">
        <v>1000</v>
      </c>
      <c r="L4836" s="334">
        <v>21000</v>
      </c>
      <c r="M4836" s="338"/>
      <c r="N4836" s="362">
        <f t="shared" si="162"/>
        <v>21000</v>
      </c>
      <c r="X4836" s="339"/>
    </row>
    <row r="4837" s="330" customFormat="1" ht="15" customHeight="1" spans="1:24">
      <c r="A4837" s="550" t="s">
        <v>7170</v>
      </c>
      <c r="B4837" s="334" t="s">
        <v>31</v>
      </c>
      <c r="C4837" s="334" t="s">
        <v>3186</v>
      </c>
      <c r="D4837" s="334" t="s">
        <v>33</v>
      </c>
      <c r="E4837" s="336">
        <v>43736</v>
      </c>
      <c r="F4837" s="336">
        <v>43720</v>
      </c>
      <c r="G4837" s="336">
        <v>43735</v>
      </c>
      <c r="H4837" s="334" t="s">
        <v>11452</v>
      </c>
      <c r="I4837" s="426">
        <v>13817578148</v>
      </c>
      <c r="J4837" s="367" t="s">
        <v>11453</v>
      </c>
      <c r="K4837" s="470">
        <v>2000</v>
      </c>
      <c r="L4837" s="334">
        <v>16055</v>
      </c>
      <c r="M4837" s="338"/>
      <c r="N4837" s="362">
        <f t="shared" si="162"/>
        <v>16055</v>
      </c>
      <c r="X4837" s="339"/>
    </row>
    <row r="4838" s="330" customFormat="1" ht="15" customHeight="1" spans="1:24">
      <c r="A4838" s="348"/>
      <c r="B4838" s="334" t="s">
        <v>315</v>
      </c>
      <c r="C4838" s="334" t="s">
        <v>275</v>
      </c>
      <c r="D4838" s="335" t="s">
        <v>162</v>
      </c>
      <c r="E4838" s="424">
        <v>43737</v>
      </c>
      <c r="F4838" s="336">
        <v>43722</v>
      </c>
      <c r="G4838" s="424">
        <v>43737</v>
      </c>
      <c r="H4838" s="334" t="s">
        <v>11454</v>
      </c>
      <c r="I4838" s="426">
        <v>13916044759</v>
      </c>
      <c r="J4838" s="367" t="s">
        <v>11455</v>
      </c>
      <c r="K4838" s="470">
        <v>10000</v>
      </c>
      <c r="L4838" s="425">
        <v>10000</v>
      </c>
      <c r="M4838" s="338"/>
      <c r="N4838" s="362">
        <f t="shared" si="162"/>
        <v>10000</v>
      </c>
      <c r="X4838" s="339"/>
    </row>
    <row r="4839" s="330" customFormat="1" ht="15" customHeight="1" spans="1:24">
      <c r="A4839" s="348"/>
      <c r="B4839" s="334" t="s">
        <v>315</v>
      </c>
      <c r="C4839" s="334" t="s">
        <v>161</v>
      </c>
      <c r="D4839" s="335" t="s">
        <v>162</v>
      </c>
      <c r="E4839" s="336">
        <v>43726</v>
      </c>
      <c r="F4839" s="336">
        <v>43722</v>
      </c>
      <c r="G4839" s="336">
        <v>43726</v>
      </c>
      <c r="H4839" s="334" t="s">
        <v>11456</v>
      </c>
      <c r="I4839" s="426">
        <v>1019712334</v>
      </c>
      <c r="J4839" s="367" t="s">
        <v>11457</v>
      </c>
      <c r="K4839" s="470">
        <v>15000</v>
      </c>
      <c r="L4839" s="334">
        <f>14845-1072</f>
        <v>13773</v>
      </c>
      <c r="M4839" s="334">
        <v>1072</v>
      </c>
      <c r="N4839" s="362">
        <f t="shared" si="162"/>
        <v>14845</v>
      </c>
      <c r="X4839" s="339"/>
    </row>
    <row r="4840" s="330" customFormat="1" ht="15" customHeight="1" spans="1:24">
      <c r="A4840" s="550" t="s">
        <v>11458</v>
      </c>
      <c r="B4840" s="334" t="s">
        <v>31</v>
      </c>
      <c r="C4840" s="334" t="s">
        <v>3186</v>
      </c>
      <c r="D4840" s="335" t="s">
        <v>221</v>
      </c>
      <c r="E4840" s="336">
        <v>43794</v>
      </c>
      <c r="F4840" s="336">
        <v>43722</v>
      </c>
      <c r="G4840" s="336">
        <v>43792</v>
      </c>
      <c r="H4840" s="334" t="s">
        <v>11459</v>
      </c>
      <c r="I4840" s="426">
        <v>13918184323</v>
      </c>
      <c r="J4840" s="367" t="s">
        <v>11460</v>
      </c>
      <c r="K4840" s="470">
        <v>1000</v>
      </c>
      <c r="L4840" s="334">
        <v>22500</v>
      </c>
      <c r="M4840" s="338"/>
      <c r="N4840" s="362">
        <f t="shared" si="162"/>
        <v>22500</v>
      </c>
      <c r="X4840" s="339"/>
    </row>
    <row r="4841" s="330" customFormat="1" ht="15" customHeight="1" spans="1:24">
      <c r="A4841" s="550" t="s">
        <v>2982</v>
      </c>
      <c r="B4841" s="334" t="s">
        <v>58</v>
      </c>
      <c r="C4841" s="334" t="s">
        <v>109</v>
      </c>
      <c r="D4841" s="335" t="s">
        <v>110</v>
      </c>
      <c r="E4841" s="336">
        <v>43738</v>
      </c>
      <c r="F4841" s="336">
        <v>43723</v>
      </c>
      <c r="G4841" s="336">
        <v>43738</v>
      </c>
      <c r="H4841" s="334" t="s">
        <v>11461</v>
      </c>
      <c r="I4841" s="426">
        <v>18611198382</v>
      </c>
      <c r="J4841" s="367" t="s">
        <v>11462</v>
      </c>
      <c r="K4841" s="470">
        <v>22500</v>
      </c>
      <c r="L4841" s="334">
        <v>22500</v>
      </c>
      <c r="M4841" s="338"/>
      <c r="N4841" s="362">
        <f t="shared" si="162"/>
        <v>22500</v>
      </c>
      <c r="X4841" s="339"/>
    </row>
    <row r="4842" s="330" customFormat="1" ht="15" customHeight="1" spans="1:24">
      <c r="A4842" s="348">
        <v>2022526</v>
      </c>
      <c r="B4842" s="334" t="s">
        <v>73</v>
      </c>
      <c r="C4842" s="334" t="s">
        <v>178</v>
      </c>
      <c r="D4842" s="335" t="s">
        <v>75</v>
      </c>
      <c r="E4842" s="336">
        <v>43756</v>
      </c>
      <c r="F4842" s="336">
        <v>43722</v>
      </c>
      <c r="G4842" s="336">
        <v>43754</v>
      </c>
      <c r="H4842" s="334" t="s">
        <v>11463</v>
      </c>
      <c r="I4842" s="426">
        <v>15901839590</v>
      </c>
      <c r="J4842" s="367" t="s">
        <v>11464</v>
      </c>
      <c r="K4842" s="470">
        <v>1000</v>
      </c>
      <c r="L4842" s="334">
        <v>10875</v>
      </c>
      <c r="M4842" s="338"/>
      <c r="N4842" s="362">
        <f t="shared" si="162"/>
        <v>10875</v>
      </c>
      <c r="X4842" s="339"/>
    </row>
    <row r="4843" s="330" customFormat="1" ht="15" customHeight="1" spans="1:24">
      <c r="A4843" s="348">
        <v>2022525</v>
      </c>
      <c r="B4843" s="334" t="s">
        <v>73</v>
      </c>
      <c r="C4843" s="334" t="s">
        <v>74</v>
      </c>
      <c r="D4843" s="334" t="s">
        <v>717</v>
      </c>
      <c r="E4843" s="336">
        <v>43732</v>
      </c>
      <c r="F4843" s="336">
        <v>43722</v>
      </c>
      <c r="G4843" s="336">
        <v>43730</v>
      </c>
      <c r="H4843" s="334" t="s">
        <v>11465</v>
      </c>
      <c r="I4843" s="426">
        <v>13564503009</v>
      </c>
      <c r="J4843" s="367" t="s">
        <v>11466</v>
      </c>
      <c r="K4843" s="470">
        <v>1000</v>
      </c>
      <c r="L4843" s="334">
        <f>13007-1104</f>
        <v>11903</v>
      </c>
      <c r="M4843" s="334">
        <v>1104</v>
      </c>
      <c r="N4843" s="362">
        <f t="shared" si="162"/>
        <v>13007</v>
      </c>
      <c r="X4843" s="339"/>
    </row>
    <row r="4844" s="330" customFormat="1" ht="15" customHeight="1" spans="1:24">
      <c r="A4844" s="348"/>
      <c r="B4844" s="334" t="s">
        <v>66</v>
      </c>
      <c r="C4844" s="334" t="s">
        <v>3954</v>
      </c>
      <c r="D4844" s="334" t="s">
        <v>68</v>
      </c>
      <c r="E4844" s="336">
        <v>43726</v>
      </c>
      <c r="F4844" s="336">
        <v>43723</v>
      </c>
      <c r="G4844" s="336">
        <v>43726</v>
      </c>
      <c r="H4844" s="334" t="s">
        <v>11467</v>
      </c>
      <c r="I4844" s="426">
        <v>15901977326</v>
      </c>
      <c r="J4844" s="367" t="s">
        <v>11468</v>
      </c>
      <c r="K4844" s="470">
        <v>4594</v>
      </c>
      <c r="L4844" s="334">
        <f>4594-760</f>
        <v>3834</v>
      </c>
      <c r="M4844" s="334">
        <v>760</v>
      </c>
      <c r="N4844" s="362">
        <f t="shared" si="162"/>
        <v>4594</v>
      </c>
      <c r="X4844" s="339"/>
    </row>
    <row r="4845" s="330" customFormat="1" ht="15" customHeight="1" spans="1:24">
      <c r="A4845" s="550" t="s">
        <v>4455</v>
      </c>
      <c r="B4845" s="348" t="s">
        <v>185</v>
      </c>
      <c r="C4845" s="334" t="s">
        <v>1620</v>
      </c>
      <c r="D4845" s="335" t="s">
        <v>44</v>
      </c>
      <c r="E4845" s="336">
        <v>43761</v>
      </c>
      <c r="F4845" s="336">
        <v>43722</v>
      </c>
      <c r="G4845" s="336">
        <v>43758</v>
      </c>
      <c r="H4845" s="334" t="s">
        <v>11469</v>
      </c>
      <c r="I4845" s="426">
        <v>18616356323</v>
      </c>
      <c r="J4845" s="367" t="s">
        <v>11470</v>
      </c>
      <c r="K4845" s="470">
        <v>1000</v>
      </c>
      <c r="L4845" s="334">
        <v>17566</v>
      </c>
      <c r="M4845" s="338"/>
      <c r="N4845" s="362">
        <f t="shared" si="162"/>
        <v>17566</v>
      </c>
      <c r="X4845" s="339"/>
    </row>
    <row r="4846" s="330" customFormat="1" ht="15" customHeight="1" spans="1:24">
      <c r="A4846" s="550" t="s">
        <v>5048</v>
      </c>
      <c r="B4846" s="348" t="s">
        <v>185</v>
      </c>
      <c r="C4846" s="334" t="s">
        <v>886</v>
      </c>
      <c r="D4846" s="335" t="s">
        <v>187</v>
      </c>
      <c r="E4846" s="336">
        <v>43736</v>
      </c>
      <c r="F4846" s="336">
        <v>43722</v>
      </c>
      <c r="G4846" s="336">
        <v>43735</v>
      </c>
      <c r="H4846" s="334" t="s">
        <v>11471</v>
      </c>
      <c r="I4846" s="426">
        <v>13585845118</v>
      </c>
      <c r="J4846" s="367" t="s">
        <v>11472</v>
      </c>
      <c r="K4846" s="470">
        <v>5000</v>
      </c>
      <c r="L4846" s="334">
        <f>14806-804</f>
        <v>14002</v>
      </c>
      <c r="M4846" s="334">
        <v>804</v>
      </c>
      <c r="N4846" s="362">
        <f t="shared" si="162"/>
        <v>14806</v>
      </c>
      <c r="X4846" s="339"/>
    </row>
    <row r="4847" s="330" customFormat="1" ht="15" customHeight="1" spans="1:24">
      <c r="A4847" s="550" t="s">
        <v>11473</v>
      </c>
      <c r="B4847" s="334" t="s">
        <v>73</v>
      </c>
      <c r="C4847" s="334" t="s">
        <v>74</v>
      </c>
      <c r="D4847" s="336" t="s">
        <v>717</v>
      </c>
      <c r="E4847" s="336">
        <v>43725</v>
      </c>
      <c r="F4847" s="336">
        <v>43722</v>
      </c>
      <c r="G4847" s="336">
        <v>43723</v>
      </c>
      <c r="H4847" s="334" t="s">
        <v>11474</v>
      </c>
      <c r="I4847" s="426">
        <v>1918260785</v>
      </c>
      <c r="J4847" s="367" t="s">
        <v>11475</v>
      </c>
      <c r="K4847" s="470">
        <v>1000</v>
      </c>
      <c r="L4847" s="334">
        <v>17675</v>
      </c>
      <c r="M4847" s="338"/>
      <c r="N4847" s="362">
        <f t="shared" si="162"/>
        <v>17675</v>
      </c>
      <c r="X4847" s="339"/>
    </row>
    <row r="4848" s="330" customFormat="1" ht="15" customHeight="1" spans="1:24">
      <c r="A4848" s="348"/>
      <c r="B4848" s="334" t="s">
        <v>169</v>
      </c>
      <c r="C4848" s="334" t="s">
        <v>634</v>
      </c>
      <c r="D4848" s="335" t="s">
        <v>635</v>
      </c>
      <c r="E4848" s="336">
        <v>43765</v>
      </c>
      <c r="F4848" s="336">
        <v>43721</v>
      </c>
      <c r="G4848" s="336">
        <v>43761</v>
      </c>
      <c r="H4848" s="334" t="s">
        <v>11476</v>
      </c>
      <c r="I4848" s="426">
        <v>15000962583</v>
      </c>
      <c r="J4848" s="367" t="s">
        <v>11477</v>
      </c>
      <c r="K4848" s="470">
        <v>1000</v>
      </c>
      <c r="L4848" s="334">
        <v>6846</v>
      </c>
      <c r="M4848" s="338"/>
      <c r="N4848" s="362">
        <f t="shared" si="162"/>
        <v>6846</v>
      </c>
      <c r="X4848" s="339"/>
    </row>
    <row r="4849" s="330" customFormat="1" ht="15" customHeight="1" spans="1:24">
      <c r="A4849" s="348"/>
      <c r="B4849" s="334" t="s">
        <v>169</v>
      </c>
      <c r="C4849" s="334" t="s">
        <v>634</v>
      </c>
      <c r="D4849" s="335" t="s">
        <v>635</v>
      </c>
      <c r="E4849" s="336">
        <v>43733</v>
      </c>
      <c r="F4849" s="336">
        <v>43723</v>
      </c>
      <c r="G4849" s="336">
        <v>43732</v>
      </c>
      <c r="H4849" s="334" t="s">
        <v>4956</v>
      </c>
      <c r="I4849" s="426">
        <v>13311928800</v>
      </c>
      <c r="J4849" s="367" t="s">
        <v>11478</v>
      </c>
      <c r="K4849" s="470">
        <v>25200</v>
      </c>
      <c r="L4849" s="334">
        <f>25200-2412</f>
        <v>22788</v>
      </c>
      <c r="M4849" s="334">
        <v>2412</v>
      </c>
      <c r="N4849" s="362">
        <f t="shared" si="162"/>
        <v>25200</v>
      </c>
      <c r="X4849" s="339"/>
    </row>
    <row r="4850" s="330" customFormat="1" ht="15" customHeight="1" spans="1:24">
      <c r="A4850" s="348"/>
      <c r="B4850" s="334" t="s">
        <v>169</v>
      </c>
      <c r="C4850" s="334" t="s">
        <v>634</v>
      </c>
      <c r="D4850" s="335" t="s">
        <v>635</v>
      </c>
      <c r="E4850" s="336">
        <v>43727</v>
      </c>
      <c r="F4850" s="336">
        <v>43723</v>
      </c>
      <c r="G4850" s="336">
        <v>43727</v>
      </c>
      <c r="H4850" s="334" t="s">
        <v>11479</v>
      </c>
      <c r="I4850" s="426">
        <v>13916099952</v>
      </c>
      <c r="J4850" s="367" t="s">
        <v>11480</v>
      </c>
      <c r="K4850" s="470">
        <v>25200</v>
      </c>
      <c r="L4850" s="334">
        <v>25200</v>
      </c>
      <c r="M4850" s="334">
        <v>822</v>
      </c>
      <c r="N4850" s="362">
        <f t="shared" si="162"/>
        <v>26022</v>
      </c>
      <c r="X4850" s="339"/>
    </row>
    <row r="4851" s="330" customFormat="1" ht="15" customHeight="1" spans="1:24">
      <c r="A4851" s="348"/>
      <c r="B4851" s="334" t="s">
        <v>169</v>
      </c>
      <c r="C4851" s="334" t="s">
        <v>634</v>
      </c>
      <c r="D4851" s="334" t="s">
        <v>635</v>
      </c>
      <c r="E4851" s="336">
        <v>43725</v>
      </c>
      <c r="F4851" s="336">
        <v>43713</v>
      </c>
      <c r="G4851" s="336">
        <v>43725</v>
      </c>
      <c r="H4851" s="334" t="s">
        <v>11481</v>
      </c>
      <c r="I4851" s="426">
        <v>18321292980</v>
      </c>
      <c r="J4851" s="367" t="s">
        <v>11482</v>
      </c>
      <c r="K4851" s="470">
        <v>18152</v>
      </c>
      <c r="L4851" s="334">
        <f>19152-1840</f>
        <v>17312</v>
      </c>
      <c r="M4851" s="334">
        <v>1840</v>
      </c>
      <c r="N4851" s="362">
        <f t="shared" si="162"/>
        <v>19152</v>
      </c>
      <c r="X4851" s="339"/>
    </row>
    <row r="4852" s="330" customFormat="1" ht="15" customHeight="1" spans="1:24">
      <c r="A4852" s="348"/>
      <c r="B4852" s="334" t="s">
        <v>169</v>
      </c>
      <c r="C4852" s="334" t="s">
        <v>634</v>
      </c>
      <c r="D4852" s="335" t="s">
        <v>635</v>
      </c>
      <c r="E4852" s="336">
        <v>43738</v>
      </c>
      <c r="F4852" s="336">
        <v>43714</v>
      </c>
      <c r="G4852" s="336">
        <v>43738</v>
      </c>
      <c r="H4852" s="334" t="s">
        <v>11483</v>
      </c>
      <c r="I4852" s="426">
        <v>15901964396</v>
      </c>
      <c r="J4852" s="367" t="s">
        <v>11484</v>
      </c>
      <c r="K4852" s="470">
        <v>27000</v>
      </c>
      <c r="L4852" s="334">
        <v>27000</v>
      </c>
      <c r="M4852" s="338"/>
      <c r="N4852" s="362">
        <f t="shared" si="162"/>
        <v>27000</v>
      </c>
      <c r="X4852" s="339"/>
    </row>
    <row r="4853" s="330" customFormat="1" ht="15" customHeight="1" spans="1:24">
      <c r="A4853" s="348"/>
      <c r="B4853" s="334" t="s">
        <v>169</v>
      </c>
      <c r="C4853" s="334" t="s">
        <v>634</v>
      </c>
      <c r="D4853" s="335" t="s">
        <v>635</v>
      </c>
      <c r="E4853" s="336">
        <v>43738</v>
      </c>
      <c r="F4853" s="336">
        <v>43722</v>
      </c>
      <c r="G4853" s="336">
        <v>43738</v>
      </c>
      <c r="H4853" s="334" t="s">
        <v>11485</v>
      </c>
      <c r="I4853" s="426">
        <v>13052055880</v>
      </c>
      <c r="J4853" s="367" t="s">
        <v>11486</v>
      </c>
      <c r="K4853" s="470">
        <v>13500</v>
      </c>
      <c r="L4853" s="334">
        <v>13500</v>
      </c>
      <c r="M4853" s="338"/>
      <c r="N4853" s="362">
        <f t="shared" si="162"/>
        <v>13500</v>
      </c>
      <c r="X4853" s="339"/>
    </row>
    <row r="4854" s="330" customFormat="1" ht="15" customHeight="1" spans="1:24">
      <c r="A4854" s="348"/>
      <c r="B4854" s="334" t="s">
        <v>169</v>
      </c>
      <c r="C4854" s="334" t="s">
        <v>634</v>
      </c>
      <c r="D4854" s="335" t="s">
        <v>635</v>
      </c>
      <c r="E4854" s="336">
        <v>43738</v>
      </c>
      <c r="F4854" s="336">
        <v>43716</v>
      </c>
      <c r="G4854" s="336">
        <v>43738</v>
      </c>
      <c r="H4854" s="334" t="s">
        <v>11487</v>
      </c>
      <c r="I4854" s="426">
        <v>13621693211</v>
      </c>
      <c r="J4854" s="367" t="s">
        <v>11488</v>
      </c>
      <c r="K4854" s="470">
        <v>9000</v>
      </c>
      <c r="L4854" s="334">
        <v>9000</v>
      </c>
      <c r="M4854" s="338"/>
      <c r="N4854" s="362">
        <f t="shared" si="162"/>
        <v>9000</v>
      </c>
      <c r="X4854" s="339"/>
    </row>
    <row r="4855" s="330" customFormat="1" ht="15" customHeight="1" spans="1:24">
      <c r="A4855" s="348"/>
      <c r="B4855" s="334" t="s">
        <v>169</v>
      </c>
      <c r="C4855" s="334" t="s">
        <v>634</v>
      </c>
      <c r="D4855" s="335" t="s">
        <v>635</v>
      </c>
      <c r="E4855" s="336">
        <v>43738</v>
      </c>
      <c r="F4855" s="336">
        <v>43722</v>
      </c>
      <c r="G4855" s="336">
        <v>43738</v>
      </c>
      <c r="H4855" s="334" t="s">
        <v>11489</v>
      </c>
      <c r="I4855" s="426">
        <v>13456856318</v>
      </c>
      <c r="J4855" s="367" t="s">
        <v>11490</v>
      </c>
      <c r="K4855" s="470">
        <v>7100</v>
      </c>
      <c r="L4855" s="334">
        <v>7100</v>
      </c>
      <c r="M4855" s="338"/>
      <c r="N4855" s="362">
        <f t="shared" si="162"/>
        <v>7100</v>
      </c>
      <c r="X4855" s="339"/>
    </row>
    <row r="4856" s="330" customFormat="1" ht="15" customHeight="1" spans="1:24">
      <c r="A4856" s="348"/>
      <c r="B4856" s="334" t="s">
        <v>169</v>
      </c>
      <c r="C4856" s="334" t="s">
        <v>542</v>
      </c>
      <c r="D4856" s="335" t="s">
        <v>171</v>
      </c>
      <c r="E4856" s="336">
        <v>43738</v>
      </c>
      <c r="F4856" s="336">
        <v>43723</v>
      </c>
      <c r="G4856" s="336">
        <v>43738</v>
      </c>
      <c r="H4856" s="334" t="s">
        <v>11491</v>
      </c>
      <c r="I4856" s="426">
        <v>13917973483</v>
      </c>
      <c r="J4856" s="367" t="s">
        <v>11492</v>
      </c>
      <c r="K4856" s="470">
        <v>5700</v>
      </c>
      <c r="L4856" s="334">
        <v>5700</v>
      </c>
      <c r="M4856" s="338"/>
      <c r="N4856" s="362">
        <f t="shared" si="162"/>
        <v>5700</v>
      </c>
      <c r="X4856" s="339"/>
    </row>
    <row r="4857" s="330" customFormat="1" ht="15" customHeight="1" spans="1:24">
      <c r="A4857" s="550" t="s">
        <v>4898</v>
      </c>
      <c r="B4857" s="348" t="s">
        <v>185</v>
      </c>
      <c r="C4857" s="334" t="s">
        <v>1620</v>
      </c>
      <c r="D4857" s="335" t="s">
        <v>44</v>
      </c>
      <c r="E4857" s="336">
        <v>43723</v>
      </c>
      <c r="F4857" s="336">
        <v>43723</v>
      </c>
      <c r="G4857" s="399"/>
      <c r="H4857" s="334" t="s">
        <v>11493</v>
      </c>
      <c r="I4857" s="426">
        <v>18721691681</v>
      </c>
      <c r="J4857" s="367" t="s">
        <v>11494</v>
      </c>
      <c r="K4857" s="470">
        <v>1000</v>
      </c>
      <c r="L4857" s="338"/>
      <c r="M4857" s="338"/>
      <c r="N4857" s="362">
        <f t="shared" si="162"/>
        <v>0</v>
      </c>
      <c r="U4857" s="393" t="s">
        <v>40</v>
      </c>
      <c r="X4857" s="339"/>
    </row>
    <row r="4858" s="330" customFormat="1" ht="15" customHeight="1" spans="1:24">
      <c r="A4858" s="348"/>
      <c r="B4858" s="334" t="s">
        <v>169</v>
      </c>
      <c r="C4858" s="334" t="s">
        <v>542</v>
      </c>
      <c r="D4858" s="335" t="s">
        <v>171</v>
      </c>
      <c r="E4858" s="336">
        <v>43738</v>
      </c>
      <c r="F4858" s="336">
        <v>43723</v>
      </c>
      <c r="G4858" s="336">
        <v>43738</v>
      </c>
      <c r="H4858" s="334" t="s">
        <v>11495</v>
      </c>
      <c r="I4858" s="559" t="s">
        <v>11496</v>
      </c>
      <c r="J4858" s="367" t="s">
        <v>11497</v>
      </c>
      <c r="K4858" s="470">
        <v>23400</v>
      </c>
      <c r="L4858" s="334">
        <v>23400</v>
      </c>
      <c r="M4858" s="338"/>
      <c r="N4858" s="362">
        <f t="shared" si="162"/>
        <v>23400</v>
      </c>
      <c r="X4858" s="339"/>
    </row>
    <row r="4859" s="330" customFormat="1" ht="15" customHeight="1" spans="1:24">
      <c r="A4859" s="550" t="s">
        <v>5057</v>
      </c>
      <c r="B4859" s="334" t="s">
        <v>185</v>
      </c>
      <c r="C4859" s="334" t="s">
        <v>186</v>
      </c>
      <c r="D4859" s="335" t="s">
        <v>187</v>
      </c>
      <c r="E4859" s="336">
        <v>43723</v>
      </c>
      <c r="F4859" s="336">
        <v>43723</v>
      </c>
      <c r="G4859" s="399"/>
      <c r="H4859" s="334" t="s">
        <v>11498</v>
      </c>
      <c r="I4859" s="426"/>
      <c r="J4859" s="367" t="s">
        <v>11499</v>
      </c>
      <c r="K4859" s="470">
        <v>1000</v>
      </c>
      <c r="L4859" s="338"/>
      <c r="M4859" s="338"/>
      <c r="N4859" s="362">
        <f t="shared" si="162"/>
        <v>0</v>
      </c>
      <c r="U4859" s="467" t="s">
        <v>52</v>
      </c>
      <c r="X4859" s="339"/>
    </row>
    <row r="4860" s="330" customFormat="1" ht="15" customHeight="1" spans="1:24">
      <c r="A4860" s="550" t="s">
        <v>11500</v>
      </c>
      <c r="B4860" s="334" t="s">
        <v>354</v>
      </c>
      <c r="C4860" s="334" t="s">
        <v>355</v>
      </c>
      <c r="D4860" s="334" t="s">
        <v>149</v>
      </c>
      <c r="E4860" s="336">
        <v>43725</v>
      </c>
      <c r="F4860" s="336">
        <v>43723</v>
      </c>
      <c r="G4860" s="336">
        <v>43724</v>
      </c>
      <c r="H4860" s="334" t="s">
        <v>11501</v>
      </c>
      <c r="I4860" s="426">
        <v>13564650572</v>
      </c>
      <c r="J4860" s="367" t="s">
        <v>11502</v>
      </c>
      <c r="K4860" s="470">
        <v>4857</v>
      </c>
      <c r="L4860" s="334">
        <v>9405</v>
      </c>
      <c r="M4860" s="338"/>
      <c r="N4860" s="362">
        <f t="shared" si="162"/>
        <v>9405</v>
      </c>
      <c r="X4860" s="339"/>
    </row>
    <row r="4861" s="330" customFormat="1" ht="15" customHeight="1" spans="1:24">
      <c r="A4861" s="348"/>
      <c r="B4861" s="334" t="s">
        <v>726</v>
      </c>
      <c r="C4861" s="334" t="s">
        <v>727</v>
      </c>
      <c r="D4861" s="334" t="s">
        <v>271</v>
      </c>
      <c r="E4861" s="336">
        <v>43738</v>
      </c>
      <c r="F4861" s="336">
        <v>43723</v>
      </c>
      <c r="G4861" s="336">
        <v>43738</v>
      </c>
      <c r="H4861" s="334" t="s">
        <v>11503</v>
      </c>
      <c r="I4861" s="426">
        <v>13901824081</v>
      </c>
      <c r="J4861" s="367" t="s">
        <v>11504</v>
      </c>
      <c r="K4861" s="470">
        <v>4961</v>
      </c>
      <c r="L4861" s="334">
        <v>16536</v>
      </c>
      <c r="M4861" s="338"/>
      <c r="N4861" s="362">
        <f t="shared" si="162"/>
        <v>16536</v>
      </c>
      <c r="X4861" s="339"/>
    </row>
    <row r="4862" s="330" customFormat="1" ht="15" customHeight="1" spans="1:24">
      <c r="A4862" s="348"/>
      <c r="B4862" s="334" t="s">
        <v>137</v>
      </c>
      <c r="C4862" s="334" t="s">
        <v>406</v>
      </c>
      <c r="D4862" s="334" t="s">
        <v>427</v>
      </c>
      <c r="E4862" s="336">
        <v>43737</v>
      </c>
      <c r="F4862" s="336">
        <v>43723</v>
      </c>
      <c r="G4862" s="336">
        <v>43737</v>
      </c>
      <c r="H4862" s="334" t="s">
        <v>11505</v>
      </c>
      <c r="I4862" s="426">
        <v>13918725101</v>
      </c>
      <c r="J4862" s="367" t="s">
        <v>11506</v>
      </c>
      <c r="K4862" s="470">
        <v>18000</v>
      </c>
      <c r="L4862" s="334">
        <v>18000</v>
      </c>
      <c r="M4862" s="338"/>
      <c r="N4862" s="362">
        <f t="shared" si="162"/>
        <v>18000</v>
      </c>
      <c r="X4862" s="339"/>
    </row>
    <row r="4863" s="330" customFormat="1" ht="15" customHeight="1" spans="1:24">
      <c r="A4863" s="348"/>
      <c r="B4863" s="334" t="s">
        <v>315</v>
      </c>
      <c r="C4863" s="334" t="s">
        <v>181</v>
      </c>
      <c r="D4863" s="334" t="s">
        <v>182</v>
      </c>
      <c r="E4863" s="336">
        <v>43723</v>
      </c>
      <c r="F4863" s="336">
        <v>43721</v>
      </c>
      <c r="G4863" s="399">
        <v>43721</v>
      </c>
      <c r="H4863" s="334" t="s">
        <v>11507</v>
      </c>
      <c r="I4863" s="334">
        <v>17317824185</v>
      </c>
      <c r="J4863" s="334" t="s">
        <v>11508</v>
      </c>
      <c r="K4863" s="470">
        <v>5857</v>
      </c>
      <c r="L4863" s="334">
        <f>7147-1104</f>
        <v>6043</v>
      </c>
      <c r="M4863" s="334">
        <v>1104</v>
      </c>
      <c r="N4863" s="362">
        <f t="shared" si="162"/>
        <v>7147</v>
      </c>
      <c r="X4863" s="339"/>
    </row>
    <row r="4864" s="330" customFormat="1" ht="15" customHeight="1" spans="1:24">
      <c r="A4864" s="348"/>
      <c r="B4864" s="334" t="s">
        <v>169</v>
      </c>
      <c r="C4864" s="334" t="s">
        <v>542</v>
      </c>
      <c r="D4864" s="334" t="s">
        <v>171</v>
      </c>
      <c r="E4864" s="336">
        <v>43724</v>
      </c>
      <c r="F4864" s="336">
        <v>43723</v>
      </c>
      <c r="G4864" s="336">
        <v>43723</v>
      </c>
      <c r="H4864" s="334" t="s">
        <v>11509</v>
      </c>
      <c r="I4864" s="426">
        <v>15555896613</v>
      </c>
      <c r="J4864" s="367" t="s">
        <v>11510</v>
      </c>
      <c r="K4864" s="470">
        <v>23400</v>
      </c>
      <c r="L4864" s="334">
        <v>23374</v>
      </c>
      <c r="M4864" s="338"/>
      <c r="N4864" s="362">
        <f t="shared" si="162"/>
        <v>23374</v>
      </c>
      <c r="X4864" s="339"/>
    </row>
    <row r="4865" s="330" customFormat="1" ht="15" customHeight="1" spans="1:24">
      <c r="A4865" s="348"/>
      <c r="B4865" s="334" t="s">
        <v>123</v>
      </c>
      <c r="C4865" s="334" t="s">
        <v>32</v>
      </c>
      <c r="D4865" s="335" t="s">
        <v>125</v>
      </c>
      <c r="E4865" s="336">
        <v>43725</v>
      </c>
      <c r="F4865" s="336">
        <v>43723</v>
      </c>
      <c r="G4865" s="336">
        <v>43725</v>
      </c>
      <c r="H4865" s="408" t="s">
        <v>11511</v>
      </c>
      <c r="I4865" s="426">
        <v>18616523764</v>
      </c>
      <c r="J4865" s="334" t="s">
        <v>11512</v>
      </c>
      <c r="K4865" s="470">
        <v>1000</v>
      </c>
      <c r="L4865" s="334">
        <v>8835</v>
      </c>
      <c r="M4865" s="338"/>
      <c r="N4865" s="362">
        <f t="shared" si="162"/>
        <v>8835</v>
      </c>
      <c r="X4865" s="339"/>
    </row>
    <row r="4866" s="330" customFormat="1" ht="15" customHeight="1" spans="1:24">
      <c r="A4866" s="348"/>
      <c r="B4866" s="348" t="s">
        <v>315</v>
      </c>
      <c r="C4866" s="334" t="s">
        <v>722</v>
      </c>
      <c r="D4866" s="335" t="s">
        <v>132</v>
      </c>
      <c r="E4866" s="336">
        <v>43738</v>
      </c>
      <c r="F4866" s="336">
        <v>43723</v>
      </c>
      <c r="G4866" s="336">
        <v>43738</v>
      </c>
      <c r="H4866" s="334" t="s">
        <v>11513</v>
      </c>
      <c r="I4866" s="426">
        <v>13918253097</v>
      </c>
      <c r="J4866" s="367" t="s">
        <v>11514</v>
      </c>
      <c r="K4866" s="470">
        <v>5000</v>
      </c>
      <c r="L4866" s="334">
        <v>5000</v>
      </c>
      <c r="M4866" s="338"/>
      <c r="N4866" s="362">
        <f t="shared" si="162"/>
        <v>5000</v>
      </c>
      <c r="X4866" s="339"/>
    </row>
    <row r="4867" s="330" customFormat="1" ht="15" customHeight="1" spans="1:24">
      <c r="A4867" s="550" t="s">
        <v>1800</v>
      </c>
      <c r="B4867" s="334" t="s">
        <v>31</v>
      </c>
      <c r="C4867" s="334" t="s">
        <v>220</v>
      </c>
      <c r="D4867" s="335" t="s">
        <v>221</v>
      </c>
      <c r="E4867" s="336">
        <v>43794</v>
      </c>
      <c r="F4867" s="336">
        <v>43723</v>
      </c>
      <c r="G4867" s="336">
        <v>43793</v>
      </c>
      <c r="H4867" s="334" t="s">
        <v>11515</v>
      </c>
      <c r="I4867" s="426">
        <v>13501777787</v>
      </c>
      <c r="J4867" s="367" t="s">
        <v>11516</v>
      </c>
      <c r="K4867" s="470">
        <v>1000</v>
      </c>
      <c r="L4867" s="334">
        <v>5141</v>
      </c>
      <c r="M4867" s="334">
        <v>5328</v>
      </c>
      <c r="N4867" s="362">
        <f t="shared" ref="N4867:N4893" si="163">L4867+M4867</f>
        <v>10469</v>
      </c>
      <c r="X4867" s="339"/>
    </row>
    <row r="4868" s="330" customFormat="1" ht="15" customHeight="1" spans="1:24">
      <c r="A4868" s="550" t="s">
        <v>3345</v>
      </c>
      <c r="B4868" s="334" t="s">
        <v>137</v>
      </c>
      <c r="C4868" s="334" t="s">
        <v>406</v>
      </c>
      <c r="D4868" s="334" t="s">
        <v>139</v>
      </c>
      <c r="E4868" s="336">
        <v>43737</v>
      </c>
      <c r="F4868" s="336">
        <v>43723</v>
      </c>
      <c r="G4868" s="336">
        <v>43737</v>
      </c>
      <c r="H4868" s="334" t="s">
        <v>11517</v>
      </c>
      <c r="I4868" s="426">
        <v>13817935073</v>
      </c>
      <c r="J4868" s="367" t="s">
        <v>11518</v>
      </c>
      <c r="K4868" s="470">
        <v>27000</v>
      </c>
      <c r="L4868" s="334">
        <f>32000-252</f>
        <v>31748</v>
      </c>
      <c r="M4868" s="334">
        <v>252</v>
      </c>
      <c r="N4868" s="362">
        <f t="shared" si="163"/>
        <v>32000</v>
      </c>
      <c r="X4868" s="339"/>
    </row>
    <row r="4869" s="330" customFormat="1" ht="15" customHeight="1" spans="1:24">
      <c r="A4869" s="550" t="s">
        <v>11519</v>
      </c>
      <c r="B4869" s="334" t="s">
        <v>281</v>
      </c>
      <c r="C4869" s="334" t="s">
        <v>491</v>
      </c>
      <c r="D4869" s="334" t="s">
        <v>518</v>
      </c>
      <c r="E4869" s="336">
        <v>43727</v>
      </c>
      <c r="F4869" s="336">
        <v>43723</v>
      </c>
      <c r="G4869" s="336">
        <v>43727</v>
      </c>
      <c r="H4869" s="334" t="s">
        <v>11520</v>
      </c>
      <c r="I4869" s="426">
        <v>18901930026</v>
      </c>
      <c r="J4869" s="334" t="s">
        <v>11521</v>
      </c>
      <c r="K4869" s="470">
        <v>5000</v>
      </c>
      <c r="L4869" s="334">
        <v>26508</v>
      </c>
      <c r="M4869" s="338"/>
      <c r="N4869" s="362">
        <f t="shared" si="163"/>
        <v>26508</v>
      </c>
      <c r="X4869" s="339"/>
    </row>
    <row r="4870" s="330" customFormat="1" ht="15" customHeight="1" spans="1:24">
      <c r="A4870" s="550" t="s">
        <v>11522</v>
      </c>
      <c r="B4870" s="334" t="s">
        <v>281</v>
      </c>
      <c r="C4870" s="334" t="s">
        <v>491</v>
      </c>
      <c r="D4870" s="334" t="s">
        <v>518</v>
      </c>
      <c r="E4870" s="336">
        <v>43733</v>
      </c>
      <c r="F4870" s="336">
        <v>43723</v>
      </c>
      <c r="G4870" s="336">
        <v>43729</v>
      </c>
      <c r="H4870" s="334" t="s">
        <v>11523</v>
      </c>
      <c r="I4870" s="426">
        <v>18116134989</v>
      </c>
      <c r="J4870" s="367" t="s">
        <v>11524</v>
      </c>
      <c r="K4870" s="470">
        <v>5000</v>
      </c>
      <c r="L4870" s="334">
        <v>39666</v>
      </c>
      <c r="M4870" s="338"/>
      <c r="N4870" s="362">
        <f t="shared" si="163"/>
        <v>39666</v>
      </c>
      <c r="X4870" s="339"/>
    </row>
    <row r="4871" s="330" customFormat="1" ht="15" customHeight="1" spans="1:24">
      <c r="A4871" s="550" t="s">
        <v>7785</v>
      </c>
      <c r="B4871" s="334" t="s">
        <v>185</v>
      </c>
      <c r="C4871" s="334" t="s">
        <v>886</v>
      </c>
      <c r="D4871" s="335" t="s">
        <v>187</v>
      </c>
      <c r="E4871" s="336">
        <v>43723</v>
      </c>
      <c r="F4871" s="336">
        <v>43723</v>
      </c>
      <c r="G4871" s="399"/>
      <c r="H4871" s="334" t="s">
        <v>11525</v>
      </c>
      <c r="I4871" s="426">
        <v>13916532189</v>
      </c>
      <c r="J4871" s="367" t="s">
        <v>11526</v>
      </c>
      <c r="K4871" s="470">
        <v>1000</v>
      </c>
      <c r="L4871" s="338"/>
      <c r="M4871" s="338"/>
      <c r="N4871" s="362">
        <f t="shared" si="163"/>
        <v>0</v>
      </c>
      <c r="U4871" s="471">
        <v>43804</v>
      </c>
      <c r="X4871" s="339"/>
    </row>
    <row r="4872" s="330" customFormat="1" ht="15" customHeight="1" spans="1:24">
      <c r="A4872" s="348"/>
      <c r="B4872" s="334" t="s">
        <v>123</v>
      </c>
      <c r="C4872" s="334" t="s">
        <v>902</v>
      </c>
      <c r="D4872" s="335" t="s">
        <v>125</v>
      </c>
      <c r="E4872" s="336">
        <v>43769</v>
      </c>
      <c r="F4872" s="336">
        <v>43722</v>
      </c>
      <c r="G4872" s="336">
        <v>43749</v>
      </c>
      <c r="H4872" s="334" t="s">
        <v>11527</v>
      </c>
      <c r="I4872" s="426">
        <v>13701879978</v>
      </c>
      <c r="J4872" s="367" t="s">
        <v>11528</v>
      </c>
      <c r="K4872" s="470">
        <v>100</v>
      </c>
      <c r="L4872" s="334">
        <v>30999</v>
      </c>
      <c r="M4872" s="338"/>
      <c r="N4872" s="362">
        <f t="shared" si="163"/>
        <v>30999</v>
      </c>
      <c r="X4872" s="339"/>
    </row>
    <row r="4873" s="330" customFormat="1" ht="15" customHeight="1" spans="1:24">
      <c r="A4873" s="348"/>
      <c r="B4873" s="334" t="s">
        <v>66</v>
      </c>
      <c r="C4873" s="334" t="s">
        <v>67</v>
      </c>
      <c r="D4873" s="335" t="s">
        <v>1436</v>
      </c>
      <c r="E4873" s="336">
        <v>43744</v>
      </c>
      <c r="F4873" s="336">
        <v>43723</v>
      </c>
      <c r="G4873" s="336">
        <v>43743</v>
      </c>
      <c r="H4873" s="334" t="s">
        <v>11529</v>
      </c>
      <c r="I4873" s="426">
        <v>13524445855</v>
      </c>
      <c r="J4873" s="367" t="s">
        <v>11530</v>
      </c>
      <c r="K4873" s="470">
        <v>10000</v>
      </c>
      <c r="L4873" s="334">
        <v>21000</v>
      </c>
      <c r="M4873" s="338"/>
      <c r="N4873" s="362">
        <f t="shared" si="163"/>
        <v>21000</v>
      </c>
      <c r="X4873" s="339"/>
    </row>
    <row r="4874" s="330" customFormat="1" ht="15" customHeight="1" spans="1:24">
      <c r="A4874" s="550" t="s">
        <v>11531</v>
      </c>
      <c r="B4874" s="334" t="s">
        <v>58</v>
      </c>
      <c r="C4874" s="334" t="s">
        <v>347</v>
      </c>
      <c r="D4874" s="335" t="s">
        <v>343</v>
      </c>
      <c r="E4874" s="336">
        <v>43735</v>
      </c>
      <c r="F4874" s="336">
        <v>43723</v>
      </c>
      <c r="G4874" s="336">
        <v>43734</v>
      </c>
      <c r="H4874" s="334" t="s">
        <v>11532</v>
      </c>
      <c r="I4874" s="426">
        <v>18616358279</v>
      </c>
      <c r="J4874" s="367" t="s">
        <v>11533</v>
      </c>
      <c r="K4874" s="470">
        <v>11700</v>
      </c>
      <c r="L4874" s="334">
        <v>13376</v>
      </c>
      <c r="M4874" s="338"/>
      <c r="N4874" s="362">
        <f t="shared" si="163"/>
        <v>13376</v>
      </c>
      <c r="X4874" s="339"/>
    </row>
    <row r="4875" s="330" customFormat="1" ht="15" customHeight="1" spans="1:24">
      <c r="A4875" s="550" t="s">
        <v>4554</v>
      </c>
      <c r="B4875" s="334" t="s">
        <v>185</v>
      </c>
      <c r="C4875" s="334" t="s">
        <v>1620</v>
      </c>
      <c r="D4875" s="335" t="s">
        <v>44</v>
      </c>
      <c r="E4875" s="336">
        <v>43723</v>
      </c>
      <c r="F4875" s="336">
        <v>43722</v>
      </c>
      <c r="G4875" s="399"/>
      <c r="H4875" s="334" t="s">
        <v>11534</v>
      </c>
      <c r="I4875" s="426">
        <v>15601620771</v>
      </c>
      <c r="J4875" s="367" t="s">
        <v>11535</v>
      </c>
      <c r="K4875" s="470">
        <v>1000</v>
      </c>
      <c r="L4875" s="338"/>
      <c r="M4875" s="338"/>
      <c r="N4875" s="362">
        <f t="shared" si="163"/>
        <v>0</v>
      </c>
      <c r="O4875" s="467" t="s">
        <v>52</v>
      </c>
      <c r="X4875" s="339"/>
    </row>
    <row r="4876" s="330" customFormat="1" ht="15" customHeight="1" spans="1:24">
      <c r="A4876" s="348"/>
      <c r="B4876" s="334" t="s">
        <v>123</v>
      </c>
      <c r="C4876" s="334" t="s">
        <v>902</v>
      </c>
      <c r="D4876" s="335" t="s">
        <v>125</v>
      </c>
      <c r="E4876" s="336">
        <v>43751</v>
      </c>
      <c r="F4876" s="336">
        <v>43723</v>
      </c>
      <c r="G4876" s="336">
        <v>43750</v>
      </c>
      <c r="H4876" s="334" t="s">
        <v>11536</v>
      </c>
      <c r="I4876" s="426">
        <v>1381600235</v>
      </c>
      <c r="J4876" s="367" t="s">
        <v>11537</v>
      </c>
      <c r="K4876" s="470">
        <v>1000</v>
      </c>
      <c r="L4876" s="338"/>
      <c r="M4876" s="334">
        <v>426</v>
      </c>
      <c r="N4876" s="362">
        <f t="shared" si="163"/>
        <v>426</v>
      </c>
      <c r="X4876" s="339"/>
    </row>
    <row r="4877" s="330" customFormat="1" ht="15" customHeight="1" spans="1:24">
      <c r="A4877" s="550" t="s">
        <v>11538</v>
      </c>
      <c r="B4877" s="334" t="s">
        <v>31</v>
      </c>
      <c r="C4877" s="334" t="s">
        <v>419</v>
      </c>
      <c r="D4877" s="334" t="s">
        <v>954</v>
      </c>
      <c r="E4877" s="336">
        <v>43737</v>
      </c>
      <c r="F4877" s="336">
        <v>43721</v>
      </c>
      <c r="G4877" s="336">
        <v>43736</v>
      </c>
      <c r="H4877" s="334" t="s">
        <v>11539</v>
      </c>
      <c r="I4877" s="426">
        <v>18918991999</v>
      </c>
      <c r="J4877" s="367" t="s">
        <v>11540</v>
      </c>
      <c r="K4877" s="470">
        <v>1000</v>
      </c>
      <c r="L4877" s="334">
        <f>24500-1340</f>
        <v>23160</v>
      </c>
      <c r="M4877" s="334">
        <v>1340</v>
      </c>
      <c r="N4877" s="362">
        <f t="shared" si="163"/>
        <v>24500</v>
      </c>
      <c r="X4877" s="339"/>
    </row>
    <row r="4878" s="330" customFormat="1" ht="15" customHeight="1" spans="1:24">
      <c r="A4878" s="550" t="s">
        <v>11541</v>
      </c>
      <c r="B4878" s="334" t="s">
        <v>31</v>
      </c>
      <c r="C4878" s="334" t="s">
        <v>3186</v>
      </c>
      <c r="D4878" s="334" t="s">
        <v>33</v>
      </c>
      <c r="E4878" s="336">
        <v>43731</v>
      </c>
      <c r="F4878" s="336">
        <v>43723</v>
      </c>
      <c r="G4878" s="336">
        <v>43730</v>
      </c>
      <c r="H4878" s="334" t="s">
        <v>11542</v>
      </c>
      <c r="I4878" s="426">
        <v>15821003538</v>
      </c>
      <c r="J4878" s="367" t="s">
        <v>11543</v>
      </c>
      <c r="K4878" s="470">
        <v>1000</v>
      </c>
      <c r="L4878" s="334">
        <v>6394</v>
      </c>
      <c r="M4878" s="338"/>
      <c r="N4878" s="362">
        <f t="shared" si="163"/>
        <v>6394</v>
      </c>
      <c r="X4878" s="339"/>
    </row>
    <row r="4879" s="330" customFormat="1" ht="15" customHeight="1" spans="1:24">
      <c r="A4879" s="550" t="s">
        <v>1136</v>
      </c>
      <c r="B4879" s="334" t="s">
        <v>58</v>
      </c>
      <c r="C4879" s="334" t="s">
        <v>794</v>
      </c>
      <c r="D4879" s="334" t="s">
        <v>110</v>
      </c>
      <c r="E4879" s="336">
        <v>43725</v>
      </c>
      <c r="F4879" s="336">
        <v>43723</v>
      </c>
      <c r="G4879" s="336">
        <v>43723</v>
      </c>
      <c r="H4879" s="334" t="s">
        <v>11544</v>
      </c>
      <c r="I4879" s="426">
        <v>15921045728</v>
      </c>
      <c r="J4879" s="367" t="s">
        <v>11545</v>
      </c>
      <c r="K4879" s="470">
        <v>9000</v>
      </c>
      <c r="L4879" s="334">
        <f>7700-736</f>
        <v>6964</v>
      </c>
      <c r="M4879" s="334">
        <v>736</v>
      </c>
      <c r="N4879" s="362">
        <f t="shared" si="163"/>
        <v>7700</v>
      </c>
      <c r="X4879" s="339"/>
    </row>
    <row r="4880" s="330" customFormat="1" ht="15" customHeight="1" spans="1:24">
      <c r="A4880" s="550" t="s">
        <v>11546</v>
      </c>
      <c r="B4880" s="334" t="s">
        <v>31</v>
      </c>
      <c r="C4880" s="334" t="s">
        <v>3186</v>
      </c>
      <c r="D4880" s="334" t="s">
        <v>110</v>
      </c>
      <c r="E4880" s="336">
        <v>43737</v>
      </c>
      <c r="F4880" s="336">
        <v>43723</v>
      </c>
      <c r="G4880" s="336">
        <v>43735</v>
      </c>
      <c r="H4880" s="334" t="s">
        <v>3033</v>
      </c>
      <c r="I4880" s="426">
        <v>13816909330</v>
      </c>
      <c r="J4880" s="367" t="s">
        <v>11547</v>
      </c>
      <c r="K4880" s="470">
        <v>1000</v>
      </c>
      <c r="L4880" s="334">
        <v>5607</v>
      </c>
      <c r="M4880" s="338"/>
      <c r="N4880" s="362">
        <f t="shared" si="163"/>
        <v>5607</v>
      </c>
      <c r="X4880" s="339"/>
    </row>
    <row r="4881" s="330" customFormat="1" ht="15" customHeight="1" spans="1:24">
      <c r="A4881" s="348">
        <v>6105052</v>
      </c>
      <c r="B4881" s="334" t="s">
        <v>405</v>
      </c>
      <c r="C4881" s="334" t="s">
        <v>8323</v>
      </c>
      <c r="D4881" s="335" t="s">
        <v>407</v>
      </c>
      <c r="E4881" s="336">
        <v>43737</v>
      </c>
      <c r="F4881" s="336">
        <v>43723</v>
      </c>
      <c r="G4881" s="336">
        <v>43723</v>
      </c>
      <c r="H4881" s="334" t="s">
        <v>11548</v>
      </c>
      <c r="I4881" s="426">
        <v>15001752098</v>
      </c>
      <c r="J4881" s="367" t="s">
        <v>11549</v>
      </c>
      <c r="K4881" s="470">
        <v>8780</v>
      </c>
      <c r="L4881" s="334">
        <v>9176</v>
      </c>
      <c r="M4881" s="338"/>
      <c r="N4881" s="362">
        <f t="shared" si="163"/>
        <v>9176</v>
      </c>
      <c r="X4881" s="339"/>
    </row>
    <row r="4882" s="330" customFormat="1" ht="15" customHeight="1" spans="1:24">
      <c r="A4882" s="550" t="s">
        <v>11550</v>
      </c>
      <c r="B4882" s="334" t="s">
        <v>805</v>
      </c>
      <c r="C4882" s="334" t="s">
        <v>806</v>
      </c>
      <c r="D4882" s="334" t="s">
        <v>171</v>
      </c>
      <c r="E4882" s="336">
        <v>43759</v>
      </c>
      <c r="F4882" s="336">
        <v>43724</v>
      </c>
      <c r="G4882" s="336">
        <v>43759</v>
      </c>
      <c r="H4882" s="334" t="s">
        <v>11551</v>
      </c>
      <c r="I4882" s="426">
        <v>13916043374</v>
      </c>
      <c r="J4882" s="367" t="s">
        <v>11552</v>
      </c>
      <c r="K4882" s="470">
        <v>10500</v>
      </c>
      <c r="L4882" s="334">
        <v>11700</v>
      </c>
      <c r="M4882" s="338"/>
      <c r="N4882" s="362">
        <f t="shared" si="163"/>
        <v>11700</v>
      </c>
      <c r="X4882" s="339"/>
    </row>
    <row r="4883" s="330" customFormat="1" ht="15" customHeight="1" spans="1:24">
      <c r="A4883" s="348"/>
      <c r="B4883" s="334" t="s">
        <v>66</v>
      </c>
      <c r="C4883" s="334" t="s">
        <v>1749</v>
      </c>
      <c r="D4883" s="334" t="s">
        <v>1436</v>
      </c>
      <c r="E4883" s="336">
        <v>43737</v>
      </c>
      <c r="F4883" s="336">
        <v>43723</v>
      </c>
      <c r="G4883" s="336">
        <v>43737</v>
      </c>
      <c r="H4883" s="334" t="s">
        <v>11553</v>
      </c>
      <c r="I4883" s="426">
        <v>13917733836</v>
      </c>
      <c r="J4883" s="367" t="s">
        <v>11554</v>
      </c>
      <c r="K4883" s="470">
        <v>1000</v>
      </c>
      <c r="L4883" s="334">
        <v>17768</v>
      </c>
      <c r="M4883" s="338"/>
      <c r="N4883" s="362">
        <f t="shared" si="163"/>
        <v>17768</v>
      </c>
      <c r="X4883" s="339"/>
    </row>
    <row r="4884" s="330" customFormat="1" ht="15" customHeight="1" spans="1:24">
      <c r="A4884" s="550" t="s">
        <v>11555</v>
      </c>
      <c r="B4884" s="334" t="s">
        <v>66</v>
      </c>
      <c r="C4884" s="334" t="s">
        <v>1749</v>
      </c>
      <c r="D4884" s="335" t="s">
        <v>68</v>
      </c>
      <c r="E4884" s="336">
        <v>43745</v>
      </c>
      <c r="F4884" s="336">
        <v>43723</v>
      </c>
      <c r="G4884" s="336">
        <v>43745</v>
      </c>
      <c r="H4884" s="334" t="s">
        <v>11556</v>
      </c>
      <c r="I4884" s="426">
        <v>15821905727</v>
      </c>
      <c r="J4884" s="367" t="s">
        <v>11557</v>
      </c>
      <c r="K4884" s="470">
        <v>5000</v>
      </c>
      <c r="L4884" s="334">
        <v>10000</v>
      </c>
      <c r="M4884" s="338"/>
      <c r="N4884" s="362">
        <f t="shared" si="163"/>
        <v>10000</v>
      </c>
      <c r="X4884" s="339"/>
    </row>
    <row r="4885" s="330" customFormat="1" ht="15" customHeight="1" spans="1:24">
      <c r="A4885" s="348"/>
      <c r="B4885" s="334" t="s">
        <v>5336</v>
      </c>
      <c r="C4885" s="334" t="s">
        <v>5336</v>
      </c>
      <c r="D4885" s="335" t="s">
        <v>8334</v>
      </c>
      <c r="E4885" s="336">
        <v>43805</v>
      </c>
      <c r="F4885" s="336">
        <v>43724</v>
      </c>
      <c r="G4885" s="336">
        <v>43804</v>
      </c>
      <c r="H4885" s="334" t="s">
        <v>11558</v>
      </c>
      <c r="I4885" s="426">
        <v>13301983287</v>
      </c>
      <c r="J4885" s="367" t="s">
        <v>11559</v>
      </c>
      <c r="K4885" s="470">
        <v>2334</v>
      </c>
      <c r="L4885" s="334">
        <v>2334</v>
      </c>
      <c r="M4885" s="338"/>
      <c r="N4885" s="362">
        <f t="shared" si="163"/>
        <v>2334</v>
      </c>
      <c r="X4885" s="339"/>
    </row>
    <row r="4886" s="330" customFormat="1" ht="15" customHeight="1" spans="1:24">
      <c r="A4886" s="348"/>
      <c r="B4886" s="334" t="s">
        <v>5336</v>
      </c>
      <c r="C4886" s="334" t="s">
        <v>5336</v>
      </c>
      <c r="D4886" s="334" t="s">
        <v>954</v>
      </c>
      <c r="E4886" s="336">
        <v>43730</v>
      </c>
      <c r="F4886" s="336">
        <v>43724</v>
      </c>
      <c r="G4886" s="336">
        <v>43726</v>
      </c>
      <c r="H4886" s="334" t="s">
        <v>11560</v>
      </c>
      <c r="I4886" s="426">
        <v>18917088023</v>
      </c>
      <c r="J4886" s="367" t="s">
        <v>11561</v>
      </c>
      <c r="K4886" s="470">
        <v>1591</v>
      </c>
      <c r="L4886" s="334">
        <v>7332</v>
      </c>
      <c r="M4886" s="338"/>
      <c r="N4886" s="362">
        <f t="shared" si="163"/>
        <v>7332</v>
      </c>
      <c r="X4886" s="339"/>
    </row>
    <row r="4887" s="330" customFormat="1" ht="15" customHeight="1" spans="1:24">
      <c r="A4887" s="550" t="s">
        <v>11562</v>
      </c>
      <c r="B4887" s="334" t="s">
        <v>87</v>
      </c>
      <c r="C4887" s="334" t="s">
        <v>1757</v>
      </c>
      <c r="D4887" s="335" t="s">
        <v>89</v>
      </c>
      <c r="E4887" s="336">
        <v>43775</v>
      </c>
      <c r="F4887" s="336">
        <v>43723</v>
      </c>
      <c r="G4887" s="336">
        <v>43774</v>
      </c>
      <c r="H4887" s="334" t="s">
        <v>11563</v>
      </c>
      <c r="I4887" s="426">
        <v>13524958337</v>
      </c>
      <c r="J4887" s="367" t="s">
        <v>11564</v>
      </c>
      <c r="K4887" s="470">
        <v>3000</v>
      </c>
      <c r="L4887" s="334">
        <v>4681</v>
      </c>
      <c r="M4887" s="338"/>
      <c r="N4887" s="362">
        <f t="shared" si="163"/>
        <v>4681</v>
      </c>
      <c r="X4887" s="339"/>
    </row>
    <row r="4888" s="330" customFormat="1" ht="15" customHeight="1" spans="1:24">
      <c r="A4888" s="550" t="s">
        <v>3544</v>
      </c>
      <c r="B4888" s="334" t="s">
        <v>87</v>
      </c>
      <c r="C4888" s="334" t="s">
        <v>10921</v>
      </c>
      <c r="D4888" s="335" t="s">
        <v>89</v>
      </c>
      <c r="E4888" s="336">
        <v>43795</v>
      </c>
      <c r="F4888" s="336">
        <v>43723</v>
      </c>
      <c r="G4888" s="336">
        <v>43794</v>
      </c>
      <c r="H4888" s="334" t="s">
        <v>11565</v>
      </c>
      <c r="I4888" s="426">
        <v>18521512630</v>
      </c>
      <c r="J4888" s="367" t="s">
        <v>11566</v>
      </c>
      <c r="K4888" s="470">
        <v>3000</v>
      </c>
      <c r="L4888" s="334">
        <v>14633</v>
      </c>
      <c r="M4888" s="338"/>
      <c r="N4888" s="362">
        <f t="shared" si="163"/>
        <v>14633</v>
      </c>
      <c r="X4888" s="339"/>
    </row>
    <row r="4889" s="330" customFormat="1" ht="15" customHeight="1" spans="1:24">
      <c r="A4889" s="550" t="s">
        <v>3180</v>
      </c>
      <c r="B4889" s="348" t="s">
        <v>87</v>
      </c>
      <c r="C4889" s="334" t="s">
        <v>199</v>
      </c>
      <c r="D4889" s="335" t="s">
        <v>89</v>
      </c>
      <c r="E4889" s="336">
        <v>43806</v>
      </c>
      <c r="F4889" s="336">
        <v>43723</v>
      </c>
      <c r="G4889" s="336">
        <v>43806</v>
      </c>
      <c r="H4889" s="334" t="s">
        <v>11567</v>
      </c>
      <c r="I4889" s="426">
        <v>13917365779</v>
      </c>
      <c r="J4889" s="367" t="s">
        <v>11568</v>
      </c>
      <c r="K4889" s="470">
        <v>3000</v>
      </c>
      <c r="L4889" s="334">
        <v>15527</v>
      </c>
      <c r="M4889" s="338"/>
      <c r="N4889" s="362">
        <f t="shared" si="163"/>
        <v>15527</v>
      </c>
      <c r="S4889" s="356" t="s">
        <v>52</v>
      </c>
      <c r="X4889" s="339"/>
    </row>
    <row r="4890" s="330" customFormat="1" ht="15" customHeight="1" spans="1:24">
      <c r="A4890" s="550" t="s">
        <v>11569</v>
      </c>
      <c r="B4890" s="334" t="s">
        <v>66</v>
      </c>
      <c r="C4890" s="334" t="s">
        <v>505</v>
      </c>
      <c r="D4890" s="334" t="s">
        <v>2302</v>
      </c>
      <c r="E4890" s="336">
        <v>43799</v>
      </c>
      <c r="F4890" s="336">
        <v>43723</v>
      </c>
      <c r="G4890" s="336">
        <v>43799</v>
      </c>
      <c r="H4890" s="334" t="s">
        <v>1639</v>
      </c>
      <c r="I4890" s="426">
        <v>13661681514</v>
      </c>
      <c r="J4890" s="367" t="s">
        <v>11570</v>
      </c>
      <c r="K4890" s="470">
        <v>1000</v>
      </c>
      <c r="L4890" s="334">
        <v>6581</v>
      </c>
      <c r="M4890" s="338"/>
      <c r="N4890" s="362">
        <f t="shared" si="163"/>
        <v>6581</v>
      </c>
      <c r="Q4890" s="330" t="s">
        <v>52</v>
      </c>
      <c r="X4890" s="339"/>
    </row>
    <row r="4891" s="330" customFormat="1" ht="15" customHeight="1" spans="1:24">
      <c r="A4891" s="550" t="s">
        <v>11571</v>
      </c>
      <c r="B4891" s="334" t="s">
        <v>31</v>
      </c>
      <c r="C4891" s="334" t="s">
        <v>220</v>
      </c>
      <c r="D4891" s="335" t="s">
        <v>221</v>
      </c>
      <c r="E4891" s="336">
        <v>43724</v>
      </c>
      <c r="F4891" s="336">
        <v>43723</v>
      </c>
      <c r="G4891" s="399"/>
      <c r="H4891" s="334" t="s">
        <v>11572</v>
      </c>
      <c r="I4891" s="426">
        <v>13816307025</v>
      </c>
      <c r="J4891" s="367" t="s">
        <v>11573</v>
      </c>
      <c r="K4891" s="470">
        <v>1000</v>
      </c>
      <c r="L4891" s="338"/>
      <c r="M4891" s="338"/>
      <c r="N4891" s="362">
        <f t="shared" si="163"/>
        <v>0</v>
      </c>
      <c r="U4891" s="330" t="s">
        <v>12</v>
      </c>
      <c r="X4891" s="339"/>
    </row>
    <row r="4892" s="330" customFormat="1" ht="15" customHeight="1" spans="1:24">
      <c r="A4892" s="550" t="s">
        <v>11574</v>
      </c>
      <c r="B4892" s="334" t="s">
        <v>66</v>
      </c>
      <c r="C4892" s="334" t="s">
        <v>67</v>
      </c>
      <c r="D4892" s="334" t="s">
        <v>2302</v>
      </c>
      <c r="E4892" s="336">
        <v>43744</v>
      </c>
      <c r="F4892" s="336">
        <v>43723</v>
      </c>
      <c r="G4892" s="336">
        <v>43743</v>
      </c>
      <c r="H4892" s="334" t="s">
        <v>11575</v>
      </c>
      <c r="I4892" s="426">
        <v>13186782151</v>
      </c>
      <c r="J4892" s="367" t="s">
        <v>11576</v>
      </c>
      <c r="K4892" s="470">
        <v>1000</v>
      </c>
      <c r="L4892" s="334">
        <v>10950</v>
      </c>
      <c r="M4892" s="338"/>
      <c r="N4892" s="362">
        <f t="shared" si="163"/>
        <v>10950</v>
      </c>
      <c r="X4892" s="339"/>
    </row>
    <row r="4893" s="330" customFormat="1" ht="15" customHeight="1" spans="1:24">
      <c r="A4893" s="550" t="s">
        <v>11577</v>
      </c>
      <c r="B4893" s="334" t="s">
        <v>147</v>
      </c>
      <c r="C4893" s="334" t="s">
        <v>148</v>
      </c>
      <c r="D4893" s="334" t="s">
        <v>1170</v>
      </c>
      <c r="E4893" s="336">
        <v>43737</v>
      </c>
      <c r="F4893" s="336">
        <v>43715</v>
      </c>
      <c r="G4893" s="336">
        <v>43737</v>
      </c>
      <c r="H4893" s="336" t="s">
        <v>6690</v>
      </c>
      <c r="I4893" s="426">
        <v>13818701683</v>
      </c>
      <c r="J4893" s="367" t="s">
        <v>11578</v>
      </c>
      <c r="K4893" s="470">
        <v>28100</v>
      </c>
      <c r="L4893" s="334">
        <v>27991</v>
      </c>
      <c r="M4893" s="338"/>
      <c r="N4893" s="362">
        <f t="shared" ref="N4893:N4922" si="164">L4893+M4893</f>
        <v>27991</v>
      </c>
      <c r="X4893" s="339"/>
    </row>
    <row r="4894" s="330" customFormat="1" ht="15" customHeight="1" spans="1:24">
      <c r="A4894" s="348"/>
      <c r="B4894" s="334" t="s">
        <v>153</v>
      </c>
      <c r="C4894" s="334" t="s">
        <v>302</v>
      </c>
      <c r="D4894" s="335" t="s">
        <v>155</v>
      </c>
      <c r="E4894" s="336">
        <v>43769</v>
      </c>
      <c r="F4894" s="336">
        <v>43723</v>
      </c>
      <c r="G4894" s="336">
        <v>43768</v>
      </c>
      <c r="H4894" s="334" t="s">
        <v>11579</v>
      </c>
      <c r="I4894" s="426">
        <v>13816970364</v>
      </c>
      <c r="J4894" s="367" t="s">
        <v>11580</v>
      </c>
      <c r="K4894" s="470">
        <v>1998</v>
      </c>
      <c r="L4894" s="334">
        <v>4983</v>
      </c>
      <c r="M4894" s="338"/>
      <c r="N4894" s="362">
        <f t="shared" si="164"/>
        <v>4983</v>
      </c>
      <c r="X4894" s="339"/>
    </row>
    <row r="4895" s="330" customFormat="1" ht="15" customHeight="1" spans="1:24">
      <c r="A4895" s="348"/>
      <c r="B4895" s="334" t="s">
        <v>169</v>
      </c>
      <c r="C4895" s="334" t="s">
        <v>634</v>
      </c>
      <c r="D4895" s="335" t="s">
        <v>635</v>
      </c>
      <c r="E4895" s="336">
        <v>43750</v>
      </c>
      <c r="F4895" s="336">
        <v>43723</v>
      </c>
      <c r="G4895" s="336">
        <v>43750</v>
      </c>
      <c r="H4895" s="334" t="s">
        <v>11581</v>
      </c>
      <c r="I4895" s="558" t="s">
        <v>11582</v>
      </c>
      <c r="J4895" s="367" t="s">
        <v>11583</v>
      </c>
      <c r="K4895" s="470">
        <v>2700</v>
      </c>
      <c r="L4895" s="334">
        <v>9491</v>
      </c>
      <c r="M4895" s="334"/>
      <c r="N4895" s="362">
        <f t="shared" si="164"/>
        <v>9491</v>
      </c>
      <c r="X4895" s="339"/>
    </row>
    <row r="4896" s="330" customFormat="1" ht="15" customHeight="1" spans="1:24">
      <c r="A4896" s="348"/>
      <c r="B4896" s="334" t="s">
        <v>66</v>
      </c>
      <c r="C4896" s="334" t="s">
        <v>3954</v>
      </c>
      <c r="D4896" s="335" t="s">
        <v>1436</v>
      </c>
      <c r="E4896" s="336">
        <v>43738</v>
      </c>
      <c r="F4896" s="336">
        <v>43724</v>
      </c>
      <c r="G4896" s="336">
        <v>43738</v>
      </c>
      <c r="H4896" s="334" t="s">
        <v>11584</v>
      </c>
      <c r="I4896" s="426">
        <v>15121159673</v>
      </c>
      <c r="J4896" s="367" t="s">
        <v>11585</v>
      </c>
      <c r="K4896" s="470">
        <v>10000</v>
      </c>
      <c r="L4896" s="334">
        <v>10000</v>
      </c>
      <c r="M4896" s="338"/>
      <c r="N4896" s="362">
        <f t="shared" si="164"/>
        <v>10000</v>
      </c>
      <c r="X4896" s="339"/>
    </row>
    <row r="4897" s="330" customFormat="1" ht="15" customHeight="1" spans="1:24">
      <c r="A4897" s="550" t="s">
        <v>11586</v>
      </c>
      <c r="B4897" s="334" t="s">
        <v>66</v>
      </c>
      <c r="C4897" s="334" t="s">
        <v>119</v>
      </c>
      <c r="D4897" s="335" t="s">
        <v>68</v>
      </c>
      <c r="E4897" s="336">
        <v>43789</v>
      </c>
      <c r="F4897" s="336">
        <v>43723</v>
      </c>
      <c r="G4897" s="336">
        <v>43789</v>
      </c>
      <c r="H4897" s="334" t="s">
        <v>11587</v>
      </c>
      <c r="I4897" s="426">
        <v>13901600637</v>
      </c>
      <c r="J4897" s="367" t="s">
        <v>11588</v>
      </c>
      <c r="K4897" s="470">
        <v>1000</v>
      </c>
      <c r="L4897" s="334">
        <v>11000</v>
      </c>
      <c r="M4897" s="338"/>
      <c r="N4897" s="362">
        <f t="shared" si="164"/>
        <v>11000</v>
      </c>
      <c r="X4897" s="339"/>
    </row>
    <row r="4898" s="330" customFormat="1" ht="15" customHeight="1" spans="1:24">
      <c r="A4898" s="550" t="s">
        <v>11589</v>
      </c>
      <c r="B4898" s="334" t="s">
        <v>153</v>
      </c>
      <c r="C4898" s="334" t="s">
        <v>154</v>
      </c>
      <c r="D4898" s="335" t="s">
        <v>155</v>
      </c>
      <c r="E4898" s="336">
        <v>43737</v>
      </c>
      <c r="F4898" s="336">
        <v>43723</v>
      </c>
      <c r="G4898" s="336">
        <v>43737</v>
      </c>
      <c r="H4898" s="334" t="s">
        <v>11590</v>
      </c>
      <c r="I4898" s="426">
        <v>13003133137</v>
      </c>
      <c r="J4898" s="367" t="s">
        <v>11591</v>
      </c>
      <c r="K4898" s="470">
        <v>1000</v>
      </c>
      <c r="L4898" s="334">
        <v>11000</v>
      </c>
      <c r="M4898" s="338"/>
      <c r="N4898" s="362">
        <f t="shared" si="164"/>
        <v>11000</v>
      </c>
      <c r="X4898" s="339"/>
    </row>
    <row r="4899" s="330" customFormat="1" ht="15" customHeight="1" spans="1:24">
      <c r="A4899" s="550" t="s">
        <v>9196</v>
      </c>
      <c r="B4899" s="334" t="s">
        <v>153</v>
      </c>
      <c r="C4899" s="334" t="s">
        <v>154</v>
      </c>
      <c r="D4899" s="335" t="s">
        <v>155</v>
      </c>
      <c r="E4899" s="336">
        <v>43738</v>
      </c>
      <c r="F4899" s="336">
        <v>43723</v>
      </c>
      <c r="G4899" s="336">
        <v>43737</v>
      </c>
      <c r="H4899" s="334" t="s">
        <v>11592</v>
      </c>
      <c r="I4899" s="426">
        <v>13901741632</v>
      </c>
      <c r="J4899" s="367" t="s">
        <v>11593</v>
      </c>
      <c r="K4899" s="470">
        <v>14950</v>
      </c>
      <c r="L4899" s="334">
        <v>14950</v>
      </c>
      <c r="M4899" s="338"/>
      <c r="N4899" s="362">
        <f t="shared" si="164"/>
        <v>14950</v>
      </c>
      <c r="X4899" s="339"/>
    </row>
    <row r="4900" s="330" customFormat="1" ht="15" customHeight="1" spans="1:24">
      <c r="A4900" s="550" t="s">
        <v>11594</v>
      </c>
      <c r="B4900" s="334" t="s">
        <v>42</v>
      </c>
      <c r="C4900" s="334" t="s">
        <v>43</v>
      </c>
      <c r="D4900" s="334" t="s">
        <v>237</v>
      </c>
      <c r="E4900" s="336">
        <v>43735</v>
      </c>
      <c r="F4900" s="336">
        <v>43723</v>
      </c>
      <c r="G4900" s="336">
        <v>43734</v>
      </c>
      <c r="H4900" s="334" t="s">
        <v>11595</v>
      </c>
      <c r="I4900" s="426">
        <v>13661690096</v>
      </c>
      <c r="J4900" s="367" t="s">
        <v>11596</v>
      </c>
      <c r="K4900" s="470">
        <v>12177</v>
      </c>
      <c r="L4900" s="334">
        <v>11870</v>
      </c>
      <c r="M4900" s="338"/>
      <c r="N4900" s="362">
        <f t="shared" si="164"/>
        <v>11870</v>
      </c>
      <c r="X4900" s="339"/>
    </row>
    <row r="4901" s="330" customFormat="1" ht="15" customHeight="1" spans="1:24">
      <c r="A4901" s="550" t="s">
        <v>11597</v>
      </c>
      <c r="B4901" s="334" t="s">
        <v>137</v>
      </c>
      <c r="C4901" s="334" t="s">
        <v>2705</v>
      </c>
      <c r="D4901" s="335" t="s">
        <v>443</v>
      </c>
      <c r="E4901" s="336">
        <v>43732</v>
      </c>
      <c r="F4901" s="336">
        <v>43723</v>
      </c>
      <c r="G4901" s="336">
        <v>43731</v>
      </c>
      <c r="H4901" s="334" t="s">
        <v>11598</v>
      </c>
      <c r="I4901" s="426">
        <v>13818039043</v>
      </c>
      <c r="J4901" s="367" t="s">
        <v>11599</v>
      </c>
      <c r="K4901" s="470">
        <v>18200</v>
      </c>
      <c r="L4901" s="334">
        <v>18200</v>
      </c>
      <c r="M4901" s="338"/>
      <c r="N4901" s="362">
        <f t="shared" si="164"/>
        <v>18200</v>
      </c>
      <c r="X4901" s="339"/>
    </row>
    <row r="4902" s="330" customFormat="1" ht="15" customHeight="1" spans="1:24">
      <c r="A4902" s="550" t="s">
        <v>11600</v>
      </c>
      <c r="B4902" s="334" t="s">
        <v>147</v>
      </c>
      <c r="C4902" s="334" t="s">
        <v>148</v>
      </c>
      <c r="D4902" s="334" t="s">
        <v>1170</v>
      </c>
      <c r="E4902" s="336">
        <v>43727</v>
      </c>
      <c r="F4902" s="336">
        <v>43723</v>
      </c>
      <c r="G4902" s="336">
        <v>43724</v>
      </c>
      <c r="H4902" s="334" t="s">
        <v>11601</v>
      </c>
      <c r="I4902" s="426">
        <v>18621315555</v>
      </c>
      <c r="J4902" s="367" t="s">
        <v>11602</v>
      </c>
      <c r="K4902" s="470">
        <v>1000</v>
      </c>
      <c r="L4902" s="334">
        <v>20425</v>
      </c>
      <c r="M4902" s="338"/>
      <c r="N4902" s="362">
        <f t="shared" si="164"/>
        <v>20425</v>
      </c>
      <c r="X4902" s="339"/>
    </row>
    <row r="4903" s="330" customFormat="1" ht="15" customHeight="1" spans="1:24">
      <c r="A4903" s="550" t="s">
        <v>11603</v>
      </c>
      <c r="B4903" s="348" t="s">
        <v>137</v>
      </c>
      <c r="C4903" s="334" t="s">
        <v>861</v>
      </c>
      <c r="D4903" s="334" t="s">
        <v>75</v>
      </c>
      <c r="E4903" s="336">
        <v>43725</v>
      </c>
      <c r="F4903" s="336">
        <v>43721</v>
      </c>
      <c r="G4903" s="336">
        <v>43723</v>
      </c>
      <c r="H4903" s="334" t="s">
        <v>11604</v>
      </c>
      <c r="I4903" s="426">
        <v>13611660696</v>
      </c>
      <c r="J4903" s="367" t="s">
        <v>11605</v>
      </c>
      <c r="K4903" s="470">
        <v>5498</v>
      </c>
      <c r="L4903" s="334">
        <v>5498</v>
      </c>
      <c r="M4903" s="338"/>
      <c r="N4903" s="362">
        <f t="shared" si="164"/>
        <v>5498</v>
      </c>
      <c r="X4903" s="339"/>
    </row>
    <row r="4904" s="330" customFormat="1" ht="15" customHeight="1" spans="1:24">
      <c r="A4904" s="550" t="s">
        <v>7979</v>
      </c>
      <c r="B4904" s="348" t="s">
        <v>185</v>
      </c>
      <c r="C4904" s="334" t="s">
        <v>886</v>
      </c>
      <c r="D4904" s="335" t="s">
        <v>187</v>
      </c>
      <c r="E4904" s="336">
        <v>43784</v>
      </c>
      <c r="F4904" s="336">
        <v>43723</v>
      </c>
      <c r="G4904" s="336">
        <v>43778</v>
      </c>
      <c r="H4904" s="334" t="s">
        <v>11606</v>
      </c>
      <c r="I4904" s="426">
        <v>13701887934</v>
      </c>
      <c r="J4904" s="367" t="s">
        <v>11607</v>
      </c>
      <c r="K4904" s="470">
        <v>0</v>
      </c>
      <c r="L4904" s="334">
        <v>13540</v>
      </c>
      <c r="M4904" s="338"/>
      <c r="N4904" s="362">
        <f t="shared" si="164"/>
        <v>13540</v>
      </c>
      <c r="X4904" s="339"/>
    </row>
    <row r="4905" s="330" customFormat="1" ht="15" customHeight="1" spans="1:24">
      <c r="A4905" s="550" t="s">
        <v>11608</v>
      </c>
      <c r="B4905" s="334" t="s">
        <v>137</v>
      </c>
      <c r="C4905" s="334" t="s">
        <v>861</v>
      </c>
      <c r="D4905" s="334" t="s">
        <v>443</v>
      </c>
      <c r="E4905" s="336">
        <v>43737</v>
      </c>
      <c r="F4905" s="336">
        <v>43721</v>
      </c>
      <c r="G4905" s="336">
        <v>43735</v>
      </c>
      <c r="H4905" s="334" t="s">
        <v>6852</v>
      </c>
      <c r="I4905" s="334">
        <v>13501704332</v>
      </c>
      <c r="J4905" s="367" t="s">
        <v>11609</v>
      </c>
      <c r="K4905" s="470">
        <v>23400</v>
      </c>
      <c r="L4905" s="334">
        <v>34477</v>
      </c>
      <c r="M4905" s="338"/>
      <c r="N4905" s="362">
        <f t="shared" si="164"/>
        <v>34477</v>
      </c>
      <c r="X4905" s="339"/>
    </row>
    <row r="4906" s="330" customFormat="1" ht="15" customHeight="1" spans="1:24">
      <c r="A4906" s="550" t="s">
        <v>997</v>
      </c>
      <c r="B4906" s="348" t="s">
        <v>58</v>
      </c>
      <c r="C4906" s="334" t="s">
        <v>59</v>
      </c>
      <c r="D4906" s="335" t="s">
        <v>271</v>
      </c>
      <c r="E4906" s="336">
        <v>43737</v>
      </c>
      <c r="F4906" s="336">
        <v>43723</v>
      </c>
      <c r="G4906" s="336">
        <v>43737</v>
      </c>
      <c r="H4906" s="334" t="s">
        <v>11610</v>
      </c>
      <c r="I4906" s="426">
        <v>13916805681</v>
      </c>
      <c r="J4906" s="367" t="s">
        <v>11611</v>
      </c>
      <c r="K4906" s="470">
        <v>13245</v>
      </c>
      <c r="L4906" s="334">
        <v>13245</v>
      </c>
      <c r="M4906" s="338"/>
      <c r="N4906" s="362">
        <f t="shared" si="164"/>
        <v>13245</v>
      </c>
      <c r="X4906" s="339"/>
    </row>
    <row r="4907" s="330" customFormat="1" ht="15" customHeight="1" spans="1:24">
      <c r="A4907" s="550" t="s">
        <v>1783</v>
      </c>
      <c r="B4907" s="348" t="s">
        <v>58</v>
      </c>
      <c r="C4907" s="334" t="s">
        <v>59</v>
      </c>
      <c r="D4907" s="335" t="s">
        <v>271</v>
      </c>
      <c r="E4907" s="336">
        <v>43733</v>
      </c>
      <c r="F4907" s="336">
        <v>43723</v>
      </c>
      <c r="G4907" s="336">
        <v>43730</v>
      </c>
      <c r="H4907" s="334" t="s">
        <v>11612</v>
      </c>
      <c r="I4907" s="426">
        <v>13501741936</v>
      </c>
      <c r="J4907" s="367" t="s">
        <v>11613</v>
      </c>
      <c r="K4907" s="470">
        <v>90000</v>
      </c>
      <c r="L4907" s="334">
        <v>104924</v>
      </c>
      <c r="M4907" s="338"/>
      <c r="N4907" s="362">
        <f t="shared" si="164"/>
        <v>104924</v>
      </c>
      <c r="X4907" s="339"/>
    </row>
    <row r="4908" s="330" customFormat="1" ht="15" customHeight="1" spans="1:24">
      <c r="A4908" s="550" t="s">
        <v>11614</v>
      </c>
      <c r="B4908" s="334" t="s">
        <v>137</v>
      </c>
      <c r="C4908" s="334" t="s">
        <v>861</v>
      </c>
      <c r="D4908" s="335" t="s">
        <v>427</v>
      </c>
      <c r="E4908" s="336">
        <v>43724</v>
      </c>
      <c r="F4908" s="336">
        <v>43722</v>
      </c>
      <c r="G4908" s="399"/>
      <c r="H4908" s="334" t="s">
        <v>11615</v>
      </c>
      <c r="I4908" s="426">
        <v>13162123515</v>
      </c>
      <c r="J4908" s="334" t="s">
        <v>11616</v>
      </c>
      <c r="K4908" s="470">
        <v>3000</v>
      </c>
      <c r="L4908" s="338"/>
      <c r="M4908" s="338"/>
      <c r="N4908" s="362">
        <f t="shared" si="164"/>
        <v>0</v>
      </c>
      <c r="O4908" s="330" t="s">
        <v>1608</v>
      </c>
      <c r="X4908" s="339"/>
    </row>
    <row r="4909" s="330" customFormat="1" ht="15" customHeight="1" spans="1:24">
      <c r="A4909" s="550" t="s">
        <v>864</v>
      </c>
      <c r="B4909" s="334" t="s">
        <v>137</v>
      </c>
      <c r="C4909" s="334" t="s">
        <v>861</v>
      </c>
      <c r="D4909" s="335" t="s">
        <v>443</v>
      </c>
      <c r="E4909" s="336">
        <v>43738</v>
      </c>
      <c r="F4909" s="336">
        <v>43722</v>
      </c>
      <c r="G4909" s="336">
        <v>43738</v>
      </c>
      <c r="H4909" s="334" t="s">
        <v>11617</v>
      </c>
      <c r="I4909" s="426">
        <v>13905211639</v>
      </c>
      <c r="J4909" s="367" t="s">
        <v>11618</v>
      </c>
      <c r="K4909" s="470">
        <v>4800</v>
      </c>
      <c r="L4909" s="334">
        <v>4800</v>
      </c>
      <c r="M4909" s="338"/>
      <c r="N4909" s="362">
        <f t="shared" si="164"/>
        <v>4800</v>
      </c>
      <c r="X4909" s="339"/>
    </row>
    <row r="4910" s="330" customFormat="1" ht="15" customHeight="1" spans="1:24">
      <c r="A4910" s="550" t="s">
        <v>11619</v>
      </c>
      <c r="B4910" s="334" t="s">
        <v>137</v>
      </c>
      <c r="C4910" s="334" t="s">
        <v>861</v>
      </c>
      <c r="D4910" s="425" t="s">
        <v>139</v>
      </c>
      <c r="E4910" s="424">
        <v>43737</v>
      </c>
      <c r="F4910" s="336">
        <v>43722</v>
      </c>
      <c r="G4910" s="424">
        <v>43737</v>
      </c>
      <c r="H4910" s="334" t="s">
        <v>11620</v>
      </c>
      <c r="I4910" s="426">
        <v>18263481946</v>
      </c>
      <c r="J4910" s="367" t="s">
        <v>11621</v>
      </c>
      <c r="K4910" s="470">
        <v>1000</v>
      </c>
      <c r="L4910" s="425">
        <f>15183-1712</f>
        <v>13471</v>
      </c>
      <c r="M4910" s="425">
        <v>1712</v>
      </c>
      <c r="N4910" s="362">
        <f t="shared" si="164"/>
        <v>15183</v>
      </c>
      <c r="X4910" s="339"/>
    </row>
    <row r="4911" s="330" customFormat="1" ht="15" customHeight="1" spans="1:24">
      <c r="A4911" s="550" t="s">
        <v>11622</v>
      </c>
      <c r="B4911" s="334" t="s">
        <v>42</v>
      </c>
      <c r="C4911" s="334" t="s">
        <v>43</v>
      </c>
      <c r="D4911" s="334" t="s">
        <v>237</v>
      </c>
      <c r="E4911" s="336">
        <v>43735</v>
      </c>
      <c r="F4911" s="336">
        <v>43723</v>
      </c>
      <c r="G4911" s="336">
        <v>43735</v>
      </c>
      <c r="H4911" s="334" t="s">
        <v>11623</v>
      </c>
      <c r="I4911" s="426">
        <v>13357102111</v>
      </c>
      <c r="J4911" s="367" t="s">
        <v>11624</v>
      </c>
      <c r="K4911" s="470">
        <v>8252</v>
      </c>
      <c r="L4911" s="334">
        <v>8252</v>
      </c>
      <c r="M4911" s="338"/>
      <c r="N4911" s="362">
        <f t="shared" si="164"/>
        <v>8252</v>
      </c>
      <c r="X4911" s="339"/>
    </row>
    <row r="4912" s="330" customFormat="1" ht="15" customHeight="1" spans="1:24">
      <c r="A4912" s="550" t="s">
        <v>752</v>
      </c>
      <c r="B4912" s="334" t="s">
        <v>31</v>
      </c>
      <c r="C4912" s="334" t="s">
        <v>3186</v>
      </c>
      <c r="D4912" s="334" t="s">
        <v>33</v>
      </c>
      <c r="E4912" s="336">
        <v>43782</v>
      </c>
      <c r="F4912" s="336">
        <v>43723</v>
      </c>
      <c r="G4912" s="336">
        <v>43774</v>
      </c>
      <c r="H4912" s="334" t="s">
        <v>1073</v>
      </c>
      <c r="I4912" s="426">
        <v>13918532212</v>
      </c>
      <c r="J4912" s="367" t="s">
        <v>11625</v>
      </c>
      <c r="K4912" s="470">
        <v>1000</v>
      </c>
      <c r="L4912" s="334">
        <v>6600</v>
      </c>
      <c r="M4912" s="338"/>
      <c r="N4912" s="362">
        <f t="shared" si="164"/>
        <v>6600</v>
      </c>
      <c r="X4912" s="339"/>
    </row>
    <row r="4913" s="330" customFormat="1" ht="15" customHeight="1" spans="1:24">
      <c r="A4913" s="348">
        <v>2022523</v>
      </c>
      <c r="B4913" s="334" t="s">
        <v>73</v>
      </c>
      <c r="C4913" s="334" t="s">
        <v>74</v>
      </c>
      <c r="D4913" s="335" t="s">
        <v>75</v>
      </c>
      <c r="E4913" s="336">
        <v>43724</v>
      </c>
      <c r="F4913" s="336">
        <v>43723</v>
      </c>
      <c r="G4913" s="350" t="s">
        <v>69</v>
      </c>
      <c r="H4913" s="334" t="s">
        <v>11626</v>
      </c>
      <c r="I4913" s="426">
        <v>19918687848</v>
      </c>
      <c r="J4913" s="367" t="s">
        <v>11627</v>
      </c>
      <c r="K4913" s="470">
        <v>1000</v>
      </c>
      <c r="L4913" s="338"/>
      <c r="M4913" s="338"/>
      <c r="N4913" s="362">
        <f t="shared" si="164"/>
        <v>0</v>
      </c>
      <c r="Q4913" s="366" t="s">
        <v>52</v>
      </c>
      <c r="X4913" s="339"/>
    </row>
    <row r="4914" s="330" customFormat="1" ht="15" customHeight="1" spans="1:24">
      <c r="A4914" s="348">
        <v>2022528</v>
      </c>
      <c r="B4914" s="334" t="s">
        <v>73</v>
      </c>
      <c r="C4914" s="334" t="s">
        <v>178</v>
      </c>
      <c r="D4914" s="335" t="s">
        <v>717</v>
      </c>
      <c r="E4914" s="336">
        <v>43726</v>
      </c>
      <c r="F4914" s="336">
        <v>43723</v>
      </c>
      <c r="G4914" s="336">
        <v>43726</v>
      </c>
      <c r="H4914" s="334" t="s">
        <v>11628</v>
      </c>
      <c r="I4914" s="426">
        <v>15026696228</v>
      </c>
      <c r="J4914" s="367" t="s">
        <v>11629</v>
      </c>
      <c r="K4914" s="470">
        <v>1000</v>
      </c>
      <c r="L4914" s="334">
        <f>21600-2280</f>
        <v>19320</v>
      </c>
      <c r="M4914" s="334">
        <v>2280</v>
      </c>
      <c r="N4914" s="362">
        <f t="shared" si="164"/>
        <v>21600</v>
      </c>
      <c r="X4914" s="339"/>
    </row>
    <row r="4915" s="330" customFormat="1" ht="15" customHeight="1" spans="1:24">
      <c r="A4915" s="348">
        <v>2022530</v>
      </c>
      <c r="B4915" s="334" t="s">
        <v>73</v>
      </c>
      <c r="C4915" s="334" t="s">
        <v>74</v>
      </c>
      <c r="D4915" s="352" t="s">
        <v>75</v>
      </c>
      <c r="E4915" s="336">
        <v>43724</v>
      </c>
      <c r="F4915" s="336">
        <v>43723</v>
      </c>
      <c r="G4915" s="399"/>
      <c r="H4915" s="334" t="s">
        <v>11630</v>
      </c>
      <c r="I4915" s="426">
        <v>19601603172</v>
      </c>
      <c r="J4915" s="367" t="s">
        <v>11631</v>
      </c>
      <c r="K4915" s="470">
        <v>1000</v>
      </c>
      <c r="L4915" s="338"/>
      <c r="M4915" s="338"/>
      <c r="N4915" s="362">
        <f t="shared" si="164"/>
        <v>0</v>
      </c>
      <c r="P4915" s="366" t="s">
        <v>52</v>
      </c>
      <c r="Q4915" s="366"/>
      <c r="U4915" s="350" t="s">
        <v>40</v>
      </c>
      <c r="X4915" s="339"/>
    </row>
    <row r="4916" s="330" customFormat="1" ht="15" customHeight="1" spans="1:24">
      <c r="A4916" s="348">
        <v>2022527</v>
      </c>
      <c r="B4916" s="334" t="s">
        <v>73</v>
      </c>
      <c r="C4916" s="334" t="s">
        <v>74</v>
      </c>
      <c r="D4916" s="335" t="s">
        <v>717</v>
      </c>
      <c r="E4916" s="336">
        <v>43769</v>
      </c>
      <c r="F4916" s="336">
        <v>43723</v>
      </c>
      <c r="G4916" s="336">
        <v>43769</v>
      </c>
      <c r="H4916" s="334" t="s">
        <v>11632</v>
      </c>
      <c r="I4916" s="426">
        <v>13801677036</v>
      </c>
      <c r="J4916" s="367" t="s">
        <v>11633</v>
      </c>
      <c r="K4916" s="470">
        <v>1000</v>
      </c>
      <c r="L4916" s="334">
        <v>39148</v>
      </c>
      <c r="M4916" s="338"/>
      <c r="N4916" s="362">
        <f t="shared" si="164"/>
        <v>39148</v>
      </c>
      <c r="X4916" s="339"/>
    </row>
    <row r="4917" s="330" customFormat="1" ht="15" customHeight="1" spans="1:24">
      <c r="A4917" s="348">
        <v>2022532</v>
      </c>
      <c r="B4917" s="334" t="s">
        <v>73</v>
      </c>
      <c r="C4917" s="334" t="s">
        <v>74</v>
      </c>
      <c r="D4917" s="334" t="s">
        <v>75</v>
      </c>
      <c r="E4917" s="336">
        <v>43724</v>
      </c>
      <c r="F4917" s="336">
        <v>43723</v>
      </c>
      <c r="G4917" s="336">
        <v>43724</v>
      </c>
      <c r="H4917" s="334" t="s">
        <v>11634</v>
      </c>
      <c r="I4917" s="334">
        <v>13901605854</v>
      </c>
      <c r="J4917" s="367" t="s">
        <v>11635</v>
      </c>
      <c r="K4917" s="470">
        <v>10000</v>
      </c>
      <c r="L4917" s="334">
        <v>112121</v>
      </c>
      <c r="M4917" s="338"/>
      <c r="N4917" s="362">
        <f t="shared" si="164"/>
        <v>112121</v>
      </c>
      <c r="X4917" s="339"/>
    </row>
    <row r="4918" s="330" customFormat="1" ht="15" customHeight="1" spans="1:24">
      <c r="A4918" s="348">
        <v>2022531</v>
      </c>
      <c r="B4918" s="334" t="s">
        <v>73</v>
      </c>
      <c r="C4918" s="334" t="s">
        <v>74</v>
      </c>
      <c r="D4918" s="352" t="s">
        <v>75</v>
      </c>
      <c r="E4918" s="336">
        <v>43724</v>
      </c>
      <c r="F4918" s="336">
        <v>43723</v>
      </c>
      <c r="G4918" s="350" t="s">
        <v>69</v>
      </c>
      <c r="H4918" s="334" t="s">
        <v>11636</v>
      </c>
      <c r="I4918" s="426">
        <v>13901605854</v>
      </c>
      <c r="J4918" s="367" t="s">
        <v>11635</v>
      </c>
      <c r="K4918" s="470">
        <v>10000</v>
      </c>
      <c r="L4918" s="338"/>
      <c r="M4918" s="338"/>
      <c r="N4918" s="362">
        <f t="shared" si="164"/>
        <v>0</v>
      </c>
      <c r="P4918" s="366" t="s">
        <v>52</v>
      </c>
      <c r="X4918" s="339"/>
    </row>
    <row r="4919" s="330" customFormat="1" ht="15" customHeight="1" spans="1:24">
      <c r="A4919" s="550" t="s">
        <v>11637</v>
      </c>
      <c r="B4919" s="334" t="s">
        <v>31</v>
      </c>
      <c r="C4919" s="334" t="s">
        <v>377</v>
      </c>
      <c r="D4919" s="335" t="s">
        <v>221</v>
      </c>
      <c r="E4919" s="336">
        <v>43759</v>
      </c>
      <c r="F4919" s="336">
        <v>43723</v>
      </c>
      <c r="G4919" s="336">
        <v>43757</v>
      </c>
      <c r="H4919" s="334" t="s">
        <v>11638</v>
      </c>
      <c r="I4919" s="426">
        <v>18021053258</v>
      </c>
      <c r="J4919" s="367" t="s">
        <v>11639</v>
      </c>
      <c r="K4919" s="470">
        <v>1000</v>
      </c>
      <c r="L4919" s="334">
        <v>31100</v>
      </c>
      <c r="M4919" s="338"/>
      <c r="N4919" s="362">
        <f t="shared" si="164"/>
        <v>31100</v>
      </c>
      <c r="X4919" s="339"/>
    </row>
    <row r="4920" s="330" customFormat="1" ht="15" customHeight="1" spans="1:24">
      <c r="A4920" s="550" t="s">
        <v>11640</v>
      </c>
      <c r="B4920" s="334" t="s">
        <v>31</v>
      </c>
      <c r="C4920" s="334" t="s">
        <v>377</v>
      </c>
      <c r="D4920" s="334" t="s">
        <v>954</v>
      </c>
      <c r="E4920" s="336">
        <v>43731</v>
      </c>
      <c r="F4920" s="336">
        <v>43723</v>
      </c>
      <c r="G4920" s="336">
        <v>43730</v>
      </c>
      <c r="H4920" s="334" t="s">
        <v>11641</v>
      </c>
      <c r="I4920" s="426">
        <v>13816670070</v>
      </c>
      <c r="J4920" s="367" t="s">
        <v>11642</v>
      </c>
      <c r="K4920" s="470">
        <v>1000</v>
      </c>
      <c r="L4920" s="334">
        <f>4600-736</f>
        <v>3864</v>
      </c>
      <c r="M4920" s="334">
        <v>736</v>
      </c>
      <c r="N4920" s="362">
        <f t="shared" si="164"/>
        <v>4600</v>
      </c>
      <c r="X4920" s="339"/>
    </row>
    <row r="4921" s="330" customFormat="1" ht="15" customHeight="1" spans="1:24">
      <c r="A4921" s="550" t="s">
        <v>11643</v>
      </c>
      <c r="B4921" s="334" t="s">
        <v>31</v>
      </c>
      <c r="C4921" s="334" t="s">
        <v>3186</v>
      </c>
      <c r="D4921" s="335" t="s">
        <v>221</v>
      </c>
      <c r="E4921" s="336">
        <v>43760</v>
      </c>
      <c r="F4921" s="336">
        <v>43723</v>
      </c>
      <c r="G4921" s="336">
        <v>43758</v>
      </c>
      <c r="H4921" s="334" t="s">
        <v>11644</v>
      </c>
      <c r="I4921" s="426">
        <v>18916216102</v>
      </c>
      <c r="J4921" s="367" t="s">
        <v>11645</v>
      </c>
      <c r="K4921" s="470">
        <v>1000</v>
      </c>
      <c r="L4921" s="334"/>
      <c r="M4921" s="334">
        <v>855</v>
      </c>
      <c r="N4921" s="362">
        <f t="shared" si="164"/>
        <v>855</v>
      </c>
      <c r="X4921" s="339"/>
    </row>
    <row r="4922" s="330" customFormat="1" ht="15" customHeight="1" spans="1:24">
      <c r="A4922" s="550" t="s">
        <v>4652</v>
      </c>
      <c r="B4922" s="348" t="s">
        <v>185</v>
      </c>
      <c r="C4922" s="334" t="s">
        <v>886</v>
      </c>
      <c r="D4922" s="335" t="s">
        <v>187</v>
      </c>
      <c r="E4922" s="336">
        <v>43735</v>
      </c>
      <c r="F4922" s="336">
        <v>43723</v>
      </c>
      <c r="G4922" s="336">
        <v>43733</v>
      </c>
      <c r="H4922" s="334" t="s">
        <v>11646</v>
      </c>
      <c r="I4922" s="426">
        <v>18616968412</v>
      </c>
      <c r="J4922" s="367" t="s">
        <v>11647</v>
      </c>
      <c r="K4922" s="470">
        <v>20000</v>
      </c>
      <c r="L4922" s="334">
        <v>32489</v>
      </c>
      <c r="M4922" s="338"/>
      <c r="N4922" s="362">
        <f t="shared" si="164"/>
        <v>32489</v>
      </c>
      <c r="X4922" s="339"/>
    </row>
    <row r="4923" s="330" customFormat="1" ht="15" customHeight="1" spans="1:24">
      <c r="A4923" s="550" t="s">
        <v>11648</v>
      </c>
      <c r="B4923" s="334" t="s">
        <v>58</v>
      </c>
      <c r="C4923" s="334" t="s">
        <v>342</v>
      </c>
      <c r="D4923" s="335" t="s">
        <v>343</v>
      </c>
      <c r="E4923" s="336">
        <v>43745</v>
      </c>
      <c r="F4923" s="336">
        <v>43723</v>
      </c>
      <c r="G4923" s="336">
        <v>43744</v>
      </c>
      <c r="H4923" s="334" t="s">
        <v>11649</v>
      </c>
      <c r="I4923" s="426">
        <v>13917874959</v>
      </c>
      <c r="J4923" s="367" t="s">
        <v>11650</v>
      </c>
      <c r="K4923" s="470">
        <v>14400</v>
      </c>
      <c r="L4923" s="334">
        <v>15185</v>
      </c>
      <c r="M4923" s="338"/>
      <c r="N4923" s="362">
        <f t="shared" ref="N4923:N4986" si="165">L4923+M4923</f>
        <v>15185</v>
      </c>
      <c r="X4923" s="339"/>
    </row>
    <row r="4924" s="330" customFormat="1" ht="15" customHeight="1" spans="1:24">
      <c r="A4924" s="348"/>
      <c r="B4924" s="334" t="s">
        <v>5336</v>
      </c>
      <c r="C4924" s="334" t="s">
        <v>5336</v>
      </c>
      <c r="D4924" s="334" t="s">
        <v>8334</v>
      </c>
      <c r="E4924" s="336">
        <v>43768</v>
      </c>
      <c r="F4924" s="336">
        <v>43724</v>
      </c>
      <c r="G4924" s="336">
        <v>43768</v>
      </c>
      <c r="H4924" s="334" t="s">
        <v>11651</v>
      </c>
      <c r="I4924" s="426">
        <v>13564657679</v>
      </c>
      <c r="J4924" s="367" t="s">
        <v>11652</v>
      </c>
      <c r="K4924" s="470">
        <v>7211</v>
      </c>
      <c r="L4924" s="334">
        <v>5893</v>
      </c>
      <c r="M4924" s="338"/>
      <c r="N4924" s="362">
        <f t="shared" si="165"/>
        <v>5893</v>
      </c>
      <c r="X4924" s="339"/>
    </row>
    <row r="4925" s="330" customFormat="1" ht="15" customHeight="1" spans="1:24">
      <c r="A4925" s="348"/>
      <c r="B4925" s="334" t="s">
        <v>5336</v>
      </c>
      <c r="C4925" s="334" t="s">
        <v>5336</v>
      </c>
      <c r="D4925" s="334" t="s">
        <v>8334</v>
      </c>
      <c r="E4925" s="336">
        <v>43775</v>
      </c>
      <c r="F4925" s="336">
        <v>43724</v>
      </c>
      <c r="G4925" s="336">
        <v>43775</v>
      </c>
      <c r="H4925" s="334" t="s">
        <v>11653</v>
      </c>
      <c r="I4925" s="426">
        <v>13818398298</v>
      </c>
      <c r="J4925" s="367" t="s">
        <v>11654</v>
      </c>
      <c r="K4925" s="470">
        <v>4660</v>
      </c>
      <c r="L4925" s="334">
        <v>13382</v>
      </c>
      <c r="M4925" s="338"/>
      <c r="N4925" s="362">
        <f t="shared" si="165"/>
        <v>13382</v>
      </c>
      <c r="X4925" s="339"/>
    </row>
    <row r="4926" s="330" customFormat="1" ht="15" customHeight="1" spans="1:24">
      <c r="A4926" s="348"/>
      <c r="B4926" s="334" t="s">
        <v>5336</v>
      </c>
      <c r="C4926" s="334" t="s">
        <v>5336</v>
      </c>
      <c r="D4926" s="334" t="s">
        <v>8334</v>
      </c>
      <c r="E4926" s="336">
        <v>43768</v>
      </c>
      <c r="F4926" s="336">
        <v>43724</v>
      </c>
      <c r="G4926" s="336">
        <v>43768</v>
      </c>
      <c r="H4926" s="334" t="s">
        <v>11655</v>
      </c>
      <c r="I4926" s="426">
        <v>18516206424</v>
      </c>
      <c r="J4926" s="367" t="s">
        <v>11656</v>
      </c>
      <c r="K4926" s="470">
        <v>7211</v>
      </c>
      <c r="L4926" s="334">
        <v>7573</v>
      </c>
      <c r="M4926" s="338"/>
      <c r="N4926" s="362">
        <f t="shared" si="165"/>
        <v>7573</v>
      </c>
      <c r="X4926" s="339"/>
    </row>
    <row r="4927" s="330" customFormat="1" ht="15" customHeight="1" spans="1:24">
      <c r="A4927" s="348"/>
      <c r="B4927" s="334" t="s">
        <v>315</v>
      </c>
      <c r="C4927" s="334" t="s">
        <v>161</v>
      </c>
      <c r="D4927" s="335" t="s">
        <v>162</v>
      </c>
      <c r="E4927" s="336">
        <v>43737</v>
      </c>
      <c r="F4927" s="336">
        <v>43723</v>
      </c>
      <c r="G4927" s="336">
        <v>43737</v>
      </c>
      <c r="H4927" s="334" t="s">
        <v>11657</v>
      </c>
      <c r="I4927" s="426">
        <v>13052076883</v>
      </c>
      <c r="J4927" s="367" t="s">
        <v>11658</v>
      </c>
      <c r="K4927" s="470">
        <v>12000</v>
      </c>
      <c r="L4927" s="334">
        <v>12000</v>
      </c>
      <c r="M4927" s="338"/>
      <c r="N4927" s="362">
        <f t="shared" si="165"/>
        <v>12000</v>
      </c>
      <c r="X4927" s="339"/>
    </row>
    <row r="4928" s="330" customFormat="1" ht="15" customHeight="1" spans="1:24">
      <c r="A4928" s="550" t="s">
        <v>9057</v>
      </c>
      <c r="B4928" s="334" t="s">
        <v>153</v>
      </c>
      <c r="C4928" s="334" t="s">
        <v>302</v>
      </c>
      <c r="D4928" s="335" t="s">
        <v>155</v>
      </c>
      <c r="E4928" s="336">
        <v>43794</v>
      </c>
      <c r="F4928" s="336">
        <v>43723</v>
      </c>
      <c r="G4928" s="336">
        <v>43792</v>
      </c>
      <c r="H4928" s="478" t="s">
        <v>11659</v>
      </c>
      <c r="I4928" s="426">
        <v>13585995359</v>
      </c>
      <c r="J4928" s="367" t="s">
        <v>11660</v>
      </c>
      <c r="K4928" s="470">
        <v>1000</v>
      </c>
      <c r="L4928" s="334">
        <v>8698</v>
      </c>
      <c r="M4928" s="338"/>
      <c r="N4928" s="362">
        <f t="shared" si="165"/>
        <v>8698</v>
      </c>
      <c r="V4928" s="330" t="s">
        <v>2494</v>
      </c>
      <c r="X4928" s="339"/>
    </row>
    <row r="4929" s="330" customFormat="1" ht="15" customHeight="1" spans="1:24">
      <c r="A4929" s="348"/>
      <c r="B4929" s="334" t="s">
        <v>87</v>
      </c>
      <c r="C4929" s="334" t="s">
        <v>199</v>
      </c>
      <c r="D4929" s="335" t="s">
        <v>89</v>
      </c>
      <c r="E4929" s="336">
        <v>43759</v>
      </c>
      <c r="F4929" s="336">
        <v>43724</v>
      </c>
      <c r="G4929" s="336">
        <v>43758</v>
      </c>
      <c r="H4929" s="334" t="s">
        <v>11661</v>
      </c>
      <c r="I4929" s="426">
        <v>13366690908</v>
      </c>
      <c r="J4929" s="367" t="s">
        <v>11662</v>
      </c>
      <c r="K4929" s="470">
        <v>4869</v>
      </c>
      <c r="L4929" s="334">
        <v>8038</v>
      </c>
      <c r="M4929" s="338"/>
      <c r="N4929" s="362">
        <f t="shared" si="165"/>
        <v>8038</v>
      </c>
      <c r="X4929" s="339"/>
    </row>
    <row r="4930" s="330" customFormat="1" ht="15" customHeight="1" spans="1:24">
      <c r="A4930" s="348"/>
      <c r="B4930" s="334" t="s">
        <v>66</v>
      </c>
      <c r="C4930" s="334" t="s">
        <v>505</v>
      </c>
      <c r="D4930" s="335" t="s">
        <v>1436</v>
      </c>
      <c r="E4930" s="336">
        <v>43724</v>
      </c>
      <c r="F4930" s="336">
        <v>43724</v>
      </c>
      <c r="G4930" s="399" t="s">
        <v>69</v>
      </c>
      <c r="H4930" s="334" t="s">
        <v>11663</v>
      </c>
      <c r="I4930" s="426">
        <v>13601937333</v>
      </c>
      <c r="J4930" s="367" t="s">
        <v>11664</v>
      </c>
      <c r="K4930" s="470">
        <v>4796</v>
      </c>
      <c r="L4930" s="338"/>
      <c r="M4930" s="338"/>
      <c r="N4930" s="362">
        <f t="shared" si="165"/>
        <v>0</v>
      </c>
      <c r="X4930" s="339"/>
    </row>
    <row r="4931" s="330" customFormat="1" ht="15" customHeight="1" spans="1:24">
      <c r="A4931" s="550" t="s">
        <v>4689</v>
      </c>
      <c r="B4931" s="348" t="s">
        <v>185</v>
      </c>
      <c r="C4931" s="334" t="s">
        <v>886</v>
      </c>
      <c r="D4931" s="334" t="s">
        <v>44</v>
      </c>
      <c r="E4931" s="336">
        <v>43726</v>
      </c>
      <c r="F4931" s="336">
        <v>43724</v>
      </c>
      <c r="G4931" s="336">
        <v>43725</v>
      </c>
      <c r="H4931" s="334" t="s">
        <v>11665</v>
      </c>
      <c r="I4931" s="426">
        <v>18501793468</v>
      </c>
      <c r="J4931" s="367" t="s">
        <v>11666</v>
      </c>
      <c r="K4931" s="470">
        <v>1000</v>
      </c>
      <c r="L4931" s="334">
        <v>12900</v>
      </c>
      <c r="M4931" s="338"/>
      <c r="N4931" s="362">
        <f t="shared" si="165"/>
        <v>12900</v>
      </c>
      <c r="X4931" s="339"/>
    </row>
    <row r="4932" s="330" customFormat="1" ht="15" customHeight="1" spans="1:24">
      <c r="A4932" s="550" t="s">
        <v>11667</v>
      </c>
      <c r="B4932" s="334" t="s">
        <v>137</v>
      </c>
      <c r="C4932" s="334" t="s">
        <v>426</v>
      </c>
      <c r="D4932" s="335" t="s">
        <v>443</v>
      </c>
      <c r="E4932" s="336">
        <v>43737</v>
      </c>
      <c r="F4932" s="336">
        <v>43724</v>
      </c>
      <c r="G4932" s="336">
        <v>43737</v>
      </c>
      <c r="H4932" s="334" t="s">
        <v>11668</v>
      </c>
      <c r="I4932" s="426">
        <v>18521533236</v>
      </c>
      <c r="J4932" s="367" t="s">
        <v>11669</v>
      </c>
      <c r="K4932" s="470">
        <v>18000</v>
      </c>
      <c r="L4932" s="334">
        <v>20237</v>
      </c>
      <c r="M4932" s="338"/>
      <c r="N4932" s="362">
        <f t="shared" si="165"/>
        <v>20237</v>
      </c>
      <c r="X4932" s="339"/>
    </row>
    <row r="4933" s="330" customFormat="1" ht="15" customHeight="1" spans="1:24">
      <c r="A4933" s="550" t="s">
        <v>11670</v>
      </c>
      <c r="B4933" s="334" t="s">
        <v>31</v>
      </c>
      <c r="C4933" s="334" t="s">
        <v>2716</v>
      </c>
      <c r="D4933" s="334" t="s">
        <v>954</v>
      </c>
      <c r="E4933" s="336">
        <v>43765</v>
      </c>
      <c r="F4933" s="336">
        <v>43723</v>
      </c>
      <c r="G4933" s="336">
        <v>43765</v>
      </c>
      <c r="H4933" s="334" t="s">
        <v>11671</v>
      </c>
      <c r="I4933" s="426">
        <v>13564494610</v>
      </c>
      <c r="J4933" s="367" t="s">
        <v>11672</v>
      </c>
      <c r="K4933" s="470">
        <v>5000</v>
      </c>
      <c r="L4933" s="334">
        <v>17089</v>
      </c>
      <c r="M4933" s="338"/>
      <c r="N4933" s="362">
        <f t="shared" si="165"/>
        <v>17089</v>
      </c>
      <c r="X4933" s="339"/>
    </row>
    <row r="4934" s="330" customFormat="1" ht="15" customHeight="1" spans="1:24">
      <c r="A4934" s="348"/>
      <c r="B4934" s="334" t="s">
        <v>315</v>
      </c>
      <c r="C4934" s="334" t="s">
        <v>230</v>
      </c>
      <c r="D4934" s="335" t="s">
        <v>182</v>
      </c>
      <c r="E4934" s="336">
        <v>43738</v>
      </c>
      <c r="F4934" s="336">
        <v>43724</v>
      </c>
      <c r="G4934" s="336">
        <v>43738</v>
      </c>
      <c r="H4934" s="334" t="s">
        <v>11673</v>
      </c>
      <c r="I4934" s="426">
        <v>13761761500</v>
      </c>
      <c r="J4934" s="367" t="s">
        <v>11674</v>
      </c>
      <c r="K4934" s="470">
        <v>1000</v>
      </c>
      <c r="L4934" s="334">
        <v>10993</v>
      </c>
      <c r="M4934" s="338"/>
      <c r="N4934" s="362">
        <f t="shared" si="165"/>
        <v>10993</v>
      </c>
      <c r="X4934" s="339"/>
    </row>
    <row r="4935" s="330" customFormat="1" ht="15" customHeight="1" spans="1:24">
      <c r="A4935" s="550" t="s">
        <v>11675</v>
      </c>
      <c r="B4935" s="334" t="s">
        <v>31</v>
      </c>
      <c r="C4935" s="334" t="s">
        <v>2716</v>
      </c>
      <c r="D4935" s="334" t="s">
        <v>221</v>
      </c>
      <c r="E4935" s="336">
        <v>43732</v>
      </c>
      <c r="F4935" s="336">
        <v>43724</v>
      </c>
      <c r="G4935" s="336">
        <v>43731</v>
      </c>
      <c r="H4935" s="334" t="s">
        <v>11676</v>
      </c>
      <c r="I4935" s="426">
        <v>13391324689</v>
      </c>
      <c r="J4935" s="367" t="s">
        <v>11677</v>
      </c>
      <c r="K4935" s="470">
        <v>5000</v>
      </c>
      <c r="L4935" s="334">
        <v>32677</v>
      </c>
      <c r="M4935" s="338"/>
      <c r="N4935" s="362">
        <f t="shared" si="165"/>
        <v>32677</v>
      </c>
      <c r="X4935" s="339"/>
    </row>
    <row r="4936" s="330" customFormat="1" ht="15" customHeight="1" spans="1:24">
      <c r="A4936" s="550" t="s">
        <v>11678</v>
      </c>
      <c r="B4936" s="334" t="s">
        <v>66</v>
      </c>
      <c r="C4936" s="334" t="s">
        <v>951</v>
      </c>
      <c r="D4936" s="335" t="s">
        <v>68</v>
      </c>
      <c r="E4936" s="336">
        <v>43738</v>
      </c>
      <c r="F4936" s="336">
        <v>43723</v>
      </c>
      <c r="G4936" s="336">
        <v>43738</v>
      </c>
      <c r="H4936" s="334" t="s">
        <v>11679</v>
      </c>
      <c r="I4936" s="426">
        <v>15502199713</v>
      </c>
      <c r="J4936" s="367" t="s">
        <v>11680</v>
      </c>
      <c r="K4936" s="470">
        <v>10500</v>
      </c>
      <c r="L4936" s="334">
        <v>10500</v>
      </c>
      <c r="M4936" s="338"/>
      <c r="N4936" s="362">
        <f t="shared" si="165"/>
        <v>10500</v>
      </c>
      <c r="X4936" s="339"/>
    </row>
    <row r="4937" s="330" customFormat="1" ht="15" customHeight="1" spans="1:24">
      <c r="A4937" s="348"/>
      <c r="B4937" s="334" t="s">
        <v>66</v>
      </c>
      <c r="C4937" s="334" t="s">
        <v>951</v>
      </c>
      <c r="D4937" s="335" t="s">
        <v>68</v>
      </c>
      <c r="E4937" s="336">
        <v>43724</v>
      </c>
      <c r="F4937" s="336">
        <v>43724</v>
      </c>
      <c r="G4937" s="399"/>
      <c r="H4937" s="334" t="s">
        <v>11681</v>
      </c>
      <c r="I4937" s="426">
        <v>18801969802</v>
      </c>
      <c r="J4937" s="367" t="s">
        <v>11682</v>
      </c>
      <c r="K4937" s="470">
        <v>1000</v>
      </c>
      <c r="L4937" s="338"/>
      <c r="M4937" s="338"/>
      <c r="N4937" s="362">
        <f t="shared" si="165"/>
        <v>0</v>
      </c>
      <c r="X4937" s="339"/>
    </row>
    <row r="4938" s="330" customFormat="1" ht="15" customHeight="1" spans="1:24">
      <c r="A4938" s="550" t="s">
        <v>11683</v>
      </c>
      <c r="B4938" s="334" t="s">
        <v>35</v>
      </c>
      <c r="C4938" s="334" t="s">
        <v>328</v>
      </c>
      <c r="D4938" s="334" t="s">
        <v>37</v>
      </c>
      <c r="E4938" s="336">
        <v>43725</v>
      </c>
      <c r="F4938" s="336">
        <v>43723</v>
      </c>
      <c r="G4938" s="336">
        <v>43725</v>
      </c>
      <c r="H4938" s="334" t="s">
        <v>11684</v>
      </c>
      <c r="I4938" s="426">
        <v>18621193113</v>
      </c>
      <c r="J4938" s="367" t="s">
        <v>11685</v>
      </c>
      <c r="K4938" s="470">
        <v>10000</v>
      </c>
      <c r="L4938" s="334">
        <f>7023-1104</f>
        <v>5919</v>
      </c>
      <c r="M4938" s="334">
        <v>1104</v>
      </c>
      <c r="N4938" s="362">
        <f t="shared" si="165"/>
        <v>7023</v>
      </c>
      <c r="X4938" s="339"/>
    </row>
    <row r="4939" s="330" customFormat="1" ht="15" customHeight="1" spans="1:24">
      <c r="A4939" s="348"/>
      <c r="B4939" s="334" t="s">
        <v>2625</v>
      </c>
      <c r="C4939" s="334" t="s">
        <v>2626</v>
      </c>
      <c r="D4939" s="334" t="s">
        <v>337</v>
      </c>
      <c r="E4939" s="336">
        <v>43765</v>
      </c>
      <c r="F4939" s="336">
        <v>43724</v>
      </c>
      <c r="G4939" s="336">
        <v>43764</v>
      </c>
      <c r="H4939" s="334" t="s">
        <v>11686</v>
      </c>
      <c r="I4939" s="426">
        <v>19950078770</v>
      </c>
      <c r="J4939" s="367" t="s">
        <v>11687</v>
      </c>
      <c r="K4939" s="470">
        <v>2000</v>
      </c>
      <c r="L4939" s="334">
        <v>19142</v>
      </c>
      <c r="M4939" s="338"/>
      <c r="N4939" s="362">
        <f t="shared" si="165"/>
        <v>19142</v>
      </c>
      <c r="X4939" s="339"/>
    </row>
    <row r="4940" s="330" customFormat="1" ht="15" customHeight="1" spans="1:24">
      <c r="A4940" s="348"/>
      <c r="B4940" s="334" t="s">
        <v>66</v>
      </c>
      <c r="C4940" s="334" t="s">
        <v>951</v>
      </c>
      <c r="D4940" s="335" t="s">
        <v>68</v>
      </c>
      <c r="E4940" s="336">
        <v>43724</v>
      </c>
      <c r="F4940" s="336">
        <v>43724</v>
      </c>
      <c r="G4940" s="399"/>
      <c r="H4940" s="334" t="s">
        <v>11688</v>
      </c>
      <c r="I4940" s="426">
        <v>13916065461</v>
      </c>
      <c r="J4940" s="367" t="s">
        <v>11689</v>
      </c>
      <c r="K4940" s="470">
        <v>1000</v>
      </c>
      <c r="L4940" s="334"/>
      <c r="M4940" s="338"/>
      <c r="N4940" s="362">
        <f t="shared" si="165"/>
        <v>0</v>
      </c>
      <c r="X4940" s="339"/>
    </row>
    <row r="4941" s="330" customFormat="1" ht="15" customHeight="1" spans="1:24">
      <c r="A4941" s="550" t="s">
        <v>11690</v>
      </c>
      <c r="B4941" s="334" t="s">
        <v>205</v>
      </c>
      <c r="C4941" s="334" t="s">
        <v>1467</v>
      </c>
      <c r="D4941" s="334" t="s">
        <v>207</v>
      </c>
      <c r="E4941" s="336">
        <v>43761</v>
      </c>
      <c r="F4941" s="336">
        <v>43724</v>
      </c>
      <c r="G4941" s="336">
        <v>43758</v>
      </c>
      <c r="H4941" s="334" t="s">
        <v>11691</v>
      </c>
      <c r="I4941" s="426">
        <v>18501628099</v>
      </c>
      <c r="J4941" s="367" t="s">
        <v>11692</v>
      </c>
      <c r="K4941" s="470">
        <v>3000</v>
      </c>
      <c r="L4941" s="334">
        <f>43000-3420</f>
        <v>39580</v>
      </c>
      <c r="M4941" s="334">
        <v>3420</v>
      </c>
      <c r="N4941" s="362">
        <f t="shared" si="165"/>
        <v>43000</v>
      </c>
      <c r="X4941" s="339"/>
    </row>
    <row r="4942" s="330" customFormat="1" ht="15" customHeight="1" spans="1:24">
      <c r="A4942" s="550" t="s">
        <v>11693</v>
      </c>
      <c r="B4942" s="334" t="s">
        <v>31</v>
      </c>
      <c r="C4942" s="334" t="s">
        <v>3186</v>
      </c>
      <c r="D4942" s="334" t="s">
        <v>33</v>
      </c>
      <c r="E4942" s="336">
        <v>43728</v>
      </c>
      <c r="F4942" s="336">
        <v>43709</v>
      </c>
      <c r="G4942" s="336">
        <v>43728</v>
      </c>
      <c r="H4942" s="334" t="s">
        <v>11694</v>
      </c>
      <c r="I4942" s="426">
        <v>13512131468</v>
      </c>
      <c r="J4942" s="367" t="s">
        <v>11695</v>
      </c>
      <c r="K4942" s="470">
        <v>1000</v>
      </c>
      <c r="L4942" s="334">
        <v>8298</v>
      </c>
      <c r="M4942" s="338"/>
      <c r="N4942" s="362">
        <f t="shared" si="165"/>
        <v>8298</v>
      </c>
      <c r="X4942" s="339"/>
    </row>
    <row r="4943" s="330" customFormat="1" ht="15" customHeight="1" spans="1:24">
      <c r="A4943" s="348"/>
      <c r="B4943" s="334" t="s">
        <v>66</v>
      </c>
      <c r="C4943" s="334" t="s">
        <v>1749</v>
      </c>
      <c r="D4943" s="335" t="s">
        <v>68</v>
      </c>
      <c r="E4943" s="336">
        <v>43724</v>
      </c>
      <c r="F4943" s="336">
        <v>43723</v>
      </c>
      <c r="G4943" s="399"/>
      <c r="H4943" s="334" t="s">
        <v>11696</v>
      </c>
      <c r="I4943" s="426">
        <v>13905203821</v>
      </c>
      <c r="J4943" s="367" t="s">
        <v>11697</v>
      </c>
      <c r="K4943" s="470">
        <v>1000</v>
      </c>
      <c r="L4943" s="338"/>
      <c r="M4943" s="338"/>
      <c r="N4943" s="362">
        <f t="shared" si="165"/>
        <v>0</v>
      </c>
      <c r="U4943" s="372" t="s">
        <v>12</v>
      </c>
      <c r="X4943" s="339"/>
    </row>
    <row r="4944" s="330" customFormat="1" ht="15" customHeight="1" spans="1:24">
      <c r="A4944" s="550" t="s">
        <v>11698</v>
      </c>
      <c r="B4944" s="334" t="s">
        <v>66</v>
      </c>
      <c r="C4944" s="334" t="s">
        <v>505</v>
      </c>
      <c r="D4944" s="334" t="s">
        <v>2302</v>
      </c>
      <c r="E4944" s="336">
        <v>43735</v>
      </c>
      <c r="F4944" s="336">
        <v>43724</v>
      </c>
      <c r="G4944" s="336">
        <v>43735</v>
      </c>
      <c r="H4944" s="334" t="s">
        <v>11699</v>
      </c>
      <c r="I4944" s="426">
        <v>13917117547</v>
      </c>
      <c r="J4944" s="367" t="s">
        <v>11700</v>
      </c>
      <c r="K4944" s="470">
        <v>10000</v>
      </c>
      <c r="L4944" s="334">
        <v>11850</v>
      </c>
      <c r="M4944" s="338"/>
      <c r="N4944" s="362">
        <f t="shared" si="165"/>
        <v>11850</v>
      </c>
      <c r="X4944" s="339"/>
    </row>
    <row r="4945" s="330" customFormat="1" ht="15" customHeight="1" spans="1:24">
      <c r="A4945" s="550" t="s">
        <v>450</v>
      </c>
      <c r="B4945" s="334" t="s">
        <v>236</v>
      </c>
      <c r="C4945" s="334" t="s">
        <v>703</v>
      </c>
      <c r="D4945" s="335" t="s">
        <v>125</v>
      </c>
      <c r="E4945" s="336">
        <v>43760</v>
      </c>
      <c r="F4945" s="336">
        <v>43723</v>
      </c>
      <c r="G4945" s="336">
        <v>43757</v>
      </c>
      <c r="H4945" s="334" t="s">
        <v>11701</v>
      </c>
      <c r="I4945" s="426">
        <v>13651925365</v>
      </c>
      <c r="J4945" s="367" t="s">
        <v>11702</v>
      </c>
      <c r="K4945" s="470">
        <v>5000</v>
      </c>
      <c r="L4945" s="334">
        <v>21664</v>
      </c>
      <c r="M4945" s="338"/>
      <c r="N4945" s="362">
        <f t="shared" si="165"/>
        <v>21664</v>
      </c>
      <c r="X4945" s="339"/>
    </row>
    <row r="4946" s="330" customFormat="1" ht="15" customHeight="1" spans="1:24">
      <c r="A4946" s="550" t="s">
        <v>11538</v>
      </c>
      <c r="B4946" s="334" t="s">
        <v>236</v>
      </c>
      <c r="C4946" s="334" t="s">
        <v>703</v>
      </c>
      <c r="D4946" s="334" t="s">
        <v>149</v>
      </c>
      <c r="E4946" s="336">
        <v>43727</v>
      </c>
      <c r="F4946" s="336">
        <v>43724</v>
      </c>
      <c r="G4946" s="336">
        <v>43726</v>
      </c>
      <c r="H4946" s="334" t="s">
        <v>11703</v>
      </c>
      <c r="I4946" s="426">
        <v>13621763000</v>
      </c>
      <c r="J4946" s="367" t="s">
        <v>11704</v>
      </c>
      <c r="K4946" s="470">
        <v>4460</v>
      </c>
      <c r="L4946" s="334">
        <v>4660</v>
      </c>
      <c r="M4946" s="338"/>
      <c r="N4946" s="362">
        <f t="shared" si="165"/>
        <v>4660</v>
      </c>
      <c r="X4946" s="339"/>
    </row>
    <row r="4947" s="330" customFormat="1" ht="15" customHeight="1" spans="1:24">
      <c r="A4947" s="550" t="s">
        <v>11675</v>
      </c>
      <c r="B4947" s="334" t="s">
        <v>236</v>
      </c>
      <c r="C4947" s="334" t="s">
        <v>195</v>
      </c>
      <c r="D4947" s="334" t="s">
        <v>207</v>
      </c>
      <c r="E4947" s="336">
        <v>43737</v>
      </c>
      <c r="F4947" s="336">
        <v>43724</v>
      </c>
      <c r="G4947" s="336">
        <v>43735</v>
      </c>
      <c r="H4947" s="334" t="s">
        <v>3416</v>
      </c>
      <c r="I4947" s="426">
        <v>13818160569</v>
      </c>
      <c r="J4947" s="367" t="s">
        <v>11705</v>
      </c>
      <c r="K4947" s="470">
        <v>5130</v>
      </c>
      <c r="L4947" s="334">
        <v>5130</v>
      </c>
      <c r="M4947" s="338"/>
      <c r="N4947" s="362">
        <f t="shared" si="165"/>
        <v>5130</v>
      </c>
      <c r="X4947" s="339"/>
    </row>
    <row r="4948" s="330" customFormat="1" ht="15" customHeight="1" spans="1:24">
      <c r="A4948" s="550" t="s">
        <v>11293</v>
      </c>
      <c r="B4948" s="334" t="s">
        <v>236</v>
      </c>
      <c r="C4948" s="334" t="s">
        <v>195</v>
      </c>
      <c r="D4948" s="334" t="s">
        <v>207</v>
      </c>
      <c r="E4948" s="336">
        <v>43737</v>
      </c>
      <c r="F4948" s="336">
        <v>43722</v>
      </c>
      <c r="G4948" s="336">
        <v>43735</v>
      </c>
      <c r="H4948" s="334" t="s">
        <v>11706</v>
      </c>
      <c r="I4948" s="426">
        <v>18021006182</v>
      </c>
      <c r="J4948" s="367" t="s">
        <v>11707</v>
      </c>
      <c r="K4948" s="470">
        <v>6633</v>
      </c>
      <c r="L4948" s="334">
        <v>6633</v>
      </c>
      <c r="M4948" s="338"/>
      <c r="N4948" s="362">
        <f t="shared" si="165"/>
        <v>6633</v>
      </c>
      <c r="X4948" s="339"/>
    </row>
    <row r="4949" s="330" customFormat="1" ht="15" customHeight="1" spans="1:24">
      <c r="A4949" s="550" t="s">
        <v>2290</v>
      </c>
      <c r="B4949" s="334" t="s">
        <v>236</v>
      </c>
      <c r="C4949" s="334" t="s">
        <v>703</v>
      </c>
      <c r="D4949" s="334" t="s">
        <v>207</v>
      </c>
      <c r="E4949" s="336">
        <v>43737</v>
      </c>
      <c r="F4949" s="336">
        <v>43723</v>
      </c>
      <c r="G4949" s="336">
        <v>43735</v>
      </c>
      <c r="H4949" s="334" t="s">
        <v>11708</v>
      </c>
      <c r="I4949" s="426">
        <v>13774262897</v>
      </c>
      <c r="J4949" s="367" t="s">
        <v>11709</v>
      </c>
      <c r="K4949" s="470">
        <v>18500</v>
      </c>
      <c r="L4949" s="334">
        <v>18500</v>
      </c>
      <c r="M4949" s="338"/>
      <c r="N4949" s="362">
        <f t="shared" si="165"/>
        <v>18500</v>
      </c>
      <c r="X4949" s="339"/>
    </row>
    <row r="4950" s="330" customFormat="1" ht="15" customHeight="1" spans="1:24">
      <c r="A4950" s="550" t="s">
        <v>11710</v>
      </c>
      <c r="B4950" s="334" t="s">
        <v>236</v>
      </c>
      <c r="C4950" s="334" t="s">
        <v>195</v>
      </c>
      <c r="D4950" s="334" t="s">
        <v>37</v>
      </c>
      <c r="E4950" s="336">
        <v>43723</v>
      </c>
      <c r="F4950" s="336">
        <v>43718</v>
      </c>
      <c r="G4950" s="336">
        <v>43719</v>
      </c>
      <c r="H4950" s="334" t="s">
        <v>11711</v>
      </c>
      <c r="I4950" s="426">
        <v>15221725949</v>
      </c>
      <c r="J4950" s="367" t="s">
        <v>11712</v>
      </c>
      <c r="K4950" s="470">
        <v>7000</v>
      </c>
      <c r="L4950" s="334">
        <f>12888-804</f>
        <v>12084</v>
      </c>
      <c r="M4950" s="334">
        <v>804</v>
      </c>
      <c r="N4950" s="362">
        <f t="shared" si="165"/>
        <v>12888</v>
      </c>
      <c r="X4950" s="339"/>
    </row>
    <row r="4951" s="330" customFormat="1" ht="15" customHeight="1" spans="1:24">
      <c r="A4951" s="550" t="s">
        <v>2268</v>
      </c>
      <c r="B4951" s="334" t="s">
        <v>236</v>
      </c>
      <c r="C4951" s="334" t="s">
        <v>195</v>
      </c>
      <c r="D4951" s="334" t="s">
        <v>207</v>
      </c>
      <c r="E4951" s="336">
        <v>43737</v>
      </c>
      <c r="F4951" s="336">
        <v>43722</v>
      </c>
      <c r="G4951" s="336">
        <v>43735</v>
      </c>
      <c r="H4951" s="334" t="s">
        <v>11713</v>
      </c>
      <c r="I4951" s="426">
        <v>18019058199</v>
      </c>
      <c r="J4951" s="367" t="s">
        <v>11714</v>
      </c>
      <c r="K4951" s="470">
        <v>27500</v>
      </c>
      <c r="L4951" s="334">
        <v>27500</v>
      </c>
      <c r="M4951" s="338"/>
      <c r="N4951" s="362">
        <f t="shared" si="165"/>
        <v>27500</v>
      </c>
      <c r="X4951" s="339"/>
    </row>
    <row r="4952" s="330" customFormat="1" ht="15" customHeight="1" spans="1:24">
      <c r="A4952" s="550" t="s">
        <v>11715</v>
      </c>
      <c r="B4952" s="334" t="s">
        <v>236</v>
      </c>
      <c r="C4952" s="334" t="s">
        <v>703</v>
      </c>
      <c r="D4952" s="425" t="s">
        <v>207</v>
      </c>
      <c r="E4952" s="424">
        <v>43737</v>
      </c>
      <c r="F4952" s="336">
        <v>43723</v>
      </c>
      <c r="G4952" s="424">
        <v>43736</v>
      </c>
      <c r="H4952" s="334" t="s">
        <v>11716</v>
      </c>
      <c r="I4952" s="426">
        <v>18964982939</v>
      </c>
      <c r="J4952" s="367" t="s">
        <v>11717</v>
      </c>
      <c r="K4952" s="470">
        <v>15336</v>
      </c>
      <c r="L4952" s="425">
        <v>20291</v>
      </c>
      <c r="M4952" s="338"/>
      <c r="N4952" s="362">
        <f t="shared" si="165"/>
        <v>20291</v>
      </c>
      <c r="X4952" s="339"/>
    </row>
    <row r="4953" s="330" customFormat="1" ht="15" customHeight="1" spans="1:24">
      <c r="A4953" s="550" t="s">
        <v>11183</v>
      </c>
      <c r="B4953" s="334" t="s">
        <v>236</v>
      </c>
      <c r="C4953" s="334" t="s">
        <v>703</v>
      </c>
      <c r="D4953" s="335" t="s">
        <v>125</v>
      </c>
      <c r="E4953" s="336">
        <v>43735</v>
      </c>
      <c r="F4953" s="336">
        <v>43719</v>
      </c>
      <c r="G4953" s="336">
        <v>43735</v>
      </c>
      <c r="H4953" s="334" t="s">
        <v>11718</v>
      </c>
      <c r="I4953" s="426">
        <v>18917851100</v>
      </c>
      <c r="J4953" s="367" t="s">
        <v>11719</v>
      </c>
      <c r="K4953" s="470">
        <v>16300</v>
      </c>
      <c r="L4953" s="334">
        <v>18203</v>
      </c>
      <c r="M4953" s="338"/>
      <c r="N4953" s="362">
        <f t="shared" si="165"/>
        <v>18203</v>
      </c>
      <c r="X4953" s="339"/>
    </row>
    <row r="4954" s="330" customFormat="1" ht="15" customHeight="1" spans="1:24">
      <c r="A4954" s="550" t="s">
        <v>11720</v>
      </c>
      <c r="B4954" s="334" t="s">
        <v>805</v>
      </c>
      <c r="C4954" s="334" t="s">
        <v>806</v>
      </c>
      <c r="D4954" s="335" t="s">
        <v>171</v>
      </c>
      <c r="E4954" s="336">
        <v>43724</v>
      </c>
      <c r="F4954" s="336">
        <v>43724</v>
      </c>
      <c r="G4954" s="399"/>
      <c r="H4954" s="334" t="s">
        <v>11721</v>
      </c>
      <c r="I4954" s="426">
        <v>13472721097</v>
      </c>
      <c r="J4954" s="367" t="s">
        <v>11722</v>
      </c>
      <c r="K4954" s="470">
        <v>3000</v>
      </c>
      <c r="L4954" s="338"/>
      <c r="M4954" s="338"/>
      <c r="N4954" s="362">
        <f t="shared" si="165"/>
        <v>0</v>
      </c>
      <c r="O4954" s="430"/>
      <c r="R4954" s="430" t="s">
        <v>52</v>
      </c>
      <c r="X4954" s="339"/>
    </row>
    <row r="4955" s="330" customFormat="1" ht="15" customHeight="1" spans="1:24">
      <c r="A4955" s="348"/>
      <c r="B4955" s="348" t="s">
        <v>405</v>
      </c>
      <c r="C4955" s="334" t="s">
        <v>1234</v>
      </c>
      <c r="D4955" s="335" t="s">
        <v>407</v>
      </c>
      <c r="E4955" s="336">
        <v>43737</v>
      </c>
      <c r="F4955" s="336">
        <v>43724</v>
      </c>
      <c r="G4955" s="336">
        <v>43736</v>
      </c>
      <c r="H4955" s="334" t="s">
        <v>11723</v>
      </c>
      <c r="I4955" s="426">
        <v>13764292151</v>
      </c>
      <c r="J4955" s="367" t="s">
        <v>11724</v>
      </c>
      <c r="K4955" s="470">
        <v>13000</v>
      </c>
      <c r="L4955" s="334">
        <v>18720</v>
      </c>
      <c r="M4955" s="338"/>
      <c r="N4955" s="362">
        <f t="shared" si="165"/>
        <v>18720</v>
      </c>
      <c r="X4955" s="339"/>
    </row>
    <row r="4956" s="330" customFormat="1" ht="15" customHeight="1" spans="1:24">
      <c r="A4956" s="334"/>
      <c r="B4956" s="334" t="s">
        <v>137</v>
      </c>
      <c r="C4956" s="334" t="s">
        <v>138</v>
      </c>
      <c r="D4956" s="334" t="s">
        <v>139</v>
      </c>
      <c r="E4956" s="336">
        <v>43722</v>
      </c>
      <c r="F4956" s="336"/>
      <c r="G4956" s="336">
        <v>43721</v>
      </c>
      <c r="H4956" s="334" t="s">
        <v>11725</v>
      </c>
      <c r="I4956" s="334">
        <v>15921265555</v>
      </c>
      <c r="J4956" s="334" t="s">
        <v>1164</v>
      </c>
      <c r="K4956" s="337"/>
      <c r="L4956" s="334">
        <v>21295</v>
      </c>
      <c r="M4956" s="338"/>
      <c r="N4956" s="362">
        <f t="shared" si="165"/>
        <v>21295</v>
      </c>
      <c r="X4956" s="339"/>
    </row>
    <row r="4957" s="330" customFormat="1" ht="15" customHeight="1" spans="1:24">
      <c r="A4957" s="334"/>
      <c r="B4957" s="334" t="s">
        <v>805</v>
      </c>
      <c r="C4957" s="334" t="s">
        <v>4935</v>
      </c>
      <c r="D4957" s="334" t="s">
        <v>171</v>
      </c>
      <c r="E4957" s="336">
        <v>43723</v>
      </c>
      <c r="F4957" s="336"/>
      <c r="G4957" s="336">
        <v>43722</v>
      </c>
      <c r="H4957" s="334" t="s">
        <v>11726</v>
      </c>
      <c r="I4957" s="334">
        <v>18806519069</v>
      </c>
      <c r="J4957" s="334" t="s">
        <v>11727</v>
      </c>
      <c r="K4957" s="337"/>
      <c r="L4957" s="334">
        <v>3129</v>
      </c>
      <c r="M4957" s="338"/>
      <c r="N4957" s="362">
        <f t="shared" si="165"/>
        <v>3129</v>
      </c>
      <c r="X4957" s="339"/>
    </row>
    <row r="4958" s="330" customFormat="1" ht="15" customHeight="1" spans="1:24">
      <c r="A4958" s="334"/>
      <c r="B4958" s="334" t="s">
        <v>169</v>
      </c>
      <c r="C4958" s="334" t="s">
        <v>634</v>
      </c>
      <c r="D4958" s="334" t="s">
        <v>635</v>
      </c>
      <c r="E4958" s="336">
        <v>43723</v>
      </c>
      <c r="F4958" s="336"/>
      <c r="G4958" s="336">
        <v>43720</v>
      </c>
      <c r="H4958" s="334" t="s">
        <v>11728</v>
      </c>
      <c r="I4958" s="334">
        <v>13901926865</v>
      </c>
      <c r="J4958" s="334" t="s">
        <v>11729</v>
      </c>
      <c r="K4958" s="337"/>
      <c r="L4958" s="334">
        <v>27380</v>
      </c>
      <c r="M4958" s="334">
        <v>3066</v>
      </c>
      <c r="N4958" s="362">
        <f t="shared" si="165"/>
        <v>30446</v>
      </c>
      <c r="X4958" s="339"/>
    </row>
    <row r="4959" s="330" customFormat="1" ht="15" customHeight="1" spans="1:24">
      <c r="A4959" s="334"/>
      <c r="B4959" s="334" t="s">
        <v>281</v>
      </c>
      <c r="C4959" s="334" t="s">
        <v>517</v>
      </c>
      <c r="D4959" s="334" t="s">
        <v>518</v>
      </c>
      <c r="E4959" s="336">
        <v>43724</v>
      </c>
      <c r="F4959" s="336"/>
      <c r="G4959" s="336">
        <v>43723</v>
      </c>
      <c r="H4959" s="334" t="s">
        <v>11730</v>
      </c>
      <c r="I4959" s="334">
        <v>13120751319</v>
      </c>
      <c r="J4959" s="334" t="s">
        <v>11731</v>
      </c>
      <c r="K4959" s="337"/>
      <c r="L4959" s="334">
        <v>9053</v>
      </c>
      <c r="M4959" s="338"/>
      <c r="N4959" s="362">
        <f t="shared" si="165"/>
        <v>9053</v>
      </c>
      <c r="X4959" s="339"/>
    </row>
    <row r="4960" s="330" customFormat="1" ht="15" customHeight="1" spans="1:24">
      <c r="A4960" s="334"/>
      <c r="B4960" s="334" t="s">
        <v>805</v>
      </c>
      <c r="C4960" s="334" t="s">
        <v>806</v>
      </c>
      <c r="D4960" s="334" t="s">
        <v>171</v>
      </c>
      <c r="E4960" s="336">
        <v>43724</v>
      </c>
      <c r="F4960" s="336"/>
      <c r="G4960" s="336">
        <v>43721</v>
      </c>
      <c r="H4960" s="334" t="s">
        <v>11732</v>
      </c>
      <c r="I4960" s="334">
        <v>13381940053</v>
      </c>
      <c r="J4960" s="334" t="s">
        <v>11733</v>
      </c>
      <c r="K4960" s="337"/>
      <c r="L4960" s="334">
        <f>15992-1104</f>
        <v>14888</v>
      </c>
      <c r="M4960" s="334">
        <f>3730+1104</f>
        <v>4834</v>
      </c>
      <c r="N4960" s="362">
        <f t="shared" si="165"/>
        <v>19722</v>
      </c>
      <c r="X4960" s="339"/>
    </row>
    <row r="4961" s="330" customFormat="1" ht="15" customHeight="1" spans="1:24">
      <c r="A4961" s="334"/>
      <c r="B4961" s="334" t="s">
        <v>805</v>
      </c>
      <c r="C4961" s="334" t="s">
        <v>806</v>
      </c>
      <c r="D4961" s="334" t="s">
        <v>155</v>
      </c>
      <c r="E4961" s="336">
        <v>43724</v>
      </c>
      <c r="F4961" s="336"/>
      <c r="G4961" s="336">
        <v>43720</v>
      </c>
      <c r="H4961" s="334" t="s">
        <v>11734</v>
      </c>
      <c r="I4961" s="334">
        <v>18621807573</v>
      </c>
      <c r="J4961" s="334" t="s">
        <v>11203</v>
      </c>
      <c r="K4961" s="337"/>
      <c r="L4961" s="334">
        <f>18427-1720</f>
        <v>16707</v>
      </c>
      <c r="M4961" s="334">
        <v>1720</v>
      </c>
      <c r="N4961" s="362">
        <f t="shared" si="165"/>
        <v>18427</v>
      </c>
      <c r="X4961" s="339"/>
    </row>
    <row r="4962" s="330" customFormat="1" ht="15" customHeight="1" spans="1:24">
      <c r="A4962" s="334"/>
      <c r="B4962" s="334" t="s">
        <v>205</v>
      </c>
      <c r="C4962" s="334" t="s">
        <v>1467</v>
      </c>
      <c r="D4962" s="334" t="s">
        <v>237</v>
      </c>
      <c r="E4962" s="336">
        <v>43724</v>
      </c>
      <c r="F4962" s="336"/>
      <c r="G4962" s="336">
        <v>43723</v>
      </c>
      <c r="H4962" s="334" t="s">
        <v>11735</v>
      </c>
      <c r="I4962" s="334">
        <v>13916846070</v>
      </c>
      <c r="J4962" s="334" t="s">
        <v>11736</v>
      </c>
      <c r="K4962" s="337"/>
      <c r="L4962" s="334">
        <f>24000-1560</f>
        <v>22440</v>
      </c>
      <c r="M4962" s="334">
        <v>1560</v>
      </c>
      <c r="N4962" s="362">
        <f t="shared" si="165"/>
        <v>24000</v>
      </c>
      <c r="X4962" s="339"/>
    </row>
    <row r="4963" s="330" customFormat="1" ht="15" customHeight="1" spans="1:24">
      <c r="A4963" s="334"/>
      <c r="B4963" s="334" t="s">
        <v>315</v>
      </c>
      <c r="C4963" s="334" t="s">
        <v>722</v>
      </c>
      <c r="D4963" s="334" t="s">
        <v>182</v>
      </c>
      <c r="E4963" s="336">
        <v>43724</v>
      </c>
      <c r="F4963" s="336"/>
      <c r="G4963" s="336">
        <v>43723</v>
      </c>
      <c r="H4963" s="334" t="s">
        <v>11737</v>
      </c>
      <c r="I4963" s="334">
        <v>13916757565</v>
      </c>
      <c r="J4963" s="334" t="s">
        <v>11738</v>
      </c>
      <c r="K4963" s="337"/>
      <c r="L4963" s="334">
        <f>14978-2208</f>
        <v>12770</v>
      </c>
      <c r="M4963" s="334">
        <v>2208</v>
      </c>
      <c r="N4963" s="362">
        <f t="shared" si="165"/>
        <v>14978</v>
      </c>
      <c r="X4963" s="339"/>
    </row>
    <row r="4964" s="330" customFormat="1" ht="15" customHeight="1" spans="1:24">
      <c r="A4964" s="334"/>
      <c r="B4964" s="334" t="s">
        <v>94</v>
      </c>
      <c r="C4964" s="334" t="s">
        <v>101</v>
      </c>
      <c r="D4964" s="335" t="s">
        <v>49</v>
      </c>
      <c r="E4964" s="336">
        <v>43724</v>
      </c>
      <c r="F4964" s="336"/>
      <c r="G4964" s="336">
        <v>43724</v>
      </c>
      <c r="H4964" s="334" t="s">
        <v>11739</v>
      </c>
      <c r="I4964" s="334">
        <v>13585560175</v>
      </c>
      <c r="J4964" s="334" t="s">
        <v>11740</v>
      </c>
      <c r="K4964" s="337"/>
      <c r="L4964" s="334">
        <v>14797</v>
      </c>
      <c r="M4964" s="338"/>
      <c r="N4964" s="362">
        <f t="shared" si="165"/>
        <v>14797</v>
      </c>
      <c r="X4964" s="339"/>
    </row>
    <row r="4965" s="330" customFormat="1" ht="15" customHeight="1" spans="1:24">
      <c r="A4965" s="334"/>
      <c r="B4965" s="348" t="s">
        <v>137</v>
      </c>
      <c r="C4965" s="348" t="s">
        <v>138</v>
      </c>
      <c r="D4965" s="349" t="s">
        <v>139</v>
      </c>
      <c r="E4965" s="336">
        <v>43722</v>
      </c>
      <c r="F4965" s="336" t="s">
        <v>800</v>
      </c>
      <c r="G4965" s="336">
        <v>43721</v>
      </c>
      <c r="H4965" s="334" t="s">
        <v>4758</v>
      </c>
      <c r="I4965" s="356">
        <v>13611649406</v>
      </c>
      <c r="J4965" s="348" t="s">
        <v>11741</v>
      </c>
      <c r="K4965" s="337"/>
      <c r="L4965" s="334"/>
      <c r="M4965" s="334">
        <v>169</v>
      </c>
      <c r="N4965" s="362">
        <f t="shared" si="165"/>
        <v>169</v>
      </c>
      <c r="X4965" s="339"/>
    </row>
    <row r="4966" s="330" customFormat="1" ht="15" customHeight="1" spans="1:24">
      <c r="A4966" s="334"/>
      <c r="B4966" s="348" t="s">
        <v>335</v>
      </c>
      <c r="C4966" s="348" t="s">
        <v>615</v>
      </c>
      <c r="D4966" s="352" t="s">
        <v>337</v>
      </c>
      <c r="E4966" s="336">
        <v>43722</v>
      </c>
      <c r="F4966" s="336" t="s">
        <v>800</v>
      </c>
      <c r="G4966" s="336">
        <v>43720</v>
      </c>
      <c r="H4966" s="334" t="s">
        <v>8040</v>
      </c>
      <c r="I4966" s="334">
        <v>13311637118</v>
      </c>
      <c r="J4966" s="334" t="s">
        <v>11742</v>
      </c>
      <c r="K4966" s="337"/>
      <c r="L4966" s="338"/>
      <c r="M4966" s="334">
        <v>2000</v>
      </c>
      <c r="N4966" s="362">
        <f t="shared" si="165"/>
        <v>2000</v>
      </c>
      <c r="X4966" s="339"/>
    </row>
    <row r="4967" s="330" customFormat="1" ht="15" customHeight="1" spans="1:24">
      <c r="A4967" s="334"/>
      <c r="B4967" s="348" t="s">
        <v>315</v>
      </c>
      <c r="C4967" s="348" t="s">
        <v>161</v>
      </c>
      <c r="D4967" s="352" t="s">
        <v>162</v>
      </c>
      <c r="E4967" s="336">
        <v>43722</v>
      </c>
      <c r="F4967" s="336" t="s">
        <v>800</v>
      </c>
      <c r="G4967" s="336">
        <v>43721</v>
      </c>
      <c r="H4967" s="334" t="s">
        <v>7754</v>
      </c>
      <c r="I4967" s="334">
        <v>1801731110</v>
      </c>
      <c r="J4967" s="334" t="s">
        <v>7755</v>
      </c>
      <c r="K4967" s="337"/>
      <c r="L4967" s="338"/>
      <c r="M4967" s="334">
        <v>-418</v>
      </c>
      <c r="N4967" s="362">
        <f t="shared" si="165"/>
        <v>-418</v>
      </c>
      <c r="X4967" s="339"/>
    </row>
    <row r="4968" s="330" customFormat="1" ht="15" customHeight="1" spans="1:24">
      <c r="A4968" s="334"/>
      <c r="B4968" s="334" t="s">
        <v>123</v>
      </c>
      <c r="C4968" s="334" t="s">
        <v>2301</v>
      </c>
      <c r="D4968" s="335" t="s">
        <v>125</v>
      </c>
      <c r="E4968" s="336">
        <v>43722</v>
      </c>
      <c r="F4968" s="336" t="s">
        <v>800</v>
      </c>
      <c r="G4968" s="336">
        <v>43722</v>
      </c>
      <c r="H4968" s="334" t="s">
        <v>6070</v>
      </c>
      <c r="I4968" s="334">
        <v>18121095175</v>
      </c>
      <c r="J4968" s="334" t="s">
        <v>11743</v>
      </c>
      <c r="K4968" s="337"/>
      <c r="L4968" s="338"/>
      <c r="M4968" s="334">
        <v>1892</v>
      </c>
      <c r="N4968" s="362">
        <f t="shared" si="165"/>
        <v>1892</v>
      </c>
      <c r="X4968" s="339"/>
    </row>
    <row r="4969" s="330" customFormat="1" ht="15" customHeight="1" spans="1:24">
      <c r="A4969" s="334"/>
      <c r="B4969" s="348" t="s">
        <v>243</v>
      </c>
      <c r="C4969" s="348" t="s">
        <v>244</v>
      </c>
      <c r="D4969" s="352" t="s">
        <v>49</v>
      </c>
      <c r="E4969" s="336">
        <v>43722</v>
      </c>
      <c r="F4969" s="336" t="s">
        <v>800</v>
      </c>
      <c r="G4969" s="336">
        <v>43722</v>
      </c>
      <c r="H4969" s="334" t="s">
        <v>11744</v>
      </c>
      <c r="I4969" s="334">
        <v>18717882985</v>
      </c>
      <c r="J4969" s="334" t="s">
        <v>6181</v>
      </c>
      <c r="K4969" s="337"/>
      <c r="L4969" s="338"/>
      <c r="M4969" s="334">
        <v>300</v>
      </c>
      <c r="N4969" s="362">
        <f t="shared" si="165"/>
        <v>300</v>
      </c>
      <c r="X4969" s="339"/>
    </row>
    <row r="4970" s="330" customFormat="1" ht="15" customHeight="1" spans="1:24">
      <c r="A4970" s="334"/>
      <c r="B4970" s="334" t="s">
        <v>137</v>
      </c>
      <c r="C4970" s="334" t="s">
        <v>480</v>
      </c>
      <c r="D4970" s="349" t="s">
        <v>139</v>
      </c>
      <c r="E4970" s="336">
        <v>43722</v>
      </c>
      <c r="F4970" s="336" t="s">
        <v>800</v>
      </c>
      <c r="G4970" s="336">
        <v>43721</v>
      </c>
      <c r="H4970" s="334" t="s">
        <v>5160</v>
      </c>
      <c r="I4970" s="334">
        <v>13761632978</v>
      </c>
      <c r="J4970" s="334" t="s">
        <v>11745</v>
      </c>
      <c r="K4970" s="337"/>
      <c r="L4970" s="338"/>
      <c r="M4970" s="334">
        <v>8833</v>
      </c>
      <c r="N4970" s="362">
        <f t="shared" si="165"/>
        <v>8833</v>
      </c>
      <c r="X4970" s="339"/>
    </row>
    <row r="4971" s="330" customFormat="1" ht="15" customHeight="1" spans="1:24">
      <c r="A4971" s="334"/>
      <c r="B4971" s="348" t="s">
        <v>66</v>
      </c>
      <c r="C4971" s="348" t="s">
        <v>119</v>
      </c>
      <c r="D4971" s="349" t="s">
        <v>68</v>
      </c>
      <c r="E4971" s="336">
        <v>43722</v>
      </c>
      <c r="F4971" s="336" t="s">
        <v>800</v>
      </c>
      <c r="G4971" s="336">
        <v>43720</v>
      </c>
      <c r="H4971" s="334" t="s">
        <v>4063</v>
      </c>
      <c r="I4971" s="334">
        <v>18918413198</v>
      </c>
      <c r="J4971" s="334" t="s">
        <v>11746</v>
      </c>
      <c r="K4971" s="337"/>
      <c r="L4971" s="338"/>
      <c r="M4971" s="334">
        <v>970</v>
      </c>
      <c r="N4971" s="362">
        <f t="shared" si="165"/>
        <v>970</v>
      </c>
      <c r="X4971" s="339"/>
    </row>
    <row r="4972" s="330" customFormat="1" ht="15" customHeight="1" spans="1:24">
      <c r="A4972" s="334"/>
      <c r="B4972" s="348" t="s">
        <v>315</v>
      </c>
      <c r="C4972" s="348" t="s">
        <v>181</v>
      </c>
      <c r="D4972" s="334" t="s">
        <v>182</v>
      </c>
      <c r="E4972" s="336">
        <v>43723</v>
      </c>
      <c r="F4972" s="336" t="s">
        <v>800</v>
      </c>
      <c r="G4972" s="336">
        <v>43722</v>
      </c>
      <c r="H4972" s="334" t="s">
        <v>7396</v>
      </c>
      <c r="I4972" s="334">
        <v>18121223761</v>
      </c>
      <c r="J4972" s="334" t="s">
        <v>7397</v>
      </c>
      <c r="K4972" s="337"/>
      <c r="L4972" s="338"/>
      <c r="M4972" s="334">
        <v>6500</v>
      </c>
      <c r="N4972" s="362">
        <f t="shared" si="165"/>
        <v>6500</v>
      </c>
      <c r="X4972" s="339"/>
    </row>
    <row r="4973" s="330" customFormat="1" ht="15" customHeight="1" spans="1:24">
      <c r="A4973" s="334"/>
      <c r="B4973" s="334" t="s">
        <v>236</v>
      </c>
      <c r="C4973" s="334" t="s">
        <v>195</v>
      </c>
      <c r="D4973" s="335" t="s">
        <v>125</v>
      </c>
      <c r="E4973" s="336">
        <v>43723</v>
      </c>
      <c r="F4973" s="336" t="s">
        <v>800</v>
      </c>
      <c r="G4973" s="336">
        <v>43719</v>
      </c>
      <c r="H4973" s="334" t="s">
        <v>9071</v>
      </c>
      <c r="I4973" s="334">
        <v>15601600277</v>
      </c>
      <c r="J4973" s="334" t="s">
        <v>11747</v>
      </c>
      <c r="K4973" s="337"/>
      <c r="L4973" s="338"/>
      <c r="M4973" s="338">
        <v>3000</v>
      </c>
      <c r="N4973" s="362">
        <f t="shared" si="165"/>
        <v>3000</v>
      </c>
      <c r="X4973" s="339"/>
    </row>
    <row r="4974" s="330" customFormat="1" ht="15" customHeight="1" spans="1:24">
      <c r="A4974" s="334"/>
      <c r="B4974" s="348" t="s">
        <v>236</v>
      </c>
      <c r="C4974" s="348" t="s">
        <v>703</v>
      </c>
      <c r="D4974" s="349" t="s">
        <v>37</v>
      </c>
      <c r="E4974" s="336">
        <v>43723</v>
      </c>
      <c r="F4974" s="336" t="s">
        <v>800</v>
      </c>
      <c r="G4974" s="336">
        <v>43721</v>
      </c>
      <c r="H4974" s="334" t="s">
        <v>6088</v>
      </c>
      <c r="I4974" s="334">
        <v>13482710015</v>
      </c>
      <c r="J4974" s="334" t="s">
        <v>6089</v>
      </c>
      <c r="K4974" s="337"/>
      <c r="L4974" s="338"/>
      <c r="M4974" s="334">
        <f>8251</f>
        <v>8251</v>
      </c>
      <c r="N4974" s="362">
        <f t="shared" si="165"/>
        <v>8251</v>
      </c>
      <c r="X4974" s="339"/>
    </row>
    <row r="4975" s="330" customFormat="1" ht="15" customHeight="1" spans="1:24">
      <c r="A4975" s="334"/>
      <c r="B4975" s="348" t="s">
        <v>185</v>
      </c>
      <c r="C4975" s="348" t="s">
        <v>1620</v>
      </c>
      <c r="D4975" s="352" t="s">
        <v>44</v>
      </c>
      <c r="E4975" s="336">
        <v>43723</v>
      </c>
      <c r="F4975" s="336" t="s">
        <v>800</v>
      </c>
      <c r="G4975" s="336">
        <v>43721</v>
      </c>
      <c r="H4975" s="334" t="s">
        <v>6760</v>
      </c>
      <c r="I4975" s="334">
        <v>13636481245</v>
      </c>
      <c r="J4975" s="334" t="s">
        <v>11748</v>
      </c>
      <c r="K4975" s="337"/>
      <c r="L4975" s="338"/>
      <c r="M4975" s="334">
        <v>2658</v>
      </c>
      <c r="N4975" s="362">
        <f t="shared" si="165"/>
        <v>2658</v>
      </c>
      <c r="X4975" s="339"/>
    </row>
    <row r="4976" s="330" customFormat="1" ht="15" customHeight="1" spans="1:24">
      <c r="A4976" s="334"/>
      <c r="B4976" s="348" t="s">
        <v>315</v>
      </c>
      <c r="C4976" s="348" t="s">
        <v>275</v>
      </c>
      <c r="D4976" s="334" t="s">
        <v>132</v>
      </c>
      <c r="E4976" s="336">
        <v>43723</v>
      </c>
      <c r="F4976" s="336" t="s">
        <v>800</v>
      </c>
      <c r="G4976" s="336">
        <v>43722</v>
      </c>
      <c r="H4976" s="334" t="s">
        <v>3852</v>
      </c>
      <c r="I4976" s="334">
        <v>18017713887</v>
      </c>
      <c r="J4976" s="334" t="s">
        <v>11749</v>
      </c>
      <c r="K4976" s="337"/>
      <c r="L4976" s="338"/>
      <c r="M4976" s="334">
        <v>2505</v>
      </c>
      <c r="N4976" s="362">
        <f t="shared" si="165"/>
        <v>2505</v>
      </c>
      <c r="X4976" s="339"/>
    </row>
    <row r="4977" s="330" customFormat="1" ht="15" customHeight="1" spans="1:24">
      <c r="A4977" s="334"/>
      <c r="B4977" s="348" t="s">
        <v>73</v>
      </c>
      <c r="C4977" s="348" t="s">
        <v>178</v>
      </c>
      <c r="D4977" s="352" t="s">
        <v>75</v>
      </c>
      <c r="E4977" s="336">
        <v>43723</v>
      </c>
      <c r="F4977" s="336" t="s">
        <v>800</v>
      </c>
      <c r="G4977" s="336">
        <v>43722</v>
      </c>
      <c r="H4977" s="334" t="s">
        <v>5267</v>
      </c>
      <c r="I4977" s="334">
        <v>13611998195</v>
      </c>
      <c r="J4977" s="334" t="s">
        <v>11750</v>
      </c>
      <c r="K4977" s="337"/>
      <c r="L4977" s="338"/>
      <c r="M4977" s="334">
        <v>21198</v>
      </c>
      <c r="N4977" s="362">
        <f t="shared" si="165"/>
        <v>21198</v>
      </c>
      <c r="X4977" s="339"/>
    </row>
    <row r="4978" s="330" customFormat="1" ht="15" customHeight="1" spans="1:24">
      <c r="A4978" s="334"/>
      <c r="B4978" s="334" t="s">
        <v>137</v>
      </c>
      <c r="C4978" s="334" t="s">
        <v>406</v>
      </c>
      <c r="D4978" s="334" t="s">
        <v>2381</v>
      </c>
      <c r="E4978" s="336">
        <v>43723</v>
      </c>
      <c r="F4978" s="336" t="s">
        <v>800</v>
      </c>
      <c r="G4978" s="336">
        <v>43723</v>
      </c>
      <c r="H4978" s="334" t="s">
        <v>8617</v>
      </c>
      <c r="I4978" s="334">
        <v>13701715799</v>
      </c>
      <c r="J4978" s="334" t="s">
        <v>8618</v>
      </c>
      <c r="K4978" s="337"/>
      <c r="L4978" s="338"/>
      <c r="M4978" s="334">
        <v>7523</v>
      </c>
      <c r="N4978" s="362">
        <f t="shared" si="165"/>
        <v>7523</v>
      </c>
      <c r="X4978" s="339"/>
    </row>
    <row r="4979" s="330" customFormat="1" ht="15" customHeight="1" spans="1:24">
      <c r="A4979" s="334"/>
      <c r="B4979" s="348" t="s">
        <v>315</v>
      </c>
      <c r="C4979" s="348" t="s">
        <v>275</v>
      </c>
      <c r="D4979" s="352" t="s">
        <v>162</v>
      </c>
      <c r="E4979" s="336">
        <v>43723</v>
      </c>
      <c r="F4979" s="336" t="s">
        <v>800</v>
      </c>
      <c r="G4979" s="336">
        <v>43721</v>
      </c>
      <c r="H4979" s="334" t="s">
        <v>6550</v>
      </c>
      <c r="I4979" s="334">
        <v>18117055237</v>
      </c>
      <c r="J4979" s="334" t="s">
        <v>6551</v>
      </c>
      <c r="K4979" s="337"/>
      <c r="L4979" s="338"/>
      <c r="M4979" s="334">
        <v>6794</v>
      </c>
      <c r="N4979" s="362">
        <f t="shared" si="165"/>
        <v>6794</v>
      </c>
      <c r="X4979" s="339"/>
    </row>
    <row r="4980" s="330" customFormat="1" ht="15" customHeight="1" spans="1:24">
      <c r="A4980" s="334"/>
      <c r="B4980" s="348" t="s">
        <v>185</v>
      </c>
      <c r="C4980" s="348" t="s">
        <v>186</v>
      </c>
      <c r="D4980" s="334" t="s">
        <v>187</v>
      </c>
      <c r="E4980" s="336">
        <v>43723</v>
      </c>
      <c r="F4980" s="336" t="s">
        <v>800</v>
      </c>
      <c r="G4980" s="336">
        <v>43722</v>
      </c>
      <c r="H4980" s="334" t="s">
        <v>10224</v>
      </c>
      <c r="I4980" s="334">
        <v>18616152705</v>
      </c>
      <c r="J4980" s="334" t="s">
        <v>11751</v>
      </c>
      <c r="K4980" s="337"/>
      <c r="L4980" s="338"/>
      <c r="M4980" s="334">
        <v>-2052</v>
      </c>
      <c r="N4980" s="362">
        <f t="shared" si="165"/>
        <v>-2052</v>
      </c>
      <c r="X4980" s="339"/>
    </row>
    <row r="4981" s="330" customFormat="1" ht="15" customHeight="1" spans="1:24">
      <c r="A4981" s="334"/>
      <c r="B4981" s="348" t="s">
        <v>185</v>
      </c>
      <c r="C4981" s="348" t="s">
        <v>1204</v>
      </c>
      <c r="D4981" s="349" t="s">
        <v>44</v>
      </c>
      <c r="E4981" s="336">
        <v>43723</v>
      </c>
      <c r="F4981" s="336" t="s">
        <v>800</v>
      </c>
      <c r="G4981" s="336">
        <v>43721</v>
      </c>
      <c r="H4981" s="334" t="s">
        <v>2722</v>
      </c>
      <c r="I4981" s="334">
        <v>13817208181</v>
      </c>
      <c r="J4981" s="334" t="s">
        <v>11752</v>
      </c>
      <c r="K4981" s="337"/>
      <c r="L4981" s="338"/>
      <c r="M4981" s="334">
        <v>6672</v>
      </c>
      <c r="N4981" s="362">
        <f t="shared" si="165"/>
        <v>6672</v>
      </c>
      <c r="X4981" s="339"/>
    </row>
    <row r="4982" s="330" customFormat="1" ht="15" customHeight="1" spans="1:24">
      <c r="A4982" s="334"/>
      <c r="B4982" s="334" t="s">
        <v>73</v>
      </c>
      <c r="C4982" s="334" t="s">
        <v>178</v>
      </c>
      <c r="D4982" s="349" t="s">
        <v>132</v>
      </c>
      <c r="E4982" s="336">
        <v>43723</v>
      </c>
      <c r="F4982" s="336" t="s">
        <v>800</v>
      </c>
      <c r="G4982" s="336">
        <v>43723</v>
      </c>
      <c r="H4982" s="334" t="s">
        <v>1376</v>
      </c>
      <c r="I4982" s="334">
        <v>13764180077</v>
      </c>
      <c r="J4982" s="334" t="s">
        <v>11753</v>
      </c>
      <c r="K4982" s="337"/>
      <c r="L4982" s="338"/>
      <c r="M4982" s="334">
        <v>515</v>
      </c>
      <c r="N4982" s="362">
        <f t="shared" si="165"/>
        <v>515</v>
      </c>
      <c r="X4982" s="339"/>
    </row>
    <row r="4983" s="330" customFormat="1" ht="15" customHeight="1" spans="1:24">
      <c r="A4983" s="334"/>
      <c r="B4983" s="334" t="s">
        <v>185</v>
      </c>
      <c r="C4983" s="348" t="s">
        <v>1133</v>
      </c>
      <c r="D4983" s="334" t="s">
        <v>187</v>
      </c>
      <c r="E4983" s="336">
        <v>43723</v>
      </c>
      <c r="F4983" s="336" t="s">
        <v>800</v>
      </c>
      <c r="G4983" s="336">
        <v>43722</v>
      </c>
      <c r="H4983" s="334" t="s">
        <v>11754</v>
      </c>
      <c r="I4983" s="334">
        <v>13901604489</v>
      </c>
      <c r="J4983" s="334" t="s">
        <v>11755</v>
      </c>
      <c r="K4983" s="337"/>
      <c r="L4983" s="338"/>
      <c r="M4983" s="334">
        <f>12800</f>
        <v>12800</v>
      </c>
      <c r="N4983" s="362">
        <f t="shared" si="165"/>
        <v>12800</v>
      </c>
      <c r="X4983" s="339"/>
    </row>
    <row r="4984" s="330" customFormat="1" ht="15" customHeight="1" spans="1:24">
      <c r="A4984" s="334"/>
      <c r="B4984" s="334" t="s">
        <v>205</v>
      </c>
      <c r="C4984" s="334" t="s">
        <v>1467</v>
      </c>
      <c r="D4984" s="334" t="s">
        <v>407</v>
      </c>
      <c r="E4984" s="336">
        <v>43724</v>
      </c>
      <c r="F4984" s="336" t="s">
        <v>800</v>
      </c>
      <c r="G4984" s="336">
        <v>43723</v>
      </c>
      <c r="H4984" s="334" t="s">
        <v>1541</v>
      </c>
      <c r="I4984" s="334">
        <v>17701707187</v>
      </c>
      <c r="J4984" s="334" t="s">
        <v>9833</v>
      </c>
      <c r="K4984" s="337"/>
      <c r="L4984" s="338"/>
      <c r="M4984" s="334">
        <f>2752</f>
        <v>2752</v>
      </c>
      <c r="N4984" s="368">
        <f t="shared" si="165"/>
        <v>2752</v>
      </c>
      <c r="X4984" s="339"/>
    </row>
    <row r="4985" s="330" customFormat="1" ht="15" customHeight="1" spans="1:24">
      <c r="A4985" s="334"/>
      <c r="B4985" s="334" t="s">
        <v>726</v>
      </c>
      <c r="C4985" s="334" t="s">
        <v>727</v>
      </c>
      <c r="D4985" s="334" t="s">
        <v>271</v>
      </c>
      <c r="E4985" s="336">
        <v>43724</v>
      </c>
      <c r="F4985" s="336" t="s">
        <v>800</v>
      </c>
      <c r="G4985" s="336">
        <v>43723</v>
      </c>
      <c r="H4985" s="334" t="s">
        <v>11756</v>
      </c>
      <c r="I4985" s="334">
        <v>13701972248</v>
      </c>
      <c r="J4985" s="334" t="s">
        <v>11757</v>
      </c>
      <c r="K4985" s="337"/>
      <c r="L4985" s="338"/>
      <c r="M4985" s="334">
        <f>2742</f>
        <v>2742</v>
      </c>
      <c r="N4985" s="368">
        <f t="shared" si="165"/>
        <v>2742</v>
      </c>
      <c r="X4985" s="339"/>
    </row>
    <row r="4986" s="330" customFormat="1" ht="15" customHeight="1" spans="1:24">
      <c r="A4986" s="334"/>
      <c r="B4986" s="334" t="s">
        <v>42</v>
      </c>
      <c r="C4986" s="334" t="s">
        <v>43</v>
      </c>
      <c r="D4986" s="335" t="s">
        <v>125</v>
      </c>
      <c r="E4986" s="336">
        <v>43724</v>
      </c>
      <c r="F4986" s="336" t="s">
        <v>800</v>
      </c>
      <c r="G4986" s="336">
        <v>43723</v>
      </c>
      <c r="H4986" s="334" t="s">
        <v>10495</v>
      </c>
      <c r="I4986" s="334">
        <v>13917157868</v>
      </c>
      <c r="J4986" s="334" t="s">
        <v>11758</v>
      </c>
      <c r="K4986" s="337"/>
      <c r="L4986" s="338"/>
      <c r="M4986" s="334">
        <f>17153</f>
        <v>17153</v>
      </c>
      <c r="N4986" s="362">
        <f t="shared" ref="N4986:N4993" si="166">L4986+M4986</f>
        <v>17153</v>
      </c>
      <c r="X4986" s="339"/>
    </row>
    <row r="4987" s="330" customFormat="1" ht="15" customHeight="1" spans="1:24">
      <c r="A4987" s="334"/>
      <c r="B4987" s="334" t="s">
        <v>58</v>
      </c>
      <c r="C4987" s="334" t="s">
        <v>794</v>
      </c>
      <c r="D4987" s="349" t="s">
        <v>110</v>
      </c>
      <c r="E4987" s="336">
        <v>43724</v>
      </c>
      <c r="F4987" s="336" t="s">
        <v>800</v>
      </c>
      <c r="G4987" s="336">
        <v>43723</v>
      </c>
      <c r="H4987" s="334" t="s">
        <v>9785</v>
      </c>
      <c r="I4987" s="334">
        <v>13524687807</v>
      </c>
      <c r="J4987" s="334" t="s">
        <v>11759</v>
      </c>
      <c r="K4987" s="337"/>
      <c r="L4987" s="338"/>
      <c r="M4987" s="334">
        <v>1078</v>
      </c>
      <c r="N4987" s="362">
        <f t="shared" si="166"/>
        <v>1078</v>
      </c>
      <c r="X4987" s="339"/>
    </row>
    <row r="4988" s="330" customFormat="1" ht="15" customHeight="1" spans="1:24">
      <c r="A4988" s="334"/>
      <c r="B4988" s="348" t="s">
        <v>73</v>
      </c>
      <c r="C4988" s="348" t="s">
        <v>178</v>
      </c>
      <c r="D4988" s="334" t="s">
        <v>717</v>
      </c>
      <c r="E4988" s="336">
        <v>43724</v>
      </c>
      <c r="F4988" s="336" t="s">
        <v>800</v>
      </c>
      <c r="G4988" s="336">
        <v>43723</v>
      </c>
      <c r="H4988" s="334" t="s">
        <v>718</v>
      </c>
      <c r="I4988" s="334">
        <v>13801740342</v>
      </c>
      <c r="J4988" s="334" t="s">
        <v>719</v>
      </c>
      <c r="K4988" s="337"/>
      <c r="L4988" s="338"/>
      <c r="M4988" s="334">
        <v>1532</v>
      </c>
      <c r="N4988" s="362">
        <f t="shared" si="166"/>
        <v>1532</v>
      </c>
      <c r="X4988" s="339"/>
    </row>
    <row r="4989" s="330" customFormat="1" ht="15" customHeight="1" spans="1:24">
      <c r="A4989" s="334"/>
      <c r="B4989" s="334" t="s">
        <v>35</v>
      </c>
      <c r="C4989" s="334" t="s">
        <v>36</v>
      </c>
      <c r="D4989" s="334" t="s">
        <v>37</v>
      </c>
      <c r="E4989" s="336">
        <v>43724</v>
      </c>
      <c r="F4989" s="336" t="s">
        <v>800</v>
      </c>
      <c r="G4989" s="336">
        <v>43723</v>
      </c>
      <c r="H4989" s="334" t="s">
        <v>11760</v>
      </c>
      <c r="I4989" s="334">
        <v>13917523667</v>
      </c>
      <c r="J4989" s="334" t="s">
        <v>11761</v>
      </c>
      <c r="K4989" s="337"/>
      <c r="L4989" s="338"/>
      <c r="M4989" s="334">
        <v>696</v>
      </c>
      <c r="N4989" s="362">
        <f t="shared" si="166"/>
        <v>696</v>
      </c>
      <c r="X4989" s="339"/>
    </row>
    <row r="4990" s="330" customFormat="1" ht="15" customHeight="1" spans="1:24">
      <c r="A4990" s="334"/>
      <c r="B4990" s="334" t="s">
        <v>153</v>
      </c>
      <c r="C4990" s="334" t="s">
        <v>154</v>
      </c>
      <c r="D4990" s="349" t="s">
        <v>155</v>
      </c>
      <c r="E4990" s="336">
        <v>43724</v>
      </c>
      <c r="F4990" s="336" t="s">
        <v>800</v>
      </c>
      <c r="G4990" s="336">
        <v>43724</v>
      </c>
      <c r="H4990" s="334" t="s">
        <v>9768</v>
      </c>
      <c r="I4990" s="334">
        <v>13817230898</v>
      </c>
      <c r="J4990" s="334" t="s">
        <v>9769</v>
      </c>
      <c r="K4990" s="337"/>
      <c r="L4990" s="338"/>
      <c r="M4990" s="334">
        <v>3600</v>
      </c>
      <c r="N4990" s="362">
        <f t="shared" si="166"/>
        <v>3600</v>
      </c>
      <c r="X4990" s="339"/>
    </row>
    <row r="4991" s="330" customFormat="1" ht="15" customHeight="1" spans="1:24">
      <c r="A4991" s="334"/>
      <c r="B4991" s="334" t="s">
        <v>315</v>
      </c>
      <c r="C4991" s="334" t="s">
        <v>722</v>
      </c>
      <c r="D4991" s="334" t="s">
        <v>132</v>
      </c>
      <c r="E4991" s="336">
        <v>43724</v>
      </c>
      <c r="F4991" s="336" t="s">
        <v>800</v>
      </c>
      <c r="G4991" s="336">
        <v>43723</v>
      </c>
      <c r="H4991" s="334" t="s">
        <v>11229</v>
      </c>
      <c r="I4991" s="334">
        <v>18016851969</v>
      </c>
      <c r="J4991" s="334" t="s">
        <v>11230</v>
      </c>
      <c r="K4991" s="337"/>
      <c r="L4991" s="338"/>
      <c r="M4991" s="334">
        <v>1000</v>
      </c>
      <c r="N4991" s="362">
        <f t="shared" si="166"/>
        <v>1000</v>
      </c>
      <c r="X4991" s="339"/>
    </row>
    <row r="4992" s="330" customFormat="1" ht="15" customHeight="1" spans="1:24">
      <c r="A4992" s="334"/>
      <c r="B4992" s="348" t="s">
        <v>153</v>
      </c>
      <c r="C4992" s="334" t="s">
        <v>302</v>
      </c>
      <c r="D4992" s="349" t="s">
        <v>155</v>
      </c>
      <c r="E4992" s="336">
        <v>43724</v>
      </c>
      <c r="F4992" s="336" t="s">
        <v>800</v>
      </c>
      <c r="G4992" s="336">
        <v>43724</v>
      </c>
      <c r="H4992" s="334" t="s">
        <v>5449</v>
      </c>
      <c r="I4992" s="334">
        <v>13601630658</v>
      </c>
      <c r="J4992" s="334" t="s">
        <v>5450</v>
      </c>
      <c r="K4992" s="337"/>
      <c r="L4992" s="338"/>
      <c r="M4992" s="334">
        <v>-100</v>
      </c>
      <c r="N4992" s="362">
        <f t="shared" si="166"/>
        <v>-100</v>
      </c>
      <c r="X4992" s="339"/>
    </row>
    <row r="4993" s="330" customFormat="1" ht="15" customHeight="1" spans="1:24">
      <c r="A4993" s="334"/>
      <c r="B4993" s="348" t="s">
        <v>58</v>
      </c>
      <c r="C4993" s="348" t="s">
        <v>342</v>
      </c>
      <c r="D4993" s="349" t="s">
        <v>343</v>
      </c>
      <c r="E4993" s="336">
        <v>43724</v>
      </c>
      <c r="F4993" s="336" t="s">
        <v>800</v>
      </c>
      <c r="G4993" s="336">
        <v>43724</v>
      </c>
      <c r="H4993" s="334" t="s">
        <v>9798</v>
      </c>
      <c r="I4993" s="334">
        <v>13918849417</v>
      </c>
      <c r="J4993" s="334" t="s">
        <v>11762</v>
      </c>
      <c r="K4993" s="337"/>
      <c r="L4993" s="338"/>
      <c r="M4993" s="334">
        <v>800</v>
      </c>
      <c r="N4993" s="362">
        <f t="shared" si="166"/>
        <v>800</v>
      </c>
      <c r="X4993" s="339"/>
    </row>
    <row r="4994" s="330" customFormat="1" ht="15" customHeight="1" spans="1:24">
      <c r="A4994" s="550" t="s">
        <v>11763</v>
      </c>
      <c r="B4994" s="334" t="s">
        <v>137</v>
      </c>
      <c r="C4994" s="334" t="s">
        <v>406</v>
      </c>
      <c r="D4994" s="335" t="s">
        <v>443</v>
      </c>
      <c r="E4994" s="336">
        <v>43725</v>
      </c>
      <c r="F4994" s="336">
        <v>43712</v>
      </c>
      <c r="G4994" s="399"/>
      <c r="H4994" s="334" t="s">
        <v>11764</v>
      </c>
      <c r="I4994" s="426">
        <v>18918785881</v>
      </c>
      <c r="J4994" s="334" t="s">
        <v>11765</v>
      </c>
      <c r="K4994" s="470">
        <v>4197</v>
      </c>
      <c r="L4994" s="338"/>
      <c r="M4994" s="338"/>
      <c r="N4994" s="362">
        <f t="shared" ref="N4994:N5012" si="167">L4994+M4994</f>
        <v>0</v>
      </c>
      <c r="S4994" s="330">
        <v>1</v>
      </c>
      <c r="U4994" s="385" t="s">
        <v>52</v>
      </c>
      <c r="X4994" s="339"/>
    </row>
    <row r="4995" s="330" customFormat="1" ht="15" customHeight="1" spans="1:24">
      <c r="A4995" s="348"/>
      <c r="B4995" s="334" t="s">
        <v>31</v>
      </c>
      <c r="C4995" s="334" t="s">
        <v>220</v>
      </c>
      <c r="D4995" s="335" t="s">
        <v>221</v>
      </c>
      <c r="E4995" s="336">
        <v>43725</v>
      </c>
      <c r="F4995" s="336">
        <v>43720</v>
      </c>
      <c r="G4995" s="373" t="s">
        <v>1140</v>
      </c>
      <c r="H4995" s="334" t="s">
        <v>8569</v>
      </c>
      <c r="I4995" s="426">
        <v>13918071410</v>
      </c>
      <c r="J4995" s="361" t="s">
        <v>11766</v>
      </c>
      <c r="K4995" s="470">
        <v>35000</v>
      </c>
      <c r="L4995" s="338"/>
      <c r="M4995" s="338"/>
      <c r="N4995" s="362">
        <f t="shared" si="167"/>
        <v>0</v>
      </c>
      <c r="X4995" s="339"/>
    </row>
    <row r="4996" s="330" customFormat="1" ht="15" customHeight="1" spans="1:24">
      <c r="A4996" s="550" t="s">
        <v>11767</v>
      </c>
      <c r="B4996" s="334" t="s">
        <v>137</v>
      </c>
      <c r="C4996" s="334" t="s">
        <v>426</v>
      </c>
      <c r="D4996" s="334" t="s">
        <v>139</v>
      </c>
      <c r="E4996" s="336">
        <v>43737</v>
      </c>
      <c r="F4996" s="336">
        <v>43724</v>
      </c>
      <c r="G4996" s="336">
        <v>43737</v>
      </c>
      <c r="H4996" s="334" t="s">
        <v>11768</v>
      </c>
      <c r="I4996" s="426">
        <v>13916902339</v>
      </c>
      <c r="J4996" s="367" t="s">
        <v>11769</v>
      </c>
      <c r="K4996" s="470">
        <v>1000</v>
      </c>
      <c r="L4996" s="334">
        <v>15647</v>
      </c>
      <c r="M4996" s="338"/>
      <c r="N4996" s="362">
        <f t="shared" si="167"/>
        <v>15647</v>
      </c>
      <c r="X4996" s="339"/>
    </row>
    <row r="4997" s="330" customFormat="1" ht="15" customHeight="1" spans="1:24">
      <c r="A4997" s="348"/>
      <c r="B4997" s="334" t="s">
        <v>66</v>
      </c>
      <c r="C4997" s="334" t="s">
        <v>119</v>
      </c>
      <c r="D4997" s="335" t="s">
        <v>68</v>
      </c>
      <c r="E4997" s="336">
        <v>43747</v>
      </c>
      <c r="F4997" s="336">
        <v>43723</v>
      </c>
      <c r="G4997" s="336">
        <v>43746</v>
      </c>
      <c r="H4997" s="334" t="s">
        <v>11770</v>
      </c>
      <c r="I4997" s="426">
        <v>18602111597</v>
      </c>
      <c r="J4997" s="367" t="s">
        <v>11771</v>
      </c>
      <c r="K4997" s="470">
        <v>1000</v>
      </c>
      <c r="L4997" s="334">
        <v>22445</v>
      </c>
      <c r="M4997" s="338"/>
      <c r="N4997" s="362">
        <f t="shared" si="167"/>
        <v>22445</v>
      </c>
      <c r="X4997" s="339"/>
    </row>
    <row r="4998" s="330" customFormat="1" ht="15" customHeight="1" spans="1:24">
      <c r="A4998" s="348"/>
      <c r="B4998" s="334" t="s">
        <v>66</v>
      </c>
      <c r="C4998" s="334" t="s">
        <v>951</v>
      </c>
      <c r="D4998" s="334" t="s">
        <v>1436</v>
      </c>
      <c r="E4998" s="336">
        <v>43737</v>
      </c>
      <c r="F4998" s="336">
        <v>43725</v>
      </c>
      <c r="G4998" s="336">
        <v>43736</v>
      </c>
      <c r="H4998" s="334" t="s">
        <v>11772</v>
      </c>
      <c r="I4998" s="426">
        <v>13901785270</v>
      </c>
      <c r="J4998" s="367" t="s">
        <v>11773</v>
      </c>
      <c r="K4998" s="470">
        <v>1000</v>
      </c>
      <c r="L4998" s="334">
        <v>3249</v>
      </c>
      <c r="M4998" s="338"/>
      <c r="N4998" s="362">
        <f t="shared" si="167"/>
        <v>3249</v>
      </c>
      <c r="X4998" s="339"/>
    </row>
    <row r="4999" s="330" customFormat="1" ht="15" customHeight="1" spans="1:24">
      <c r="A4999" s="550" t="s">
        <v>11774</v>
      </c>
      <c r="B4999" s="334" t="s">
        <v>42</v>
      </c>
      <c r="C4999" s="334" t="s">
        <v>43</v>
      </c>
      <c r="D4999" s="335" t="s">
        <v>44</v>
      </c>
      <c r="E4999" s="336">
        <v>43725</v>
      </c>
      <c r="F4999" s="336">
        <v>43725</v>
      </c>
      <c r="G4999" s="350"/>
      <c r="H4999" s="334" t="s">
        <v>11775</v>
      </c>
      <c r="I4999" s="334">
        <v>13636475925</v>
      </c>
      <c r="J4999" s="334" t="s">
        <v>11776</v>
      </c>
      <c r="K4999" s="470">
        <v>1000</v>
      </c>
      <c r="L4999" s="338"/>
      <c r="M4999" s="338"/>
      <c r="N4999" s="362">
        <f t="shared" si="167"/>
        <v>0</v>
      </c>
      <c r="U4999" s="471">
        <v>43723</v>
      </c>
      <c r="X4999" s="339"/>
    </row>
    <row r="5000" s="330" customFormat="1" ht="15" customHeight="1" spans="1:24">
      <c r="A5000" s="348"/>
      <c r="B5000" s="348" t="s">
        <v>169</v>
      </c>
      <c r="C5000" s="348" t="s">
        <v>634</v>
      </c>
      <c r="D5000" s="334" t="s">
        <v>75</v>
      </c>
      <c r="E5000" s="336">
        <v>43727</v>
      </c>
      <c r="F5000" s="336">
        <v>43724</v>
      </c>
      <c r="G5000" s="336">
        <v>43725</v>
      </c>
      <c r="H5000" s="334" t="s">
        <v>11777</v>
      </c>
      <c r="I5000" s="334">
        <v>17717670182</v>
      </c>
      <c r="J5000" s="367" t="s">
        <v>11778</v>
      </c>
      <c r="K5000" s="470">
        <v>17000</v>
      </c>
      <c r="L5000" s="334">
        <v>18010</v>
      </c>
      <c r="M5000" s="338"/>
      <c r="N5000" s="362">
        <f t="shared" si="167"/>
        <v>18010</v>
      </c>
      <c r="X5000" s="339"/>
    </row>
    <row r="5001" s="330" customFormat="1" ht="15" customHeight="1" spans="1:24">
      <c r="A5001" s="550" t="s">
        <v>11779</v>
      </c>
      <c r="B5001" s="334" t="s">
        <v>47</v>
      </c>
      <c r="C5001" s="334" t="s">
        <v>53</v>
      </c>
      <c r="D5001" s="335" t="s">
        <v>49</v>
      </c>
      <c r="E5001" s="336">
        <v>43725</v>
      </c>
      <c r="F5001" s="336">
        <v>43723</v>
      </c>
      <c r="G5001" s="350">
        <v>43725</v>
      </c>
      <c r="H5001" s="334" t="s">
        <v>11780</v>
      </c>
      <c r="I5001" s="334">
        <v>13818662208</v>
      </c>
      <c r="J5001" s="367" t="s">
        <v>11781</v>
      </c>
      <c r="K5001" s="470">
        <v>1000</v>
      </c>
      <c r="L5001" s="334">
        <f>22450-2208</f>
        <v>20242</v>
      </c>
      <c r="M5001" s="334">
        <v>2208</v>
      </c>
      <c r="N5001" s="362">
        <f t="shared" si="167"/>
        <v>22450</v>
      </c>
      <c r="X5001" s="339"/>
    </row>
    <row r="5002" s="330" customFormat="1" ht="15" customHeight="1" spans="1:24">
      <c r="A5002" s="348"/>
      <c r="B5002" s="334" t="s">
        <v>66</v>
      </c>
      <c r="C5002" s="334" t="s">
        <v>67</v>
      </c>
      <c r="D5002" s="334" t="s">
        <v>2302</v>
      </c>
      <c r="E5002" s="336">
        <v>43737</v>
      </c>
      <c r="F5002" s="336">
        <v>43725</v>
      </c>
      <c r="G5002" s="336">
        <v>43737</v>
      </c>
      <c r="H5002" s="334" t="s">
        <v>11782</v>
      </c>
      <c r="I5002" s="334">
        <v>18179421666</v>
      </c>
      <c r="J5002" s="367" t="s">
        <v>11783</v>
      </c>
      <c r="K5002" s="470">
        <v>10000</v>
      </c>
      <c r="L5002" s="334">
        <v>14156</v>
      </c>
      <c r="M5002" s="338"/>
      <c r="N5002" s="362">
        <f t="shared" si="167"/>
        <v>14156</v>
      </c>
      <c r="X5002" s="339"/>
    </row>
    <row r="5003" s="330" customFormat="1" ht="15" customHeight="1" spans="1:24">
      <c r="A5003" s="348"/>
      <c r="B5003" s="334" t="s">
        <v>805</v>
      </c>
      <c r="C5003" s="334" t="s">
        <v>4935</v>
      </c>
      <c r="D5003" s="335" t="s">
        <v>171</v>
      </c>
      <c r="E5003" s="336">
        <v>43792</v>
      </c>
      <c r="F5003" s="336">
        <v>43725</v>
      </c>
      <c r="G5003" s="336">
        <v>43788</v>
      </c>
      <c r="H5003" s="334" t="s">
        <v>11784</v>
      </c>
      <c r="I5003" s="334">
        <v>13817368118</v>
      </c>
      <c r="J5003" s="367" t="s">
        <v>11785</v>
      </c>
      <c r="K5003" s="470">
        <v>1000</v>
      </c>
      <c r="L5003" s="334">
        <v>17000</v>
      </c>
      <c r="M5003" s="338"/>
      <c r="N5003" s="362">
        <f t="shared" si="167"/>
        <v>17000</v>
      </c>
      <c r="X5003" s="339"/>
    </row>
    <row r="5004" s="330" customFormat="1" ht="15" customHeight="1" spans="1:24">
      <c r="A5004" s="334"/>
      <c r="B5004" s="348" t="s">
        <v>153</v>
      </c>
      <c r="C5004" s="348" t="s">
        <v>302</v>
      </c>
      <c r="D5004" s="349" t="s">
        <v>155</v>
      </c>
      <c r="E5004" s="336">
        <v>43725</v>
      </c>
      <c r="F5004" s="336" t="s">
        <v>800</v>
      </c>
      <c r="G5004" s="336">
        <v>43723</v>
      </c>
      <c r="H5004" s="334" t="s">
        <v>4053</v>
      </c>
      <c r="I5004" s="334">
        <v>13901715292</v>
      </c>
      <c r="J5004" s="334" t="s">
        <v>11786</v>
      </c>
      <c r="K5004" s="337"/>
      <c r="L5004" s="338"/>
      <c r="M5004" s="334">
        <v>8984</v>
      </c>
      <c r="N5004" s="362">
        <f t="shared" si="167"/>
        <v>8984</v>
      </c>
      <c r="X5004" s="339"/>
    </row>
    <row r="5005" s="330" customFormat="1" ht="15" customHeight="1" spans="1:24">
      <c r="A5005" s="334"/>
      <c r="B5005" s="348" t="s">
        <v>73</v>
      </c>
      <c r="C5005" s="348" t="s">
        <v>74</v>
      </c>
      <c r="D5005" s="349" t="s">
        <v>132</v>
      </c>
      <c r="E5005" s="336">
        <v>43725</v>
      </c>
      <c r="F5005" s="336" t="s">
        <v>800</v>
      </c>
      <c r="G5005" s="336">
        <v>43724</v>
      </c>
      <c r="H5005" s="334" t="s">
        <v>4435</v>
      </c>
      <c r="I5005" s="444">
        <v>13816063227</v>
      </c>
      <c r="J5005" s="334" t="s">
        <v>11787</v>
      </c>
      <c r="K5005" s="337"/>
      <c r="L5005" s="338"/>
      <c r="M5005" s="334">
        <v>10652</v>
      </c>
      <c r="N5005" s="362">
        <f t="shared" si="167"/>
        <v>10652</v>
      </c>
      <c r="X5005" s="339"/>
    </row>
    <row r="5006" s="330" customFormat="1" ht="15" customHeight="1" spans="1:24">
      <c r="A5006" s="334"/>
      <c r="B5006" s="334" t="s">
        <v>137</v>
      </c>
      <c r="C5006" s="334" t="s">
        <v>480</v>
      </c>
      <c r="D5006" s="334" t="s">
        <v>717</v>
      </c>
      <c r="E5006" s="336">
        <v>43725</v>
      </c>
      <c r="F5006" s="336" t="s">
        <v>800</v>
      </c>
      <c r="G5006" s="336">
        <v>43723</v>
      </c>
      <c r="H5006" s="334" t="s">
        <v>3640</v>
      </c>
      <c r="I5006" s="334">
        <v>13607084515</v>
      </c>
      <c r="J5006" s="334" t="s">
        <v>11788</v>
      </c>
      <c r="K5006" s="337"/>
      <c r="L5006" s="338"/>
      <c r="M5006" s="334">
        <v>1268</v>
      </c>
      <c r="N5006" s="362">
        <f t="shared" si="167"/>
        <v>1268</v>
      </c>
      <c r="X5006" s="339"/>
    </row>
    <row r="5007" s="330" customFormat="1" ht="15" customHeight="1" spans="1:24">
      <c r="A5007" s="334"/>
      <c r="B5007" s="334" t="s">
        <v>335</v>
      </c>
      <c r="C5007" s="334" t="s">
        <v>615</v>
      </c>
      <c r="D5007" s="334" t="s">
        <v>337</v>
      </c>
      <c r="E5007" s="336">
        <v>43725</v>
      </c>
      <c r="F5007" s="336" t="s">
        <v>800</v>
      </c>
      <c r="G5007" s="336">
        <v>43709</v>
      </c>
      <c r="H5007" s="334" t="s">
        <v>10671</v>
      </c>
      <c r="I5007" s="334">
        <v>15921506740</v>
      </c>
      <c r="J5007" s="348" t="s">
        <v>10672</v>
      </c>
      <c r="K5007" s="337"/>
      <c r="L5007" s="338"/>
      <c r="M5007" s="334">
        <v>100</v>
      </c>
      <c r="N5007" s="362">
        <f t="shared" si="167"/>
        <v>100</v>
      </c>
      <c r="X5007" s="339"/>
    </row>
    <row r="5008" s="330" customFormat="1" ht="15" customHeight="1" spans="1:24">
      <c r="A5008" s="334"/>
      <c r="B5008" s="334" t="s">
        <v>31</v>
      </c>
      <c r="C5008" s="334" t="s">
        <v>419</v>
      </c>
      <c r="D5008" s="349" t="s">
        <v>221</v>
      </c>
      <c r="E5008" s="336">
        <v>43725</v>
      </c>
      <c r="F5008" s="336" t="s">
        <v>800</v>
      </c>
      <c r="G5008" s="336">
        <v>43725</v>
      </c>
      <c r="H5008" s="334" t="s">
        <v>11789</v>
      </c>
      <c r="I5008" s="334">
        <v>13921516841</v>
      </c>
      <c r="J5008" s="334" t="s">
        <v>9511</v>
      </c>
      <c r="K5008" s="337"/>
      <c r="L5008" s="338"/>
      <c r="M5008" s="334">
        <v>186</v>
      </c>
      <c r="N5008" s="362">
        <f t="shared" si="167"/>
        <v>186</v>
      </c>
      <c r="X5008" s="339"/>
    </row>
    <row r="5009" s="330" customFormat="1" ht="15" customHeight="1" spans="1:24">
      <c r="A5009" s="334"/>
      <c r="B5009" s="348" t="s">
        <v>66</v>
      </c>
      <c r="C5009" s="348" t="s">
        <v>1749</v>
      </c>
      <c r="D5009" s="352" t="s">
        <v>68</v>
      </c>
      <c r="E5009" s="336">
        <v>43725</v>
      </c>
      <c r="F5009" s="336" t="s">
        <v>800</v>
      </c>
      <c r="G5009" s="336">
        <v>43687</v>
      </c>
      <c r="H5009" s="334" t="s">
        <v>7123</v>
      </c>
      <c r="I5009" s="334">
        <v>13817395500</v>
      </c>
      <c r="J5009" s="334" t="s">
        <v>7124</v>
      </c>
      <c r="K5009" s="337"/>
      <c r="L5009" s="338"/>
      <c r="M5009" s="334">
        <v>102</v>
      </c>
      <c r="N5009" s="362">
        <f t="shared" si="167"/>
        <v>102</v>
      </c>
      <c r="X5009" s="339"/>
    </row>
    <row r="5010" s="330" customFormat="1" ht="15" customHeight="1" spans="1:24">
      <c r="A5010" s="334"/>
      <c r="B5010" s="348" t="s">
        <v>169</v>
      </c>
      <c r="C5010" s="334" t="s">
        <v>634</v>
      </c>
      <c r="D5010" s="349" t="s">
        <v>139</v>
      </c>
      <c r="E5010" s="336">
        <v>43725</v>
      </c>
      <c r="F5010" s="336" t="s">
        <v>800</v>
      </c>
      <c r="G5010" s="336">
        <v>43688</v>
      </c>
      <c r="H5010" s="334" t="s">
        <v>8198</v>
      </c>
      <c r="I5010" s="356">
        <v>19901702440</v>
      </c>
      <c r="J5010" s="348" t="s">
        <v>8199</v>
      </c>
      <c r="K5010" s="337"/>
      <c r="L5010" s="338"/>
      <c r="M5010" s="334">
        <v>-250</v>
      </c>
      <c r="N5010" s="362">
        <f t="shared" si="167"/>
        <v>-250</v>
      </c>
      <c r="X5010" s="339"/>
    </row>
    <row r="5011" s="330" customFormat="1" ht="15" customHeight="1" spans="1:24">
      <c r="A5011" s="334"/>
      <c r="B5011" s="334" t="s">
        <v>58</v>
      </c>
      <c r="C5011" s="334" t="s">
        <v>347</v>
      </c>
      <c r="D5011" s="334" t="s">
        <v>343</v>
      </c>
      <c r="E5011" s="336">
        <v>43725</v>
      </c>
      <c r="F5011" s="336" t="s">
        <v>800</v>
      </c>
      <c r="G5011" s="336">
        <v>43718</v>
      </c>
      <c r="H5011" s="334" t="s">
        <v>11790</v>
      </c>
      <c r="I5011" s="334">
        <v>18721612353</v>
      </c>
      <c r="J5011" s="334" t="s">
        <v>11791</v>
      </c>
      <c r="K5011" s="337"/>
      <c r="L5011" s="338"/>
      <c r="M5011" s="334">
        <v>497</v>
      </c>
      <c r="N5011" s="362">
        <f t="shared" si="167"/>
        <v>497</v>
      </c>
      <c r="X5011" s="339"/>
    </row>
    <row r="5012" s="330" customFormat="1" ht="15" customHeight="1" spans="1:24">
      <c r="A5012" s="334"/>
      <c r="B5012" s="334" t="s">
        <v>153</v>
      </c>
      <c r="C5012" s="334" t="s">
        <v>302</v>
      </c>
      <c r="D5012" s="335" t="s">
        <v>155</v>
      </c>
      <c r="E5012" s="336">
        <v>43725</v>
      </c>
      <c r="F5012" s="336" t="s">
        <v>800</v>
      </c>
      <c r="G5012" s="336">
        <v>43719</v>
      </c>
      <c r="H5012" s="334" t="s">
        <v>10170</v>
      </c>
      <c r="I5012" s="334">
        <v>18616387842</v>
      </c>
      <c r="J5012" s="367" t="s">
        <v>10171</v>
      </c>
      <c r="K5012" s="337"/>
      <c r="L5012" s="338"/>
      <c r="M5012" s="334">
        <v>482</v>
      </c>
      <c r="N5012" s="362">
        <f t="shared" si="167"/>
        <v>482</v>
      </c>
      <c r="X5012" s="339"/>
    </row>
    <row r="5013" s="330" customFormat="1" ht="15" customHeight="1" spans="1:24">
      <c r="A5013" s="348"/>
      <c r="B5013" s="334" t="s">
        <v>315</v>
      </c>
      <c r="C5013" s="334" t="s">
        <v>275</v>
      </c>
      <c r="D5013" s="335" t="s">
        <v>162</v>
      </c>
      <c r="E5013" s="336">
        <v>43726</v>
      </c>
      <c r="F5013" s="336">
        <v>43725</v>
      </c>
      <c r="G5013" s="350"/>
      <c r="H5013" s="334" t="s">
        <v>11792</v>
      </c>
      <c r="I5013" s="334">
        <v>15357505856</v>
      </c>
      <c r="J5013" s="367" t="s">
        <v>11793</v>
      </c>
      <c r="K5013" s="470">
        <v>2780</v>
      </c>
      <c r="L5013" s="338"/>
      <c r="M5013" s="338"/>
      <c r="N5013" s="362">
        <f t="shared" ref="N5013:N5029" si="168">L5013+M5013</f>
        <v>0</v>
      </c>
      <c r="U5013" s="330" t="s">
        <v>11374</v>
      </c>
      <c r="X5013" s="339"/>
    </row>
    <row r="5014" s="330" customFormat="1" ht="15" customHeight="1" spans="1:24">
      <c r="A5014" s="550" t="s">
        <v>1815</v>
      </c>
      <c r="B5014" s="334" t="s">
        <v>31</v>
      </c>
      <c r="C5014" s="334" t="s">
        <v>419</v>
      </c>
      <c r="D5014" s="334" t="s">
        <v>954</v>
      </c>
      <c r="E5014" s="336">
        <v>43763</v>
      </c>
      <c r="F5014" s="336">
        <v>43725</v>
      </c>
      <c r="G5014" s="336">
        <v>43763</v>
      </c>
      <c r="H5014" s="334" t="s">
        <v>11794</v>
      </c>
      <c r="I5014" s="334">
        <v>13916546272</v>
      </c>
      <c r="J5014" s="367" t="s">
        <v>11795</v>
      </c>
      <c r="K5014" s="470">
        <v>1000</v>
      </c>
      <c r="L5014" s="334">
        <v>12997</v>
      </c>
      <c r="M5014" s="338"/>
      <c r="N5014" s="362">
        <f t="shared" si="168"/>
        <v>12997</v>
      </c>
      <c r="X5014" s="339"/>
    </row>
    <row r="5015" s="330" customFormat="1" ht="15" customHeight="1" spans="1:24">
      <c r="A5015" s="348">
        <v>2022274</v>
      </c>
      <c r="B5015" s="334" t="s">
        <v>243</v>
      </c>
      <c r="C5015" s="334" t="s">
        <v>304</v>
      </c>
      <c r="D5015" s="335" t="s">
        <v>49</v>
      </c>
      <c r="E5015" s="336">
        <v>43726</v>
      </c>
      <c r="F5015" s="336">
        <v>43725</v>
      </c>
      <c r="G5015" s="399">
        <v>43726</v>
      </c>
      <c r="H5015" s="334" t="s">
        <v>11796</v>
      </c>
      <c r="I5015" s="426">
        <v>13761111808</v>
      </c>
      <c r="J5015" s="367" t="s">
        <v>11797</v>
      </c>
      <c r="K5015" s="470">
        <v>1000</v>
      </c>
      <c r="L5015" s="334">
        <f>4658-536</f>
        <v>4122</v>
      </c>
      <c r="M5015" s="334">
        <v>536</v>
      </c>
      <c r="N5015" s="362">
        <f t="shared" si="168"/>
        <v>4658</v>
      </c>
      <c r="X5015" s="339"/>
    </row>
    <row r="5016" s="330" customFormat="1" ht="15" customHeight="1" spans="1:24">
      <c r="A5016" s="348">
        <v>2022533</v>
      </c>
      <c r="B5016" s="334" t="s">
        <v>73</v>
      </c>
      <c r="C5016" s="334" t="s">
        <v>178</v>
      </c>
      <c r="D5016" s="334" t="s">
        <v>44</v>
      </c>
      <c r="E5016" s="336">
        <v>43799</v>
      </c>
      <c r="F5016" s="336">
        <v>43725</v>
      </c>
      <c r="G5016" s="336">
        <v>43799</v>
      </c>
      <c r="H5016" s="334" t="s">
        <v>11798</v>
      </c>
      <c r="I5016" s="426">
        <v>18616026428</v>
      </c>
      <c r="J5016" s="367" t="s">
        <v>11799</v>
      </c>
      <c r="K5016" s="470">
        <v>1000</v>
      </c>
      <c r="L5016" s="334">
        <v>14768</v>
      </c>
      <c r="M5016" s="338"/>
      <c r="N5016" s="362">
        <f t="shared" si="168"/>
        <v>14768</v>
      </c>
      <c r="P5016" s="366" t="s">
        <v>52</v>
      </c>
      <c r="X5016" s="339"/>
    </row>
    <row r="5017" s="330" customFormat="1" ht="15" customHeight="1" spans="1:24">
      <c r="A5017" s="550" t="s">
        <v>4930</v>
      </c>
      <c r="B5017" s="334" t="s">
        <v>185</v>
      </c>
      <c r="C5017" s="334" t="s">
        <v>186</v>
      </c>
      <c r="D5017" s="335" t="s">
        <v>187</v>
      </c>
      <c r="E5017" s="336">
        <v>43728</v>
      </c>
      <c r="F5017" s="336">
        <v>43726</v>
      </c>
      <c r="G5017" s="336">
        <v>43728</v>
      </c>
      <c r="H5017" s="334" t="s">
        <v>11800</v>
      </c>
      <c r="I5017" s="426">
        <v>13801786680</v>
      </c>
      <c r="J5017" s="367" t="s">
        <v>11801</v>
      </c>
      <c r="K5017" s="470">
        <v>6495</v>
      </c>
      <c r="L5017" s="334">
        <v>10182</v>
      </c>
      <c r="M5017" s="338"/>
      <c r="N5017" s="362">
        <f t="shared" si="168"/>
        <v>10182</v>
      </c>
      <c r="X5017" s="339"/>
    </row>
    <row r="5018" s="330" customFormat="1" ht="15" customHeight="1" spans="1:24">
      <c r="A5018" s="348"/>
      <c r="B5018" s="334" t="s">
        <v>66</v>
      </c>
      <c r="C5018" s="334" t="s">
        <v>951</v>
      </c>
      <c r="D5018" s="334" t="s">
        <v>1436</v>
      </c>
      <c r="E5018" s="336">
        <v>43745</v>
      </c>
      <c r="F5018" s="336">
        <v>43726</v>
      </c>
      <c r="G5018" s="336">
        <v>43745</v>
      </c>
      <c r="H5018" s="334" t="s">
        <v>11802</v>
      </c>
      <c r="I5018" s="426">
        <v>13122489638</v>
      </c>
      <c r="J5018" s="367" t="s">
        <v>11803</v>
      </c>
      <c r="K5018" s="470">
        <v>1000</v>
      </c>
      <c r="L5018" s="334">
        <v>10000</v>
      </c>
      <c r="M5018" s="338"/>
      <c r="N5018" s="362">
        <f t="shared" si="168"/>
        <v>10000</v>
      </c>
      <c r="U5018" s="393" t="s">
        <v>40</v>
      </c>
      <c r="X5018" s="339"/>
    </row>
    <row r="5019" s="330" customFormat="1" ht="15" customHeight="1" spans="1:24">
      <c r="A5019" s="348"/>
      <c r="B5019" s="334" t="s">
        <v>66</v>
      </c>
      <c r="C5019" s="334" t="s">
        <v>951</v>
      </c>
      <c r="D5019" s="334" t="s">
        <v>1436</v>
      </c>
      <c r="E5019" s="336">
        <v>43729</v>
      </c>
      <c r="F5019" s="336">
        <v>43726</v>
      </c>
      <c r="G5019" s="336">
        <v>43729</v>
      </c>
      <c r="H5019" s="334" t="s">
        <v>11804</v>
      </c>
      <c r="I5019" s="426">
        <v>18600455661</v>
      </c>
      <c r="J5019" s="367" t="s">
        <v>11805</v>
      </c>
      <c r="K5019" s="470">
        <v>1000</v>
      </c>
      <c r="L5019" s="334">
        <v>8664</v>
      </c>
      <c r="M5019" s="334">
        <v>736</v>
      </c>
      <c r="N5019" s="362">
        <f t="shared" si="168"/>
        <v>9400</v>
      </c>
      <c r="X5019" s="339"/>
    </row>
    <row r="5020" s="330" customFormat="1" ht="15" customHeight="1" spans="1:24">
      <c r="A5020" s="550" t="s">
        <v>11806</v>
      </c>
      <c r="B5020" s="334" t="s">
        <v>335</v>
      </c>
      <c r="C5020" s="334" t="s">
        <v>399</v>
      </c>
      <c r="D5020" s="335" t="s">
        <v>337</v>
      </c>
      <c r="E5020" s="336">
        <v>43756</v>
      </c>
      <c r="F5020" s="336">
        <v>43726</v>
      </c>
      <c r="G5020" s="336">
        <v>43753</v>
      </c>
      <c r="H5020" s="334" t="s">
        <v>11807</v>
      </c>
      <c r="I5020" s="426">
        <v>13636611616</v>
      </c>
      <c r="J5020" s="367" t="s">
        <v>11808</v>
      </c>
      <c r="K5020" s="470">
        <v>2000</v>
      </c>
      <c r="L5020" s="334">
        <v>13800</v>
      </c>
      <c r="M5020" s="338"/>
      <c r="N5020" s="362">
        <f t="shared" si="168"/>
        <v>13800</v>
      </c>
      <c r="X5020" s="339"/>
    </row>
    <row r="5021" s="330" customFormat="1" ht="15" customHeight="1" spans="1:24">
      <c r="A5021" s="348"/>
      <c r="B5021" s="334" t="s">
        <v>726</v>
      </c>
      <c r="C5021" s="334" t="s">
        <v>727</v>
      </c>
      <c r="D5021" s="335" t="s">
        <v>149</v>
      </c>
      <c r="E5021" s="336">
        <v>43726</v>
      </c>
      <c r="F5021" s="336">
        <v>43702</v>
      </c>
      <c r="G5021" s="353" t="s">
        <v>469</v>
      </c>
      <c r="H5021" s="334" t="s">
        <v>10077</v>
      </c>
      <c r="I5021" s="426">
        <v>18105748606</v>
      </c>
      <c r="J5021" s="367" t="s">
        <v>10078</v>
      </c>
      <c r="K5021" s="470">
        <v>17130</v>
      </c>
      <c r="L5021" s="338"/>
      <c r="M5021" s="338"/>
      <c r="N5021" s="362">
        <f t="shared" si="168"/>
        <v>0</v>
      </c>
      <c r="X5021" s="339"/>
    </row>
    <row r="5022" s="330" customFormat="1" ht="15" customHeight="1" spans="1:24">
      <c r="A5022" s="348"/>
      <c r="B5022" s="334" t="s">
        <v>315</v>
      </c>
      <c r="C5022" s="334" t="s">
        <v>230</v>
      </c>
      <c r="D5022" s="334" t="s">
        <v>182</v>
      </c>
      <c r="E5022" s="336">
        <v>43726</v>
      </c>
      <c r="F5022" s="336">
        <v>43726</v>
      </c>
      <c r="G5022" s="336">
        <v>43726</v>
      </c>
      <c r="H5022" s="334" t="s">
        <v>11809</v>
      </c>
      <c r="I5022" s="334">
        <v>13818111850</v>
      </c>
      <c r="J5022" s="367" t="s">
        <v>11810</v>
      </c>
      <c r="K5022" s="470">
        <v>5000</v>
      </c>
      <c r="L5022" s="334">
        <v>24590</v>
      </c>
      <c r="M5022" s="338"/>
      <c r="N5022" s="362">
        <f t="shared" si="168"/>
        <v>24590</v>
      </c>
      <c r="X5022" s="339"/>
    </row>
    <row r="5023" s="330" customFormat="1" ht="15" customHeight="1" spans="1:24">
      <c r="A5023" s="550" t="s">
        <v>11811</v>
      </c>
      <c r="B5023" s="334" t="s">
        <v>137</v>
      </c>
      <c r="C5023" s="334" t="s">
        <v>426</v>
      </c>
      <c r="D5023" s="334" t="s">
        <v>171</v>
      </c>
      <c r="E5023" s="336">
        <v>43726</v>
      </c>
      <c r="F5023" s="336">
        <v>43725</v>
      </c>
      <c r="G5023" s="399">
        <v>43726</v>
      </c>
      <c r="H5023" s="334" t="s">
        <v>11812</v>
      </c>
      <c r="I5023" s="426">
        <v>15000195559</v>
      </c>
      <c r="J5023" s="334" t="s">
        <v>11813</v>
      </c>
      <c r="K5023" s="470">
        <v>5997</v>
      </c>
      <c r="L5023" s="334">
        <v>6801</v>
      </c>
      <c r="M5023" s="338"/>
      <c r="N5023" s="362">
        <f t="shared" si="168"/>
        <v>6801</v>
      </c>
      <c r="X5023" s="339"/>
    </row>
    <row r="5024" s="330" customFormat="1" ht="15" customHeight="1" spans="1:24">
      <c r="A5024" s="348"/>
      <c r="B5024" s="334" t="s">
        <v>315</v>
      </c>
      <c r="C5024" s="334" t="s">
        <v>161</v>
      </c>
      <c r="D5024" s="335" t="s">
        <v>162</v>
      </c>
      <c r="E5024" s="336">
        <v>43726</v>
      </c>
      <c r="F5024" s="336">
        <v>43726</v>
      </c>
      <c r="G5024" s="350" t="s">
        <v>69</v>
      </c>
      <c r="H5024" s="334" t="s">
        <v>1179</v>
      </c>
      <c r="I5024" s="426">
        <v>15618678516</v>
      </c>
      <c r="J5024" s="367" t="s">
        <v>11814</v>
      </c>
      <c r="K5024" s="470">
        <v>9635</v>
      </c>
      <c r="L5024" s="338"/>
      <c r="M5024" s="338"/>
      <c r="N5024" s="362">
        <f t="shared" si="168"/>
        <v>0</v>
      </c>
      <c r="X5024" s="339"/>
    </row>
    <row r="5025" s="330" customFormat="1" ht="15" customHeight="1" spans="1:24">
      <c r="A5025" s="348"/>
      <c r="B5025" s="334" t="s">
        <v>315</v>
      </c>
      <c r="C5025" s="334" t="s">
        <v>161</v>
      </c>
      <c r="D5025" s="334" t="s">
        <v>207</v>
      </c>
      <c r="E5025" s="336">
        <v>43768</v>
      </c>
      <c r="F5025" s="336">
        <v>43726</v>
      </c>
      <c r="G5025" s="336">
        <v>43767</v>
      </c>
      <c r="H5025" s="334" t="s">
        <v>11815</v>
      </c>
      <c r="I5025" s="426">
        <v>13916845565</v>
      </c>
      <c r="J5025" s="367" t="s">
        <v>11816</v>
      </c>
      <c r="K5025" s="470">
        <v>2000</v>
      </c>
      <c r="L5025" s="334">
        <v>2343</v>
      </c>
      <c r="M5025" s="338"/>
      <c r="N5025" s="362">
        <f t="shared" si="168"/>
        <v>2343</v>
      </c>
      <c r="X5025" s="339"/>
    </row>
    <row r="5026" s="330" customFormat="1" ht="15" customHeight="1" spans="1:24">
      <c r="A5026" s="334"/>
      <c r="B5026" s="334" t="s">
        <v>243</v>
      </c>
      <c r="C5026" s="334" t="s">
        <v>304</v>
      </c>
      <c r="D5026" s="335" t="s">
        <v>49</v>
      </c>
      <c r="E5026" s="336">
        <v>43726</v>
      </c>
      <c r="F5026" s="336"/>
      <c r="G5026" s="336">
        <v>43724</v>
      </c>
      <c r="H5026" s="334" t="s">
        <v>11817</v>
      </c>
      <c r="I5026" s="334">
        <v>13916830618</v>
      </c>
      <c r="J5026" s="334" t="s">
        <v>11818</v>
      </c>
      <c r="K5026" s="337"/>
      <c r="L5026" s="334">
        <f>43200-2780</f>
        <v>40420</v>
      </c>
      <c r="M5026" s="334">
        <f>4000+2780</f>
        <v>6780</v>
      </c>
      <c r="N5026" s="362">
        <f t="shared" si="168"/>
        <v>47200</v>
      </c>
      <c r="X5026" s="339"/>
    </row>
    <row r="5027" s="330" customFormat="1" ht="15" customHeight="1" spans="1:24">
      <c r="A5027" s="334"/>
      <c r="B5027" s="334" t="s">
        <v>58</v>
      </c>
      <c r="C5027" s="334" t="s">
        <v>109</v>
      </c>
      <c r="D5027" s="334" t="s">
        <v>110</v>
      </c>
      <c r="E5027" s="336">
        <v>43726</v>
      </c>
      <c r="F5027" s="336"/>
      <c r="G5027" s="336">
        <v>43725</v>
      </c>
      <c r="H5027" s="334" t="s">
        <v>11819</v>
      </c>
      <c r="I5027" s="334">
        <v>17602189896</v>
      </c>
      <c r="J5027" s="334" t="s">
        <v>11820</v>
      </c>
      <c r="K5027" s="337"/>
      <c r="L5027" s="334">
        <f>4134-368</f>
        <v>3766</v>
      </c>
      <c r="M5027" s="334">
        <v>368</v>
      </c>
      <c r="N5027" s="362">
        <f t="shared" si="168"/>
        <v>4134</v>
      </c>
      <c r="X5027" s="339"/>
    </row>
    <row r="5028" s="330" customFormat="1" ht="15" customHeight="1" spans="1:24">
      <c r="A5028" s="334"/>
      <c r="B5028" s="334" t="s">
        <v>726</v>
      </c>
      <c r="C5028" s="334" t="s">
        <v>727</v>
      </c>
      <c r="D5028" s="334" t="s">
        <v>271</v>
      </c>
      <c r="E5028" s="336">
        <v>43726</v>
      </c>
      <c r="F5028" s="336"/>
      <c r="G5028" s="336">
        <v>43726</v>
      </c>
      <c r="H5028" s="334" t="s">
        <v>11821</v>
      </c>
      <c r="I5028" s="334">
        <v>17701800477</v>
      </c>
      <c r="J5028" s="334" t="s">
        <v>11822</v>
      </c>
      <c r="K5028" s="337"/>
      <c r="L5028" s="334">
        <v>6838</v>
      </c>
      <c r="M5028" s="338"/>
      <c r="N5028" s="362">
        <f t="shared" si="168"/>
        <v>6838</v>
      </c>
      <c r="X5028" s="339"/>
    </row>
    <row r="5029" s="330" customFormat="1" ht="15" customHeight="1" spans="1:24">
      <c r="A5029" s="334"/>
      <c r="B5029" s="334" t="s">
        <v>137</v>
      </c>
      <c r="C5029" s="334" t="s">
        <v>138</v>
      </c>
      <c r="D5029" s="334" t="s">
        <v>171</v>
      </c>
      <c r="E5029" s="336">
        <v>43726</v>
      </c>
      <c r="F5029" s="336"/>
      <c r="G5029" s="336">
        <v>43725</v>
      </c>
      <c r="H5029" s="334" t="s">
        <v>11823</v>
      </c>
      <c r="I5029" s="334">
        <v>13524752118</v>
      </c>
      <c r="J5029" s="334" t="s">
        <v>11824</v>
      </c>
      <c r="K5029" s="337"/>
      <c r="L5029" s="338"/>
      <c r="M5029" s="334">
        <v>150</v>
      </c>
      <c r="N5029" s="362">
        <f t="shared" si="168"/>
        <v>150</v>
      </c>
      <c r="X5029" s="339"/>
    </row>
    <row r="5030" s="330" customFormat="1" ht="15" customHeight="1" spans="1:24">
      <c r="A5030" s="334"/>
      <c r="B5030" s="334" t="s">
        <v>42</v>
      </c>
      <c r="C5030" s="334" t="s">
        <v>43</v>
      </c>
      <c r="D5030" s="334" t="s">
        <v>149</v>
      </c>
      <c r="E5030" s="336">
        <v>43726</v>
      </c>
      <c r="F5030" s="336"/>
      <c r="G5030" s="336">
        <v>43725</v>
      </c>
      <c r="H5030" s="334" t="s">
        <v>10358</v>
      </c>
      <c r="I5030" s="334">
        <v>13671598992</v>
      </c>
      <c r="J5030" s="334" t="s">
        <v>11825</v>
      </c>
      <c r="K5030" s="337"/>
      <c r="L5030" s="338"/>
      <c r="M5030" s="334">
        <v>3219</v>
      </c>
      <c r="N5030" s="362">
        <f t="shared" ref="N5030:N5035" si="169">L5030+M5030</f>
        <v>3219</v>
      </c>
      <c r="X5030" s="339"/>
    </row>
    <row r="5031" s="330" customFormat="1" ht="15" customHeight="1" spans="1:24">
      <c r="A5031" s="334"/>
      <c r="B5031" s="348" t="s">
        <v>31</v>
      </c>
      <c r="C5031" s="348" t="s">
        <v>3186</v>
      </c>
      <c r="D5031" s="349" t="s">
        <v>89</v>
      </c>
      <c r="E5031" s="336">
        <v>43726</v>
      </c>
      <c r="F5031" s="336"/>
      <c r="G5031" s="336">
        <v>43726</v>
      </c>
      <c r="H5031" s="334" t="s">
        <v>4641</v>
      </c>
      <c r="I5031" s="334">
        <v>15618674369</v>
      </c>
      <c r="J5031" s="334" t="s">
        <v>11826</v>
      </c>
      <c r="K5031" s="337"/>
      <c r="L5031" s="338"/>
      <c r="M5031" s="334">
        <v>10000</v>
      </c>
      <c r="N5031" s="362">
        <f t="shared" si="169"/>
        <v>10000</v>
      </c>
      <c r="X5031" s="339"/>
    </row>
    <row r="5032" s="330" customFormat="1" ht="15" customHeight="1" spans="1:24">
      <c r="A5032" s="334"/>
      <c r="B5032" s="334" t="s">
        <v>169</v>
      </c>
      <c r="C5032" s="334" t="s">
        <v>634</v>
      </c>
      <c r="D5032" s="334" t="s">
        <v>75</v>
      </c>
      <c r="E5032" s="336">
        <v>43726</v>
      </c>
      <c r="F5032" s="336"/>
      <c r="G5032" s="336">
        <v>43726</v>
      </c>
      <c r="H5032" s="334" t="s">
        <v>2840</v>
      </c>
      <c r="I5032" s="334">
        <v>13901912999</v>
      </c>
      <c r="J5032" s="334" t="s">
        <v>11827</v>
      </c>
      <c r="K5032" s="337"/>
      <c r="L5032" s="338"/>
      <c r="M5032" s="334">
        <v>247</v>
      </c>
      <c r="N5032" s="362">
        <f t="shared" si="169"/>
        <v>247</v>
      </c>
      <c r="X5032" s="339"/>
    </row>
    <row r="5033" s="330" customFormat="1" ht="15" customHeight="1" spans="1:24">
      <c r="A5033" s="334"/>
      <c r="B5033" s="348" t="s">
        <v>42</v>
      </c>
      <c r="C5033" s="348" t="s">
        <v>43</v>
      </c>
      <c r="D5033" s="352" t="s">
        <v>125</v>
      </c>
      <c r="E5033" s="336">
        <v>43726</v>
      </c>
      <c r="F5033" s="336"/>
      <c r="G5033" s="336">
        <v>43682</v>
      </c>
      <c r="H5033" s="334" t="s">
        <v>9660</v>
      </c>
      <c r="I5033" s="334">
        <v>13062390150</v>
      </c>
      <c r="J5033" s="334" t="s">
        <v>11828</v>
      </c>
      <c r="K5033" s="337"/>
      <c r="L5033" s="338"/>
      <c r="M5033" s="334">
        <v>9255</v>
      </c>
      <c r="N5033" s="362">
        <f t="shared" si="169"/>
        <v>9255</v>
      </c>
      <c r="X5033" s="339"/>
    </row>
    <row r="5034" s="330" customFormat="1" ht="15" customHeight="1" spans="1:24">
      <c r="A5034" s="334"/>
      <c r="B5034" s="348" t="s">
        <v>160</v>
      </c>
      <c r="C5034" s="348" t="s">
        <v>161</v>
      </c>
      <c r="D5034" s="349" t="s">
        <v>162</v>
      </c>
      <c r="E5034" s="336">
        <v>43726</v>
      </c>
      <c r="F5034" s="336"/>
      <c r="G5034" s="336">
        <v>43726</v>
      </c>
      <c r="H5034" s="334" t="s">
        <v>700</v>
      </c>
      <c r="I5034" s="356">
        <v>18516153530</v>
      </c>
      <c r="J5034" s="348" t="s">
        <v>9362</v>
      </c>
      <c r="K5034" s="337"/>
      <c r="L5034" s="338"/>
      <c r="M5034" s="334">
        <v>1844</v>
      </c>
      <c r="N5034" s="362">
        <f t="shared" si="169"/>
        <v>1844</v>
      </c>
      <c r="X5034" s="339"/>
    </row>
    <row r="5035" s="330" customFormat="1" ht="15" customHeight="1" spans="1:24">
      <c r="A5035" s="334"/>
      <c r="B5035" s="334" t="s">
        <v>66</v>
      </c>
      <c r="C5035" s="334" t="s">
        <v>3954</v>
      </c>
      <c r="D5035" s="334" t="s">
        <v>427</v>
      </c>
      <c r="E5035" s="336">
        <v>43726</v>
      </c>
      <c r="F5035" s="336"/>
      <c r="G5035" s="336">
        <v>43725</v>
      </c>
      <c r="H5035" s="334" t="s">
        <v>11352</v>
      </c>
      <c r="I5035" s="426">
        <v>13651889696</v>
      </c>
      <c r="J5035" s="367" t="s">
        <v>11353</v>
      </c>
      <c r="K5035" s="470">
        <v>12865</v>
      </c>
      <c r="L5035" s="334"/>
      <c r="M5035" s="334">
        <v>574</v>
      </c>
      <c r="N5035" s="362">
        <f t="shared" si="169"/>
        <v>574</v>
      </c>
      <c r="X5035" s="339"/>
    </row>
    <row r="5036" s="330" customFormat="1" ht="15" customHeight="1" spans="1:24">
      <c r="A5036" s="348"/>
      <c r="B5036" s="334" t="s">
        <v>153</v>
      </c>
      <c r="C5036" s="334" t="s">
        <v>302</v>
      </c>
      <c r="D5036" s="335" t="s">
        <v>155</v>
      </c>
      <c r="E5036" s="336">
        <v>43727</v>
      </c>
      <c r="F5036" s="336">
        <v>43726</v>
      </c>
      <c r="G5036" s="399" t="s">
        <v>231</v>
      </c>
      <c r="H5036" s="334" t="s">
        <v>11829</v>
      </c>
      <c r="I5036" s="426">
        <v>13621760681</v>
      </c>
      <c r="J5036" s="367" t="s">
        <v>11830</v>
      </c>
      <c r="K5036" s="470">
        <v>3000</v>
      </c>
      <c r="L5036" s="338"/>
      <c r="M5036" s="338"/>
      <c r="N5036" s="362">
        <f t="shared" ref="N5036:N5058" si="170">L5036+M5036</f>
        <v>0</v>
      </c>
      <c r="X5036" s="339"/>
    </row>
    <row r="5037" s="330" customFormat="1" ht="15" customHeight="1" spans="1:24">
      <c r="A5037" s="348"/>
      <c r="B5037" s="334" t="s">
        <v>137</v>
      </c>
      <c r="C5037" s="334" t="s">
        <v>480</v>
      </c>
      <c r="D5037" s="334" t="s">
        <v>443</v>
      </c>
      <c r="E5037" s="336">
        <v>43730</v>
      </c>
      <c r="F5037" s="336">
        <v>43727</v>
      </c>
      <c r="G5037" s="336">
        <v>43729</v>
      </c>
      <c r="H5037" s="334" t="s">
        <v>11831</v>
      </c>
      <c r="I5037" s="426" t="s">
        <v>11832</v>
      </c>
      <c r="J5037" s="367" t="s">
        <v>11833</v>
      </c>
      <c r="K5037" s="470">
        <v>1000</v>
      </c>
      <c r="L5037" s="334">
        <v>6980</v>
      </c>
      <c r="M5037" s="338"/>
      <c r="N5037" s="362">
        <f t="shared" si="170"/>
        <v>6980</v>
      </c>
      <c r="X5037" s="339"/>
    </row>
    <row r="5038" s="330" customFormat="1" ht="15" customHeight="1" spans="1:24">
      <c r="A5038" s="348"/>
      <c r="B5038" s="334" t="s">
        <v>87</v>
      </c>
      <c r="C5038" s="334" t="s">
        <v>10921</v>
      </c>
      <c r="D5038" s="335" t="s">
        <v>89</v>
      </c>
      <c r="E5038" s="336">
        <v>43765</v>
      </c>
      <c r="F5038" s="336">
        <v>43727</v>
      </c>
      <c r="G5038" s="336">
        <v>43764</v>
      </c>
      <c r="H5038" s="334" t="s">
        <v>11834</v>
      </c>
      <c r="I5038" s="426">
        <v>13524873494</v>
      </c>
      <c r="J5038" s="367" t="s">
        <v>11835</v>
      </c>
      <c r="K5038" s="470">
        <v>1000</v>
      </c>
      <c r="L5038" s="334">
        <v>10260</v>
      </c>
      <c r="M5038" s="338"/>
      <c r="N5038" s="362">
        <f t="shared" si="170"/>
        <v>10260</v>
      </c>
      <c r="X5038" s="339"/>
    </row>
    <row r="5039" s="330" customFormat="1" ht="15" customHeight="1" spans="1:24">
      <c r="A5039" s="550" t="s">
        <v>11836</v>
      </c>
      <c r="B5039" s="334" t="s">
        <v>805</v>
      </c>
      <c r="C5039" s="334" t="s">
        <v>806</v>
      </c>
      <c r="D5039" s="335" t="s">
        <v>171</v>
      </c>
      <c r="E5039" s="336">
        <v>43771</v>
      </c>
      <c r="F5039" s="336">
        <v>43727</v>
      </c>
      <c r="G5039" s="336">
        <v>43769</v>
      </c>
      <c r="H5039" s="334" t="s">
        <v>11837</v>
      </c>
      <c r="I5039" s="426">
        <v>15214316435</v>
      </c>
      <c r="J5039" s="367" t="s">
        <v>11838</v>
      </c>
      <c r="K5039" s="470">
        <v>3000</v>
      </c>
      <c r="L5039" s="334">
        <v>13900</v>
      </c>
      <c r="M5039" s="338"/>
      <c r="N5039" s="362">
        <f t="shared" si="170"/>
        <v>13900</v>
      </c>
      <c r="X5039" s="339"/>
    </row>
    <row r="5040" s="330" customFormat="1" ht="15" customHeight="1" spans="1:24">
      <c r="A5040" s="550" t="s">
        <v>11839</v>
      </c>
      <c r="B5040" s="334" t="s">
        <v>2625</v>
      </c>
      <c r="C5040" s="334" t="s">
        <v>2626</v>
      </c>
      <c r="D5040" s="334" t="s">
        <v>343</v>
      </c>
      <c r="E5040" s="336">
        <v>43759</v>
      </c>
      <c r="F5040" s="336">
        <v>43727</v>
      </c>
      <c r="G5040" s="336">
        <v>43759</v>
      </c>
      <c r="H5040" s="334" t="s">
        <v>11840</v>
      </c>
      <c r="I5040" s="426">
        <v>13801836230</v>
      </c>
      <c r="J5040" s="367" t="s">
        <v>11841</v>
      </c>
      <c r="K5040" s="470">
        <v>5000</v>
      </c>
      <c r="L5040" s="334">
        <v>9148</v>
      </c>
      <c r="M5040" s="338"/>
      <c r="N5040" s="362">
        <f t="shared" si="170"/>
        <v>9148</v>
      </c>
      <c r="X5040" s="339"/>
    </row>
    <row r="5041" s="330" customFormat="1" ht="15" customHeight="1" spans="1:24">
      <c r="A5041" s="348" t="s">
        <v>11842</v>
      </c>
      <c r="B5041" s="348" t="s">
        <v>405</v>
      </c>
      <c r="C5041" s="334" t="s">
        <v>823</v>
      </c>
      <c r="D5041" s="335" t="s">
        <v>407</v>
      </c>
      <c r="E5041" s="336">
        <v>43738</v>
      </c>
      <c r="F5041" s="336">
        <v>43727</v>
      </c>
      <c r="G5041" s="336">
        <v>43738</v>
      </c>
      <c r="H5041" s="334" t="s">
        <v>11843</v>
      </c>
      <c r="I5041" s="426">
        <v>18701824874</v>
      </c>
      <c r="J5041" s="367" t="s">
        <v>11844</v>
      </c>
      <c r="K5041" s="470">
        <v>3000</v>
      </c>
      <c r="L5041" s="334">
        <v>13600</v>
      </c>
      <c r="M5041" s="338"/>
      <c r="N5041" s="362">
        <f t="shared" si="170"/>
        <v>13600</v>
      </c>
      <c r="X5041" s="339"/>
    </row>
    <row r="5042" s="330" customFormat="1" ht="15" customHeight="1" spans="1:24">
      <c r="A5042" s="550" t="s">
        <v>11845</v>
      </c>
      <c r="B5042" s="334" t="s">
        <v>147</v>
      </c>
      <c r="C5042" s="334" t="s">
        <v>148</v>
      </c>
      <c r="D5042" s="334" t="s">
        <v>1170</v>
      </c>
      <c r="E5042" s="336">
        <v>43727</v>
      </c>
      <c r="F5042" s="336">
        <v>43723</v>
      </c>
      <c r="G5042" s="399">
        <v>43727</v>
      </c>
      <c r="H5042" s="334" t="s">
        <v>11846</v>
      </c>
      <c r="I5042" s="334">
        <v>13472582506</v>
      </c>
      <c r="J5042" s="334" t="s">
        <v>11847</v>
      </c>
      <c r="K5042" s="470">
        <v>20000</v>
      </c>
      <c r="L5042" s="334">
        <v>20840</v>
      </c>
      <c r="M5042" s="338"/>
      <c r="N5042" s="362">
        <f t="shared" si="170"/>
        <v>20840</v>
      </c>
      <c r="X5042" s="339"/>
    </row>
    <row r="5043" s="330" customFormat="1" ht="15" customHeight="1" spans="1:24">
      <c r="A5043" s="550" t="s">
        <v>11848</v>
      </c>
      <c r="B5043" s="334" t="s">
        <v>205</v>
      </c>
      <c r="C5043" s="334" t="s">
        <v>1467</v>
      </c>
      <c r="D5043" s="334" t="s">
        <v>237</v>
      </c>
      <c r="E5043" s="336">
        <v>43756</v>
      </c>
      <c r="F5043" s="336">
        <v>43727</v>
      </c>
      <c r="G5043" s="336">
        <v>43752</v>
      </c>
      <c r="H5043" s="334" t="s">
        <v>11849</v>
      </c>
      <c r="I5043" s="426">
        <v>18117003887</v>
      </c>
      <c r="J5043" s="334" t="s">
        <v>11850</v>
      </c>
      <c r="K5043" s="470">
        <v>1000</v>
      </c>
      <c r="L5043" s="334">
        <v>8262</v>
      </c>
      <c r="M5043" s="338"/>
      <c r="N5043" s="362">
        <f t="shared" si="170"/>
        <v>8262</v>
      </c>
      <c r="X5043" s="339"/>
    </row>
    <row r="5044" s="330" customFormat="1" ht="15" customHeight="1" spans="1:24">
      <c r="A5044" s="550" t="s">
        <v>4062</v>
      </c>
      <c r="B5044" s="334" t="s">
        <v>58</v>
      </c>
      <c r="C5044" s="334" t="s">
        <v>347</v>
      </c>
      <c r="D5044" s="335" t="s">
        <v>343</v>
      </c>
      <c r="E5044" s="336">
        <v>43810</v>
      </c>
      <c r="F5044" s="336">
        <v>43727</v>
      </c>
      <c r="G5044" s="336">
        <v>43808</v>
      </c>
      <c r="H5044" s="334" t="s">
        <v>11851</v>
      </c>
      <c r="I5044" s="426">
        <v>18801830678</v>
      </c>
      <c r="J5044" s="367" t="s">
        <v>11852</v>
      </c>
      <c r="K5044" s="470">
        <v>1000</v>
      </c>
      <c r="L5044" s="334">
        <v>13159</v>
      </c>
      <c r="M5044" s="338"/>
      <c r="N5044" s="362">
        <f t="shared" si="170"/>
        <v>13159</v>
      </c>
      <c r="O5044" s="366" t="s">
        <v>52</v>
      </c>
      <c r="X5044" s="339"/>
    </row>
    <row r="5045" s="330" customFormat="1" ht="15" customHeight="1" spans="1:24">
      <c r="A5045" s="334"/>
      <c r="B5045" s="334" t="s">
        <v>73</v>
      </c>
      <c r="C5045" s="334" t="s">
        <v>74</v>
      </c>
      <c r="D5045" s="334" t="s">
        <v>132</v>
      </c>
      <c r="E5045" s="336">
        <v>43727</v>
      </c>
      <c r="F5045" s="336"/>
      <c r="G5045" s="336">
        <v>43726</v>
      </c>
      <c r="H5045" s="334" t="s">
        <v>11853</v>
      </c>
      <c r="I5045" s="334">
        <v>18918795939</v>
      </c>
      <c r="J5045" s="334" t="s">
        <v>11854</v>
      </c>
      <c r="K5045" s="337"/>
      <c r="L5045" s="334">
        <f>10240-380</f>
        <v>9860</v>
      </c>
      <c r="M5045" s="334">
        <v>380</v>
      </c>
      <c r="N5045" s="362">
        <f t="shared" si="170"/>
        <v>10240</v>
      </c>
      <c r="X5045" s="339"/>
    </row>
    <row r="5046" s="330" customFormat="1" ht="15" customHeight="1" spans="1:24">
      <c r="A5046" s="334"/>
      <c r="B5046" s="334" t="s">
        <v>31</v>
      </c>
      <c r="C5046" s="334" t="s">
        <v>419</v>
      </c>
      <c r="D5046" s="334" t="s">
        <v>33</v>
      </c>
      <c r="E5046" s="336">
        <v>43727</v>
      </c>
      <c r="F5046" s="336"/>
      <c r="G5046" s="336">
        <v>43726</v>
      </c>
      <c r="H5046" s="334" t="s">
        <v>1514</v>
      </c>
      <c r="I5046" s="334">
        <v>15000195269</v>
      </c>
      <c r="J5046" s="334" t="s">
        <v>11855</v>
      </c>
      <c r="K5046" s="337"/>
      <c r="L5046" s="334">
        <v>16448</v>
      </c>
      <c r="M5046" s="338"/>
      <c r="N5046" s="362">
        <f t="shared" si="170"/>
        <v>16448</v>
      </c>
      <c r="X5046" s="339"/>
    </row>
    <row r="5047" s="330" customFormat="1" ht="15" customHeight="1" spans="1:24">
      <c r="A5047" s="334"/>
      <c r="B5047" s="334" t="s">
        <v>4009</v>
      </c>
      <c r="C5047" s="334" t="s">
        <v>6401</v>
      </c>
      <c r="D5047" s="334" t="s">
        <v>1170</v>
      </c>
      <c r="E5047" s="336">
        <v>43727</v>
      </c>
      <c r="F5047" s="336"/>
      <c r="G5047" s="336">
        <v>43723</v>
      </c>
      <c r="H5047" s="334" t="s">
        <v>11856</v>
      </c>
      <c r="I5047" s="334">
        <v>13671558826</v>
      </c>
      <c r="J5047" s="334" t="s">
        <v>11857</v>
      </c>
      <c r="K5047" s="337"/>
      <c r="L5047" s="334">
        <v>7869</v>
      </c>
      <c r="M5047" s="338"/>
      <c r="N5047" s="362">
        <f t="shared" si="170"/>
        <v>7869</v>
      </c>
      <c r="X5047" s="339"/>
    </row>
    <row r="5048" s="330" customFormat="1" ht="15" customHeight="1" spans="1:24">
      <c r="A5048" s="334"/>
      <c r="B5048" s="334" t="s">
        <v>236</v>
      </c>
      <c r="C5048" s="334" t="s">
        <v>703</v>
      </c>
      <c r="D5048" s="334" t="s">
        <v>149</v>
      </c>
      <c r="E5048" s="336">
        <v>43727</v>
      </c>
      <c r="F5048" s="336"/>
      <c r="G5048" s="336">
        <v>43726</v>
      </c>
      <c r="H5048" s="334" t="s">
        <v>11858</v>
      </c>
      <c r="I5048" s="334">
        <v>15601873741</v>
      </c>
      <c r="J5048" s="334" t="s">
        <v>11859</v>
      </c>
      <c r="K5048" s="337"/>
      <c r="L5048" s="334">
        <v>15500</v>
      </c>
      <c r="M5048" s="338"/>
      <c r="N5048" s="362">
        <f t="shared" si="170"/>
        <v>15500</v>
      </c>
      <c r="X5048" s="339"/>
    </row>
    <row r="5049" s="330" customFormat="1" ht="15" customHeight="1" spans="1:24">
      <c r="A5049" s="334"/>
      <c r="B5049" s="334" t="s">
        <v>73</v>
      </c>
      <c r="C5049" s="334" t="s">
        <v>74</v>
      </c>
      <c r="D5049" s="334" t="s">
        <v>717</v>
      </c>
      <c r="E5049" s="336">
        <v>43727</v>
      </c>
      <c r="F5049" s="336"/>
      <c r="G5049" s="336">
        <v>43726</v>
      </c>
      <c r="H5049" s="334" t="s">
        <v>7174</v>
      </c>
      <c r="I5049" s="334">
        <v>13818166100</v>
      </c>
      <c r="J5049" s="334" t="s">
        <v>11860</v>
      </c>
      <c r="K5049" s="337"/>
      <c r="L5049" s="334">
        <v>230000</v>
      </c>
      <c r="M5049" s="338"/>
      <c r="N5049" s="362">
        <f t="shared" si="170"/>
        <v>230000</v>
      </c>
      <c r="X5049" s="339"/>
    </row>
    <row r="5050" s="330" customFormat="1" ht="15" customHeight="1" spans="1:24">
      <c r="A5050" s="334"/>
      <c r="B5050" s="334" t="s">
        <v>137</v>
      </c>
      <c r="C5050" s="334" t="s">
        <v>406</v>
      </c>
      <c r="D5050" s="334" t="s">
        <v>139</v>
      </c>
      <c r="E5050" s="336">
        <v>43727</v>
      </c>
      <c r="F5050" s="336" t="s">
        <v>800</v>
      </c>
      <c r="G5050" s="336">
        <v>43725</v>
      </c>
      <c r="H5050" s="334" t="s">
        <v>7293</v>
      </c>
      <c r="I5050" s="334">
        <v>13621756670</v>
      </c>
      <c r="J5050" s="348" t="s">
        <v>7294</v>
      </c>
      <c r="K5050" s="337"/>
      <c r="L5050" s="338"/>
      <c r="M5050" s="334">
        <v>1500</v>
      </c>
      <c r="N5050" s="362">
        <f t="shared" si="170"/>
        <v>1500</v>
      </c>
      <c r="X5050" s="339"/>
    </row>
    <row r="5051" s="330" customFormat="1" ht="15" customHeight="1" spans="1:24">
      <c r="A5051" s="334"/>
      <c r="B5051" s="348" t="s">
        <v>31</v>
      </c>
      <c r="C5051" s="348" t="s">
        <v>419</v>
      </c>
      <c r="D5051" s="352" t="s">
        <v>221</v>
      </c>
      <c r="E5051" s="336">
        <v>43727</v>
      </c>
      <c r="F5051" s="336" t="s">
        <v>800</v>
      </c>
      <c r="G5051" s="336">
        <v>43726</v>
      </c>
      <c r="H5051" s="334" t="s">
        <v>9012</v>
      </c>
      <c r="I5051" s="334">
        <v>13916897836</v>
      </c>
      <c r="J5051" s="334" t="s">
        <v>9013</v>
      </c>
      <c r="K5051" s="337"/>
      <c r="L5051" s="338"/>
      <c r="M5051" s="334">
        <v>1749</v>
      </c>
      <c r="N5051" s="362">
        <f t="shared" si="170"/>
        <v>1749</v>
      </c>
      <c r="X5051" s="339"/>
    </row>
    <row r="5052" s="330" customFormat="1" ht="15" customHeight="1" spans="1:24">
      <c r="A5052" s="334"/>
      <c r="B5052" s="348" t="s">
        <v>405</v>
      </c>
      <c r="C5052" s="348" t="s">
        <v>823</v>
      </c>
      <c r="D5052" s="349" t="s">
        <v>407</v>
      </c>
      <c r="E5052" s="336">
        <v>43727</v>
      </c>
      <c r="F5052" s="336" t="s">
        <v>800</v>
      </c>
      <c r="G5052" s="336">
        <v>43726</v>
      </c>
      <c r="H5052" s="334" t="s">
        <v>2339</v>
      </c>
      <c r="I5052" s="334">
        <v>17721465429</v>
      </c>
      <c r="J5052" s="348" t="s">
        <v>2340</v>
      </c>
      <c r="K5052" s="337"/>
      <c r="L5052" s="338"/>
      <c r="M5052" s="334">
        <v>87</v>
      </c>
      <c r="N5052" s="362">
        <f t="shared" si="170"/>
        <v>87</v>
      </c>
      <c r="X5052" s="339"/>
    </row>
    <row r="5053" s="330" customFormat="1" ht="15" customHeight="1" spans="1:24">
      <c r="A5053" s="334"/>
      <c r="B5053" s="348" t="s">
        <v>185</v>
      </c>
      <c r="C5053" s="334" t="s">
        <v>186</v>
      </c>
      <c r="D5053" s="352" t="s">
        <v>187</v>
      </c>
      <c r="E5053" s="336">
        <v>43727</v>
      </c>
      <c r="F5053" s="336" t="s">
        <v>800</v>
      </c>
      <c r="G5053" s="336">
        <v>43726</v>
      </c>
      <c r="H5053" s="334" t="s">
        <v>8865</v>
      </c>
      <c r="I5053" s="334">
        <v>15000905816</v>
      </c>
      <c r="J5053" s="334" t="s">
        <v>11861</v>
      </c>
      <c r="K5053" s="337"/>
      <c r="L5053" s="338"/>
      <c r="M5053" s="334">
        <v>2772</v>
      </c>
      <c r="N5053" s="362">
        <f t="shared" si="170"/>
        <v>2772</v>
      </c>
      <c r="X5053" s="339"/>
    </row>
    <row r="5054" s="330" customFormat="1" ht="15" customHeight="1" spans="1:24">
      <c r="A5054" s="334"/>
      <c r="B5054" s="334" t="s">
        <v>137</v>
      </c>
      <c r="C5054" s="334" t="s">
        <v>138</v>
      </c>
      <c r="D5054" s="334" t="s">
        <v>139</v>
      </c>
      <c r="E5054" s="336">
        <v>43727</v>
      </c>
      <c r="F5054" s="336" t="s">
        <v>800</v>
      </c>
      <c r="G5054" s="336">
        <v>43726</v>
      </c>
      <c r="H5054" s="334" t="s">
        <v>11862</v>
      </c>
      <c r="I5054" s="334">
        <v>13611734559</v>
      </c>
      <c r="J5054" s="334" t="s">
        <v>11863</v>
      </c>
      <c r="K5054" s="337"/>
      <c r="L5054" s="338"/>
      <c r="M5054" s="338">
        <v>1587</v>
      </c>
      <c r="N5054" s="362">
        <f t="shared" si="170"/>
        <v>1587</v>
      </c>
      <c r="X5054" s="339"/>
    </row>
    <row r="5055" s="330" customFormat="1" ht="15" customHeight="1" spans="1:24">
      <c r="A5055" s="334"/>
      <c r="B5055" s="334" t="s">
        <v>31</v>
      </c>
      <c r="C5055" s="334" t="s">
        <v>220</v>
      </c>
      <c r="D5055" s="334" t="s">
        <v>33</v>
      </c>
      <c r="E5055" s="336">
        <v>43727</v>
      </c>
      <c r="F5055" s="336" t="s">
        <v>800</v>
      </c>
      <c r="G5055" s="336">
        <v>43727</v>
      </c>
      <c r="H5055" s="334" t="s">
        <v>10695</v>
      </c>
      <c r="I5055" s="334">
        <v>13901704243</v>
      </c>
      <c r="J5055" s="334" t="s">
        <v>11864</v>
      </c>
      <c r="K5055" s="337"/>
      <c r="L5055" s="338"/>
      <c r="M5055" s="334">
        <v>6781</v>
      </c>
      <c r="N5055" s="362">
        <f t="shared" si="170"/>
        <v>6781</v>
      </c>
      <c r="X5055" s="339"/>
    </row>
    <row r="5056" s="330" customFormat="1" ht="15" customHeight="1" spans="1:24">
      <c r="A5056" s="334"/>
      <c r="B5056" s="334" t="s">
        <v>236</v>
      </c>
      <c r="C5056" s="334" t="s">
        <v>195</v>
      </c>
      <c r="D5056" s="335" t="s">
        <v>125</v>
      </c>
      <c r="E5056" s="336">
        <v>43727</v>
      </c>
      <c r="F5056" s="336" t="s">
        <v>800</v>
      </c>
      <c r="G5056" s="336">
        <v>43725</v>
      </c>
      <c r="H5056" s="334" t="s">
        <v>7162</v>
      </c>
      <c r="I5056" s="334">
        <v>13818222153</v>
      </c>
      <c r="J5056" s="334" t="s">
        <v>7163</v>
      </c>
      <c r="K5056" s="337"/>
      <c r="L5056" s="338"/>
      <c r="M5056" s="334">
        <f>1653</f>
        <v>1653</v>
      </c>
      <c r="N5056" s="362">
        <f t="shared" si="170"/>
        <v>1653</v>
      </c>
      <c r="X5056" s="339"/>
    </row>
    <row r="5057" s="330" customFormat="1" ht="15" customHeight="1" spans="1:24">
      <c r="A5057" s="334"/>
      <c r="B5057" s="348" t="s">
        <v>58</v>
      </c>
      <c r="C5057" s="348" t="s">
        <v>59</v>
      </c>
      <c r="D5057" s="334" t="s">
        <v>271</v>
      </c>
      <c r="E5057" s="336">
        <v>43727</v>
      </c>
      <c r="F5057" s="336" t="s">
        <v>800</v>
      </c>
      <c r="G5057" s="336">
        <v>43726</v>
      </c>
      <c r="H5057" s="334" t="s">
        <v>5251</v>
      </c>
      <c r="I5057" s="334">
        <v>13916857453</v>
      </c>
      <c r="J5057" s="334" t="s">
        <v>11865</v>
      </c>
      <c r="K5057" s="337"/>
      <c r="L5057" s="338"/>
      <c r="M5057" s="334">
        <f>3071</f>
        <v>3071</v>
      </c>
      <c r="N5057" s="362">
        <f t="shared" si="170"/>
        <v>3071</v>
      </c>
      <c r="X5057" s="339"/>
    </row>
    <row r="5058" s="330" customFormat="1" ht="15" customHeight="1" spans="1:24">
      <c r="A5058" s="334"/>
      <c r="B5058" s="348" t="s">
        <v>315</v>
      </c>
      <c r="C5058" s="348" t="s">
        <v>275</v>
      </c>
      <c r="D5058" s="352" t="s">
        <v>162</v>
      </c>
      <c r="E5058" s="336">
        <v>43727</v>
      </c>
      <c r="F5058" s="336" t="s">
        <v>800</v>
      </c>
      <c r="G5058" s="336">
        <v>43726</v>
      </c>
      <c r="H5058" s="334" t="s">
        <v>11866</v>
      </c>
      <c r="I5058" s="334">
        <v>18512156081</v>
      </c>
      <c r="J5058" s="334" t="s">
        <v>11867</v>
      </c>
      <c r="K5058" s="337"/>
      <c r="L5058" s="338"/>
      <c r="M5058" s="334">
        <v>4000</v>
      </c>
      <c r="N5058" s="362">
        <f t="shared" si="170"/>
        <v>4000</v>
      </c>
      <c r="X5058" s="339"/>
    </row>
    <row r="5059" s="330" customFormat="1" ht="15" customHeight="1" spans="1:24">
      <c r="A5059" s="550" t="s">
        <v>11868</v>
      </c>
      <c r="B5059" s="334" t="s">
        <v>31</v>
      </c>
      <c r="C5059" s="334" t="s">
        <v>251</v>
      </c>
      <c r="D5059" s="335" t="s">
        <v>33</v>
      </c>
      <c r="E5059" s="336">
        <v>43728</v>
      </c>
      <c r="F5059" s="336">
        <v>43727</v>
      </c>
      <c r="G5059" s="399"/>
      <c r="H5059" s="334" t="s">
        <v>11869</v>
      </c>
      <c r="I5059" s="426">
        <v>13501726827</v>
      </c>
      <c r="J5059" s="367" t="s">
        <v>11870</v>
      </c>
      <c r="K5059" s="470">
        <v>500</v>
      </c>
      <c r="L5059" s="338"/>
      <c r="M5059" s="338"/>
      <c r="N5059" s="362">
        <f t="shared" ref="N5059:N5105" si="171">L5059+M5059</f>
        <v>0</v>
      </c>
      <c r="O5059" s="385" t="s">
        <v>52</v>
      </c>
      <c r="X5059" s="339"/>
    </row>
    <row r="5060" s="330" customFormat="1" ht="15" customHeight="1" spans="1:24">
      <c r="A5060" s="550" t="s">
        <v>11868</v>
      </c>
      <c r="B5060" s="334" t="s">
        <v>31</v>
      </c>
      <c r="C5060" s="334" t="s">
        <v>251</v>
      </c>
      <c r="D5060" s="335" t="s">
        <v>33</v>
      </c>
      <c r="E5060" s="336">
        <v>43728</v>
      </c>
      <c r="F5060" s="336">
        <v>43727</v>
      </c>
      <c r="G5060" s="399"/>
      <c r="H5060" s="334" t="s">
        <v>11869</v>
      </c>
      <c r="I5060" s="426">
        <v>13501726827</v>
      </c>
      <c r="J5060" s="367" t="s">
        <v>11871</v>
      </c>
      <c r="K5060" s="470">
        <v>500</v>
      </c>
      <c r="L5060" s="338"/>
      <c r="M5060" s="338"/>
      <c r="N5060" s="362">
        <f t="shared" si="171"/>
        <v>0</v>
      </c>
      <c r="O5060" s="385" t="s">
        <v>52</v>
      </c>
      <c r="X5060" s="339"/>
    </row>
    <row r="5061" s="330" customFormat="1" ht="15" customHeight="1" spans="1:24">
      <c r="A5061" s="550" t="s">
        <v>1707</v>
      </c>
      <c r="B5061" s="334" t="s">
        <v>31</v>
      </c>
      <c r="C5061" s="334" t="s">
        <v>251</v>
      </c>
      <c r="D5061" s="335" t="s">
        <v>33</v>
      </c>
      <c r="E5061" s="336">
        <v>43728</v>
      </c>
      <c r="F5061" s="336">
        <v>43727</v>
      </c>
      <c r="G5061" s="399"/>
      <c r="H5061" s="334" t="s">
        <v>11872</v>
      </c>
      <c r="I5061" s="426">
        <v>13818124372</v>
      </c>
      <c r="J5061" s="367" t="s">
        <v>11873</v>
      </c>
      <c r="K5061" s="470">
        <v>1000</v>
      </c>
      <c r="L5061" s="338"/>
      <c r="M5061" s="338"/>
      <c r="N5061" s="362">
        <f t="shared" si="171"/>
        <v>0</v>
      </c>
      <c r="O5061" s="385" t="s">
        <v>52</v>
      </c>
      <c r="X5061" s="339"/>
    </row>
    <row r="5062" s="330" customFormat="1" ht="15" customHeight="1" spans="1:24">
      <c r="A5062" s="348"/>
      <c r="B5062" s="334" t="s">
        <v>153</v>
      </c>
      <c r="C5062" s="334" t="s">
        <v>154</v>
      </c>
      <c r="D5062" s="335" t="s">
        <v>155</v>
      </c>
      <c r="E5062" s="336">
        <v>43750</v>
      </c>
      <c r="F5062" s="336">
        <v>43727</v>
      </c>
      <c r="G5062" s="336">
        <v>43750</v>
      </c>
      <c r="H5062" s="334" t="s">
        <v>11874</v>
      </c>
      <c r="I5062" s="426">
        <v>13564071268</v>
      </c>
      <c r="J5062" s="367" t="s">
        <v>11875</v>
      </c>
      <c r="K5062" s="470">
        <v>1000</v>
      </c>
      <c r="L5062" s="334">
        <v>25020</v>
      </c>
      <c r="M5062" s="338"/>
      <c r="N5062" s="362">
        <f t="shared" si="171"/>
        <v>25020</v>
      </c>
      <c r="X5062" s="339"/>
    </row>
    <row r="5063" s="330" customFormat="1" ht="15" customHeight="1" spans="1:24">
      <c r="A5063" s="348"/>
      <c r="B5063" s="334" t="s">
        <v>87</v>
      </c>
      <c r="C5063" s="334" t="s">
        <v>199</v>
      </c>
      <c r="D5063" s="335" t="s">
        <v>89</v>
      </c>
      <c r="E5063" s="336">
        <v>43732</v>
      </c>
      <c r="F5063" s="336">
        <v>43728</v>
      </c>
      <c r="G5063" s="336">
        <v>43732</v>
      </c>
      <c r="H5063" s="334" t="s">
        <v>11876</v>
      </c>
      <c r="I5063" s="426">
        <v>13956583555</v>
      </c>
      <c r="J5063" s="367" t="s">
        <v>11877</v>
      </c>
      <c r="K5063" s="470">
        <v>1000</v>
      </c>
      <c r="L5063" s="334">
        <v>5984</v>
      </c>
      <c r="M5063" s="338"/>
      <c r="N5063" s="362">
        <f t="shared" si="171"/>
        <v>5984</v>
      </c>
      <c r="X5063" s="339"/>
    </row>
    <row r="5064" s="330" customFormat="1" ht="15" customHeight="1" spans="1:24">
      <c r="A5064" s="550" t="s">
        <v>11878</v>
      </c>
      <c r="B5064" s="334" t="s">
        <v>73</v>
      </c>
      <c r="C5064" s="334" t="s">
        <v>74</v>
      </c>
      <c r="D5064" s="352" t="s">
        <v>75</v>
      </c>
      <c r="E5064" s="336">
        <v>43728</v>
      </c>
      <c r="F5064" s="336">
        <v>43728</v>
      </c>
      <c r="G5064" s="350" t="s">
        <v>69</v>
      </c>
      <c r="H5064" s="334" t="s">
        <v>11879</v>
      </c>
      <c r="I5064" s="426">
        <v>13918933926</v>
      </c>
      <c r="J5064" s="367" t="s">
        <v>11880</v>
      </c>
      <c r="K5064" s="470">
        <v>1000</v>
      </c>
      <c r="L5064" s="338"/>
      <c r="M5064" s="338"/>
      <c r="N5064" s="362">
        <f t="shared" si="171"/>
        <v>0</v>
      </c>
      <c r="O5064" s="366" t="s">
        <v>52</v>
      </c>
      <c r="X5064" s="339"/>
    </row>
    <row r="5065" s="330" customFormat="1" ht="15" customHeight="1" spans="1:24">
      <c r="A5065" s="550" t="s">
        <v>11881</v>
      </c>
      <c r="B5065" s="334" t="s">
        <v>137</v>
      </c>
      <c r="C5065" s="334" t="s">
        <v>480</v>
      </c>
      <c r="D5065" s="335" t="s">
        <v>443</v>
      </c>
      <c r="E5065" s="336">
        <v>43734</v>
      </c>
      <c r="F5065" s="336">
        <v>43728</v>
      </c>
      <c r="G5065" s="336">
        <v>43733</v>
      </c>
      <c r="H5065" s="334" t="s">
        <v>11882</v>
      </c>
      <c r="I5065" s="426">
        <v>15800901007</v>
      </c>
      <c r="J5065" s="367" t="s">
        <v>11883</v>
      </c>
      <c r="K5065" s="470">
        <v>5000</v>
      </c>
      <c r="L5065" s="334">
        <v>4962</v>
      </c>
      <c r="M5065" s="338"/>
      <c r="N5065" s="362">
        <f t="shared" si="171"/>
        <v>4962</v>
      </c>
      <c r="X5065" s="339"/>
    </row>
    <row r="5066" s="330" customFormat="1" ht="15" customHeight="1" spans="1:24">
      <c r="A5066" s="550" t="s">
        <v>4849</v>
      </c>
      <c r="B5066" s="334" t="s">
        <v>58</v>
      </c>
      <c r="C5066" s="334" t="s">
        <v>342</v>
      </c>
      <c r="D5066" s="335" t="s">
        <v>343</v>
      </c>
      <c r="E5066" s="336">
        <v>43738</v>
      </c>
      <c r="F5066" s="336">
        <v>43728</v>
      </c>
      <c r="G5066" s="336">
        <v>43738</v>
      </c>
      <c r="H5066" s="334" t="s">
        <v>1932</v>
      </c>
      <c r="I5066" s="426">
        <v>13816167423</v>
      </c>
      <c r="J5066" s="367" t="s">
        <v>11884</v>
      </c>
      <c r="K5066" s="470">
        <v>5000</v>
      </c>
      <c r="L5066" s="334">
        <v>5000</v>
      </c>
      <c r="M5066" s="338"/>
      <c r="N5066" s="362">
        <f t="shared" si="171"/>
        <v>5000</v>
      </c>
      <c r="X5066" s="339"/>
    </row>
    <row r="5067" s="330" customFormat="1" ht="15" customHeight="1" spans="1:24">
      <c r="A5067" s="348">
        <v>6105054</v>
      </c>
      <c r="B5067" s="334" t="s">
        <v>405</v>
      </c>
      <c r="C5067" s="334" t="s">
        <v>823</v>
      </c>
      <c r="D5067" s="335" t="s">
        <v>407</v>
      </c>
      <c r="E5067" s="336">
        <v>43731</v>
      </c>
      <c r="F5067" s="336">
        <v>43728</v>
      </c>
      <c r="G5067" s="336">
        <v>43729</v>
      </c>
      <c r="H5067" s="334" t="s">
        <v>11885</v>
      </c>
      <c r="I5067" s="426">
        <v>15262696589</v>
      </c>
      <c r="J5067" s="367" t="s">
        <v>11886</v>
      </c>
      <c r="K5067" s="470">
        <v>1000</v>
      </c>
      <c r="L5067" s="334">
        <v>28750</v>
      </c>
      <c r="M5067" s="338"/>
      <c r="N5067" s="362">
        <f t="shared" si="171"/>
        <v>28750</v>
      </c>
      <c r="X5067" s="339"/>
    </row>
    <row r="5068" s="330" customFormat="1" ht="15" customHeight="1" spans="1:24">
      <c r="A5068" s="348"/>
      <c r="B5068" s="334" t="s">
        <v>66</v>
      </c>
      <c r="C5068" s="334" t="s">
        <v>951</v>
      </c>
      <c r="D5068" s="334" t="s">
        <v>2302</v>
      </c>
      <c r="E5068" s="336">
        <v>43745</v>
      </c>
      <c r="F5068" s="336">
        <v>43728</v>
      </c>
      <c r="G5068" s="336">
        <v>43745</v>
      </c>
      <c r="H5068" s="334" t="s">
        <v>11887</v>
      </c>
      <c r="I5068" s="426">
        <v>13661826961</v>
      </c>
      <c r="J5068" s="367" t="s">
        <v>11888</v>
      </c>
      <c r="K5068" s="470">
        <v>3000</v>
      </c>
      <c r="L5068" s="334">
        <v>10000</v>
      </c>
      <c r="M5068" s="338"/>
      <c r="N5068" s="362">
        <f t="shared" si="171"/>
        <v>10000</v>
      </c>
      <c r="X5068" s="339"/>
    </row>
    <row r="5069" s="330" customFormat="1" ht="15" customHeight="1" spans="1:24">
      <c r="A5069" s="550" t="s">
        <v>11889</v>
      </c>
      <c r="B5069" s="334" t="s">
        <v>47</v>
      </c>
      <c r="C5069" s="334" t="s">
        <v>53</v>
      </c>
      <c r="D5069" s="335" t="s">
        <v>49</v>
      </c>
      <c r="E5069" s="336">
        <v>43788</v>
      </c>
      <c r="F5069" s="336">
        <v>43728</v>
      </c>
      <c r="G5069" s="336">
        <v>43788</v>
      </c>
      <c r="H5069" s="334" t="s">
        <v>11890</v>
      </c>
      <c r="I5069" s="426">
        <v>13681867871</v>
      </c>
      <c r="J5069" s="367" t="s">
        <v>11891</v>
      </c>
      <c r="K5069" s="470">
        <v>1000</v>
      </c>
      <c r="L5069" s="334">
        <v>35000</v>
      </c>
      <c r="M5069" s="338"/>
      <c r="N5069" s="362">
        <f t="shared" si="171"/>
        <v>35000</v>
      </c>
      <c r="X5069" s="339"/>
    </row>
    <row r="5070" s="330" customFormat="1" ht="15" customHeight="1" spans="1:24">
      <c r="A5070" s="550" t="s">
        <v>11892</v>
      </c>
      <c r="B5070" s="334" t="s">
        <v>47</v>
      </c>
      <c r="C5070" s="334" t="s">
        <v>53</v>
      </c>
      <c r="D5070" s="335" t="s">
        <v>49</v>
      </c>
      <c r="E5070" s="336">
        <v>43730</v>
      </c>
      <c r="F5070" s="336">
        <v>43725</v>
      </c>
      <c r="G5070" s="336">
        <v>43730</v>
      </c>
      <c r="H5070" s="334" t="s">
        <v>11893</v>
      </c>
      <c r="I5070" s="426">
        <v>13816731924</v>
      </c>
      <c r="J5070" s="367" t="s">
        <v>11894</v>
      </c>
      <c r="K5070" s="470">
        <v>1000</v>
      </c>
      <c r="L5070" s="334">
        <f>24093-1876</f>
        <v>22217</v>
      </c>
      <c r="M5070" s="334">
        <v>1876</v>
      </c>
      <c r="N5070" s="362">
        <f t="shared" si="171"/>
        <v>24093</v>
      </c>
      <c r="X5070" s="339"/>
    </row>
    <row r="5071" s="330" customFormat="1" ht="15" customHeight="1" spans="1:24">
      <c r="A5071" s="348"/>
      <c r="B5071" s="334" t="s">
        <v>2625</v>
      </c>
      <c r="C5071" s="334" t="s">
        <v>2626</v>
      </c>
      <c r="D5071" s="334" t="s">
        <v>44</v>
      </c>
      <c r="E5071" s="336">
        <v>43754</v>
      </c>
      <c r="F5071" s="336">
        <v>43728</v>
      </c>
      <c r="G5071" s="336">
        <v>43754</v>
      </c>
      <c r="H5071" s="334" t="s">
        <v>11895</v>
      </c>
      <c r="I5071" s="426">
        <v>13003101572</v>
      </c>
      <c r="J5071" s="367" t="s">
        <v>11896</v>
      </c>
      <c r="K5071" s="470">
        <v>1000</v>
      </c>
      <c r="L5071" s="334">
        <v>7671</v>
      </c>
      <c r="M5071" s="338"/>
      <c r="N5071" s="362">
        <f t="shared" si="171"/>
        <v>7671</v>
      </c>
      <c r="X5071" s="339"/>
    </row>
    <row r="5072" s="330" customFormat="1" ht="15" customHeight="1" spans="1:24">
      <c r="A5072" s="550" t="s">
        <v>11897</v>
      </c>
      <c r="B5072" s="334" t="s">
        <v>94</v>
      </c>
      <c r="C5072" s="334" t="s">
        <v>3196</v>
      </c>
      <c r="D5072" s="335" t="s">
        <v>49</v>
      </c>
      <c r="E5072" s="336">
        <v>43735</v>
      </c>
      <c r="F5072" s="336">
        <v>43728</v>
      </c>
      <c r="G5072" s="336">
        <v>43735</v>
      </c>
      <c r="H5072" s="334" t="s">
        <v>11898</v>
      </c>
      <c r="I5072" s="426">
        <v>13788988497</v>
      </c>
      <c r="J5072" s="367" t="s">
        <v>11899</v>
      </c>
      <c r="K5072" s="470">
        <v>5000</v>
      </c>
      <c r="L5072" s="334">
        <v>9464</v>
      </c>
      <c r="M5072" s="338"/>
      <c r="N5072" s="362">
        <f t="shared" si="171"/>
        <v>9464</v>
      </c>
      <c r="X5072" s="339"/>
    </row>
    <row r="5073" s="330" customFormat="1" ht="15" customHeight="1" spans="1:24">
      <c r="A5073" s="550" t="s">
        <v>11900</v>
      </c>
      <c r="B5073" s="334" t="s">
        <v>47</v>
      </c>
      <c r="C5073" s="334" t="s">
        <v>80</v>
      </c>
      <c r="D5073" s="335" t="s">
        <v>49</v>
      </c>
      <c r="E5073" s="336">
        <v>43738</v>
      </c>
      <c r="F5073" s="336">
        <v>43723</v>
      </c>
      <c r="G5073" s="336">
        <v>43738</v>
      </c>
      <c r="H5073" s="334" t="s">
        <v>11901</v>
      </c>
      <c r="I5073" s="426">
        <v>13901843291</v>
      </c>
      <c r="J5073" s="367" t="s">
        <v>11902</v>
      </c>
      <c r="K5073" s="470">
        <v>30000</v>
      </c>
      <c r="L5073" s="334">
        <v>31000</v>
      </c>
      <c r="M5073" s="338"/>
      <c r="N5073" s="362">
        <f t="shared" si="171"/>
        <v>31000</v>
      </c>
      <c r="X5073" s="339"/>
    </row>
    <row r="5074" s="330" customFormat="1" ht="15" customHeight="1" spans="1:24">
      <c r="A5074" s="348"/>
      <c r="B5074" s="334" t="s">
        <v>5336</v>
      </c>
      <c r="C5074" s="334" t="s">
        <v>5336</v>
      </c>
      <c r="D5074" s="334" t="s">
        <v>44</v>
      </c>
      <c r="E5074" s="336">
        <v>43740</v>
      </c>
      <c r="F5074" s="336">
        <v>43728</v>
      </c>
      <c r="G5074" s="336">
        <v>43740</v>
      </c>
      <c r="H5074" s="334" t="s">
        <v>1204</v>
      </c>
      <c r="I5074" s="426">
        <v>13621767668</v>
      </c>
      <c r="J5074" s="367" t="s">
        <v>11903</v>
      </c>
      <c r="K5074" s="470">
        <v>5841</v>
      </c>
      <c r="L5074" s="334">
        <v>8346</v>
      </c>
      <c r="M5074" s="338"/>
      <c r="N5074" s="362">
        <f t="shared" si="171"/>
        <v>8346</v>
      </c>
      <c r="X5074" s="339"/>
    </row>
    <row r="5075" s="330" customFormat="1" ht="15" customHeight="1" spans="1:24">
      <c r="A5075" s="348"/>
      <c r="B5075" s="334" t="s">
        <v>5336</v>
      </c>
      <c r="C5075" s="334" t="s">
        <v>5336</v>
      </c>
      <c r="D5075" s="334" t="s">
        <v>8334</v>
      </c>
      <c r="E5075" s="336">
        <v>43768</v>
      </c>
      <c r="F5075" s="336">
        <v>43728</v>
      </c>
      <c r="G5075" s="336">
        <v>43768</v>
      </c>
      <c r="H5075" s="334" t="s">
        <v>11655</v>
      </c>
      <c r="I5075" s="426">
        <v>18516206424</v>
      </c>
      <c r="J5075" s="367" t="s">
        <v>11904</v>
      </c>
      <c r="K5075" s="470">
        <v>7167</v>
      </c>
      <c r="L5075" s="455">
        <v>7167</v>
      </c>
      <c r="M5075" s="338"/>
      <c r="N5075" s="362">
        <f t="shared" si="171"/>
        <v>7167</v>
      </c>
      <c r="X5075" s="339"/>
    </row>
    <row r="5076" s="330" customFormat="1" ht="15" customHeight="1" spans="1:24">
      <c r="A5076" s="348"/>
      <c r="B5076" s="334" t="s">
        <v>5336</v>
      </c>
      <c r="C5076" s="334" t="s">
        <v>5336</v>
      </c>
      <c r="D5076" s="334" t="s">
        <v>271</v>
      </c>
      <c r="E5076" s="336">
        <v>43733</v>
      </c>
      <c r="F5076" s="336">
        <v>43728</v>
      </c>
      <c r="G5076" s="336">
        <v>43733</v>
      </c>
      <c r="H5076" s="334" t="s">
        <v>11905</v>
      </c>
      <c r="I5076" s="426">
        <v>15800336085</v>
      </c>
      <c r="J5076" s="367" t="s">
        <v>11906</v>
      </c>
      <c r="K5076" s="470">
        <v>7266</v>
      </c>
      <c r="L5076" s="334">
        <v>10238</v>
      </c>
      <c r="M5076" s="338"/>
      <c r="N5076" s="362">
        <f t="shared" si="171"/>
        <v>10238</v>
      </c>
      <c r="X5076" s="339"/>
    </row>
    <row r="5077" s="330" customFormat="1" ht="15" customHeight="1" spans="1:24">
      <c r="A5077" s="550" t="s">
        <v>11907</v>
      </c>
      <c r="B5077" s="334" t="s">
        <v>31</v>
      </c>
      <c r="C5077" s="334" t="s">
        <v>220</v>
      </c>
      <c r="D5077" s="334" t="s">
        <v>33</v>
      </c>
      <c r="E5077" s="336">
        <v>43738</v>
      </c>
      <c r="F5077" s="336">
        <v>43728</v>
      </c>
      <c r="G5077" s="336">
        <v>43738</v>
      </c>
      <c r="H5077" s="334" t="s">
        <v>11908</v>
      </c>
      <c r="I5077" s="426">
        <v>13235807221</v>
      </c>
      <c r="J5077" s="367" t="s">
        <v>11909</v>
      </c>
      <c r="K5077" s="470">
        <v>10000</v>
      </c>
      <c r="L5077" s="334">
        <v>10000</v>
      </c>
      <c r="M5077" s="338"/>
      <c r="N5077" s="362">
        <f t="shared" si="171"/>
        <v>10000</v>
      </c>
      <c r="X5077" s="339"/>
    </row>
    <row r="5078" s="330" customFormat="1" ht="15" customHeight="1" spans="1:24">
      <c r="A5078" s="550" t="s">
        <v>11910</v>
      </c>
      <c r="B5078" s="334" t="s">
        <v>31</v>
      </c>
      <c r="C5078" s="334" t="s">
        <v>220</v>
      </c>
      <c r="D5078" s="335" t="s">
        <v>221</v>
      </c>
      <c r="E5078" s="336">
        <v>43728</v>
      </c>
      <c r="F5078" s="336">
        <v>43728</v>
      </c>
      <c r="G5078" s="399"/>
      <c r="H5078" s="334" t="s">
        <v>8455</v>
      </c>
      <c r="I5078" s="426">
        <v>17701672388</v>
      </c>
      <c r="J5078" s="367" t="s">
        <v>11911</v>
      </c>
      <c r="K5078" s="470">
        <v>1000</v>
      </c>
      <c r="L5078" s="338"/>
      <c r="M5078" s="338"/>
      <c r="N5078" s="362">
        <f t="shared" si="171"/>
        <v>0</v>
      </c>
      <c r="U5078" s="373" t="s">
        <v>63</v>
      </c>
      <c r="X5078" s="339"/>
    </row>
    <row r="5079" s="330" customFormat="1" ht="15" customHeight="1" spans="1:24">
      <c r="A5079" s="550" t="s">
        <v>11910</v>
      </c>
      <c r="B5079" s="334" t="s">
        <v>31</v>
      </c>
      <c r="C5079" s="334" t="s">
        <v>220</v>
      </c>
      <c r="D5079" s="335" t="s">
        <v>221</v>
      </c>
      <c r="E5079" s="336">
        <v>43728</v>
      </c>
      <c r="F5079" s="336">
        <v>43728</v>
      </c>
      <c r="G5079" s="399"/>
      <c r="H5079" s="334" t="s">
        <v>8455</v>
      </c>
      <c r="I5079" s="426">
        <v>17701672388</v>
      </c>
      <c r="J5079" s="367" t="s">
        <v>11912</v>
      </c>
      <c r="K5079" s="470">
        <v>1000</v>
      </c>
      <c r="L5079" s="338"/>
      <c r="M5079" s="338"/>
      <c r="N5079" s="362">
        <f t="shared" si="171"/>
        <v>0</v>
      </c>
      <c r="U5079" s="373" t="s">
        <v>63</v>
      </c>
      <c r="X5079" s="339"/>
    </row>
    <row r="5080" s="330" customFormat="1" ht="15" customHeight="1" spans="1:24">
      <c r="A5080" s="348"/>
      <c r="B5080" s="334" t="s">
        <v>315</v>
      </c>
      <c r="C5080" s="334" t="s">
        <v>275</v>
      </c>
      <c r="D5080" s="335" t="s">
        <v>162</v>
      </c>
      <c r="E5080" s="336">
        <v>43737</v>
      </c>
      <c r="F5080" s="336">
        <v>43729</v>
      </c>
      <c r="G5080" s="336">
        <v>43737</v>
      </c>
      <c r="H5080" s="334" t="s">
        <v>11913</v>
      </c>
      <c r="I5080" s="426">
        <v>18012188800</v>
      </c>
      <c r="J5080" s="367" t="s">
        <v>11914</v>
      </c>
      <c r="K5080" s="470">
        <v>18000</v>
      </c>
      <c r="L5080" s="334">
        <v>18000</v>
      </c>
      <c r="M5080" s="338"/>
      <c r="N5080" s="362">
        <f t="shared" si="171"/>
        <v>18000</v>
      </c>
      <c r="X5080" s="339"/>
    </row>
    <row r="5081" s="330" customFormat="1" ht="15" customHeight="1" spans="1:24">
      <c r="A5081" s="479" t="s">
        <v>11915</v>
      </c>
      <c r="B5081" s="480" t="s">
        <v>66</v>
      </c>
      <c r="C5081" s="480" t="s">
        <v>1749</v>
      </c>
      <c r="D5081" s="335" t="s">
        <v>68</v>
      </c>
      <c r="E5081" s="481">
        <v>43729</v>
      </c>
      <c r="F5081" s="481">
        <v>43727</v>
      </c>
      <c r="G5081" s="482"/>
      <c r="H5081" s="334" t="s">
        <v>11916</v>
      </c>
      <c r="I5081" s="483">
        <v>13761146919</v>
      </c>
      <c r="J5081" s="484" t="s">
        <v>11917</v>
      </c>
      <c r="K5081" s="485">
        <v>1000</v>
      </c>
      <c r="L5081" s="338"/>
      <c r="M5081" s="338"/>
      <c r="N5081" s="362">
        <f t="shared" si="171"/>
        <v>0</v>
      </c>
      <c r="U5081" s="372" t="s">
        <v>12</v>
      </c>
      <c r="X5081" s="339"/>
    </row>
    <row r="5082" s="330" customFormat="1" ht="15" customHeight="1" spans="1:24">
      <c r="A5082" s="348"/>
      <c r="B5082" s="334" t="s">
        <v>66</v>
      </c>
      <c r="C5082" s="334" t="s">
        <v>505</v>
      </c>
      <c r="D5082" s="335" t="s">
        <v>1436</v>
      </c>
      <c r="E5082" s="336">
        <v>43729</v>
      </c>
      <c r="F5082" s="336">
        <v>43729</v>
      </c>
      <c r="G5082" s="399"/>
      <c r="H5082" s="334" t="s">
        <v>11918</v>
      </c>
      <c r="I5082" s="426"/>
      <c r="J5082" s="367" t="s">
        <v>11919</v>
      </c>
      <c r="K5082" s="470">
        <v>5301</v>
      </c>
      <c r="L5082" s="338"/>
      <c r="M5082" s="338"/>
      <c r="N5082" s="362">
        <f t="shared" si="171"/>
        <v>0</v>
      </c>
      <c r="U5082" s="330" t="s">
        <v>63</v>
      </c>
      <c r="X5082" s="339"/>
    </row>
    <row r="5083" s="330" customFormat="1" ht="15" customHeight="1" spans="1:24">
      <c r="A5083" s="348" t="s">
        <v>9684</v>
      </c>
      <c r="B5083" s="334" t="s">
        <v>185</v>
      </c>
      <c r="C5083" s="334" t="s">
        <v>186</v>
      </c>
      <c r="D5083" s="335" t="s">
        <v>187</v>
      </c>
      <c r="E5083" s="336">
        <v>43729</v>
      </c>
      <c r="F5083" s="336">
        <v>43729</v>
      </c>
      <c r="G5083" s="399"/>
      <c r="H5083" s="334" t="s">
        <v>11920</v>
      </c>
      <c r="I5083" s="426">
        <v>18621902718</v>
      </c>
      <c r="J5083" s="367" t="s">
        <v>11921</v>
      </c>
      <c r="K5083" s="470">
        <v>1000</v>
      </c>
      <c r="L5083" s="338"/>
      <c r="M5083" s="338"/>
      <c r="N5083" s="362">
        <f t="shared" si="171"/>
        <v>0</v>
      </c>
      <c r="U5083" s="467" t="s">
        <v>52</v>
      </c>
      <c r="X5083" s="339"/>
    </row>
    <row r="5084" s="330" customFormat="1" ht="15" customHeight="1" spans="1:24">
      <c r="A5084" s="348" t="s">
        <v>11922</v>
      </c>
      <c r="B5084" s="334" t="s">
        <v>205</v>
      </c>
      <c r="C5084" s="334" t="s">
        <v>1467</v>
      </c>
      <c r="D5084" s="334" t="s">
        <v>407</v>
      </c>
      <c r="E5084" s="336">
        <v>43738</v>
      </c>
      <c r="F5084" s="336">
        <v>43729</v>
      </c>
      <c r="G5084" s="336">
        <v>43738</v>
      </c>
      <c r="H5084" s="334" t="s">
        <v>11923</v>
      </c>
      <c r="I5084" s="426">
        <v>18551208857</v>
      </c>
      <c r="J5084" s="367" t="s">
        <v>11924</v>
      </c>
      <c r="K5084" s="470">
        <v>15000</v>
      </c>
      <c r="L5084" s="334">
        <f>13700-1104</f>
        <v>12596</v>
      </c>
      <c r="M5084" s="334">
        <v>1104</v>
      </c>
      <c r="N5084" s="362">
        <f t="shared" si="171"/>
        <v>13700</v>
      </c>
      <c r="X5084" s="339"/>
    </row>
    <row r="5085" s="330" customFormat="1" ht="15" customHeight="1" spans="1:24">
      <c r="A5085" s="348" t="s">
        <v>11925</v>
      </c>
      <c r="B5085" s="334" t="s">
        <v>58</v>
      </c>
      <c r="C5085" s="334" t="s">
        <v>794</v>
      </c>
      <c r="D5085" s="335" t="s">
        <v>110</v>
      </c>
      <c r="E5085" s="336">
        <v>43729</v>
      </c>
      <c r="F5085" s="336">
        <v>43728</v>
      </c>
      <c r="G5085" s="399"/>
      <c r="H5085" s="334" t="s">
        <v>11926</v>
      </c>
      <c r="I5085" s="426">
        <v>18616761650</v>
      </c>
      <c r="J5085" s="367" t="s">
        <v>11927</v>
      </c>
      <c r="K5085" s="470">
        <v>1998</v>
      </c>
      <c r="L5085" s="338"/>
      <c r="M5085" s="338"/>
      <c r="N5085" s="362">
        <f t="shared" si="171"/>
        <v>0</v>
      </c>
      <c r="O5085" s="366" t="s">
        <v>52</v>
      </c>
      <c r="X5085" s="339"/>
    </row>
    <row r="5086" s="330" customFormat="1" ht="15" customHeight="1" spans="1:24">
      <c r="A5086" s="348" t="s">
        <v>11928</v>
      </c>
      <c r="B5086" s="334" t="s">
        <v>58</v>
      </c>
      <c r="C5086" s="334" t="s">
        <v>794</v>
      </c>
      <c r="D5086" s="335" t="s">
        <v>110</v>
      </c>
      <c r="E5086" s="336">
        <v>43729</v>
      </c>
      <c r="F5086" s="336">
        <v>43728</v>
      </c>
      <c r="G5086" s="399"/>
      <c r="H5086" s="334" t="s">
        <v>11929</v>
      </c>
      <c r="I5086" s="426">
        <v>15021164299</v>
      </c>
      <c r="J5086" s="367" t="s">
        <v>11930</v>
      </c>
      <c r="K5086" s="470">
        <v>2798</v>
      </c>
      <c r="L5086" s="338"/>
      <c r="M5086" s="338"/>
      <c r="N5086" s="362">
        <f t="shared" si="171"/>
        <v>0</v>
      </c>
      <c r="U5086" s="471">
        <v>43773</v>
      </c>
      <c r="X5086" s="339"/>
    </row>
    <row r="5087" s="330" customFormat="1" ht="15" customHeight="1" spans="1:24">
      <c r="A5087" s="348" t="s">
        <v>1301</v>
      </c>
      <c r="B5087" s="334" t="s">
        <v>137</v>
      </c>
      <c r="C5087" s="334" t="s">
        <v>138</v>
      </c>
      <c r="D5087" s="334" t="s">
        <v>427</v>
      </c>
      <c r="E5087" s="336">
        <v>43775</v>
      </c>
      <c r="F5087" s="336">
        <v>43728</v>
      </c>
      <c r="G5087" s="336">
        <v>43774</v>
      </c>
      <c r="H5087" s="334" t="s">
        <v>11931</v>
      </c>
      <c r="I5087" s="426">
        <v>13611724601</v>
      </c>
      <c r="J5087" s="367" t="s">
        <v>11932</v>
      </c>
      <c r="K5087" s="470">
        <v>1000</v>
      </c>
      <c r="L5087" s="334">
        <f>19707-999</f>
        <v>18708</v>
      </c>
      <c r="M5087" s="334">
        <v>999</v>
      </c>
      <c r="N5087" s="362">
        <f t="shared" si="171"/>
        <v>19707</v>
      </c>
      <c r="X5087" s="339"/>
    </row>
    <row r="5088" s="330" customFormat="1" ht="15" customHeight="1" spans="1:24">
      <c r="A5088" s="348" t="s">
        <v>11933</v>
      </c>
      <c r="B5088" s="334" t="s">
        <v>42</v>
      </c>
      <c r="C5088" s="334" t="s">
        <v>43</v>
      </c>
      <c r="D5088" s="334" t="s">
        <v>237</v>
      </c>
      <c r="E5088" s="336">
        <v>43735</v>
      </c>
      <c r="F5088" s="336">
        <v>43728</v>
      </c>
      <c r="G5088" s="336">
        <v>43732</v>
      </c>
      <c r="H5088" s="334" t="s">
        <v>11934</v>
      </c>
      <c r="I5088" s="426">
        <v>13901717553</v>
      </c>
      <c r="J5088" s="367" t="s">
        <v>11935</v>
      </c>
      <c r="K5088" s="470">
        <v>2000</v>
      </c>
      <c r="L5088" s="334">
        <v>8170</v>
      </c>
      <c r="M5088" s="338"/>
      <c r="N5088" s="362">
        <f t="shared" si="171"/>
        <v>8170</v>
      </c>
      <c r="X5088" s="339"/>
    </row>
    <row r="5089" s="330" customFormat="1" ht="15" customHeight="1" spans="1:24">
      <c r="A5089" s="348" t="s">
        <v>1761</v>
      </c>
      <c r="B5089" s="334" t="s">
        <v>42</v>
      </c>
      <c r="C5089" s="334" t="s">
        <v>43</v>
      </c>
      <c r="D5089" s="334" t="s">
        <v>207</v>
      </c>
      <c r="E5089" s="336">
        <v>43771</v>
      </c>
      <c r="F5089" s="336">
        <v>43728</v>
      </c>
      <c r="G5089" s="336">
        <v>43769</v>
      </c>
      <c r="H5089" s="334" t="s">
        <v>11936</v>
      </c>
      <c r="I5089" s="426">
        <v>13311635711</v>
      </c>
      <c r="J5089" s="367" t="s">
        <v>11937</v>
      </c>
      <c r="K5089" s="470">
        <v>2000</v>
      </c>
      <c r="L5089" s="334">
        <v>6931</v>
      </c>
      <c r="M5089" s="338"/>
      <c r="N5089" s="362">
        <f t="shared" si="171"/>
        <v>6931</v>
      </c>
      <c r="X5089" s="339"/>
    </row>
    <row r="5090" s="330" customFormat="1" ht="15" customHeight="1" spans="1:24">
      <c r="A5090" s="348" t="s">
        <v>4984</v>
      </c>
      <c r="B5090" s="334" t="s">
        <v>185</v>
      </c>
      <c r="C5090" s="334" t="s">
        <v>1620</v>
      </c>
      <c r="D5090" s="335" t="s">
        <v>44</v>
      </c>
      <c r="E5090" s="336">
        <v>43745</v>
      </c>
      <c r="F5090" s="336">
        <v>43728</v>
      </c>
      <c r="G5090" s="336">
        <v>43745</v>
      </c>
      <c r="H5090" s="334" t="s">
        <v>11938</v>
      </c>
      <c r="I5090" s="426" t="s">
        <v>11939</v>
      </c>
      <c r="J5090" s="367" t="s">
        <v>11940</v>
      </c>
      <c r="K5090" s="470">
        <v>14000</v>
      </c>
      <c r="L5090" s="334">
        <v>14000</v>
      </c>
      <c r="M5090" s="334">
        <v>1104</v>
      </c>
      <c r="N5090" s="362">
        <f t="shared" si="171"/>
        <v>15104</v>
      </c>
      <c r="X5090" s="339"/>
    </row>
    <row r="5091" s="330" customFormat="1" ht="15" customHeight="1" spans="1:24">
      <c r="A5091" s="348" t="s">
        <v>11941</v>
      </c>
      <c r="B5091" s="334" t="s">
        <v>205</v>
      </c>
      <c r="C5091" s="334" t="s">
        <v>1467</v>
      </c>
      <c r="D5091" s="335" t="s">
        <v>125</v>
      </c>
      <c r="E5091" s="336">
        <v>43738</v>
      </c>
      <c r="F5091" s="336">
        <v>43729</v>
      </c>
      <c r="G5091" s="336">
        <v>43738</v>
      </c>
      <c r="H5091" s="334" t="s">
        <v>11942</v>
      </c>
      <c r="I5091" s="426">
        <v>13917040889</v>
      </c>
      <c r="J5091" s="367" t="s">
        <v>11943</v>
      </c>
      <c r="K5091" s="470">
        <v>7300</v>
      </c>
      <c r="L5091" s="334">
        <v>7273</v>
      </c>
      <c r="M5091" s="338"/>
      <c r="N5091" s="362">
        <f t="shared" si="171"/>
        <v>7273</v>
      </c>
      <c r="X5091" s="339"/>
    </row>
    <row r="5092" s="330" customFormat="1" ht="15" customHeight="1" spans="1:24">
      <c r="A5092" s="348" t="s">
        <v>11944</v>
      </c>
      <c r="B5092" s="334" t="s">
        <v>35</v>
      </c>
      <c r="C5092" s="334" t="s">
        <v>36</v>
      </c>
      <c r="D5092" s="335" t="s">
        <v>37</v>
      </c>
      <c r="E5092" s="336">
        <v>43769</v>
      </c>
      <c r="F5092" s="336">
        <v>43729</v>
      </c>
      <c r="G5092" s="336">
        <v>43765</v>
      </c>
      <c r="H5092" s="334" t="s">
        <v>11945</v>
      </c>
      <c r="I5092" s="426">
        <v>13916169974</v>
      </c>
      <c r="J5092" s="367" t="s">
        <v>11946</v>
      </c>
      <c r="K5092" s="470">
        <v>4000</v>
      </c>
      <c r="L5092" s="334">
        <v>41500</v>
      </c>
      <c r="M5092" s="338"/>
      <c r="N5092" s="362">
        <f t="shared" si="171"/>
        <v>41500</v>
      </c>
      <c r="X5092" s="339"/>
    </row>
    <row r="5093" s="330" customFormat="1" ht="15" customHeight="1" spans="1:24">
      <c r="A5093" s="348"/>
      <c r="B5093" s="334" t="s">
        <v>169</v>
      </c>
      <c r="C5093" s="334" t="s">
        <v>634</v>
      </c>
      <c r="D5093" s="335" t="s">
        <v>635</v>
      </c>
      <c r="E5093" s="336">
        <v>43734</v>
      </c>
      <c r="F5093" s="336">
        <v>43729</v>
      </c>
      <c r="G5093" s="336">
        <v>43734</v>
      </c>
      <c r="H5093" s="334" t="s">
        <v>11947</v>
      </c>
      <c r="I5093" s="426">
        <v>15618682005</v>
      </c>
      <c r="J5093" s="367" t="s">
        <v>11948</v>
      </c>
      <c r="K5093" s="470">
        <v>6000</v>
      </c>
      <c r="L5093" s="334">
        <v>7200</v>
      </c>
      <c r="M5093" s="338"/>
      <c r="N5093" s="362">
        <f t="shared" si="171"/>
        <v>7200</v>
      </c>
      <c r="X5093" s="339"/>
    </row>
    <row r="5094" s="330" customFormat="1" ht="15" customHeight="1" spans="1:24">
      <c r="A5094" s="348"/>
      <c r="B5094" s="334" t="s">
        <v>2625</v>
      </c>
      <c r="C5094" s="334" t="s">
        <v>2626</v>
      </c>
      <c r="D5094" s="334" t="s">
        <v>44</v>
      </c>
      <c r="E5094" s="336">
        <v>43732</v>
      </c>
      <c r="F5094" s="336">
        <v>43729</v>
      </c>
      <c r="G5094" s="336">
        <v>43732</v>
      </c>
      <c r="H5094" s="334" t="s">
        <v>11949</v>
      </c>
      <c r="I5094" s="426">
        <v>13371896369</v>
      </c>
      <c r="J5094" s="367" t="s">
        <v>11950</v>
      </c>
      <c r="K5094" s="470">
        <v>3000</v>
      </c>
      <c r="L5094" s="334">
        <f>12000-1520</f>
        <v>10480</v>
      </c>
      <c r="M5094" s="334">
        <v>1520</v>
      </c>
      <c r="N5094" s="362">
        <f t="shared" si="171"/>
        <v>12000</v>
      </c>
      <c r="X5094" s="339"/>
    </row>
    <row r="5095" s="330" customFormat="1" ht="15" customHeight="1" spans="1:24">
      <c r="A5095" s="550" t="s">
        <v>11951</v>
      </c>
      <c r="B5095" s="334" t="s">
        <v>153</v>
      </c>
      <c r="C5095" s="334" t="s">
        <v>154</v>
      </c>
      <c r="D5095" s="335" t="s">
        <v>155</v>
      </c>
      <c r="E5095" s="336">
        <v>43781</v>
      </c>
      <c r="F5095" s="336">
        <v>43729</v>
      </c>
      <c r="G5095" s="336">
        <v>43779</v>
      </c>
      <c r="H5095" s="334" t="s">
        <v>11952</v>
      </c>
      <c r="I5095" s="426">
        <v>13816599670</v>
      </c>
      <c r="J5095" s="367" t="s">
        <v>11953</v>
      </c>
      <c r="K5095" s="470">
        <v>1000</v>
      </c>
      <c r="L5095" s="334">
        <v>13863</v>
      </c>
      <c r="M5095" s="338"/>
      <c r="N5095" s="362">
        <f t="shared" si="171"/>
        <v>13863</v>
      </c>
      <c r="X5095" s="339"/>
    </row>
    <row r="5096" s="330" customFormat="1" ht="15" customHeight="1" spans="1:24">
      <c r="A5096" s="348">
        <v>2022534</v>
      </c>
      <c r="B5096" s="334" t="s">
        <v>73</v>
      </c>
      <c r="C5096" s="334" t="s">
        <v>74</v>
      </c>
      <c r="D5096" s="335" t="s">
        <v>75</v>
      </c>
      <c r="E5096" s="336">
        <v>43729</v>
      </c>
      <c r="F5096" s="336">
        <v>43729</v>
      </c>
      <c r="G5096" s="350" t="s">
        <v>69</v>
      </c>
      <c r="H5096" s="334" t="s">
        <v>11954</v>
      </c>
      <c r="I5096" s="426">
        <v>15800463931</v>
      </c>
      <c r="J5096" s="367" t="s">
        <v>11955</v>
      </c>
      <c r="K5096" s="470">
        <v>1000</v>
      </c>
      <c r="L5096" s="338"/>
      <c r="M5096" s="338"/>
      <c r="N5096" s="362">
        <f t="shared" si="171"/>
        <v>0</v>
      </c>
      <c r="O5096" s="366" t="s">
        <v>52</v>
      </c>
      <c r="X5096" s="339"/>
    </row>
    <row r="5097" s="330" customFormat="1" ht="15" customHeight="1" spans="1:24">
      <c r="A5097" s="550" t="s">
        <v>11956</v>
      </c>
      <c r="B5097" s="348" t="s">
        <v>354</v>
      </c>
      <c r="C5097" s="334" t="s">
        <v>355</v>
      </c>
      <c r="D5097" s="334" t="s">
        <v>207</v>
      </c>
      <c r="E5097" s="336">
        <v>43738</v>
      </c>
      <c r="F5097" s="336">
        <v>43729</v>
      </c>
      <c r="G5097" s="336">
        <v>43738</v>
      </c>
      <c r="H5097" s="334" t="s">
        <v>11957</v>
      </c>
      <c r="I5097" s="426"/>
      <c r="J5097" s="367" t="s">
        <v>11958</v>
      </c>
      <c r="K5097" s="470">
        <v>4246</v>
      </c>
      <c r="L5097" s="334">
        <v>4246</v>
      </c>
      <c r="M5097" s="338"/>
      <c r="N5097" s="362">
        <f t="shared" si="171"/>
        <v>4246</v>
      </c>
      <c r="X5097" s="339"/>
    </row>
    <row r="5098" s="330" customFormat="1" ht="15" customHeight="1" spans="1:24">
      <c r="A5098" s="550" t="s">
        <v>11959</v>
      </c>
      <c r="B5098" s="334" t="s">
        <v>66</v>
      </c>
      <c r="C5098" s="334" t="s">
        <v>505</v>
      </c>
      <c r="D5098" s="335" t="s">
        <v>1436</v>
      </c>
      <c r="E5098" s="336">
        <v>43729</v>
      </c>
      <c r="F5098" s="336">
        <v>43729</v>
      </c>
      <c r="G5098" s="399"/>
      <c r="H5098" s="334" t="s">
        <v>11960</v>
      </c>
      <c r="I5098" s="426">
        <v>18621696594</v>
      </c>
      <c r="J5098" s="367" t="s">
        <v>11961</v>
      </c>
      <c r="K5098" s="470">
        <v>1000</v>
      </c>
      <c r="L5098" s="338"/>
      <c r="M5098" s="338"/>
      <c r="N5098" s="362">
        <f t="shared" si="171"/>
        <v>0</v>
      </c>
      <c r="W5098" s="330" t="s">
        <v>2494</v>
      </c>
      <c r="X5098" s="339"/>
    </row>
    <row r="5099" s="330" customFormat="1" ht="15" customHeight="1" spans="1:24">
      <c r="A5099" s="348"/>
      <c r="B5099" s="334" t="s">
        <v>153</v>
      </c>
      <c r="C5099" s="334" t="s">
        <v>302</v>
      </c>
      <c r="D5099" s="335" t="s">
        <v>155</v>
      </c>
      <c r="E5099" s="336">
        <v>43735</v>
      </c>
      <c r="F5099" s="336">
        <v>43729</v>
      </c>
      <c r="G5099" s="336">
        <v>43733</v>
      </c>
      <c r="H5099" s="334" t="s">
        <v>11962</v>
      </c>
      <c r="I5099" s="426">
        <v>13817416317</v>
      </c>
      <c r="J5099" s="367" t="s">
        <v>11963</v>
      </c>
      <c r="K5099" s="470">
        <v>10000</v>
      </c>
      <c r="L5099" s="334">
        <v>13802</v>
      </c>
      <c r="M5099" s="338"/>
      <c r="N5099" s="362">
        <f t="shared" si="171"/>
        <v>13802</v>
      </c>
      <c r="X5099" s="339"/>
    </row>
    <row r="5100" s="330" customFormat="1" ht="15" customHeight="1" spans="1:24">
      <c r="A5100" s="550" t="s">
        <v>11964</v>
      </c>
      <c r="B5100" s="334" t="s">
        <v>335</v>
      </c>
      <c r="C5100" s="334" t="s">
        <v>615</v>
      </c>
      <c r="D5100" s="335" t="s">
        <v>337</v>
      </c>
      <c r="E5100" s="336">
        <v>43760</v>
      </c>
      <c r="F5100" s="336">
        <v>43729</v>
      </c>
      <c r="G5100" s="336">
        <v>43759</v>
      </c>
      <c r="H5100" s="334" t="s">
        <v>11965</v>
      </c>
      <c r="I5100" s="426">
        <v>13482626373</v>
      </c>
      <c r="J5100" s="367" t="s">
        <v>11966</v>
      </c>
      <c r="K5100" s="470">
        <v>1000</v>
      </c>
      <c r="L5100" s="334">
        <v>9600</v>
      </c>
      <c r="M5100" s="338"/>
      <c r="N5100" s="362">
        <f t="shared" si="171"/>
        <v>9600</v>
      </c>
      <c r="X5100" s="339"/>
    </row>
    <row r="5101" s="330" customFormat="1" ht="15" customHeight="1" spans="1:24">
      <c r="A5101" s="550" t="s">
        <v>9925</v>
      </c>
      <c r="B5101" s="334" t="s">
        <v>185</v>
      </c>
      <c r="C5101" s="334" t="s">
        <v>186</v>
      </c>
      <c r="D5101" s="335" t="s">
        <v>187</v>
      </c>
      <c r="E5101" s="336">
        <v>43731</v>
      </c>
      <c r="F5101" s="336">
        <v>43729</v>
      </c>
      <c r="G5101" s="336">
        <v>43731</v>
      </c>
      <c r="H5101" s="334" t="s">
        <v>11967</v>
      </c>
      <c r="I5101" s="426">
        <v>15000863332</v>
      </c>
      <c r="J5101" s="367" t="s">
        <v>11968</v>
      </c>
      <c r="K5101" s="470">
        <v>2000</v>
      </c>
      <c r="L5101" s="334">
        <f>9674-804</f>
        <v>8870</v>
      </c>
      <c r="M5101" s="334">
        <v>804</v>
      </c>
      <c r="N5101" s="362">
        <f t="shared" si="171"/>
        <v>9674</v>
      </c>
      <c r="X5101" s="339"/>
    </row>
    <row r="5102" s="330" customFormat="1" ht="15" customHeight="1" spans="1:24">
      <c r="A5102" s="334"/>
      <c r="B5102" s="334" t="s">
        <v>73</v>
      </c>
      <c r="C5102" s="334" t="s">
        <v>74</v>
      </c>
      <c r="D5102" s="334" t="s">
        <v>717</v>
      </c>
      <c r="E5102" s="336">
        <v>43728</v>
      </c>
      <c r="F5102" s="336"/>
      <c r="G5102" s="336">
        <v>43728</v>
      </c>
      <c r="H5102" s="334" t="s">
        <v>11969</v>
      </c>
      <c r="I5102" s="334">
        <v>13601683069</v>
      </c>
      <c r="J5102" s="334" t="s">
        <v>11970</v>
      </c>
      <c r="K5102" s="337"/>
      <c r="L5102" s="334">
        <v>25262</v>
      </c>
      <c r="M5102" s="338"/>
      <c r="N5102" s="362">
        <f t="shared" si="171"/>
        <v>25262</v>
      </c>
      <c r="X5102" s="339"/>
    </row>
    <row r="5103" s="330" customFormat="1" ht="15" customHeight="1" spans="1:24">
      <c r="A5103" s="334"/>
      <c r="B5103" s="334" t="s">
        <v>5336</v>
      </c>
      <c r="C5103" s="334" t="s">
        <v>5336</v>
      </c>
      <c r="D5103" s="334" t="s">
        <v>132</v>
      </c>
      <c r="E5103" s="336">
        <v>43728</v>
      </c>
      <c r="F5103" s="336"/>
      <c r="G5103" s="336">
        <v>43728</v>
      </c>
      <c r="H5103" s="334" t="s">
        <v>11971</v>
      </c>
      <c r="I5103" s="334">
        <v>13564706123</v>
      </c>
      <c r="J5103" s="334" t="s">
        <v>11972</v>
      </c>
      <c r="K5103" s="337"/>
      <c r="L5103" s="334">
        <v>5614</v>
      </c>
      <c r="M5103" s="338"/>
      <c r="N5103" s="362">
        <f t="shared" si="171"/>
        <v>5614</v>
      </c>
      <c r="X5103" s="339"/>
    </row>
    <row r="5104" s="330" customFormat="1" ht="15" customHeight="1" spans="1:24">
      <c r="A5104" s="334"/>
      <c r="B5104" s="334" t="s">
        <v>58</v>
      </c>
      <c r="C5104" s="334" t="s">
        <v>794</v>
      </c>
      <c r="D5104" s="334" t="s">
        <v>343</v>
      </c>
      <c r="E5104" s="336">
        <v>43728</v>
      </c>
      <c r="F5104" s="336"/>
      <c r="G5104" s="336">
        <v>43727</v>
      </c>
      <c r="H5104" s="334" t="s">
        <v>11973</v>
      </c>
      <c r="I5104" s="334">
        <v>15021875020</v>
      </c>
      <c r="J5104" s="334" t="s">
        <v>11974</v>
      </c>
      <c r="K5104" s="337"/>
      <c r="L5104" s="334">
        <v>20813</v>
      </c>
      <c r="M5104" s="338"/>
      <c r="N5104" s="362">
        <f t="shared" si="171"/>
        <v>20813</v>
      </c>
      <c r="X5104" s="339"/>
    </row>
    <row r="5105" s="330" customFormat="1" ht="15" customHeight="1" spans="1:24">
      <c r="A5105" s="334"/>
      <c r="B5105" s="334" t="s">
        <v>805</v>
      </c>
      <c r="C5105" s="334" t="s">
        <v>806</v>
      </c>
      <c r="D5105" s="334" t="s">
        <v>427</v>
      </c>
      <c r="E5105" s="336">
        <v>43729</v>
      </c>
      <c r="F5105" s="336"/>
      <c r="G5105" s="336">
        <v>43729</v>
      </c>
      <c r="H5105" s="334" t="s">
        <v>11975</v>
      </c>
      <c r="I5105" s="334">
        <v>13472721297</v>
      </c>
      <c r="J5105" s="334" t="s">
        <v>11976</v>
      </c>
      <c r="K5105" s="337"/>
      <c r="L5105" s="334">
        <v>79000</v>
      </c>
      <c r="M5105" s="338"/>
      <c r="N5105" s="362">
        <f t="shared" si="171"/>
        <v>79000</v>
      </c>
      <c r="X5105" s="339"/>
    </row>
    <row r="5106" s="330" customFormat="1" ht="15" customHeight="1" spans="1:24">
      <c r="A5106" s="334"/>
      <c r="B5106" s="348" t="s">
        <v>58</v>
      </c>
      <c r="C5106" s="334" t="s">
        <v>347</v>
      </c>
      <c r="D5106" s="334" t="s">
        <v>343</v>
      </c>
      <c r="E5106" s="336">
        <v>43728</v>
      </c>
      <c r="F5106" s="336" t="s">
        <v>800</v>
      </c>
      <c r="G5106" s="336">
        <v>43720</v>
      </c>
      <c r="H5106" s="269" t="s">
        <v>5819</v>
      </c>
      <c r="I5106" s="444">
        <v>18621782815</v>
      </c>
      <c r="J5106" s="348" t="s">
        <v>5820</v>
      </c>
      <c r="K5106" s="337"/>
      <c r="L5106" s="338"/>
      <c r="M5106" s="334">
        <v>3921</v>
      </c>
      <c r="N5106" s="362">
        <f t="shared" ref="N5106:N5152" si="172">L5106+M5106</f>
        <v>3921</v>
      </c>
      <c r="X5106" s="339"/>
    </row>
    <row r="5107" s="330" customFormat="1" ht="15" customHeight="1" spans="1:24">
      <c r="A5107" s="334"/>
      <c r="B5107" s="408" t="s">
        <v>315</v>
      </c>
      <c r="C5107" s="334" t="s">
        <v>161</v>
      </c>
      <c r="D5107" s="334" t="s">
        <v>162</v>
      </c>
      <c r="E5107" s="336">
        <v>43728</v>
      </c>
      <c r="F5107" s="336" t="s">
        <v>800</v>
      </c>
      <c r="G5107" s="336">
        <v>43727</v>
      </c>
      <c r="H5107" s="334" t="s">
        <v>10555</v>
      </c>
      <c r="I5107" s="334">
        <v>13641691107</v>
      </c>
      <c r="J5107" s="334" t="s">
        <v>10556</v>
      </c>
      <c r="K5107" s="337"/>
      <c r="L5107" s="338"/>
      <c r="M5107" s="334">
        <v>845</v>
      </c>
      <c r="N5107" s="362">
        <f t="shared" si="172"/>
        <v>845</v>
      </c>
      <c r="X5107" s="339"/>
    </row>
    <row r="5108" s="330" customFormat="1" ht="15" customHeight="1" spans="1:24">
      <c r="A5108" s="334"/>
      <c r="B5108" s="334" t="s">
        <v>185</v>
      </c>
      <c r="C5108" s="334" t="s">
        <v>1620</v>
      </c>
      <c r="D5108" s="334" t="s">
        <v>44</v>
      </c>
      <c r="E5108" s="336">
        <v>43728</v>
      </c>
      <c r="F5108" s="336" t="s">
        <v>800</v>
      </c>
      <c r="G5108" s="336">
        <v>43727</v>
      </c>
      <c r="H5108" s="334" t="s">
        <v>8534</v>
      </c>
      <c r="I5108" s="334">
        <v>18655498812</v>
      </c>
      <c r="J5108" s="334" t="s">
        <v>11977</v>
      </c>
      <c r="K5108" s="337"/>
      <c r="L5108" s="338"/>
      <c r="M5108" s="334">
        <v>6740</v>
      </c>
      <c r="N5108" s="362">
        <f t="shared" si="172"/>
        <v>6740</v>
      </c>
      <c r="X5108" s="339"/>
    </row>
    <row r="5109" s="330" customFormat="1" ht="15" customHeight="1" spans="1:24">
      <c r="A5109" s="334"/>
      <c r="B5109" s="334" t="s">
        <v>185</v>
      </c>
      <c r="C5109" s="334" t="s">
        <v>1133</v>
      </c>
      <c r="D5109" s="334" t="s">
        <v>44</v>
      </c>
      <c r="E5109" s="336">
        <v>43728</v>
      </c>
      <c r="F5109" s="336" t="s">
        <v>800</v>
      </c>
      <c r="G5109" s="451">
        <v>43724</v>
      </c>
      <c r="H5109" s="334" t="s">
        <v>1134</v>
      </c>
      <c r="I5109" s="454">
        <v>18918588789</v>
      </c>
      <c r="J5109" s="334" t="s">
        <v>1135</v>
      </c>
      <c r="K5109" s="337"/>
      <c r="L5109" s="338"/>
      <c r="M5109" s="334">
        <v>1130</v>
      </c>
      <c r="N5109" s="362">
        <f t="shared" si="172"/>
        <v>1130</v>
      </c>
      <c r="X5109" s="339"/>
    </row>
    <row r="5110" s="330" customFormat="1" ht="15" customHeight="1" spans="1:24">
      <c r="A5110" s="334"/>
      <c r="B5110" s="334" t="s">
        <v>73</v>
      </c>
      <c r="C5110" s="334" t="s">
        <v>178</v>
      </c>
      <c r="D5110" s="334" t="s">
        <v>143</v>
      </c>
      <c r="E5110" s="336">
        <v>43728</v>
      </c>
      <c r="F5110" s="336" t="s">
        <v>800</v>
      </c>
      <c r="G5110" s="336">
        <v>43727</v>
      </c>
      <c r="H5110" s="334" t="s">
        <v>2670</v>
      </c>
      <c r="I5110" s="334">
        <v>18918698821</v>
      </c>
      <c r="J5110" s="334" t="s">
        <v>11978</v>
      </c>
      <c r="K5110" s="337"/>
      <c r="L5110" s="338"/>
      <c r="M5110" s="334">
        <v>5284.95</v>
      </c>
      <c r="N5110" s="362">
        <f t="shared" si="172"/>
        <v>5284.95</v>
      </c>
      <c r="X5110" s="339"/>
    </row>
    <row r="5111" s="330" customFormat="1" ht="15" customHeight="1" spans="1:24">
      <c r="A5111" s="334"/>
      <c r="B5111" s="334" t="s">
        <v>123</v>
      </c>
      <c r="C5111" s="334" t="s">
        <v>32</v>
      </c>
      <c r="D5111" s="334" t="s">
        <v>125</v>
      </c>
      <c r="E5111" s="336">
        <v>43728</v>
      </c>
      <c r="F5111" s="336" t="s">
        <v>800</v>
      </c>
      <c r="G5111" s="336">
        <v>43728</v>
      </c>
      <c r="H5111" s="334" t="s">
        <v>8067</v>
      </c>
      <c r="I5111" s="334">
        <v>18662943777</v>
      </c>
      <c r="J5111" s="334" t="s">
        <v>11979</v>
      </c>
      <c r="K5111" s="337"/>
      <c r="L5111" s="338"/>
      <c r="M5111" s="334">
        <v>2367</v>
      </c>
      <c r="N5111" s="362">
        <f t="shared" si="172"/>
        <v>2367</v>
      </c>
      <c r="X5111" s="339"/>
    </row>
    <row r="5112" s="330" customFormat="1" ht="15" customHeight="1" spans="1:24">
      <c r="A5112" s="334"/>
      <c r="B5112" s="348" t="s">
        <v>169</v>
      </c>
      <c r="C5112" s="334" t="s">
        <v>634</v>
      </c>
      <c r="D5112" s="334" t="s">
        <v>171</v>
      </c>
      <c r="E5112" s="336">
        <v>43729</v>
      </c>
      <c r="F5112" s="336" t="s">
        <v>800</v>
      </c>
      <c r="G5112" s="336">
        <v>43729</v>
      </c>
      <c r="H5112" s="334" t="s">
        <v>9079</v>
      </c>
      <c r="I5112" s="356">
        <v>13916182204</v>
      </c>
      <c r="J5112" s="348" t="s">
        <v>9080</v>
      </c>
      <c r="K5112" s="337"/>
      <c r="L5112" s="338"/>
      <c r="M5112" s="334">
        <v>3363</v>
      </c>
      <c r="N5112" s="362">
        <f t="shared" si="172"/>
        <v>3363</v>
      </c>
      <c r="X5112" s="339"/>
    </row>
    <row r="5113" s="330" customFormat="1" ht="15" customHeight="1" spans="1:24">
      <c r="A5113" s="334"/>
      <c r="B5113" s="348" t="s">
        <v>205</v>
      </c>
      <c r="C5113" s="334" t="s">
        <v>1467</v>
      </c>
      <c r="D5113" s="334" t="s">
        <v>89</v>
      </c>
      <c r="E5113" s="336">
        <v>43729</v>
      </c>
      <c r="F5113" s="336" t="s">
        <v>800</v>
      </c>
      <c r="G5113" s="336">
        <v>43724</v>
      </c>
      <c r="H5113" s="334" t="s">
        <v>7974</v>
      </c>
      <c r="I5113" s="356">
        <v>13916843774</v>
      </c>
      <c r="J5113" s="348" t="s">
        <v>7975</v>
      </c>
      <c r="K5113" s="337"/>
      <c r="L5113" s="338"/>
      <c r="M5113" s="334">
        <v>280</v>
      </c>
      <c r="N5113" s="362">
        <f t="shared" si="172"/>
        <v>280</v>
      </c>
      <c r="X5113" s="339"/>
    </row>
    <row r="5114" s="330" customFormat="1" ht="15" customHeight="1" spans="1:24">
      <c r="A5114" s="334"/>
      <c r="B5114" s="334" t="s">
        <v>335</v>
      </c>
      <c r="C5114" s="334" t="s">
        <v>615</v>
      </c>
      <c r="D5114" s="334" t="s">
        <v>337</v>
      </c>
      <c r="E5114" s="336">
        <v>43729</v>
      </c>
      <c r="F5114" s="336" t="s">
        <v>800</v>
      </c>
      <c r="G5114" s="336">
        <v>43729</v>
      </c>
      <c r="H5114" s="334" t="s">
        <v>5702</v>
      </c>
      <c r="I5114" s="334">
        <v>13482788660</v>
      </c>
      <c r="J5114" s="348" t="s">
        <v>5703</v>
      </c>
      <c r="K5114" s="337"/>
      <c r="L5114" s="338"/>
      <c r="M5114" s="334">
        <v>3477</v>
      </c>
      <c r="N5114" s="362">
        <f t="shared" si="172"/>
        <v>3477</v>
      </c>
      <c r="X5114" s="339"/>
    </row>
    <row r="5115" s="330" customFormat="1" ht="15" customHeight="1" spans="1:24">
      <c r="A5115" s="334"/>
      <c r="B5115" s="348" t="s">
        <v>31</v>
      </c>
      <c r="C5115" s="334" t="s">
        <v>115</v>
      </c>
      <c r="D5115" s="334" t="s">
        <v>115</v>
      </c>
      <c r="E5115" s="336">
        <v>43729</v>
      </c>
      <c r="F5115" s="336" t="s">
        <v>800</v>
      </c>
      <c r="G5115" s="336">
        <v>43729</v>
      </c>
      <c r="H5115" s="334" t="s">
        <v>5397</v>
      </c>
      <c r="I5115" s="356">
        <v>18918601989</v>
      </c>
      <c r="J5115" s="348" t="s">
        <v>5398</v>
      </c>
      <c r="K5115" s="337"/>
      <c r="L5115" s="338"/>
      <c r="M5115" s="334">
        <v>9499</v>
      </c>
      <c r="N5115" s="362">
        <f t="shared" si="172"/>
        <v>9499</v>
      </c>
      <c r="X5115" s="339"/>
    </row>
    <row r="5116" s="330" customFormat="1" ht="15" customHeight="1" spans="1:24">
      <c r="A5116" s="334"/>
      <c r="B5116" s="334" t="s">
        <v>42</v>
      </c>
      <c r="C5116" s="334" t="s">
        <v>43</v>
      </c>
      <c r="D5116" s="334" t="s">
        <v>149</v>
      </c>
      <c r="E5116" s="336">
        <v>43729</v>
      </c>
      <c r="F5116" s="336" t="s">
        <v>800</v>
      </c>
      <c r="G5116" s="336">
        <v>43728</v>
      </c>
      <c r="H5116" s="334" t="s">
        <v>10893</v>
      </c>
      <c r="I5116" s="334">
        <v>13761176071</v>
      </c>
      <c r="J5116" s="334" t="s">
        <v>11980</v>
      </c>
      <c r="K5116" s="337"/>
      <c r="L5116" s="338"/>
      <c r="M5116" s="334">
        <v>1692</v>
      </c>
      <c r="N5116" s="362">
        <f t="shared" si="172"/>
        <v>1692</v>
      </c>
      <c r="X5116" s="339"/>
    </row>
    <row r="5117" s="330" customFormat="1" ht="15" customHeight="1" spans="1:24">
      <c r="A5117" s="334"/>
      <c r="B5117" s="348" t="s">
        <v>137</v>
      </c>
      <c r="C5117" s="334" t="s">
        <v>138</v>
      </c>
      <c r="D5117" s="334" t="s">
        <v>139</v>
      </c>
      <c r="E5117" s="336">
        <v>43729</v>
      </c>
      <c r="F5117" s="336" t="s">
        <v>800</v>
      </c>
      <c r="G5117" s="336">
        <v>43729</v>
      </c>
      <c r="H5117" s="334" t="s">
        <v>2773</v>
      </c>
      <c r="I5117" s="356">
        <v>13681938191</v>
      </c>
      <c r="J5117" s="348" t="s">
        <v>11981</v>
      </c>
      <c r="K5117" s="337"/>
      <c r="L5117" s="338"/>
      <c r="M5117" s="334">
        <f>615+9384</f>
        <v>9999</v>
      </c>
      <c r="N5117" s="362">
        <f t="shared" si="172"/>
        <v>9999</v>
      </c>
      <c r="X5117" s="339"/>
    </row>
    <row r="5118" s="330" customFormat="1" ht="15" customHeight="1" spans="1:24">
      <c r="A5118" s="334"/>
      <c r="B5118" s="348" t="s">
        <v>137</v>
      </c>
      <c r="C5118" s="348" t="s">
        <v>138</v>
      </c>
      <c r="D5118" s="334" t="s">
        <v>139</v>
      </c>
      <c r="E5118" s="336">
        <v>43729</v>
      </c>
      <c r="F5118" s="336" t="s">
        <v>800</v>
      </c>
      <c r="G5118" s="336">
        <v>43728</v>
      </c>
      <c r="H5118" s="334" t="s">
        <v>3994</v>
      </c>
      <c r="I5118" s="334">
        <v>18621970298</v>
      </c>
      <c r="J5118" s="348" t="s">
        <v>3995</v>
      </c>
      <c r="K5118" s="337"/>
      <c r="L5118" s="338"/>
      <c r="M5118" s="334">
        <v>-2043</v>
      </c>
      <c r="N5118" s="362">
        <f t="shared" si="172"/>
        <v>-2043</v>
      </c>
      <c r="X5118" s="339"/>
    </row>
    <row r="5119" s="330" customFormat="1" ht="15" customHeight="1" spans="1:24">
      <c r="A5119" s="334"/>
      <c r="B5119" s="334" t="s">
        <v>87</v>
      </c>
      <c r="C5119" s="334" t="s">
        <v>466</v>
      </c>
      <c r="D5119" s="334" t="s">
        <v>89</v>
      </c>
      <c r="E5119" s="336">
        <v>43729</v>
      </c>
      <c r="F5119" s="336" t="s">
        <v>800</v>
      </c>
      <c r="G5119" s="336">
        <v>43729</v>
      </c>
      <c r="H5119" s="334" t="s">
        <v>6935</v>
      </c>
      <c r="I5119" s="334">
        <v>13917626918</v>
      </c>
      <c r="J5119" s="348" t="s">
        <v>6936</v>
      </c>
      <c r="K5119" s="337"/>
      <c r="L5119" s="338"/>
      <c r="M5119" s="334">
        <v>-66</v>
      </c>
      <c r="N5119" s="362">
        <f t="shared" si="172"/>
        <v>-66</v>
      </c>
      <c r="X5119" s="339"/>
    </row>
    <row r="5120" s="330" customFormat="1" ht="15" customHeight="1" spans="1:24">
      <c r="A5120" s="334"/>
      <c r="B5120" s="334" t="s">
        <v>726</v>
      </c>
      <c r="C5120" s="334" t="s">
        <v>727</v>
      </c>
      <c r="D5120" s="334" t="s">
        <v>271</v>
      </c>
      <c r="E5120" s="336">
        <v>43729</v>
      </c>
      <c r="F5120" s="336" t="s">
        <v>800</v>
      </c>
      <c r="G5120" s="336">
        <v>43728</v>
      </c>
      <c r="H5120" s="334" t="s">
        <v>4876</v>
      </c>
      <c r="I5120" s="334">
        <v>18017587289</v>
      </c>
      <c r="J5120" s="348" t="s">
        <v>4877</v>
      </c>
      <c r="K5120" s="337"/>
      <c r="L5120" s="338"/>
      <c r="M5120" s="334">
        <v>1836</v>
      </c>
      <c r="N5120" s="362">
        <f t="shared" si="172"/>
        <v>1836</v>
      </c>
      <c r="X5120" s="339"/>
    </row>
    <row r="5121" s="330" customFormat="1" ht="15" customHeight="1" spans="1:24">
      <c r="A5121" s="334"/>
      <c r="B5121" s="334" t="s">
        <v>169</v>
      </c>
      <c r="C5121" s="334" t="s">
        <v>634</v>
      </c>
      <c r="D5121" s="335" t="s">
        <v>635</v>
      </c>
      <c r="E5121" s="336">
        <v>43729</v>
      </c>
      <c r="F5121" s="336" t="s">
        <v>800</v>
      </c>
      <c r="G5121" s="336">
        <v>43713</v>
      </c>
      <c r="H5121" s="334" t="s">
        <v>11982</v>
      </c>
      <c r="I5121" s="334">
        <v>18616751109</v>
      </c>
      <c r="J5121" s="334" t="s">
        <v>11983</v>
      </c>
      <c r="K5121" s="337"/>
      <c r="L5121" s="338"/>
      <c r="M5121" s="334">
        <v>434</v>
      </c>
      <c r="N5121" s="362">
        <f t="shared" si="172"/>
        <v>434</v>
      </c>
      <c r="X5121" s="339"/>
    </row>
    <row r="5122" s="330" customFormat="1" ht="15" customHeight="1" spans="1:24">
      <c r="A5122" s="348"/>
      <c r="B5122" s="334" t="s">
        <v>58</v>
      </c>
      <c r="C5122" s="334" t="s">
        <v>794</v>
      </c>
      <c r="D5122" s="335" t="s">
        <v>110</v>
      </c>
      <c r="E5122" s="336">
        <v>43745</v>
      </c>
      <c r="F5122" s="336">
        <v>43729</v>
      </c>
      <c r="G5122" s="336">
        <v>43745</v>
      </c>
      <c r="H5122" s="334" t="s">
        <v>11984</v>
      </c>
      <c r="I5122" s="426">
        <v>13585773710</v>
      </c>
      <c r="J5122" s="334" t="s">
        <v>11985</v>
      </c>
      <c r="K5122" s="455">
        <v>10000</v>
      </c>
      <c r="L5122" s="334">
        <v>9970</v>
      </c>
      <c r="M5122" s="338"/>
      <c r="N5122" s="362">
        <f t="shared" si="172"/>
        <v>9970</v>
      </c>
      <c r="X5122" s="339"/>
    </row>
    <row r="5123" s="330" customFormat="1" ht="15" customHeight="1" spans="1:24">
      <c r="A5123" s="550" t="s">
        <v>3953</v>
      </c>
      <c r="B5123" s="334" t="s">
        <v>58</v>
      </c>
      <c r="C5123" s="334" t="s">
        <v>794</v>
      </c>
      <c r="D5123" s="335" t="s">
        <v>110</v>
      </c>
      <c r="E5123" s="336">
        <v>43781</v>
      </c>
      <c r="F5123" s="336">
        <v>43728</v>
      </c>
      <c r="G5123" s="336">
        <v>43778</v>
      </c>
      <c r="H5123" s="334" t="s">
        <v>11986</v>
      </c>
      <c r="I5123" s="426">
        <v>18616599711</v>
      </c>
      <c r="J5123" s="334" t="s">
        <v>11987</v>
      </c>
      <c r="K5123" s="455">
        <v>5000</v>
      </c>
      <c r="L5123" s="334">
        <v>9089</v>
      </c>
      <c r="M5123" s="338"/>
      <c r="N5123" s="362">
        <f t="shared" si="172"/>
        <v>9089</v>
      </c>
      <c r="X5123" s="339"/>
    </row>
    <row r="5124" s="330" customFormat="1" ht="15" customHeight="1" spans="1:24">
      <c r="A5124" s="348"/>
      <c r="B5124" s="334" t="s">
        <v>58</v>
      </c>
      <c r="C5124" s="334" t="s">
        <v>109</v>
      </c>
      <c r="D5124" s="335" t="s">
        <v>110</v>
      </c>
      <c r="E5124" s="336">
        <v>43738</v>
      </c>
      <c r="F5124" s="336">
        <v>43729</v>
      </c>
      <c r="G5124" s="336">
        <v>43738</v>
      </c>
      <c r="H5124" s="334" t="s">
        <v>11988</v>
      </c>
      <c r="I5124" s="426">
        <v>18918253885</v>
      </c>
      <c r="J5124" s="334" t="s">
        <v>11989</v>
      </c>
      <c r="K5124" s="455">
        <v>10000</v>
      </c>
      <c r="L5124" s="334">
        <v>10000</v>
      </c>
      <c r="M5124" s="338"/>
      <c r="N5124" s="362">
        <f t="shared" si="172"/>
        <v>10000</v>
      </c>
      <c r="X5124" s="339"/>
    </row>
    <row r="5125" s="330" customFormat="1" ht="15" customHeight="1" spans="1:24">
      <c r="A5125" s="550" t="s">
        <v>11990</v>
      </c>
      <c r="B5125" s="334" t="s">
        <v>58</v>
      </c>
      <c r="C5125" s="334" t="s">
        <v>109</v>
      </c>
      <c r="D5125" s="335" t="s">
        <v>110</v>
      </c>
      <c r="E5125" s="336">
        <v>43730</v>
      </c>
      <c r="F5125" s="336">
        <v>43730</v>
      </c>
      <c r="G5125" s="399"/>
      <c r="H5125" s="334" t="s">
        <v>11991</v>
      </c>
      <c r="I5125" s="426">
        <v>13801711752</v>
      </c>
      <c r="J5125" s="334" t="s">
        <v>11992</v>
      </c>
      <c r="K5125" s="455">
        <v>5000</v>
      </c>
      <c r="L5125" s="338"/>
      <c r="M5125" s="338"/>
      <c r="N5125" s="362">
        <f t="shared" si="172"/>
        <v>0</v>
      </c>
      <c r="P5125" s="365" t="s">
        <v>52</v>
      </c>
      <c r="U5125" s="471">
        <v>43809</v>
      </c>
      <c r="X5125" s="339"/>
    </row>
    <row r="5126" s="330" customFormat="1" ht="15" customHeight="1" spans="1:24">
      <c r="A5126" s="550" t="s">
        <v>11993</v>
      </c>
      <c r="B5126" s="334" t="s">
        <v>66</v>
      </c>
      <c r="C5126" s="334" t="s">
        <v>3954</v>
      </c>
      <c r="D5126" s="335" t="s">
        <v>1436</v>
      </c>
      <c r="E5126" s="336">
        <v>43730</v>
      </c>
      <c r="F5126" s="336">
        <v>43730</v>
      </c>
      <c r="G5126" s="399"/>
      <c r="H5126" s="334" t="s">
        <v>11994</v>
      </c>
      <c r="I5126" s="426">
        <v>13917799949</v>
      </c>
      <c r="J5126" s="334" t="s">
        <v>11995</v>
      </c>
      <c r="K5126" s="455">
        <v>1000</v>
      </c>
      <c r="L5126" s="338"/>
      <c r="M5126" s="338"/>
      <c r="N5126" s="362">
        <f t="shared" si="172"/>
        <v>0</v>
      </c>
      <c r="U5126" s="372" t="s">
        <v>12</v>
      </c>
      <c r="X5126" s="339"/>
    </row>
    <row r="5127" s="330" customFormat="1" ht="15" customHeight="1" spans="1:24">
      <c r="A5127" s="550" t="s">
        <v>11996</v>
      </c>
      <c r="B5127" s="334" t="s">
        <v>31</v>
      </c>
      <c r="C5127" s="334" t="s">
        <v>3186</v>
      </c>
      <c r="D5127" s="334" t="s">
        <v>33</v>
      </c>
      <c r="E5127" s="336">
        <v>43775</v>
      </c>
      <c r="F5127" s="336">
        <v>43729</v>
      </c>
      <c r="G5127" s="336">
        <v>43774</v>
      </c>
      <c r="H5127" s="334" t="s">
        <v>11997</v>
      </c>
      <c r="I5127" s="426">
        <v>17720366966</v>
      </c>
      <c r="J5127" s="334" t="s">
        <v>11998</v>
      </c>
      <c r="K5127" s="455">
        <v>1000</v>
      </c>
      <c r="L5127" s="334">
        <v>6160</v>
      </c>
      <c r="M5127" s="338"/>
      <c r="N5127" s="362">
        <f t="shared" si="172"/>
        <v>6160</v>
      </c>
      <c r="X5127" s="339"/>
    </row>
    <row r="5128" s="330" customFormat="1" ht="15" customHeight="1" spans="1:24">
      <c r="A5128" s="550" t="s">
        <v>11999</v>
      </c>
      <c r="B5128" s="334" t="s">
        <v>31</v>
      </c>
      <c r="C5128" s="334" t="s">
        <v>3186</v>
      </c>
      <c r="D5128" s="335" t="s">
        <v>221</v>
      </c>
      <c r="E5128" s="336">
        <v>43781</v>
      </c>
      <c r="F5128" s="336">
        <v>43729</v>
      </c>
      <c r="G5128" s="336">
        <v>43779</v>
      </c>
      <c r="H5128" s="334" t="s">
        <v>12000</v>
      </c>
      <c r="I5128" s="426">
        <v>13621728269</v>
      </c>
      <c r="J5128" s="334" t="s">
        <v>12001</v>
      </c>
      <c r="K5128" s="455">
        <v>1000</v>
      </c>
      <c r="L5128" s="334">
        <v>10200</v>
      </c>
      <c r="M5128" s="338"/>
      <c r="N5128" s="362">
        <f t="shared" si="172"/>
        <v>10200</v>
      </c>
      <c r="X5128" s="339"/>
    </row>
    <row r="5129" s="330" customFormat="1" ht="15" customHeight="1" spans="1:24">
      <c r="A5129" s="550" t="s">
        <v>12002</v>
      </c>
      <c r="B5129" s="334" t="s">
        <v>726</v>
      </c>
      <c r="C5129" s="334" t="s">
        <v>727</v>
      </c>
      <c r="D5129" s="335" t="s">
        <v>149</v>
      </c>
      <c r="E5129" s="336">
        <v>43730</v>
      </c>
      <c r="F5129" s="336">
        <v>43729</v>
      </c>
      <c r="G5129" s="353" t="s">
        <v>469</v>
      </c>
      <c r="H5129" s="334" t="s">
        <v>12003</v>
      </c>
      <c r="I5129" s="426">
        <v>13482022020</v>
      </c>
      <c r="J5129" s="334" t="s">
        <v>12004</v>
      </c>
      <c r="K5129" s="455">
        <v>1000</v>
      </c>
      <c r="L5129" s="338"/>
      <c r="M5129" s="338"/>
      <c r="N5129" s="362">
        <f t="shared" si="172"/>
        <v>0</v>
      </c>
      <c r="X5129" s="339"/>
    </row>
    <row r="5130" s="330" customFormat="1" ht="15" customHeight="1" spans="1:24">
      <c r="A5130" s="348"/>
      <c r="B5130" s="334" t="s">
        <v>137</v>
      </c>
      <c r="C5130" s="334" t="s">
        <v>2705</v>
      </c>
      <c r="D5130" s="335" t="s">
        <v>443</v>
      </c>
      <c r="E5130" s="336">
        <v>43731</v>
      </c>
      <c r="F5130" s="336">
        <v>43729</v>
      </c>
      <c r="G5130" s="336">
        <v>43729</v>
      </c>
      <c r="H5130" s="334" t="s">
        <v>12005</v>
      </c>
      <c r="I5130" s="426">
        <v>18321666253</v>
      </c>
      <c r="J5130" s="334" t="s">
        <v>12006</v>
      </c>
      <c r="K5130" s="455">
        <v>10529</v>
      </c>
      <c r="L5130" s="334">
        <v>10529</v>
      </c>
      <c r="M5130" s="338"/>
      <c r="N5130" s="362">
        <f t="shared" si="172"/>
        <v>10529</v>
      </c>
      <c r="X5130" s="339"/>
    </row>
    <row r="5131" s="330" customFormat="1" ht="15" customHeight="1" spans="1:24">
      <c r="A5131" s="348">
        <v>2068684</v>
      </c>
      <c r="B5131" s="334" t="s">
        <v>137</v>
      </c>
      <c r="C5131" s="334" t="s">
        <v>411</v>
      </c>
      <c r="D5131" s="335" t="s">
        <v>427</v>
      </c>
      <c r="E5131" s="336">
        <v>43730</v>
      </c>
      <c r="F5131" s="336">
        <v>43729</v>
      </c>
      <c r="G5131" s="399"/>
      <c r="H5131" s="336" t="s">
        <v>12007</v>
      </c>
      <c r="I5131" s="426">
        <v>17521650665</v>
      </c>
      <c r="J5131" s="334" t="s">
        <v>12008</v>
      </c>
      <c r="K5131" s="455">
        <v>1000</v>
      </c>
      <c r="L5131" s="338"/>
      <c r="M5131" s="338"/>
      <c r="N5131" s="362">
        <f t="shared" si="172"/>
        <v>0</v>
      </c>
      <c r="S5131" s="330">
        <v>1</v>
      </c>
      <c r="X5131" s="339"/>
    </row>
    <row r="5132" s="330" customFormat="1" ht="15" customHeight="1" spans="1:24">
      <c r="A5132" s="348"/>
      <c r="B5132" s="334" t="s">
        <v>58</v>
      </c>
      <c r="C5132" s="334" t="s">
        <v>342</v>
      </c>
      <c r="D5132" s="335" t="s">
        <v>343</v>
      </c>
      <c r="E5132" s="336">
        <v>43730</v>
      </c>
      <c r="F5132" s="336">
        <v>43729</v>
      </c>
      <c r="G5132" s="399"/>
      <c r="H5132" s="334" t="s">
        <v>12009</v>
      </c>
      <c r="I5132" s="426">
        <v>13585875719</v>
      </c>
      <c r="J5132" s="334" t="s">
        <v>12010</v>
      </c>
      <c r="K5132" s="455">
        <v>10000</v>
      </c>
      <c r="L5132" s="338"/>
      <c r="M5132" s="338"/>
      <c r="N5132" s="362">
        <f t="shared" si="172"/>
        <v>0</v>
      </c>
      <c r="O5132" s="365" t="s">
        <v>52</v>
      </c>
      <c r="X5132" s="339"/>
    </row>
    <row r="5133" s="330" customFormat="1" ht="15" customHeight="1" spans="1:24">
      <c r="A5133" s="550" t="s">
        <v>12011</v>
      </c>
      <c r="B5133" s="334" t="s">
        <v>58</v>
      </c>
      <c r="C5133" s="334" t="s">
        <v>342</v>
      </c>
      <c r="D5133" s="335" t="s">
        <v>343</v>
      </c>
      <c r="E5133" s="336">
        <v>43782</v>
      </c>
      <c r="F5133" s="336">
        <v>43729</v>
      </c>
      <c r="G5133" s="336">
        <v>43780</v>
      </c>
      <c r="H5133" s="334" t="s">
        <v>12012</v>
      </c>
      <c r="I5133" s="426">
        <v>13671839568</v>
      </c>
      <c r="J5133" s="334" t="s">
        <v>12013</v>
      </c>
      <c r="K5133" s="455">
        <v>15000</v>
      </c>
      <c r="L5133" s="334">
        <v>16490</v>
      </c>
      <c r="M5133" s="338"/>
      <c r="N5133" s="362">
        <f t="shared" si="172"/>
        <v>16490</v>
      </c>
      <c r="X5133" s="339"/>
    </row>
    <row r="5134" s="330" customFormat="1" ht="15" customHeight="1" spans="1:24">
      <c r="A5134" s="550" t="s">
        <v>12014</v>
      </c>
      <c r="B5134" s="334" t="s">
        <v>35</v>
      </c>
      <c r="C5134" s="334" t="s">
        <v>36</v>
      </c>
      <c r="D5134" s="335" t="s">
        <v>37</v>
      </c>
      <c r="E5134" s="336">
        <v>43730</v>
      </c>
      <c r="F5134" s="336">
        <v>43727</v>
      </c>
      <c r="G5134" s="399">
        <v>43727</v>
      </c>
      <c r="H5134" s="334" t="s">
        <v>12015</v>
      </c>
      <c r="I5134" s="426">
        <v>13918283158</v>
      </c>
      <c r="J5134" s="334" t="s">
        <v>12016</v>
      </c>
      <c r="K5134" s="455">
        <v>9414</v>
      </c>
      <c r="L5134" s="334">
        <f>9414-1104</f>
        <v>8310</v>
      </c>
      <c r="M5134" s="334">
        <v>1104</v>
      </c>
      <c r="N5134" s="362">
        <f t="shared" si="172"/>
        <v>9414</v>
      </c>
      <c r="X5134" s="339"/>
    </row>
    <row r="5135" s="330" customFormat="1" ht="15" customHeight="1" spans="1:24">
      <c r="A5135" s="348"/>
      <c r="B5135" s="334" t="s">
        <v>137</v>
      </c>
      <c r="C5135" s="334" t="s">
        <v>411</v>
      </c>
      <c r="D5135" s="334" t="s">
        <v>139</v>
      </c>
      <c r="E5135" s="336">
        <v>43781</v>
      </c>
      <c r="F5135" s="336">
        <v>43730</v>
      </c>
      <c r="G5135" s="336">
        <v>43779</v>
      </c>
      <c r="H5135" s="334" t="s">
        <v>12017</v>
      </c>
      <c r="I5135" s="426">
        <v>13512125041</v>
      </c>
      <c r="J5135" s="334" t="s">
        <v>12018</v>
      </c>
      <c r="K5135" s="455">
        <v>1000</v>
      </c>
      <c r="L5135" s="334">
        <f>7424-1980</f>
        <v>5444</v>
      </c>
      <c r="M5135" s="334">
        <v>1980</v>
      </c>
      <c r="N5135" s="362">
        <f t="shared" si="172"/>
        <v>7424</v>
      </c>
      <c r="X5135" s="339"/>
    </row>
    <row r="5136" s="330" customFormat="1" ht="15" customHeight="1" spans="1:24">
      <c r="A5136" s="550" t="s">
        <v>12019</v>
      </c>
      <c r="B5136" s="334" t="s">
        <v>31</v>
      </c>
      <c r="C5136" s="334" t="s">
        <v>2716</v>
      </c>
      <c r="D5136" s="334" t="s">
        <v>221</v>
      </c>
      <c r="E5136" s="336">
        <v>43735</v>
      </c>
      <c r="F5136" s="336">
        <v>43730</v>
      </c>
      <c r="G5136" s="336">
        <v>43735</v>
      </c>
      <c r="H5136" s="334" t="s">
        <v>12020</v>
      </c>
      <c r="I5136" s="426">
        <v>13817101938</v>
      </c>
      <c r="J5136" s="334" t="s">
        <v>12021</v>
      </c>
      <c r="K5136" s="455">
        <v>10000</v>
      </c>
      <c r="L5136" s="334">
        <v>12363</v>
      </c>
      <c r="M5136" s="338"/>
      <c r="N5136" s="362">
        <f t="shared" si="172"/>
        <v>12363</v>
      </c>
      <c r="X5136" s="339"/>
    </row>
    <row r="5137" s="330" customFormat="1" ht="15" customHeight="1" spans="1:24">
      <c r="A5137" s="348"/>
      <c r="B5137" s="334" t="s">
        <v>5336</v>
      </c>
      <c r="C5137" s="334" t="s">
        <v>5336</v>
      </c>
      <c r="D5137" s="334" t="s">
        <v>207</v>
      </c>
      <c r="E5137" s="336">
        <v>43731</v>
      </c>
      <c r="F5137" s="336">
        <v>43730</v>
      </c>
      <c r="G5137" s="336">
        <v>43721</v>
      </c>
      <c r="H5137" s="334" t="s">
        <v>12022</v>
      </c>
      <c r="I5137" s="426">
        <v>18717964498</v>
      </c>
      <c r="J5137" s="334" t="s">
        <v>12023</v>
      </c>
      <c r="K5137" s="455">
        <v>2267</v>
      </c>
      <c r="L5137" s="334">
        <v>2267</v>
      </c>
      <c r="M5137" s="338"/>
      <c r="N5137" s="362">
        <f t="shared" si="172"/>
        <v>2267</v>
      </c>
      <c r="X5137" s="339"/>
    </row>
    <row r="5138" s="330" customFormat="1" ht="15" customHeight="1" spans="1:24">
      <c r="A5138" s="348"/>
      <c r="B5138" s="334" t="s">
        <v>58</v>
      </c>
      <c r="C5138" s="334" t="s">
        <v>794</v>
      </c>
      <c r="D5138" s="334" t="s">
        <v>110</v>
      </c>
      <c r="E5138" s="336">
        <v>43730</v>
      </c>
      <c r="F5138" s="336">
        <v>43729</v>
      </c>
      <c r="G5138" s="399">
        <v>43729</v>
      </c>
      <c r="H5138" s="334" t="s">
        <v>12024</v>
      </c>
      <c r="I5138" s="334">
        <v>18019001278</v>
      </c>
      <c r="J5138" s="334" t="s">
        <v>12025</v>
      </c>
      <c r="K5138" s="455">
        <v>100</v>
      </c>
      <c r="L5138" s="334">
        <v>1667</v>
      </c>
      <c r="M5138" s="338"/>
      <c r="N5138" s="362">
        <f t="shared" si="172"/>
        <v>1667</v>
      </c>
      <c r="X5138" s="339"/>
    </row>
    <row r="5139" s="330" customFormat="1" ht="15" customHeight="1" spans="1:24">
      <c r="A5139" s="348"/>
      <c r="B5139" s="334" t="s">
        <v>66</v>
      </c>
      <c r="C5139" s="334" t="s">
        <v>1749</v>
      </c>
      <c r="D5139" s="335" t="s">
        <v>68</v>
      </c>
      <c r="E5139" s="336">
        <v>43733</v>
      </c>
      <c r="F5139" s="336">
        <v>43730</v>
      </c>
      <c r="G5139" s="336">
        <v>43733</v>
      </c>
      <c r="H5139" s="334" t="s">
        <v>12026</v>
      </c>
      <c r="I5139" s="426">
        <v>13816715809</v>
      </c>
      <c r="J5139" s="334" t="s">
        <v>12027</v>
      </c>
      <c r="K5139" s="455">
        <v>1000</v>
      </c>
      <c r="L5139" s="334">
        <v>4772</v>
      </c>
      <c r="M5139" s="338"/>
      <c r="N5139" s="362">
        <f t="shared" si="172"/>
        <v>4772</v>
      </c>
      <c r="X5139" s="339"/>
    </row>
    <row r="5140" s="330" customFormat="1" ht="15" customHeight="1" spans="1:24">
      <c r="A5140" s="348"/>
      <c r="B5140" s="334" t="s">
        <v>58</v>
      </c>
      <c r="C5140" s="334" t="s">
        <v>347</v>
      </c>
      <c r="D5140" s="335" t="s">
        <v>343</v>
      </c>
      <c r="E5140" s="336">
        <v>43738</v>
      </c>
      <c r="F5140" s="336">
        <v>43730</v>
      </c>
      <c r="G5140" s="336">
        <v>43738</v>
      </c>
      <c r="H5140" s="334" t="s">
        <v>12028</v>
      </c>
      <c r="I5140" s="426">
        <v>18121299482</v>
      </c>
      <c r="J5140" s="334" t="s">
        <v>12029</v>
      </c>
      <c r="K5140" s="455">
        <v>11000</v>
      </c>
      <c r="L5140" s="334">
        <v>10000</v>
      </c>
      <c r="M5140" s="338"/>
      <c r="N5140" s="362">
        <f t="shared" si="172"/>
        <v>10000</v>
      </c>
      <c r="X5140" s="339"/>
    </row>
    <row r="5141" s="330" customFormat="1" ht="15" customHeight="1" spans="1:24">
      <c r="A5141" s="348"/>
      <c r="B5141" s="334" t="s">
        <v>58</v>
      </c>
      <c r="C5141" s="334" t="s">
        <v>347</v>
      </c>
      <c r="D5141" s="335" t="s">
        <v>343</v>
      </c>
      <c r="E5141" s="336">
        <v>43768</v>
      </c>
      <c r="F5141" s="336">
        <v>43730</v>
      </c>
      <c r="G5141" s="336">
        <v>43767</v>
      </c>
      <c r="H5141" s="334" t="s">
        <v>12030</v>
      </c>
      <c r="I5141" s="426">
        <v>18610246726</v>
      </c>
      <c r="J5141" s="334" t="s">
        <v>12031</v>
      </c>
      <c r="K5141" s="455">
        <v>15000</v>
      </c>
      <c r="L5141" s="334">
        <v>14872</v>
      </c>
      <c r="M5141" s="338"/>
      <c r="N5141" s="362">
        <f t="shared" si="172"/>
        <v>14872</v>
      </c>
      <c r="X5141" s="339"/>
    </row>
    <row r="5142" s="330" customFormat="1" ht="15" customHeight="1" spans="1:24">
      <c r="A5142" s="348"/>
      <c r="B5142" s="334" t="s">
        <v>58</v>
      </c>
      <c r="C5142" s="334" t="s">
        <v>347</v>
      </c>
      <c r="D5142" s="335" t="s">
        <v>343</v>
      </c>
      <c r="E5142" s="336">
        <v>43730</v>
      </c>
      <c r="F5142" s="336">
        <v>43730</v>
      </c>
      <c r="G5142" s="463">
        <v>43739</v>
      </c>
      <c r="H5142" s="334" t="s">
        <v>12032</v>
      </c>
      <c r="I5142" s="426">
        <v>17898858617</v>
      </c>
      <c r="J5142" s="334" t="s">
        <v>12033</v>
      </c>
      <c r="K5142" s="455">
        <v>10000</v>
      </c>
      <c r="L5142" s="338"/>
      <c r="M5142" s="338"/>
      <c r="N5142" s="362">
        <f t="shared" si="172"/>
        <v>0</v>
      </c>
      <c r="X5142" s="339"/>
    </row>
    <row r="5143" s="330" customFormat="1" ht="15" customHeight="1" spans="1:24">
      <c r="A5143" s="550" t="s">
        <v>12034</v>
      </c>
      <c r="B5143" s="334" t="s">
        <v>169</v>
      </c>
      <c r="C5143" s="334" t="s">
        <v>634</v>
      </c>
      <c r="D5143" s="335" t="s">
        <v>635</v>
      </c>
      <c r="E5143" s="336">
        <v>43777</v>
      </c>
      <c r="F5143" s="336">
        <v>43730</v>
      </c>
      <c r="G5143" s="336">
        <v>43776</v>
      </c>
      <c r="H5143" s="334" t="s">
        <v>12035</v>
      </c>
      <c r="I5143" s="426">
        <v>13501665266</v>
      </c>
      <c r="J5143" s="334" t="s">
        <v>12036</v>
      </c>
      <c r="K5143" s="455">
        <v>500</v>
      </c>
      <c r="L5143" s="334">
        <v>3674</v>
      </c>
      <c r="M5143" s="338"/>
      <c r="N5143" s="362">
        <f t="shared" si="172"/>
        <v>3674</v>
      </c>
      <c r="X5143" s="339"/>
    </row>
    <row r="5144" s="330" customFormat="1" ht="15" customHeight="1" spans="1:24">
      <c r="A5144" s="348">
        <v>2067616</v>
      </c>
      <c r="B5144" s="334" t="s">
        <v>243</v>
      </c>
      <c r="C5144" s="334" t="s">
        <v>309</v>
      </c>
      <c r="D5144" s="335" t="s">
        <v>49</v>
      </c>
      <c r="E5144" s="336">
        <v>43762</v>
      </c>
      <c r="F5144" s="336">
        <v>43730</v>
      </c>
      <c r="G5144" s="336">
        <v>43762</v>
      </c>
      <c r="H5144" s="334" t="s">
        <v>12037</v>
      </c>
      <c r="I5144" s="426">
        <v>18094336737</v>
      </c>
      <c r="J5144" s="334" t="s">
        <v>12038</v>
      </c>
      <c r="K5144" s="455">
        <v>3000</v>
      </c>
      <c r="L5144" s="334">
        <v>7287</v>
      </c>
      <c r="M5144" s="338"/>
      <c r="N5144" s="362">
        <f t="shared" si="172"/>
        <v>7287</v>
      </c>
      <c r="X5144" s="339"/>
    </row>
    <row r="5145" s="330" customFormat="1" ht="15" customHeight="1" spans="1:24">
      <c r="A5145" s="348"/>
      <c r="B5145" s="334" t="s">
        <v>2625</v>
      </c>
      <c r="C5145" s="334" t="s">
        <v>2626</v>
      </c>
      <c r="D5145" s="334" t="s">
        <v>44</v>
      </c>
      <c r="E5145" s="336">
        <v>43794</v>
      </c>
      <c r="F5145" s="336">
        <v>43730</v>
      </c>
      <c r="G5145" s="336">
        <v>43792</v>
      </c>
      <c r="H5145" s="334" t="s">
        <v>12039</v>
      </c>
      <c r="I5145" s="426">
        <v>13601685327</v>
      </c>
      <c r="J5145" s="334" t="s">
        <v>12040</v>
      </c>
      <c r="K5145" s="455">
        <v>5000</v>
      </c>
      <c r="L5145" s="334">
        <v>6595</v>
      </c>
      <c r="M5145" s="338"/>
      <c r="N5145" s="362">
        <f t="shared" si="172"/>
        <v>6595</v>
      </c>
      <c r="R5145" s="477"/>
      <c r="W5145" s="475">
        <v>43790</v>
      </c>
      <c r="X5145" s="339"/>
    </row>
    <row r="5146" s="330" customFormat="1" ht="15" customHeight="1" spans="1:24">
      <c r="A5146" s="348"/>
      <c r="B5146" s="334" t="s">
        <v>153</v>
      </c>
      <c r="C5146" s="334" t="s">
        <v>302</v>
      </c>
      <c r="D5146" s="335" t="s">
        <v>155</v>
      </c>
      <c r="E5146" s="336">
        <v>43730</v>
      </c>
      <c r="F5146" s="336">
        <v>43730</v>
      </c>
      <c r="G5146" s="399" t="s">
        <v>231</v>
      </c>
      <c r="H5146" s="334" t="s">
        <v>12041</v>
      </c>
      <c r="I5146" s="426">
        <v>13911077074</v>
      </c>
      <c r="J5146" s="334" t="s">
        <v>12042</v>
      </c>
      <c r="K5146" s="455">
        <v>1000</v>
      </c>
      <c r="L5146" s="338"/>
      <c r="M5146" s="338"/>
      <c r="N5146" s="362">
        <f t="shared" si="172"/>
        <v>0</v>
      </c>
      <c r="X5146" s="339"/>
    </row>
    <row r="5147" s="330" customFormat="1" ht="15" customHeight="1" spans="1:24">
      <c r="A5147" s="550" t="s">
        <v>12043</v>
      </c>
      <c r="B5147" s="334" t="s">
        <v>94</v>
      </c>
      <c r="C5147" s="334" t="s">
        <v>95</v>
      </c>
      <c r="D5147" s="335" t="s">
        <v>49</v>
      </c>
      <c r="E5147" s="336">
        <v>43738</v>
      </c>
      <c r="F5147" s="336">
        <v>43730</v>
      </c>
      <c r="G5147" s="336">
        <v>43738</v>
      </c>
      <c r="H5147" s="334" t="s">
        <v>12044</v>
      </c>
      <c r="I5147" s="426">
        <v>15221226480</v>
      </c>
      <c r="J5147" s="334" t="s">
        <v>12045</v>
      </c>
      <c r="K5147" s="455">
        <v>8000</v>
      </c>
      <c r="L5147" s="334">
        <f>9740-1104</f>
        <v>8636</v>
      </c>
      <c r="M5147" s="334">
        <v>1104</v>
      </c>
      <c r="N5147" s="362">
        <f t="shared" si="172"/>
        <v>9740</v>
      </c>
      <c r="X5147" s="339"/>
    </row>
    <row r="5148" s="330" customFormat="1" ht="15" customHeight="1" spans="1:24">
      <c r="A5148" s="348">
        <v>2023271</v>
      </c>
      <c r="B5148" s="334" t="s">
        <v>94</v>
      </c>
      <c r="C5148" s="334" t="s">
        <v>95</v>
      </c>
      <c r="D5148" s="335" t="s">
        <v>49</v>
      </c>
      <c r="E5148" s="336">
        <v>43731</v>
      </c>
      <c r="F5148" s="336">
        <v>43730</v>
      </c>
      <c r="G5148" s="336">
        <v>43731</v>
      </c>
      <c r="H5148" s="334" t="s">
        <v>12046</v>
      </c>
      <c r="I5148" s="426">
        <v>19921031810</v>
      </c>
      <c r="J5148" s="334" t="s">
        <v>12047</v>
      </c>
      <c r="K5148" s="455">
        <v>1000</v>
      </c>
      <c r="L5148" s="334">
        <v>15464</v>
      </c>
      <c r="M5148" s="338"/>
      <c r="N5148" s="362">
        <f t="shared" si="172"/>
        <v>15464</v>
      </c>
      <c r="X5148" s="339"/>
    </row>
    <row r="5149" s="330" customFormat="1" ht="15" customHeight="1" spans="1:24">
      <c r="A5149" s="550" t="s">
        <v>12048</v>
      </c>
      <c r="B5149" s="334" t="s">
        <v>47</v>
      </c>
      <c r="C5149" s="334" t="s">
        <v>2399</v>
      </c>
      <c r="D5149" s="335" t="s">
        <v>49</v>
      </c>
      <c r="E5149" s="336">
        <v>43738</v>
      </c>
      <c r="F5149" s="336">
        <v>43729</v>
      </c>
      <c r="G5149" s="336">
        <v>43738</v>
      </c>
      <c r="H5149" s="334" t="s">
        <v>12049</v>
      </c>
      <c r="I5149" s="426">
        <v>18215697943</v>
      </c>
      <c r="J5149" s="334" t="s">
        <v>12050</v>
      </c>
      <c r="K5149" s="455">
        <v>13646</v>
      </c>
      <c r="L5149" s="334">
        <f>13646-1472</f>
        <v>12174</v>
      </c>
      <c r="M5149" s="334">
        <v>1472</v>
      </c>
      <c r="N5149" s="362">
        <f t="shared" si="172"/>
        <v>13646</v>
      </c>
      <c r="X5149" s="339"/>
    </row>
    <row r="5150" s="330" customFormat="1" ht="15" customHeight="1" spans="1:24">
      <c r="A5150" s="348"/>
      <c r="B5150" s="334" t="s">
        <v>805</v>
      </c>
      <c r="C5150" s="334" t="s">
        <v>4935</v>
      </c>
      <c r="D5150" s="335" t="s">
        <v>171</v>
      </c>
      <c r="E5150" s="336">
        <v>43748</v>
      </c>
      <c r="F5150" s="336">
        <v>43730</v>
      </c>
      <c r="G5150" s="336">
        <v>43748</v>
      </c>
      <c r="H5150" s="334" t="s">
        <v>12051</v>
      </c>
      <c r="I5150" s="426">
        <v>13311981516</v>
      </c>
      <c r="J5150" s="334" t="s">
        <v>12052</v>
      </c>
      <c r="K5150" s="455">
        <v>1000</v>
      </c>
      <c r="L5150" s="334">
        <v>12200</v>
      </c>
      <c r="M5150" s="338"/>
      <c r="N5150" s="362">
        <f t="shared" si="172"/>
        <v>12200</v>
      </c>
      <c r="X5150" s="339"/>
    </row>
    <row r="5151" s="330" customFormat="1" ht="15" customHeight="1" spans="1:24">
      <c r="A5151" s="348"/>
      <c r="B5151" s="334" t="s">
        <v>169</v>
      </c>
      <c r="C5151" s="334" t="s">
        <v>12053</v>
      </c>
      <c r="D5151" s="334" t="s">
        <v>171</v>
      </c>
      <c r="E5151" s="336">
        <v>43736</v>
      </c>
      <c r="F5151" s="336">
        <v>43730</v>
      </c>
      <c r="G5151" s="336">
        <v>43736</v>
      </c>
      <c r="H5151" s="334" t="s">
        <v>12054</v>
      </c>
      <c r="I5151" s="426">
        <v>15000935396</v>
      </c>
      <c r="J5151" s="334" t="s">
        <v>12055</v>
      </c>
      <c r="K5151" s="455">
        <v>1000</v>
      </c>
      <c r="L5151" s="334">
        <v>4419</v>
      </c>
      <c r="M5151" s="338"/>
      <c r="N5151" s="362">
        <f t="shared" si="172"/>
        <v>4419</v>
      </c>
      <c r="X5151" s="339"/>
    </row>
    <row r="5152" s="330" customFormat="1" ht="15" customHeight="1" spans="1:24">
      <c r="A5152" s="348">
        <v>2022535</v>
      </c>
      <c r="B5152" s="334" t="s">
        <v>73</v>
      </c>
      <c r="C5152" s="334" t="s">
        <v>74</v>
      </c>
      <c r="D5152" s="334" t="s">
        <v>427</v>
      </c>
      <c r="E5152" s="336">
        <v>43799</v>
      </c>
      <c r="F5152" s="336">
        <v>43730</v>
      </c>
      <c r="G5152" s="336">
        <v>43798</v>
      </c>
      <c r="H5152" s="334" t="s">
        <v>12056</v>
      </c>
      <c r="I5152" s="426">
        <v>13901932254</v>
      </c>
      <c r="J5152" s="334" t="s">
        <v>12057</v>
      </c>
      <c r="K5152" s="455">
        <v>1000</v>
      </c>
      <c r="L5152" s="334">
        <f>16551+47036</f>
        <v>63587</v>
      </c>
      <c r="M5152" s="338"/>
      <c r="N5152" s="362">
        <f t="shared" si="172"/>
        <v>63587</v>
      </c>
      <c r="O5152" s="366" t="s">
        <v>52</v>
      </c>
      <c r="X5152" s="339"/>
    </row>
    <row r="5153" s="330" customFormat="1" ht="15" customHeight="1" spans="1:24">
      <c r="A5153" s="550" t="s">
        <v>12058</v>
      </c>
      <c r="B5153" s="334" t="s">
        <v>73</v>
      </c>
      <c r="C5153" s="334" t="s">
        <v>74</v>
      </c>
      <c r="D5153" s="334" t="s">
        <v>132</v>
      </c>
      <c r="E5153" s="336">
        <v>43778</v>
      </c>
      <c r="F5153" s="336">
        <v>43730</v>
      </c>
      <c r="G5153" s="336">
        <v>43777</v>
      </c>
      <c r="H5153" s="334" t="s">
        <v>12059</v>
      </c>
      <c r="I5153" s="426">
        <v>13601879847</v>
      </c>
      <c r="J5153" s="334" t="s">
        <v>12060</v>
      </c>
      <c r="K5153" s="455">
        <v>1000</v>
      </c>
      <c r="L5153" s="334">
        <v>15336</v>
      </c>
      <c r="M5153" s="334">
        <v>1561</v>
      </c>
      <c r="N5153" s="362">
        <f t="shared" ref="N5153:N5172" si="173">L5153+M5153</f>
        <v>16897</v>
      </c>
      <c r="X5153" s="339"/>
    </row>
    <row r="5154" s="330" customFormat="1" ht="15" customHeight="1" spans="1:24">
      <c r="A5154" s="550" t="s">
        <v>10607</v>
      </c>
      <c r="B5154" s="334" t="s">
        <v>73</v>
      </c>
      <c r="C5154" s="334" t="s">
        <v>74</v>
      </c>
      <c r="D5154" s="334" t="s">
        <v>44</v>
      </c>
      <c r="E5154" s="336">
        <v>43769</v>
      </c>
      <c r="F5154" s="336">
        <v>43730</v>
      </c>
      <c r="G5154" s="336">
        <v>43767</v>
      </c>
      <c r="H5154" s="334" t="s">
        <v>12061</v>
      </c>
      <c r="I5154" s="426">
        <v>18861549053</v>
      </c>
      <c r="J5154" s="334" t="s">
        <v>12062</v>
      </c>
      <c r="K5154" s="455">
        <v>1000</v>
      </c>
      <c r="L5154" s="334">
        <v>9410</v>
      </c>
      <c r="M5154" s="338"/>
      <c r="N5154" s="362">
        <f t="shared" si="173"/>
        <v>9410</v>
      </c>
      <c r="X5154" s="339"/>
    </row>
    <row r="5155" s="330" customFormat="1" ht="15" customHeight="1" spans="1:24">
      <c r="A5155" s="550" t="s">
        <v>12063</v>
      </c>
      <c r="B5155" s="334" t="s">
        <v>185</v>
      </c>
      <c r="C5155" s="334" t="s">
        <v>186</v>
      </c>
      <c r="D5155" s="335" t="s">
        <v>187</v>
      </c>
      <c r="E5155" s="336">
        <v>43747</v>
      </c>
      <c r="F5155" s="336">
        <v>43730</v>
      </c>
      <c r="G5155" s="336">
        <v>43746</v>
      </c>
      <c r="H5155" s="334" t="s">
        <v>12064</v>
      </c>
      <c r="I5155" s="426">
        <v>13905265933</v>
      </c>
      <c r="J5155" s="334" t="s">
        <v>12065</v>
      </c>
      <c r="K5155" s="455">
        <v>10000</v>
      </c>
      <c r="L5155" s="338"/>
      <c r="M5155" s="334">
        <v>2060</v>
      </c>
      <c r="N5155" s="362">
        <f t="shared" si="173"/>
        <v>2060</v>
      </c>
      <c r="X5155" s="339"/>
    </row>
    <row r="5156" s="330" customFormat="1" ht="15" customHeight="1" spans="1:24">
      <c r="A5156" s="550" t="s">
        <v>12066</v>
      </c>
      <c r="B5156" s="334" t="s">
        <v>31</v>
      </c>
      <c r="C5156" s="334" t="s">
        <v>419</v>
      </c>
      <c r="D5156" s="334" t="s">
        <v>954</v>
      </c>
      <c r="E5156" s="336">
        <v>43735</v>
      </c>
      <c r="F5156" s="336">
        <v>43730</v>
      </c>
      <c r="G5156" s="336">
        <v>43735</v>
      </c>
      <c r="H5156" s="334" t="s">
        <v>12067</v>
      </c>
      <c r="I5156" s="426">
        <v>15800382585</v>
      </c>
      <c r="J5156" s="334" t="s">
        <v>12068</v>
      </c>
      <c r="K5156" s="455">
        <v>10000</v>
      </c>
      <c r="L5156" s="334">
        <v>10000</v>
      </c>
      <c r="M5156" s="334">
        <v>-1670</v>
      </c>
      <c r="N5156" s="362">
        <f t="shared" si="173"/>
        <v>8330</v>
      </c>
      <c r="X5156" s="339"/>
    </row>
    <row r="5157" s="330" customFormat="1" ht="15" customHeight="1" spans="1:24">
      <c r="A5157" s="334"/>
      <c r="B5157" s="334" t="s">
        <v>123</v>
      </c>
      <c r="C5157" s="334" t="s">
        <v>902</v>
      </c>
      <c r="D5157" s="335" t="s">
        <v>125</v>
      </c>
      <c r="E5157" s="336">
        <v>43730</v>
      </c>
      <c r="F5157" s="336"/>
      <c r="G5157" s="336">
        <v>43725</v>
      </c>
      <c r="H5157" s="334" t="s">
        <v>12069</v>
      </c>
      <c r="I5157" s="334">
        <v>15921373356</v>
      </c>
      <c r="J5157" s="334" t="s">
        <v>12070</v>
      </c>
      <c r="K5157" s="337"/>
      <c r="L5157" s="334">
        <f>6613-804</f>
        <v>5809</v>
      </c>
      <c r="M5157" s="334">
        <v>804</v>
      </c>
      <c r="N5157" s="362">
        <f t="shared" si="173"/>
        <v>6613</v>
      </c>
      <c r="X5157" s="339"/>
    </row>
    <row r="5158" s="330" customFormat="1" ht="15" customHeight="1" spans="1:24">
      <c r="A5158" s="334"/>
      <c r="B5158" s="334" t="s">
        <v>315</v>
      </c>
      <c r="C5158" s="334" t="s">
        <v>366</v>
      </c>
      <c r="D5158" s="334" t="s">
        <v>132</v>
      </c>
      <c r="E5158" s="336">
        <v>43730</v>
      </c>
      <c r="F5158" s="336"/>
      <c r="G5158" s="336">
        <v>43726</v>
      </c>
      <c r="H5158" s="334" t="s">
        <v>12071</v>
      </c>
      <c r="I5158" s="334">
        <v>13917126562</v>
      </c>
      <c r="J5158" s="334" t="s">
        <v>12072</v>
      </c>
      <c r="K5158" s="337"/>
      <c r="L5158" s="334">
        <f>13000-1104</f>
        <v>11896</v>
      </c>
      <c r="M5158" s="334">
        <v>1104</v>
      </c>
      <c r="N5158" s="362">
        <f t="shared" si="173"/>
        <v>13000</v>
      </c>
      <c r="X5158" s="339"/>
    </row>
    <row r="5159" s="330" customFormat="1" ht="15" customHeight="1" spans="1:24">
      <c r="A5159" s="334"/>
      <c r="B5159" s="348" t="s">
        <v>354</v>
      </c>
      <c r="C5159" s="348" t="s">
        <v>355</v>
      </c>
      <c r="D5159" s="334" t="s">
        <v>182</v>
      </c>
      <c r="E5159" s="336">
        <v>43730</v>
      </c>
      <c r="F5159" s="336" t="s">
        <v>800</v>
      </c>
      <c r="G5159" s="336">
        <v>43729</v>
      </c>
      <c r="H5159" s="334" t="s">
        <v>2145</v>
      </c>
      <c r="I5159" s="334">
        <v>13004100525</v>
      </c>
      <c r="J5159" s="334" t="s">
        <v>12073</v>
      </c>
      <c r="K5159" s="337"/>
      <c r="L5159" s="338"/>
      <c r="M5159" s="334">
        <v>921</v>
      </c>
      <c r="N5159" s="362">
        <f t="shared" si="173"/>
        <v>921</v>
      </c>
      <c r="X5159" s="339"/>
    </row>
    <row r="5160" s="330" customFormat="1" ht="15" customHeight="1" spans="1:24">
      <c r="A5160" s="334"/>
      <c r="B5160" s="348" t="s">
        <v>147</v>
      </c>
      <c r="C5160" s="348" t="s">
        <v>148</v>
      </c>
      <c r="D5160" s="349" t="s">
        <v>187</v>
      </c>
      <c r="E5160" s="336">
        <v>43730</v>
      </c>
      <c r="F5160" s="336" t="s">
        <v>800</v>
      </c>
      <c r="G5160" s="336">
        <v>43729</v>
      </c>
      <c r="H5160" s="334" t="s">
        <v>7112</v>
      </c>
      <c r="I5160" s="444">
        <v>13621866564</v>
      </c>
      <c r="J5160" s="348" t="s">
        <v>7113</v>
      </c>
      <c r="K5160" s="337"/>
      <c r="L5160" s="338"/>
      <c r="M5160" s="334">
        <v>1973</v>
      </c>
      <c r="N5160" s="362">
        <f t="shared" si="173"/>
        <v>1973</v>
      </c>
      <c r="X5160" s="339"/>
    </row>
    <row r="5161" s="330" customFormat="1" ht="15" customHeight="1" spans="1:24">
      <c r="A5161" s="334"/>
      <c r="B5161" s="334" t="s">
        <v>87</v>
      </c>
      <c r="C5161" s="334" t="s">
        <v>466</v>
      </c>
      <c r="D5161" s="334" t="s">
        <v>89</v>
      </c>
      <c r="E5161" s="336">
        <v>43730</v>
      </c>
      <c r="F5161" s="336" t="s">
        <v>800</v>
      </c>
      <c r="G5161" s="336">
        <v>43729</v>
      </c>
      <c r="H5161" s="334" t="s">
        <v>6529</v>
      </c>
      <c r="I5161" s="334">
        <v>19921058469</v>
      </c>
      <c r="J5161" s="348" t="s">
        <v>11288</v>
      </c>
      <c r="K5161" s="337"/>
      <c r="L5161" s="338"/>
      <c r="M5161" s="334">
        <v>3489</v>
      </c>
      <c r="N5161" s="362">
        <f t="shared" si="173"/>
        <v>3489</v>
      </c>
      <c r="X5161" s="339"/>
    </row>
    <row r="5162" s="330" customFormat="1" ht="15" customHeight="1" spans="1:24">
      <c r="A5162" s="334"/>
      <c r="B5162" s="348" t="s">
        <v>66</v>
      </c>
      <c r="C5162" s="348" t="s">
        <v>951</v>
      </c>
      <c r="D5162" s="352" t="s">
        <v>68</v>
      </c>
      <c r="E5162" s="336">
        <v>43730</v>
      </c>
      <c r="F5162" s="336" t="s">
        <v>800</v>
      </c>
      <c r="G5162" s="336">
        <v>43704</v>
      </c>
      <c r="H5162" s="334" t="s">
        <v>9556</v>
      </c>
      <c r="I5162" s="334">
        <v>13701799476</v>
      </c>
      <c r="J5162" s="334" t="s">
        <v>9557</v>
      </c>
      <c r="K5162" s="337"/>
      <c r="L5162" s="338"/>
      <c r="M5162" s="334">
        <v>679</v>
      </c>
      <c r="N5162" s="362">
        <f t="shared" si="173"/>
        <v>679</v>
      </c>
      <c r="X5162" s="339"/>
    </row>
    <row r="5163" s="330" customFormat="1" ht="15" customHeight="1" spans="1:24">
      <c r="A5163" s="334"/>
      <c r="B5163" s="334" t="s">
        <v>58</v>
      </c>
      <c r="C5163" s="334" t="s">
        <v>342</v>
      </c>
      <c r="D5163" s="349" t="s">
        <v>75</v>
      </c>
      <c r="E5163" s="336">
        <v>43730</v>
      </c>
      <c r="F5163" s="336" t="s">
        <v>800</v>
      </c>
      <c r="G5163" s="336">
        <v>43680</v>
      </c>
      <c r="H5163" s="334" t="s">
        <v>511</v>
      </c>
      <c r="I5163" s="334">
        <v>13916628487</v>
      </c>
      <c r="J5163" s="334" t="s">
        <v>7321</v>
      </c>
      <c r="K5163" s="337"/>
      <c r="L5163" s="338"/>
      <c r="M5163" s="334">
        <v>913</v>
      </c>
      <c r="N5163" s="362">
        <f t="shared" si="173"/>
        <v>913</v>
      </c>
      <c r="X5163" s="339"/>
    </row>
    <row r="5164" s="330" customFormat="1" ht="15" customHeight="1" spans="1:24">
      <c r="A5164" s="334"/>
      <c r="B5164" s="348" t="s">
        <v>137</v>
      </c>
      <c r="C5164" s="334" t="s">
        <v>480</v>
      </c>
      <c r="D5164" s="349" t="s">
        <v>139</v>
      </c>
      <c r="E5164" s="336">
        <v>43730</v>
      </c>
      <c r="F5164" s="336" t="s">
        <v>800</v>
      </c>
      <c r="G5164" s="336">
        <v>43730</v>
      </c>
      <c r="H5164" s="334" t="s">
        <v>2011</v>
      </c>
      <c r="I5164" s="334">
        <v>13818618005</v>
      </c>
      <c r="J5164" s="334" t="s">
        <v>7580</v>
      </c>
      <c r="K5164" s="337"/>
      <c r="L5164" s="338"/>
      <c r="M5164" s="334">
        <v>708</v>
      </c>
      <c r="N5164" s="362">
        <f t="shared" si="173"/>
        <v>708</v>
      </c>
      <c r="X5164" s="339"/>
    </row>
    <row r="5165" s="330" customFormat="1" ht="15" customHeight="1" spans="1:24">
      <c r="A5165" s="334"/>
      <c r="B5165" s="334" t="s">
        <v>42</v>
      </c>
      <c r="C5165" s="334" t="s">
        <v>43</v>
      </c>
      <c r="D5165" s="334" t="s">
        <v>149</v>
      </c>
      <c r="E5165" s="336">
        <v>43730</v>
      </c>
      <c r="F5165" s="336" t="s">
        <v>800</v>
      </c>
      <c r="G5165" s="336">
        <v>43721</v>
      </c>
      <c r="H5165" s="334" t="s">
        <v>12074</v>
      </c>
      <c r="I5165" s="334">
        <v>13916350216</v>
      </c>
      <c r="J5165" s="334" t="s">
        <v>8654</v>
      </c>
      <c r="K5165" s="337"/>
      <c r="L5165" s="338"/>
      <c r="M5165" s="334">
        <v>22120</v>
      </c>
      <c r="N5165" s="362">
        <f t="shared" si="173"/>
        <v>22120</v>
      </c>
      <c r="X5165" s="339"/>
    </row>
    <row r="5166" s="330" customFormat="1" ht="15" customHeight="1" spans="1:24">
      <c r="A5166" s="334"/>
      <c r="B5166" s="334" t="s">
        <v>137</v>
      </c>
      <c r="C5166" s="334" t="s">
        <v>861</v>
      </c>
      <c r="D5166" s="334" t="s">
        <v>443</v>
      </c>
      <c r="E5166" s="336">
        <v>43730</v>
      </c>
      <c r="F5166" s="336" t="s">
        <v>800</v>
      </c>
      <c r="G5166" s="336">
        <v>43730</v>
      </c>
      <c r="H5166" s="334" t="s">
        <v>4935</v>
      </c>
      <c r="I5166" s="334">
        <v>13671660954</v>
      </c>
      <c r="J5166" s="348" t="s">
        <v>6147</v>
      </c>
      <c r="K5166" s="337"/>
      <c r="L5166" s="338"/>
      <c r="M5166" s="334">
        <v>1120</v>
      </c>
      <c r="N5166" s="362">
        <f t="shared" si="173"/>
        <v>1120</v>
      </c>
      <c r="X5166" s="339"/>
    </row>
    <row r="5167" s="330" customFormat="1" ht="15" customHeight="1" spans="1:24">
      <c r="A5167" s="334"/>
      <c r="B5167" s="348" t="s">
        <v>185</v>
      </c>
      <c r="C5167" s="348" t="s">
        <v>186</v>
      </c>
      <c r="D5167" s="349" t="s">
        <v>187</v>
      </c>
      <c r="E5167" s="336">
        <v>43730</v>
      </c>
      <c r="F5167" s="336" t="s">
        <v>800</v>
      </c>
      <c r="G5167" s="336">
        <v>43730</v>
      </c>
      <c r="H5167" s="334" t="s">
        <v>2186</v>
      </c>
      <c r="I5167" s="334">
        <v>15601760620</v>
      </c>
      <c r="J5167" s="334" t="s">
        <v>2187</v>
      </c>
      <c r="K5167" s="337"/>
      <c r="L5167" s="338"/>
      <c r="M5167" s="334">
        <v>216</v>
      </c>
      <c r="N5167" s="362">
        <f t="shared" si="173"/>
        <v>216</v>
      </c>
      <c r="X5167" s="339"/>
    </row>
    <row r="5168" s="330" customFormat="1" ht="15" customHeight="1" spans="1:24">
      <c r="A5168" s="334"/>
      <c r="B5168" s="334" t="s">
        <v>58</v>
      </c>
      <c r="C5168" s="334" t="s">
        <v>59</v>
      </c>
      <c r="D5168" s="334" t="s">
        <v>271</v>
      </c>
      <c r="E5168" s="336">
        <v>43730</v>
      </c>
      <c r="F5168" s="336" t="s">
        <v>800</v>
      </c>
      <c r="G5168" s="336">
        <v>43729</v>
      </c>
      <c r="H5168" s="334" t="s">
        <v>10216</v>
      </c>
      <c r="I5168" s="334">
        <v>13585871760</v>
      </c>
      <c r="J5168" s="334" t="s">
        <v>10217</v>
      </c>
      <c r="K5168" s="337"/>
      <c r="L5168" s="338"/>
      <c r="M5168" s="334">
        <v>1800</v>
      </c>
      <c r="N5168" s="362">
        <f t="shared" si="173"/>
        <v>1800</v>
      </c>
      <c r="X5168" s="339"/>
    </row>
    <row r="5169" s="330" customFormat="1" ht="15" customHeight="1" spans="1:24">
      <c r="A5169" s="334"/>
      <c r="B5169" s="334" t="s">
        <v>73</v>
      </c>
      <c r="C5169" s="334" t="s">
        <v>74</v>
      </c>
      <c r="D5169" s="334" t="s">
        <v>132</v>
      </c>
      <c r="E5169" s="336">
        <v>43730</v>
      </c>
      <c r="F5169" s="336" t="s">
        <v>800</v>
      </c>
      <c r="G5169" s="336">
        <v>43730</v>
      </c>
      <c r="H5169" s="334" t="s">
        <v>2260</v>
      </c>
      <c r="I5169" s="334">
        <v>13671619399</v>
      </c>
      <c r="J5169" s="334" t="s">
        <v>12075</v>
      </c>
      <c r="K5169" s="337"/>
      <c r="L5169" s="338"/>
      <c r="M5169" s="334">
        <v>-1672</v>
      </c>
      <c r="N5169" s="362">
        <f t="shared" si="173"/>
        <v>-1672</v>
      </c>
      <c r="X5169" s="339"/>
    </row>
    <row r="5170" s="330" customFormat="1" ht="15" customHeight="1" spans="1:24">
      <c r="A5170" s="334"/>
      <c r="B5170" s="334" t="s">
        <v>73</v>
      </c>
      <c r="C5170" s="334" t="s">
        <v>74</v>
      </c>
      <c r="D5170" s="349" t="s">
        <v>143</v>
      </c>
      <c r="E5170" s="336">
        <v>43730</v>
      </c>
      <c r="F5170" s="336" t="s">
        <v>800</v>
      </c>
      <c r="G5170" s="336">
        <v>43730</v>
      </c>
      <c r="H5170" s="334" t="s">
        <v>6273</v>
      </c>
      <c r="I5170" s="334">
        <v>18916185179</v>
      </c>
      <c r="J5170" s="334" t="s">
        <v>6274</v>
      </c>
      <c r="K5170" s="337"/>
      <c r="L5170" s="338"/>
      <c r="M5170" s="334">
        <v>3542</v>
      </c>
      <c r="N5170" s="362">
        <f t="shared" si="173"/>
        <v>3542</v>
      </c>
      <c r="X5170" s="339"/>
    </row>
    <row r="5171" s="330" customFormat="1" ht="15" customHeight="1" spans="1:24">
      <c r="A5171" s="334"/>
      <c r="B5171" s="348" t="s">
        <v>185</v>
      </c>
      <c r="C5171" s="348" t="s">
        <v>1620</v>
      </c>
      <c r="D5171" s="352" t="s">
        <v>44</v>
      </c>
      <c r="E5171" s="336">
        <v>43730</v>
      </c>
      <c r="F5171" s="336" t="s">
        <v>800</v>
      </c>
      <c r="G5171" s="336">
        <v>43727</v>
      </c>
      <c r="H5171" s="334" t="s">
        <v>6165</v>
      </c>
      <c r="I5171" s="334">
        <v>13761532826</v>
      </c>
      <c r="J5171" s="334" t="s">
        <v>12076</v>
      </c>
      <c r="K5171" s="337"/>
      <c r="L5171" s="338"/>
      <c r="M5171" s="334">
        <f>4798</f>
        <v>4798</v>
      </c>
      <c r="N5171" s="362">
        <f t="shared" si="173"/>
        <v>4798</v>
      </c>
      <c r="X5171" s="339"/>
    </row>
    <row r="5172" s="330" customFormat="1" ht="15" customHeight="1" spans="1:24">
      <c r="A5172" s="348">
        <v>2022544</v>
      </c>
      <c r="B5172" s="334" t="s">
        <v>73</v>
      </c>
      <c r="C5172" s="334" t="s">
        <v>74</v>
      </c>
      <c r="D5172" s="352" t="s">
        <v>75</v>
      </c>
      <c r="E5172" s="336">
        <v>43741</v>
      </c>
      <c r="F5172" s="336">
        <v>43741</v>
      </c>
      <c r="G5172" s="399"/>
      <c r="H5172" s="334" t="s">
        <v>12077</v>
      </c>
      <c r="I5172" s="426">
        <v>14782582770</v>
      </c>
      <c r="J5172" s="334" t="s">
        <v>12078</v>
      </c>
      <c r="K5172" s="455">
        <v>1000</v>
      </c>
      <c r="L5172" s="338"/>
      <c r="M5172" s="338"/>
      <c r="N5172" s="362">
        <f t="shared" si="173"/>
        <v>0</v>
      </c>
      <c r="O5172" s="331"/>
      <c r="Q5172" s="405" t="s">
        <v>52</v>
      </c>
      <c r="X5172" s="339"/>
    </row>
    <row r="5173" s="330" customFormat="1" ht="15" customHeight="1" spans="1:24">
      <c r="A5173" s="348">
        <v>2022524</v>
      </c>
      <c r="B5173" s="334" t="s">
        <v>73</v>
      </c>
      <c r="C5173" s="334" t="s">
        <v>178</v>
      </c>
      <c r="D5173" s="335" t="s">
        <v>75</v>
      </c>
      <c r="E5173" s="336">
        <v>43773</v>
      </c>
      <c r="F5173" s="336">
        <v>43723</v>
      </c>
      <c r="G5173" s="336">
        <v>43772</v>
      </c>
      <c r="H5173" s="334" t="s">
        <v>12079</v>
      </c>
      <c r="I5173" s="426">
        <v>18616501979</v>
      </c>
      <c r="J5173" s="334" t="s">
        <v>12080</v>
      </c>
      <c r="K5173" s="455">
        <v>0</v>
      </c>
      <c r="L5173" s="334">
        <v>13795</v>
      </c>
      <c r="M5173" s="338"/>
      <c r="N5173" s="362">
        <f t="shared" ref="N5172:N5222" si="174">L5173+M5173</f>
        <v>13795</v>
      </c>
      <c r="X5173" s="339"/>
    </row>
    <row r="5174" s="330" customFormat="1" ht="15" customHeight="1" spans="1:24">
      <c r="A5174" s="550" t="s">
        <v>12081</v>
      </c>
      <c r="B5174" s="334" t="s">
        <v>31</v>
      </c>
      <c r="C5174" s="334" t="s">
        <v>377</v>
      </c>
      <c r="D5174" s="334" t="s">
        <v>954</v>
      </c>
      <c r="E5174" s="336">
        <v>43737</v>
      </c>
      <c r="F5174" s="336">
        <v>43730</v>
      </c>
      <c r="G5174" s="336">
        <v>43736</v>
      </c>
      <c r="H5174" s="334" t="s">
        <v>12082</v>
      </c>
      <c r="I5174" s="426">
        <v>13801727448</v>
      </c>
      <c r="J5174" s="334" t="s">
        <v>12083</v>
      </c>
      <c r="K5174" s="455">
        <v>5000</v>
      </c>
      <c r="L5174" s="334">
        <f>12800-1104</f>
        <v>11696</v>
      </c>
      <c r="M5174" s="334">
        <v>1104</v>
      </c>
      <c r="N5174" s="362">
        <f t="shared" si="174"/>
        <v>12800</v>
      </c>
      <c r="X5174" s="339"/>
    </row>
    <row r="5175" s="330" customFormat="1" ht="15" customHeight="1" spans="1:24">
      <c r="A5175" s="348"/>
      <c r="B5175" s="334" t="s">
        <v>315</v>
      </c>
      <c r="C5175" s="334" t="s">
        <v>722</v>
      </c>
      <c r="D5175" s="335" t="s">
        <v>132</v>
      </c>
      <c r="E5175" s="336">
        <v>43738</v>
      </c>
      <c r="F5175" s="336">
        <v>43730</v>
      </c>
      <c r="G5175" s="336">
        <v>43738</v>
      </c>
      <c r="H5175" s="334" t="s">
        <v>12084</v>
      </c>
      <c r="I5175" s="426">
        <v>13701808823</v>
      </c>
      <c r="J5175" s="334" t="s">
        <v>12085</v>
      </c>
      <c r="K5175" s="455">
        <v>6000</v>
      </c>
      <c r="L5175" s="334">
        <v>6000</v>
      </c>
      <c r="M5175" s="338"/>
      <c r="N5175" s="362">
        <f t="shared" si="174"/>
        <v>6000</v>
      </c>
      <c r="X5175" s="339"/>
    </row>
    <row r="5176" s="330" customFormat="1" ht="15" customHeight="1" spans="1:24">
      <c r="A5176" s="550" t="s">
        <v>3961</v>
      </c>
      <c r="B5176" s="334" t="s">
        <v>726</v>
      </c>
      <c r="C5176" s="334" t="s">
        <v>727</v>
      </c>
      <c r="D5176" s="334" t="s">
        <v>207</v>
      </c>
      <c r="E5176" s="336">
        <v>43738</v>
      </c>
      <c r="F5176" s="336">
        <v>43730</v>
      </c>
      <c r="G5176" s="336">
        <v>43738</v>
      </c>
      <c r="H5176" s="334" t="s">
        <v>12086</v>
      </c>
      <c r="I5176" s="426">
        <v>13817500960</v>
      </c>
      <c r="J5176" s="334" t="s">
        <v>12087</v>
      </c>
      <c r="K5176" s="455">
        <v>14800</v>
      </c>
      <c r="L5176" s="334">
        <v>14800</v>
      </c>
      <c r="M5176" s="338"/>
      <c r="N5176" s="362">
        <f t="shared" si="174"/>
        <v>14800</v>
      </c>
      <c r="X5176" s="339"/>
    </row>
    <row r="5177" s="330" customFormat="1" ht="15" customHeight="1" spans="1:24">
      <c r="A5177" s="550" t="s">
        <v>12088</v>
      </c>
      <c r="B5177" s="334" t="s">
        <v>726</v>
      </c>
      <c r="C5177" s="334" t="s">
        <v>727</v>
      </c>
      <c r="D5177" s="334" t="s">
        <v>271</v>
      </c>
      <c r="E5177" s="336">
        <v>43734</v>
      </c>
      <c r="F5177" s="336">
        <v>43731</v>
      </c>
      <c r="G5177" s="336">
        <v>43733</v>
      </c>
      <c r="H5177" s="334" t="s">
        <v>12089</v>
      </c>
      <c r="I5177" s="426">
        <v>15026587771</v>
      </c>
      <c r="J5177" s="334" t="s">
        <v>12090</v>
      </c>
      <c r="K5177" s="455">
        <v>1000</v>
      </c>
      <c r="L5177" s="334">
        <v>9089</v>
      </c>
      <c r="M5177" s="338"/>
      <c r="N5177" s="362">
        <f t="shared" si="174"/>
        <v>9089</v>
      </c>
      <c r="X5177" s="339"/>
    </row>
    <row r="5178" s="330" customFormat="1" ht="15" customHeight="1" spans="1:24">
      <c r="A5178" s="550" t="s">
        <v>12091</v>
      </c>
      <c r="B5178" s="334" t="s">
        <v>335</v>
      </c>
      <c r="C5178" s="334" t="s">
        <v>399</v>
      </c>
      <c r="D5178" s="334" t="s">
        <v>44</v>
      </c>
      <c r="E5178" s="336">
        <v>43743</v>
      </c>
      <c r="F5178" s="336">
        <v>43730</v>
      </c>
      <c r="G5178" s="336">
        <v>43741</v>
      </c>
      <c r="H5178" s="334" t="s">
        <v>12092</v>
      </c>
      <c r="I5178" s="426">
        <v>13916963300</v>
      </c>
      <c r="J5178" s="334" t="s">
        <v>12093</v>
      </c>
      <c r="K5178" s="455">
        <v>1000</v>
      </c>
      <c r="L5178" s="334">
        <f>27000-1840</f>
        <v>25160</v>
      </c>
      <c r="M5178" s="334">
        <v>1840</v>
      </c>
      <c r="N5178" s="362">
        <f t="shared" si="174"/>
        <v>27000</v>
      </c>
      <c r="X5178" s="339"/>
    </row>
    <row r="5179" s="330" customFormat="1" ht="15" customHeight="1" spans="1:24">
      <c r="A5179" s="550" t="s">
        <v>12094</v>
      </c>
      <c r="B5179" s="334" t="s">
        <v>354</v>
      </c>
      <c r="C5179" s="334" t="s">
        <v>355</v>
      </c>
      <c r="D5179" s="334" t="s">
        <v>207</v>
      </c>
      <c r="E5179" s="336">
        <v>43738</v>
      </c>
      <c r="F5179" s="336">
        <v>43731</v>
      </c>
      <c r="G5179" s="336">
        <v>43738</v>
      </c>
      <c r="H5179" s="334" t="s">
        <v>12095</v>
      </c>
      <c r="I5179" s="426">
        <v>15921983279</v>
      </c>
      <c r="J5179" s="334" t="s">
        <v>12096</v>
      </c>
      <c r="K5179" s="455">
        <v>4900</v>
      </c>
      <c r="L5179" s="334">
        <v>4900</v>
      </c>
      <c r="M5179" s="338"/>
      <c r="N5179" s="362">
        <f t="shared" si="174"/>
        <v>4900</v>
      </c>
      <c r="X5179" s="339"/>
    </row>
    <row r="5180" s="330" customFormat="1" ht="15" customHeight="1" spans="1:24">
      <c r="A5180" s="550" t="s">
        <v>5129</v>
      </c>
      <c r="B5180" s="348" t="s">
        <v>185</v>
      </c>
      <c r="C5180" s="334" t="s">
        <v>1620</v>
      </c>
      <c r="D5180" s="335" t="s">
        <v>44</v>
      </c>
      <c r="E5180" s="336">
        <v>43731</v>
      </c>
      <c r="F5180" s="336">
        <v>43729</v>
      </c>
      <c r="G5180" s="399" t="s">
        <v>231</v>
      </c>
      <c r="H5180" s="334" t="s">
        <v>12097</v>
      </c>
      <c r="I5180" s="426"/>
      <c r="J5180" s="334" t="s">
        <v>12098</v>
      </c>
      <c r="K5180" s="455">
        <v>40000</v>
      </c>
      <c r="L5180" s="338"/>
      <c r="M5180" s="338"/>
      <c r="N5180" s="362">
        <f t="shared" si="174"/>
        <v>0</v>
      </c>
      <c r="X5180" s="339"/>
    </row>
    <row r="5181" s="330" customFormat="1" ht="15" customHeight="1" spans="1:24">
      <c r="A5181" s="550" t="s">
        <v>5316</v>
      </c>
      <c r="B5181" s="334" t="s">
        <v>185</v>
      </c>
      <c r="C5181" s="334" t="s">
        <v>886</v>
      </c>
      <c r="D5181" s="335" t="s">
        <v>187</v>
      </c>
      <c r="E5181" s="336">
        <v>43745</v>
      </c>
      <c r="F5181" s="336">
        <v>43730</v>
      </c>
      <c r="G5181" s="336">
        <v>43745</v>
      </c>
      <c r="H5181" s="334" t="s">
        <v>12099</v>
      </c>
      <c r="I5181" s="426">
        <v>13636502418</v>
      </c>
      <c r="J5181" s="334" t="s">
        <v>12100</v>
      </c>
      <c r="K5181" s="455">
        <v>1000</v>
      </c>
      <c r="L5181" s="334">
        <v>12211</v>
      </c>
      <c r="M5181" s="338"/>
      <c r="N5181" s="362">
        <f t="shared" si="174"/>
        <v>12211</v>
      </c>
      <c r="X5181" s="339"/>
    </row>
    <row r="5182" s="330" customFormat="1" ht="15" customHeight="1" spans="1:24">
      <c r="A5182" s="348">
        <v>6105056</v>
      </c>
      <c r="B5182" s="348" t="s">
        <v>405</v>
      </c>
      <c r="C5182" s="334" t="s">
        <v>1234</v>
      </c>
      <c r="D5182" s="335" t="s">
        <v>407</v>
      </c>
      <c r="E5182" s="336">
        <v>43790</v>
      </c>
      <c r="F5182" s="336">
        <v>43730</v>
      </c>
      <c r="G5182" s="336">
        <v>43786</v>
      </c>
      <c r="H5182" s="334" t="s">
        <v>5929</v>
      </c>
      <c r="I5182" s="426">
        <v>13671945727</v>
      </c>
      <c r="J5182" s="334" t="s">
        <v>12101</v>
      </c>
      <c r="K5182" s="455">
        <v>1000</v>
      </c>
      <c r="L5182" s="334">
        <v>10854</v>
      </c>
      <c r="M5182" s="338"/>
      <c r="N5182" s="362">
        <f t="shared" si="174"/>
        <v>10854</v>
      </c>
      <c r="X5182" s="339"/>
    </row>
    <row r="5183" s="330" customFormat="1" ht="15" customHeight="1" spans="1:24">
      <c r="A5183" s="348">
        <v>6105057</v>
      </c>
      <c r="B5183" s="348" t="s">
        <v>405</v>
      </c>
      <c r="C5183" s="334" t="s">
        <v>823</v>
      </c>
      <c r="D5183" s="335" t="s">
        <v>407</v>
      </c>
      <c r="E5183" s="336">
        <v>43745</v>
      </c>
      <c r="F5183" s="336">
        <v>43730</v>
      </c>
      <c r="G5183" s="336">
        <v>43745</v>
      </c>
      <c r="H5183" s="334" t="s">
        <v>12102</v>
      </c>
      <c r="I5183" s="426">
        <v>13003234825</v>
      </c>
      <c r="J5183" s="334" t="s">
        <v>12103</v>
      </c>
      <c r="K5183" s="455">
        <v>20000</v>
      </c>
      <c r="L5183" s="334">
        <v>20000</v>
      </c>
      <c r="M5183" s="338"/>
      <c r="N5183" s="362">
        <f t="shared" si="174"/>
        <v>20000</v>
      </c>
      <c r="X5183" s="339"/>
    </row>
    <row r="5184" s="330" customFormat="1" ht="15" customHeight="1" spans="1:24">
      <c r="A5184" s="550" t="s">
        <v>7348</v>
      </c>
      <c r="B5184" s="334" t="s">
        <v>42</v>
      </c>
      <c r="C5184" s="334" t="s">
        <v>43</v>
      </c>
      <c r="D5184" s="334" t="s">
        <v>207</v>
      </c>
      <c r="E5184" s="336">
        <v>43738</v>
      </c>
      <c r="F5184" s="336">
        <v>43730</v>
      </c>
      <c r="G5184" s="336">
        <v>43738</v>
      </c>
      <c r="H5184" s="334" t="s">
        <v>12104</v>
      </c>
      <c r="I5184" s="426">
        <v>13331809227</v>
      </c>
      <c r="J5184" s="334" t="s">
        <v>12105</v>
      </c>
      <c r="K5184" s="455">
        <v>5000</v>
      </c>
      <c r="L5184" s="334">
        <v>14952</v>
      </c>
      <c r="M5184" s="338"/>
      <c r="N5184" s="362">
        <f t="shared" si="174"/>
        <v>14952</v>
      </c>
      <c r="X5184" s="339"/>
    </row>
    <row r="5185" s="330" customFormat="1" ht="15" customHeight="1" spans="1:24">
      <c r="A5185" s="348"/>
      <c r="B5185" s="334" t="s">
        <v>66</v>
      </c>
      <c r="C5185" s="450" t="s">
        <v>67</v>
      </c>
      <c r="D5185" s="335" t="s">
        <v>1436</v>
      </c>
      <c r="E5185" s="336">
        <v>43731</v>
      </c>
      <c r="F5185" s="336">
        <v>43730</v>
      </c>
      <c r="G5185" s="399"/>
      <c r="H5185" s="334" t="s">
        <v>12106</v>
      </c>
      <c r="I5185" s="426">
        <v>18321787057</v>
      </c>
      <c r="J5185" s="334" t="s">
        <v>12107</v>
      </c>
      <c r="K5185" s="455">
        <v>1000</v>
      </c>
      <c r="L5185" s="338"/>
      <c r="M5185" s="338"/>
      <c r="N5185" s="362">
        <f t="shared" si="174"/>
        <v>0</v>
      </c>
      <c r="X5185" s="339"/>
    </row>
    <row r="5186" s="330" customFormat="1" ht="15" customHeight="1" spans="1:24">
      <c r="A5186" s="550" t="s">
        <v>12108</v>
      </c>
      <c r="B5186" s="334" t="s">
        <v>236</v>
      </c>
      <c r="C5186" s="334" t="s">
        <v>703</v>
      </c>
      <c r="D5186" s="334" t="s">
        <v>207</v>
      </c>
      <c r="E5186" s="336">
        <v>43737</v>
      </c>
      <c r="F5186" s="336">
        <v>43730</v>
      </c>
      <c r="G5186" s="336">
        <v>43735</v>
      </c>
      <c r="H5186" s="334" t="s">
        <v>12109</v>
      </c>
      <c r="I5186" s="426">
        <v>17317296478</v>
      </c>
      <c r="J5186" s="334" t="s">
        <v>12110</v>
      </c>
      <c r="K5186" s="455">
        <v>7100</v>
      </c>
      <c r="L5186" s="334">
        <v>7100</v>
      </c>
      <c r="M5186" s="338"/>
      <c r="N5186" s="362">
        <f t="shared" si="174"/>
        <v>7100</v>
      </c>
      <c r="X5186" s="339"/>
    </row>
    <row r="5187" s="330" customFormat="1" ht="15" customHeight="1" spans="1:24">
      <c r="A5187" s="550" t="s">
        <v>12111</v>
      </c>
      <c r="B5187" s="334" t="s">
        <v>236</v>
      </c>
      <c r="C5187" s="334" t="s">
        <v>703</v>
      </c>
      <c r="D5187" s="334" t="s">
        <v>207</v>
      </c>
      <c r="E5187" s="336">
        <v>43737</v>
      </c>
      <c r="F5187" s="336">
        <v>43730</v>
      </c>
      <c r="G5187" s="336">
        <v>43735</v>
      </c>
      <c r="H5187" s="334" t="s">
        <v>12112</v>
      </c>
      <c r="I5187" s="426">
        <v>13817583787</v>
      </c>
      <c r="J5187" s="334" t="s">
        <v>12113</v>
      </c>
      <c r="K5187" s="455">
        <v>8500</v>
      </c>
      <c r="L5187" s="334">
        <v>8500</v>
      </c>
      <c r="M5187" s="338"/>
      <c r="N5187" s="362">
        <f t="shared" si="174"/>
        <v>8500</v>
      </c>
      <c r="X5187" s="339"/>
    </row>
    <row r="5188" s="330" customFormat="1" ht="15" customHeight="1" spans="1:24">
      <c r="A5188" s="550" t="s">
        <v>12114</v>
      </c>
      <c r="B5188" s="334" t="s">
        <v>236</v>
      </c>
      <c r="C5188" s="334" t="s">
        <v>195</v>
      </c>
      <c r="D5188" s="334" t="s">
        <v>149</v>
      </c>
      <c r="E5188" s="336">
        <v>43735</v>
      </c>
      <c r="F5188" s="336">
        <v>43730</v>
      </c>
      <c r="G5188" s="336">
        <v>43730</v>
      </c>
      <c r="H5188" s="334" t="s">
        <v>12115</v>
      </c>
      <c r="I5188" s="426">
        <v>13761579354</v>
      </c>
      <c r="J5188" s="334" t="s">
        <v>12116</v>
      </c>
      <c r="K5188" s="455">
        <v>5500</v>
      </c>
      <c r="L5188" s="334">
        <v>5991</v>
      </c>
      <c r="M5188" s="338"/>
      <c r="N5188" s="362">
        <f t="shared" si="174"/>
        <v>5991</v>
      </c>
      <c r="X5188" s="339"/>
    </row>
    <row r="5189" s="330" customFormat="1" ht="15" customHeight="1" spans="1:24">
      <c r="A5189" s="550" t="s">
        <v>12117</v>
      </c>
      <c r="B5189" s="334" t="s">
        <v>236</v>
      </c>
      <c r="C5189" s="334" t="s">
        <v>195</v>
      </c>
      <c r="D5189" s="334" t="s">
        <v>237</v>
      </c>
      <c r="E5189" s="336">
        <v>43731</v>
      </c>
      <c r="F5189" s="336">
        <v>43730</v>
      </c>
      <c r="G5189" s="399">
        <v>43730</v>
      </c>
      <c r="H5189" s="334" t="s">
        <v>12118</v>
      </c>
      <c r="I5189" s="426">
        <v>13817663019</v>
      </c>
      <c r="J5189" s="334" t="s">
        <v>12119</v>
      </c>
      <c r="K5189" s="455">
        <v>1000</v>
      </c>
      <c r="L5189" s="334">
        <v>5120</v>
      </c>
      <c r="M5189" s="338"/>
      <c r="N5189" s="362">
        <f t="shared" si="174"/>
        <v>5120</v>
      </c>
      <c r="X5189" s="339"/>
    </row>
    <row r="5190" s="330" customFormat="1" ht="15" customHeight="1" spans="1:24">
      <c r="A5190" s="550" t="s">
        <v>12120</v>
      </c>
      <c r="B5190" s="334" t="s">
        <v>35</v>
      </c>
      <c r="C5190" s="334" t="s">
        <v>36</v>
      </c>
      <c r="D5190" s="335" t="s">
        <v>37</v>
      </c>
      <c r="E5190" s="336">
        <v>43738</v>
      </c>
      <c r="F5190" s="336">
        <v>43730</v>
      </c>
      <c r="G5190" s="336">
        <v>43737</v>
      </c>
      <c r="H5190" s="334" t="s">
        <v>12121</v>
      </c>
      <c r="I5190" s="426">
        <v>13585516138</v>
      </c>
      <c r="J5190" s="334" t="s">
        <v>12122</v>
      </c>
      <c r="K5190" s="455">
        <v>28076</v>
      </c>
      <c r="L5190" s="334">
        <v>29076</v>
      </c>
      <c r="M5190" s="338"/>
      <c r="N5190" s="362">
        <f t="shared" si="174"/>
        <v>29076</v>
      </c>
      <c r="X5190" s="339"/>
    </row>
    <row r="5191" s="330" customFormat="1" ht="15" customHeight="1" spans="1:24">
      <c r="A5191" s="550" t="s">
        <v>12123</v>
      </c>
      <c r="B5191" s="334" t="s">
        <v>35</v>
      </c>
      <c r="C5191" s="334" t="s">
        <v>392</v>
      </c>
      <c r="D5191" s="335" t="s">
        <v>37</v>
      </c>
      <c r="E5191" s="336">
        <v>43731</v>
      </c>
      <c r="F5191" s="336">
        <v>43730</v>
      </c>
      <c r="G5191" s="399" t="s">
        <v>69</v>
      </c>
      <c r="H5191" s="334" t="s">
        <v>12124</v>
      </c>
      <c r="I5191" s="426">
        <v>13818133781</v>
      </c>
      <c r="J5191" s="334" t="s">
        <v>3290</v>
      </c>
      <c r="K5191" s="455">
        <v>37625</v>
      </c>
      <c r="L5191" s="338"/>
      <c r="M5191" s="338"/>
      <c r="N5191" s="362">
        <f t="shared" si="174"/>
        <v>0</v>
      </c>
      <c r="X5191" s="339"/>
    </row>
    <row r="5192" s="330" customFormat="1" ht="15" customHeight="1" spans="1:24">
      <c r="A5192" s="348"/>
      <c r="B5192" s="334" t="s">
        <v>169</v>
      </c>
      <c r="C5192" s="334" t="s">
        <v>542</v>
      </c>
      <c r="D5192" s="335" t="s">
        <v>171</v>
      </c>
      <c r="E5192" s="336">
        <v>43772</v>
      </c>
      <c r="F5192" s="336">
        <v>43730</v>
      </c>
      <c r="G5192" s="336">
        <v>43771</v>
      </c>
      <c r="H5192" s="334" t="s">
        <v>12125</v>
      </c>
      <c r="I5192" s="426">
        <v>18501605524</v>
      </c>
      <c r="J5192" s="334" t="s">
        <v>12126</v>
      </c>
      <c r="K5192" s="455">
        <v>1000</v>
      </c>
      <c r="L5192" s="334">
        <v>4490</v>
      </c>
      <c r="M5192" s="338"/>
      <c r="N5192" s="362">
        <f t="shared" si="174"/>
        <v>4490</v>
      </c>
      <c r="X5192" s="339"/>
    </row>
    <row r="5193" s="330" customFormat="1" ht="15" customHeight="1" spans="1:24">
      <c r="A5193" s="550" t="s">
        <v>12127</v>
      </c>
      <c r="B5193" s="334" t="s">
        <v>405</v>
      </c>
      <c r="C5193" s="334" t="s">
        <v>1234</v>
      </c>
      <c r="D5193" s="335" t="s">
        <v>407</v>
      </c>
      <c r="E5193" s="336">
        <v>43731</v>
      </c>
      <c r="F5193" s="336">
        <v>43715</v>
      </c>
      <c r="G5193" s="399"/>
      <c r="H5193" s="334" t="s">
        <v>12128</v>
      </c>
      <c r="I5193" s="426">
        <v>18930801973</v>
      </c>
      <c r="J5193" s="334" t="s">
        <v>12129</v>
      </c>
      <c r="K5193" s="455">
        <v>1000</v>
      </c>
      <c r="L5193" s="338"/>
      <c r="M5193" s="338"/>
      <c r="N5193" s="362">
        <f t="shared" si="174"/>
        <v>0</v>
      </c>
      <c r="U5193" s="393" t="s">
        <v>40</v>
      </c>
      <c r="X5193" s="339"/>
    </row>
    <row r="5194" s="330" customFormat="1" ht="15" customHeight="1" spans="1:24">
      <c r="A5194" s="550" t="s">
        <v>12130</v>
      </c>
      <c r="B5194" s="334" t="s">
        <v>31</v>
      </c>
      <c r="C5194" s="334" t="s">
        <v>251</v>
      </c>
      <c r="D5194" s="334" t="s">
        <v>954</v>
      </c>
      <c r="E5194" s="336">
        <v>43793</v>
      </c>
      <c r="F5194" s="336">
        <v>43729</v>
      </c>
      <c r="G5194" s="336">
        <v>43792</v>
      </c>
      <c r="H5194" s="334" t="s">
        <v>12131</v>
      </c>
      <c r="I5194" s="426">
        <v>15618511885</v>
      </c>
      <c r="J5194" s="334" t="s">
        <v>12132</v>
      </c>
      <c r="K5194" s="455">
        <v>1000</v>
      </c>
      <c r="L5194" s="334">
        <v>21850</v>
      </c>
      <c r="M5194" s="338"/>
      <c r="N5194" s="362">
        <f t="shared" si="174"/>
        <v>21850</v>
      </c>
      <c r="X5194" s="339"/>
    </row>
    <row r="5195" s="330" customFormat="1" ht="15" customHeight="1" spans="1:24">
      <c r="A5195" s="348"/>
      <c r="B5195" s="334" t="s">
        <v>5336</v>
      </c>
      <c r="C5195" s="334" t="s">
        <v>5336</v>
      </c>
      <c r="D5195" s="334" t="s">
        <v>635</v>
      </c>
      <c r="E5195" s="336">
        <v>43762</v>
      </c>
      <c r="F5195" s="336">
        <v>43731</v>
      </c>
      <c r="G5195" s="336">
        <v>43762</v>
      </c>
      <c r="H5195" s="334" t="s">
        <v>12133</v>
      </c>
      <c r="I5195" s="426">
        <v>18018649725</v>
      </c>
      <c r="J5195" s="334" t="s">
        <v>12134</v>
      </c>
      <c r="K5195" s="455">
        <v>4979</v>
      </c>
      <c r="L5195" s="334">
        <v>5819</v>
      </c>
      <c r="M5195" s="338"/>
      <c r="N5195" s="362">
        <f t="shared" si="174"/>
        <v>5819</v>
      </c>
      <c r="X5195" s="339"/>
    </row>
    <row r="5196" s="330" customFormat="1" ht="15" customHeight="1" spans="1:24">
      <c r="A5196" s="348"/>
      <c r="B5196" s="334" t="s">
        <v>5336</v>
      </c>
      <c r="C5196" s="334" t="s">
        <v>5336</v>
      </c>
      <c r="D5196" s="334" t="s">
        <v>89</v>
      </c>
      <c r="E5196" s="336">
        <v>43736</v>
      </c>
      <c r="F5196" s="336">
        <v>43731</v>
      </c>
      <c r="G5196" s="336">
        <v>43735</v>
      </c>
      <c r="H5196" s="334" t="s">
        <v>12135</v>
      </c>
      <c r="I5196" s="426">
        <v>13917635307</v>
      </c>
      <c r="J5196" s="334" t="s">
        <v>12136</v>
      </c>
      <c r="K5196" s="455">
        <v>4586</v>
      </c>
      <c r="L5196" s="334">
        <v>4586</v>
      </c>
      <c r="M5196" s="338"/>
      <c r="N5196" s="362">
        <f t="shared" si="174"/>
        <v>4586</v>
      </c>
      <c r="X5196" s="339"/>
    </row>
    <row r="5197" s="330" customFormat="1" ht="15" customHeight="1" spans="1:24">
      <c r="A5197" s="550" t="s">
        <v>12137</v>
      </c>
      <c r="B5197" s="334" t="s">
        <v>31</v>
      </c>
      <c r="C5197" s="334" t="s">
        <v>251</v>
      </c>
      <c r="D5197" s="334" t="s">
        <v>221</v>
      </c>
      <c r="E5197" s="336">
        <v>43750</v>
      </c>
      <c r="F5197" s="336">
        <v>43731</v>
      </c>
      <c r="G5197" s="336">
        <v>43749</v>
      </c>
      <c r="H5197" s="334" t="s">
        <v>12138</v>
      </c>
      <c r="I5197" s="426">
        <v>15000724396</v>
      </c>
      <c r="J5197" s="334" t="s">
        <v>12139</v>
      </c>
      <c r="K5197" s="455">
        <v>1999</v>
      </c>
      <c r="L5197" s="334">
        <v>8279</v>
      </c>
      <c r="M5197" s="338"/>
      <c r="N5197" s="362">
        <f t="shared" si="174"/>
        <v>8279</v>
      </c>
      <c r="X5197" s="339"/>
    </row>
    <row r="5198" s="330" customFormat="1" ht="15" customHeight="1" spans="1:24">
      <c r="A5198" s="348"/>
      <c r="B5198" s="334" t="s">
        <v>58</v>
      </c>
      <c r="C5198" s="334" t="s">
        <v>347</v>
      </c>
      <c r="D5198" s="335" t="s">
        <v>343</v>
      </c>
      <c r="E5198" s="336">
        <v>43737</v>
      </c>
      <c r="F5198" s="336">
        <v>43731</v>
      </c>
      <c r="G5198" s="336">
        <v>43736</v>
      </c>
      <c r="H5198" s="334" t="s">
        <v>12140</v>
      </c>
      <c r="I5198" s="426">
        <v>13621987884</v>
      </c>
      <c r="J5198" s="334" t="s">
        <v>12141</v>
      </c>
      <c r="K5198" s="455">
        <v>11735</v>
      </c>
      <c r="L5198" s="334">
        <f>19860-1840</f>
        <v>18020</v>
      </c>
      <c r="M5198" s="334">
        <v>1840</v>
      </c>
      <c r="N5198" s="362">
        <f t="shared" si="174"/>
        <v>19860</v>
      </c>
      <c r="X5198" s="339"/>
    </row>
    <row r="5199" s="330" customFormat="1" ht="15" customHeight="1" spans="1:24">
      <c r="A5199" s="550" t="s">
        <v>12142</v>
      </c>
      <c r="B5199" s="334" t="s">
        <v>87</v>
      </c>
      <c r="C5199" s="334" t="s">
        <v>466</v>
      </c>
      <c r="D5199" s="335" t="s">
        <v>89</v>
      </c>
      <c r="E5199" s="336">
        <v>43736</v>
      </c>
      <c r="F5199" s="336">
        <v>43731</v>
      </c>
      <c r="G5199" s="336">
        <v>43735</v>
      </c>
      <c r="H5199" s="334" t="s">
        <v>12143</v>
      </c>
      <c r="I5199" s="426">
        <v>15821396908</v>
      </c>
      <c r="J5199" s="334" t="s">
        <v>12144</v>
      </c>
      <c r="K5199" s="455">
        <v>10000</v>
      </c>
      <c r="L5199" s="334">
        <v>26304</v>
      </c>
      <c r="M5199" s="338"/>
      <c r="N5199" s="362">
        <f t="shared" si="174"/>
        <v>26304</v>
      </c>
      <c r="X5199" s="339"/>
    </row>
    <row r="5200" s="330" customFormat="1" ht="15" customHeight="1" spans="1:24">
      <c r="A5200" s="550" t="s">
        <v>12145</v>
      </c>
      <c r="B5200" s="334" t="s">
        <v>87</v>
      </c>
      <c r="C5200" s="334" t="s">
        <v>466</v>
      </c>
      <c r="D5200" s="335" t="s">
        <v>89</v>
      </c>
      <c r="E5200" s="336">
        <v>43737</v>
      </c>
      <c r="F5200" s="336">
        <v>43730</v>
      </c>
      <c r="G5200" s="336">
        <v>43737</v>
      </c>
      <c r="H5200" s="334" t="s">
        <v>12146</v>
      </c>
      <c r="I5200" s="426">
        <v>13507219890</v>
      </c>
      <c r="J5200" s="334" t="s">
        <v>12147</v>
      </c>
      <c r="K5200" s="455">
        <v>20000</v>
      </c>
      <c r="L5200" s="334">
        <v>20000</v>
      </c>
      <c r="M5200" s="338"/>
      <c r="N5200" s="362">
        <f t="shared" si="174"/>
        <v>20000</v>
      </c>
      <c r="X5200" s="339"/>
    </row>
    <row r="5201" s="330" customFormat="1" ht="15" customHeight="1" spans="1:24">
      <c r="A5201" s="348"/>
      <c r="B5201" s="348" t="s">
        <v>58</v>
      </c>
      <c r="C5201" s="334" t="s">
        <v>109</v>
      </c>
      <c r="D5201" s="335" t="s">
        <v>110</v>
      </c>
      <c r="E5201" s="336">
        <v>43731</v>
      </c>
      <c r="F5201" s="336">
        <v>43731</v>
      </c>
      <c r="G5201" s="399"/>
      <c r="H5201" s="334" t="s">
        <v>12148</v>
      </c>
      <c r="I5201" s="426">
        <v>18516200725</v>
      </c>
      <c r="J5201" s="334" t="s">
        <v>12149</v>
      </c>
      <c r="K5201" s="455">
        <v>1000</v>
      </c>
      <c r="L5201" s="338"/>
      <c r="M5201" s="338"/>
      <c r="N5201" s="362">
        <f t="shared" si="174"/>
        <v>0</v>
      </c>
      <c r="U5201" s="393" t="s">
        <v>40</v>
      </c>
      <c r="X5201" s="339"/>
    </row>
    <row r="5202" s="330" customFormat="1" ht="15" customHeight="1" spans="1:24">
      <c r="A5202" s="550" t="s">
        <v>12150</v>
      </c>
      <c r="B5202" s="334" t="s">
        <v>35</v>
      </c>
      <c r="C5202" s="334" t="s">
        <v>328</v>
      </c>
      <c r="D5202" s="335" t="s">
        <v>37</v>
      </c>
      <c r="E5202" s="336">
        <v>43733</v>
      </c>
      <c r="F5202" s="336">
        <v>43731</v>
      </c>
      <c r="G5202" s="336">
        <v>43732</v>
      </c>
      <c r="H5202" s="334" t="s">
        <v>11768</v>
      </c>
      <c r="I5202" s="426">
        <v>13661540412</v>
      </c>
      <c r="J5202" s="334" t="s">
        <v>12151</v>
      </c>
      <c r="K5202" s="455">
        <v>5000</v>
      </c>
      <c r="L5202" s="334">
        <v>10654</v>
      </c>
      <c r="M5202" s="338"/>
      <c r="N5202" s="362">
        <f t="shared" si="174"/>
        <v>10654</v>
      </c>
      <c r="X5202" s="339"/>
    </row>
    <row r="5203" s="330" customFormat="1" ht="15" customHeight="1" spans="1:24">
      <c r="A5203" s="348">
        <v>2023272</v>
      </c>
      <c r="B5203" s="334" t="s">
        <v>94</v>
      </c>
      <c r="C5203" s="334" t="s">
        <v>101</v>
      </c>
      <c r="D5203" s="335" t="s">
        <v>49</v>
      </c>
      <c r="E5203" s="336">
        <v>43735</v>
      </c>
      <c r="F5203" s="336">
        <v>43731</v>
      </c>
      <c r="G5203" s="336">
        <v>43735</v>
      </c>
      <c r="H5203" s="334" t="s">
        <v>12152</v>
      </c>
      <c r="I5203" s="426">
        <v>13162258136</v>
      </c>
      <c r="J5203" s="334" t="s">
        <v>12153</v>
      </c>
      <c r="K5203" s="455">
        <v>8152</v>
      </c>
      <c r="L5203" s="334">
        <v>8152</v>
      </c>
      <c r="M5203" s="338"/>
      <c r="N5203" s="362">
        <f t="shared" si="174"/>
        <v>8152</v>
      </c>
      <c r="X5203" s="339"/>
    </row>
    <row r="5204" s="330" customFormat="1" ht="15" customHeight="1" spans="1:24">
      <c r="A5204" s="550" t="s">
        <v>12154</v>
      </c>
      <c r="B5204" s="348" t="s">
        <v>31</v>
      </c>
      <c r="C5204" s="334" t="s">
        <v>3186</v>
      </c>
      <c r="D5204" s="334" t="s">
        <v>954</v>
      </c>
      <c r="E5204" s="336">
        <v>43801</v>
      </c>
      <c r="F5204" s="336">
        <v>43730</v>
      </c>
      <c r="G5204" s="336">
        <v>43800</v>
      </c>
      <c r="H5204" s="334" t="s">
        <v>12155</v>
      </c>
      <c r="I5204" s="426">
        <v>13636344312</v>
      </c>
      <c r="J5204" s="334" t="s">
        <v>12156</v>
      </c>
      <c r="K5204" s="455">
        <v>1000</v>
      </c>
      <c r="L5204" s="334">
        <f>-1799+4658</f>
        <v>2859</v>
      </c>
      <c r="M5204" s="334">
        <v>1799</v>
      </c>
      <c r="N5204" s="362">
        <f t="shared" si="174"/>
        <v>4658</v>
      </c>
      <c r="X5204" s="339"/>
    </row>
    <row r="5205" s="330" customFormat="1" ht="15" customHeight="1" spans="1:24">
      <c r="A5205" s="348"/>
      <c r="B5205" s="334" t="s">
        <v>315</v>
      </c>
      <c r="C5205" s="334" t="s">
        <v>275</v>
      </c>
      <c r="D5205" s="335" t="s">
        <v>162</v>
      </c>
      <c r="E5205" s="336">
        <v>43731</v>
      </c>
      <c r="F5205" s="336">
        <v>43708</v>
      </c>
      <c r="G5205" s="399">
        <v>43708</v>
      </c>
      <c r="H5205" s="334" t="s">
        <v>1474</v>
      </c>
      <c r="I5205" s="426">
        <v>18221836653</v>
      </c>
      <c r="J5205" s="334" t="s">
        <v>12157</v>
      </c>
      <c r="K5205" s="455">
        <v>17120</v>
      </c>
      <c r="L5205" s="338"/>
      <c r="M5205" s="338"/>
      <c r="N5205" s="362">
        <f t="shared" si="174"/>
        <v>0</v>
      </c>
      <c r="X5205" s="339"/>
    </row>
    <row r="5206" s="330" customFormat="1" ht="15" customHeight="1" spans="1:24">
      <c r="A5206" s="348"/>
      <c r="B5206" s="334" t="s">
        <v>315</v>
      </c>
      <c r="C5206" s="334" t="s">
        <v>275</v>
      </c>
      <c r="D5206" s="335" t="s">
        <v>162</v>
      </c>
      <c r="E5206" s="336">
        <v>43731</v>
      </c>
      <c r="F5206" s="336">
        <v>43708</v>
      </c>
      <c r="G5206" s="399">
        <v>43708</v>
      </c>
      <c r="H5206" s="334" t="s">
        <v>12158</v>
      </c>
      <c r="I5206" s="558" t="s">
        <v>12159</v>
      </c>
      <c r="J5206" s="334" t="s">
        <v>12160</v>
      </c>
      <c r="K5206" s="455">
        <v>8967</v>
      </c>
      <c r="L5206" s="338"/>
      <c r="M5206" s="338"/>
      <c r="N5206" s="362">
        <f t="shared" si="174"/>
        <v>0</v>
      </c>
      <c r="X5206" s="339"/>
    </row>
    <row r="5207" s="330" customFormat="1" ht="15" customHeight="1" spans="1:24">
      <c r="A5207" s="550" t="s">
        <v>12161</v>
      </c>
      <c r="B5207" s="334" t="s">
        <v>31</v>
      </c>
      <c r="C5207" s="334" t="s">
        <v>220</v>
      </c>
      <c r="D5207" s="335" t="s">
        <v>221</v>
      </c>
      <c r="E5207" s="336">
        <v>43731</v>
      </c>
      <c r="F5207" s="336">
        <v>43731</v>
      </c>
      <c r="G5207" s="373" t="s">
        <v>1140</v>
      </c>
      <c r="H5207" s="334" t="s">
        <v>12162</v>
      </c>
      <c r="I5207" s="426">
        <v>13814806021</v>
      </c>
      <c r="J5207" s="334" t="s">
        <v>12163</v>
      </c>
      <c r="K5207" s="455">
        <v>10000</v>
      </c>
      <c r="L5207" s="338"/>
      <c r="M5207" s="338"/>
      <c r="N5207" s="362">
        <f t="shared" si="174"/>
        <v>0</v>
      </c>
      <c r="X5207" s="339"/>
    </row>
    <row r="5208" s="330" customFormat="1" ht="15" customHeight="1" spans="1:24">
      <c r="A5208" s="550" t="s">
        <v>12164</v>
      </c>
      <c r="B5208" s="334" t="s">
        <v>726</v>
      </c>
      <c r="C5208" s="334" t="s">
        <v>727</v>
      </c>
      <c r="D5208" s="334" t="s">
        <v>271</v>
      </c>
      <c r="E5208" s="336">
        <v>43737</v>
      </c>
      <c r="F5208" s="336">
        <v>43731</v>
      </c>
      <c r="G5208" s="336">
        <v>43735</v>
      </c>
      <c r="H5208" s="334" t="s">
        <v>12165</v>
      </c>
      <c r="I5208" s="426">
        <v>18019436211</v>
      </c>
      <c r="J5208" s="334" t="s">
        <v>12166</v>
      </c>
      <c r="K5208" s="455">
        <v>1000</v>
      </c>
      <c r="L5208" s="334">
        <v>18755</v>
      </c>
      <c r="M5208" s="334">
        <v>2010</v>
      </c>
      <c r="N5208" s="362">
        <f t="shared" si="174"/>
        <v>20765</v>
      </c>
      <c r="X5208" s="339"/>
    </row>
    <row r="5209" s="330" customFormat="1" ht="15" customHeight="1" spans="1:24">
      <c r="A5209" s="550" t="s">
        <v>12167</v>
      </c>
      <c r="B5209" s="334" t="s">
        <v>354</v>
      </c>
      <c r="C5209" s="334" t="s">
        <v>355</v>
      </c>
      <c r="D5209" s="334" t="s">
        <v>207</v>
      </c>
      <c r="E5209" s="336">
        <v>43737</v>
      </c>
      <c r="F5209" s="336">
        <v>43725</v>
      </c>
      <c r="G5209" s="336">
        <v>43737</v>
      </c>
      <c r="H5209" s="334" t="s">
        <v>12168</v>
      </c>
      <c r="I5209" s="426">
        <v>13301790997</v>
      </c>
      <c r="J5209" s="334" t="s">
        <v>12169</v>
      </c>
      <c r="K5209" s="455">
        <v>11000</v>
      </c>
      <c r="L5209" s="334">
        <v>11000</v>
      </c>
      <c r="M5209" s="338"/>
      <c r="N5209" s="362">
        <f t="shared" si="174"/>
        <v>11000</v>
      </c>
      <c r="X5209" s="339"/>
    </row>
    <row r="5210" s="330" customFormat="1" ht="15" customHeight="1" spans="1:24">
      <c r="A5210" s="334"/>
      <c r="B5210" s="334" t="s">
        <v>185</v>
      </c>
      <c r="C5210" s="334" t="s">
        <v>1620</v>
      </c>
      <c r="D5210" s="334" t="s">
        <v>44</v>
      </c>
      <c r="E5210" s="336">
        <v>43731</v>
      </c>
      <c r="F5210" s="336"/>
      <c r="G5210" s="336">
        <v>43730</v>
      </c>
      <c r="H5210" s="334" t="s">
        <v>6404</v>
      </c>
      <c r="I5210" s="334">
        <v>18018652508</v>
      </c>
      <c r="J5210" s="334" t="s">
        <v>12170</v>
      </c>
      <c r="K5210" s="337"/>
      <c r="L5210" s="334">
        <v>11198</v>
      </c>
      <c r="M5210" s="338"/>
      <c r="N5210" s="362">
        <f t="shared" si="174"/>
        <v>11198</v>
      </c>
      <c r="X5210" s="339"/>
    </row>
    <row r="5211" s="330" customFormat="1" ht="15" customHeight="1" spans="1:24">
      <c r="A5211" s="334"/>
      <c r="B5211" s="348" t="s">
        <v>4009</v>
      </c>
      <c r="C5211" s="334" t="s">
        <v>6401</v>
      </c>
      <c r="D5211" s="334" t="s">
        <v>1170</v>
      </c>
      <c r="E5211" s="336">
        <v>43731</v>
      </c>
      <c r="F5211" s="336"/>
      <c r="G5211" s="336">
        <v>43730</v>
      </c>
      <c r="H5211" s="334" t="s">
        <v>12171</v>
      </c>
      <c r="I5211" s="334">
        <v>18621360773</v>
      </c>
      <c r="J5211" s="334" t="s">
        <v>12172</v>
      </c>
      <c r="K5211" s="337"/>
      <c r="L5211" s="334">
        <v>9120</v>
      </c>
      <c r="M5211" s="338"/>
      <c r="N5211" s="362">
        <f t="shared" si="174"/>
        <v>9120</v>
      </c>
      <c r="X5211" s="339"/>
    </row>
    <row r="5212" s="330" customFormat="1" ht="15" customHeight="1" spans="1:24">
      <c r="A5212" s="334"/>
      <c r="B5212" s="334" t="s">
        <v>35</v>
      </c>
      <c r="C5212" s="334" t="s">
        <v>392</v>
      </c>
      <c r="D5212" s="334" t="s">
        <v>37</v>
      </c>
      <c r="E5212" s="336">
        <v>43731</v>
      </c>
      <c r="F5212" s="336"/>
      <c r="G5212" s="336">
        <v>43726</v>
      </c>
      <c r="H5212" s="334" t="s">
        <v>12173</v>
      </c>
      <c r="I5212" s="334">
        <v>13664611005</v>
      </c>
      <c r="J5212" s="334" t="s">
        <v>12174</v>
      </c>
      <c r="K5212" s="337"/>
      <c r="L5212" s="334">
        <f>12500-1140</f>
        <v>11360</v>
      </c>
      <c r="M5212" s="334">
        <v>1140</v>
      </c>
      <c r="N5212" s="362">
        <f t="shared" si="174"/>
        <v>12500</v>
      </c>
      <c r="X5212" s="339"/>
    </row>
    <row r="5213" s="330" customFormat="1" ht="15" customHeight="1" spans="1:24">
      <c r="A5213" s="334"/>
      <c r="B5213" s="348" t="s">
        <v>31</v>
      </c>
      <c r="C5213" s="348" t="s">
        <v>377</v>
      </c>
      <c r="D5213" s="334" t="s">
        <v>221</v>
      </c>
      <c r="E5213" s="336">
        <v>43731</v>
      </c>
      <c r="F5213" s="336" t="s">
        <v>800</v>
      </c>
      <c r="G5213" s="336">
        <v>43717</v>
      </c>
      <c r="H5213" s="334" t="s">
        <v>5098</v>
      </c>
      <c r="I5213" s="334" t="s">
        <v>12175</v>
      </c>
      <c r="J5213" s="334" t="s">
        <v>12176</v>
      </c>
      <c r="K5213" s="337"/>
      <c r="L5213" s="338"/>
      <c r="M5213" s="334">
        <v>6270</v>
      </c>
      <c r="N5213" s="362">
        <f t="shared" si="174"/>
        <v>6270</v>
      </c>
      <c r="X5213" s="339"/>
    </row>
    <row r="5214" s="330" customFormat="1" ht="15" customHeight="1" spans="1:24">
      <c r="A5214" s="334"/>
      <c r="B5214" s="348" t="s">
        <v>35</v>
      </c>
      <c r="C5214" s="348" t="s">
        <v>36</v>
      </c>
      <c r="D5214" s="334" t="s">
        <v>37</v>
      </c>
      <c r="E5214" s="336">
        <v>43731</v>
      </c>
      <c r="F5214" s="336" t="s">
        <v>800</v>
      </c>
      <c r="G5214" s="336">
        <v>43715</v>
      </c>
      <c r="H5214" s="334" t="s">
        <v>5926</v>
      </c>
      <c r="I5214" s="334">
        <v>17621530036</v>
      </c>
      <c r="J5214" s="334" t="s">
        <v>5927</v>
      </c>
      <c r="K5214" s="337"/>
      <c r="L5214" s="338"/>
      <c r="M5214" s="334">
        <v>-309</v>
      </c>
      <c r="N5214" s="362">
        <f t="shared" si="174"/>
        <v>-309</v>
      </c>
      <c r="X5214" s="339"/>
    </row>
    <row r="5215" s="330" customFormat="1" ht="15" customHeight="1" spans="1:24">
      <c r="A5215" s="334"/>
      <c r="B5215" s="348" t="s">
        <v>169</v>
      </c>
      <c r="C5215" s="348" t="s">
        <v>634</v>
      </c>
      <c r="D5215" s="352" t="s">
        <v>635</v>
      </c>
      <c r="E5215" s="336">
        <v>43731</v>
      </c>
      <c r="F5215" s="336" t="s">
        <v>800</v>
      </c>
      <c r="G5215" s="336">
        <v>43730</v>
      </c>
      <c r="H5215" s="334" t="s">
        <v>9497</v>
      </c>
      <c r="I5215" s="334">
        <v>13815878566</v>
      </c>
      <c r="J5215" s="334" t="s">
        <v>12177</v>
      </c>
      <c r="K5215" s="337"/>
      <c r="L5215" s="338"/>
      <c r="M5215" s="334">
        <f>14820</f>
        <v>14820</v>
      </c>
      <c r="N5215" s="362">
        <f t="shared" si="174"/>
        <v>14820</v>
      </c>
      <c r="X5215" s="339"/>
    </row>
    <row r="5216" s="330" customFormat="1" ht="15" customHeight="1" spans="1:24">
      <c r="A5216" s="334"/>
      <c r="B5216" s="348" t="s">
        <v>405</v>
      </c>
      <c r="C5216" s="348" t="s">
        <v>1234</v>
      </c>
      <c r="D5216" s="349" t="s">
        <v>407</v>
      </c>
      <c r="E5216" s="336">
        <v>43731</v>
      </c>
      <c r="F5216" s="336" t="s">
        <v>800</v>
      </c>
      <c r="G5216" s="336">
        <v>43721</v>
      </c>
      <c r="H5216" s="334" t="s">
        <v>2668</v>
      </c>
      <c r="I5216" s="444">
        <v>15921240238</v>
      </c>
      <c r="J5216" s="348" t="s">
        <v>2669</v>
      </c>
      <c r="K5216" s="337"/>
      <c r="L5216" s="338"/>
      <c r="M5216" s="334">
        <v>36527</v>
      </c>
      <c r="N5216" s="362">
        <f t="shared" si="174"/>
        <v>36527</v>
      </c>
      <c r="X5216" s="339"/>
    </row>
    <row r="5217" s="330" customFormat="1" ht="15" customHeight="1" spans="1:24">
      <c r="A5217" s="334"/>
      <c r="B5217" s="348" t="s">
        <v>185</v>
      </c>
      <c r="C5217" s="348" t="s">
        <v>4146</v>
      </c>
      <c r="D5217" s="334" t="s">
        <v>44</v>
      </c>
      <c r="E5217" s="336">
        <v>43731</v>
      </c>
      <c r="F5217" s="336" t="s">
        <v>800</v>
      </c>
      <c r="G5217" s="336">
        <v>43730</v>
      </c>
      <c r="H5217" s="334" t="s">
        <v>10186</v>
      </c>
      <c r="I5217" s="334">
        <v>13817603723</v>
      </c>
      <c r="J5217" s="334" t="s">
        <v>12178</v>
      </c>
      <c r="K5217" s="337"/>
      <c r="L5217" s="338"/>
      <c r="M5217" s="334">
        <v>12170</v>
      </c>
      <c r="N5217" s="362">
        <f t="shared" si="174"/>
        <v>12170</v>
      </c>
      <c r="X5217" s="339"/>
    </row>
    <row r="5218" s="330" customFormat="1" ht="15" customHeight="1" spans="1:24">
      <c r="A5218" s="334"/>
      <c r="B5218" s="348" t="s">
        <v>58</v>
      </c>
      <c r="C5218" s="348" t="s">
        <v>109</v>
      </c>
      <c r="D5218" s="352" t="s">
        <v>110</v>
      </c>
      <c r="E5218" s="336">
        <v>43731</v>
      </c>
      <c r="F5218" s="336" t="s">
        <v>800</v>
      </c>
      <c r="G5218" s="336">
        <v>43730</v>
      </c>
      <c r="H5218" s="334" t="s">
        <v>6098</v>
      </c>
      <c r="I5218" s="334">
        <v>13906778080</v>
      </c>
      <c r="J5218" s="334" t="s">
        <v>6099</v>
      </c>
      <c r="K5218" s="337"/>
      <c r="L5218" s="338"/>
      <c r="M5218" s="334">
        <v>350</v>
      </c>
      <c r="N5218" s="362">
        <f t="shared" si="174"/>
        <v>350</v>
      </c>
      <c r="X5218" s="339"/>
    </row>
    <row r="5219" s="330" customFormat="1" ht="15" customHeight="1" spans="1:24">
      <c r="A5219" s="334"/>
      <c r="B5219" s="348" t="s">
        <v>185</v>
      </c>
      <c r="C5219" s="348" t="s">
        <v>186</v>
      </c>
      <c r="D5219" s="349" t="s">
        <v>187</v>
      </c>
      <c r="E5219" s="336">
        <v>43731</v>
      </c>
      <c r="F5219" s="336" t="s">
        <v>800</v>
      </c>
      <c r="G5219" s="336">
        <v>43703</v>
      </c>
      <c r="H5219" s="334" t="s">
        <v>2463</v>
      </c>
      <c r="I5219" s="334">
        <v>13386284792</v>
      </c>
      <c r="J5219" s="334" t="s">
        <v>12179</v>
      </c>
      <c r="K5219" s="337"/>
      <c r="L5219" s="338"/>
      <c r="M5219" s="334">
        <v>-120</v>
      </c>
      <c r="N5219" s="362">
        <f t="shared" si="174"/>
        <v>-120</v>
      </c>
      <c r="X5219" s="339"/>
    </row>
    <row r="5220" s="330" customFormat="1" ht="15" customHeight="1" spans="1:24">
      <c r="A5220" s="334"/>
      <c r="B5220" s="348" t="s">
        <v>35</v>
      </c>
      <c r="C5220" s="348" t="s">
        <v>36</v>
      </c>
      <c r="D5220" s="334" t="s">
        <v>37</v>
      </c>
      <c r="E5220" s="336">
        <v>43731</v>
      </c>
      <c r="F5220" s="336" t="s">
        <v>800</v>
      </c>
      <c r="G5220" s="336">
        <v>43727</v>
      </c>
      <c r="H5220" s="334" t="s">
        <v>2998</v>
      </c>
      <c r="I5220" s="334">
        <v>13901858537</v>
      </c>
      <c r="J5220" s="334" t="s">
        <v>12180</v>
      </c>
      <c r="K5220" s="337"/>
      <c r="L5220" s="338"/>
      <c r="M5220" s="334">
        <f>-200+200</f>
        <v>0</v>
      </c>
      <c r="N5220" s="362">
        <f t="shared" si="174"/>
        <v>0</v>
      </c>
      <c r="X5220" s="339"/>
    </row>
    <row r="5221" s="330" customFormat="1" ht="15" customHeight="1" spans="1:24">
      <c r="A5221" s="334"/>
      <c r="B5221" s="334" t="s">
        <v>315</v>
      </c>
      <c r="C5221" s="334" t="s">
        <v>230</v>
      </c>
      <c r="D5221" s="334" t="s">
        <v>182</v>
      </c>
      <c r="E5221" s="336">
        <v>43731</v>
      </c>
      <c r="F5221" s="336" t="s">
        <v>800</v>
      </c>
      <c r="G5221" s="336">
        <v>43730</v>
      </c>
      <c r="H5221" s="334" t="s">
        <v>12181</v>
      </c>
      <c r="I5221" s="334">
        <v>13917223355</v>
      </c>
      <c r="J5221" s="334" t="s">
        <v>12182</v>
      </c>
      <c r="K5221" s="337"/>
      <c r="L5221" s="338"/>
      <c r="M5221" s="334">
        <v>5592</v>
      </c>
      <c r="N5221" s="362">
        <f t="shared" si="174"/>
        <v>5592</v>
      </c>
      <c r="X5221" s="339"/>
    </row>
    <row r="5222" s="330" customFormat="1" ht="15" customHeight="1" spans="1:24">
      <c r="A5222" s="334"/>
      <c r="B5222" s="334" t="s">
        <v>169</v>
      </c>
      <c r="C5222" s="334" t="s">
        <v>542</v>
      </c>
      <c r="D5222" s="334" t="s">
        <v>171</v>
      </c>
      <c r="E5222" s="336">
        <v>43731</v>
      </c>
      <c r="F5222" s="336" t="s">
        <v>800</v>
      </c>
      <c r="G5222" s="336">
        <v>43730</v>
      </c>
      <c r="H5222" s="334" t="s">
        <v>12183</v>
      </c>
      <c r="I5222" s="334">
        <v>13621875085</v>
      </c>
      <c r="J5222" s="334" t="s">
        <v>12184</v>
      </c>
      <c r="K5222" s="337"/>
      <c r="L5222" s="338"/>
      <c r="M5222" s="334">
        <v>1505</v>
      </c>
      <c r="N5222" s="362">
        <f t="shared" si="174"/>
        <v>1505</v>
      </c>
      <c r="X5222" s="339"/>
    </row>
    <row r="5223" s="330" customFormat="1" ht="15" customHeight="1" spans="1:24">
      <c r="A5223" s="550" t="s">
        <v>12185</v>
      </c>
      <c r="B5223" s="334" t="s">
        <v>35</v>
      </c>
      <c r="C5223" s="334" t="s">
        <v>328</v>
      </c>
      <c r="D5223" s="335" t="s">
        <v>37</v>
      </c>
      <c r="E5223" s="336">
        <v>43738</v>
      </c>
      <c r="F5223" s="336">
        <v>43731</v>
      </c>
      <c r="G5223" s="336">
        <v>43738</v>
      </c>
      <c r="H5223" s="334" t="s">
        <v>12186</v>
      </c>
      <c r="I5223" s="426" t="s">
        <v>12187</v>
      </c>
      <c r="J5223" s="334" t="s">
        <v>12188</v>
      </c>
      <c r="K5223" s="455">
        <v>15000</v>
      </c>
      <c r="L5223" s="334">
        <v>15000</v>
      </c>
      <c r="M5223" s="338"/>
      <c r="N5223" s="362">
        <f t="shared" ref="N5223:N5248" si="175">L5223+M5223</f>
        <v>15000</v>
      </c>
      <c r="X5223" s="339"/>
    </row>
    <row r="5224" s="330" customFormat="1" ht="15" customHeight="1" spans="1:24">
      <c r="A5224" s="550" t="s">
        <v>12189</v>
      </c>
      <c r="B5224" s="334" t="s">
        <v>35</v>
      </c>
      <c r="C5224" s="334" t="s">
        <v>392</v>
      </c>
      <c r="D5224" s="335" t="s">
        <v>37</v>
      </c>
      <c r="E5224" s="336">
        <v>43738</v>
      </c>
      <c r="F5224" s="336">
        <v>43731</v>
      </c>
      <c r="G5224" s="336">
        <v>43737</v>
      </c>
      <c r="H5224" s="334" t="s">
        <v>12190</v>
      </c>
      <c r="I5224" s="426">
        <v>13916766184</v>
      </c>
      <c r="J5224" s="334" t="s">
        <v>12191</v>
      </c>
      <c r="K5224" s="455">
        <v>5187</v>
      </c>
      <c r="L5224" s="334">
        <v>10975</v>
      </c>
      <c r="M5224" s="338"/>
      <c r="N5224" s="362">
        <f t="shared" si="175"/>
        <v>10975</v>
      </c>
      <c r="X5224" s="339"/>
    </row>
    <row r="5225" s="330" customFormat="1" ht="15" customHeight="1" spans="1:24">
      <c r="A5225" s="550" t="s">
        <v>12192</v>
      </c>
      <c r="B5225" s="334" t="s">
        <v>35</v>
      </c>
      <c r="C5225" s="334" t="s">
        <v>392</v>
      </c>
      <c r="D5225" s="335" t="s">
        <v>37</v>
      </c>
      <c r="E5225" s="336">
        <v>43743</v>
      </c>
      <c r="F5225" s="336">
        <v>43732</v>
      </c>
      <c r="G5225" s="336">
        <v>43740</v>
      </c>
      <c r="H5225" s="334" t="s">
        <v>12193</v>
      </c>
      <c r="I5225" s="426">
        <v>15618582219</v>
      </c>
      <c r="J5225" s="334" t="s">
        <v>12194</v>
      </c>
      <c r="K5225" s="455">
        <v>4798</v>
      </c>
      <c r="L5225" s="334">
        <f>5584-536</f>
        <v>5048</v>
      </c>
      <c r="M5225" s="334">
        <v>536</v>
      </c>
      <c r="N5225" s="362">
        <f t="shared" si="175"/>
        <v>5584</v>
      </c>
      <c r="X5225" s="339"/>
    </row>
    <row r="5226" s="330" customFormat="1" ht="15" customHeight="1" spans="1:24">
      <c r="A5226" s="550" t="s">
        <v>12195</v>
      </c>
      <c r="B5226" s="334" t="s">
        <v>805</v>
      </c>
      <c r="C5226" s="334" t="s">
        <v>4935</v>
      </c>
      <c r="D5226" s="334" t="s">
        <v>171</v>
      </c>
      <c r="E5226" s="336">
        <v>43778</v>
      </c>
      <c r="F5226" s="336">
        <v>43732</v>
      </c>
      <c r="G5226" s="336">
        <v>43777</v>
      </c>
      <c r="H5226" s="334" t="s">
        <v>12196</v>
      </c>
      <c r="I5226" s="426">
        <v>15121111803</v>
      </c>
      <c r="J5226" s="334" t="s">
        <v>12197</v>
      </c>
      <c r="K5226" s="455">
        <v>5000</v>
      </c>
      <c r="L5226" s="334">
        <v>9400</v>
      </c>
      <c r="M5226" s="338"/>
      <c r="N5226" s="362">
        <f t="shared" si="175"/>
        <v>9400</v>
      </c>
      <c r="X5226" s="339"/>
    </row>
    <row r="5227" s="330" customFormat="1" ht="15" customHeight="1" spans="1:24">
      <c r="A5227" s="348"/>
      <c r="B5227" s="334" t="s">
        <v>42</v>
      </c>
      <c r="C5227" s="334" t="s">
        <v>43</v>
      </c>
      <c r="D5227" s="335" t="s">
        <v>125</v>
      </c>
      <c r="E5227" s="336">
        <v>43735</v>
      </c>
      <c r="F5227" s="336">
        <v>43732</v>
      </c>
      <c r="G5227" s="336">
        <v>43735</v>
      </c>
      <c r="H5227" s="334" t="s">
        <v>12198</v>
      </c>
      <c r="I5227" s="426">
        <v>1668228839</v>
      </c>
      <c r="J5227" s="334" t="s">
        <v>12199</v>
      </c>
      <c r="K5227" s="455">
        <v>20287</v>
      </c>
      <c r="L5227" s="334">
        <f>11298+8852</f>
        <v>20150</v>
      </c>
      <c r="M5227" s="338"/>
      <c r="N5227" s="362">
        <f t="shared" si="175"/>
        <v>20150</v>
      </c>
      <c r="X5227" s="339"/>
    </row>
    <row r="5228" s="330" customFormat="1" ht="15" customHeight="1" spans="1:24">
      <c r="A5228" s="550" t="s">
        <v>12200</v>
      </c>
      <c r="B5228" s="334" t="s">
        <v>31</v>
      </c>
      <c r="C5228" s="334" t="s">
        <v>251</v>
      </c>
      <c r="D5228" s="334" t="s">
        <v>221</v>
      </c>
      <c r="E5228" s="336">
        <v>43737</v>
      </c>
      <c r="F5228" s="336">
        <v>43732</v>
      </c>
      <c r="G5228" s="336">
        <v>43737</v>
      </c>
      <c r="H5228" s="334" t="s">
        <v>12201</v>
      </c>
      <c r="I5228" s="426">
        <v>18221799204</v>
      </c>
      <c r="J5228" s="334" t="s">
        <v>12202</v>
      </c>
      <c r="K5228" s="455">
        <v>10000</v>
      </c>
      <c r="L5228" s="334">
        <v>10000</v>
      </c>
      <c r="M5228" s="334">
        <v>15500</v>
      </c>
      <c r="N5228" s="362">
        <f t="shared" si="175"/>
        <v>25500</v>
      </c>
      <c r="X5228" s="339"/>
    </row>
    <row r="5229" s="330" customFormat="1" ht="15" customHeight="1" spans="1:24">
      <c r="A5229" s="348"/>
      <c r="B5229" s="334" t="s">
        <v>315</v>
      </c>
      <c r="C5229" s="334" t="s">
        <v>230</v>
      </c>
      <c r="D5229" s="334" t="s">
        <v>182</v>
      </c>
      <c r="E5229" s="336">
        <v>43732</v>
      </c>
      <c r="F5229" s="336">
        <v>43727</v>
      </c>
      <c r="G5229" s="399">
        <v>43732</v>
      </c>
      <c r="H5229" s="334" t="s">
        <v>12203</v>
      </c>
      <c r="I5229" s="426">
        <v>13764083417</v>
      </c>
      <c r="J5229" s="334" t="s">
        <v>12204</v>
      </c>
      <c r="K5229" s="455">
        <v>14239</v>
      </c>
      <c r="L5229" s="334">
        <v>14239</v>
      </c>
      <c r="M5229" s="338"/>
      <c r="N5229" s="362">
        <f t="shared" si="175"/>
        <v>14239</v>
      </c>
      <c r="X5229" s="339"/>
    </row>
    <row r="5230" s="330" customFormat="1" ht="15" customHeight="1" spans="1:24">
      <c r="A5230" s="550" t="s">
        <v>12205</v>
      </c>
      <c r="B5230" s="334" t="s">
        <v>137</v>
      </c>
      <c r="C5230" s="334" t="s">
        <v>861</v>
      </c>
      <c r="D5230" s="335" t="s">
        <v>427</v>
      </c>
      <c r="E5230" s="336">
        <v>43732</v>
      </c>
      <c r="F5230" s="336">
        <v>43730</v>
      </c>
      <c r="G5230" s="399"/>
      <c r="H5230" s="334" t="s">
        <v>12206</v>
      </c>
      <c r="I5230" s="426">
        <v>13764746905</v>
      </c>
      <c r="J5230" s="334" t="s">
        <v>12207</v>
      </c>
      <c r="K5230" s="455">
        <v>1000</v>
      </c>
      <c r="L5230" s="338"/>
      <c r="M5230" s="338"/>
      <c r="N5230" s="362">
        <f t="shared" si="175"/>
        <v>0</v>
      </c>
      <c r="T5230" s="330">
        <v>1</v>
      </c>
      <c r="U5230" s="385" t="s">
        <v>52</v>
      </c>
      <c r="X5230" s="339"/>
    </row>
    <row r="5231" s="330" customFormat="1" ht="15" customHeight="1" spans="1:24">
      <c r="A5231" s="348">
        <v>2023529</v>
      </c>
      <c r="B5231" s="334" t="s">
        <v>185</v>
      </c>
      <c r="C5231" s="334" t="s">
        <v>886</v>
      </c>
      <c r="D5231" s="335" t="s">
        <v>187</v>
      </c>
      <c r="E5231" s="336">
        <v>43738</v>
      </c>
      <c r="F5231" s="336">
        <v>43674</v>
      </c>
      <c r="G5231" s="336">
        <v>43738</v>
      </c>
      <c r="H5231" s="334" t="s">
        <v>12208</v>
      </c>
      <c r="I5231" s="444">
        <v>15900629849</v>
      </c>
      <c r="J5231" s="348" t="s">
        <v>6717</v>
      </c>
      <c r="K5231" s="455">
        <v>20000</v>
      </c>
      <c r="L5231" s="334">
        <v>21000</v>
      </c>
      <c r="M5231" s="338"/>
      <c r="N5231" s="362">
        <f t="shared" si="175"/>
        <v>21000</v>
      </c>
      <c r="X5231" s="339"/>
    </row>
    <row r="5232" s="330" customFormat="1" ht="15" customHeight="1" spans="1:24">
      <c r="A5232" s="348"/>
      <c r="B5232" s="348" t="s">
        <v>169</v>
      </c>
      <c r="C5232" s="334" t="s">
        <v>634</v>
      </c>
      <c r="D5232" s="335" t="s">
        <v>635</v>
      </c>
      <c r="E5232" s="336">
        <v>43737</v>
      </c>
      <c r="F5232" s="336">
        <v>43732</v>
      </c>
      <c r="G5232" s="336">
        <v>43737</v>
      </c>
      <c r="H5232" s="334" t="s">
        <v>12209</v>
      </c>
      <c r="I5232" s="426">
        <v>13918329570</v>
      </c>
      <c r="J5232" s="334" t="s">
        <v>12210</v>
      </c>
      <c r="K5232" s="455">
        <v>8000</v>
      </c>
      <c r="L5232" s="334">
        <f>10174-1104</f>
        <v>9070</v>
      </c>
      <c r="M5232" s="334">
        <v>1104</v>
      </c>
      <c r="N5232" s="362">
        <f t="shared" si="175"/>
        <v>10174</v>
      </c>
      <c r="X5232" s="339"/>
    </row>
    <row r="5233" s="330" customFormat="1" ht="15" customHeight="1" spans="1:24">
      <c r="A5233" s="348"/>
      <c r="B5233" s="334" t="s">
        <v>35</v>
      </c>
      <c r="C5233" s="334" t="s">
        <v>36</v>
      </c>
      <c r="D5233" s="335" t="s">
        <v>37</v>
      </c>
      <c r="E5233" s="336">
        <v>43821</v>
      </c>
      <c r="F5233" s="336">
        <v>43732</v>
      </c>
      <c r="G5233" s="336">
        <v>43820</v>
      </c>
      <c r="H5233" s="334" t="s">
        <v>7601</v>
      </c>
      <c r="I5233" s="426">
        <v>18221073249</v>
      </c>
      <c r="J5233" s="334" t="s">
        <v>12211</v>
      </c>
      <c r="K5233" s="455">
        <v>5000</v>
      </c>
      <c r="L5233" s="334">
        <v>22000</v>
      </c>
      <c r="M5233" s="338"/>
      <c r="N5233" s="362">
        <f t="shared" si="175"/>
        <v>22000</v>
      </c>
      <c r="O5233" s="356" t="s">
        <v>52</v>
      </c>
      <c r="X5233" s="339"/>
    </row>
    <row r="5234" s="330" customFormat="1" ht="15" customHeight="1" spans="1:24">
      <c r="A5234" s="334"/>
      <c r="B5234" s="334" t="s">
        <v>31</v>
      </c>
      <c r="C5234" s="334" t="s">
        <v>2716</v>
      </c>
      <c r="D5234" s="334" t="s">
        <v>635</v>
      </c>
      <c r="E5234" s="336">
        <v>43732</v>
      </c>
      <c r="F5234" s="336"/>
      <c r="G5234" s="336">
        <v>43731</v>
      </c>
      <c r="H5234" s="334" t="s">
        <v>12212</v>
      </c>
      <c r="I5234" s="334">
        <v>16616736009</v>
      </c>
      <c r="J5234" s="334" t="s">
        <v>12213</v>
      </c>
      <c r="K5234" s="337"/>
      <c r="L5234" s="334">
        <v>37183</v>
      </c>
      <c r="M5234" s="338"/>
      <c r="N5234" s="362">
        <f t="shared" si="175"/>
        <v>37183</v>
      </c>
      <c r="X5234" s="339"/>
    </row>
    <row r="5235" s="330" customFormat="1" ht="15" customHeight="1" spans="1:24">
      <c r="A5235" s="334"/>
      <c r="B5235" s="348" t="s">
        <v>4009</v>
      </c>
      <c r="C5235" s="334" t="s">
        <v>6401</v>
      </c>
      <c r="D5235" s="334" t="s">
        <v>1170</v>
      </c>
      <c r="E5235" s="336">
        <v>43732</v>
      </c>
      <c r="F5235" s="336"/>
      <c r="G5235" s="336">
        <v>43732</v>
      </c>
      <c r="H5235" s="334" t="s">
        <v>12214</v>
      </c>
      <c r="I5235" s="334">
        <v>18101959630</v>
      </c>
      <c r="J5235" s="334" t="s">
        <v>12215</v>
      </c>
      <c r="K5235" s="337"/>
      <c r="L5235" s="334">
        <v>4490</v>
      </c>
      <c r="M5235" s="338"/>
      <c r="N5235" s="362">
        <f t="shared" si="175"/>
        <v>4490</v>
      </c>
      <c r="X5235" s="339"/>
    </row>
    <row r="5236" s="330" customFormat="1" ht="15" customHeight="1" spans="1:24">
      <c r="A5236" s="334"/>
      <c r="B5236" s="334" t="s">
        <v>35</v>
      </c>
      <c r="C5236" s="334" t="s">
        <v>392</v>
      </c>
      <c r="D5236" s="334" t="s">
        <v>37</v>
      </c>
      <c r="E5236" s="336">
        <v>43732</v>
      </c>
      <c r="F5236" s="336"/>
      <c r="G5236" s="336">
        <v>43732</v>
      </c>
      <c r="H5236" s="334" t="s">
        <v>12216</v>
      </c>
      <c r="I5236" s="334">
        <v>18930520567</v>
      </c>
      <c r="J5236" s="334" t="s">
        <v>12217</v>
      </c>
      <c r="K5236" s="337"/>
      <c r="L5236" s="334">
        <v>34000</v>
      </c>
      <c r="M5236" s="338"/>
      <c r="N5236" s="362">
        <f t="shared" si="175"/>
        <v>34000</v>
      </c>
      <c r="X5236" s="339"/>
    </row>
    <row r="5237" s="330" customFormat="1" ht="15" customHeight="1" spans="1:24">
      <c r="A5237" s="334"/>
      <c r="B5237" s="334" t="s">
        <v>315</v>
      </c>
      <c r="C5237" s="334" t="s">
        <v>275</v>
      </c>
      <c r="D5237" s="334" t="s">
        <v>162</v>
      </c>
      <c r="E5237" s="336">
        <v>43732</v>
      </c>
      <c r="F5237" s="336"/>
      <c r="G5237" s="336">
        <v>43732</v>
      </c>
      <c r="H5237" s="334" t="s">
        <v>12218</v>
      </c>
      <c r="I5237" s="334">
        <v>18601686166</v>
      </c>
      <c r="J5237" s="334" t="s">
        <v>12219</v>
      </c>
      <c r="K5237" s="337"/>
      <c r="L5237" s="334">
        <v>2981</v>
      </c>
      <c r="M5237" s="338"/>
      <c r="N5237" s="362">
        <f t="shared" si="175"/>
        <v>2981</v>
      </c>
      <c r="X5237" s="339"/>
    </row>
    <row r="5238" s="330" customFormat="1" ht="15" customHeight="1" spans="1:24">
      <c r="A5238" s="334"/>
      <c r="B5238" s="334" t="s">
        <v>335</v>
      </c>
      <c r="C5238" s="334" t="s">
        <v>615</v>
      </c>
      <c r="D5238" s="334" t="s">
        <v>337</v>
      </c>
      <c r="E5238" s="336">
        <v>43732</v>
      </c>
      <c r="F5238" s="336"/>
      <c r="G5238" s="336">
        <v>43732</v>
      </c>
      <c r="H5238" s="334" t="s">
        <v>12220</v>
      </c>
      <c r="I5238" s="334">
        <v>13564684189</v>
      </c>
      <c r="J5238" s="334" t="s">
        <v>12221</v>
      </c>
      <c r="K5238" s="337"/>
      <c r="L5238" s="334">
        <v>19046</v>
      </c>
      <c r="M5238" s="338"/>
      <c r="N5238" s="362">
        <f t="shared" si="175"/>
        <v>19046</v>
      </c>
      <c r="X5238" s="339"/>
    </row>
    <row r="5239" s="330" customFormat="1" ht="15" customHeight="1" spans="1:24">
      <c r="A5239" s="334"/>
      <c r="B5239" s="334" t="s">
        <v>315</v>
      </c>
      <c r="C5239" s="334" t="s">
        <v>722</v>
      </c>
      <c r="D5239" s="334" t="s">
        <v>717</v>
      </c>
      <c r="E5239" s="336">
        <v>43732</v>
      </c>
      <c r="F5239" s="336" t="s">
        <v>800</v>
      </c>
      <c r="G5239" s="336">
        <v>43721</v>
      </c>
      <c r="H5239" s="334" t="s">
        <v>11291</v>
      </c>
      <c r="I5239" s="334">
        <v>13956351072</v>
      </c>
      <c r="J5239" s="334" t="s">
        <v>11292</v>
      </c>
      <c r="K5239" s="337"/>
      <c r="L5239" s="338"/>
      <c r="M5239" s="334">
        <v>6817</v>
      </c>
      <c r="N5239" s="362">
        <f t="shared" si="175"/>
        <v>6817</v>
      </c>
      <c r="X5239" s="339"/>
    </row>
    <row r="5240" s="330" customFormat="1" ht="15" customHeight="1" spans="1:24">
      <c r="A5240" s="334"/>
      <c r="B5240" s="348" t="s">
        <v>205</v>
      </c>
      <c r="C5240" s="348" t="s">
        <v>1467</v>
      </c>
      <c r="D5240" s="334" t="s">
        <v>407</v>
      </c>
      <c r="E5240" s="336">
        <v>43732</v>
      </c>
      <c r="F5240" s="336" t="s">
        <v>800</v>
      </c>
      <c r="G5240" s="336">
        <v>43731</v>
      </c>
      <c r="H5240" s="334" t="s">
        <v>5075</v>
      </c>
      <c r="I5240" s="334">
        <v>15931516009</v>
      </c>
      <c r="J5240" s="334" t="s">
        <v>12222</v>
      </c>
      <c r="K5240" s="337"/>
      <c r="L5240" s="338"/>
      <c r="M5240" s="334">
        <v>13534</v>
      </c>
      <c r="N5240" s="362">
        <f t="shared" si="175"/>
        <v>13534</v>
      </c>
      <c r="X5240" s="339"/>
    </row>
    <row r="5241" s="330" customFormat="1" ht="15" customHeight="1" spans="1:24">
      <c r="A5241" s="334"/>
      <c r="B5241" s="348" t="s">
        <v>2625</v>
      </c>
      <c r="C5241" s="348" t="s">
        <v>2626</v>
      </c>
      <c r="D5241" s="349" t="s">
        <v>44</v>
      </c>
      <c r="E5241" s="336">
        <v>43732</v>
      </c>
      <c r="F5241" s="336" t="s">
        <v>800</v>
      </c>
      <c r="G5241" s="336">
        <v>43732</v>
      </c>
      <c r="H5241" s="334" t="s">
        <v>3977</v>
      </c>
      <c r="I5241" s="334">
        <v>18018533488</v>
      </c>
      <c r="J5241" s="334" t="s">
        <v>3978</v>
      </c>
      <c r="K5241" s="337"/>
      <c r="L5241" s="338"/>
      <c r="M5241" s="334">
        <v>102</v>
      </c>
      <c r="N5241" s="362">
        <f t="shared" si="175"/>
        <v>102</v>
      </c>
      <c r="X5241" s="339"/>
    </row>
    <row r="5242" s="330" customFormat="1" ht="15" customHeight="1" spans="1:24">
      <c r="A5242" s="334"/>
      <c r="B5242" s="334" t="s">
        <v>94</v>
      </c>
      <c r="C5242" s="334" t="s">
        <v>101</v>
      </c>
      <c r="D5242" s="335" t="s">
        <v>49</v>
      </c>
      <c r="E5242" s="336">
        <v>43732</v>
      </c>
      <c r="F5242" s="336" t="s">
        <v>800</v>
      </c>
      <c r="G5242" s="336">
        <v>43730</v>
      </c>
      <c r="H5242" s="334" t="s">
        <v>12223</v>
      </c>
      <c r="I5242" s="334">
        <v>15800922376</v>
      </c>
      <c r="J5242" s="334" t="s">
        <v>12224</v>
      </c>
      <c r="K5242" s="337"/>
      <c r="L5242" s="338"/>
      <c r="M5242" s="334">
        <v>2350</v>
      </c>
      <c r="N5242" s="362">
        <f t="shared" si="175"/>
        <v>2350</v>
      </c>
      <c r="X5242" s="339"/>
    </row>
    <row r="5243" s="330" customFormat="1" ht="15" customHeight="1" spans="1:24">
      <c r="A5243" s="334"/>
      <c r="B5243" s="334" t="s">
        <v>137</v>
      </c>
      <c r="C5243" s="334" t="s">
        <v>411</v>
      </c>
      <c r="D5243" s="334" t="s">
        <v>427</v>
      </c>
      <c r="E5243" s="336">
        <v>43732</v>
      </c>
      <c r="F5243" s="336" t="s">
        <v>800</v>
      </c>
      <c r="G5243" s="336">
        <v>43732</v>
      </c>
      <c r="H5243" s="334" t="s">
        <v>12225</v>
      </c>
      <c r="I5243" s="334">
        <v>13701805816</v>
      </c>
      <c r="J5243" s="334" t="s">
        <v>12226</v>
      </c>
      <c r="K5243" s="337"/>
      <c r="L5243" s="338"/>
      <c r="M5243" s="334">
        <v>600</v>
      </c>
      <c r="N5243" s="362">
        <f t="shared" si="175"/>
        <v>600</v>
      </c>
      <c r="X5243" s="339"/>
    </row>
    <row r="5244" s="330" customFormat="1" ht="15" customHeight="1" spans="1:24">
      <c r="A5244" s="334"/>
      <c r="B5244" s="348" t="s">
        <v>137</v>
      </c>
      <c r="C5244" s="348" t="s">
        <v>2705</v>
      </c>
      <c r="D5244" s="334" t="s">
        <v>191</v>
      </c>
      <c r="E5244" s="336">
        <v>43732</v>
      </c>
      <c r="F5244" s="336" t="s">
        <v>800</v>
      </c>
      <c r="G5244" s="336">
        <v>43732</v>
      </c>
      <c r="H5244" s="334" t="s">
        <v>2873</v>
      </c>
      <c r="I5244" s="334">
        <v>13524689529</v>
      </c>
      <c r="J5244" s="334" t="s">
        <v>12227</v>
      </c>
      <c r="K5244" s="337"/>
      <c r="L5244" s="338"/>
      <c r="M5244" s="334">
        <v>50</v>
      </c>
      <c r="N5244" s="362">
        <f t="shared" si="175"/>
        <v>50</v>
      </c>
      <c r="X5244" s="339"/>
    </row>
    <row r="5245" s="330" customFormat="1" ht="15" customHeight="1" spans="1:24">
      <c r="A5245" s="334"/>
      <c r="B5245" s="334" t="s">
        <v>73</v>
      </c>
      <c r="C5245" s="334" t="s">
        <v>74</v>
      </c>
      <c r="D5245" s="334" t="s">
        <v>132</v>
      </c>
      <c r="E5245" s="336">
        <v>43732</v>
      </c>
      <c r="F5245" s="336" t="s">
        <v>800</v>
      </c>
      <c r="G5245" s="336">
        <v>43732</v>
      </c>
      <c r="H5245" s="334" t="s">
        <v>2260</v>
      </c>
      <c r="I5245" s="334">
        <v>13671619399</v>
      </c>
      <c r="J5245" s="334" t="s">
        <v>12075</v>
      </c>
      <c r="K5245" s="337"/>
      <c r="L5245" s="338"/>
      <c r="M5245" s="334">
        <v>-2105</v>
      </c>
      <c r="N5245" s="362">
        <f t="shared" si="175"/>
        <v>-2105</v>
      </c>
      <c r="X5245" s="339"/>
    </row>
    <row r="5246" s="330" customFormat="1" ht="15" customHeight="1" spans="1:24">
      <c r="A5246" s="550" t="s">
        <v>4771</v>
      </c>
      <c r="B5246" s="334" t="s">
        <v>31</v>
      </c>
      <c r="C5246" s="334" t="s">
        <v>251</v>
      </c>
      <c r="D5246" s="335" t="s">
        <v>33</v>
      </c>
      <c r="E5246" s="336">
        <v>43733</v>
      </c>
      <c r="F5246" s="336">
        <v>43716</v>
      </c>
      <c r="G5246" s="399"/>
      <c r="H5246" s="334" t="s">
        <v>739</v>
      </c>
      <c r="I5246" s="426">
        <v>17821095902</v>
      </c>
      <c r="J5246" s="334" t="s">
        <v>12228</v>
      </c>
      <c r="K5246" s="455">
        <v>1000</v>
      </c>
      <c r="L5246" s="338"/>
      <c r="M5246" s="338"/>
      <c r="N5246" s="362">
        <f t="shared" si="175"/>
        <v>0</v>
      </c>
      <c r="P5246" s="385" t="s">
        <v>52</v>
      </c>
      <c r="X5246" s="339"/>
    </row>
    <row r="5247" s="330" customFormat="1" ht="15" customHeight="1" spans="1:24">
      <c r="A5247" s="550" t="s">
        <v>12229</v>
      </c>
      <c r="B5247" s="334" t="s">
        <v>31</v>
      </c>
      <c r="C5247" s="334" t="s">
        <v>377</v>
      </c>
      <c r="D5247" s="334" t="s">
        <v>33</v>
      </c>
      <c r="E5247" s="336">
        <v>43799</v>
      </c>
      <c r="F5247" s="336">
        <v>43720</v>
      </c>
      <c r="G5247" s="336">
        <v>43798</v>
      </c>
      <c r="H5247" s="334" t="s">
        <v>12230</v>
      </c>
      <c r="I5247" s="426">
        <v>1122172303</v>
      </c>
      <c r="J5247" s="334" t="s">
        <v>12231</v>
      </c>
      <c r="K5247" s="455">
        <v>1000</v>
      </c>
      <c r="L5247" s="334">
        <v>18597</v>
      </c>
      <c r="M5247" s="338"/>
      <c r="N5247" s="362">
        <f t="shared" si="175"/>
        <v>18597</v>
      </c>
      <c r="X5247" s="339"/>
    </row>
    <row r="5248" s="330" customFormat="1" ht="15" customHeight="1" spans="1:24">
      <c r="A5248" s="348"/>
      <c r="B5248" s="348" t="s">
        <v>315</v>
      </c>
      <c r="C5248" s="348" t="s">
        <v>161</v>
      </c>
      <c r="D5248" s="335" t="s">
        <v>162</v>
      </c>
      <c r="E5248" s="336">
        <v>43737</v>
      </c>
      <c r="F5248" s="336">
        <v>43721</v>
      </c>
      <c r="G5248" s="336">
        <v>43737</v>
      </c>
      <c r="H5248" s="334" t="s">
        <v>12232</v>
      </c>
      <c r="I5248" s="356">
        <v>17701740369</v>
      </c>
      <c r="J5248" s="348" t="s">
        <v>12233</v>
      </c>
      <c r="K5248" s="356">
        <v>10000</v>
      </c>
      <c r="L5248" s="334">
        <v>9708</v>
      </c>
      <c r="M5248" s="338"/>
      <c r="N5248" s="362">
        <f t="shared" si="175"/>
        <v>9708</v>
      </c>
      <c r="X5248" s="339"/>
    </row>
    <row r="5249" s="330" customFormat="1" ht="15" customHeight="1" spans="1:24">
      <c r="A5249" s="550" t="s">
        <v>12234</v>
      </c>
      <c r="B5249" s="334" t="s">
        <v>31</v>
      </c>
      <c r="C5249" s="334" t="s">
        <v>220</v>
      </c>
      <c r="D5249" s="334" t="s">
        <v>33</v>
      </c>
      <c r="E5249" s="336">
        <v>43745</v>
      </c>
      <c r="F5249" s="336">
        <v>43723</v>
      </c>
      <c r="G5249" s="336">
        <v>43745</v>
      </c>
      <c r="H5249" s="334" t="s">
        <v>12235</v>
      </c>
      <c r="I5249" s="426">
        <v>18221986687</v>
      </c>
      <c r="J5249" s="334" t="s">
        <v>12236</v>
      </c>
      <c r="K5249" s="455">
        <v>1000</v>
      </c>
      <c r="L5249" s="334">
        <v>9996</v>
      </c>
      <c r="M5249" s="338"/>
      <c r="N5249" s="362">
        <f t="shared" ref="N5249:N5286" si="176">L5249+M5249</f>
        <v>9996</v>
      </c>
      <c r="X5249" s="339"/>
    </row>
    <row r="5250" s="330" customFormat="1" ht="15" customHeight="1" spans="1:24">
      <c r="A5250" s="550" t="s">
        <v>2388</v>
      </c>
      <c r="B5250" s="334" t="s">
        <v>137</v>
      </c>
      <c r="C5250" s="334" t="s">
        <v>406</v>
      </c>
      <c r="D5250" s="335" t="s">
        <v>443</v>
      </c>
      <c r="E5250" s="336">
        <v>43733</v>
      </c>
      <c r="F5250" s="336">
        <v>43723</v>
      </c>
      <c r="G5250" s="399" t="s">
        <v>231</v>
      </c>
      <c r="H5250" s="334" t="s">
        <v>12237</v>
      </c>
      <c r="I5250" s="426">
        <v>17710586382</v>
      </c>
      <c r="J5250" s="334" t="s">
        <v>12238</v>
      </c>
      <c r="K5250" s="455">
        <v>3000</v>
      </c>
      <c r="L5250" s="338"/>
      <c r="M5250" s="338"/>
      <c r="N5250" s="362">
        <f t="shared" si="176"/>
        <v>0</v>
      </c>
      <c r="T5250" s="330">
        <v>1</v>
      </c>
      <c r="X5250" s="339"/>
    </row>
    <row r="5251" s="330" customFormat="1" ht="15" customHeight="1" spans="1:24">
      <c r="A5251" s="550" t="s">
        <v>12239</v>
      </c>
      <c r="B5251" s="334" t="s">
        <v>31</v>
      </c>
      <c r="C5251" s="334" t="s">
        <v>377</v>
      </c>
      <c r="D5251" s="334" t="s">
        <v>954</v>
      </c>
      <c r="E5251" s="336">
        <v>43745</v>
      </c>
      <c r="F5251" s="336">
        <v>43726</v>
      </c>
      <c r="G5251" s="336">
        <v>43745</v>
      </c>
      <c r="H5251" s="334" t="s">
        <v>12240</v>
      </c>
      <c r="I5251" s="426">
        <v>13818938422</v>
      </c>
      <c r="J5251" s="334" t="s">
        <v>12241</v>
      </c>
      <c r="K5251" s="455">
        <v>1000</v>
      </c>
      <c r="L5251" s="334">
        <v>14800</v>
      </c>
      <c r="M5251" s="338"/>
      <c r="N5251" s="362">
        <f t="shared" si="176"/>
        <v>14800</v>
      </c>
      <c r="X5251" s="339"/>
    </row>
    <row r="5252" s="330" customFormat="1" ht="15" customHeight="1" spans="1:24">
      <c r="A5252" s="348"/>
      <c r="B5252" s="334" t="s">
        <v>137</v>
      </c>
      <c r="C5252" s="334" t="s">
        <v>861</v>
      </c>
      <c r="D5252" s="335" t="s">
        <v>427</v>
      </c>
      <c r="E5252" s="336">
        <v>43734</v>
      </c>
      <c r="F5252" s="336">
        <v>43726</v>
      </c>
      <c r="G5252" s="336">
        <v>43726</v>
      </c>
      <c r="H5252" s="334" t="s">
        <v>12242</v>
      </c>
      <c r="I5252" s="426">
        <v>13818093040</v>
      </c>
      <c r="J5252" s="334" t="s">
        <v>12243</v>
      </c>
      <c r="K5252" s="455">
        <v>120000</v>
      </c>
      <c r="L5252" s="334">
        <v>120000</v>
      </c>
      <c r="M5252" s="338"/>
      <c r="N5252" s="362">
        <f t="shared" si="176"/>
        <v>120000</v>
      </c>
      <c r="X5252" s="339"/>
    </row>
    <row r="5253" s="330" customFormat="1" ht="15" customHeight="1" spans="1:24">
      <c r="A5253" s="550" t="s">
        <v>12244</v>
      </c>
      <c r="B5253" s="334" t="s">
        <v>137</v>
      </c>
      <c r="C5253" s="334" t="s">
        <v>411</v>
      </c>
      <c r="D5253" s="334" t="s">
        <v>2381</v>
      </c>
      <c r="E5253" s="336">
        <v>43790</v>
      </c>
      <c r="F5253" s="336">
        <v>43729</v>
      </c>
      <c r="G5253" s="336">
        <v>43790</v>
      </c>
      <c r="H5253" s="334" t="s">
        <v>12245</v>
      </c>
      <c r="I5253" s="426">
        <v>13901709588</v>
      </c>
      <c r="J5253" s="334" t="s">
        <v>12246</v>
      </c>
      <c r="K5253" s="455">
        <v>1000</v>
      </c>
      <c r="L5253" s="334">
        <v>6929</v>
      </c>
      <c r="M5253" s="338"/>
      <c r="N5253" s="362">
        <f t="shared" si="176"/>
        <v>6929</v>
      </c>
      <c r="P5253" s="330">
        <v>1</v>
      </c>
      <c r="X5253" s="339"/>
    </row>
    <row r="5254" s="330" customFormat="1" ht="15" customHeight="1" spans="1:24">
      <c r="A5254" s="550" t="s">
        <v>12247</v>
      </c>
      <c r="B5254" s="334" t="s">
        <v>137</v>
      </c>
      <c r="C5254" s="334" t="s">
        <v>411</v>
      </c>
      <c r="D5254" s="334" t="s">
        <v>443</v>
      </c>
      <c r="E5254" s="336">
        <v>43792</v>
      </c>
      <c r="F5254" s="336">
        <v>43729</v>
      </c>
      <c r="G5254" s="336">
        <v>43792</v>
      </c>
      <c r="H5254" s="334" t="s">
        <v>12248</v>
      </c>
      <c r="I5254" s="426">
        <v>13917369205</v>
      </c>
      <c r="J5254" s="334" t="s">
        <v>12249</v>
      </c>
      <c r="K5254" s="455">
        <v>1000</v>
      </c>
      <c r="L5254" s="334">
        <v>7506</v>
      </c>
      <c r="M5254" s="338"/>
      <c r="N5254" s="362">
        <f t="shared" si="176"/>
        <v>7506</v>
      </c>
      <c r="P5254" s="330">
        <v>1</v>
      </c>
      <c r="X5254" s="339"/>
    </row>
    <row r="5255" s="330" customFormat="1" ht="15" customHeight="1" spans="1:24">
      <c r="A5255" s="348">
        <v>2068685</v>
      </c>
      <c r="B5255" s="334" t="s">
        <v>137</v>
      </c>
      <c r="C5255" s="334" t="s">
        <v>411</v>
      </c>
      <c r="D5255" s="335" t="s">
        <v>427</v>
      </c>
      <c r="E5255" s="336">
        <v>43733</v>
      </c>
      <c r="F5255" s="336">
        <v>43729</v>
      </c>
      <c r="G5255" s="399"/>
      <c r="H5255" s="334" t="s">
        <v>12250</v>
      </c>
      <c r="I5255" s="426">
        <v>13816454123</v>
      </c>
      <c r="J5255" s="334" t="s">
        <v>12251</v>
      </c>
      <c r="K5255" s="455">
        <v>1000</v>
      </c>
      <c r="L5255" s="338"/>
      <c r="M5255" s="338"/>
      <c r="N5255" s="362">
        <f t="shared" si="176"/>
        <v>0</v>
      </c>
      <c r="O5255" s="353" t="s">
        <v>12252</v>
      </c>
      <c r="X5255" s="339"/>
    </row>
    <row r="5256" s="330" customFormat="1" ht="15" customHeight="1" spans="1:24">
      <c r="A5256" s="550" t="s">
        <v>12253</v>
      </c>
      <c r="B5256" s="334" t="s">
        <v>137</v>
      </c>
      <c r="C5256" s="334" t="s">
        <v>411</v>
      </c>
      <c r="D5256" s="334" t="s">
        <v>171</v>
      </c>
      <c r="E5256" s="336">
        <v>43751</v>
      </c>
      <c r="F5256" s="336">
        <v>43729</v>
      </c>
      <c r="G5256" s="336">
        <v>43750</v>
      </c>
      <c r="H5256" s="334" t="s">
        <v>12254</v>
      </c>
      <c r="I5256" s="426">
        <v>15221908725</v>
      </c>
      <c r="J5256" s="334" t="s">
        <v>12255</v>
      </c>
      <c r="K5256" s="455">
        <v>1000</v>
      </c>
      <c r="L5256" s="334">
        <v>11136</v>
      </c>
      <c r="M5256" s="338"/>
      <c r="N5256" s="362">
        <f t="shared" si="176"/>
        <v>11136</v>
      </c>
      <c r="X5256" s="339"/>
    </row>
    <row r="5257" s="330" customFormat="1" ht="15" customHeight="1" spans="1:24">
      <c r="A5257" s="550" t="s">
        <v>1250</v>
      </c>
      <c r="B5257" s="334" t="s">
        <v>137</v>
      </c>
      <c r="C5257" s="334" t="s">
        <v>411</v>
      </c>
      <c r="D5257" s="335" t="s">
        <v>427</v>
      </c>
      <c r="E5257" s="336">
        <v>43733</v>
      </c>
      <c r="F5257" s="336">
        <v>43729</v>
      </c>
      <c r="G5257" s="399"/>
      <c r="H5257" s="334" t="s">
        <v>12256</v>
      </c>
      <c r="I5257" s="426">
        <v>15618859717</v>
      </c>
      <c r="J5257" s="334" t="s">
        <v>12257</v>
      </c>
      <c r="K5257" s="455">
        <v>1000</v>
      </c>
      <c r="L5257" s="338"/>
      <c r="M5257" s="338"/>
      <c r="N5257" s="362">
        <f t="shared" si="176"/>
        <v>0</v>
      </c>
      <c r="O5257" s="330">
        <v>1</v>
      </c>
      <c r="U5257" s="376" t="s">
        <v>12</v>
      </c>
      <c r="X5257" s="339"/>
    </row>
    <row r="5258" s="330" customFormat="1" ht="15" customHeight="1" spans="1:24">
      <c r="A5258" s="348"/>
      <c r="B5258" s="334" t="s">
        <v>35</v>
      </c>
      <c r="C5258" s="334" t="s">
        <v>392</v>
      </c>
      <c r="D5258" s="335" t="s">
        <v>37</v>
      </c>
      <c r="E5258" s="336">
        <v>43733</v>
      </c>
      <c r="F5258" s="336">
        <v>43731</v>
      </c>
      <c r="G5258" s="399" t="s">
        <v>69</v>
      </c>
      <c r="H5258" s="334" t="s">
        <v>12258</v>
      </c>
      <c r="I5258" s="426">
        <v>18121004798</v>
      </c>
      <c r="J5258" s="334" t="s">
        <v>12259</v>
      </c>
      <c r="K5258" s="455">
        <v>1000</v>
      </c>
      <c r="L5258" s="338"/>
      <c r="M5258" s="338"/>
      <c r="N5258" s="362">
        <f t="shared" si="176"/>
        <v>0</v>
      </c>
      <c r="X5258" s="339"/>
    </row>
    <row r="5259" s="330" customFormat="1" ht="15" customHeight="1" spans="1:24">
      <c r="A5259" s="348"/>
      <c r="B5259" s="348" t="s">
        <v>58</v>
      </c>
      <c r="C5259" s="334" t="s">
        <v>109</v>
      </c>
      <c r="D5259" s="334" t="s">
        <v>271</v>
      </c>
      <c r="E5259" s="336">
        <v>43747</v>
      </c>
      <c r="F5259" s="336">
        <v>43733</v>
      </c>
      <c r="G5259" s="336">
        <v>43746</v>
      </c>
      <c r="H5259" s="334" t="s">
        <v>12260</v>
      </c>
      <c r="I5259" s="426">
        <v>18616998403</v>
      </c>
      <c r="J5259" s="334" t="s">
        <v>12261</v>
      </c>
      <c r="K5259" s="455">
        <v>1000</v>
      </c>
      <c r="L5259" s="334">
        <v>6080</v>
      </c>
      <c r="M5259" s="338"/>
      <c r="N5259" s="362">
        <f t="shared" si="176"/>
        <v>6080</v>
      </c>
      <c r="X5259" s="339"/>
    </row>
    <row r="5260" s="330" customFormat="1" ht="15" customHeight="1" spans="1:24">
      <c r="A5260" s="550" t="s">
        <v>12262</v>
      </c>
      <c r="B5260" s="334" t="s">
        <v>185</v>
      </c>
      <c r="C5260" s="334" t="s">
        <v>4146</v>
      </c>
      <c r="D5260" s="335" t="s">
        <v>187</v>
      </c>
      <c r="E5260" s="336">
        <v>43737</v>
      </c>
      <c r="F5260" s="336">
        <v>43731</v>
      </c>
      <c r="G5260" s="336">
        <v>43735</v>
      </c>
      <c r="H5260" s="334" t="s">
        <v>12263</v>
      </c>
      <c r="I5260" s="426">
        <v>15221714565</v>
      </c>
      <c r="J5260" s="334" t="s">
        <v>12264</v>
      </c>
      <c r="K5260" s="455">
        <v>1599</v>
      </c>
      <c r="L5260" s="334">
        <v>5108</v>
      </c>
      <c r="M5260" s="338"/>
      <c r="N5260" s="362">
        <f t="shared" si="176"/>
        <v>5108</v>
      </c>
      <c r="X5260" s="339"/>
    </row>
    <row r="5261" s="330" customFormat="1" ht="15" customHeight="1" spans="1:24">
      <c r="A5261" s="550" t="s">
        <v>1619</v>
      </c>
      <c r="B5261" s="348" t="s">
        <v>58</v>
      </c>
      <c r="C5261" s="334" t="s">
        <v>59</v>
      </c>
      <c r="D5261" s="335" t="s">
        <v>271</v>
      </c>
      <c r="E5261" s="336">
        <v>43737</v>
      </c>
      <c r="F5261" s="336">
        <v>43732</v>
      </c>
      <c r="G5261" s="336">
        <v>43737</v>
      </c>
      <c r="H5261" s="334" t="s">
        <v>12265</v>
      </c>
      <c r="I5261" s="426">
        <v>13601996392</v>
      </c>
      <c r="J5261" s="334" t="s">
        <v>12266</v>
      </c>
      <c r="K5261" s="455">
        <v>11300</v>
      </c>
      <c r="L5261" s="334">
        <v>11300</v>
      </c>
      <c r="M5261" s="338"/>
      <c r="N5261" s="362">
        <f t="shared" si="176"/>
        <v>11300</v>
      </c>
      <c r="X5261" s="339"/>
    </row>
    <row r="5262" s="330" customFormat="1" ht="15" customHeight="1" spans="1:24">
      <c r="A5262" s="348">
        <v>2022538</v>
      </c>
      <c r="B5262" s="334" t="s">
        <v>73</v>
      </c>
      <c r="C5262" s="334" t="s">
        <v>74</v>
      </c>
      <c r="D5262" s="334" t="s">
        <v>75</v>
      </c>
      <c r="E5262" s="336">
        <v>43738</v>
      </c>
      <c r="F5262" s="336">
        <v>43732</v>
      </c>
      <c r="G5262" s="336">
        <v>43738</v>
      </c>
      <c r="H5262" s="334" t="s">
        <v>12267</v>
      </c>
      <c r="I5262" s="426">
        <v>13901857572</v>
      </c>
      <c r="J5262" s="334" t="s">
        <v>12268</v>
      </c>
      <c r="K5262" s="455">
        <v>1000</v>
      </c>
      <c r="L5262" s="334">
        <v>25953</v>
      </c>
      <c r="M5262" s="338"/>
      <c r="N5262" s="362">
        <f t="shared" si="176"/>
        <v>25953</v>
      </c>
      <c r="X5262" s="339"/>
    </row>
    <row r="5263" s="330" customFormat="1" ht="15" customHeight="1" spans="1:24">
      <c r="A5263" s="550" t="s">
        <v>2033</v>
      </c>
      <c r="B5263" s="334" t="s">
        <v>73</v>
      </c>
      <c r="C5263" s="334" t="s">
        <v>74</v>
      </c>
      <c r="D5263" s="334" t="s">
        <v>132</v>
      </c>
      <c r="E5263" s="336">
        <v>43799</v>
      </c>
      <c r="F5263" s="336">
        <v>43732</v>
      </c>
      <c r="G5263" s="336">
        <v>43799</v>
      </c>
      <c r="H5263" s="334" t="s">
        <v>7646</v>
      </c>
      <c r="I5263" s="426">
        <v>13901953777</v>
      </c>
      <c r="J5263" s="334" t="s">
        <v>12269</v>
      </c>
      <c r="K5263" s="455">
        <v>1000</v>
      </c>
      <c r="L5263" s="334">
        <v>22197</v>
      </c>
      <c r="M5263" s="338"/>
      <c r="N5263" s="362">
        <f t="shared" si="176"/>
        <v>22197</v>
      </c>
      <c r="O5263" s="366" t="s">
        <v>52</v>
      </c>
      <c r="X5263" s="339"/>
    </row>
    <row r="5264" s="330" customFormat="1" ht="15" customHeight="1" spans="1:24">
      <c r="A5264" s="348"/>
      <c r="B5264" s="334" t="s">
        <v>123</v>
      </c>
      <c r="C5264" s="334" t="s">
        <v>902</v>
      </c>
      <c r="D5264" s="335" t="s">
        <v>125</v>
      </c>
      <c r="E5264" s="336">
        <v>43810</v>
      </c>
      <c r="F5264" s="336">
        <v>43733</v>
      </c>
      <c r="G5264" s="336">
        <v>43810</v>
      </c>
      <c r="H5264" s="334" t="s">
        <v>12270</v>
      </c>
      <c r="I5264" s="426">
        <v>13795259827</v>
      </c>
      <c r="J5264" s="334" t="s">
        <v>12271</v>
      </c>
      <c r="K5264" s="455">
        <v>1000</v>
      </c>
      <c r="L5264" s="334">
        <v>1000</v>
      </c>
      <c r="M5264" s="334">
        <v>8000</v>
      </c>
      <c r="N5264" s="362">
        <f t="shared" si="176"/>
        <v>9000</v>
      </c>
      <c r="T5264" s="486" t="s">
        <v>52</v>
      </c>
      <c r="X5264" s="339"/>
    </row>
    <row r="5265" s="330" customFormat="1" ht="15" customHeight="1" spans="1:24">
      <c r="A5265" s="348"/>
      <c r="B5265" s="334" t="s">
        <v>5336</v>
      </c>
      <c r="C5265" s="334" t="s">
        <v>5336</v>
      </c>
      <c r="D5265" s="334" t="s">
        <v>8334</v>
      </c>
      <c r="E5265" s="336">
        <v>43762</v>
      </c>
      <c r="F5265" s="336">
        <v>43733</v>
      </c>
      <c r="G5265" s="336">
        <v>43762</v>
      </c>
      <c r="H5265" s="334" t="s">
        <v>3267</v>
      </c>
      <c r="I5265" s="426">
        <v>13916786201</v>
      </c>
      <c r="J5265" s="334" t="s">
        <v>12272</v>
      </c>
      <c r="K5265" s="455">
        <v>4618</v>
      </c>
      <c r="L5265" s="334">
        <v>4626</v>
      </c>
      <c r="M5265" s="338"/>
      <c r="N5265" s="362">
        <f t="shared" si="176"/>
        <v>4626</v>
      </c>
      <c r="X5265" s="339"/>
    </row>
    <row r="5266" s="330" customFormat="1" ht="15" customHeight="1" spans="1:24">
      <c r="A5266" s="348"/>
      <c r="B5266" s="334" t="s">
        <v>5336</v>
      </c>
      <c r="C5266" s="334" t="s">
        <v>5336</v>
      </c>
      <c r="D5266" s="334" t="s">
        <v>8334</v>
      </c>
      <c r="E5266" s="336">
        <v>43782</v>
      </c>
      <c r="F5266" s="336">
        <v>43733</v>
      </c>
      <c r="G5266" s="336">
        <v>43781</v>
      </c>
      <c r="H5266" s="334" t="s">
        <v>12273</v>
      </c>
      <c r="I5266" s="426">
        <v>13917520854</v>
      </c>
      <c r="J5266" s="334" t="s">
        <v>12274</v>
      </c>
      <c r="K5266" s="455">
        <v>7022</v>
      </c>
      <c r="L5266" s="334">
        <v>6722</v>
      </c>
      <c r="M5266" s="338"/>
      <c r="N5266" s="362">
        <f t="shared" si="176"/>
        <v>6722</v>
      </c>
      <c r="X5266" s="339"/>
    </row>
    <row r="5267" s="330" customFormat="1" ht="15" customHeight="1" spans="1:24">
      <c r="A5267" s="348"/>
      <c r="B5267" s="334" t="s">
        <v>58</v>
      </c>
      <c r="C5267" s="334" t="s">
        <v>794</v>
      </c>
      <c r="D5267" s="334" t="s">
        <v>271</v>
      </c>
      <c r="E5267" s="336">
        <v>43733</v>
      </c>
      <c r="F5267" s="336">
        <v>43731</v>
      </c>
      <c r="G5267" s="399">
        <v>43732</v>
      </c>
      <c r="H5267" s="334" t="s">
        <v>12275</v>
      </c>
      <c r="I5267" s="426">
        <v>13681986575</v>
      </c>
      <c r="J5267" s="334" t="s">
        <v>12276</v>
      </c>
      <c r="K5267" s="455">
        <v>999</v>
      </c>
      <c r="L5267" s="334">
        <v>2100</v>
      </c>
      <c r="M5267" s="338"/>
      <c r="N5267" s="362">
        <f t="shared" si="176"/>
        <v>2100</v>
      </c>
      <c r="X5267" s="339"/>
    </row>
    <row r="5268" s="330" customFormat="1" ht="15" customHeight="1" spans="1:24">
      <c r="A5268" s="348"/>
      <c r="B5268" s="334" t="s">
        <v>66</v>
      </c>
      <c r="C5268" s="334" t="s">
        <v>1749</v>
      </c>
      <c r="D5268" s="335" t="s">
        <v>68</v>
      </c>
      <c r="E5268" s="336">
        <v>43762</v>
      </c>
      <c r="F5268" s="336">
        <v>43733</v>
      </c>
      <c r="G5268" s="336">
        <v>43759</v>
      </c>
      <c r="H5268" s="334" t="s">
        <v>12277</v>
      </c>
      <c r="I5268" s="426">
        <v>13917214202</v>
      </c>
      <c r="J5268" s="334" t="s">
        <v>12278</v>
      </c>
      <c r="K5268" s="455">
        <v>1000</v>
      </c>
      <c r="L5268" s="334">
        <v>7423</v>
      </c>
      <c r="M5268" s="338"/>
      <c r="N5268" s="362">
        <f t="shared" si="176"/>
        <v>7423</v>
      </c>
      <c r="X5268" s="339"/>
    </row>
    <row r="5269" s="330" customFormat="1" ht="15" customHeight="1" spans="1:24">
      <c r="A5269" s="348"/>
      <c r="B5269" s="334" t="s">
        <v>5336</v>
      </c>
      <c r="C5269" s="334" t="s">
        <v>5336</v>
      </c>
      <c r="D5269" s="334" t="s">
        <v>44</v>
      </c>
      <c r="E5269" s="336">
        <v>43736</v>
      </c>
      <c r="F5269" s="336">
        <v>43733</v>
      </c>
      <c r="G5269" s="336">
        <v>43735</v>
      </c>
      <c r="H5269" s="334" t="s">
        <v>12279</v>
      </c>
      <c r="I5269" s="426">
        <v>13918104218</v>
      </c>
      <c r="J5269" s="334" t="s">
        <v>12280</v>
      </c>
      <c r="K5269" s="455">
        <v>4659</v>
      </c>
      <c r="L5269" s="334">
        <v>4659</v>
      </c>
      <c r="M5269" s="338"/>
      <c r="N5269" s="362">
        <f t="shared" si="176"/>
        <v>4659</v>
      </c>
      <c r="X5269" s="339"/>
    </row>
    <row r="5270" s="330" customFormat="1" ht="15" customHeight="1" spans="1:24">
      <c r="A5270" s="550" t="s">
        <v>12281</v>
      </c>
      <c r="B5270" s="334" t="s">
        <v>726</v>
      </c>
      <c r="C5270" s="334" t="s">
        <v>727</v>
      </c>
      <c r="D5270" s="425" t="s">
        <v>271</v>
      </c>
      <c r="E5270" s="424">
        <v>43737</v>
      </c>
      <c r="F5270" s="336">
        <v>43730</v>
      </c>
      <c r="G5270" s="424">
        <v>43737</v>
      </c>
      <c r="H5270" s="334" t="s">
        <v>12282</v>
      </c>
      <c r="I5270" s="426">
        <v>18516013173</v>
      </c>
      <c r="J5270" s="334" t="s">
        <v>12283</v>
      </c>
      <c r="K5270" s="455">
        <v>14685</v>
      </c>
      <c r="L5270" s="425">
        <v>14645</v>
      </c>
      <c r="M5270" s="338"/>
      <c r="N5270" s="362">
        <f t="shared" si="176"/>
        <v>14645</v>
      </c>
      <c r="X5270" s="339"/>
    </row>
    <row r="5271" s="330" customFormat="1" ht="15" customHeight="1" spans="1:24">
      <c r="A5271" s="550" t="s">
        <v>9271</v>
      </c>
      <c r="B5271" s="348" t="s">
        <v>185</v>
      </c>
      <c r="C5271" s="334" t="s">
        <v>1620</v>
      </c>
      <c r="D5271" s="335" t="s">
        <v>44</v>
      </c>
      <c r="E5271" s="336">
        <v>43743</v>
      </c>
      <c r="F5271" s="336">
        <v>43733</v>
      </c>
      <c r="G5271" s="336">
        <v>43742</v>
      </c>
      <c r="H5271" s="334" t="s">
        <v>12284</v>
      </c>
      <c r="I5271" s="426">
        <v>13524731911</v>
      </c>
      <c r="J5271" s="334" t="s">
        <v>12285</v>
      </c>
      <c r="K5271" s="455">
        <v>10000</v>
      </c>
      <c r="L5271" s="334">
        <v>11400</v>
      </c>
      <c r="M5271" s="338"/>
      <c r="N5271" s="362">
        <f t="shared" si="176"/>
        <v>11400</v>
      </c>
      <c r="X5271" s="339"/>
    </row>
    <row r="5272" s="330" customFormat="1" ht="15" customHeight="1" spans="1:24">
      <c r="A5272" s="348"/>
      <c r="B5272" s="334" t="s">
        <v>315</v>
      </c>
      <c r="C5272" s="334" t="s">
        <v>366</v>
      </c>
      <c r="D5272" s="334" t="s">
        <v>132</v>
      </c>
      <c r="E5272" s="336">
        <v>43733</v>
      </c>
      <c r="F5272" s="336">
        <v>43732</v>
      </c>
      <c r="G5272" s="399">
        <v>43732</v>
      </c>
      <c r="H5272" s="334" t="s">
        <v>12286</v>
      </c>
      <c r="I5272" s="334">
        <v>18616765478</v>
      </c>
      <c r="J5272" s="334" t="s">
        <v>12287</v>
      </c>
      <c r="K5272" s="455">
        <v>1000</v>
      </c>
      <c r="L5272" s="334">
        <v>10102</v>
      </c>
      <c r="M5272" s="338"/>
      <c r="N5272" s="362">
        <f t="shared" si="176"/>
        <v>10102</v>
      </c>
      <c r="X5272" s="339"/>
    </row>
    <row r="5273" s="330" customFormat="1" ht="15" customHeight="1" spans="1:24">
      <c r="A5273" s="348">
        <v>2022277</v>
      </c>
      <c r="B5273" s="334" t="s">
        <v>243</v>
      </c>
      <c r="C5273" s="334" t="s">
        <v>304</v>
      </c>
      <c r="D5273" s="335" t="s">
        <v>49</v>
      </c>
      <c r="E5273" s="424">
        <v>43737</v>
      </c>
      <c r="F5273" s="336">
        <v>43730</v>
      </c>
      <c r="G5273" s="424">
        <v>43736</v>
      </c>
      <c r="H5273" s="334" t="s">
        <v>12288</v>
      </c>
      <c r="I5273" s="426">
        <v>13381680582</v>
      </c>
      <c r="J5273" s="425" t="s">
        <v>12289</v>
      </c>
      <c r="K5273" s="455">
        <v>1000</v>
      </c>
      <c r="L5273" s="425">
        <f>19600-1840</f>
        <v>17760</v>
      </c>
      <c r="M5273" s="425">
        <v>1840</v>
      </c>
      <c r="N5273" s="362">
        <f t="shared" si="176"/>
        <v>19600</v>
      </c>
      <c r="X5273" s="339"/>
    </row>
    <row r="5274" s="330" customFormat="1" ht="15" customHeight="1" spans="1:24">
      <c r="A5274" s="348"/>
      <c r="B5274" s="334" t="s">
        <v>123</v>
      </c>
      <c r="C5274" s="334" t="s">
        <v>32</v>
      </c>
      <c r="D5274" s="335" t="s">
        <v>125</v>
      </c>
      <c r="E5274" s="336">
        <v>43738</v>
      </c>
      <c r="F5274" s="336">
        <v>43730</v>
      </c>
      <c r="G5274" s="336">
        <v>43738</v>
      </c>
      <c r="H5274" s="334" t="s">
        <v>12290</v>
      </c>
      <c r="I5274" s="426">
        <v>18621299166</v>
      </c>
      <c r="J5274" s="334" t="s">
        <v>12291</v>
      </c>
      <c r="K5274" s="455">
        <v>1000</v>
      </c>
      <c r="L5274" s="334">
        <v>4887</v>
      </c>
      <c r="M5274" s="338"/>
      <c r="N5274" s="362">
        <f t="shared" si="176"/>
        <v>4887</v>
      </c>
      <c r="X5274" s="339"/>
    </row>
    <row r="5275" s="330" customFormat="1" ht="15" customHeight="1" spans="1:24">
      <c r="A5275" s="550" t="s">
        <v>3673</v>
      </c>
      <c r="B5275" s="348" t="s">
        <v>147</v>
      </c>
      <c r="C5275" s="348" t="s">
        <v>148</v>
      </c>
      <c r="D5275" s="334" t="s">
        <v>1170</v>
      </c>
      <c r="E5275" s="336">
        <v>43733</v>
      </c>
      <c r="F5275" s="336">
        <v>43732</v>
      </c>
      <c r="G5275" s="399">
        <v>43732</v>
      </c>
      <c r="H5275" s="334" t="s">
        <v>12292</v>
      </c>
      <c r="I5275" s="444">
        <v>13651858127</v>
      </c>
      <c r="J5275" s="334" t="s">
        <v>12293</v>
      </c>
      <c r="K5275" s="455">
        <v>17558</v>
      </c>
      <c r="L5275" s="334">
        <v>17511</v>
      </c>
      <c r="M5275" s="338"/>
      <c r="N5275" s="362">
        <f t="shared" si="176"/>
        <v>17511</v>
      </c>
      <c r="X5275" s="339"/>
    </row>
    <row r="5276" s="330" customFormat="1" ht="15" customHeight="1" spans="1:24">
      <c r="A5276" s="334"/>
      <c r="B5276" s="334" t="s">
        <v>137</v>
      </c>
      <c r="C5276" s="334" t="s">
        <v>861</v>
      </c>
      <c r="D5276" s="334" t="s">
        <v>443</v>
      </c>
      <c r="E5276" s="336">
        <v>43733</v>
      </c>
      <c r="F5276" s="336"/>
      <c r="G5276" s="336">
        <v>43730</v>
      </c>
      <c r="H5276" s="334" t="s">
        <v>1349</v>
      </c>
      <c r="I5276" s="334">
        <v>18018569346</v>
      </c>
      <c r="J5276" s="334" t="s">
        <v>12294</v>
      </c>
      <c r="K5276" s="337"/>
      <c r="L5276" s="334">
        <v>5000</v>
      </c>
      <c r="M5276" s="338"/>
      <c r="N5276" s="362">
        <f t="shared" si="176"/>
        <v>5000</v>
      </c>
      <c r="X5276" s="339"/>
    </row>
    <row r="5277" s="330" customFormat="1" ht="15" customHeight="1" spans="1:24">
      <c r="A5277" s="334"/>
      <c r="B5277" s="348" t="s">
        <v>35</v>
      </c>
      <c r="C5277" s="348" t="s">
        <v>392</v>
      </c>
      <c r="D5277" s="352" t="s">
        <v>37</v>
      </c>
      <c r="E5277" s="336">
        <v>43733</v>
      </c>
      <c r="F5277" s="336" t="s">
        <v>800</v>
      </c>
      <c r="G5277" s="336">
        <v>43732</v>
      </c>
      <c r="H5277" s="334" t="s">
        <v>8637</v>
      </c>
      <c r="I5277" s="334">
        <v>13048503309</v>
      </c>
      <c r="J5277" s="334" t="s">
        <v>8638</v>
      </c>
      <c r="K5277" s="337"/>
      <c r="L5277" s="338"/>
      <c r="M5277" s="334">
        <v>693</v>
      </c>
      <c r="N5277" s="362">
        <f t="shared" si="176"/>
        <v>693</v>
      </c>
      <c r="X5277" s="339"/>
    </row>
    <row r="5278" s="330" customFormat="1" ht="15" customHeight="1" spans="1:24">
      <c r="A5278" s="334"/>
      <c r="B5278" s="334" t="s">
        <v>73</v>
      </c>
      <c r="C5278" s="334" t="s">
        <v>74</v>
      </c>
      <c r="D5278" s="334" t="s">
        <v>143</v>
      </c>
      <c r="E5278" s="336">
        <v>43733</v>
      </c>
      <c r="F5278" s="336" t="s">
        <v>800</v>
      </c>
      <c r="G5278" s="336">
        <v>43732</v>
      </c>
      <c r="H5278" s="334" t="s">
        <v>12295</v>
      </c>
      <c r="I5278" s="444">
        <v>18964555910</v>
      </c>
      <c r="J5278" s="334" t="s">
        <v>12296</v>
      </c>
      <c r="K5278" s="337"/>
      <c r="L5278" s="338"/>
      <c r="M5278" s="334">
        <v>495</v>
      </c>
      <c r="N5278" s="362">
        <f t="shared" si="176"/>
        <v>495</v>
      </c>
      <c r="X5278" s="339"/>
    </row>
    <row r="5279" s="330" customFormat="1" ht="15" customHeight="1" spans="1:24">
      <c r="A5279" s="334"/>
      <c r="B5279" s="348" t="s">
        <v>42</v>
      </c>
      <c r="C5279" s="348" t="s">
        <v>43</v>
      </c>
      <c r="D5279" s="352" t="s">
        <v>125</v>
      </c>
      <c r="E5279" s="336">
        <v>43733</v>
      </c>
      <c r="F5279" s="336" t="s">
        <v>800</v>
      </c>
      <c r="G5279" s="336">
        <v>43732</v>
      </c>
      <c r="H5279" s="334" t="s">
        <v>6505</v>
      </c>
      <c r="I5279" s="444">
        <v>13901835290</v>
      </c>
      <c r="J5279" s="348" t="s">
        <v>6506</v>
      </c>
      <c r="K5279" s="337"/>
      <c r="L5279" s="338"/>
      <c r="M5279" s="334">
        <v>-336</v>
      </c>
      <c r="N5279" s="362">
        <f t="shared" si="176"/>
        <v>-336</v>
      </c>
      <c r="X5279" s="339"/>
    </row>
    <row r="5280" s="330" customFormat="1" ht="15" customHeight="1" spans="1:24">
      <c r="A5280" s="334"/>
      <c r="B5280" s="348" t="s">
        <v>73</v>
      </c>
      <c r="C5280" s="334" t="s">
        <v>178</v>
      </c>
      <c r="D5280" s="349" t="s">
        <v>44</v>
      </c>
      <c r="E5280" s="336">
        <v>43733</v>
      </c>
      <c r="F5280" s="336" t="s">
        <v>800</v>
      </c>
      <c r="G5280" s="336">
        <v>43732</v>
      </c>
      <c r="H5280" s="334" t="s">
        <v>4566</v>
      </c>
      <c r="I5280" s="334">
        <v>13816973547</v>
      </c>
      <c r="J5280" s="334" t="s">
        <v>4567</v>
      </c>
      <c r="K5280" s="337"/>
      <c r="L5280" s="338"/>
      <c r="M5280" s="334">
        <f>883+883</f>
        <v>1766</v>
      </c>
      <c r="N5280" s="362">
        <f t="shared" si="176"/>
        <v>1766</v>
      </c>
      <c r="X5280" s="339"/>
    </row>
    <row r="5281" s="330" customFormat="1" ht="15" customHeight="1" spans="1:24">
      <c r="A5281" s="334"/>
      <c r="B5281" s="348" t="s">
        <v>315</v>
      </c>
      <c r="C5281" s="348" t="s">
        <v>366</v>
      </c>
      <c r="D5281" s="352" t="s">
        <v>132</v>
      </c>
      <c r="E5281" s="336">
        <v>43733</v>
      </c>
      <c r="F5281" s="336" t="s">
        <v>800</v>
      </c>
      <c r="G5281" s="336">
        <v>43732</v>
      </c>
      <c r="H5281" s="334" t="s">
        <v>7299</v>
      </c>
      <c r="I5281" s="334">
        <v>18721960791</v>
      </c>
      <c r="J5281" s="334" t="s">
        <v>12297</v>
      </c>
      <c r="K5281" s="337"/>
      <c r="L5281" s="338"/>
      <c r="M5281" s="334">
        <v>5150</v>
      </c>
      <c r="N5281" s="362">
        <f t="shared" si="176"/>
        <v>5150</v>
      </c>
      <c r="X5281" s="339"/>
    </row>
    <row r="5282" s="330" customFormat="1" ht="15" customHeight="1" spans="1:24">
      <c r="A5282" s="334"/>
      <c r="B5282" s="334" t="s">
        <v>315</v>
      </c>
      <c r="C5282" s="334" t="s">
        <v>275</v>
      </c>
      <c r="D5282" s="334" t="s">
        <v>149</v>
      </c>
      <c r="E5282" s="336">
        <v>43733</v>
      </c>
      <c r="F5282" s="336" t="s">
        <v>800</v>
      </c>
      <c r="G5282" s="336">
        <v>43732</v>
      </c>
      <c r="H5282" s="334" t="s">
        <v>10073</v>
      </c>
      <c r="I5282" s="334">
        <v>13818809561</v>
      </c>
      <c r="J5282" s="334" t="s">
        <v>12298</v>
      </c>
      <c r="K5282" s="337"/>
      <c r="L5282" s="338"/>
      <c r="M5282" s="334">
        <v>428</v>
      </c>
      <c r="N5282" s="362">
        <f t="shared" si="176"/>
        <v>428</v>
      </c>
      <c r="X5282" s="339"/>
    </row>
    <row r="5283" s="330" customFormat="1" ht="15" customHeight="1" spans="1:24">
      <c r="A5283" s="334"/>
      <c r="B5283" s="334" t="s">
        <v>66</v>
      </c>
      <c r="C5283" s="334" t="s">
        <v>505</v>
      </c>
      <c r="D5283" s="334" t="s">
        <v>2302</v>
      </c>
      <c r="E5283" s="336">
        <v>43733</v>
      </c>
      <c r="F5283" s="336" t="s">
        <v>800</v>
      </c>
      <c r="G5283" s="336">
        <v>43730</v>
      </c>
      <c r="H5283" s="334" t="s">
        <v>8820</v>
      </c>
      <c r="I5283" s="334">
        <v>13818549176</v>
      </c>
      <c r="J5283" s="334" t="s">
        <v>12299</v>
      </c>
      <c r="K5283" s="337"/>
      <c r="L5283" s="338"/>
      <c r="M5283" s="334">
        <v>-10388</v>
      </c>
      <c r="N5283" s="362">
        <f t="shared" si="176"/>
        <v>-10388</v>
      </c>
      <c r="X5283" s="339"/>
    </row>
    <row r="5284" s="330" customFormat="1" ht="15" customHeight="1" spans="1:24">
      <c r="A5284" s="334"/>
      <c r="B5284" s="334" t="s">
        <v>243</v>
      </c>
      <c r="C5284" s="334" t="s">
        <v>304</v>
      </c>
      <c r="D5284" s="335" t="s">
        <v>49</v>
      </c>
      <c r="E5284" s="336">
        <v>43733</v>
      </c>
      <c r="F5284" s="336" t="s">
        <v>800</v>
      </c>
      <c r="G5284" s="336">
        <v>43723</v>
      </c>
      <c r="H5284" s="334" t="s">
        <v>11349</v>
      </c>
      <c r="I5284" s="334">
        <v>15000633808</v>
      </c>
      <c r="J5284" s="334" t="s">
        <v>12300</v>
      </c>
      <c r="K5284" s="337"/>
      <c r="L5284" s="338"/>
      <c r="M5284" s="334">
        <v>-27</v>
      </c>
      <c r="N5284" s="362">
        <f t="shared" si="176"/>
        <v>-27</v>
      </c>
      <c r="X5284" s="339"/>
    </row>
    <row r="5285" s="330" customFormat="1" ht="15" customHeight="1" spans="1:24">
      <c r="A5285" s="334"/>
      <c r="B5285" s="334" t="s">
        <v>87</v>
      </c>
      <c r="C5285" s="334" t="s">
        <v>466</v>
      </c>
      <c r="D5285" s="334" t="s">
        <v>89</v>
      </c>
      <c r="E5285" s="336">
        <v>43733</v>
      </c>
      <c r="F5285" s="336" t="s">
        <v>800</v>
      </c>
      <c r="G5285" s="336">
        <v>43733</v>
      </c>
      <c r="H5285" s="334" t="s">
        <v>6935</v>
      </c>
      <c r="I5285" s="334">
        <v>13917626918</v>
      </c>
      <c r="J5285" s="334" t="s">
        <v>6936</v>
      </c>
      <c r="K5285" s="337"/>
      <c r="L5285" s="338"/>
      <c r="M5285" s="334">
        <f>8461+11002</f>
        <v>19463</v>
      </c>
      <c r="N5285" s="362">
        <f t="shared" si="176"/>
        <v>19463</v>
      </c>
      <c r="X5285" s="339"/>
    </row>
    <row r="5286" s="330" customFormat="1" ht="15" customHeight="1" spans="1:24">
      <c r="A5286" s="334"/>
      <c r="B5286" s="348" t="s">
        <v>87</v>
      </c>
      <c r="C5286" s="348" t="s">
        <v>466</v>
      </c>
      <c r="D5286" s="349" t="s">
        <v>89</v>
      </c>
      <c r="E5286" s="336">
        <v>43733</v>
      </c>
      <c r="F5286" s="336" t="s">
        <v>800</v>
      </c>
      <c r="G5286" s="336">
        <v>43733</v>
      </c>
      <c r="H5286" s="334" t="s">
        <v>3996</v>
      </c>
      <c r="I5286" s="334">
        <v>13052107800</v>
      </c>
      <c r="J5286" s="334" t="s">
        <v>9361</v>
      </c>
      <c r="K5286" s="337"/>
      <c r="L5286" s="338"/>
      <c r="M5286" s="334">
        <v>3850</v>
      </c>
      <c r="N5286" s="362">
        <f t="shared" si="176"/>
        <v>3850</v>
      </c>
      <c r="X5286" s="339"/>
    </row>
    <row r="5287" s="330" customFormat="1" ht="15" customHeight="1" spans="1:24">
      <c r="A5287" s="348"/>
      <c r="B5287" s="334" t="s">
        <v>31</v>
      </c>
      <c r="C5287" s="334" t="s">
        <v>2716</v>
      </c>
      <c r="D5287" s="334" t="s">
        <v>221</v>
      </c>
      <c r="E5287" s="336">
        <v>43737</v>
      </c>
      <c r="F5287" s="336">
        <v>43733</v>
      </c>
      <c r="G5287" s="336">
        <v>43737</v>
      </c>
      <c r="H5287" s="334" t="s">
        <v>12301</v>
      </c>
      <c r="I5287" s="426">
        <v>13512128870</v>
      </c>
      <c r="J5287" s="334" t="s">
        <v>12302</v>
      </c>
      <c r="K5287" s="455">
        <v>1000</v>
      </c>
      <c r="L5287" s="334">
        <v>10000</v>
      </c>
      <c r="M5287" s="338"/>
      <c r="N5287" s="362">
        <f t="shared" ref="N5287:N5327" si="177">L5287+M5287</f>
        <v>10000</v>
      </c>
      <c r="X5287" s="339"/>
    </row>
    <row r="5288" s="330" customFormat="1" ht="15" customHeight="1" spans="1:24">
      <c r="A5288" s="550" t="s">
        <v>12303</v>
      </c>
      <c r="B5288" s="334" t="s">
        <v>205</v>
      </c>
      <c r="C5288" s="334" t="s">
        <v>1467</v>
      </c>
      <c r="D5288" s="425" t="s">
        <v>407</v>
      </c>
      <c r="E5288" s="424">
        <v>43737</v>
      </c>
      <c r="F5288" s="336">
        <v>43734</v>
      </c>
      <c r="G5288" s="424">
        <v>43737</v>
      </c>
      <c r="H5288" s="334" t="s">
        <v>12304</v>
      </c>
      <c r="I5288" s="426">
        <v>13918876811</v>
      </c>
      <c r="J5288" s="334" t="s">
        <v>12305</v>
      </c>
      <c r="K5288" s="455">
        <v>20000</v>
      </c>
      <c r="L5288" s="425">
        <f>19957-1608</f>
        <v>18349</v>
      </c>
      <c r="M5288" s="425">
        <v>1608</v>
      </c>
      <c r="N5288" s="362">
        <f t="shared" si="177"/>
        <v>19957</v>
      </c>
      <c r="X5288" s="339"/>
    </row>
    <row r="5289" s="330" customFormat="1" ht="15" customHeight="1" spans="1:24">
      <c r="A5289" s="550" t="s">
        <v>12306</v>
      </c>
      <c r="B5289" s="334" t="s">
        <v>58</v>
      </c>
      <c r="C5289" s="334" t="s">
        <v>794</v>
      </c>
      <c r="D5289" s="335" t="s">
        <v>110</v>
      </c>
      <c r="E5289" s="336">
        <v>43793</v>
      </c>
      <c r="F5289" s="336">
        <v>43733</v>
      </c>
      <c r="G5289" s="336">
        <v>43792</v>
      </c>
      <c r="H5289" s="334" t="s">
        <v>12307</v>
      </c>
      <c r="I5289" s="426">
        <v>13105503775</v>
      </c>
      <c r="J5289" s="334" t="s">
        <v>12308</v>
      </c>
      <c r="K5289" s="455">
        <v>1000</v>
      </c>
      <c r="L5289" s="334">
        <v>25700</v>
      </c>
      <c r="M5289" s="338"/>
      <c r="N5289" s="362">
        <f t="shared" si="177"/>
        <v>25700</v>
      </c>
      <c r="R5289" s="365" t="s">
        <v>52</v>
      </c>
      <c r="X5289" s="339"/>
    </row>
    <row r="5290" s="330" customFormat="1" ht="15" customHeight="1" spans="1:24">
      <c r="A5290" s="550" t="s">
        <v>12309</v>
      </c>
      <c r="B5290" s="334" t="s">
        <v>58</v>
      </c>
      <c r="C5290" s="334" t="s">
        <v>794</v>
      </c>
      <c r="D5290" s="335" t="s">
        <v>110</v>
      </c>
      <c r="E5290" s="336">
        <v>43768</v>
      </c>
      <c r="F5290" s="336">
        <v>43734</v>
      </c>
      <c r="G5290" s="336">
        <v>43767</v>
      </c>
      <c r="H5290" s="334" t="s">
        <v>12310</v>
      </c>
      <c r="I5290" s="426">
        <v>13916050592</v>
      </c>
      <c r="J5290" s="334" t="s">
        <v>12311</v>
      </c>
      <c r="K5290" s="455">
        <v>1000</v>
      </c>
      <c r="L5290" s="334">
        <v>13331</v>
      </c>
      <c r="M5290" s="334">
        <v>6869</v>
      </c>
      <c r="N5290" s="362">
        <f t="shared" si="177"/>
        <v>20200</v>
      </c>
      <c r="X5290" s="339"/>
    </row>
    <row r="5291" s="330" customFormat="1" ht="15" customHeight="1" spans="1:24">
      <c r="A5291" s="550" t="s">
        <v>12312</v>
      </c>
      <c r="B5291" s="334" t="s">
        <v>805</v>
      </c>
      <c r="C5291" s="334" t="s">
        <v>806</v>
      </c>
      <c r="D5291" s="335" t="s">
        <v>171</v>
      </c>
      <c r="E5291" s="440">
        <v>43839</v>
      </c>
      <c r="F5291" s="336">
        <v>43734</v>
      </c>
      <c r="G5291" s="440">
        <v>43832</v>
      </c>
      <c r="H5291" s="334" t="s">
        <v>12313</v>
      </c>
      <c r="I5291" s="426">
        <v>13621078578</v>
      </c>
      <c r="J5291" s="334" t="s">
        <v>12314</v>
      </c>
      <c r="K5291" s="455">
        <v>3000</v>
      </c>
      <c r="L5291" s="439">
        <v>3320</v>
      </c>
      <c r="M5291" s="439">
        <v>380</v>
      </c>
      <c r="N5291" s="362">
        <f t="shared" si="177"/>
        <v>3700</v>
      </c>
      <c r="O5291" s="430" t="s">
        <v>52</v>
      </c>
      <c r="U5291" s="471">
        <v>43774</v>
      </c>
      <c r="X5291" s="339"/>
    </row>
    <row r="5292" s="330" customFormat="1" ht="15" customHeight="1" spans="1:24">
      <c r="A5292" s="550" t="s">
        <v>12315</v>
      </c>
      <c r="B5292" s="334" t="s">
        <v>2625</v>
      </c>
      <c r="C5292" s="334" t="s">
        <v>2626</v>
      </c>
      <c r="D5292" s="334" t="s">
        <v>44</v>
      </c>
      <c r="E5292" s="336">
        <v>43736</v>
      </c>
      <c r="F5292" s="336">
        <v>43734</v>
      </c>
      <c r="G5292" s="336">
        <v>43736</v>
      </c>
      <c r="H5292" s="334" t="s">
        <v>12316</v>
      </c>
      <c r="I5292" s="426">
        <v>17376206909</v>
      </c>
      <c r="J5292" s="334" t="s">
        <v>12317</v>
      </c>
      <c r="K5292" s="455">
        <v>7500</v>
      </c>
      <c r="L5292" s="334">
        <f>7500-736</f>
        <v>6764</v>
      </c>
      <c r="M5292" s="334">
        <v>736</v>
      </c>
      <c r="N5292" s="362">
        <f t="shared" si="177"/>
        <v>7500</v>
      </c>
      <c r="X5292" s="339"/>
    </row>
    <row r="5293" s="330" customFormat="1" ht="15" customHeight="1" spans="1:24">
      <c r="A5293" s="348"/>
      <c r="B5293" s="334" t="s">
        <v>31</v>
      </c>
      <c r="C5293" s="334" t="s">
        <v>419</v>
      </c>
      <c r="D5293" s="335" t="s">
        <v>221</v>
      </c>
      <c r="E5293" s="336">
        <v>43734</v>
      </c>
      <c r="F5293" s="336">
        <v>43734</v>
      </c>
      <c r="G5293" s="399">
        <v>43726</v>
      </c>
      <c r="H5293" s="334" t="s">
        <v>1514</v>
      </c>
      <c r="I5293" s="334">
        <v>15000195269</v>
      </c>
      <c r="J5293" s="334" t="s">
        <v>11855</v>
      </c>
      <c r="K5293" s="455">
        <v>16448</v>
      </c>
      <c r="L5293" s="338"/>
      <c r="M5293" s="338"/>
      <c r="N5293" s="362">
        <f t="shared" si="177"/>
        <v>0</v>
      </c>
      <c r="X5293" s="339"/>
    </row>
    <row r="5294" s="330" customFormat="1" ht="15" customHeight="1" spans="1:24">
      <c r="A5294" s="550" t="s">
        <v>12318</v>
      </c>
      <c r="B5294" s="334" t="s">
        <v>2625</v>
      </c>
      <c r="C5294" s="334" t="s">
        <v>2626</v>
      </c>
      <c r="D5294" s="334" t="s">
        <v>44</v>
      </c>
      <c r="E5294" s="336">
        <v>43738</v>
      </c>
      <c r="F5294" s="336">
        <v>43734</v>
      </c>
      <c r="G5294" s="336">
        <v>43736</v>
      </c>
      <c r="H5294" s="334" t="s">
        <v>12319</v>
      </c>
      <c r="I5294" s="426">
        <v>18017740571</v>
      </c>
      <c r="J5294" s="334" t="s">
        <v>12320</v>
      </c>
      <c r="K5294" s="455">
        <v>1000</v>
      </c>
      <c r="L5294" s="334">
        <f>7748-380</f>
        <v>7368</v>
      </c>
      <c r="M5294" s="334">
        <v>380</v>
      </c>
      <c r="N5294" s="362">
        <f t="shared" si="177"/>
        <v>7748</v>
      </c>
      <c r="X5294" s="339"/>
    </row>
    <row r="5295" s="330" customFormat="1" ht="15" customHeight="1" spans="1:24">
      <c r="A5295" s="348"/>
      <c r="B5295" s="334" t="s">
        <v>315</v>
      </c>
      <c r="C5295" s="334" t="s">
        <v>181</v>
      </c>
      <c r="D5295" s="334" t="s">
        <v>182</v>
      </c>
      <c r="E5295" s="336">
        <v>43734</v>
      </c>
      <c r="F5295" s="336">
        <v>43733</v>
      </c>
      <c r="G5295" s="399">
        <v>43733</v>
      </c>
      <c r="H5295" s="334" t="s">
        <v>12321</v>
      </c>
      <c r="I5295" s="334">
        <v>13512140398</v>
      </c>
      <c r="J5295" s="334" t="s">
        <v>12322</v>
      </c>
      <c r="K5295" s="455">
        <v>5502</v>
      </c>
      <c r="L5295" s="334">
        <f>16583-1104</f>
        <v>15479</v>
      </c>
      <c r="M5295" s="334">
        <f>-89+1104</f>
        <v>1015</v>
      </c>
      <c r="N5295" s="362">
        <f t="shared" si="177"/>
        <v>16494</v>
      </c>
      <c r="X5295" s="339"/>
    </row>
    <row r="5296" s="330" customFormat="1" ht="15" customHeight="1" spans="1:24">
      <c r="A5296" s="550" t="s">
        <v>2300</v>
      </c>
      <c r="B5296" s="334" t="s">
        <v>66</v>
      </c>
      <c r="C5296" s="334" t="s">
        <v>505</v>
      </c>
      <c r="D5296" s="334" t="s">
        <v>2302</v>
      </c>
      <c r="E5296" s="336">
        <v>43745</v>
      </c>
      <c r="F5296" s="336">
        <v>43734</v>
      </c>
      <c r="G5296" s="336">
        <v>43744</v>
      </c>
      <c r="H5296" s="334" t="s">
        <v>12323</v>
      </c>
      <c r="I5296" s="426">
        <v>17317971212</v>
      </c>
      <c r="J5296" s="334" t="s">
        <v>12324</v>
      </c>
      <c r="K5296" s="455">
        <v>3000</v>
      </c>
      <c r="L5296" s="334">
        <v>13000</v>
      </c>
      <c r="M5296" s="338"/>
      <c r="N5296" s="362">
        <f t="shared" si="177"/>
        <v>13000</v>
      </c>
      <c r="X5296" s="339"/>
    </row>
    <row r="5297" s="330" customFormat="1" ht="15" customHeight="1" spans="1:24">
      <c r="A5297" s="550" t="s">
        <v>12325</v>
      </c>
      <c r="B5297" s="334" t="s">
        <v>87</v>
      </c>
      <c r="C5297" s="334" t="s">
        <v>466</v>
      </c>
      <c r="D5297" s="335" t="s">
        <v>89</v>
      </c>
      <c r="E5297" s="336">
        <v>43737</v>
      </c>
      <c r="F5297" s="336">
        <v>43734</v>
      </c>
      <c r="G5297" s="336">
        <v>43737</v>
      </c>
      <c r="H5297" s="334" t="s">
        <v>12326</v>
      </c>
      <c r="I5297" s="426">
        <v>13681956868</v>
      </c>
      <c r="J5297" s="334" t="s">
        <v>12327</v>
      </c>
      <c r="K5297" s="455">
        <v>20000</v>
      </c>
      <c r="L5297" s="334">
        <v>20000</v>
      </c>
      <c r="M5297" s="338"/>
      <c r="N5297" s="362">
        <f t="shared" si="177"/>
        <v>20000</v>
      </c>
      <c r="X5297" s="339"/>
    </row>
    <row r="5298" s="330" customFormat="1" ht="15" customHeight="1" spans="1:24">
      <c r="A5298" s="348"/>
      <c r="B5298" s="334" t="s">
        <v>315</v>
      </c>
      <c r="C5298" s="334" t="s">
        <v>230</v>
      </c>
      <c r="D5298" s="335" t="s">
        <v>182</v>
      </c>
      <c r="E5298" s="336">
        <v>43745</v>
      </c>
      <c r="F5298" s="336">
        <v>43734</v>
      </c>
      <c r="G5298" s="336">
        <v>43745</v>
      </c>
      <c r="H5298" s="334" t="s">
        <v>12328</v>
      </c>
      <c r="I5298" s="426">
        <v>15972985273</v>
      </c>
      <c r="J5298" s="334" t="s">
        <v>12329</v>
      </c>
      <c r="K5298" s="455">
        <v>1000</v>
      </c>
      <c r="L5298" s="334">
        <v>12472</v>
      </c>
      <c r="M5298" s="338"/>
      <c r="N5298" s="362">
        <f t="shared" si="177"/>
        <v>12472</v>
      </c>
      <c r="X5298" s="339"/>
    </row>
    <row r="5299" s="330" customFormat="1" ht="15" customHeight="1" spans="1:24">
      <c r="A5299" s="348"/>
      <c r="B5299" s="334" t="s">
        <v>66</v>
      </c>
      <c r="C5299" s="334" t="s">
        <v>119</v>
      </c>
      <c r="D5299" s="335" t="s">
        <v>68</v>
      </c>
      <c r="E5299" s="336">
        <v>43734</v>
      </c>
      <c r="F5299" s="336">
        <v>43734</v>
      </c>
      <c r="G5299" s="399"/>
      <c r="H5299" s="334" t="s">
        <v>12330</v>
      </c>
      <c r="I5299" s="426">
        <v>13764010536</v>
      </c>
      <c r="J5299" s="334" t="s">
        <v>12331</v>
      </c>
      <c r="K5299" s="455">
        <v>1000</v>
      </c>
      <c r="L5299" s="338"/>
      <c r="M5299" s="338"/>
      <c r="N5299" s="362">
        <f t="shared" si="177"/>
        <v>0</v>
      </c>
      <c r="U5299" s="477" t="s">
        <v>12332</v>
      </c>
      <c r="X5299" s="339"/>
    </row>
    <row r="5300" s="330" customFormat="1" ht="15" customHeight="1" spans="1:24">
      <c r="A5300" s="334"/>
      <c r="B5300" s="334" t="s">
        <v>147</v>
      </c>
      <c r="C5300" s="334" t="s">
        <v>148</v>
      </c>
      <c r="D5300" s="334" t="s">
        <v>1170</v>
      </c>
      <c r="E5300" s="336">
        <v>43734</v>
      </c>
      <c r="F5300" s="336"/>
      <c r="G5300" s="336">
        <v>43733</v>
      </c>
      <c r="H5300" s="334" t="s">
        <v>12333</v>
      </c>
      <c r="I5300" s="334">
        <v>15821524885</v>
      </c>
      <c r="J5300" s="334" t="s">
        <v>12334</v>
      </c>
      <c r="K5300" s="337"/>
      <c r="L5300" s="334">
        <v>14741</v>
      </c>
      <c r="M5300" s="338"/>
      <c r="N5300" s="362">
        <f t="shared" si="177"/>
        <v>14741</v>
      </c>
      <c r="X5300" s="339"/>
    </row>
    <row r="5301" s="330" customFormat="1" ht="15" customHeight="1" spans="1:24">
      <c r="A5301" s="334"/>
      <c r="B5301" s="334" t="s">
        <v>58</v>
      </c>
      <c r="C5301" s="334" t="s">
        <v>794</v>
      </c>
      <c r="D5301" s="334" t="s">
        <v>110</v>
      </c>
      <c r="E5301" s="336">
        <v>43734</v>
      </c>
      <c r="F5301" s="336"/>
      <c r="G5301" s="336">
        <v>43734</v>
      </c>
      <c r="H5301" s="334" t="s">
        <v>12335</v>
      </c>
      <c r="I5301" s="334">
        <v>13611713339</v>
      </c>
      <c r="J5301" s="334" t="s">
        <v>12336</v>
      </c>
      <c r="K5301" s="337"/>
      <c r="L5301" s="334">
        <f>17275-1104</f>
        <v>16171</v>
      </c>
      <c r="M5301" s="334">
        <v>1104</v>
      </c>
      <c r="N5301" s="362">
        <f t="shared" si="177"/>
        <v>17275</v>
      </c>
      <c r="X5301" s="339"/>
    </row>
    <row r="5302" s="330" customFormat="1" ht="15" customHeight="1" spans="1:24">
      <c r="A5302" s="334"/>
      <c r="B5302" s="348" t="s">
        <v>31</v>
      </c>
      <c r="C5302" s="348" t="s">
        <v>419</v>
      </c>
      <c r="D5302" s="334" t="s">
        <v>33</v>
      </c>
      <c r="E5302" s="336">
        <v>43734</v>
      </c>
      <c r="F5302" s="336" t="s">
        <v>800</v>
      </c>
      <c r="G5302" s="336">
        <v>43734</v>
      </c>
      <c r="H5302" s="334" t="s">
        <v>4715</v>
      </c>
      <c r="I5302" s="334">
        <v>13901758278</v>
      </c>
      <c r="J5302" s="334" t="s">
        <v>12337</v>
      </c>
      <c r="K5302" s="337"/>
      <c r="L5302" s="334"/>
      <c r="M5302" s="334">
        <v>700</v>
      </c>
      <c r="N5302" s="362">
        <f t="shared" si="177"/>
        <v>700</v>
      </c>
      <c r="X5302" s="339"/>
    </row>
    <row r="5303" s="330" customFormat="1" ht="15" customHeight="1" spans="1:24">
      <c r="A5303" s="334"/>
      <c r="B5303" s="334" t="s">
        <v>31</v>
      </c>
      <c r="C5303" s="334" t="s">
        <v>419</v>
      </c>
      <c r="D5303" s="335" t="s">
        <v>221</v>
      </c>
      <c r="E5303" s="336">
        <v>43734</v>
      </c>
      <c r="F5303" s="336"/>
      <c r="G5303" s="336">
        <v>43734</v>
      </c>
      <c r="H5303" s="334" t="s">
        <v>12338</v>
      </c>
      <c r="I5303" s="334">
        <v>13801653897</v>
      </c>
      <c r="J5303" s="334" t="s">
        <v>12339</v>
      </c>
      <c r="K5303" s="337"/>
      <c r="L5303" s="334">
        <v>3000</v>
      </c>
      <c r="M5303" s="338"/>
      <c r="N5303" s="362">
        <f t="shared" si="177"/>
        <v>3000</v>
      </c>
      <c r="X5303" s="339"/>
    </row>
    <row r="5304" s="330" customFormat="1" ht="15" customHeight="1" spans="1:24">
      <c r="A5304" s="334"/>
      <c r="B5304" s="348" t="s">
        <v>335</v>
      </c>
      <c r="C5304" s="334" t="s">
        <v>399</v>
      </c>
      <c r="D5304" s="334" t="s">
        <v>337</v>
      </c>
      <c r="E5304" s="336">
        <v>43734</v>
      </c>
      <c r="F5304" s="336" t="s">
        <v>800</v>
      </c>
      <c r="G5304" s="336">
        <v>43731</v>
      </c>
      <c r="H5304" s="334" t="s">
        <v>10482</v>
      </c>
      <c r="I5304" s="356">
        <v>13818832997</v>
      </c>
      <c r="J5304" s="348" t="s">
        <v>10483</v>
      </c>
      <c r="K5304" s="337"/>
      <c r="L5304" s="338"/>
      <c r="M5304" s="334">
        <v>421</v>
      </c>
      <c r="N5304" s="362">
        <f t="shared" si="177"/>
        <v>421</v>
      </c>
      <c r="X5304" s="339"/>
    </row>
    <row r="5305" s="330" customFormat="1" ht="15" customHeight="1" spans="1:24">
      <c r="A5305" s="334"/>
      <c r="B5305" s="334" t="s">
        <v>315</v>
      </c>
      <c r="C5305" s="334" t="s">
        <v>181</v>
      </c>
      <c r="D5305" s="334" t="s">
        <v>132</v>
      </c>
      <c r="E5305" s="336">
        <v>43734</v>
      </c>
      <c r="F5305" s="336" t="s">
        <v>800</v>
      </c>
      <c r="G5305" s="336">
        <v>43733</v>
      </c>
      <c r="H5305" s="334" t="s">
        <v>12340</v>
      </c>
      <c r="I5305" s="334">
        <v>13901651553</v>
      </c>
      <c r="J5305" s="334" t="s">
        <v>12341</v>
      </c>
      <c r="K5305" s="337"/>
      <c r="L5305" s="338"/>
      <c r="M5305" s="334">
        <v>11600</v>
      </c>
      <c r="N5305" s="362">
        <f t="shared" si="177"/>
        <v>11600</v>
      </c>
      <c r="X5305" s="339"/>
    </row>
    <row r="5306" s="330" customFormat="1" ht="15" customHeight="1" spans="1:24">
      <c r="A5306" s="334"/>
      <c r="B5306" s="334" t="s">
        <v>31</v>
      </c>
      <c r="C5306" s="334" t="s">
        <v>419</v>
      </c>
      <c r="D5306" s="335" t="s">
        <v>221</v>
      </c>
      <c r="E5306" s="336">
        <v>43734</v>
      </c>
      <c r="F5306" s="336" t="s">
        <v>800</v>
      </c>
      <c r="G5306" s="336">
        <v>43734</v>
      </c>
      <c r="H5306" s="334" t="s">
        <v>10614</v>
      </c>
      <c r="I5306" s="334">
        <v>15921816538</v>
      </c>
      <c r="J5306" s="334" t="s">
        <v>12342</v>
      </c>
      <c r="K5306" s="337"/>
      <c r="L5306" s="338"/>
      <c r="M5306" s="334">
        <v>1700</v>
      </c>
      <c r="N5306" s="362">
        <f t="shared" si="177"/>
        <v>1700</v>
      </c>
      <c r="X5306" s="339"/>
    </row>
    <row r="5307" s="330" customFormat="1" ht="15" customHeight="1" spans="1:24">
      <c r="A5307" s="334"/>
      <c r="B5307" s="334" t="s">
        <v>31</v>
      </c>
      <c r="C5307" s="334" t="s">
        <v>419</v>
      </c>
      <c r="D5307" s="349" t="s">
        <v>221</v>
      </c>
      <c r="E5307" s="336">
        <v>43734</v>
      </c>
      <c r="F5307" s="336" t="s">
        <v>800</v>
      </c>
      <c r="G5307" s="336">
        <v>43725</v>
      </c>
      <c r="H5307" s="334" t="s">
        <v>9510</v>
      </c>
      <c r="I5307" s="334">
        <v>13921516841</v>
      </c>
      <c r="J5307" s="334" t="s">
        <v>9511</v>
      </c>
      <c r="K5307" s="337"/>
      <c r="L5307" s="338"/>
      <c r="M5307" s="334">
        <v>615</v>
      </c>
      <c r="N5307" s="362">
        <f t="shared" si="177"/>
        <v>615</v>
      </c>
      <c r="X5307" s="339"/>
    </row>
    <row r="5308" s="330" customFormat="1" ht="15" customHeight="1" spans="1:24">
      <c r="A5308" s="334"/>
      <c r="B5308" s="334" t="s">
        <v>805</v>
      </c>
      <c r="C5308" s="334" t="s">
        <v>806</v>
      </c>
      <c r="D5308" s="335" t="s">
        <v>171</v>
      </c>
      <c r="E5308" s="336">
        <v>43734</v>
      </c>
      <c r="F5308" s="336" t="s">
        <v>800</v>
      </c>
      <c r="G5308" s="336">
        <v>43733</v>
      </c>
      <c r="H5308" s="334"/>
      <c r="I5308" s="334">
        <v>13041629080</v>
      </c>
      <c r="J5308" s="334" t="s">
        <v>12343</v>
      </c>
      <c r="K5308" s="337"/>
      <c r="L5308" s="338"/>
      <c r="M5308" s="334">
        <v>781</v>
      </c>
      <c r="N5308" s="362">
        <f t="shared" si="177"/>
        <v>781</v>
      </c>
      <c r="X5308" s="339"/>
    </row>
    <row r="5309" s="330" customFormat="1" ht="15" customHeight="1" spans="1:24">
      <c r="A5309" s="334"/>
      <c r="B5309" s="348" t="s">
        <v>185</v>
      </c>
      <c r="C5309" s="348" t="s">
        <v>1133</v>
      </c>
      <c r="D5309" s="349" t="s">
        <v>44</v>
      </c>
      <c r="E5309" s="336">
        <v>43734</v>
      </c>
      <c r="F5309" s="336" t="s">
        <v>800</v>
      </c>
      <c r="G5309" s="336">
        <v>43734</v>
      </c>
      <c r="H5309" s="334" t="s">
        <v>4985</v>
      </c>
      <c r="I5309" s="334">
        <v>13818759895</v>
      </c>
      <c r="J5309" s="334" t="s">
        <v>4986</v>
      </c>
      <c r="K5309" s="337"/>
      <c r="L5309" s="338"/>
      <c r="M5309" s="334">
        <f>1733-1590</f>
        <v>143</v>
      </c>
      <c r="N5309" s="362">
        <f t="shared" si="177"/>
        <v>143</v>
      </c>
      <c r="X5309" s="339"/>
    </row>
    <row r="5310" s="330" customFormat="1" ht="15" customHeight="1" spans="1:24">
      <c r="A5310" s="334"/>
      <c r="B5310" s="348" t="s">
        <v>185</v>
      </c>
      <c r="C5310" s="348" t="s">
        <v>1204</v>
      </c>
      <c r="D5310" s="352" t="s">
        <v>44</v>
      </c>
      <c r="E5310" s="336">
        <v>43734</v>
      </c>
      <c r="F5310" s="336" t="s">
        <v>800</v>
      </c>
      <c r="G5310" s="336">
        <v>43734</v>
      </c>
      <c r="H5310" s="334" t="s">
        <v>8619</v>
      </c>
      <c r="I5310" s="334">
        <v>13321998959</v>
      </c>
      <c r="J5310" s="334" t="s">
        <v>12344</v>
      </c>
      <c r="K5310" s="337"/>
      <c r="L5310" s="338"/>
      <c r="M5310" s="334">
        <f>600+3367</f>
        <v>3967</v>
      </c>
      <c r="N5310" s="362">
        <f t="shared" si="177"/>
        <v>3967</v>
      </c>
      <c r="X5310" s="339"/>
    </row>
    <row r="5311" s="330" customFormat="1" ht="15" customHeight="1" spans="1:24">
      <c r="A5311" s="334"/>
      <c r="B5311" s="348" t="s">
        <v>73</v>
      </c>
      <c r="C5311" s="348" t="s">
        <v>74</v>
      </c>
      <c r="D5311" s="349" t="s">
        <v>132</v>
      </c>
      <c r="E5311" s="336">
        <v>43734</v>
      </c>
      <c r="F5311" s="336" t="s">
        <v>800</v>
      </c>
      <c r="G5311" s="336">
        <v>43734</v>
      </c>
      <c r="H5311" s="334" t="s">
        <v>2252</v>
      </c>
      <c r="I5311" s="334">
        <v>13681959696</v>
      </c>
      <c r="J5311" s="334" t="s">
        <v>12345</v>
      </c>
      <c r="K5311" s="337"/>
      <c r="L5311" s="338"/>
      <c r="M5311" s="334">
        <v>1542</v>
      </c>
      <c r="N5311" s="362">
        <f t="shared" si="177"/>
        <v>1542</v>
      </c>
      <c r="X5311" s="339"/>
    </row>
    <row r="5312" s="330" customFormat="1" ht="15" customHeight="1" spans="1:24">
      <c r="A5312" s="334"/>
      <c r="B5312" s="348" t="s">
        <v>73</v>
      </c>
      <c r="C5312" s="348" t="s">
        <v>74</v>
      </c>
      <c r="D5312" s="352" t="s">
        <v>75</v>
      </c>
      <c r="E5312" s="336">
        <v>43734</v>
      </c>
      <c r="F5312" s="336" t="s">
        <v>800</v>
      </c>
      <c r="G5312" s="336">
        <v>43733</v>
      </c>
      <c r="H5312" s="334" t="s">
        <v>6730</v>
      </c>
      <c r="I5312" s="334">
        <v>13761201101</v>
      </c>
      <c r="J5312" s="334" t="s">
        <v>6731</v>
      </c>
      <c r="K5312" s="337"/>
      <c r="L5312" s="338"/>
      <c r="M5312" s="334">
        <f>-787+1116</f>
        <v>329</v>
      </c>
      <c r="N5312" s="362">
        <f t="shared" si="177"/>
        <v>329</v>
      </c>
      <c r="X5312" s="339"/>
    </row>
    <row r="5313" s="330" customFormat="1" ht="15" customHeight="1" spans="1:24">
      <c r="A5313" s="334"/>
      <c r="B5313" s="334" t="s">
        <v>73</v>
      </c>
      <c r="C5313" s="334" t="s">
        <v>74</v>
      </c>
      <c r="D5313" s="334" t="s">
        <v>1170</v>
      </c>
      <c r="E5313" s="336">
        <v>43734</v>
      </c>
      <c r="F5313" s="336" t="s">
        <v>800</v>
      </c>
      <c r="G5313" s="336">
        <v>43734</v>
      </c>
      <c r="H5313" s="334" t="s">
        <v>12346</v>
      </c>
      <c r="I5313" s="334">
        <v>13917305330</v>
      </c>
      <c r="J5313" s="334" t="s">
        <v>10121</v>
      </c>
      <c r="K5313" s="337"/>
      <c r="L5313" s="338"/>
      <c r="M5313" s="334">
        <v>1385</v>
      </c>
      <c r="N5313" s="362">
        <f t="shared" si="177"/>
        <v>1385</v>
      </c>
      <c r="X5313" s="339"/>
    </row>
    <row r="5314" s="330" customFormat="1" ht="15" customHeight="1" spans="1:24">
      <c r="A5314" s="334"/>
      <c r="B5314" s="334" t="s">
        <v>315</v>
      </c>
      <c r="C5314" s="334" t="s">
        <v>230</v>
      </c>
      <c r="D5314" s="334" t="s">
        <v>132</v>
      </c>
      <c r="E5314" s="336">
        <v>43734</v>
      </c>
      <c r="F5314" s="336" t="s">
        <v>800</v>
      </c>
      <c r="G5314" s="336">
        <v>43734</v>
      </c>
      <c r="H5314" s="334" t="s">
        <v>7640</v>
      </c>
      <c r="I5314" s="334">
        <v>13918876298</v>
      </c>
      <c r="J5314" s="334" t="s">
        <v>12347</v>
      </c>
      <c r="K5314" s="337"/>
      <c r="L5314" s="338"/>
      <c r="M5314" s="334">
        <v>3727</v>
      </c>
      <c r="N5314" s="362">
        <f t="shared" si="177"/>
        <v>3727</v>
      </c>
      <c r="X5314" s="339"/>
    </row>
    <row r="5315" s="330" customFormat="1" ht="15" customHeight="1" spans="1:24">
      <c r="A5315" s="334"/>
      <c r="B5315" s="348" t="s">
        <v>185</v>
      </c>
      <c r="C5315" s="348" t="s">
        <v>4146</v>
      </c>
      <c r="D5315" s="334" t="s">
        <v>44</v>
      </c>
      <c r="E5315" s="336">
        <v>43734</v>
      </c>
      <c r="F5315" s="336" t="s">
        <v>800</v>
      </c>
      <c r="G5315" s="336">
        <v>43733</v>
      </c>
      <c r="H5315" s="334" t="s">
        <v>10186</v>
      </c>
      <c r="I5315" s="334">
        <v>13817603723</v>
      </c>
      <c r="J5315" s="334" t="s">
        <v>12178</v>
      </c>
      <c r="K5315" s="337"/>
      <c r="L5315" s="338"/>
      <c r="M5315" s="334">
        <v>7405</v>
      </c>
      <c r="N5315" s="362">
        <f t="shared" si="177"/>
        <v>7405</v>
      </c>
      <c r="X5315" s="339"/>
    </row>
    <row r="5316" s="330" customFormat="1" ht="15" customHeight="1" spans="1:24">
      <c r="A5316" s="334"/>
      <c r="B5316" s="334" t="s">
        <v>137</v>
      </c>
      <c r="C5316" s="334" t="s">
        <v>411</v>
      </c>
      <c r="D5316" s="334" t="s">
        <v>443</v>
      </c>
      <c r="E5316" s="336">
        <v>43734</v>
      </c>
      <c r="F5316" s="336" t="s">
        <v>800</v>
      </c>
      <c r="G5316" s="336">
        <v>43734</v>
      </c>
      <c r="H5316" s="334" t="s">
        <v>3140</v>
      </c>
      <c r="I5316" s="334">
        <v>13061672588</v>
      </c>
      <c r="J5316" s="334" t="s">
        <v>3141</v>
      </c>
      <c r="K5316" s="337"/>
      <c r="L5316" s="338"/>
      <c r="M5316" s="334">
        <v>7135</v>
      </c>
      <c r="N5316" s="362">
        <f t="shared" si="177"/>
        <v>7135</v>
      </c>
      <c r="X5316" s="339"/>
    </row>
    <row r="5317" s="330" customFormat="1" ht="15" customHeight="1" spans="1:24">
      <c r="A5317" s="334"/>
      <c r="B5317" s="334" t="s">
        <v>31</v>
      </c>
      <c r="C5317" s="334" t="s">
        <v>419</v>
      </c>
      <c r="D5317" s="334" t="s">
        <v>33</v>
      </c>
      <c r="E5317" s="336">
        <v>43734</v>
      </c>
      <c r="F5317" s="336" t="s">
        <v>800</v>
      </c>
      <c r="G5317" s="336">
        <v>43734</v>
      </c>
      <c r="H5317" s="334" t="s">
        <v>12348</v>
      </c>
      <c r="I5317" s="334">
        <v>13501808472</v>
      </c>
      <c r="J5317" s="334" t="s">
        <v>12349</v>
      </c>
      <c r="K5317" s="337"/>
      <c r="L5317" s="338"/>
      <c r="M5317" s="334">
        <v>1400</v>
      </c>
      <c r="N5317" s="362">
        <f t="shared" si="177"/>
        <v>1400</v>
      </c>
      <c r="X5317" s="339"/>
    </row>
    <row r="5318" s="330" customFormat="1" ht="15" customHeight="1" spans="1:24">
      <c r="A5318" s="334"/>
      <c r="B5318" s="334" t="s">
        <v>31</v>
      </c>
      <c r="C5318" s="334" t="s">
        <v>251</v>
      </c>
      <c r="D5318" s="334" t="s">
        <v>33</v>
      </c>
      <c r="E5318" s="336">
        <v>43734</v>
      </c>
      <c r="F5318" s="336" t="s">
        <v>800</v>
      </c>
      <c r="G5318" s="336">
        <v>43734</v>
      </c>
      <c r="H5318" s="334" t="s">
        <v>12350</v>
      </c>
      <c r="I5318" s="334">
        <v>13918805278</v>
      </c>
      <c r="J5318" s="334" t="s">
        <v>12351</v>
      </c>
      <c r="K5318" s="337"/>
      <c r="L5318" s="338"/>
      <c r="M5318" s="334">
        <v>2410</v>
      </c>
      <c r="N5318" s="362">
        <f t="shared" si="177"/>
        <v>2410</v>
      </c>
      <c r="X5318" s="339"/>
    </row>
    <row r="5319" s="330" customFormat="1" ht="15" customHeight="1" spans="1:24">
      <c r="A5319" s="334"/>
      <c r="B5319" s="348" t="s">
        <v>315</v>
      </c>
      <c r="C5319" s="348" t="s">
        <v>161</v>
      </c>
      <c r="D5319" s="352" t="s">
        <v>162</v>
      </c>
      <c r="E5319" s="336">
        <v>43734</v>
      </c>
      <c r="F5319" s="336" t="s">
        <v>800</v>
      </c>
      <c r="G5319" s="336">
        <v>43722</v>
      </c>
      <c r="H5319" s="334" t="s">
        <v>6323</v>
      </c>
      <c r="I5319" s="356">
        <v>13617622306</v>
      </c>
      <c r="J5319" s="348" t="s">
        <v>6324</v>
      </c>
      <c r="K5319" s="337"/>
      <c r="L5319" s="338"/>
      <c r="M5319" s="334">
        <v>6300</v>
      </c>
      <c r="N5319" s="362">
        <f t="shared" si="177"/>
        <v>6300</v>
      </c>
      <c r="X5319" s="339"/>
    </row>
    <row r="5320" s="330" customFormat="1" ht="15" customHeight="1" spans="1:24">
      <c r="A5320" s="334"/>
      <c r="B5320" s="334" t="s">
        <v>236</v>
      </c>
      <c r="C5320" s="334" t="s">
        <v>703</v>
      </c>
      <c r="D5320" s="335" t="s">
        <v>237</v>
      </c>
      <c r="E5320" s="336">
        <v>43734</v>
      </c>
      <c r="F5320" s="336" t="s">
        <v>800</v>
      </c>
      <c r="G5320" s="336">
        <v>43715</v>
      </c>
      <c r="H5320" s="334" t="s">
        <v>12352</v>
      </c>
      <c r="I5320" s="334">
        <v>15000839237</v>
      </c>
      <c r="J5320" s="334" t="s">
        <v>12353</v>
      </c>
      <c r="K5320" s="337"/>
      <c r="L5320" s="338"/>
      <c r="M5320" s="334">
        <v>-9</v>
      </c>
      <c r="N5320" s="362">
        <f t="shared" si="177"/>
        <v>-9</v>
      </c>
      <c r="X5320" s="339"/>
    </row>
    <row r="5321" s="330" customFormat="1" ht="15" customHeight="1" spans="1:24">
      <c r="A5321" s="550" t="s">
        <v>12354</v>
      </c>
      <c r="B5321" s="334" t="s">
        <v>153</v>
      </c>
      <c r="C5321" s="334" t="s">
        <v>154</v>
      </c>
      <c r="D5321" s="334" t="s">
        <v>155</v>
      </c>
      <c r="E5321" s="336">
        <v>43735</v>
      </c>
      <c r="F5321" s="336">
        <v>43731</v>
      </c>
      <c r="G5321" s="336">
        <v>43734</v>
      </c>
      <c r="H5321" s="334" t="s">
        <v>12355</v>
      </c>
      <c r="I5321" s="426">
        <v>13701767363</v>
      </c>
      <c r="J5321" s="334" t="s">
        <v>12356</v>
      </c>
      <c r="K5321" s="455">
        <v>1000</v>
      </c>
      <c r="L5321" s="334">
        <v>28911</v>
      </c>
      <c r="M5321" s="338"/>
      <c r="N5321" s="362">
        <f t="shared" si="177"/>
        <v>28911</v>
      </c>
      <c r="X5321" s="339"/>
    </row>
    <row r="5322" s="330" customFormat="1" ht="15" customHeight="1" spans="1:24">
      <c r="A5322" s="348"/>
      <c r="B5322" s="334" t="s">
        <v>58</v>
      </c>
      <c r="C5322" s="334" t="s">
        <v>342</v>
      </c>
      <c r="D5322" s="334" t="s">
        <v>343</v>
      </c>
      <c r="E5322" s="336">
        <v>43735</v>
      </c>
      <c r="F5322" s="336">
        <v>43734</v>
      </c>
      <c r="G5322" s="399">
        <v>43734</v>
      </c>
      <c r="H5322" s="334" t="s">
        <v>12357</v>
      </c>
      <c r="I5322" s="334">
        <v>15201977133</v>
      </c>
      <c r="J5322" s="334" t="s">
        <v>12358</v>
      </c>
      <c r="K5322" s="455">
        <v>1000</v>
      </c>
      <c r="L5322" s="334">
        <v>5351</v>
      </c>
      <c r="M5322" s="338"/>
      <c r="N5322" s="362">
        <f t="shared" si="177"/>
        <v>5351</v>
      </c>
      <c r="X5322" s="339"/>
    </row>
    <row r="5323" s="330" customFormat="1" ht="15" customHeight="1" spans="1:24">
      <c r="A5323" s="348"/>
      <c r="B5323" s="334" t="s">
        <v>31</v>
      </c>
      <c r="C5323" s="334" t="s">
        <v>3186</v>
      </c>
      <c r="D5323" s="334" t="s">
        <v>954</v>
      </c>
      <c r="E5323" s="336">
        <v>43735</v>
      </c>
      <c r="F5323" s="336">
        <v>43732</v>
      </c>
      <c r="G5323" s="336">
        <v>43732</v>
      </c>
      <c r="H5323" s="334" t="s">
        <v>12359</v>
      </c>
      <c r="I5323" s="334">
        <v>18915789666</v>
      </c>
      <c r="J5323" s="334" t="s">
        <v>12360</v>
      </c>
      <c r="K5323" s="455">
        <v>1000</v>
      </c>
      <c r="L5323" s="334">
        <v>31702</v>
      </c>
      <c r="M5323" s="338"/>
      <c r="N5323" s="362">
        <f t="shared" si="177"/>
        <v>31702</v>
      </c>
      <c r="X5323" s="339"/>
    </row>
    <row r="5324" s="330" customFormat="1" ht="15" customHeight="1" spans="1:24">
      <c r="A5324" s="550" t="s">
        <v>12361</v>
      </c>
      <c r="B5324" s="334" t="s">
        <v>805</v>
      </c>
      <c r="C5324" s="334" t="s">
        <v>806</v>
      </c>
      <c r="D5324" s="335" t="s">
        <v>171</v>
      </c>
      <c r="E5324" s="336">
        <v>43750</v>
      </c>
      <c r="F5324" s="336">
        <v>43735</v>
      </c>
      <c r="G5324" s="336">
        <v>43749</v>
      </c>
      <c r="H5324" s="334" t="s">
        <v>12362</v>
      </c>
      <c r="I5324" s="426">
        <v>15601650106</v>
      </c>
      <c r="J5324" s="334" t="s">
        <v>12363</v>
      </c>
      <c r="K5324" s="455">
        <v>5000</v>
      </c>
      <c r="L5324" s="334">
        <v>16687</v>
      </c>
      <c r="M5324" s="338"/>
      <c r="N5324" s="362">
        <f t="shared" si="177"/>
        <v>16687</v>
      </c>
      <c r="X5324" s="339"/>
    </row>
    <row r="5325" s="330" customFormat="1" ht="15" customHeight="1" spans="1:24">
      <c r="A5325" s="348"/>
      <c r="B5325" s="334" t="s">
        <v>805</v>
      </c>
      <c r="C5325" s="334" t="s">
        <v>4935</v>
      </c>
      <c r="D5325" s="335" t="s">
        <v>635</v>
      </c>
      <c r="E5325" s="336">
        <v>43735</v>
      </c>
      <c r="F5325" s="336">
        <v>43735</v>
      </c>
      <c r="G5325" s="399"/>
      <c r="H5325" s="334" t="s">
        <v>666</v>
      </c>
      <c r="I5325" s="426">
        <v>13764770788</v>
      </c>
      <c r="J5325" s="334" t="s">
        <v>12364</v>
      </c>
      <c r="K5325" s="455">
        <v>10000</v>
      </c>
      <c r="L5325" s="338"/>
      <c r="M5325" s="338"/>
      <c r="N5325" s="362">
        <f t="shared" si="177"/>
        <v>0</v>
      </c>
      <c r="R5325" s="430" t="s">
        <v>52</v>
      </c>
      <c r="X5325" s="339"/>
    </row>
    <row r="5326" s="330" customFormat="1" ht="15" customHeight="1" spans="1:24">
      <c r="A5326" s="348"/>
      <c r="B5326" s="334" t="s">
        <v>2625</v>
      </c>
      <c r="C5326" s="334" t="s">
        <v>2626</v>
      </c>
      <c r="D5326" s="334" t="s">
        <v>337</v>
      </c>
      <c r="E5326" s="336">
        <v>43761</v>
      </c>
      <c r="F5326" s="336">
        <v>43735</v>
      </c>
      <c r="G5326" s="336">
        <v>43761</v>
      </c>
      <c r="H5326" s="334" t="s">
        <v>12365</v>
      </c>
      <c r="I5326" s="426">
        <v>18939797691</v>
      </c>
      <c r="J5326" s="334" t="s">
        <v>12366</v>
      </c>
      <c r="K5326" s="455">
        <v>5000</v>
      </c>
      <c r="L5326" s="334">
        <v>7819</v>
      </c>
      <c r="M5326" s="338"/>
      <c r="N5326" s="362">
        <f t="shared" si="177"/>
        <v>7819</v>
      </c>
      <c r="X5326" s="339"/>
    </row>
    <row r="5327" s="330" customFormat="1" ht="15" customHeight="1" spans="1:24">
      <c r="A5327" s="550" t="s">
        <v>7924</v>
      </c>
      <c r="B5327" s="334" t="s">
        <v>5435</v>
      </c>
      <c r="C5327" s="334" t="s">
        <v>1728</v>
      </c>
      <c r="D5327" s="334" t="s">
        <v>237</v>
      </c>
      <c r="E5327" s="336">
        <v>43737</v>
      </c>
      <c r="F5327" s="336">
        <v>43735</v>
      </c>
      <c r="G5327" s="336">
        <v>43736</v>
      </c>
      <c r="H5327" s="334" t="s">
        <v>12367</v>
      </c>
      <c r="I5327" s="426">
        <v>13818402701</v>
      </c>
      <c r="J5327" s="334" t="s">
        <v>12368</v>
      </c>
      <c r="K5327" s="455">
        <v>4541</v>
      </c>
      <c r="L5327" s="334">
        <v>4541</v>
      </c>
      <c r="M5327" s="338"/>
      <c r="N5327" s="362">
        <f t="shared" si="177"/>
        <v>4541</v>
      </c>
      <c r="X5327" s="339"/>
    </row>
    <row r="5328" s="330" customFormat="1" ht="15" customHeight="1" spans="1:24">
      <c r="A5328" s="348">
        <v>6105058</v>
      </c>
      <c r="B5328" s="348" t="s">
        <v>405</v>
      </c>
      <c r="C5328" s="334" t="s">
        <v>1234</v>
      </c>
      <c r="D5328" s="334" t="s">
        <v>407</v>
      </c>
      <c r="E5328" s="336">
        <v>43735</v>
      </c>
      <c r="F5328" s="336">
        <v>43735</v>
      </c>
      <c r="G5328" s="399">
        <v>43733</v>
      </c>
      <c r="H5328" s="334" t="s">
        <v>12369</v>
      </c>
      <c r="I5328" s="426">
        <v>17316533996</v>
      </c>
      <c r="J5328" s="334" t="s">
        <v>12370</v>
      </c>
      <c r="K5328" s="455">
        <v>3000</v>
      </c>
      <c r="L5328" s="334">
        <v>18881</v>
      </c>
      <c r="M5328" s="338"/>
      <c r="N5328" s="362">
        <f t="shared" ref="N5328:N5350" si="178">L5328+M5328</f>
        <v>18881</v>
      </c>
      <c r="X5328" s="339"/>
    </row>
    <row r="5329" s="330" customFormat="1" ht="15" customHeight="1" spans="1:24">
      <c r="A5329" s="348"/>
      <c r="B5329" s="334" t="s">
        <v>137</v>
      </c>
      <c r="C5329" s="334" t="s">
        <v>411</v>
      </c>
      <c r="D5329" s="334" t="s">
        <v>443</v>
      </c>
      <c r="E5329" s="336">
        <v>43735</v>
      </c>
      <c r="F5329" s="336">
        <v>43735</v>
      </c>
      <c r="G5329" s="399">
        <v>43735</v>
      </c>
      <c r="H5329" s="334" t="s">
        <v>12371</v>
      </c>
      <c r="I5329" s="334">
        <v>13052237487</v>
      </c>
      <c r="J5329" s="334" t="s">
        <v>12372</v>
      </c>
      <c r="K5329" s="455">
        <v>20000</v>
      </c>
      <c r="L5329" s="334">
        <v>20000</v>
      </c>
      <c r="M5329" s="338"/>
      <c r="N5329" s="362">
        <f t="shared" si="178"/>
        <v>20000</v>
      </c>
      <c r="X5329" s="339"/>
    </row>
    <row r="5330" s="330" customFormat="1" ht="15" customHeight="1" spans="1:24">
      <c r="A5330" s="348"/>
      <c r="B5330" s="334" t="s">
        <v>147</v>
      </c>
      <c r="C5330" s="334" t="s">
        <v>148</v>
      </c>
      <c r="D5330" s="334" t="s">
        <v>1170</v>
      </c>
      <c r="E5330" s="336">
        <v>43735</v>
      </c>
      <c r="F5330" s="336">
        <v>43735</v>
      </c>
      <c r="G5330" s="399">
        <v>43735</v>
      </c>
      <c r="H5330" s="334" t="s">
        <v>12373</v>
      </c>
      <c r="I5330" s="334">
        <v>13916863913</v>
      </c>
      <c r="J5330" s="334" t="s">
        <v>12374</v>
      </c>
      <c r="K5330" s="455">
        <v>21204</v>
      </c>
      <c r="L5330" s="334">
        <v>21204</v>
      </c>
      <c r="M5330" s="338"/>
      <c r="N5330" s="362">
        <f t="shared" si="178"/>
        <v>21204</v>
      </c>
      <c r="X5330" s="339"/>
    </row>
    <row r="5331" s="330" customFormat="1" ht="15" customHeight="1" spans="1:24">
      <c r="A5331" s="348"/>
      <c r="B5331" s="334" t="s">
        <v>137</v>
      </c>
      <c r="C5331" s="334" t="s">
        <v>426</v>
      </c>
      <c r="D5331" s="335" t="s">
        <v>443</v>
      </c>
      <c r="E5331" s="336">
        <v>43735</v>
      </c>
      <c r="F5331" s="336">
        <v>43721</v>
      </c>
      <c r="G5331" s="399"/>
      <c r="H5331" s="334" t="s">
        <v>12375</v>
      </c>
      <c r="I5331" s="426">
        <v>15021391350</v>
      </c>
      <c r="J5331" s="334" t="s">
        <v>12376</v>
      </c>
      <c r="K5331" s="455">
        <v>10000</v>
      </c>
      <c r="L5331" s="338"/>
      <c r="M5331" s="338"/>
      <c r="N5331" s="362">
        <f t="shared" si="178"/>
        <v>0</v>
      </c>
      <c r="U5331" s="393" t="s">
        <v>40</v>
      </c>
      <c r="X5331" s="339"/>
    </row>
    <row r="5332" s="330" customFormat="1" ht="15" customHeight="1" spans="1:24">
      <c r="A5332" s="550" t="s">
        <v>10569</v>
      </c>
      <c r="B5332" s="334" t="s">
        <v>6313</v>
      </c>
      <c r="C5332" s="334" t="s">
        <v>7818</v>
      </c>
      <c r="D5332" s="334" t="s">
        <v>6313</v>
      </c>
      <c r="E5332" s="336">
        <v>43735</v>
      </c>
      <c r="F5332" s="336">
        <v>43735</v>
      </c>
      <c r="G5332" s="399" t="s">
        <v>156</v>
      </c>
      <c r="H5332" s="334" t="s">
        <v>1131</v>
      </c>
      <c r="I5332" s="426">
        <v>18180460000</v>
      </c>
      <c r="J5332" s="334" t="s">
        <v>12377</v>
      </c>
      <c r="K5332" s="455">
        <v>1000</v>
      </c>
      <c r="L5332" s="338"/>
      <c r="M5332" s="338"/>
      <c r="N5332" s="362">
        <f t="shared" si="178"/>
        <v>0</v>
      </c>
      <c r="X5332" s="339"/>
    </row>
    <row r="5333" s="330" customFormat="1" ht="15" customHeight="1" spans="1:24">
      <c r="A5333" s="550" t="s">
        <v>9061</v>
      </c>
      <c r="B5333" s="334" t="s">
        <v>6313</v>
      </c>
      <c r="C5333" s="334" t="s">
        <v>7818</v>
      </c>
      <c r="D5333" s="334" t="s">
        <v>7871</v>
      </c>
      <c r="E5333" s="336">
        <v>43749</v>
      </c>
      <c r="F5333" s="336">
        <v>43735</v>
      </c>
      <c r="G5333" s="336">
        <v>43749</v>
      </c>
      <c r="H5333" s="334" t="s">
        <v>12378</v>
      </c>
      <c r="I5333" s="426">
        <v>18116332182</v>
      </c>
      <c r="J5333" s="334" t="s">
        <v>12379</v>
      </c>
      <c r="K5333" s="455">
        <v>1000</v>
      </c>
      <c r="L5333" s="334">
        <v>3738</v>
      </c>
      <c r="M5333" s="338"/>
      <c r="N5333" s="362">
        <f t="shared" si="178"/>
        <v>3738</v>
      </c>
      <c r="X5333" s="339"/>
    </row>
    <row r="5334" s="330" customFormat="1" ht="15" customHeight="1" spans="1:24">
      <c r="A5334" s="550" t="s">
        <v>10918</v>
      </c>
      <c r="B5334" s="334" t="s">
        <v>6313</v>
      </c>
      <c r="C5334" s="334" t="s">
        <v>7818</v>
      </c>
      <c r="D5334" s="334" t="s">
        <v>6313</v>
      </c>
      <c r="E5334" s="336">
        <v>43735</v>
      </c>
      <c r="F5334" s="336">
        <v>43735</v>
      </c>
      <c r="G5334" s="399" t="s">
        <v>156</v>
      </c>
      <c r="H5334" s="334" t="s">
        <v>12380</v>
      </c>
      <c r="I5334" s="426">
        <v>13046681246</v>
      </c>
      <c r="J5334" s="334" t="s">
        <v>12381</v>
      </c>
      <c r="K5334" s="455">
        <v>1000</v>
      </c>
      <c r="L5334" s="338"/>
      <c r="M5334" s="338"/>
      <c r="N5334" s="362">
        <f t="shared" si="178"/>
        <v>0</v>
      </c>
      <c r="X5334" s="339"/>
    </row>
    <row r="5335" s="330" customFormat="1" ht="15" customHeight="1" spans="1:24">
      <c r="A5335" s="550" t="s">
        <v>11070</v>
      </c>
      <c r="B5335" s="334" t="s">
        <v>6313</v>
      </c>
      <c r="C5335" s="334" t="s">
        <v>7818</v>
      </c>
      <c r="D5335" s="334" t="s">
        <v>7871</v>
      </c>
      <c r="E5335" s="336">
        <v>43746</v>
      </c>
      <c r="F5335" s="336">
        <v>43735</v>
      </c>
      <c r="G5335" s="336">
        <v>43738</v>
      </c>
      <c r="H5335" s="334" t="s">
        <v>2241</v>
      </c>
      <c r="I5335" s="426">
        <v>18916628863</v>
      </c>
      <c r="J5335" s="348" t="s">
        <v>12382</v>
      </c>
      <c r="K5335" s="455">
        <v>1000</v>
      </c>
      <c r="L5335" s="338"/>
      <c r="M5335" s="334">
        <v>9000</v>
      </c>
      <c r="N5335" s="362">
        <f t="shared" si="178"/>
        <v>9000</v>
      </c>
      <c r="X5335" s="339"/>
    </row>
    <row r="5336" s="330" customFormat="1" ht="15" customHeight="1" spans="1:24">
      <c r="A5336" s="550" t="s">
        <v>11131</v>
      </c>
      <c r="B5336" s="334" t="s">
        <v>6313</v>
      </c>
      <c r="C5336" s="334" t="s">
        <v>7818</v>
      </c>
      <c r="D5336" s="334" t="s">
        <v>7871</v>
      </c>
      <c r="E5336" s="336">
        <v>43766</v>
      </c>
      <c r="F5336" s="336">
        <v>43735</v>
      </c>
      <c r="G5336" s="336">
        <v>43765</v>
      </c>
      <c r="H5336" s="334" t="s">
        <v>12383</v>
      </c>
      <c r="I5336" s="426">
        <v>13681836676</v>
      </c>
      <c r="J5336" s="334" t="s">
        <v>12384</v>
      </c>
      <c r="K5336" s="455">
        <v>1000</v>
      </c>
      <c r="L5336" s="334">
        <v>7200</v>
      </c>
      <c r="M5336" s="338"/>
      <c r="N5336" s="362">
        <f t="shared" si="178"/>
        <v>7200</v>
      </c>
      <c r="X5336" s="339"/>
    </row>
    <row r="5337" s="330" customFormat="1" ht="15" customHeight="1" spans="1:24">
      <c r="A5337" s="334"/>
      <c r="B5337" s="334" t="s">
        <v>137</v>
      </c>
      <c r="C5337" s="334" t="s">
        <v>138</v>
      </c>
      <c r="D5337" s="334" t="s">
        <v>139</v>
      </c>
      <c r="E5337" s="336">
        <v>43735</v>
      </c>
      <c r="F5337" s="336"/>
      <c r="G5337" s="336">
        <v>43735</v>
      </c>
      <c r="H5337" s="334" t="s">
        <v>12385</v>
      </c>
      <c r="I5337" s="334">
        <v>13817545732</v>
      </c>
      <c r="J5337" s="334" t="s">
        <v>12386</v>
      </c>
      <c r="K5337" s="337"/>
      <c r="L5337" s="334">
        <v>8200</v>
      </c>
      <c r="M5337" s="338"/>
      <c r="N5337" s="362">
        <f t="shared" si="178"/>
        <v>8200</v>
      </c>
      <c r="X5337" s="339"/>
    </row>
    <row r="5338" s="330" customFormat="1" ht="15" customHeight="1" spans="1:24">
      <c r="A5338" s="334"/>
      <c r="B5338" s="334" t="s">
        <v>315</v>
      </c>
      <c r="C5338" s="334" t="s">
        <v>366</v>
      </c>
      <c r="D5338" s="334" t="s">
        <v>717</v>
      </c>
      <c r="E5338" s="336">
        <v>43735</v>
      </c>
      <c r="F5338" s="336"/>
      <c r="G5338" s="336">
        <v>43730</v>
      </c>
      <c r="H5338" s="334" t="s">
        <v>12387</v>
      </c>
      <c r="I5338" s="334">
        <v>13661990618</v>
      </c>
      <c r="J5338" s="334" t="s">
        <v>12388</v>
      </c>
      <c r="K5338" s="337"/>
      <c r="L5338" s="334">
        <v>8000</v>
      </c>
      <c r="M5338" s="338"/>
      <c r="N5338" s="362">
        <f t="shared" si="178"/>
        <v>8000</v>
      </c>
      <c r="X5338" s="339"/>
    </row>
    <row r="5339" s="330" customFormat="1" ht="15" customHeight="1" spans="1:24">
      <c r="A5339" s="334"/>
      <c r="B5339" s="334" t="s">
        <v>726</v>
      </c>
      <c r="C5339" s="334" t="s">
        <v>727</v>
      </c>
      <c r="D5339" s="334" t="s">
        <v>271</v>
      </c>
      <c r="E5339" s="336">
        <v>43735</v>
      </c>
      <c r="F5339" s="336"/>
      <c r="G5339" s="336">
        <v>43735</v>
      </c>
      <c r="H5339" s="334" t="s">
        <v>3431</v>
      </c>
      <c r="I5339" s="334">
        <v>13681699411</v>
      </c>
      <c r="J5339" s="334" t="s">
        <v>12389</v>
      </c>
      <c r="K5339" s="337"/>
      <c r="L5339" s="334">
        <v>77986</v>
      </c>
      <c r="M5339" s="338"/>
      <c r="N5339" s="362">
        <f t="shared" si="178"/>
        <v>77986</v>
      </c>
      <c r="X5339" s="339"/>
    </row>
    <row r="5340" s="330" customFormat="1" ht="15" customHeight="1" spans="1:24">
      <c r="A5340" s="334"/>
      <c r="B5340" s="334" t="s">
        <v>205</v>
      </c>
      <c r="C5340" s="334" t="s">
        <v>1467</v>
      </c>
      <c r="D5340" s="334" t="s">
        <v>89</v>
      </c>
      <c r="E5340" s="336">
        <v>43735</v>
      </c>
      <c r="F5340" s="336"/>
      <c r="G5340" s="336">
        <v>43722</v>
      </c>
      <c r="H5340" s="334" t="s">
        <v>7944</v>
      </c>
      <c r="I5340" s="334">
        <v>18939715851</v>
      </c>
      <c r="J5340" s="334" t="s">
        <v>7945</v>
      </c>
      <c r="K5340" s="337"/>
      <c r="L5340" s="338"/>
      <c r="M5340" s="334">
        <v>10000</v>
      </c>
      <c r="N5340" s="362">
        <f t="shared" si="178"/>
        <v>10000</v>
      </c>
      <c r="X5340" s="339"/>
    </row>
    <row r="5341" s="330" customFormat="1" ht="15" customHeight="1" spans="1:24">
      <c r="A5341" s="334"/>
      <c r="B5341" s="334" t="s">
        <v>137</v>
      </c>
      <c r="C5341" s="334" t="s">
        <v>2705</v>
      </c>
      <c r="D5341" s="334" t="s">
        <v>139</v>
      </c>
      <c r="E5341" s="336">
        <v>43735</v>
      </c>
      <c r="F5341" s="336"/>
      <c r="G5341" s="336">
        <v>43718</v>
      </c>
      <c r="H5341" s="334" t="s">
        <v>5305</v>
      </c>
      <c r="I5341" s="334">
        <v>18620979210</v>
      </c>
      <c r="J5341" s="334" t="s">
        <v>11233</v>
      </c>
      <c r="K5341" s="337"/>
      <c r="L5341" s="338"/>
      <c r="M5341" s="334">
        <v>-11008</v>
      </c>
      <c r="N5341" s="362">
        <f t="shared" si="178"/>
        <v>-11008</v>
      </c>
      <c r="X5341" s="339"/>
    </row>
    <row r="5342" s="330" customFormat="1" ht="15" customHeight="1" spans="1:24">
      <c r="A5342" s="334"/>
      <c r="B5342" s="348" t="s">
        <v>185</v>
      </c>
      <c r="C5342" s="348" t="s">
        <v>4146</v>
      </c>
      <c r="D5342" s="352" t="s">
        <v>187</v>
      </c>
      <c r="E5342" s="336">
        <v>43735</v>
      </c>
      <c r="F5342" s="336"/>
      <c r="G5342" s="336">
        <v>43730</v>
      </c>
      <c r="H5342" s="334" t="s">
        <v>5863</v>
      </c>
      <c r="I5342" s="334">
        <v>13901817427</v>
      </c>
      <c r="J5342" s="334" t="s">
        <v>5864</v>
      </c>
      <c r="K5342" s="337"/>
      <c r="L5342" s="338"/>
      <c r="M5342" s="334">
        <v>1500</v>
      </c>
      <c r="N5342" s="362">
        <f t="shared" si="178"/>
        <v>1500</v>
      </c>
      <c r="X5342" s="339"/>
    </row>
    <row r="5343" s="330" customFormat="1" ht="15" customHeight="1" spans="1:24">
      <c r="A5343" s="334"/>
      <c r="B5343" s="348" t="s">
        <v>185</v>
      </c>
      <c r="C5343" s="348" t="s">
        <v>1133</v>
      </c>
      <c r="D5343" s="334" t="s">
        <v>187</v>
      </c>
      <c r="E5343" s="336">
        <v>43735</v>
      </c>
      <c r="F5343" s="336"/>
      <c r="G5343" s="336">
        <v>43729</v>
      </c>
      <c r="H5343" s="334" t="s">
        <v>5961</v>
      </c>
      <c r="I5343" s="334">
        <v>15750736976</v>
      </c>
      <c r="J5343" s="334" t="s">
        <v>12390</v>
      </c>
      <c r="K5343" s="337"/>
      <c r="L5343" s="338"/>
      <c r="M5343" s="334">
        <v>14000</v>
      </c>
      <c r="N5343" s="362">
        <f t="shared" si="178"/>
        <v>14000</v>
      </c>
      <c r="X5343" s="339"/>
    </row>
    <row r="5344" s="330" customFormat="1" ht="15" customHeight="1" spans="1:24">
      <c r="A5344" s="334"/>
      <c r="B5344" s="348" t="s">
        <v>185</v>
      </c>
      <c r="C5344" s="348" t="s">
        <v>1204</v>
      </c>
      <c r="D5344" s="349" t="s">
        <v>187</v>
      </c>
      <c r="E5344" s="336">
        <v>43735</v>
      </c>
      <c r="F5344" s="336"/>
      <c r="G5344" s="336">
        <v>43734</v>
      </c>
      <c r="H5344" s="334" t="s">
        <v>2549</v>
      </c>
      <c r="I5344" s="334">
        <v>18097806001</v>
      </c>
      <c r="J5344" s="334" t="s">
        <v>12391</v>
      </c>
      <c r="K5344" s="337"/>
      <c r="L5344" s="338"/>
      <c r="M5344" s="334">
        <v>1686</v>
      </c>
      <c r="N5344" s="362">
        <f t="shared" si="178"/>
        <v>1686</v>
      </c>
      <c r="X5344" s="339"/>
    </row>
    <row r="5345" s="330" customFormat="1" ht="15" customHeight="1" spans="1:24">
      <c r="A5345" s="334"/>
      <c r="B5345" s="348" t="s">
        <v>31</v>
      </c>
      <c r="C5345" s="348" t="s">
        <v>419</v>
      </c>
      <c r="D5345" s="349" t="s">
        <v>221</v>
      </c>
      <c r="E5345" s="336">
        <v>43735</v>
      </c>
      <c r="F5345" s="336"/>
      <c r="G5345" s="336">
        <v>43735</v>
      </c>
      <c r="H5345" s="334" t="s">
        <v>857</v>
      </c>
      <c r="I5345" s="334">
        <v>13601738148</v>
      </c>
      <c r="J5345" s="334" t="s">
        <v>12392</v>
      </c>
      <c r="K5345" s="337"/>
      <c r="L5345" s="338"/>
      <c r="M5345" s="334">
        <v>2183</v>
      </c>
      <c r="N5345" s="362">
        <f t="shared" si="178"/>
        <v>2183</v>
      </c>
      <c r="X5345" s="339"/>
    </row>
    <row r="5346" s="330" customFormat="1" ht="15" customHeight="1" spans="1:24">
      <c r="A5346" s="334"/>
      <c r="B5346" s="348" t="s">
        <v>153</v>
      </c>
      <c r="C5346" s="348" t="s">
        <v>302</v>
      </c>
      <c r="D5346" s="352" t="s">
        <v>155</v>
      </c>
      <c r="E5346" s="336">
        <v>43735</v>
      </c>
      <c r="F5346" s="336" t="s">
        <v>800</v>
      </c>
      <c r="G5346" s="336">
        <v>43735</v>
      </c>
      <c r="H5346" s="334" t="s">
        <v>6080</v>
      </c>
      <c r="I5346" s="334">
        <v>18021044943</v>
      </c>
      <c r="J5346" s="334" t="s">
        <v>12393</v>
      </c>
      <c r="K5346" s="337"/>
      <c r="L5346" s="338"/>
      <c r="M5346" s="334">
        <f>1544+482</f>
        <v>2026</v>
      </c>
      <c r="N5346" s="362">
        <f t="shared" si="178"/>
        <v>2026</v>
      </c>
      <c r="X5346" s="339"/>
    </row>
    <row r="5347" s="330" customFormat="1" ht="15" customHeight="1" spans="1:24">
      <c r="A5347" s="334"/>
      <c r="B5347" s="334" t="s">
        <v>359</v>
      </c>
      <c r="C5347" s="334" t="s">
        <v>3018</v>
      </c>
      <c r="D5347" s="335" t="s">
        <v>361</v>
      </c>
      <c r="E5347" s="336">
        <v>43735</v>
      </c>
      <c r="F5347" s="336"/>
      <c r="G5347" s="336">
        <v>43735</v>
      </c>
      <c r="H5347" s="334" t="s">
        <v>975</v>
      </c>
      <c r="I5347" s="334">
        <v>13301437390</v>
      </c>
      <c r="J5347" s="348" t="s">
        <v>12394</v>
      </c>
      <c r="K5347" s="337"/>
      <c r="L5347" s="338"/>
      <c r="M5347" s="334">
        <v>1499</v>
      </c>
      <c r="N5347" s="362">
        <f t="shared" si="178"/>
        <v>1499</v>
      </c>
      <c r="X5347" s="339"/>
    </row>
    <row r="5348" s="330" customFormat="1" ht="15" customHeight="1" spans="1:24">
      <c r="A5348" s="334"/>
      <c r="B5348" s="348" t="s">
        <v>58</v>
      </c>
      <c r="C5348" s="348" t="s">
        <v>59</v>
      </c>
      <c r="D5348" s="349" t="s">
        <v>271</v>
      </c>
      <c r="E5348" s="336">
        <v>43735</v>
      </c>
      <c r="F5348" s="336"/>
      <c r="G5348" s="336">
        <v>43735</v>
      </c>
      <c r="H5348" s="334" t="s">
        <v>272</v>
      </c>
      <c r="I5348" s="334">
        <v>13381832767</v>
      </c>
      <c r="J5348" s="334" t="s">
        <v>12395</v>
      </c>
      <c r="K5348" s="337"/>
      <c r="L5348" s="338"/>
      <c r="M5348" s="334">
        <v>124</v>
      </c>
      <c r="N5348" s="362">
        <f t="shared" si="178"/>
        <v>124</v>
      </c>
      <c r="X5348" s="339"/>
    </row>
    <row r="5349" s="330" customFormat="1" ht="15" customHeight="1" spans="1:24">
      <c r="A5349" s="334"/>
      <c r="B5349" s="334" t="s">
        <v>31</v>
      </c>
      <c r="C5349" s="334" t="s">
        <v>251</v>
      </c>
      <c r="D5349" s="334" t="s">
        <v>221</v>
      </c>
      <c r="E5349" s="336">
        <v>43735</v>
      </c>
      <c r="F5349" s="336"/>
      <c r="G5349" s="336">
        <v>43695</v>
      </c>
      <c r="H5349" s="334" t="s">
        <v>12396</v>
      </c>
      <c r="I5349" s="334">
        <v>13917955519</v>
      </c>
      <c r="J5349" s="334" t="s">
        <v>12397</v>
      </c>
      <c r="K5349" s="337"/>
      <c r="L5349" s="338"/>
      <c r="M5349" s="334">
        <v>615</v>
      </c>
      <c r="N5349" s="362">
        <f t="shared" si="178"/>
        <v>615</v>
      </c>
      <c r="X5349" s="339"/>
    </row>
    <row r="5350" s="330" customFormat="1" ht="15" customHeight="1" spans="1:24">
      <c r="A5350" s="334"/>
      <c r="B5350" s="334" t="s">
        <v>169</v>
      </c>
      <c r="C5350" s="334" t="s">
        <v>634</v>
      </c>
      <c r="D5350" s="334" t="s">
        <v>171</v>
      </c>
      <c r="E5350" s="336">
        <v>43735</v>
      </c>
      <c r="F5350" s="336"/>
      <c r="G5350" s="336">
        <v>43734</v>
      </c>
      <c r="H5350" s="334" t="s">
        <v>12398</v>
      </c>
      <c r="I5350" s="334">
        <v>18621312211</v>
      </c>
      <c r="J5350" s="334" t="s">
        <v>12399</v>
      </c>
      <c r="K5350" s="337"/>
      <c r="L5350" s="338"/>
      <c r="M5350" s="334">
        <v>1394</v>
      </c>
      <c r="N5350" s="362">
        <f t="shared" si="178"/>
        <v>1394</v>
      </c>
      <c r="X5350" s="339"/>
    </row>
    <row r="5351" s="330" customFormat="1" ht="15" customHeight="1" spans="1:24">
      <c r="A5351" s="550" t="s">
        <v>12400</v>
      </c>
      <c r="B5351" s="334" t="s">
        <v>47</v>
      </c>
      <c r="C5351" s="334" t="s">
        <v>53</v>
      </c>
      <c r="D5351" s="335" t="s">
        <v>49</v>
      </c>
      <c r="E5351" s="336">
        <v>43736</v>
      </c>
      <c r="F5351" s="336">
        <v>43709</v>
      </c>
      <c r="G5351" s="399" t="s">
        <v>12401</v>
      </c>
      <c r="H5351" s="334" t="s">
        <v>1925</v>
      </c>
      <c r="I5351" s="426" t="s">
        <v>12402</v>
      </c>
      <c r="J5351" s="334" t="s">
        <v>12403</v>
      </c>
      <c r="K5351" s="455">
        <v>1000</v>
      </c>
      <c r="L5351" s="338"/>
      <c r="M5351" s="338"/>
      <c r="N5351" s="362">
        <f t="shared" ref="N5351:N5377" si="179">L5351+M5351</f>
        <v>0</v>
      </c>
      <c r="X5351" s="339"/>
    </row>
    <row r="5352" s="330" customFormat="1" ht="15" customHeight="1" spans="1:24">
      <c r="A5352" s="550" t="s">
        <v>12404</v>
      </c>
      <c r="B5352" s="334" t="s">
        <v>31</v>
      </c>
      <c r="C5352" s="334" t="s">
        <v>220</v>
      </c>
      <c r="D5352" s="335" t="s">
        <v>221</v>
      </c>
      <c r="E5352" s="336">
        <v>43736</v>
      </c>
      <c r="F5352" s="336">
        <v>43735</v>
      </c>
      <c r="G5352" s="399"/>
      <c r="H5352" s="334" t="s">
        <v>12405</v>
      </c>
      <c r="I5352" s="426">
        <v>15002124355</v>
      </c>
      <c r="J5352" s="334" t="s">
        <v>12406</v>
      </c>
      <c r="K5352" s="455">
        <v>1000</v>
      </c>
      <c r="L5352" s="338"/>
      <c r="M5352" s="338"/>
      <c r="N5352" s="362">
        <f t="shared" si="179"/>
        <v>0</v>
      </c>
      <c r="U5352" s="393" t="s">
        <v>40</v>
      </c>
      <c r="X5352" s="339"/>
    </row>
    <row r="5353" s="330" customFormat="1" ht="15" customHeight="1" spans="1:24">
      <c r="A5353" s="348"/>
      <c r="B5353" s="334" t="s">
        <v>66</v>
      </c>
      <c r="C5353" s="334" t="s">
        <v>1749</v>
      </c>
      <c r="D5353" s="334" t="s">
        <v>1436</v>
      </c>
      <c r="E5353" s="336">
        <v>43736</v>
      </c>
      <c r="F5353" s="336">
        <v>43735</v>
      </c>
      <c r="G5353" s="399">
        <v>43734</v>
      </c>
      <c r="H5353" s="334" t="s">
        <v>12407</v>
      </c>
      <c r="I5353" s="426">
        <v>13681916335</v>
      </c>
      <c r="J5353" s="334" t="s">
        <v>12408</v>
      </c>
      <c r="K5353" s="455">
        <v>10000</v>
      </c>
      <c r="L5353" s="334">
        <v>10000</v>
      </c>
      <c r="M5353" s="338"/>
      <c r="N5353" s="362">
        <f t="shared" si="179"/>
        <v>10000</v>
      </c>
      <c r="X5353" s="339"/>
    </row>
    <row r="5354" s="330" customFormat="1" ht="15" customHeight="1" spans="1:24">
      <c r="A5354" s="550" t="s">
        <v>12409</v>
      </c>
      <c r="B5354" s="334" t="s">
        <v>87</v>
      </c>
      <c r="C5354" s="334" t="s">
        <v>466</v>
      </c>
      <c r="D5354" s="335" t="s">
        <v>89</v>
      </c>
      <c r="E5354" s="336">
        <v>43736</v>
      </c>
      <c r="F5354" s="336">
        <v>43735</v>
      </c>
      <c r="G5354" s="399"/>
      <c r="H5354" s="334" t="s">
        <v>12410</v>
      </c>
      <c r="I5354" s="426">
        <v>18930907490</v>
      </c>
      <c r="J5354" s="334" t="s">
        <v>12411</v>
      </c>
      <c r="K5354" s="455">
        <v>1000</v>
      </c>
      <c r="L5354" s="338"/>
      <c r="M5354" s="338"/>
      <c r="N5354" s="362">
        <f t="shared" si="179"/>
        <v>0</v>
      </c>
      <c r="Q5354" s="356" t="s">
        <v>52</v>
      </c>
      <c r="U5354" s="415" t="s">
        <v>40</v>
      </c>
      <c r="X5354" s="339"/>
    </row>
    <row r="5355" s="330" customFormat="1" ht="15" customHeight="1" spans="1:24">
      <c r="A5355" s="550" t="s">
        <v>12412</v>
      </c>
      <c r="B5355" s="334" t="s">
        <v>87</v>
      </c>
      <c r="C5355" s="334" t="s">
        <v>466</v>
      </c>
      <c r="D5355" s="335" t="s">
        <v>89</v>
      </c>
      <c r="E5355" s="336">
        <v>43736</v>
      </c>
      <c r="F5355" s="336">
        <v>43735</v>
      </c>
      <c r="G5355" s="399"/>
      <c r="H5355" s="334" t="s">
        <v>12413</v>
      </c>
      <c r="I5355" s="426">
        <v>18616779850</v>
      </c>
      <c r="J5355" s="334" t="s">
        <v>12414</v>
      </c>
      <c r="K5355" s="455">
        <v>1998</v>
      </c>
      <c r="L5355" s="338"/>
      <c r="M5355" s="338"/>
      <c r="N5355" s="362">
        <f t="shared" si="179"/>
        <v>0</v>
      </c>
      <c r="U5355" s="330" t="s">
        <v>12</v>
      </c>
      <c r="X5355" s="339"/>
    </row>
    <row r="5356" s="330" customFormat="1" ht="15" customHeight="1" spans="1:24">
      <c r="A5356" s="550" t="s">
        <v>12415</v>
      </c>
      <c r="B5356" s="334" t="s">
        <v>31</v>
      </c>
      <c r="C5356" s="334" t="s">
        <v>2716</v>
      </c>
      <c r="D5356" s="335" t="s">
        <v>33</v>
      </c>
      <c r="E5356" s="336">
        <v>43759</v>
      </c>
      <c r="F5356" s="336">
        <v>43736</v>
      </c>
      <c r="G5356" s="336">
        <v>43751</v>
      </c>
      <c r="H5356" s="334" t="s">
        <v>7330</v>
      </c>
      <c r="I5356" s="426">
        <v>18621999759</v>
      </c>
      <c r="J5356" s="334" t="s">
        <v>12416</v>
      </c>
      <c r="K5356" s="455">
        <v>1000</v>
      </c>
      <c r="L5356" s="334">
        <v>10700</v>
      </c>
      <c r="M5356" s="338"/>
      <c r="N5356" s="362">
        <f t="shared" si="179"/>
        <v>10700</v>
      </c>
      <c r="X5356" s="339"/>
    </row>
    <row r="5357" s="330" customFormat="1" ht="15" customHeight="1" spans="1:24">
      <c r="A5357" s="550" t="s">
        <v>9852</v>
      </c>
      <c r="B5357" s="334" t="s">
        <v>185</v>
      </c>
      <c r="C5357" s="334" t="s">
        <v>186</v>
      </c>
      <c r="D5357" s="335" t="s">
        <v>187</v>
      </c>
      <c r="E5357" s="336">
        <v>43736</v>
      </c>
      <c r="F5357" s="336">
        <v>43736</v>
      </c>
      <c r="G5357" s="399"/>
      <c r="H5357" s="334" t="s">
        <v>12417</v>
      </c>
      <c r="I5357" s="426">
        <v>18321968707</v>
      </c>
      <c r="J5357" s="334" t="s">
        <v>12418</v>
      </c>
      <c r="K5357" s="455">
        <v>1299</v>
      </c>
      <c r="L5357" s="338"/>
      <c r="M5357" s="338"/>
      <c r="N5357" s="362">
        <f t="shared" si="179"/>
        <v>0</v>
      </c>
      <c r="O5357" s="467" t="s">
        <v>52</v>
      </c>
      <c r="X5357" s="339"/>
    </row>
    <row r="5358" s="330" customFormat="1" ht="15" customHeight="1" spans="1:24">
      <c r="A5358" s="550" t="s">
        <v>12419</v>
      </c>
      <c r="B5358" s="334" t="s">
        <v>153</v>
      </c>
      <c r="C5358" s="334" t="s">
        <v>154</v>
      </c>
      <c r="D5358" s="335" t="s">
        <v>155</v>
      </c>
      <c r="E5358" s="336">
        <v>43737</v>
      </c>
      <c r="F5358" s="336">
        <v>43736</v>
      </c>
      <c r="G5358" s="336">
        <v>43737</v>
      </c>
      <c r="H5358" s="334" t="s">
        <v>12420</v>
      </c>
      <c r="I5358" s="426">
        <v>13801637007</v>
      </c>
      <c r="J5358" s="334" t="s">
        <v>12421</v>
      </c>
      <c r="K5358" s="455">
        <v>10000</v>
      </c>
      <c r="L5358" s="334">
        <v>13640</v>
      </c>
      <c r="M5358" s="338"/>
      <c r="N5358" s="362">
        <f t="shared" si="179"/>
        <v>13640</v>
      </c>
      <c r="X5358" s="339"/>
    </row>
    <row r="5359" s="330" customFormat="1" ht="15" customHeight="1" spans="1:24">
      <c r="A5359" s="550" t="s">
        <v>4408</v>
      </c>
      <c r="B5359" s="334" t="s">
        <v>726</v>
      </c>
      <c r="C5359" s="334" t="s">
        <v>727</v>
      </c>
      <c r="D5359" s="335" t="s">
        <v>149</v>
      </c>
      <c r="E5359" s="336">
        <v>43752</v>
      </c>
      <c r="F5359" s="336">
        <v>43736</v>
      </c>
      <c r="G5359" s="336">
        <v>43750</v>
      </c>
      <c r="H5359" s="334" t="s">
        <v>12422</v>
      </c>
      <c r="I5359" s="426">
        <v>18910420830</v>
      </c>
      <c r="J5359" s="334" t="s">
        <v>12423</v>
      </c>
      <c r="K5359" s="455">
        <v>4405</v>
      </c>
      <c r="L5359" s="334">
        <v>6375</v>
      </c>
      <c r="M5359" s="338"/>
      <c r="N5359" s="362">
        <f t="shared" si="179"/>
        <v>6375</v>
      </c>
      <c r="X5359" s="339"/>
    </row>
    <row r="5360" s="330" customFormat="1" ht="15" customHeight="1" spans="1:24">
      <c r="A5360" s="550" t="s">
        <v>4404</v>
      </c>
      <c r="B5360" s="334" t="s">
        <v>726</v>
      </c>
      <c r="C5360" s="334" t="s">
        <v>727</v>
      </c>
      <c r="D5360" s="335" t="s">
        <v>149</v>
      </c>
      <c r="E5360" s="336">
        <v>43760</v>
      </c>
      <c r="F5360" s="336">
        <v>43736</v>
      </c>
      <c r="G5360" s="336">
        <v>43759</v>
      </c>
      <c r="H5360" s="334" t="s">
        <v>12424</v>
      </c>
      <c r="I5360" s="426">
        <v>13915730841</v>
      </c>
      <c r="J5360" s="334" t="s">
        <v>12425</v>
      </c>
      <c r="K5360" s="455">
        <v>3999</v>
      </c>
      <c r="L5360" s="334">
        <v>3794</v>
      </c>
      <c r="M5360" s="338"/>
      <c r="N5360" s="362">
        <f t="shared" si="179"/>
        <v>3794</v>
      </c>
      <c r="X5360" s="339"/>
    </row>
    <row r="5361" s="330" customFormat="1" ht="15" customHeight="1" spans="1:24">
      <c r="A5361" s="348"/>
      <c r="B5361" s="334" t="s">
        <v>123</v>
      </c>
      <c r="C5361" s="334" t="s">
        <v>902</v>
      </c>
      <c r="D5361" s="335" t="s">
        <v>125</v>
      </c>
      <c r="E5361" s="336">
        <v>43774</v>
      </c>
      <c r="F5361" s="336">
        <v>43736</v>
      </c>
      <c r="G5361" s="336">
        <v>43771</v>
      </c>
      <c r="H5361" s="334" t="s">
        <v>12426</v>
      </c>
      <c r="I5361" s="334">
        <v>13681750708</v>
      </c>
      <c r="J5361" s="334" t="s">
        <v>12427</v>
      </c>
      <c r="K5361" s="455">
        <v>1000</v>
      </c>
      <c r="L5361" s="334">
        <v>11300</v>
      </c>
      <c r="M5361" s="338"/>
      <c r="N5361" s="362">
        <f t="shared" si="179"/>
        <v>11300</v>
      </c>
      <c r="X5361" s="339"/>
    </row>
    <row r="5362" s="330" customFormat="1" ht="15" customHeight="1" spans="1:24">
      <c r="A5362" s="550" t="s">
        <v>12428</v>
      </c>
      <c r="B5362" s="334" t="s">
        <v>805</v>
      </c>
      <c r="C5362" s="334" t="s">
        <v>806</v>
      </c>
      <c r="D5362" s="335" t="s">
        <v>171</v>
      </c>
      <c r="E5362" s="336">
        <v>43765</v>
      </c>
      <c r="F5362" s="336">
        <v>43736</v>
      </c>
      <c r="G5362" s="336">
        <v>43764</v>
      </c>
      <c r="H5362" s="334" t="s">
        <v>12429</v>
      </c>
      <c r="I5362" s="426">
        <v>18621598453</v>
      </c>
      <c r="J5362" s="334" t="s">
        <v>12430</v>
      </c>
      <c r="K5362" s="455">
        <v>5000</v>
      </c>
      <c r="L5362" s="334">
        <v>9313</v>
      </c>
      <c r="M5362" s="338"/>
      <c r="N5362" s="362">
        <f t="shared" si="179"/>
        <v>9313</v>
      </c>
      <c r="X5362" s="339"/>
    </row>
    <row r="5363" s="330" customFormat="1" ht="15" customHeight="1" spans="1:24">
      <c r="A5363" s="550" t="s">
        <v>12431</v>
      </c>
      <c r="B5363" s="334" t="s">
        <v>73</v>
      </c>
      <c r="C5363" s="334" t="s">
        <v>74</v>
      </c>
      <c r="D5363" s="335" t="s">
        <v>717</v>
      </c>
      <c r="E5363" s="336">
        <v>43769</v>
      </c>
      <c r="F5363" s="336">
        <v>43736</v>
      </c>
      <c r="G5363" s="336">
        <v>43769</v>
      </c>
      <c r="H5363" s="334" t="s">
        <v>12432</v>
      </c>
      <c r="I5363" s="426">
        <v>13917588550</v>
      </c>
      <c r="J5363" s="334" t="s">
        <v>12433</v>
      </c>
      <c r="K5363" s="455">
        <v>1000</v>
      </c>
      <c r="L5363" s="334">
        <v>14886</v>
      </c>
      <c r="M5363" s="338"/>
      <c r="N5363" s="362">
        <f t="shared" si="179"/>
        <v>14886</v>
      </c>
      <c r="X5363" s="339"/>
    </row>
    <row r="5364" s="330" customFormat="1" ht="15" customHeight="1" spans="1:24">
      <c r="A5364" s="550" t="s">
        <v>12434</v>
      </c>
      <c r="B5364" s="334" t="s">
        <v>73</v>
      </c>
      <c r="C5364" s="334" t="s">
        <v>74</v>
      </c>
      <c r="D5364" s="334" t="s">
        <v>427</v>
      </c>
      <c r="E5364" s="336">
        <v>43799</v>
      </c>
      <c r="F5364" s="336">
        <v>43736</v>
      </c>
      <c r="G5364" s="336">
        <v>43799</v>
      </c>
      <c r="H5364" s="334" t="s">
        <v>12435</v>
      </c>
      <c r="I5364" s="426">
        <v>13311869221</v>
      </c>
      <c r="J5364" s="334" t="s">
        <v>12436</v>
      </c>
      <c r="K5364" s="455">
        <v>1000</v>
      </c>
      <c r="L5364" s="334">
        <v>30215</v>
      </c>
      <c r="M5364" s="338"/>
      <c r="N5364" s="362">
        <f t="shared" si="179"/>
        <v>30215</v>
      </c>
      <c r="O5364" s="366" t="s">
        <v>52</v>
      </c>
      <c r="X5364" s="339"/>
    </row>
    <row r="5365" s="330" customFormat="1" ht="15" customHeight="1" spans="1:24">
      <c r="A5365" s="550" t="s">
        <v>12437</v>
      </c>
      <c r="B5365" s="334" t="s">
        <v>73</v>
      </c>
      <c r="C5365" s="334" t="s">
        <v>74</v>
      </c>
      <c r="D5365" s="334" t="s">
        <v>717</v>
      </c>
      <c r="E5365" s="336">
        <v>43737</v>
      </c>
      <c r="F5365" s="336">
        <v>43736</v>
      </c>
      <c r="G5365" s="336">
        <v>43737</v>
      </c>
      <c r="H5365" s="334" t="s">
        <v>12438</v>
      </c>
      <c r="I5365" s="426">
        <v>13052320058</v>
      </c>
      <c r="J5365" s="334" t="s">
        <v>12439</v>
      </c>
      <c r="K5365" s="455">
        <v>1000</v>
      </c>
      <c r="L5365" s="334">
        <v>38308</v>
      </c>
      <c r="M5365" s="338"/>
      <c r="N5365" s="362">
        <f t="shared" si="179"/>
        <v>38308</v>
      </c>
      <c r="X5365" s="339"/>
    </row>
    <row r="5366" s="330" customFormat="1" ht="15" customHeight="1" spans="1:24">
      <c r="A5366" s="550" t="s">
        <v>9743</v>
      </c>
      <c r="B5366" s="334" t="s">
        <v>185</v>
      </c>
      <c r="C5366" s="334" t="s">
        <v>1204</v>
      </c>
      <c r="D5366" s="335" t="s">
        <v>44</v>
      </c>
      <c r="E5366" s="336">
        <v>43737</v>
      </c>
      <c r="F5366" s="336">
        <v>43736</v>
      </c>
      <c r="G5366" s="336">
        <v>43737</v>
      </c>
      <c r="H5366" s="334" t="s">
        <v>12440</v>
      </c>
      <c r="I5366" s="426">
        <v>13391036022</v>
      </c>
      <c r="J5366" s="334" t="s">
        <v>12441</v>
      </c>
      <c r="K5366" s="455">
        <v>2827</v>
      </c>
      <c r="L5366" s="334">
        <f>2902-268</f>
        <v>2634</v>
      </c>
      <c r="M5366" s="334">
        <v>268</v>
      </c>
      <c r="N5366" s="362">
        <f t="shared" si="179"/>
        <v>2902</v>
      </c>
      <c r="X5366" s="339"/>
    </row>
    <row r="5367" s="330" customFormat="1" ht="15" customHeight="1" spans="1:24">
      <c r="A5367" s="550" t="s">
        <v>10552</v>
      </c>
      <c r="B5367" s="334" t="s">
        <v>185</v>
      </c>
      <c r="C5367" s="334" t="s">
        <v>1204</v>
      </c>
      <c r="D5367" s="335" t="s">
        <v>44</v>
      </c>
      <c r="E5367" s="336">
        <v>43745</v>
      </c>
      <c r="F5367" s="336">
        <v>43736</v>
      </c>
      <c r="G5367" s="336">
        <v>43744</v>
      </c>
      <c r="H5367" s="334" t="s">
        <v>12442</v>
      </c>
      <c r="I5367" s="426">
        <v>17301658105</v>
      </c>
      <c r="J5367" s="334" t="s">
        <v>12443</v>
      </c>
      <c r="K5367" s="455">
        <v>2954</v>
      </c>
      <c r="L5367" s="334">
        <v>6287</v>
      </c>
      <c r="M5367" s="338"/>
      <c r="N5367" s="362">
        <f t="shared" si="179"/>
        <v>6287</v>
      </c>
      <c r="X5367" s="339"/>
    </row>
    <row r="5368" s="330" customFormat="1" ht="15" customHeight="1" spans="1:24">
      <c r="A5368" s="550" t="s">
        <v>12444</v>
      </c>
      <c r="B5368" s="334" t="s">
        <v>73</v>
      </c>
      <c r="C5368" s="334" t="s">
        <v>74</v>
      </c>
      <c r="D5368" s="335" t="s">
        <v>125</v>
      </c>
      <c r="E5368" s="336">
        <v>43795</v>
      </c>
      <c r="F5368" s="336">
        <v>43736</v>
      </c>
      <c r="G5368" s="336">
        <v>43795</v>
      </c>
      <c r="H5368" s="334" t="s">
        <v>12445</v>
      </c>
      <c r="I5368" s="334">
        <v>13661963513</v>
      </c>
      <c r="J5368" s="334" t="s">
        <v>12446</v>
      </c>
      <c r="K5368" s="455">
        <v>1000</v>
      </c>
      <c r="L5368" s="334">
        <v>14880</v>
      </c>
      <c r="M5368" s="338"/>
      <c r="N5368" s="362">
        <f t="shared" si="179"/>
        <v>14880</v>
      </c>
      <c r="O5368" s="366" t="s">
        <v>52</v>
      </c>
      <c r="X5368" s="339"/>
    </row>
    <row r="5369" s="330" customFormat="1" ht="15" customHeight="1" spans="1:24">
      <c r="A5369" s="348"/>
      <c r="B5369" s="334" t="s">
        <v>335</v>
      </c>
      <c r="C5369" s="334" t="s">
        <v>615</v>
      </c>
      <c r="D5369" s="334" t="s">
        <v>337</v>
      </c>
      <c r="E5369" s="336">
        <v>43736</v>
      </c>
      <c r="F5369" s="336">
        <v>43736</v>
      </c>
      <c r="G5369" s="336">
        <v>43736</v>
      </c>
      <c r="H5369" s="334" t="s">
        <v>12447</v>
      </c>
      <c r="I5369" s="334">
        <v>15000551852</v>
      </c>
      <c r="J5369" s="334" t="s">
        <v>12448</v>
      </c>
      <c r="K5369" s="455">
        <v>8494</v>
      </c>
      <c r="L5369" s="334">
        <f>8494-1140</f>
        <v>7354</v>
      </c>
      <c r="M5369" s="334">
        <v>1140</v>
      </c>
      <c r="N5369" s="362">
        <f t="shared" si="179"/>
        <v>8494</v>
      </c>
      <c r="X5369" s="339"/>
    </row>
    <row r="5370" s="330" customFormat="1" ht="15" customHeight="1" spans="1:24">
      <c r="A5370" s="334"/>
      <c r="B5370" s="334" t="s">
        <v>153</v>
      </c>
      <c r="C5370" s="334" t="s">
        <v>302</v>
      </c>
      <c r="D5370" s="334" t="s">
        <v>155</v>
      </c>
      <c r="E5370" s="336">
        <v>43736</v>
      </c>
      <c r="F5370" s="336"/>
      <c r="G5370" s="336">
        <v>43734</v>
      </c>
      <c r="H5370" s="334" t="s">
        <v>12449</v>
      </c>
      <c r="I5370" s="334">
        <v>17721007276</v>
      </c>
      <c r="J5370" s="334" t="s">
        <v>12450</v>
      </c>
      <c r="K5370" s="337"/>
      <c r="L5370" s="334">
        <v>11005</v>
      </c>
      <c r="M5370" s="338"/>
      <c r="N5370" s="362">
        <f t="shared" si="179"/>
        <v>11005</v>
      </c>
      <c r="X5370" s="339"/>
    </row>
    <row r="5371" s="330" customFormat="1" ht="15" customHeight="1" spans="1:24">
      <c r="A5371" s="334"/>
      <c r="B5371" s="334" t="s">
        <v>185</v>
      </c>
      <c r="C5371" s="408" t="s">
        <v>1620</v>
      </c>
      <c r="D5371" s="334" t="s">
        <v>44</v>
      </c>
      <c r="E5371" s="336">
        <v>43736</v>
      </c>
      <c r="F5371" s="336"/>
      <c r="G5371" s="336">
        <v>43734</v>
      </c>
      <c r="H5371" s="334" t="s">
        <v>12451</v>
      </c>
      <c r="I5371" s="334">
        <v>13701754236</v>
      </c>
      <c r="J5371" s="334" t="s">
        <v>12452</v>
      </c>
      <c r="K5371" s="337"/>
      <c r="L5371" s="334">
        <f>45544-2280</f>
        <v>43264</v>
      </c>
      <c r="M5371" s="334">
        <v>2280</v>
      </c>
      <c r="N5371" s="362">
        <f t="shared" si="179"/>
        <v>45544</v>
      </c>
      <c r="X5371" s="339"/>
    </row>
    <row r="5372" s="330" customFormat="1" ht="15" customHeight="1" spans="1:24">
      <c r="A5372" s="334"/>
      <c r="B5372" s="334" t="s">
        <v>153</v>
      </c>
      <c r="C5372" s="334" t="s">
        <v>302</v>
      </c>
      <c r="D5372" s="334" t="s">
        <v>155</v>
      </c>
      <c r="E5372" s="336">
        <v>43736</v>
      </c>
      <c r="F5372" s="336"/>
      <c r="G5372" s="336">
        <v>43736</v>
      </c>
      <c r="H5372" s="334" t="s">
        <v>12453</v>
      </c>
      <c r="I5372" s="334">
        <v>15618192409</v>
      </c>
      <c r="J5372" s="334" t="s">
        <v>12454</v>
      </c>
      <c r="K5372" s="337"/>
      <c r="L5372" s="334">
        <v>14583</v>
      </c>
      <c r="M5372" s="338"/>
      <c r="N5372" s="362">
        <f t="shared" si="179"/>
        <v>14583</v>
      </c>
      <c r="X5372" s="339"/>
    </row>
    <row r="5373" s="330" customFormat="1" ht="15" customHeight="1" spans="1:24">
      <c r="A5373" s="334"/>
      <c r="B5373" s="334" t="s">
        <v>123</v>
      </c>
      <c r="C5373" s="334" t="s">
        <v>32</v>
      </c>
      <c r="D5373" s="335" t="s">
        <v>125</v>
      </c>
      <c r="E5373" s="336">
        <v>43736</v>
      </c>
      <c r="F5373" s="336"/>
      <c r="G5373" s="336">
        <v>43736</v>
      </c>
      <c r="H5373" s="334" t="s">
        <v>12455</v>
      </c>
      <c r="I5373" s="334">
        <v>13801879696</v>
      </c>
      <c r="J5373" s="348" t="s">
        <v>12456</v>
      </c>
      <c r="K5373" s="337"/>
      <c r="L5373" s="334">
        <v>13799</v>
      </c>
      <c r="M5373" s="334">
        <v>120</v>
      </c>
      <c r="N5373" s="362">
        <f t="shared" si="179"/>
        <v>13919</v>
      </c>
      <c r="X5373" s="339"/>
    </row>
    <row r="5374" s="330" customFormat="1" ht="15" customHeight="1" spans="1:24">
      <c r="A5374" s="334"/>
      <c r="B5374" s="348" t="s">
        <v>73</v>
      </c>
      <c r="C5374" s="348" t="s">
        <v>74</v>
      </c>
      <c r="D5374" s="352" t="s">
        <v>717</v>
      </c>
      <c r="E5374" s="336">
        <v>43736</v>
      </c>
      <c r="F5374" s="336" t="s">
        <v>800</v>
      </c>
      <c r="G5374" s="336">
        <v>43735</v>
      </c>
      <c r="H5374" s="334" t="s">
        <v>5207</v>
      </c>
      <c r="I5374" s="334">
        <v>13585899430</v>
      </c>
      <c r="J5374" s="334" t="s">
        <v>5208</v>
      </c>
      <c r="K5374" s="337"/>
      <c r="L5374" s="338"/>
      <c r="M5374" s="334">
        <v>-8057</v>
      </c>
      <c r="N5374" s="362">
        <f t="shared" si="179"/>
        <v>-8057</v>
      </c>
      <c r="X5374" s="339"/>
    </row>
    <row r="5375" s="330" customFormat="1" ht="15" customHeight="1" spans="1:24">
      <c r="A5375" s="334"/>
      <c r="B5375" s="348" t="s">
        <v>87</v>
      </c>
      <c r="C5375" s="334" t="s">
        <v>199</v>
      </c>
      <c r="D5375" s="349" t="s">
        <v>89</v>
      </c>
      <c r="E5375" s="336">
        <v>43736</v>
      </c>
      <c r="F5375" s="336" t="s">
        <v>800</v>
      </c>
      <c r="G5375" s="336">
        <v>43735</v>
      </c>
      <c r="H5375" s="334" t="s">
        <v>8390</v>
      </c>
      <c r="I5375" s="356">
        <v>13816178636</v>
      </c>
      <c r="J5375" s="348" t="s">
        <v>8391</v>
      </c>
      <c r="K5375" s="337"/>
      <c r="L5375" s="338"/>
      <c r="M5375" s="334">
        <v>2928</v>
      </c>
      <c r="N5375" s="362">
        <f t="shared" si="179"/>
        <v>2928</v>
      </c>
      <c r="X5375" s="339"/>
    </row>
    <row r="5376" s="330" customFormat="1" ht="15" customHeight="1" spans="1:24">
      <c r="A5376" s="334"/>
      <c r="B5376" s="334" t="s">
        <v>185</v>
      </c>
      <c r="C5376" s="334" t="s">
        <v>186</v>
      </c>
      <c r="D5376" s="335" t="s">
        <v>187</v>
      </c>
      <c r="E5376" s="336">
        <v>43736</v>
      </c>
      <c r="F5376" s="336" t="s">
        <v>800</v>
      </c>
      <c r="G5376" s="336">
        <v>43736</v>
      </c>
      <c r="H5376" s="334" t="s">
        <v>10250</v>
      </c>
      <c r="I5376" s="334">
        <v>18930232061</v>
      </c>
      <c r="J5376" s="334" t="s">
        <v>12457</v>
      </c>
      <c r="K5376" s="337"/>
      <c r="L5376" s="338"/>
      <c r="M5376" s="334">
        <v>299</v>
      </c>
      <c r="N5376" s="362">
        <f t="shared" si="179"/>
        <v>299</v>
      </c>
      <c r="X5376" s="339"/>
    </row>
    <row r="5377" s="330" customFormat="1" ht="15" customHeight="1" spans="1:24">
      <c r="A5377" s="334"/>
      <c r="B5377" s="348" t="s">
        <v>169</v>
      </c>
      <c r="C5377" s="348" t="s">
        <v>542</v>
      </c>
      <c r="D5377" s="352" t="s">
        <v>171</v>
      </c>
      <c r="E5377" s="336">
        <v>43736</v>
      </c>
      <c r="F5377" s="336" t="s">
        <v>800</v>
      </c>
      <c r="G5377" s="336">
        <v>43736</v>
      </c>
      <c r="H5377" s="334" t="s">
        <v>5906</v>
      </c>
      <c r="I5377" s="334">
        <v>13301752451</v>
      </c>
      <c r="J5377" s="334" t="s">
        <v>12458</v>
      </c>
      <c r="K5377" s="337"/>
      <c r="L5377" s="338"/>
      <c r="M5377" s="334">
        <v>153</v>
      </c>
      <c r="N5377" s="362">
        <f t="shared" si="179"/>
        <v>153</v>
      </c>
      <c r="X5377" s="339"/>
    </row>
    <row r="5378" s="330" customFormat="1" ht="15" customHeight="1" spans="1:24">
      <c r="A5378" s="550" t="s">
        <v>12459</v>
      </c>
      <c r="B5378" s="334" t="s">
        <v>31</v>
      </c>
      <c r="C5378" s="334" t="s">
        <v>251</v>
      </c>
      <c r="D5378" s="334" t="s">
        <v>221</v>
      </c>
      <c r="E5378" s="336">
        <v>43738</v>
      </c>
      <c r="F5378" s="336">
        <v>43736</v>
      </c>
      <c r="G5378" s="336">
        <v>43737</v>
      </c>
      <c r="H5378" s="334" t="s">
        <v>12460</v>
      </c>
      <c r="I5378" s="426">
        <v>13585564911</v>
      </c>
      <c r="J5378" s="334" t="s">
        <v>12461</v>
      </c>
      <c r="K5378" s="455">
        <v>10000</v>
      </c>
      <c r="L5378" s="334">
        <v>10000</v>
      </c>
      <c r="M5378" s="338"/>
      <c r="N5378" s="362">
        <f t="shared" ref="N5378:N5441" si="180">L5378+M5378</f>
        <v>10000</v>
      </c>
      <c r="X5378" s="339"/>
    </row>
    <row r="5379" s="330" customFormat="1" ht="15" customHeight="1" spans="1:24">
      <c r="A5379" s="348"/>
      <c r="B5379" s="334" t="s">
        <v>315</v>
      </c>
      <c r="C5379" s="334" t="s">
        <v>181</v>
      </c>
      <c r="D5379" s="335" t="s">
        <v>182</v>
      </c>
      <c r="E5379" s="336">
        <v>43738</v>
      </c>
      <c r="F5379" s="336">
        <v>43737</v>
      </c>
      <c r="G5379" s="336">
        <v>43738</v>
      </c>
      <c r="H5379" s="334" t="s">
        <v>12462</v>
      </c>
      <c r="I5379" s="426">
        <v>18018536892</v>
      </c>
      <c r="J5379" s="334" t="s">
        <v>12463</v>
      </c>
      <c r="K5379" s="455">
        <v>5000</v>
      </c>
      <c r="L5379" s="334">
        <v>5000</v>
      </c>
      <c r="M5379" s="338"/>
      <c r="N5379" s="362">
        <f t="shared" si="180"/>
        <v>5000</v>
      </c>
      <c r="U5379" s="330" t="s">
        <v>12</v>
      </c>
      <c r="X5379" s="339"/>
    </row>
    <row r="5380" s="330" customFormat="1" ht="15" customHeight="1" spans="1:24">
      <c r="A5380" s="550" t="s">
        <v>12464</v>
      </c>
      <c r="B5380" s="334" t="s">
        <v>31</v>
      </c>
      <c r="C5380" s="334" t="s">
        <v>3186</v>
      </c>
      <c r="D5380" s="335" t="s">
        <v>221</v>
      </c>
      <c r="E5380" s="336">
        <v>43738</v>
      </c>
      <c r="F5380" s="336">
        <v>43736</v>
      </c>
      <c r="G5380" s="336">
        <v>43738</v>
      </c>
      <c r="H5380" s="334" t="s">
        <v>12465</v>
      </c>
      <c r="I5380" s="426">
        <v>18964778865</v>
      </c>
      <c r="J5380" s="334" t="s">
        <v>12466</v>
      </c>
      <c r="K5380" s="455">
        <v>1000</v>
      </c>
      <c r="L5380" s="334">
        <v>16200</v>
      </c>
      <c r="M5380" s="338"/>
      <c r="N5380" s="362">
        <f t="shared" si="180"/>
        <v>16200</v>
      </c>
      <c r="X5380" s="339"/>
    </row>
    <row r="5381" s="330" customFormat="1" ht="15" customHeight="1" spans="1:24">
      <c r="A5381" s="348"/>
      <c r="B5381" s="334" t="s">
        <v>169</v>
      </c>
      <c r="C5381" s="334" t="s">
        <v>634</v>
      </c>
      <c r="D5381" s="335" t="s">
        <v>635</v>
      </c>
      <c r="E5381" s="336">
        <v>43797</v>
      </c>
      <c r="F5381" s="336">
        <v>43736</v>
      </c>
      <c r="G5381" s="336">
        <v>43797</v>
      </c>
      <c r="H5381" s="334" t="s">
        <v>12467</v>
      </c>
      <c r="I5381" s="426">
        <v>13764531909</v>
      </c>
      <c r="J5381" s="334" t="s">
        <v>12468</v>
      </c>
      <c r="K5381" s="455">
        <v>1000</v>
      </c>
      <c r="L5381" s="334">
        <v>35039</v>
      </c>
      <c r="M5381" s="338"/>
      <c r="N5381" s="362">
        <f t="shared" si="180"/>
        <v>35039</v>
      </c>
      <c r="S5381" s="353" t="s">
        <v>23</v>
      </c>
      <c r="X5381" s="339"/>
    </row>
    <row r="5382" s="330" customFormat="1" ht="15" customHeight="1" spans="1:24">
      <c r="A5382" s="348"/>
      <c r="B5382" s="334" t="s">
        <v>66</v>
      </c>
      <c r="C5382" s="334" t="s">
        <v>3954</v>
      </c>
      <c r="D5382" s="408" t="s">
        <v>68</v>
      </c>
      <c r="E5382" s="336">
        <v>43759</v>
      </c>
      <c r="F5382" s="336">
        <v>43737</v>
      </c>
      <c r="G5382" s="336">
        <v>43758</v>
      </c>
      <c r="H5382" s="334" t="s">
        <v>12469</v>
      </c>
      <c r="I5382" s="426">
        <v>18616271972</v>
      </c>
      <c r="J5382" s="334" t="s">
        <v>12470</v>
      </c>
      <c r="K5382" s="455">
        <v>1000</v>
      </c>
      <c r="L5382" s="334">
        <v>14414</v>
      </c>
      <c r="M5382" s="338"/>
      <c r="N5382" s="362">
        <f t="shared" si="180"/>
        <v>14414</v>
      </c>
      <c r="X5382" s="339"/>
    </row>
    <row r="5383" s="330" customFormat="1" ht="15" customHeight="1" spans="1:24">
      <c r="A5383" s="348"/>
      <c r="B5383" s="334" t="s">
        <v>169</v>
      </c>
      <c r="C5383" s="334" t="s">
        <v>542</v>
      </c>
      <c r="D5383" s="334" t="s">
        <v>635</v>
      </c>
      <c r="E5383" s="336">
        <v>43737</v>
      </c>
      <c r="F5383" s="336">
        <v>43737</v>
      </c>
      <c r="G5383" s="399">
        <v>43737</v>
      </c>
      <c r="H5383" s="334" t="s">
        <v>12471</v>
      </c>
      <c r="I5383" s="426">
        <v>15000161156</v>
      </c>
      <c r="J5383" s="334" t="s">
        <v>12472</v>
      </c>
      <c r="K5383" s="455">
        <v>1000</v>
      </c>
      <c r="L5383" s="334">
        <v>10584</v>
      </c>
      <c r="M5383" s="338"/>
      <c r="N5383" s="362">
        <f t="shared" si="180"/>
        <v>10584</v>
      </c>
      <c r="X5383" s="339"/>
    </row>
    <row r="5384" s="330" customFormat="1" ht="15" customHeight="1" spans="1:24">
      <c r="A5384" s="550" t="s">
        <v>12473</v>
      </c>
      <c r="B5384" s="334" t="s">
        <v>31</v>
      </c>
      <c r="C5384" s="334" t="s">
        <v>220</v>
      </c>
      <c r="D5384" s="334" t="s">
        <v>33</v>
      </c>
      <c r="E5384" s="336">
        <v>43738</v>
      </c>
      <c r="F5384" s="336">
        <v>43736</v>
      </c>
      <c r="G5384" s="336">
        <v>43738</v>
      </c>
      <c r="H5384" s="334" t="s">
        <v>12474</v>
      </c>
      <c r="I5384" s="426">
        <v>18616853008</v>
      </c>
      <c r="J5384" s="334" t="s">
        <v>12475</v>
      </c>
      <c r="K5384" s="455">
        <v>10000</v>
      </c>
      <c r="L5384" s="334">
        <v>13421</v>
      </c>
      <c r="M5384" s="338"/>
      <c r="N5384" s="362">
        <f t="shared" si="180"/>
        <v>13421</v>
      </c>
      <c r="X5384" s="339"/>
    </row>
    <row r="5385" s="330" customFormat="1" ht="15" customHeight="1" spans="1:24">
      <c r="A5385" s="348"/>
      <c r="B5385" s="334" t="s">
        <v>87</v>
      </c>
      <c r="C5385" s="334" t="s">
        <v>466</v>
      </c>
      <c r="D5385" s="334" t="s">
        <v>89</v>
      </c>
      <c r="E5385" s="336">
        <v>43737</v>
      </c>
      <c r="F5385" s="336">
        <v>43736</v>
      </c>
      <c r="G5385" s="336">
        <v>43736</v>
      </c>
      <c r="H5385" s="334" t="s">
        <v>12476</v>
      </c>
      <c r="I5385" s="334">
        <v>13901979641</v>
      </c>
      <c r="J5385" s="334" t="s">
        <v>12477</v>
      </c>
      <c r="K5385" s="455">
        <v>62688</v>
      </c>
      <c r="L5385" s="334">
        <v>62688</v>
      </c>
      <c r="M5385" s="338"/>
      <c r="N5385" s="362">
        <f t="shared" si="180"/>
        <v>62688</v>
      </c>
      <c r="X5385" s="339"/>
    </row>
    <row r="5386" s="330" customFormat="1" ht="15" customHeight="1" spans="1:24">
      <c r="A5386" s="348"/>
      <c r="B5386" s="334" t="s">
        <v>31</v>
      </c>
      <c r="C5386" s="334" t="s">
        <v>251</v>
      </c>
      <c r="D5386" s="334" t="s">
        <v>33</v>
      </c>
      <c r="E5386" s="336">
        <v>43737</v>
      </c>
      <c r="F5386" s="336">
        <v>43736</v>
      </c>
      <c r="G5386" s="336">
        <v>43736</v>
      </c>
      <c r="H5386" s="334" t="s">
        <v>12478</v>
      </c>
      <c r="I5386" s="334">
        <v>15900865718</v>
      </c>
      <c r="J5386" s="334" t="s">
        <v>12479</v>
      </c>
      <c r="K5386" s="455">
        <v>2773</v>
      </c>
      <c r="L5386" s="334">
        <f>2773-368</f>
        <v>2405</v>
      </c>
      <c r="M5386" s="334">
        <v>368</v>
      </c>
      <c r="N5386" s="362">
        <f t="shared" si="180"/>
        <v>2773</v>
      </c>
      <c r="X5386" s="339"/>
    </row>
    <row r="5387" s="330" customFormat="1" ht="15" customHeight="1" spans="1:24">
      <c r="A5387" s="348"/>
      <c r="B5387" s="334" t="s">
        <v>147</v>
      </c>
      <c r="C5387" s="334" t="s">
        <v>148</v>
      </c>
      <c r="D5387" s="334" t="s">
        <v>1170</v>
      </c>
      <c r="E5387" s="336">
        <v>43737</v>
      </c>
      <c r="F5387" s="336">
        <v>43737</v>
      </c>
      <c r="G5387" s="336">
        <v>43737</v>
      </c>
      <c r="H5387" s="334" t="s">
        <v>12480</v>
      </c>
      <c r="I5387" s="334">
        <v>18721506726</v>
      </c>
      <c r="J5387" s="334" t="s">
        <v>12481</v>
      </c>
      <c r="K5387" s="455">
        <v>15000</v>
      </c>
      <c r="L5387" s="334">
        <v>15000</v>
      </c>
      <c r="M5387" s="338"/>
      <c r="N5387" s="362">
        <f t="shared" si="180"/>
        <v>15000</v>
      </c>
      <c r="X5387" s="339"/>
    </row>
    <row r="5388" s="330" customFormat="1" ht="15" customHeight="1" spans="1:24">
      <c r="A5388" s="348"/>
      <c r="B5388" s="334" t="s">
        <v>42</v>
      </c>
      <c r="C5388" s="334" t="s">
        <v>43</v>
      </c>
      <c r="D5388" s="334" t="s">
        <v>207</v>
      </c>
      <c r="E5388" s="336">
        <v>43737</v>
      </c>
      <c r="F5388" s="336">
        <v>43737</v>
      </c>
      <c r="G5388" s="336">
        <v>43737</v>
      </c>
      <c r="H5388" s="334" t="s">
        <v>12482</v>
      </c>
      <c r="I5388" s="334">
        <v>13524157041</v>
      </c>
      <c r="J5388" s="334" t="s">
        <v>12483</v>
      </c>
      <c r="K5388" s="455">
        <v>7060</v>
      </c>
      <c r="L5388" s="334">
        <v>7060</v>
      </c>
      <c r="M5388" s="338"/>
      <c r="N5388" s="362">
        <f t="shared" si="180"/>
        <v>7060</v>
      </c>
      <c r="X5388" s="339"/>
    </row>
    <row r="5389" s="330" customFormat="1" ht="15" customHeight="1" spans="1:24">
      <c r="A5389" s="348"/>
      <c r="B5389" s="334" t="s">
        <v>66</v>
      </c>
      <c r="C5389" s="334" t="s">
        <v>1749</v>
      </c>
      <c r="D5389" s="334" t="s">
        <v>68</v>
      </c>
      <c r="E5389" s="336">
        <v>43737</v>
      </c>
      <c r="F5389" s="336">
        <v>43736</v>
      </c>
      <c r="G5389" s="399">
        <v>43737</v>
      </c>
      <c r="H5389" s="334" t="s">
        <v>12484</v>
      </c>
      <c r="I5389" s="426">
        <v>13973018139</v>
      </c>
      <c r="J5389" s="334" t="s">
        <v>12485</v>
      </c>
      <c r="K5389" s="455">
        <v>10000</v>
      </c>
      <c r="L5389" s="334">
        <v>10000</v>
      </c>
      <c r="M5389" s="338"/>
      <c r="N5389" s="362">
        <f t="shared" si="180"/>
        <v>10000</v>
      </c>
      <c r="X5389" s="339"/>
    </row>
    <row r="5390" s="330" customFormat="1" ht="15" customHeight="1" spans="1:24">
      <c r="A5390" s="348"/>
      <c r="B5390" s="334" t="s">
        <v>169</v>
      </c>
      <c r="C5390" s="334" t="s">
        <v>634</v>
      </c>
      <c r="D5390" s="334" t="s">
        <v>171</v>
      </c>
      <c r="E5390" s="336">
        <v>43757</v>
      </c>
      <c r="F5390" s="336">
        <v>43736</v>
      </c>
      <c r="G5390" s="336">
        <v>43753</v>
      </c>
      <c r="H5390" s="334" t="s">
        <v>12486</v>
      </c>
      <c r="I5390" s="426">
        <v>13564004002</v>
      </c>
      <c r="J5390" s="334" t="s">
        <v>12487</v>
      </c>
      <c r="K5390" s="455">
        <v>1998</v>
      </c>
      <c r="L5390" s="334">
        <v>16141</v>
      </c>
      <c r="M5390" s="338"/>
      <c r="N5390" s="362">
        <f t="shared" si="180"/>
        <v>16141</v>
      </c>
      <c r="X5390" s="339"/>
    </row>
    <row r="5391" s="330" customFormat="1" ht="15" customHeight="1" spans="1:24">
      <c r="A5391" s="550" t="s">
        <v>12488</v>
      </c>
      <c r="B5391" s="334" t="s">
        <v>359</v>
      </c>
      <c r="C5391" s="334" t="s">
        <v>3018</v>
      </c>
      <c r="D5391" s="335" t="s">
        <v>361</v>
      </c>
      <c r="E5391" s="336">
        <v>43771</v>
      </c>
      <c r="F5391" s="336">
        <v>43736</v>
      </c>
      <c r="G5391" s="336">
        <v>43769</v>
      </c>
      <c r="H5391" s="334" t="s">
        <v>12489</v>
      </c>
      <c r="I5391" s="426">
        <v>15805281759</v>
      </c>
      <c r="J5391" s="334" t="s">
        <v>12490</v>
      </c>
      <c r="K5391" s="455">
        <v>13000</v>
      </c>
      <c r="L5391" s="334">
        <v>13284</v>
      </c>
      <c r="M5391" s="338"/>
      <c r="N5391" s="362">
        <f t="shared" si="180"/>
        <v>13284</v>
      </c>
      <c r="X5391" s="339"/>
    </row>
    <row r="5392" s="330" customFormat="1" ht="15" customHeight="1" spans="1:24">
      <c r="A5392" s="348"/>
      <c r="B5392" s="334" t="s">
        <v>153</v>
      </c>
      <c r="C5392" s="334" t="s">
        <v>302</v>
      </c>
      <c r="D5392" s="334" t="s">
        <v>155</v>
      </c>
      <c r="E5392" s="336">
        <v>43737</v>
      </c>
      <c r="F5392" s="336">
        <v>43737</v>
      </c>
      <c r="G5392" s="399">
        <v>43737</v>
      </c>
      <c r="H5392" s="334" t="s">
        <v>12491</v>
      </c>
      <c r="I5392" s="426">
        <v>13661837701</v>
      </c>
      <c r="J5392" s="334" t="s">
        <v>12492</v>
      </c>
      <c r="K5392" s="455">
        <v>1000</v>
      </c>
      <c r="L5392" s="334">
        <v>8331</v>
      </c>
      <c r="M5392" s="338"/>
      <c r="N5392" s="362">
        <f t="shared" si="180"/>
        <v>8331</v>
      </c>
      <c r="X5392" s="339"/>
    </row>
    <row r="5393" s="330" customFormat="1" ht="15" customHeight="1" spans="1:24">
      <c r="A5393" s="550" t="s">
        <v>12493</v>
      </c>
      <c r="B5393" s="334" t="s">
        <v>31</v>
      </c>
      <c r="C5393" s="334" t="s">
        <v>251</v>
      </c>
      <c r="D5393" s="335" t="s">
        <v>33</v>
      </c>
      <c r="E5393" s="336">
        <v>43811</v>
      </c>
      <c r="F5393" s="336">
        <v>43735</v>
      </c>
      <c r="G5393" s="336">
        <v>43811</v>
      </c>
      <c r="H5393" s="334" t="s">
        <v>12494</v>
      </c>
      <c r="I5393" s="426">
        <v>13818836632</v>
      </c>
      <c r="J5393" s="334" t="s">
        <v>12495</v>
      </c>
      <c r="K5393" s="455">
        <v>2598</v>
      </c>
      <c r="L5393" s="334">
        <v>4249</v>
      </c>
      <c r="M5393" s="334">
        <v>4168</v>
      </c>
      <c r="N5393" s="362">
        <f t="shared" si="180"/>
        <v>8417</v>
      </c>
      <c r="X5393" s="339"/>
    </row>
    <row r="5394" s="330" customFormat="1" ht="15" customHeight="1" spans="1:24">
      <c r="A5394" s="550" t="s">
        <v>4119</v>
      </c>
      <c r="B5394" s="334" t="s">
        <v>66</v>
      </c>
      <c r="C5394" s="334" t="s">
        <v>3954</v>
      </c>
      <c r="D5394" s="334" t="s">
        <v>2302</v>
      </c>
      <c r="E5394" s="336">
        <v>43738</v>
      </c>
      <c r="F5394" s="336">
        <v>43737</v>
      </c>
      <c r="G5394" s="336">
        <v>43738</v>
      </c>
      <c r="H5394" s="334" t="s">
        <v>12496</v>
      </c>
      <c r="I5394" s="426">
        <v>13916925086</v>
      </c>
      <c r="J5394" s="334" t="s">
        <v>12497</v>
      </c>
      <c r="K5394" s="455">
        <v>7000</v>
      </c>
      <c r="L5394" s="334">
        <v>7000</v>
      </c>
      <c r="M5394" s="338"/>
      <c r="N5394" s="362">
        <f t="shared" si="180"/>
        <v>7000</v>
      </c>
      <c r="X5394" s="339"/>
    </row>
    <row r="5395" s="330" customFormat="1" ht="15" customHeight="1" spans="1:24">
      <c r="A5395" s="550" t="s">
        <v>12498</v>
      </c>
      <c r="B5395" s="334" t="s">
        <v>31</v>
      </c>
      <c r="C5395" s="334" t="s">
        <v>220</v>
      </c>
      <c r="D5395" s="334" t="s">
        <v>33</v>
      </c>
      <c r="E5395" s="336">
        <v>43747</v>
      </c>
      <c r="F5395" s="336">
        <v>43737</v>
      </c>
      <c r="G5395" s="336">
        <v>43747</v>
      </c>
      <c r="H5395" s="334" t="s">
        <v>12499</v>
      </c>
      <c r="I5395" s="426">
        <v>15802116588</v>
      </c>
      <c r="J5395" s="334" t="s">
        <v>12500</v>
      </c>
      <c r="K5395" s="455">
        <v>1000</v>
      </c>
      <c r="L5395" s="334">
        <v>11000</v>
      </c>
      <c r="M5395" s="338"/>
      <c r="N5395" s="362">
        <f t="shared" si="180"/>
        <v>11000</v>
      </c>
      <c r="X5395" s="339"/>
    </row>
    <row r="5396" s="330" customFormat="1" ht="15" customHeight="1" spans="1:24">
      <c r="A5396" s="348">
        <v>6105064</v>
      </c>
      <c r="B5396" s="348" t="s">
        <v>405</v>
      </c>
      <c r="C5396" s="348" t="s">
        <v>1234</v>
      </c>
      <c r="D5396" s="335" t="s">
        <v>407</v>
      </c>
      <c r="E5396" s="336">
        <v>43784</v>
      </c>
      <c r="F5396" s="336">
        <v>43736</v>
      </c>
      <c r="G5396" s="336">
        <v>43783</v>
      </c>
      <c r="H5396" s="334" t="s">
        <v>12501</v>
      </c>
      <c r="I5396" s="444">
        <v>15000320068</v>
      </c>
      <c r="J5396" s="348" t="s">
        <v>12502</v>
      </c>
      <c r="K5396" s="452">
        <v>1000</v>
      </c>
      <c r="L5396" s="334">
        <v>26187</v>
      </c>
      <c r="M5396" s="338"/>
      <c r="N5396" s="362">
        <f t="shared" si="180"/>
        <v>26187</v>
      </c>
      <c r="X5396" s="339"/>
    </row>
    <row r="5397" s="330" customFormat="1" ht="15" customHeight="1" spans="1:24">
      <c r="A5397" s="550" t="s">
        <v>647</v>
      </c>
      <c r="B5397" s="348" t="s">
        <v>137</v>
      </c>
      <c r="C5397" s="348" t="s">
        <v>861</v>
      </c>
      <c r="D5397" s="334" t="s">
        <v>2381</v>
      </c>
      <c r="E5397" s="336">
        <v>43738</v>
      </c>
      <c r="F5397" s="336">
        <v>43736</v>
      </c>
      <c r="G5397" s="336">
        <v>43738</v>
      </c>
      <c r="H5397" s="334" t="s">
        <v>12503</v>
      </c>
      <c r="I5397" s="444" t="s">
        <v>12504</v>
      </c>
      <c r="J5397" s="348" t="s">
        <v>12505</v>
      </c>
      <c r="K5397" s="452">
        <v>10000</v>
      </c>
      <c r="L5397" s="334">
        <v>11323</v>
      </c>
      <c r="M5397" s="338"/>
      <c r="N5397" s="362">
        <f t="shared" si="180"/>
        <v>11323</v>
      </c>
      <c r="X5397" s="339"/>
    </row>
    <row r="5398" s="330" customFormat="1" ht="15" customHeight="1" spans="1:24">
      <c r="A5398" s="348"/>
      <c r="B5398" s="334" t="s">
        <v>147</v>
      </c>
      <c r="C5398" s="334" t="s">
        <v>148</v>
      </c>
      <c r="D5398" s="334" t="s">
        <v>1170</v>
      </c>
      <c r="E5398" s="336">
        <v>43737</v>
      </c>
      <c r="F5398" s="336">
        <v>43737</v>
      </c>
      <c r="G5398" s="336">
        <v>43737</v>
      </c>
      <c r="H5398" s="334" t="s">
        <v>12506</v>
      </c>
      <c r="I5398" s="334">
        <v>18616133197</v>
      </c>
      <c r="J5398" s="334" t="s">
        <v>12507</v>
      </c>
      <c r="K5398" s="455">
        <v>141630</v>
      </c>
      <c r="L5398" s="334">
        <v>14163</v>
      </c>
      <c r="M5398" s="338"/>
      <c r="N5398" s="362">
        <f t="shared" si="180"/>
        <v>14163</v>
      </c>
      <c r="X5398" s="339"/>
    </row>
    <row r="5399" s="330" customFormat="1" ht="15" customHeight="1" spans="1:24">
      <c r="A5399" s="348"/>
      <c r="B5399" s="348" t="s">
        <v>66</v>
      </c>
      <c r="C5399" s="348" t="s">
        <v>1749</v>
      </c>
      <c r="D5399" s="334" t="s">
        <v>68</v>
      </c>
      <c r="E5399" s="336">
        <v>43784</v>
      </c>
      <c r="F5399" s="336">
        <v>43737</v>
      </c>
      <c r="G5399" s="336">
        <v>43783</v>
      </c>
      <c r="H5399" s="334" t="s">
        <v>12508</v>
      </c>
      <c r="I5399" s="444">
        <v>18501673354</v>
      </c>
      <c r="J5399" s="348" t="s">
        <v>12509</v>
      </c>
      <c r="K5399" s="452">
        <v>3000</v>
      </c>
      <c r="L5399" s="334">
        <v>17200</v>
      </c>
      <c r="M5399" s="338"/>
      <c r="N5399" s="362">
        <f t="shared" si="180"/>
        <v>17200</v>
      </c>
      <c r="X5399" s="339"/>
    </row>
    <row r="5400" s="330" customFormat="1" ht="15" customHeight="1" spans="1:24">
      <c r="A5400" s="348"/>
      <c r="B5400" s="348" t="s">
        <v>315</v>
      </c>
      <c r="C5400" s="348" t="s">
        <v>161</v>
      </c>
      <c r="D5400" s="334" t="s">
        <v>162</v>
      </c>
      <c r="E5400" s="336">
        <v>43737</v>
      </c>
      <c r="F5400" s="336">
        <v>43733</v>
      </c>
      <c r="G5400" s="399">
        <v>43737</v>
      </c>
      <c r="H5400" s="334" t="s">
        <v>12510</v>
      </c>
      <c r="I5400" s="444">
        <v>15216614596</v>
      </c>
      <c r="J5400" s="348" t="s">
        <v>12511</v>
      </c>
      <c r="K5400" s="452">
        <v>1999</v>
      </c>
      <c r="L5400" s="334">
        <v>11715</v>
      </c>
      <c r="M5400" s="338"/>
      <c r="N5400" s="362">
        <f t="shared" si="180"/>
        <v>11715</v>
      </c>
      <c r="X5400" s="339"/>
    </row>
    <row r="5401" s="330" customFormat="1" ht="15" customHeight="1" spans="1:24">
      <c r="A5401" s="550" t="s">
        <v>12512</v>
      </c>
      <c r="B5401" s="348" t="s">
        <v>42</v>
      </c>
      <c r="C5401" s="348" t="s">
        <v>43</v>
      </c>
      <c r="D5401" s="334" t="s">
        <v>207</v>
      </c>
      <c r="E5401" s="336">
        <v>43737</v>
      </c>
      <c r="F5401" s="336">
        <v>43737</v>
      </c>
      <c r="G5401" s="399">
        <v>43737</v>
      </c>
      <c r="H5401" s="334" t="s">
        <v>12513</v>
      </c>
      <c r="I5401" s="444">
        <v>15821816379</v>
      </c>
      <c r="J5401" s="348" t="s">
        <v>12514</v>
      </c>
      <c r="K5401" s="452">
        <v>21000</v>
      </c>
      <c r="L5401" s="334">
        <v>20956</v>
      </c>
      <c r="M5401" s="338"/>
      <c r="N5401" s="362">
        <f t="shared" si="180"/>
        <v>20956</v>
      </c>
      <c r="X5401" s="339"/>
    </row>
    <row r="5402" s="330" customFormat="1" ht="15" customHeight="1" spans="1:24">
      <c r="A5402" s="348"/>
      <c r="B5402" s="348" t="s">
        <v>58</v>
      </c>
      <c r="C5402" s="348" t="s">
        <v>342</v>
      </c>
      <c r="D5402" s="335" t="s">
        <v>343</v>
      </c>
      <c r="E5402" s="336">
        <v>43737</v>
      </c>
      <c r="F5402" s="336">
        <v>43737</v>
      </c>
      <c r="G5402" s="399"/>
      <c r="H5402" s="334" t="s">
        <v>12515</v>
      </c>
      <c r="I5402" s="444">
        <v>18792782806</v>
      </c>
      <c r="J5402" s="348" t="s">
        <v>12516</v>
      </c>
      <c r="K5402" s="452">
        <v>37000</v>
      </c>
      <c r="L5402" s="338"/>
      <c r="M5402" s="338"/>
      <c r="N5402" s="362">
        <f t="shared" si="180"/>
        <v>0</v>
      </c>
      <c r="U5402" s="393" t="s">
        <v>40</v>
      </c>
      <c r="X5402" s="339"/>
    </row>
    <row r="5403" s="330" customFormat="1" ht="15" customHeight="1" spans="1:24">
      <c r="A5403" s="348"/>
      <c r="B5403" s="334" t="s">
        <v>137</v>
      </c>
      <c r="C5403" s="334" t="s">
        <v>2705</v>
      </c>
      <c r="D5403" s="334" t="s">
        <v>443</v>
      </c>
      <c r="E5403" s="336">
        <v>43737</v>
      </c>
      <c r="F5403" s="336">
        <v>43737</v>
      </c>
      <c r="G5403" s="336">
        <v>43737</v>
      </c>
      <c r="H5403" s="334" t="s">
        <v>12517</v>
      </c>
      <c r="I5403" s="334">
        <v>18601728452</v>
      </c>
      <c r="J5403" s="334" t="s">
        <v>12518</v>
      </c>
      <c r="K5403" s="455">
        <v>4300</v>
      </c>
      <c r="L5403" s="334">
        <v>4300</v>
      </c>
      <c r="M5403" s="338"/>
      <c r="N5403" s="362">
        <f t="shared" si="180"/>
        <v>4300</v>
      </c>
      <c r="X5403" s="339"/>
    </row>
    <row r="5404" s="330" customFormat="1" ht="15" customHeight="1" spans="1:24">
      <c r="A5404" s="550" t="s">
        <v>10412</v>
      </c>
      <c r="B5404" s="334" t="s">
        <v>405</v>
      </c>
      <c r="C5404" s="334" t="s">
        <v>1234</v>
      </c>
      <c r="D5404" s="335" t="s">
        <v>407</v>
      </c>
      <c r="E5404" s="336">
        <v>43747</v>
      </c>
      <c r="F5404" s="336">
        <v>43708</v>
      </c>
      <c r="G5404" s="336">
        <v>43746</v>
      </c>
      <c r="H5404" s="334" t="s">
        <v>12519</v>
      </c>
      <c r="I5404" s="426">
        <v>13817131152</v>
      </c>
      <c r="J5404" s="334" t="s">
        <v>10414</v>
      </c>
      <c r="K5404" s="455">
        <v>45000</v>
      </c>
      <c r="L5404" s="338"/>
      <c r="M5404" s="334">
        <v>2382</v>
      </c>
      <c r="N5404" s="362">
        <f t="shared" si="180"/>
        <v>2382</v>
      </c>
      <c r="X5404" s="339"/>
    </row>
    <row r="5405" s="330" customFormat="1" ht="15" customHeight="1" spans="1:24">
      <c r="A5405" s="348">
        <v>2067620</v>
      </c>
      <c r="B5405" s="348" t="s">
        <v>243</v>
      </c>
      <c r="C5405" s="348" t="s">
        <v>309</v>
      </c>
      <c r="D5405" s="335" t="s">
        <v>49</v>
      </c>
      <c r="E5405" s="336">
        <v>43737</v>
      </c>
      <c r="F5405" s="336">
        <v>43737</v>
      </c>
      <c r="G5405" s="399"/>
      <c r="H5405" s="334" t="s">
        <v>12520</v>
      </c>
      <c r="I5405" s="444">
        <v>15921751030</v>
      </c>
      <c r="J5405" s="348" t="s">
        <v>12521</v>
      </c>
      <c r="K5405" s="452">
        <v>6095</v>
      </c>
      <c r="L5405" s="338"/>
      <c r="M5405" s="338"/>
      <c r="N5405" s="362">
        <f t="shared" si="180"/>
        <v>0</v>
      </c>
      <c r="U5405" s="356" t="s">
        <v>52</v>
      </c>
      <c r="X5405" s="339"/>
    </row>
    <row r="5406" s="330" customFormat="1" ht="15" customHeight="1" spans="1:24">
      <c r="A5406" s="348"/>
      <c r="B5406" s="348" t="s">
        <v>805</v>
      </c>
      <c r="C5406" s="348" t="s">
        <v>806</v>
      </c>
      <c r="D5406" s="335" t="s">
        <v>171</v>
      </c>
      <c r="E5406" s="336">
        <v>43737</v>
      </c>
      <c r="F5406" s="336">
        <v>43737</v>
      </c>
      <c r="G5406" s="399"/>
      <c r="H5406" s="334" t="s">
        <v>12522</v>
      </c>
      <c r="I5406" s="444">
        <v>13601760655</v>
      </c>
      <c r="J5406" s="348" t="s">
        <v>12523</v>
      </c>
      <c r="K5406" s="452">
        <v>1000</v>
      </c>
      <c r="L5406" s="338"/>
      <c r="M5406" s="338"/>
      <c r="N5406" s="362">
        <f t="shared" si="180"/>
        <v>0</v>
      </c>
      <c r="U5406" s="471">
        <v>43779</v>
      </c>
      <c r="X5406" s="339"/>
    </row>
    <row r="5407" s="330" customFormat="1" ht="15" customHeight="1" spans="1:24">
      <c r="A5407" s="550" t="s">
        <v>2462</v>
      </c>
      <c r="B5407" s="348" t="s">
        <v>137</v>
      </c>
      <c r="C5407" s="348" t="s">
        <v>138</v>
      </c>
      <c r="D5407" s="335" t="s">
        <v>139</v>
      </c>
      <c r="E5407" s="336">
        <v>43737</v>
      </c>
      <c r="F5407" s="336">
        <v>43728</v>
      </c>
      <c r="G5407" s="399"/>
      <c r="H5407" s="334" t="s">
        <v>12524</v>
      </c>
      <c r="I5407" s="444" t="s">
        <v>12525</v>
      </c>
      <c r="J5407" s="348" t="s">
        <v>12526</v>
      </c>
      <c r="K5407" s="452">
        <v>3000</v>
      </c>
      <c r="L5407" s="338"/>
      <c r="M5407" s="338"/>
      <c r="N5407" s="362">
        <f t="shared" si="180"/>
        <v>0</v>
      </c>
      <c r="Q5407" s="330" t="s">
        <v>21</v>
      </c>
      <c r="X5407" s="339"/>
    </row>
    <row r="5408" s="330" customFormat="1" ht="15" customHeight="1" spans="1:24">
      <c r="A5408" s="550" t="s">
        <v>11105</v>
      </c>
      <c r="B5408" s="348" t="s">
        <v>73</v>
      </c>
      <c r="C5408" s="348" t="s">
        <v>74</v>
      </c>
      <c r="D5408" s="335" t="s">
        <v>125</v>
      </c>
      <c r="E5408" s="336">
        <v>43793</v>
      </c>
      <c r="F5408" s="336">
        <v>43737</v>
      </c>
      <c r="G5408" s="336">
        <v>43792</v>
      </c>
      <c r="H5408" s="334" t="s">
        <v>8512</v>
      </c>
      <c r="I5408" s="444">
        <v>18616827270</v>
      </c>
      <c r="J5408" s="348" t="s">
        <v>12527</v>
      </c>
      <c r="K5408" s="452">
        <v>1000</v>
      </c>
      <c r="L5408" s="334">
        <v>10218</v>
      </c>
      <c r="M5408" s="338"/>
      <c r="N5408" s="362">
        <f t="shared" si="180"/>
        <v>10218</v>
      </c>
      <c r="Q5408" s="366" t="s">
        <v>52</v>
      </c>
      <c r="X5408" s="339"/>
    </row>
    <row r="5409" s="330" customFormat="1" ht="15" customHeight="1" spans="1:24">
      <c r="A5409" s="550" t="s">
        <v>2183</v>
      </c>
      <c r="B5409" s="348" t="s">
        <v>73</v>
      </c>
      <c r="C5409" s="348" t="s">
        <v>74</v>
      </c>
      <c r="D5409" s="334" t="s">
        <v>717</v>
      </c>
      <c r="E5409" s="336">
        <v>43737</v>
      </c>
      <c r="F5409" s="336">
        <v>43737</v>
      </c>
      <c r="G5409" s="336">
        <v>43737</v>
      </c>
      <c r="H5409" s="334" t="s">
        <v>12528</v>
      </c>
      <c r="I5409" s="444">
        <v>17715931999</v>
      </c>
      <c r="J5409" s="348" t="s">
        <v>12529</v>
      </c>
      <c r="K5409" s="452">
        <v>1000</v>
      </c>
      <c r="L5409" s="334">
        <v>19065</v>
      </c>
      <c r="M5409" s="338"/>
      <c r="N5409" s="362">
        <f t="shared" si="180"/>
        <v>19065</v>
      </c>
      <c r="X5409" s="339"/>
    </row>
    <row r="5410" s="330" customFormat="1" ht="15" customHeight="1" spans="1:24">
      <c r="A5410" s="348"/>
      <c r="B5410" s="348" t="s">
        <v>169</v>
      </c>
      <c r="C5410" s="348" t="s">
        <v>634</v>
      </c>
      <c r="D5410" s="334" t="s">
        <v>635</v>
      </c>
      <c r="E5410" s="336">
        <v>43737</v>
      </c>
      <c r="F5410" s="336">
        <v>43737</v>
      </c>
      <c r="G5410" s="399">
        <v>43737</v>
      </c>
      <c r="H5410" s="334" t="s">
        <v>12530</v>
      </c>
      <c r="I5410" s="444">
        <v>17317308529</v>
      </c>
      <c r="J5410" s="348" t="s">
        <v>12531</v>
      </c>
      <c r="K5410" s="452">
        <v>23551</v>
      </c>
      <c r="L5410" s="334">
        <v>23551</v>
      </c>
      <c r="M5410" s="338"/>
      <c r="N5410" s="362">
        <f t="shared" si="180"/>
        <v>23551</v>
      </c>
      <c r="X5410" s="339"/>
    </row>
    <row r="5411" s="330" customFormat="1" ht="15" customHeight="1" spans="1:24">
      <c r="A5411" s="550" t="s">
        <v>9824</v>
      </c>
      <c r="B5411" s="348" t="s">
        <v>185</v>
      </c>
      <c r="C5411" s="348" t="s">
        <v>1204</v>
      </c>
      <c r="D5411" s="335" t="s">
        <v>44</v>
      </c>
      <c r="E5411" s="336">
        <v>43738</v>
      </c>
      <c r="F5411" s="336">
        <v>43737</v>
      </c>
      <c r="G5411" s="336">
        <v>43737</v>
      </c>
      <c r="H5411" s="334" t="s">
        <v>12532</v>
      </c>
      <c r="I5411" s="444">
        <v>13816417924</v>
      </c>
      <c r="J5411" s="348" t="s">
        <v>12533</v>
      </c>
      <c r="K5411" s="452">
        <v>8200</v>
      </c>
      <c r="L5411" s="334">
        <v>8200</v>
      </c>
      <c r="M5411" s="338"/>
      <c r="N5411" s="362">
        <f t="shared" si="180"/>
        <v>8200</v>
      </c>
      <c r="X5411" s="339"/>
    </row>
    <row r="5412" s="330" customFormat="1" ht="15" customHeight="1" spans="1:24">
      <c r="A5412" s="550" t="s">
        <v>12534</v>
      </c>
      <c r="B5412" s="348" t="s">
        <v>58</v>
      </c>
      <c r="C5412" s="348" t="s">
        <v>59</v>
      </c>
      <c r="D5412" s="335" t="s">
        <v>271</v>
      </c>
      <c r="E5412" s="336">
        <v>43738</v>
      </c>
      <c r="F5412" s="336">
        <v>43737</v>
      </c>
      <c r="G5412" s="336">
        <v>43737</v>
      </c>
      <c r="H5412" s="334" t="s">
        <v>12535</v>
      </c>
      <c r="I5412" s="444">
        <v>13818875157</v>
      </c>
      <c r="J5412" s="348" t="s">
        <v>12536</v>
      </c>
      <c r="K5412" s="452">
        <v>1000</v>
      </c>
      <c r="L5412" s="334">
        <v>5418</v>
      </c>
      <c r="M5412" s="338"/>
      <c r="N5412" s="362">
        <f t="shared" si="180"/>
        <v>5418</v>
      </c>
      <c r="X5412" s="339"/>
    </row>
    <row r="5413" s="330" customFormat="1" ht="15" customHeight="1" spans="1:24">
      <c r="A5413" s="550" t="s">
        <v>12537</v>
      </c>
      <c r="B5413" s="348" t="s">
        <v>66</v>
      </c>
      <c r="C5413" s="348" t="s">
        <v>951</v>
      </c>
      <c r="D5413" s="335" t="s">
        <v>1436</v>
      </c>
      <c r="E5413" s="336">
        <v>43757</v>
      </c>
      <c r="F5413" s="336">
        <v>43736</v>
      </c>
      <c r="G5413" s="336">
        <v>43756</v>
      </c>
      <c r="H5413" s="334" t="s">
        <v>12538</v>
      </c>
      <c r="I5413" s="444">
        <v>15601890917</v>
      </c>
      <c r="J5413" s="348" t="s">
        <v>12539</v>
      </c>
      <c r="K5413" s="452">
        <v>1000</v>
      </c>
      <c r="L5413" s="334">
        <v>10210</v>
      </c>
      <c r="M5413" s="338"/>
      <c r="N5413" s="362">
        <f t="shared" si="180"/>
        <v>10210</v>
      </c>
      <c r="X5413" s="339"/>
    </row>
    <row r="5414" s="330" customFormat="1" ht="15" customHeight="1" spans="1:24">
      <c r="A5414" s="550" t="s">
        <v>12540</v>
      </c>
      <c r="B5414" s="348" t="s">
        <v>58</v>
      </c>
      <c r="C5414" s="348" t="s">
        <v>347</v>
      </c>
      <c r="D5414" s="335" t="s">
        <v>343</v>
      </c>
      <c r="E5414" s="336">
        <v>43787</v>
      </c>
      <c r="F5414" s="336">
        <v>43737</v>
      </c>
      <c r="G5414" s="336">
        <v>43785</v>
      </c>
      <c r="H5414" s="334" t="s">
        <v>12541</v>
      </c>
      <c r="I5414" s="444">
        <v>18916505372</v>
      </c>
      <c r="J5414" s="348" t="s">
        <v>12542</v>
      </c>
      <c r="K5414" s="452">
        <v>1000</v>
      </c>
      <c r="L5414" s="334">
        <v>13804</v>
      </c>
      <c r="M5414" s="338"/>
      <c r="N5414" s="362">
        <f t="shared" si="180"/>
        <v>13804</v>
      </c>
      <c r="X5414" s="339"/>
    </row>
    <row r="5415" s="330" customFormat="1" ht="15" customHeight="1" spans="1:24">
      <c r="A5415" s="550" t="s">
        <v>12543</v>
      </c>
      <c r="B5415" s="348" t="s">
        <v>58</v>
      </c>
      <c r="C5415" s="348" t="s">
        <v>347</v>
      </c>
      <c r="D5415" s="335" t="s">
        <v>343</v>
      </c>
      <c r="E5415" s="336">
        <v>43742</v>
      </c>
      <c r="F5415" s="336">
        <v>43737</v>
      </c>
      <c r="G5415" s="336">
        <v>43741</v>
      </c>
      <c r="H5415" s="334" t="s">
        <v>12544</v>
      </c>
      <c r="I5415" s="444">
        <v>13611735529</v>
      </c>
      <c r="J5415" s="348" t="s">
        <v>12545</v>
      </c>
      <c r="K5415" s="452">
        <v>1000</v>
      </c>
      <c r="L5415" s="334">
        <v>10822</v>
      </c>
      <c r="M5415" s="338"/>
      <c r="N5415" s="362">
        <f t="shared" si="180"/>
        <v>10822</v>
      </c>
      <c r="X5415" s="339"/>
    </row>
    <row r="5416" s="330" customFormat="1" ht="15" customHeight="1" spans="1:24">
      <c r="A5416" s="334"/>
      <c r="B5416" s="334" t="s">
        <v>315</v>
      </c>
      <c r="C5416" s="334" t="s">
        <v>230</v>
      </c>
      <c r="D5416" s="334" t="s">
        <v>182</v>
      </c>
      <c r="E5416" s="336">
        <v>43737</v>
      </c>
      <c r="F5416" s="336"/>
      <c r="G5416" s="336">
        <v>43721</v>
      </c>
      <c r="H5416" s="334" t="s">
        <v>12546</v>
      </c>
      <c r="I5416" s="334">
        <v>13816170112</v>
      </c>
      <c r="J5416" s="334" t="s">
        <v>12547</v>
      </c>
      <c r="K5416" s="337"/>
      <c r="L5416" s="334">
        <v>20000</v>
      </c>
      <c r="M5416" s="338"/>
      <c r="N5416" s="362">
        <f t="shared" si="180"/>
        <v>20000</v>
      </c>
      <c r="X5416" s="339"/>
    </row>
    <row r="5417" s="330" customFormat="1" ht="15" customHeight="1" spans="1:24">
      <c r="A5417" s="334"/>
      <c r="B5417" s="334" t="s">
        <v>87</v>
      </c>
      <c r="C5417" s="334" t="s">
        <v>466</v>
      </c>
      <c r="D5417" s="334" t="s">
        <v>89</v>
      </c>
      <c r="E5417" s="336">
        <v>43737</v>
      </c>
      <c r="F5417" s="336"/>
      <c r="G5417" s="336">
        <v>43736</v>
      </c>
      <c r="H5417" s="334" t="s">
        <v>12548</v>
      </c>
      <c r="I5417" s="334">
        <v>18626056799</v>
      </c>
      <c r="J5417" s="334" t="s">
        <v>12549</v>
      </c>
      <c r="K5417" s="337"/>
      <c r="L5417" s="334">
        <v>15000</v>
      </c>
      <c r="M5417" s="338"/>
      <c r="N5417" s="362">
        <f t="shared" si="180"/>
        <v>15000</v>
      </c>
      <c r="X5417" s="339"/>
    </row>
    <row r="5418" s="330" customFormat="1" ht="15" customHeight="1" spans="1:24">
      <c r="A5418" s="334"/>
      <c r="B5418" s="334" t="s">
        <v>31</v>
      </c>
      <c r="C5418" s="334" t="s">
        <v>2716</v>
      </c>
      <c r="D5418" s="334" t="s">
        <v>221</v>
      </c>
      <c r="E5418" s="336">
        <v>43737</v>
      </c>
      <c r="F5418" s="336"/>
      <c r="G5418" s="336">
        <v>43736</v>
      </c>
      <c r="H5418" s="334" t="s">
        <v>12550</v>
      </c>
      <c r="I5418" s="334">
        <v>13611766935</v>
      </c>
      <c r="J5418" s="334" t="s">
        <v>12551</v>
      </c>
      <c r="K5418" s="337"/>
      <c r="L5418" s="334">
        <v>41400</v>
      </c>
      <c r="M5418" s="338"/>
      <c r="N5418" s="362">
        <f t="shared" si="180"/>
        <v>41400</v>
      </c>
      <c r="X5418" s="339"/>
    </row>
    <row r="5419" s="330" customFormat="1" ht="15" customHeight="1" spans="1:24">
      <c r="A5419" s="334"/>
      <c r="B5419" s="334" t="s">
        <v>66</v>
      </c>
      <c r="C5419" s="334" t="s">
        <v>951</v>
      </c>
      <c r="D5419" s="334" t="s">
        <v>1436</v>
      </c>
      <c r="E5419" s="336">
        <v>43737</v>
      </c>
      <c r="F5419" s="336"/>
      <c r="G5419" s="336">
        <v>43737</v>
      </c>
      <c r="H5419" s="334" t="s">
        <v>12552</v>
      </c>
      <c r="I5419" s="334">
        <v>15921096885</v>
      </c>
      <c r="J5419" s="334" t="s">
        <v>10376</v>
      </c>
      <c r="K5419" s="337"/>
      <c r="L5419" s="334">
        <v>14832</v>
      </c>
      <c r="M5419" s="338"/>
      <c r="N5419" s="362">
        <f t="shared" si="180"/>
        <v>14832</v>
      </c>
      <c r="X5419" s="339"/>
    </row>
    <row r="5420" s="330" customFormat="1" ht="15" customHeight="1" spans="1:24">
      <c r="A5420" s="334"/>
      <c r="B5420" s="334" t="s">
        <v>315</v>
      </c>
      <c r="C5420" s="334" t="s">
        <v>161</v>
      </c>
      <c r="D5420" s="334" t="s">
        <v>162</v>
      </c>
      <c r="E5420" s="336">
        <v>43737</v>
      </c>
      <c r="F5420" s="336"/>
      <c r="G5420" s="336">
        <v>43736</v>
      </c>
      <c r="H5420" s="334" t="s">
        <v>12553</v>
      </c>
      <c r="I5420" s="334">
        <v>16621374413</v>
      </c>
      <c r="J5420" s="334" t="s">
        <v>12554</v>
      </c>
      <c r="K5420" s="337"/>
      <c r="L5420" s="334">
        <v>4345</v>
      </c>
      <c r="M5420" s="338"/>
      <c r="N5420" s="362">
        <f t="shared" si="180"/>
        <v>4345</v>
      </c>
      <c r="X5420" s="339"/>
    </row>
    <row r="5421" s="330" customFormat="1" ht="15" customHeight="1" spans="1:24">
      <c r="A5421" s="334"/>
      <c r="B5421" s="334" t="s">
        <v>205</v>
      </c>
      <c r="C5421" s="334" t="s">
        <v>1467</v>
      </c>
      <c r="D5421" s="334" t="s">
        <v>407</v>
      </c>
      <c r="E5421" s="336">
        <v>43737</v>
      </c>
      <c r="F5421" s="336"/>
      <c r="G5421" s="336">
        <v>43737</v>
      </c>
      <c r="H5421" s="334" t="s">
        <v>12555</v>
      </c>
      <c r="I5421" s="334">
        <v>13512163040</v>
      </c>
      <c r="J5421" s="334" t="s">
        <v>12556</v>
      </c>
      <c r="K5421" s="337"/>
      <c r="L5421" s="334">
        <f>10916-1072</f>
        <v>9844</v>
      </c>
      <c r="M5421" s="334">
        <v>1072</v>
      </c>
      <c r="N5421" s="362">
        <f t="shared" si="180"/>
        <v>10916</v>
      </c>
      <c r="X5421" s="339"/>
    </row>
    <row r="5422" s="330" customFormat="1" ht="15" customHeight="1" spans="1:24">
      <c r="A5422" s="334"/>
      <c r="B5422" s="334" t="s">
        <v>169</v>
      </c>
      <c r="C5422" s="334" t="s">
        <v>634</v>
      </c>
      <c r="D5422" s="334" t="s">
        <v>635</v>
      </c>
      <c r="E5422" s="336">
        <v>43737</v>
      </c>
      <c r="F5422" s="336"/>
      <c r="G5422" s="336">
        <v>43736</v>
      </c>
      <c r="H5422" s="334" t="s">
        <v>10581</v>
      </c>
      <c r="I5422" s="334">
        <v>18621583335</v>
      </c>
      <c r="J5422" s="348" t="s">
        <v>12557</v>
      </c>
      <c r="K5422" s="337"/>
      <c r="L5422" s="334">
        <f>27899-804</f>
        <v>27095</v>
      </c>
      <c r="M5422" s="334">
        <v>804</v>
      </c>
      <c r="N5422" s="362">
        <f t="shared" si="180"/>
        <v>27899</v>
      </c>
      <c r="X5422" s="339"/>
    </row>
    <row r="5423" s="330" customFormat="1" ht="15" customHeight="1" spans="1:24">
      <c r="A5423" s="334"/>
      <c r="B5423" s="348" t="s">
        <v>35</v>
      </c>
      <c r="C5423" s="348" t="s">
        <v>328</v>
      </c>
      <c r="D5423" s="349" t="s">
        <v>37</v>
      </c>
      <c r="E5423" s="336">
        <v>43737</v>
      </c>
      <c r="F5423" s="336"/>
      <c r="G5423" s="336">
        <v>43736</v>
      </c>
      <c r="H5423" s="334" t="s">
        <v>3148</v>
      </c>
      <c r="I5423" s="356">
        <v>15216711206</v>
      </c>
      <c r="J5423" s="348" t="s">
        <v>3149</v>
      </c>
      <c r="K5423" s="337"/>
      <c r="L5423" s="334">
        <v>10991</v>
      </c>
      <c r="M5423" s="338"/>
      <c r="N5423" s="362">
        <f t="shared" si="180"/>
        <v>10991</v>
      </c>
      <c r="X5423" s="339"/>
    </row>
    <row r="5424" s="330" customFormat="1" ht="15" customHeight="1" spans="1:24">
      <c r="A5424" s="334"/>
      <c r="B5424" s="334" t="s">
        <v>315</v>
      </c>
      <c r="C5424" s="334" t="s">
        <v>161</v>
      </c>
      <c r="D5424" s="334" t="s">
        <v>182</v>
      </c>
      <c r="E5424" s="336">
        <v>43737</v>
      </c>
      <c r="F5424" s="336"/>
      <c r="G5424" s="336">
        <v>43737</v>
      </c>
      <c r="H5424" s="334" t="s">
        <v>12558</v>
      </c>
      <c r="I5424" s="334">
        <v>13609033947</v>
      </c>
      <c r="J5424" s="334" t="s">
        <v>12559</v>
      </c>
      <c r="K5424" s="337"/>
      <c r="L5424" s="334">
        <v>78556</v>
      </c>
      <c r="M5424" s="338"/>
      <c r="N5424" s="362">
        <f t="shared" si="180"/>
        <v>78556</v>
      </c>
      <c r="X5424" s="339"/>
    </row>
    <row r="5425" s="330" customFormat="1" ht="15" customHeight="1" spans="1:24">
      <c r="A5425" s="334"/>
      <c r="B5425" s="334" t="s">
        <v>73</v>
      </c>
      <c r="C5425" s="334" t="s">
        <v>178</v>
      </c>
      <c r="D5425" s="334" t="s">
        <v>132</v>
      </c>
      <c r="E5425" s="336">
        <v>43737</v>
      </c>
      <c r="F5425" s="336"/>
      <c r="G5425" s="336">
        <v>43737</v>
      </c>
      <c r="H5425" s="334" t="s">
        <v>12560</v>
      </c>
      <c r="I5425" s="334">
        <v>13331807237</v>
      </c>
      <c r="J5425" s="334" t="s">
        <v>12561</v>
      </c>
      <c r="K5425" s="337"/>
      <c r="L5425" s="334">
        <v>15767</v>
      </c>
      <c r="M5425" s="338"/>
      <c r="N5425" s="362">
        <f t="shared" si="180"/>
        <v>15767</v>
      </c>
      <c r="X5425" s="339"/>
    </row>
    <row r="5426" s="330" customFormat="1" ht="15" customHeight="1" spans="1:24">
      <c r="A5426" s="334"/>
      <c r="B5426" s="334" t="s">
        <v>137</v>
      </c>
      <c r="C5426" s="334" t="s">
        <v>2705</v>
      </c>
      <c r="D5426" s="334" t="s">
        <v>139</v>
      </c>
      <c r="E5426" s="336">
        <v>43737</v>
      </c>
      <c r="F5426" s="336"/>
      <c r="G5426" s="336">
        <v>43737</v>
      </c>
      <c r="H5426" s="334" t="s">
        <v>11331</v>
      </c>
      <c r="I5426" s="334">
        <v>13817958168</v>
      </c>
      <c r="J5426" s="334" t="s">
        <v>12562</v>
      </c>
      <c r="K5426" s="337"/>
      <c r="L5426" s="334">
        <v>10832</v>
      </c>
      <c r="M5426" s="338"/>
      <c r="N5426" s="362">
        <f t="shared" si="180"/>
        <v>10832</v>
      </c>
      <c r="X5426" s="339"/>
    </row>
    <row r="5427" s="330" customFormat="1" ht="15" customHeight="1" spans="1:24">
      <c r="A5427" s="334"/>
      <c r="B5427" s="334" t="s">
        <v>5435</v>
      </c>
      <c r="C5427" s="334" t="s">
        <v>1728</v>
      </c>
      <c r="D5427" s="335" t="s">
        <v>149</v>
      </c>
      <c r="E5427" s="336">
        <v>43737</v>
      </c>
      <c r="F5427" s="336"/>
      <c r="G5427" s="336">
        <v>43737</v>
      </c>
      <c r="H5427" s="334" t="s">
        <v>12563</v>
      </c>
      <c r="I5427" s="334">
        <v>13524970718</v>
      </c>
      <c r="J5427" s="334" t="s">
        <v>12564</v>
      </c>
      <c r="K5427" s="337"/>
      <c r="L5427" s="334">
        <v>1000</v>
      </c>
      <c r="M5427" s="338"/>
      <c r="N5427" s="362">
        <f t="shared" si="180"/>
        <v>1000</v>
      </c>
      <c r="X5427" s="339"/>
    </row>
    <row r="5428" s="330" customFormat="1" ht="15" customHeight="1" spans="1:24">
      <c r="A5428" s="334"/>
      <c r="B5428" s="334" t="s">
        <v>315</v>
      </c>
      <c r="C5428" s="334" t="s">
        <v>366</v>
      </c>
      <c r="D5428" s="334" t="s">
        <v>132</v>
      </c>
      <c r="E5428" s="336">
        <v>43737</v>
      </c>
      <c r="F5428" s="336"/>
      <c r="G5428" s="336">
        <v>43736</v>
      </c>
      <c r="H5428" s="334" t="s">
        <v>12565</v>
      </c>
      <c r="I5428" s="334">
        <v>15721553598</v>
      </c>
      <c r="J5428" s="334" t="s">
        <v>12566</v>
      </c>
      <c r="K5428" s="337"/>
      <c r="L5428" s="334">
        <v>22000</v>
      </c>
      <c r="M5428" s="338"/>
      <c r="N5428" s="362">
        <f t="shared" si="180"/>
        <v>22000</v>
      </c>
      <c r="X5428" s="339"/>
    </row>
    <row r="5429" s="330" customFormat="1" ht="15" customHeight="1" spans="1:24">
      <c r="A5429" s="334"/>
      <c r="B5429" s="348" t="s">
        <v>31</v>
      </c>
      <c r="C5429" s="348" t="s">
        <v>377</v>
      </c>
      <c r="D5429" s="334" t="s">
        <v>221</v>
      </c>
      <c r="E5429" s="336">
        <v>43737</v>
      </c>
      <c r="F5429" s="336"/>
      <c r="G5429" s="336">
        <v>43737</v>
      </c>
      <c r="H5429" s="334" t="s">
        <v>6852</v>
      </c>
      <c r="I5429" s="444">
        <v>13651963838</v>
      </c>
      <c r="J5429" s="348" t="s">
        <v>6853</v>
      </c>
      <c r="K5429" s="337"/>
      <c r="L5429" s="334">
        <v>38002</v>
      </c>
      <c r="M5429" s="338"/>
      <c r="N5429" s="362">
        <f t="shared" si="180"/>
        <v>38002</v>
      </c>
      <c r="X5429" s="339"/>
    </row>
    <row r="5430" s="330" customFormat="1" ht="15" customHeight="1" spans="1:24">
      <c r="A5430" s="334"/>
      <c r="B5430" s="334" t="s">
        <v>73</v>
      </c>
      <c r="C5430" s="334" t="s">
        <v>178</v>
      </c>
      <c r="D5430" s="334" t="s">
        <v>717</v>
      </c>
      <c r="E5430" s="336">
        <v>43737</v>
      </c>
      <c r="F5430" s="336"/>
      <c r="G5430" s="336">
        <v>43738</v>
      </c>
      <c r="H5430" s="334" t="s">
        <v>12567</v>
      </c>
      <c r="I5430" s="334">
        <v>13801746006</v>
      </c>
      <c r="J5430" s="334" t="s">
        <v>12568</v>
      </c>
      <c r="K5430" s="337"/>
      <c r="L5430" s="334">
        <v>25917</v>
      </c>
      <c r="M5430" s="338"/>
      <c r="N5430" s="362">
        <f t="shared" si="180"/>
        <v>25917</v>
      </c>
      <c r="X5430" s="339"/>
    </row>
    <row r="5431" s="330" customFormat="1" ht="15" customHeight="1" spans="1:24">
      <c r="A5431" s="334"/>
      <c r="B5431" s="334" t="s">
        <v>315</v>
      </c>
      <c r="C5431" s="334" t="s">
        <v>366</v>
      </c>
      <c r="D5431" s="334" t="s">
        <v>1431</v>
      </c>
      <c r="E5431" s="336">
        <v>43737</v>
      </c>
      <c r="F5431" s="336"/>
      <c r="G5431" s="336">
        <v>43737</v>
      </c>
      <c r="H5431" s="334" t="s">
        <v>12569</v>
      </c>
      <c r="I5431" s="334">
        <v>13311250210</v>
      </c>
      <c r="J5431" s="334" t="s">
        <v>12570</v>
      </c>
      <c r="K5431" s="337"/>
      <c r="L5431" s="334">
        <v>35000</v>
      </c>
      <c r="M5431" s="338"/>
      <c r="N5431" s="362">
        <f t="shared" si="180"/>
        <v>35000</v>
      </c>
      <c r="X5431" s="339"/>
    </row>
    <row r="5432" s="330" customFormat="1" ht="15" customHeight="1" spans="1:24">
      <c r="A5432" s="334"/>
      <c r="B5432" s="348" t="s">
        <v>58</v>
      </c>
      <c r="C5432" s="348" t="s">
        <v>342</v>
      </c>
      <c r="D5432" s="349" t="s">
        <v>343</v>
      </c>
      <c r="E5432" s="336">
        <v>43737</v>
      </c>
      <c r="F5432" s="336"/>
      <c r="G5432" s="336">
        <v>43736</v>
      </c>
      <c r="H5432" s="334" t="s">
        <v>1254</v>
      </c>
      <c r="I5432" s="334">
        <v>13801668130</v>
      </c>
      <c r="J5432" s="334" t="s">
        <v>1255</v>
      </c>
      <c r="K5432" s="337"/>
      <c r="L5432" s="334">
        <v>38000</v>
      </c>
      <c r="M5432" s="338"/>
      <c r="N5432" s="362">
        <f t="shared" si="180"/>
        <v>38000</v>
      </c>
      <c r="X5432" s="339"/>
    </row>
    <row r="5433" s="330" customFormat="1" ht="15" customHeight="1" spans="1:24">
      <c r="A5433" s="334"/>
      <c r="B5433" s="334" t="s">
        <v>315</v>
      </c>
      <c r="C5433" s="334" t="s">
        <v>275</v>
      </c>
      <c r="D5433" s="334" t="s">
        <v>207</v>
      </c>
      <c r="E5433" s="336">
        <v>43737</v>
      </c>
      <c r="F5433" s="336"/>
      <c r="G5433" s="336">
        <v>43737</v>
      </c>
      <c r="H5433" s="334" t="s">
        <v>12571</v>
      </c>
      <c r="I5433" s="334">
        <v>15502188070</v>
      </c>
      <c r="J5433" s="334" t="s">
        <v>12572</v>
      </c>
      <c r="K5433" s="337"/>
      <c r="L5433" s="334">
        <v>5598</v>
      </c>
      <c r="M5433" s="334">
        <v>400</v>
      </c>
      <c r="N5433" s="362">
        <f t="shared" si="180"/>
        <v>5998</v>
      </c>
      <c r="X5433" s="339"/>
    </row>
    <row r="5434" s="330" customFormat="1" ht="15" customHeight="1" spans="1:24">
      <c r="A5434" s="334"/>
      <c r="B5434" s="334" t="s">
        <v>315</v>
      </c>
      <c r="C5434" s="334" t="s">
        <v>230</v>
      </c>
      <c r="D5434" s="334" t="s">
        <v>132</v>
      </c>
      <c r="E5434" s="336">
        <v>43737</v>
      </c>
      <c r="F5434" s="336"/>
      <c r="G5434" s="336">
        <v>43715</v>
      </c>
      <c r="H5434" s="334" t="s">
        <v>12573</v>
      </c>
      <c r="I5434" s="334">
        <v>13621793115</v>
      </c>
      <c r="J5434" s="334" t="s">
        <v>12574</v>
      </c>
      <c r="K5434" s="337"/>
      <c r="L5434" s="334"/>
      <c r="M5434" s="334">
        <v>2248</v>
      </c>
      <c r="N5434" s="362">
        <f t="shared" si="180"/>
        <v>2248</v>
      </c>
      <c r="X5434" s="339"/>
    </row>
    <row r="5435" s="330" customFormat="1" ht="15" customHeight="1" spans="1:24">
      <c r="A5435" s="334"/>
      <c r="B5435" s="348" t="s">
        <v>185</v>
      </c>
      <c r="C5435" s="334" t="s">
        <v>186</v>
      </c>
      <c r="D5435" s="349" t="s">
        <v>187</v>
      </c>
      <c r="E5435" s="336">
        <v>43737</v>
      </c>
      <c r="F5435" s="336" t="s">
        <v>800</v>
      </c>
      <c r="G5435" s="336">
        <v>43719</v>
      </c>
      <c r="H5435" s="334" t="s">
        <v>5443</v>
      </c>
      <c r="I5435" s="334">
        <v>13801736815</v>
      </c>
      <c r="J5435" s="334" t="s">
        <v>5444</v>
      </c>
      <c r="K5435" s="337"/>
      <c r="L5435" s="338"/>
      <c r="M5435" s="334">
        <v>238</v>
      </c>
      <c r="N5435" s="362">
        <f t="shared" si="180"/>
        <v>238</v>
      </c>
      <c r="X5435" s="339"/>
    </row>
    <row r="5436" s="330" customFormat="1" ht="15" customHeight="1" spans="1:24">
      <c r="A5436" s="334"/>
      <c r="B5436" s="348" t="s">
        <v>185</v>
      </c>
      <c r="C5436" s="348" t="s">
        <v>186</v>
      </c>
      <c r="D5436" s="334" t="s">
        <v>187</v>
      </c>
      <c r="E5436" s="336">
        <v>43737</v>
      </c>
      <c r="F5436" s="336" t="s">
        <v>800</v>
      </c>
      <c r="G5436" s="336">
        <v>43723</v>
      </c>
      <c r="H5436" s="334" t="s">
        <v>10224</v>
      </c>
      <c r="I5436" s="334">
        <v>18616152705</v>
      </c>
      <c r="J5436" s="334" t="s">
        <v>11751</v>
      </c>
      <c r="K5436" s="337"/>
      <c r="L5436" s="338"/>
      <c r="M5436" s="334">
        <v>4944</v>
      </c>
      <c r="N5436" s="362">
        <f t="shared" si="180"/>
        <v>4944</v>
      </c>
      <c r="X5436" s="339"/>
    </row>
    <row r="5437" s="330" customFormat="1" ht="15" customHeight="1" spans="1:24">
      <c r="A5437" s="334"/>
      <c r="B5437" s="348" t="s">
        <v>335</v>
      </c>
      <c r="C5437" s="348" t="s">
        <v>399</v>
      </c>
      <c r="D5437" s="349" t="s">
        <v>337</v>
      </c>
      <c r="E5437" s="336">
        <v>43737</v>
      </c>
      <c r="F5437" s="336" t="s">
        <v>800</v>
      </c>
      <c r="G5437" s="336">
        <v>43736</v>
      </c>
      <c r="H5437" s="334" t="s">
        <v>4961</v>
      </c>
      <c r="I5437" s="334">
        <v>18621658896</v>
      </c>
      <c r="J5437" s="334" t="s">
        <v>4962</v>
      </c>
      <c r="K5437" s="337"/>
      <c r="L5437" s="338"/>
      <c r="M5437" s="334">
        <v>1600</v>
      </c>
      <c r="N5437" s="362">
        <f t="shared" si="180"/>
        <v>1600</v>
      </c>
      <c r="X5437" s="339"/>
    </row>
    <row r="5438" s="330" customFormat="1" ht="15" customHeight="1" spans="1:24">
      <c r="A5438" s="334"/>
      <c r="B5438" s="334" t="s">
        <v>42</v>
      </c>
      <c r="C5438" s="334" t="s">
        <v>43</v>
      </c>
      <c r="D5438" s="334" t="s">
        <v>149</v>
      </c>
      <c r="E5438" s="336">
        <v>43737</v>
      </c>
      <c r="F5438" s="336" t="s">
        <v>800</v>
      </c>
      <c r="G5438" s="336">
        <v>43732</v>
      </c>
      <c r="H5438" s="334" t="s">
        <v>1883</v>
      </c>
      <c r="I5438" s="334">
        <v>13917545366</v>
      </c>
      <c r="J5438" s="334" t="s">
        <v>12575</v>
      </c>
      <c r="K5438" s="337"/>
      <c r="L5438" s="338"/>
      <c r="M5438" s="334">
        <v>1800</v>
      </c>
      <c r="N5438" s="362">
        <f t="shared" si="180"/>
        <v>1800</v>
      </c>
      <c r="X5438" s="339"/>
    </row>
    <row r="5439" s="330" customFormat="1" ht="15" customHeight="1" spans="1:24">
      <c r="A5439" s="334"/>
      <c r="B5439" s="348" t="s">
        <v>153</v>
      </c>
      <c r="C5439" s="348" t="s">
        <v>154</v>
      </c>
      <c r="D5439" s="349" t="s">
        <v>155</v>
      </c>
      <c r="E5439" s="336">
        <v>43737</v>
      </c>
      <c r="F5439" s="336" t="s">
        <v>800</v>
      </c>
      <c r="G5439" s="336">
        <v>43736</v>
      </c>
      <c r="H5439" s="334" t="s">
        <v>2079</v>
      </c>
      <c r="I5439" s="334" t="s">
        <v>12576</v>
      </c>
      <c r="J5439" s="334" t="s">
        <v>12577</v>
      </c>
      <c r="K5439" s="337"/>
      <c r="L5439" s="338"/>
      <c r="M5439" s="334">
        <v>3902</v>
      </c>
      <c r="N5439" s="362">
        <f t="shared" si="180"/>
        <v>3902</v>
      </c>
      <c r="X5439" s="339"/>
    </row>
    <row r="5440" s="330" customFormat="1" ht="15" customHeight="1" spans="1:24">
      <c r="A5440" s="334"/>
      <c r="B5440" s="334" t="s">
        <v>137</v>
      </c>
      <c r="C5440" s="334" t="s">
        <v>406</v>
      </c>
      <c r="D5440" s="334" t="s">
        <v>139</v>
      </c>
      <c r="E5440" s="336">
        <v>43737</v>
      </c>
      <c r="F5440" s="336" t="s">
        <v>800</v>
      </c>
      <c r="G5440" s="336">
        <v>43735</v>
      </c>
      <c r="H5440" s="334" t="s">
        <v>12578</v>
      </c>
      <c r="I5440" s="334">
        <v>18916808180</v>
      </c>
      <c r="J5440" s="348" t="s">
        <v>6127</v>
      </c>
      <c r="K5440" s="337"/>
      <c r="L5440" s="338"/>
      <c r="M5440" s="334">
        <v>341</v>
      </c>
      <c r="N5440" s="362">
        <f t="shared" si="180"/>
        <v>341</v>
      </c>
      <c r="X5440" s="339"/>
    </row>
    <row r="5441" s="330" customFormat="1" ht="15" customHeight="1" spans="1:24">
      <c r="A5441" s="334"/>
      <c r="B5441" s="334" t="s">
        <v>169</v>
      </c>
      <c r="C5441" s="334" t="s">
        <v>542</v>
      </c>
      <c r="D5441" s="334" t="s">
        <v>171</v>
      </c>
      <c r="E5441" s="336">
        <v>43737</v>
      </c>
      <c r="F5441" s="336" t="s">
        <v>800</v>
      </c>
      <c r="G5441" s="336">
        <v>43737</v>
      </c>
      <c r="H5441" s="334" t="s">
        <v>357</v>
      </c>
      <c r="I5441" s="334">
        <v>13818304863</v>
      </c>
      <c r="J5441" s="334" t="s">
        <v>12579</v>
      </c>
      <c r="K5441" s="337"/>
      <c r="L5441" s="338"/>
      <c r="M5441" s="334">
        <v>669</v>
      </c>
      <c r="N5441" s="362">
        <f t="shared" si="180"/>
        <v>669</v>
      </c>
      <c r="X5441" s="339"/>
    </row>
    <row r="5442" s="330" customFormat="1" ht="15" customHeight="1" spans="1:24">
      <c r="A5442" s="334"/>
      <c r="B5442" s="334" t="s">
        <v>315</v>
      </c>
      <c r="C5442" s="334" t="s">
        <v>181</v>
      </c>
      <c r="D5442" s="334" t="s">
        <v>182</v>
      </c>
      <c r="E5442" s="336">
        <v>43737</v>
      </c>
      <c r="F5442" s="336" t="s">
        <v>800</v>
      </c>
      <c r="G5442" s="336">
        <v>43736</v>
      </c>
      <c r="H5442" s="334" t="s">
        <v>299</v>
      </c>
      <c r="I5442" s="334">
        <v>19945649469</v>
      </c>
      <c r="J5442" s="334" t="s">
        <v>12580</v>
      </c>
      <c r="K5442" s="337"/>
      <c r="L5442" s="338"/>
      <c r="M5442" s="334">
        <v>585</v>
      </c>
      <c r="N5442" s="362">
        <f t="shared" ref="N5442:N5451" si="181">L5442+M5442</f>
        <v>585</v>
      </c>
      <c r="X5442" s="339"/>
    </row>
    <row r="5443" s="330" customFormat="1" ht="15" customHeight="1" spans="1:24">
      <c r="A5443" s="334"/>
      <c r="B5443" s="348" t="s">
        <v>73</v>
      </c>
      <c r="C5443" s="348" t="s">
        <v>74</v>
      </c>
      <c r="D5443" s="349" t="s">
        <v>143</v>
      </c>
      <c r="E5443" s="336">
        <v>43737</v>
      </c>
      <c r="F5443" s="336" t="s">
        <v>800</v>
      </c>
      <c r="G5443" s="336">
        <v>43736</v>
      </c>
      <c r="H5443" s="334" t="s">
        <v>3586</v>
      </c>
      <c r="I5443" s="334">
        <v>18049860597</v>
      </c>
      <c r="J5443" s="334" t="s">
        <v>12581</v>
      </c>
      <c r="K5443" s="337"/>
      <c r="L5443" s="338"/>
      <c r="M5443" s="334">
        <v>982</v>
      </c>
      <c r="N5443" s="362">
        <f t="shared" si="181"/>
        <v>982</v>
      </c>
      <c r="X5443" s="339"/>
    </row>
    <row r="5444" s="330" customFormat="1" ht="15" customHeight="1" spans="1:24">
      <c r="A5444" s="334"/>
      <c r="B5444" s="348" t="s">
        <v>315</v>
      </c>
      <c r="C5444" s="348" t="s">
        <v>181</v>
      </c>
      <c r="D5444" s="334" t="s">
        <v>182</v>
      </c>
      <c r="E5444" s="336">
        <v>43737</v>
      </c>
      <c r="F5444" s="336" t="s">
        <v>800</v>
      </c>
      <c r="G5444" s="336">
        <v>43736</v>
      </c>
      <c r="H5444" s="334" t="s">
        <v>8233</v>
      </c>
      <c r="I5444" s="334">
        <v>13641856176</v>
      </c>
      <c r="J5444" s="334" t="s">
        <v>8234</v>
      </c>
      <c r="K5444" s="337"/>
      <c r="L5444" s="338"/>
      <c r="M5444" s="334">
        <f>3616</f>
        <v>3616</v>
      </c>
      <c r="N5444" s="362">
        <f t="shared" si="181"/>
        <v>3616</v>
      </c>
      <c r="X5444" s="339"/>
    </row>
    <row r="5445" s="330" customFormat="1" ht="15" customHeight="1" spans="1:24">
      <c r="A5445" s="334"/>
      <c r="B5445" s="348" t="s">
        <v>315</v>
      </c>
      <c r="C5445" s="450" t="s">
        <v>181</v>
      </c>
      <c r="D5445" s="352" t="s">
        <v>182</v>
      </c>
      <c r="E5445" s="336">
        <v>43737</v>
      </c>
      <c r="F5445" s="336" t="s">
        <v>800</v>
      </c>
      <c r="G5445" s="336">
        <v>43736</v>
      </c>
      <c r="H5445" s="334" t="s">
        <v>9845</v>
      </c>
      <c r="I5445" s="334">
        <v>13817521190</v>
      </c>
      <c r="J5445" s="334" t="s">
        <v>9846</v>
      </c>
      <c r="K5445" s="337"/>
      <c r="L5445" s="338"/>
      <c r="M5445" s="334">
        <v>8666</v>
      </c>
      <c r="N5445" s="362">
        <f t="shared" si="181"/>
        <v>8666</v>
      </c>
      <c r="X5445" s="339"/>
    </row>
    <row r="5446" s="330" customFormat="1" ht="15" customHeight="1" spans="1:24">
      <c r="A5446" s="334"/>
      <c r="B5446" s="348" t="s">
        <v>31</v>
      </c>
      <c r="C5446" s="348" t="s">
        <v>220</v>
      </c>
      <c r="D5446" s="334" t="s">
        <v>33</v>
      </c>
      <c r="E5446" s="336">
        <v>43737</v>
      </c>
      <c r="F5446" s="336" t="s">
        <v>800</v>
      </c>
      <c r="G5446" s="336">
        <v>43736</v>
      </c>
      <c r="H5446" s="334" t="s">
        <v>2593</v>
      </c>
      <c r="I5446" s="334">
        <v>13918941136</v>
      </c>
      <c r="J5446" s="334" t="s">
        <v>8301</v>
      </c>
      <c r="K5446" s="337"/>
      <c r="L5446" s="338"/>
      <c r="M5446" s="334">
        <v>2604</v>
      </c>
      <c r="N5446" s="362">
        <f t="shared" si="181"/>
        <v>2604</v>
      </c>
      <c r="X5446" s="339"/>
    </row>
    <row r="5447" s="330" customFormat="1" ht="15" customHeight="1" spans="1:24">
      <c r="A5447" s="334"/>
      <c r="B5447" s="348" t="s">
        <v>315</v>
      </c>
      <c r="C5447" s="348" t="s">
        <v>161</v>
      </c>
      <c r="D5447" s="352" t="s">
        <v>162</v>
      </c>
      <c r="E5447" s="336">
        <v>43737</v>
      </c>
      <c r="F5447" s="336" t="s">
        <v>800</v>
      </c>
      <c r="G5447" s="336">
        <v>43736</v>
      </c>
      <c r="H5447" s="334" t="s">
        <v>6452</v>
      </c>
      <c r="I5447" s="334">
        <v>13301973668</v>
      </c>
      <c r="J5447" s="334" t="s">
        <v>12582</v>
      </c>
      <c r="K5447" s="337"/>
      <c r="L5447" s="338"/>
      <c r="M5447" s="334">
        <v>3766</v>
      </c>
      <c r="N5447" s="362">
        <f t="shared" si="181"/>
        <v>3766</v>
      </c>
      <c r="X5447" s="339"/>
    </row>
    <row r="5448" s="330" customFormat="1" ht="15" customHeight="1" spans="1:24">
      <c r="A5448" s="334"/>
      <c r="B5448" s="348" t="s">
        <v>137</v>
      </c>
      <c r="C5448" s="348" t="s">
        <v>861</v>
      </c>
      <c r="D5448" s="349" t="s">
        <v>139</v>
      </c>
      <c r="E5448" s="336">
        <v>43737</v>
      </c>
      <c r="F5448" s="336" t="s">
        <v>800</v>
      </c>
      <c r="G5448" s="336">
        <v>43725</v>
      </c>
      <c r="H5448" s="334" t="s">
        <v>6347</v>
      </c>
      <c r="I5448" s="444">
        <v>18101810845</v>
      </c>
      <c r="J5448" s="348" t="s">
        <v>6348</v>
      </c>
      <c r="K5448" s="337"/>
      <c r="L5448" s="338"/>
      <c r="M5448" s="334">
        <v>382</v>
      </c>
      <c r="N5448" s="362">
        <f t="shared" si="181"/>
        <v>382</v>
      </c>
      <c r="X5448" s="339"/>
    </row>
    <row r="5449" s="330" customFormat="1" ht="15" customHeight="1" spans="1:24">
      <c r="A5449" s="334"/>
      <c r="B5449" s="348" t="s">
        <v>335</v>
      </c>
      <c r="C5449" s="348" t="s">
        <v>615</v>
      </c>
      <c r="D5449" s="349" t="s">
        <v>337</v>
      </c>
      <c r="E5449" s="336">
        <v>43737</v>
      </c>
      <c r="F5449" s="336" t="s">
        <v>800</v>
      </c>
      <c r="G5449" s="336">
        <v>43737</v>
      </c>
      <c r="H5449" s="334" t="s">
        <v>5190</v>
      </c>
      <c r="I5449" s="334">
        <v>13671989989</v>
      </c>
      <c r="J5449" s="334" t="s">
        <v>12583</v>
      </c>
      <c r="K5449" s="337"/>
      <c r="L5449" s="338"/>
      <c r="M5449" s="334">
        <v>1630</v>
      </c>
      <c r="N5449" s="362">
        <f t="shared" si="181"/>
        <v>1630</v>
      </c>
      <c r="X5449" s="339"/>
    </row>
    <row r="5450" s="330" customFormat="1" ht="15" customHeight="1" spans="1:24">
      <c r="A5450" s="334"/>
      <c r="B5450" s="348" t="s">
        <v>354</v>
      </c>
      <c r="C5450" s="348" t="s">
        <v>355</v>
      </c>
      <c r="D5450" s="334" t="s">
        <v>149</v>
      </c>
      <c r="E5450" s="336">
        <v>43737</v>
      </c>
      <c r="F5450" s="336" t="s">
        <v>800</v>
      </c>
      <c r="G5450" s="336">
        <v>43733</v>
      </c>
      <c r="H5450" s="334" t="s">
        <v>6796</v>
      </c>
      <c r="I5450" s="444">
        <v>13391099863</v>
      </c>
      <c r="J5450" s="348" t="s">
        <v>6797</v>
      </c>
      <c r="K5450" s="337"/>
      <c r="L5450" s="338"/>
      <c r="M5450" s="334">
        <v>-2964</v>
      </c>
      <c r="N5450" s="362">
        <f t="shared" si="181"/>
        <v>-2964</v>
      </c>
      <c r="X5450" s="339"/>
    </row>
    <row r="5451" s="330" customFormat="1" ht="15" customHeight="1" spans="1:24">
      <c r="A5451" s="334"/>
      <c r="B5451" s="348" t="s">
        <v>31</v>
      </c>
      <c r="C5451" s="334" t="s">
        <v>220</v>
      </c>
      <c r="D5451" s="349" t="s">
        <v>221</v>
      </c>
      <c r="E5451" s="336">
        <v>43737</v>
      </c>
      <c r="F5451" s="336" t="s">
        <v>800</v>
      </c>
      <c r="G5451" s="336">
        <v>43737</v>
      </c>
      <c r="H5451" s="334" t="s">
        <v>3757</v>
      </c>
      <c r="I5451" s="334">
        <v>13818595180</v>
      </c>
      <c r="J5451" s="334" t="s">
        <v>7586</v>
      </c>
      <c r="K5451" s="337"/>
      <c r="L5451" s="338"/>
      <c r="M5451" s="334">
        <v>118</v>
      </c>
      <c r="N5451" s="362">
        <f t="shared" si="181"/>
        <v>118</v>
      </c>
      <c r="X5451" s="339"/>
    </row>
    <row r="5452" s="330" customFormat="1" ht="15" customHeight="1" spans="1:24">
      <c r="A5452" s="334"/>
      <c r="B5452" s="334" t="s">
        <v>31</v>
      </c>
      <c r="C5452" s="334" t="s">
        <v>377</v>
      </c>
      <c r="D5452" s="334" t="s">
        <v>221</v>
      </c>
      <c r="E5452" s="336">
        <v>43737</v>
      </c>
      <c r="F5452" s="336" t="s">
        <v>800</v>
      </c>
      <c r="G5452" s="336">
        <v>43737</v>
      </c>
      <c r="H5452" s="334" t="s">
        <v>11172</v>
      </c>
      <c r="I5452" s="334">
        <v>18101979342</v>
      </c>
      <c r="J5452" s="334" t="s">
        <v>12584</v>
      </c>
      <c r="K5452" s="337"/>
      <c r="L5452" s="338"/>
      <c r="M5452" s="334">
        <v>24811</v>
      </c>
      <c r="N5452" s="362">
        <f t="shared" ref="N5452:N5457" si="182">L5452+M5452</f>
        <v>24811</v>
      </c>
      <c r="X5452" s="339"/>
    </row>
    <row r="5453" s="330" customFormat="1" ht="15" customHeight="1" spans="1:24">
      <c r="A5453" s="334"/>
      <c r="B5453" s="348" t="s">
        <v>2625</v>
      </c>
      <c r="C5453" s="348" t="s">
        <v>2626</v>
      </c>
      <c r="D5453" s="349" t="s">
        <v>44</v>
      </c>
      <c r="E5453" s="336">
        <v>43737</v>
      </c>
      <c r="F5453" s="336" t="s">
        <v>800</v>
      </c>
      <c r="G5453" s="336">
        <v>43737</v>
      </c>
      <c r="H5453" s="334" t="s">
        <v>5934</v>
      </c>
      <c r="I5453" s="334">
        <v>13917623898</v>
      </c>
      <c r="J5453" s="334" t="s">
        <v>12585</v>
      </c>
      <c r="K5453" s="337"/>
      <c r="L5453" s="338"/>
      <c r="M5453" s="334">
        <v>240</v>
      </c>
      <c r="N5453" s="362">
        <f t="shared" si="182"/>
        <v>240</v>
      </c>
      <c r="X5453" s="339"/>
    </row>
    <row r="5454" s="330" customFormat="1" ht="15" customHeight="1" spans="1:24">
      <c r="A5454" s="334"/>
      <c r="B5454" s="348" t="s">
        <v>58</v>
      </c>
      <c r="C5454" s="348" t="s">
        <v>794</v>
      </c>
      <c r="D5454" s="352" t="s">
        <v>110</v>
      </c>
      <c r="E5454" s="336">
        <v>43737</v>
      </c>
      <c r="F5454" s="336" t="s">
        <v>800</v>
      </c>
      <c r="G5454" s="336">
        <v>43737</v>
      </c>
      <c r="H5454" s="334" t="s">
        <v>4310</v>
      </c>
      <c r="I5454" s="334">
        <v>19921073995</v>
      </c>
      <c r="J5454" s="334" t="s">
        <v>12586</v>
      </c>
      <c r="K5454" s="337"/>
      <c r="L5454" s="338"/>
      <c r="M5454" s="334">
        <v>-771</v>
      </c>
      <c r="N5454" s="362">
        <f t="shared" si="182"/>
        <v>-771</v>
      </c>
      <c r="X5454" s="339"/>
    </row>
    <row r="5455" s="330" customFormat="1" ht="15" customHeight="1" spans="1:24">
      <c r="A5455" s="334"/>
      <c r="B5455" s="334" t="s">
        <v>236</v>
      </c>
      <c r="C5455" s="334" t="s">
        <v>195</v>
      </c>
      <c r="D5455" s="334" t="s">
        <v>237</v>
      </c>
      <c r="E5455" s="336">
        <v>43737</v>
      </c>
      <c r="F5455" s="336" t="s">
        <v>800</v>
      </c>
      <c r="G5455" s="336">
        <v>43736</v>
      </c>
      <c r="H5455" s="334" t="s">
        <v>10883</v>
      </c>
      <c r="I5455" s="334">
        <v>13901441166</v>
      </c>
      <c r="J5455" s="334" t="s">
        <v>12587</v>
      </c>
      <c r="K5455" s="337"/>
      <c r="L5455" s="338"/>
      <c r="M5455" s="334">
        <v>1180</v>
      </c>
      <c r="N5455" s="362">
        <f t="shared" si="182"/>
        <v>1180</v>
      </c>
      <c r="X5455" s="339"/>
    </row>
    <row r="5456" s="330" customFormat="1" ht="15" customHeight="1" spans="1:24">
      <c r="A5456" s="334"/>
      <c r="B5456" s="348" t="s">
        <v>58</v>
      </c>
      <c r="C5456" s="334" t="s">
        <v>59</v>
      </c>
      <c r="D5456" s="349" t="s">
        <v>271</v>
      </c>
      <c r="E5456" s="424">
        <v>43737</v>
      </c>
      <c r="F5456" s="336" t="s">
        <v>800</v>
      </c>
      <c r="G5456" s="424">
        <v>43737</v>
      </c>
      <c r="H5456" s="425" t="s">
        <v>6556</v>
      </c>
      <c r="I5456" s="425">
        <v>13636500566</v>
      </c>
      <c r="J5456" s="425" t="s">
        <v>6557</v>
      </c>
      <c r="K5456" s="337"/>
      <c r="L5456" s="338"/>
      <c r="M5456" s="425">
        <f>18116</f>
        <v>18116</v>
      </c>
      <c r="N5456" s="362">
        <f t="shared" si="182"/>
        <v>18116</v>
      </c>
      <c r="X5456" s="339"/>
    </row>
    <row r="5457" s="330" customFormat="1" ht="15" customHeight="1" spans="1:24">
      <c r="A5457" s="334"/>
      <c r="B5457" s="334" t="s">
        <v>137</v>
      </c>
      <c r="C5457" s="334" t="s">
        <v>861</v>
      </c>
      <c r="D5457" s="335" t="s">
        <v>427</v>
      </c>
      <c r="E5457" s="336">
        <v>43737</v>
      </c>
      <c r="F5457" s="336">
        <v>43726</v>
      </c>
      <c r="G5457" s="336">
        <v>43726</v>
      </c>
      <c r="H5457" s="334" t="s">
        <v>12242</v>
      </c>
      <c r="I5457" s="426">
        <v>13818093040</v>
      </c>
      <c r="J5457" s="334" t="s">
        <v>12243</v>
      </c>
      <c r="K5457" s="455">
        <v>120000</v>
      </c>
      <c r="L5457" s="334">
        <v>120000</v>
      </c>
      <c r="M5457" s="338"/>
      <c r="N5457" s="362">
        <f t="shared" si="182"/>
        <v>120000</v>
      </c>
      <c r="X5457" s="339"/>
    </row>
    <row r="5458" s="330" customFormat="1" ht="15" customHeight="1" spans="1:24">
      <c r="A5458" s="550" t="s">
        <v>12588</v>
      </c>
      <c r="B5458" s="334" t="s">
        <v>137</v>
      </c>
      <c r="C5458" s="334" t="s">
        <v>480</v>
      </c>
      <c r="D5458" s="335" t="s">
        <v>139</v>
      </c>
      <c r="E5458" s="336">
        <v>43745</v>
      </c>
      <c r="F5458" s="336">
        <v>43738</v>
      </c>
      <c r="G5458" s="336">
        <v>43744</v>
      </c>
      <c r="H5458" s="334" t="s">
        <v>12589</v>
      </c>
      <c r="I5458" s="426">
        <v>13816305360</v>
      </c>
      <c r="J5458" s="334" t="s">
        <v>12590</v>
      </c>
      <c r="K5458" s="455">
        <v>5000</v>
      </c>
      <c r="L5458" s="334">
        <v>24300</v>
      </c>
      <c r="M5458" s="338"/>
      <c r="N5458" s="362">
        <f t="shared" ref="N5458:N5489" si="183">L5458+M5458</f>
        <v>24300</v>
      </c>
      <c r="X5458" s="339"/>
    </row>
    <row r="5459" s="330" customFormat="1" ht="15" customHeight="1" spans="1:24">
      <c r="A5459" s="348"/>
      <c r="B5459" s="348" t="s">
        <v>169</v>
      </c>
      <c r="C5459" s="334" t="s">
        <v>634</v>
      </c>
      <c r="D5459" s="335" t="s">
        <v>635</v>
      </c>
      <c r="E5459" s="336">
        <v>43738</v>
      </c>
      <c r="F5459" s="336">
        <v>43738</v>
      </c>
      <c r="G5459" s="399"/>
      <c r="H5459" s="334" t="s">
        <v>12591</v>
      </c>
      <c r="I5459" s="426">
        <v>13818886116</v>
      </c>
      <c r="J5459" s="334" t="s">
        <v>12592</v>
      </c>
      <c r="K5459" s="455">
        <v>1000</v>
      </c>
      <c r="L5459" s="338"/>
      <c r="M5459" s="338"/>
      <c r="N5459" s="362">
        <f t="shared" si="183"/>
        <v>0</v>
      </c>
      <c r="O5459" s="353" t="s">
        <v>19</v>
      </c>
      <c r="X5459" s="339"/>
    </row>
    <row r="5460" s="330" customFormat="1" ht="15" customHeight="1" spans="1:24">
      <c r="A5460" s="348"/>
      <c r="B5460" s="348" t="s">
        <v>169</v>
      </c>
      <c r="C5460" s="334" t="s">
        <v>634</v>
      </c>
      <c r="D5460" s="335" t="s">
        <v>635</v>
      </c>
      <c r="E5460" s="336">
        <v>43785</v>
      </c>
      <c r="F5460" s="336">
        <v>43738</v>
      </c>
      <c r="G5460" s="336">
        <v>43784</v>
      </c>
      <c r="H5460" s="334" t="s">
        <v>12593</v>
      </c>
      <c r="I5460" s="426">
        <v>18602111255</v>
      </c>
      <c r="J5460" s="334" t="s">
        <v>12594</v>
      </c>
      <c r="K5460" s="455">
        <v>1000</v>
      </c>
      <c r="L5460" s="334">
        <v>9826</v>
      </c>
      <c r="M5460" s="338"/>
      <c r="N5460" s="362">
        <f t="shared" si="183"/>
        <v>9826</v>
      </c>
      <c r="X5460" s="339"/>
    </row>
    <row r="5461" s="330" customFormat="1" ht="15" customHeight="1" spans="1:24">
      <c r="A5461" s="550" t="s">
        <v>12595</v>
      </c>
      <c r="B5461" s="334" t="s">
        <v>31</v>
      </c>
      <c r="C5461" s="334" t="s">
        <v>419</v>
      </c>
      <c r="D5461" s="335" t="s">
        <v>221</v>
      </c>
      <c r="E5461" s="474">
        <v>43738</v>
      </c>
      <c r="F5461" s="336">
        <v>43738</v>
      </c>
      <c r="G5461" s="399"/>
      <c r="H5461" s="336" t="s">
        <v>943</v>
      </c>
      <c r="I5461" s="426">
        <v>18621588717</v>
      </c>
      <c r="J5461" s="334" t="s">
        <v>12596</v>
      </c>
      <c r="K5461" s="455">
        <v>500</v>
      </c>
      <c r="L5461" s="338"/>
      <c r="M5461" s="338"/>
      <c r="N5461" s="362">
        <f t="shared" si="183"/>
        <v>0</v>
      </c>
      <c r="Q5461" s="385" t="s">
        <v>52</v>
      </c>
      <c r="X5461" s="339"/>
    </row>
    <row r="5462" s="330" customFormat="1" ht="15" customHeight="1" spans="1:24">
      <c r="A5462" s="348">
        <v>6105067</v>
      </c>
      <c r="B5462" s="334" t="s">
        <v>405</v>
      </c>
      <c r="C5462" s="334" t="s">
        <v>823</v>
      </c>
      <c r="D5462" s="335" t="s">
        <v>407</v>
      </c>
      <c r="E5462" s="336">
        <v>43795</v>
      </c>
      <c r="F5462" s="336">
        <v>43738</v>
      </c>
      <c r="G5462" s="336">
        <v>43795</v>
      </c>
      <c r="H5462" s="334" t="s">
        <v>12597</v>
      </c>
      <c r="I5462" s="426">
        <v>13262727230</v>
      </c>
      <c r="J5462" s="334" t="s">
        <v>12598</v>
      </c>
      <c r="K5462" s="455">
        <v>3000</v>
      </c>
      <c r="L5462" s="334">
        <v>19298</v>
      </c>
      <c r="M5462" s="338"/>
      <c r="N5462" s="362">
        <f t="shared" si="183"/>
        <v>19298</v>
      </c>
      <c r="X5462" s="339"/>
    </row>
    <row r="5463" s="330" customFormat="1" ht="15" customHeight="1" spans="1:24">
      <c r="A5463" s="348">
        <v>6105068</v>
      </c>
      <c r="B5463" s="334" t="s">
        <v>405</v>
      </c>
      <c r="C5463" s="334" t="s">
        <v>1234</v>
      </c>
      <c r="D5463" s="335" t="s">
        <v>407</v>
      </c>
      <c r="E5463" s="336">
        <v>43738</v>
      </c>
      <c r="F5463" s="336">
        <v>43738</v>
      </c>
      <c r="G5463" s="399"/>
      <c r="H5463" s="334" t="s">
        <v>12599</v>
      </c>
      <c r="I5463" s="426">
        <v>13788973066</v>
      </c>
      <c r="J5463" s="334" t="s">
        <v>12600</v>
      </c>
      <c r="K5463" s="455">
        <v>500</v>
      </c>
      <c r="L5463" s="338"/>
      <c r="M5463" s="338"/>
      <c r="N5463" s="362">
        <f t="shared" si="183"/>
        <v>0</v>
      </c>
      <c r="O5463" s="356" t="s">
        <v>52</v>
      </c>
      <c r="X5463" s="339"/>
    </row>
    <row r="5464" s="330" customFormat="1" ht="15" customHeight="1" spans="1:24">
      <c r="A5464" s="550" t="s">
        <v>12601</v>
      </c>
      <c r="B5464" s="334" t="s">
        <v>5435</v>
      </c>
      <c r="C5464" s="334" t="s">
        <v>1728</v>
      </c>
      <c r="D5464" s="335" t="s">
        <v>149</v>
      </c>
      <c r="E5464" s="336">
        <v>43738</v>
      </c>
      <c r="F5464" s="336">
        <v>43738</v>
      </c>
      <c r="G5464" s="399"/>
      <c r="H5464" s="334" t="s">
        <v>12602</v>
      </c>
      <c r="I5464" s="426">
        <v>18621804233</v>
      </c>
      <c r="J5464" s="334" t="s">
        <v>12603</v>
      </c>
      <c r="K5464" s="455">
        <v>500</v>
      </c>
      <c r="L5464" s="338"/>
      <c r="M5464" s="338"/>
      <c r="N5464" s="362">
        <f t="shared" si="183"/>
        <v>0</v>
      </c>
      <c r="U5464" s="467" t="s">
        <v>52</v>
      </c>
      <c r="X5464" s="339"/>
    </row>
    <row r="5465" s="330" customFormat="1" ht="15" customHeight="1" spans="1:24">
      <c r="A5465" s="550" t="s">
        <v>12604</v>
      </c>
      <c r="B5465" s="334" t="s">
        <v>137</v>
      </c>
      <c r="C5465" s="334" t="s">
        <v>426</v>
      </c>
      <c r="D5465" s="334" t="s">
        <v>443</v>
      </c>
      <c r="E5465" s="336">
        <v>43738</v>
      </c>
      <c r="F5465" s="336">
        <v>43736</v>
      </c>
      <c r="G5465" s="399">
        <v>43738</v>
      </c>
      <c r="H5465" s="334" t="s">
        <v>12605</v>
      </c>
      <c r="I5465" s="426">
        <v>15216614350</v>
      </c>
      <c r="J5465" s="334" t="s">
        <v>12606</v>
      </c>
      <c r="K5465" s="455">
        <v>10000</v>
      </c>
      <c r="L5465" s="334">
        <v>10000</v>
      </c>
      <c r="M5465" s="338"/>
      <c r="N5465" s="362">
        <f t="shared" si="183"/>
        <v>10000</v>
      </c>
      <c r="X5465" s="339"/>
    </row>
    <row r="5466" s="330" customFormat="1" ht="15" customHeight="1" spans="1:24">
      <c r="A5466" s="348"/>
      <c r="B5466" s="334" t="s">
        <v>315</v>
      </c>
      <c r="C5466" s="334" t="s">
        <v>161</v>
      </c>
      <c r="D5466" s="335" t="s">
        <v>162</v>
      </c>
      <c r="E5466" s="336">
        <v>43738</v>
      </c>
      <c r="F5466" s="336">
        <v>43738</v>
      </c>
      <c r="G5466" s="399"/>
      <c r="H5466" s="334" t="s">
        <v>12607</v>
      </c>
      <c r="I5466" s="426">
        <v>18018698591</v>
      </c>
      <c r="J5466" s="334" t="s">
        <v>12608</v>
      </c>
      <c r="K5466" s="455">
        <v>500</v>
      </c>
      <c r="L5466" s="338"/>
      <c r="M5466" s="338"/>
      <c r="N5466" s="362">
        <f t="shared" si="183"/>
        <v>0</v>
      </c>
      <c r="U5466" s="353" t="s">
        <v>12</v>
      </c>
      <c r="X5466" s="339"/>
    </row>
    <row r="5467" s="330" customFormat="1" ht="15" customHeight="1" spans="1:24">
      <c r="A5467" s="550" t="s">
        <v>2197</v>
      </c>
      <c r="B5467" s="334" t="s">
        <v>185</v>
      </c>
      <c r="C5467" s="334" t="s">
        <v>1204</v>
      </c>
      <c r="D5467" s="335" t="s">
        <v>44</v>
      </c>
      <c r="E5467" s="336">
        <v>43738</v>
      </c>
      <c r="F5467" s="336">
        <v>43722</v>
      </c>
      <c r="G5467" s="399">
        <v>43738</v>
      </c>
      <c r="H5467" s="334" t="s">
        <v>12609</v>
      </c>
      <c r="I5467" s="426">
        <v>18202180176</v>
      </c>
      <c r="J5467" s="334" t="s">
        <v>12610</v>
      </c>
      <c r="K5467" s="455">
        <v>5000</v>
      </c>
      <c r="L5467" s="334">
        <v>15000</v>
      </c>
      <c r="M5467" s="338"/>
      <c r="N5467" s="362">
        <f t="shared" si="183"/>
        <v>15000</v>
      </c>
      <c r="X5467" s="339"/>
    </row>
    <row r="5468" s="330" customFormat="1" ht="15" customHeight="1" spans="1:24">
      <c r="A5468" s="550" t="s">
        <v>12611</v>
      </c>
      <c r="B5468" s="334" t="s">
        <v>236</v>
      </c>
      <c r="C5468" s="334" t="s">
        <v>703</v>
      </c>
      <c r="D5468" s="334" t="s">
        <v>207</v>
      </c>
      <c r="E5468" s="336">
        <v>43769</v>
      </c>
      <c r="F5468" s="336">
        <v>43737</v>
      </c>
      <c r="G5468" s="336">
        <v>43769</v>
      </c>
      <c r="H5468" s="334" t="s">
        <v>12612</v>
      </c>
      <c r="I5468" s="426">
        <v>13816227178</v>
      </c>
      <c r="J5468" s="334" t="s">
        <v>12613</v>
      </c>
      <c r="K5468" s="455">
        <v>4300</v>
      </c>
      <c r="L5468" s="334">
        <v>6000</v>
      </c>
      <c r="M5468" s="338"/>
      <c r="N5468" s="362">
        <f t="shared" si="183"/>
        <v>6000</v>
      </c>
      <c r="X5468" s="339"/>
    </row>
    <row r="5469" s="330" customFormat="1" ht="15" customHeight="1" spans="1:24">
      <c r="A5469" s="550" t="s">
        <v>12614</v>
      </c>
      <c r="B5469" s="334" t="s">
        <v>42</v>
      </c>
      <c r="C5469" s="334" t="s">
        <v>43</v>
      </c>
      <c r="D5469" s="335" t="s">
        <v>44</v>
      </c>
      <c r="E5469" s="336">
        <v>43738</v>
      </c>
      <c r="F5469" s="336">
        <v>43736</v>
      </c>
      <c r="G5469" s="399"/>
      <c r="H5469" s="334" t="s">
        <v>4863</v>
      </c>
      <c r="I5469" s="426">
        <v>13816417924</v>
      </c>
      <c r="J5469" s="334" t="s">
        <v>12615</v>
      </c>
      <c r="K5469" s="455">
        <v>200</v>
      </c>
      <c r="L5469" s="338"/>
      <c r="M5469" s="338"/>
      <c r="N5469" s="362">
        <f t="shared" si="183"/>
        <v>0</v>
      </c>
      <c r="U5469" s="471">
        <v>43728</v>
      </c>
      <c r="X5469" s="339"/>
    </row>
    <row r="5470" s="330" customFormat="1" ht="15" customHeight="1" spans="1:24">
      <c r="A5470" s="550" t="s">
        <v>12616</v>
      </c>
      <c r="B5470" s="348" t="s">
        <v>185</v>
      </c>
      <c r="C5470" s="334" t="s">
        <v>886</v>
      </c>
      <c r="D5470" s="334" t="s">
        <v>187</v>
      </c>
      <c r="E5470" s="336">
        <v>43738</v>
      </c>
      <c r="F5470" s="336">
        <v>43737</v>
      </c>
      <c r="G5470" s="336">
        <v>43737</v>
      </c>
      <c r="H5470" s="334" t="s">
        <v>12617</v>
      </c>
      <c r="I5470" s="426">
        <v>18964512701</v>
      </c>
      <c r="J5470" s="334" t="s">
        <v>12618</v>
      </c>
      <c r="K5470" s="455">
        <v>7940</v>
      </c>
      <c r="L5470" s="334">
        <v>7940</v>
      </c>
      <c r="M5470" s="334">
        <v>-700</v>
      </c>
      <c r="N5470" s="362">
        <f t="shared" si="183"/>
        <v>7240</v>
      </c>
      <c r="X5470" s="339"/>
    </row>
    <row r="5471" s="330" customFormat="1" ht="15" customHeight="1" spans="1:24">
      <c r="A5471" s="550" t="s">
        <v>10889</v>
      </c>
      <c r="B5471" s="334" t="s">
        <v>185</v>
      </c>
      <c r="C5471" s="334" t="s">
        <v>886</v>
      </c>
      <c r="D5471" s="335" t="s">
        <v>187</v>
      </c>
      <c r="E5471" s="336">
        <v>43796</v>
      </c>
      <c r="F5471" s="336">
        <v>43738</v>
      </c>
      <c r="G5471" s="336">
        <v>43791</v>
      </c>
      <c r="H5471" s="334" t="s">
        <v>12619</v>
      </c>
      <c r="I5471" s="426">
        <v>15026784188</v>
      </c>
      <c r="J5471" s="334" t="s">
        <v>12620</v>
      </c>
      <c r="K5471" s="455">
        <v>3998</v>
      </c>
      <c r="L5471" s="334">
        <v>4658</v>
      </c>
      <c r="M5471" s="338"/>
      <c r="N5471" s="362">
        <f t="shared" si="183"/>
        <v>4658</v>
      </c>
      <c r="X5471" s="339"/>
    </row>
    <row r="5472" s="330" customFormat="1" ht="15" customHeight="1" spans="1:24">
      <c r="A5472" s="550" t="s">
        <v>12621</v>
      </c>
      <c r="B5472" s="334" t="s">
        <v>73</v>
      </c>
      <c r="C5472" s="334" t="s">
        <v>74</v>
      </c>
      <c r="D5472" s="335" t="s">
        <v>75</v>
      </c>
      <c r="E5472" s="336">
        <v>43769</v>
      </c>
      <c r="F5472" s="336">
        <v>43738</v>
      </c>
      <c r="G5472" s="336">
        <v>43769</v>
      </c>
      <c r="H5472" s="334" t="s">
        <v>12622</v>
      </c>
      <c r="I5472" s="426">
        <v>13611863907</v>
      </c>
      <c r="J5472" s="334" t="s">
        <v>12623</v>
      </c>
      <c r="K5472" s="455">
        <v>1000</v>
      </c>
      <c r="L5472" s="334">
        <v>22191</v>
      </c>
      <c r="M5472" s="338"/>
      <c r="N5472" s="362">
        <f t="shared" si="183"/>
        <v>22191</v>
      </c>
      <c r="X5472" s="339"/>
    </row>
    <row r="5473" s="330" customFormat="1" ht="15" customHeight="1" spans="1:24">
      <c r="A5473" s="348"/>
      <c r="B5473" s="334" t="s">
        <v>205</v>
      </c>
      <c r="C5473" s="334" t="s">
        <v>1467</v>
      </c>
      <c r="D5473" s="334" t="s">
        <v>407</v>
      </c>
      <c r="E5473" s="336">
        <v>43738</v>
      </c>
      <c r="F5473" s="336">
        <v>43738</v>
      </c>
      <c r="G5473" s="399">
        <v>43738</v>
      </c>
      <c r="H5473" s="334" t="s">
        <v>12624</v>
      </c>
      <c r="I5473" s="426">
        <v>13817211286</v>
      </c>
      <c r="J5473" s="334" t="s">
        <v>12625</v>
      </c>
      <c r="K5473" s="455">
        <v>20000</v>
      </c>
      <c r="L5473" s="334">
        <v>19905</v>
      </c>
      <c r="M5473" s="338"/>
      <c r="N5473" s="362">
        <f t="shared" si="183"/>
        <v>19905</v>
      </c>
      <c r="X5473" s="339"/>
    </row>
    <row r="5474" s="330" customFormat="1" ht="15" customHeight="1" spans="1:24">
      <c r="A5474" s="550" t="s">
        <v>12626</v>
      </c>
      <c r="B5474" s="334" t="s">
        <v>153</v>
      </c>
      <c r="C5474" s="334" t="s">
        <v>302</v>
      </c>
      <c r="D5474" s="335" t="s">
        <v>155</v>
      </c>
      <c r="E5474" s="336">
        <v>43738</v>
      </c>
      <c r="F5474" s="336">
        <v>43738</v>
      </c>
      <c r="G5474" s="399"/>
      <c r="H5474" s="334" t="s">
        <v>12627</v>
      </c>
      <c r="I5474" s="426">
        <v>13391060860</v>
      </c>
      <c r="J5474" s="334" t="s">
        <v>12628</v>
      </c>
      <c r="K5474" s="455">
        <v>500</v>
      </c>
      <c r="L5474" s="338"/>
      <c r="M5474" s="338"/>
      <c r="N5474" s="362">
        <f t="shared" si="183"/>
        <v>0</v>
      </c>
      <c r="Q5474" s="467" t="s">
        <v>52</v>
      </c>
      <c r="X5474" s="339"/>
    </row>
    <row r="5475" s="330" customFormat="1" ht="15" customHeight="1" spans="1:24">
      <c r="A5475" s="348">
        <v>2066251</v>
      </c>
      <c r="B5475" s="334" t="s">
        <v>94</v>
      </c>
      <c r="C5475" s="334" t="s">
        <v>101</v>
      </c>
      <c r="D5475" s="334" t="s">
        <v>407</v>
      </c>
      <c r="E5475" s="336">
        <v>43769</v>
      </c>
      <c r="F5475" s="336">
        <v>43738</v>
      </c>
      <c r="G5475" s="336">
        <v>43768</v>
      </c>
      <c r="H5475" s="334" t="s">
        <v>12629</v>
      </c>
      <c r="I5475" s="426">
        <v>13801871977</v>
      </c>
      <c r="J5475" s="334" t="s">
        <v>12630</v>
      </c>
      <c r="K5475" s="455">
        <v>1000</v>
      </c>
      <c r="L5475" s="334">
        <v>244000</v>
      </c>
      <c r="M5475" s="338"/>
      <c r="N5475" s="362">
        <f t="shared" si="183"/>
        <v>244000</v>
      </c>
      <c r="X5475" s="339"/>
    </row>
    <row r="5476" s="330" customFormat="1" ht="15" customHeight="1" spans="1:24">
      <c r="A5476" s="348">
        <v>2066253</v>
      </c>
      <c r="B5476" s="334" t="s">
        <v>94</v>
      </c>
      <c r="C5476" s="334" t="s">
        <v>95</v>
      </c>
      <c r="D5476" s="335" t="s">
        <v>49</v>
      </c>
      <c r="E5476" s="336">
        <v>43738</v>
      </c>
      <c r="F5476" s="336">
        <v>43737</v>
      </c>
      <c r="G5476" s="399"/>
      <c r="H5476" s="334" t="s">
        <v>12631</v>
      </c>
      <c r="I5476" s="426">
        <v>18055534870</v>
      </c>
      <c r="J5476" s="334" t="s">
        <v>12632</v>
      </c>
      <c r="K5476" s="455">
        <v>500</v>
      </c>
      <c r="L5476" s="338"/>
      <c r="M5476" s="338"/>
      <c r="N5476" s="362">
        <f t="shared" si="183"/>
        <v>0</v>
      </c>
      <c r="U5476" s="353" t="s">
        <v>12</v>
      </c>
      <c r="X5476" s="339"/>
    </row>
    <row r="5477" s="330" customFormat="1" ht="15" customHeight="1" spans="1:24">
      <c r="A5477" s="348">
        <v>2066252</v>
      </c>
      <c r="B5477" s="334" t="s">
        <v>94</v>
      </c>
      <c r="C5477" s="334" t="s">
        <v>95</v>
      </c>
      <c r="D5477" s="335" t="s">
        <v>49</v>
      </c>
      <c r="E5477" s="336">
        <v>43782</v>
      </c>
      <c r="F5477" s="336">
        <v>43737</v>
      </c>
      <c r="G5477" s="336">
        <v>43780</v>
      </c>
      <c r="H5477" s="334" t="s">
        <v>12633</v>
      </c>
      <c r="I5477" s="426">
        <v>18301752299</v>
      </c>
      <c r="J5477" s="334" t="s">
        <v>12634</v>
      </c>
      <c r="K5477" s="455">
        <v>500</v>
      </c>
      <c r="L5477" s="334">
        <v>11308</v>
      </c>
      <c r="M5477" s="338"/>
      <c r="N5477" s="362">
        <f t="shared" si="183"/>
        <v>11308</v>
      </c>
      <c r="X5477" s="339"/>
    </row>
    <row r="5478" s="330" customFormat="1" ht="15" customHeight="1" spans="1:24">
      <c r="A5478" s="550" t="s">
        <v>12635</v>
      </c>
      <c r="B5478" s="348" t="s">
        <v>31</v>
      </c>
      <c r="C5478" s="334" t="s">
        <v>3186</v>
      </c>
      <c r="D5478" s="334" t="s">
        <v>33</v>
      </c>
      <c r="E5478" s="336">
        <v>43738</v>
      </c>
      <c r="F5478" s="336">
        <v>43738</v>
      </c>
      <c r="G5478" s="399">
        <v>43738</v>
      </c>
      <c r="H5478" s="334" t="s">
        <v>12636</v>
      </c>
      <c r="I5478" s="426">
        <v>13795253898</v>
      </c>
      <c r="J5478" s="334" t="s">
        <v>12637</v>
      </c>
      <c r="K5478" s="455">
        <v>55260</v>
      </c>
      <c r="L5478" s="334">
        <v>55260</v>
      </c>
      <c r="M5478" s="338"/>
      <c r="N5478" s="362">
        <f t="shared" si="183"/>
        <v>55260</v>
      </c>
      <c r="X5478" s="339"/>
    </row>
    <row r="5479" s="330" customFormat="1" ht="15" customHeight="1" spans="1:24">
      <c r="A5479" s="348">
        <v>2068842</v>
      </c>
      <c r="B5479" s="334" t="s">
        <v>66</v>
      </c>
      <c r="C5479" s="334" t="s">
        <v>505</v>
      </c>
      <c r="D5479" s="335" t="s">
        <v>1436</v>
      </c>
      <c r="E5479" s="336">
        <v>43738</v>
      </c>
      <c r="F5479" s="336">
        <v>43738</v>
      </c>
      <c r="G5479" s="399"/>
      <c r="H5479" s="334" t="s">
        <v>12638</v>
      </c>
      <c r="I5479" s="426">
        <v>15201823365</v>
      </c>
      <c r="J5479" s="334" t="s">
        <v>12639</v>
      </c>
      <c r="K5479" s="455">
        <v>500</v>
      </c>
      <c r="L5479" s="338"/>
      <c r="M5479" s="338"/>
      <c r="N5479" s="362">
        <f t="shared" si="183"/>
        <v>0</v>
      </c>
      <c r="P5479" s="330" t="s">
        <v>52</v>
      </c>
      <c r="X5479" s="339"/>
    </row>
    <row r="5480" s="330" customFormat="1" ht="15" customHeight="1" spans="1:24">
      <c r="A5480" s="550" t="s">
        <v>12640</v>
      </c>
      <c r="B5480" s="334" t="s">
        <v>31</v>
      </c>
      <c r="C5480" s="334" t="s">
        <v>220</v>
      </c>
      <c r="D5480" s="335" t="s">
        <v>221</v>
      </c>
      <c r="E5480" s="336">
        <v>43738</v>
      </c>
      <c r="F5480" s="336">
        <v>43738</v>
      </c>
      <c r="G5480" s="399"/>
      <c r="H5480" s="334" t="s">
        <v>12641</v>
      </c>
      <c r="I5480" s="426">
        <v>15821634465</v>
      </c>
      <c r="J5480" s="334" t="s">
        <v>12642</v>
      </c>
      <c r="K5480" s="455">
        <v>500</v>
      </c>
      <c r="L5480" s="338"/>
      <c r="M5480" s="338"/>
      <c r="N5480" s="362">
        <f t="shared" si="183"/>
        <v>0</v>
      </c>
      <c r="U5480" s="393" t="s">
        <v>40</v>
      </c>
      <c r="X5480" s="339"/>
    </row>
    <row r="5481" s="330" customFormat="1" ht="15" customHeight="1" spans="1:24">
      <c r="A5481" s="550" t="s">
        <v>12643</v>
      </c>
      <c r="B5481" s="334" t="s">
        <v>73</v>
      </c>
      <c r="C5481" s="334" t="s">
        <v>74</v>
      </c>
      <c r="D5481" s="335" t="s">
        <v>75</v>
      </c>
      <c r="E5481" s="336">
        <v>43738</v>
      </c>
      <c r="F5481" s="336">
        <v>43738</v>
      </c>
      <c r="G5481" s="350" t="s">
        <v>69</v>
      </c>
      <c r="H5481" s="334" t="s">
        <v>12644</v>
      </c>
      <c r="I5481" s="426">
        <v>18301809348</v>
      </c>
      <c r="J5481" s="334" t="s">
        <v>12645</v>
      </c>
      <c r="K5481" s="455">
        <v>1000</v>
      </c>
      <c r="L5481" s="338"/>
      <c r="M5481" s="338"/>
      <c r="N5481" s="362">
        <f t="shared" si="183"/>
        <v>0</v>
      </c>
      <c r="Q5481" s="366" t="s">
        <v>52</v>
      </c>
      <c r="X5481" s="339"/>
    </row>
    <row r="5482" s="330" customFormat="1" ht="15" customHeight="1" spans="1:24">
      <c r="A5482" s="348"/>
      <c r="B5482" s="334" t="s">
        <v>66</v>
      </c>
      <c r="C5482" s="334" t="s">
        <v>505</v>
      </c>
      <c r="D5482" s="335" t="s">
        <v>1436</v>
      </c>
      <c r="E5482" s="336">
        <v>43738</v>
      </c>
      <c r="F5482" s="336">
        <v>43738</v>
      </c>
      <c r="G5482" s="399"/>
      <c r="H5482" s="334" t="s">
        <v>12646</v>
      </c>
      <c r="I5482" s="426">
        <v>13391668155</v>
      </c>
      <c r="J5482" s="334" t="s">
        <v>12647</v>
      </c>
      <c r="K5482" s="455">
        <v>500</v>
      </c>
      <c r="L5482" s="338"/>
      <c r="M5482" s="338"/>
      <c r="N5482" s="362">
        <f t="shared" si="183"/>
        <v>0</v>
      </c>
      <c r="U5482" s="330" t="s">
        <v>63</v>
      </c>
      <c r="X5482" s="339"/>
    </row>
    <row r="5483" s="330" customFormat="1" ht="15" customHeight="1" spans="1:24">
      <c r="A5483" s="348"/>
      <c r="B5483" s="334" t="s">
        <v>66</v>
      </c>
      <c r="C5483" s="334" t="s">
        <v>119</v>
      </c>
      <c r="D5483" s="334" t="s">
        <v>68</v>
      </c>
      <c r="E5483" s="336">
        <v>43738</v>
      </c>
      <c r="F5483" s="336">
        <v>43738</v>
      </c>
      <c r="G5483" s="399">
        <v>43738</v>
      </c>
      <c r="H5483" s="334" t="s">
        <v>12648</v>
      </c>
      <c r="I5483" s="334">
        <v>13817226201</v>
      </c>
      <c r="J5483" s="334" t="s">
        <v>12649</v>
      </c>
      <c r="K5483" s="455">
        <v>10000</v>
      </c>
      <c r="L5483" s="334">
        <v>10000</v>
      </c>
      <c r="M5483" s="338"/>
      <c r="N5483" s="362">
        <f t="shared" si="183"/>
        <v>10000</v>
      </c>
      <c r="X5483" s="339"/>
    </row>
    <row r="5484" s="330" customFormat="1" ht="15" customHeight="1" spans="1:24">
      <c r="A5484" s="550" t="s">
        <v>12650</v>
      </c>
      <c r="B5484" s="334" t="s">
        <v>335</v>
      </c>
      <c r="C5484" s="334" t="s">
        <v>615</v>
      </c>
      <c r="D5484" s="334" t="s">
        <v>427</v>
      </c>
      <c r="E5484" s="336">
        <v>43760</v>
      </c>
      <c r="F5484" s="336">
        <v>43738</v>
      </c>
      <c r="G5484" s="336">
        <v>43759</v>
      </c>
      <c r="H5484" s="334" t="s">
        <v>12651</v>
      </c>
      <c r="I5484" s="426">
        <v>13601752410</v>
      </c>
      <c r="J5484" s="334" t="s">
        <v>12652</v>
      </c>
      <c r="K5484" s="455">
        <v>1000</v>
      </c>
      <c r="L5484" s="334">
        <v>61397</v>
      </c>
      <c r="M5484" s="338"/>
      <c r="N5484" s="362">
        <f t="shared" si="183"/>
        <v>61397</v>
      </c>
      <c r="X5484" s="339"/>
    </row>
    <row r="5485" s="330" customFormat="1" ht="15" customHeight="1" spans="1:24">
      <c r="A5485" s="348">
        <v>2066520</v>
      </c>
      <c r="B5485" s="334" t="s">
        <v>243</v>
      </c>
      <c r="C5485" s="334" t="s">
        <v>304</v>
      </c>
      <c r="D5485" s="335" t="s">
        <v>49</v>
      </c>
      <c r="E5485" s="336">
        <v>43738</v>
      </c>
      <c r="F5485" s="336">
        <v>43738</v>
      </c>
      <c r="G5485" s="399"/>
      <c r="H5485" s="334" t="s">
        <v>12653</v>
      </c>
      <c r="I5485" s="426">
        <v>18221722142</v>
      </c>
      <c r="J5485" s="334" t="s">
        <v>12654</v>
      </c>
      <c r="K5485" s="455">
        <v>700</v>
      </c>
      <c r="L5485" s="338"/>
      <c r="M5485" s="338"/>
      <c r="N5485" s="362">
        <f t="shared" si="183"/>
        <v>0</v>
      </c>
      <c r="U5485" s="356" t="s">
        <v>52</v>
      </c>
      <c r="X5485" s="339"/>
    </row>
    <row r="5486" s="330" customFormat="1" ht="15" customHeight="1" spans="1:24">
      <c r="A5486" s="348">
        <v>2023313</v>
      </c>
      <c r="B5486" s="334" t="s">
        <v>243</v>
      </c>
      <c r="C5486" s="334" t="s">
        <v>244</v>
      </c>
      <c r="D5486" s="335" t="s">
        <v>49</v>
      </c>
      <c r="E5486" s="336">
        <v>43768</v>
      </c>
      <c r="F5486" s="336">
        <v>43738</v>
      </c>
      <c r="G5486" s="336">
        <v>43767</v>
      </c>
      <c r="H5486" s="334" t="s">
        <v>12655</v>
      </c>
      <c r="I5486" s="426">
        <v>13601730340</v>
      </c>
      <c r="J5486" s="334" t="s">
        <v>12656</v>
      </c>
      <c r="K5486" s="455">
        <v>4000</v>
      </c>
      <c r="L5486" s="334">
        <v>12767</v>
      </c>
      <c r="M5486" s="338"/>
      <c r="N5486" s="362">
        <f t="shared" si="183"/>
        <v>12767</v>
      </c>
      <c r="X5486" s="339"/>
    </row>
    <row r="5487" s="330" customFormat="1" ht="15" customHeight="1" spans="1:24">
      <c r="A5487" s="550" t="s">
        <v>12657</v>
      </c>
      <c r="B5487" s="334" t="s">
        <v>726</v>
      </c>
      <c r="C5487" s="334" t="s">
        <v>727</v>
      </c>
      <c r="D5487" s="334" t="s">
        <v>271</v>
      </c>
      <c r="E5487" s="336">
        <v>43782</v>
      </c>
      <c r="F5487" s="336">
        <v>43738</v>
      </c>
      <c r="G5487" s="336">
        <v>43782</v>
      </c>
      <c r="H5487" s="334" t="s">
        <v>12658</v>
      </c>
      <c r="I5487" s="426">
        <v>13817045876</v>
      </c>
      <c r="J5487" s="334" t="s">
        <v>12659</v>
      </c>
      <c r="K5487" s="455">
        <v>2500</v>
      </c>
      <c r="L5487" s="334">
        <v>3316</v>
      </c>
      <c r="M5487" s="338"/>
      <c r="N5487" s="362">
        <f t="shared" si="183"/>
        <v>3316</v>
      </c>
      <c r="X5487" s="339"/>
    </row>
    <row r="5488" s="330" customFormat="1" ht="15" customHeight="1" spans="1:24">
      <c r="A5488" s="348"/>
      <c r="B5488" s="334" t="s">
        <v>153</v>
      </c>
      <c r="C5488" s="334" t="s">
        <v>302</v>
      </c>
      <c r="D5488" s="334" t="s">
        <v>155</v>
      </c>
      <c r="E5488" s="336">
        <v>43738</v>
      </c>
      <c r="F5488" s="336">
        <v>43738</v>
      </c>
      <c r="G5488" s="399">
        <v>43738</v>
      </c>
      <c r="H5488" s="334" t="s">
        <v>7593</v>
      </c>
      <c r="I5488" s="426">
        <v>13390870603</v>
      </c>
      <c r="J5488" s="334" t="s">
        <v>12660</v>
      </c>
      <c r="K5488" s="455">
        <v>8099</v>
      </c>
      <c r="L5488" s="334">
        <v>8099</v>
      </c>
      <c r="M5488" s="338"/>
      <c r="N5488" s="362">
        <f t="shared" si="183"/>
        <v>8099</v>
      </c>
      <c r="U5488" s="393" t="s">
        <v>40</v>
      </c>
      <c r="X5488" s="339"/>
    </row>
    <row r="5489" s="330" customFormat="1" ht="15" customHeight="1" spans="1:24">
      <c r="A5489" s="550" t="s">
        <v>12661</v>
      </c>
      <c r="B5489" s="334" t="s">
        <v>87</v>
      </c>
      <c r="C5489" s="334" t="s">
        <v>199</v>
      </c>
      <c r="D5489" s="334" t="s">
        <v>89</v>
      </c>
      <c r="E5489" s="336">
        <v>43738</v>
      </c>
      <c r="F5489" s="336">
        <v>43738</v>
      </c>
      <c r="G5489" s="399">
        <v>43738</v>
      </c>
      <c r="H5489" s="334" t="s">
        <v>12662</v>
      </c>
      <c r="I5489" s="426">
        <v>13651790109</v>
      </c>
      <c r="J5489" s="334" t="s">
        <v>12663</v>
      </c>
      <c r="K5489" s="455">
        <v>34586</v>
      </c>
      <c r="L5489" s="334">
        <v>34586</v>
      </c>
      <c r="M5489" s="338"/>
      <c r="N5489" s="362">
        <f t="shared" ref="N5489:N5520" si="184">L5489+M5489</f>
        <v>34586</v>
      </c>
      <c r="X5489" s="339"/>
    </row>
    <row r="5490" s="330" customFormat="1" ht="15" customHeight="1" spans="1:24">
      <c r="A5490" s="550" t="s">
        <v>12664</v>
      </c>
      <c r="B5490" s="334" t="s">
        <v>58</v>
      </c>
      <c r="C5490" s="334" t="s">
        <v>794</v>
      </c>
      <c r="D5490" s="334" t="s">
        <v>271</v>
      </c>
      <c r="E5490" s="336">
        <v>43741</v>
      </c>
      <c r="F5490" s="336">
        <v>43738</v>
      </c>
      <c r="G5490" s="399">
        <v>43740</v>
      </c>
      <c r="H5490" s="334" t="s">
        <v>12665</v>
      </c>
      <c r="I5490" s="426">
        <v>18621755165</v>
      </c>
      <c r="J5490" s="334" t="s">
        <v>12666</v>
      </c>
      <c r="K5490" s="455">
        <v>1000</v>
      </c>
      <c r="L5490" s="334">
        <v>1667</v>
      </c>
      <c r="M5490" s="338"/>
      <c r="N5490" s="362">
        <f t="shared" si="184"/>
        <v>1667</v>
      </c>
      <c r="X5490" s="339"/>
    </row>
    <row r="5491" s="330" customFormat="1" ht="15" customHeight="1" spans="1:24">
      <c r="A5491" s="348"/>
      <c r="B5491" s="334" t="s">
        <v>58</v>
      </c>
      <c r="C5491" s="334" t="s">
        <v>342</v>
      </c>
      <c r="D5491" s="334" t="s">
        <v>343</v>
      </c>
      <c r="E5491" s="336">
        <v>43738</v>
      </c>
      <c r="F5491" s="336">
        <v>43738</v>
      </c>
      <c r="G5491" s="399">
        <v>43738</v>
      </c>
      <c r="H5491" s="334" t="s">
        <v>1009</v>
      </c>
      <c r="I5491" s="426">
        <v>13003226223</v>
      </c>
      <c r="J5491" s="334" t="s">
        <v>12667</v>
      </c>
      <c r="K5491" s="455">
        <v>1000</v>
      </c>
      <c r="L5491" s="334">
        <v>3999</v>
      </c>
      <c r="M5491" s="338"/>
      <c r="N5491" s="362">
        <f t="shared" si="184"/>
        <v>3999</v>
      </c>
      <c r="X5491" s="339"/>
    </row>
    <row r="5492" s="330" customFormat="1" ht="15" customHeight="1" spans="1:24">
      <c r="A5492" s="550" t="s">
        <v>12668</v>
      </c>
      <c r="B5492" s="334" t="s">
        <v>58</v>
      </c>
      <c r="C5492" s="334" t="s">
        <v>794</v>
      </c>
      <c r="D5492" s="334" t="s">
        <v>110</v>
      </c>
      <c r="E5492" s="336">
        <v>43738</v>
      </c>
      <c r="F5492" s="336">
        <v>43738</v>
      </c>
      <c r="G5492" s="399">
        <v>43738</v>
      </c>
      <c r="H5492" s="334" t="s">
        <v>12669</v>
      </c>
      <c r="I5492" s="426">
        <v>18211122218</v>
      </c>
      <c r="J5492" s="334" t="s">
        <v>12670</v>
      </c>
      <c r="K5492" s="455">
        <v>14069</v>
      </c>
      <c r="L5492" s="334">
        <f>14069-1104</f>
        <v>12965</v>
      </c>
      <c r="M5492" s="334">
        <v>1104</v>
      </c>
      <c r="N5492" s="362">
        <f t="shared" si="184"/>
        <v>14069</v>
      </c>
      <c r="X5492" s="339"/>
    </row>
    <row r="5493" s="330" customFormat="1" ht="15" customHeight="1" spans="1:24">
      <c r="A5493" s="348">
        <v>2022539</v>
      </c>
      <c r="B5493" s="334" t="s">
        <v>73</v>
      </c>
      <c r="C5493" s="334" t="s">
        <v>178</v>
      </c>
      <c r="D5493" s="334" t="s">
        <v>139</v>
      </c>
      <c r="E5493" s="336">
        <v>43738</v>
      </c>
      <c r="F5493" s="336">
        <v>43738</v>
      </c>
      <c r="G5493" s="399">
        <v>43738</v>
      </c>
      <c r="H5493" s="334" t="s">
        <v>12671</v>
      </c>
      <c r="I5493" s="426">
        <v>13661938962</v>
      </c>
      <c r="J5493" s="487" t="s">
        <v>12672</v>
      </c>
      <c r="K5493" s="455">
        <v>24300</v>
      </c>
      <c r="L5493" s="455">
        <f>24300-2208</f>
        <v>22092</v>
      </c>
      <c r="M5493" s="334">
        <v>2208</v>
      </c>
      <c r="N5493" s="362">
        <f t="shared" si="184"/>
        <v>24300</v>
      </c>
      <c r="X5493" s="339"/>
    </row>
    <row r="5494" s="330" customFormat="1" ht="15" customHeight="1" spans="1:24">
      <c r="A5494" s="550" t="s">
        <v>12673</v>
      </c>
      <c r="B5494" s="334" t="s">
        <v>73</v>
      </c>
      <c r="C5494" s="334" t="s">
        <v>178</v>
      </c>
      <c r="D5494" s="334" t="s">
        <v>427</v>
      </c>
      <c r="E5494" s="336">
        <v>43799</v>
      </c>
      <c r="F5494" s="336">
        <v>43738</v>
      </c>
      <c r="G5494" s="336">
        <v>43796</v>
      </c>
      <c r="H5494" s="334" t="s">
        <v>12674</v>
      </c>
      <c r="I5494" s="426">
        <v>18016314917</v>
      </c>
      <c r="J5494" s="334" t="s">
        <v>12675</v>
      </c>
      <c r="K5494" s="455">
        <v>1000</v>
      </c>
      <c r="L5494" s="334">
        <v>27913</v>
      </c>
      <c r="M5494" s="338"/>
      <c r="N5494" s="362">
        <f t="shared" si="184"/>
        <v>27913</v>
      </c>
      <c r="Q5494" s="366" t="s">
        <v>52</v>
      </c>
      <c r="X5494" s="339"/>
    </row>
    <row r="5495" s="330" customFormat="1" ht="15" customHeight="1" spans="1:24">
      <c r="A5495" s="348"/>
      <c r="B5495" s="348" t="s">
        <v>58</v>
      </c>
      <c r="C5495" s="334" t="s">
        <v>109</v>
      </c>
      <c r="D5495" s="334" t="s">
        <v>110</v>
      </c>
      <c r="E5495" s="336">
        <v>43738</v>
      </c>
      <c r="F5495" s="336">
        <v>43734</v>
      </c>
      <c r="G5495" s="399">
        <v>43737</v>
      </c>
      <c r="H5495" s="334" t="s">
        <v>12676</v>
      </c>
      <c r="I5495" s="426">
        <v>18918280004</v>
      </c>
      <c r="J5495" s="334" t="s">
        <v>12677</v>
      </c>
      <c r="K5495" s="455">
        <v>16438</v>
      </c>
      <c r="L5495" s="334">
        <v>16438</v>
      </c>
      <c r="M5495" s="338"/>
      <c r="N5495" s="362">
        <f t="shared" si="184"/>
        <v>16438</v>
      </c>
      <c r="X5495" s="339"/>
    </row>
    <row r="5496" s="330" customFormat="1" ht="15" customHeight="1" spans="1:24">
      <c r="A5496" s="348"/>
      <c r="B5496" s="334" t="s">
        <v>58</v>
      </c>
      <c r="C5496" s="334" t="s">
        <v>347</v>
      </c>
      <c r="D5496" s="335" t="s">
        <v>343</v>
      </c>
      <c r="E5496" s="336">
        <v>43745</v>
      </c>
      <c r="F5496" s="336">
        <v>43738</v>
      </c>
      <c r="G5496" s="336">
        <v>43744</v>
      </c>
      <c r="H5496" s="334" t="s">
        <v>12678</v>
      </c>
      <c r="I5496" s="426">
        <v>13681746812</v>
      </c>
      <c r="J5496" s="334" t="s">
        <v>12679</v>
      </c>
      <c r="K5496" s="455">
        <v>10000</v>
      </c>
      <c r="L5496" s="334">
        <v>42495</v>
      </c>
      <c r="M5496" s="338"/>
      <c r="N5496" s="362">
        <f t="shared" si="184"/>
        <v>42495</v>
      </c>
      <c r="X5496" s="339"/>
    </row>
    <row r="5497" s="330" customFormat="1" ht="15" customHeight="1" spans="1:24">
      <c r="A5497" s="550" t="s">
        <v>10870</v>
      </c>
      <c r="B5497" s="334" t="s">
        <v>185</v>
      </c>
      <c r="C5497" s="334" t="s">
        <v>886</v>
      </c>
      <c r="D5497" s="335" t="s">
        <v>187</v>
      </c>
      <c r="E5497" s="336">
        <v>43738</v>
      </c>
      <c r="F5497" s="336">
        <v>43738</v>
      </c>
      <c r="G5497" s="399"/>
      <c r="H5497" s="334" t="s">
        <v>12680</v>
      </c>
      <c r="I5497" s="426">
        <v>18616738061</v>
      </c>
      <c r="J5497" s="334" t="s">
        <v>12681</v>
      </c>
      <c r="K5497" s="455">
        <v>1299</v>
      </c>
      <c r="L5497" s="338"/>
      <c r="M5497" s="338"/>
      <c r="N5497" s="362">
        <f t="shared" si="184"/>
        <v>0</v>
      </c>
      <c r="U5497" s="471">
        <v>43740</v>
      </c>
      <c r="X5497" s="339"/>
    </row>
    <row r="5498" s="330" customFormat="1" ht="15" customHeight="1" spans="1:24">
      <c r="A5498" s="348"/>
      <c r="B5498" s="334" t="s">
        <v>315</v>
      </c>
      <c r="C5498" s="334" t="s">
        <v>275</v>
      </c>
      <c r="D5498" s="334" t="s">
        <v>162</v>
      </c>
      <c r="E5498" s="336">
        <v>43738</v>
      </c>
      <c r="F5498" s="336">
        <v>43738</v>
      </c>
      <c r="G5498" s="399">
        <v>43738</v>
      </c>
      <c r="H5498" s="334" t="s">
        <v>12682</v>
      </c>
      <c r="I5498" s="426">
        <v>18017925322</v>
      </c>
      <c r="J5498" s="334" t="s">
        <v>12683</v>
      </c>
      <c r="K5498" s="455">
        <v>16680</v>
      </c>
      <c r="L5498" s="334">
        <v>16680</v>
      </c>
      <c r="M5498" s="338"/>
      <c r="N5498" s="362">
        <f t="shared" si="184"/>
        <v>16680</v>
      </c>
      <c r="X5498" s="339"/>
    </row>
    <row r="5499" s="330" customFormat="1" ht="15" customHeight="1" spans="1:24">
      <c r="A5499" s="348"/>
      <c r="B5499" s="334" t="s">
        <v>169</v>
      </c>
      <c r="C5499" s="334" t="s">
        <v>634</v>
      </c>
      <c r="D5499" s="335" t="s">
        <v>635</v>
      </c>
      <c r="E5499" s="336">
        <v>43745</v>
      </c>
      <c r="F5499" s="336">
        <v>43738</v>
      </c>
      <c r="G5499" s="336">
        <v>43745</v>
      </c>
      <c r="H5499" s="334" t="s">
        <v>12684</v>
      </c>
      <c r="I5499" s="426">
        <v>18616809722</v>
      </c>
      <c r="J5499" s="334" t="s">
        <v>12685</v>
      </c>
      <c r="K5499" s="455">
        <v>1000</v>
      </c>
      <c r="L5499" s="334">
        <v>14500</v>
      </c>
      <c r="M5499" s="338"/>
      <c r="N5499" s="362">
        <f t="shared" si="184"/>
        <v>14500</v>
      </c>
      <c r="X5499" s="339"/>
    </row>
    <row r="5500" s="330" customFormat="1" ht="15" customHeight="1" spans="1:24">
      <c r="A5500" s="348"/>
      <c r="B5500" s="334" t="s">
        <v>315</v>
      </c>
      <c r="C5500" s="334" t="s">
        <v>181</v>
      </c>
      <c r="D5500" s="334" t="s">
        <v>207</v>
      </c>
      <c r="E5500" s="336">
        <v>43760</v>
      </c>
      <c r="F5500" s="336">
        <v>43737</v>
      </c>
      <c r="G5500" s="336">
        <v>43744</v>
      </c>
      <c r="H5500" s="334" t="s">
        <v>12686</v>
      </c>
      <c r="I5500" s="426">
        <v>18964178735</v>
      </c>
      <c r="J5500" s="334" t="s">
        <v>12687</v>
      </c>
      <c r="K5500" s="455">
        <v>500</v>
      </c>
      <c r="L5500" s="334">
        <v>4225</v>
      </c>
      <c r="M5500" s="338"/>
      <c r="N5500" s="362">
        <f t="shared" si="184"/>
        <v>4225</v>
      </c>
      <c r="X5500" s="339"/>
    </row>
    <row r="5501" s="330" customFormat="1" ht="15" customHeight="1" spans="1:24">
      <c r="A5501" s="348"/>
      <c r="B5501" s="334" t="s">
        <v>87</v>
      </c>
      <c r="C5501" s="334" t="s">
        <v>199</v>
      </c>
      <c r="D5501" s="335" t="s">
        <v>89</v>
      </c>
      <c r="E5501" s="336">
        <v>43765</v>
      </c>
      <c r="F5501" s="336">
        <v>43738</v>
      </c>
      <c r="G5501" s="336">
        <v>43764</v>
      </c>
      <c r="H5501" s="334" t="s">
        <v>12688</v>
      </c>
      <c r="I5501" s="426">
        <v>18516138216</v>
      </c>
      <c r="J5501" s="334" t="s">
        <v>12689</v>
      </c>
      <c r="K5501" s="455">
        <v>1000</v>
      </c>
      <c r="L5501" s="334">
        <v>7818</v>
      </c>
      <c r="M5501" s="338"/>
      <c r="N5501" s="362">
        <f t="shared" si="184"/>
        <v>7818</v>
      </c>
      <c r="X5501" s="339"/>
    </row>
    <row r="5502" s="330" customFormat="1" ht="15" customHeight="1" spans="1:24">
      <c r="A5502" s="550" t="s">
        <v>5857</v>
      </c>
      <c r="B5502" s="334" t="s">
        <v>147</v>
      </c>
      <c r="C5502" s="334" t="s">
        <v>148</v>
      </c>
      <c r="D5502" s="335" t="s">
        <v>149</v>
      </c>
      <c r="E5502" s="336">
        <v>43738</v>
      </c>
      <c r="F5502" s="336">
        <v>43737</v>
      </c>
      <c r="G5502" s="399"/>
      <c r="H5502" s="334" t="s">
        <v>12690</v>
      </c>
      <c r="I5502" s="426">
        <v>18930608637</v>
      </c>
      <c r="J5502" s="334" t="s">
        <v>12691</v>
      </c>
      <c r="K5502" s="455">
        <v>500</v>
      </c>
      <c r="L5502" s="338"/>
      <c r="M5502" s="338"/>
      <c r="N5502" s="362">
        <f t="shared" si="184"/>
        <v>0</v>
      </c>
      <c r="X5502" s="339"/>
    </row>
    <row r="5503" s="330" customFormat="1" ht="15" customHeight="1" spans="1:24">
      <c r="A5503" s="348"/>
      <c r="B5503" s="334" t="s">
        <v>315</v>
      </c>
      <c r="C5503" s="334" t="s">
        <v>161</v>
      </c>
      <c r="D5503" s="335" t="s">
        <v>162</v>
      </c>
      <c r="E5503" s="336">
        <v>43808</v>
      </c>
      <c r="F5503" s="336">
        <v>43738</v>
      </c>
      <c r="G5503" s="336">
        <v>43808</v>
      </c>
      <c r="H5503" s="334" t="s">
        <v>12692</v>
      </c>
      <c r="I5503" s="426">
        <v>13601641063</v>
      </c>
      <c r="J5503" s="334" t="s">
        <v>12693</v>
      </c>
      <c r="K5503" s="455">
        <v>1000</v>
      </c>
      <c r="L5503" s="334">
        <v>3054</v>
      </c>
      <c r="M5503" s="338"/>
      <c r="N5503" s="362">
        <f t="shared" si="184"/>
        <v>3054</v>
      </c>
      <c r="O5503" s="330">
        <v>1</v>
      </c>
      <c r="X5503" s="339"/>
    </row>
    <row r="5504" s="330" customFormat="1" ht="15" customHeight="1" spans="1:24">
      <c r="A5504" s="550" t="s">
        <v>5905</v>
      </c>
      <c r="B5504" s="334" t="s">
        <v>726</v>
      </c>
      <c r="C5504" s="334" t="s">
        <v>727</v>
      </c>
      <c r="D5504" s="335" t="s">
        <v>149</v>
      </c>
      <c r="E5504" s="336">
        <v>43751</v>
      </c>
      <c r="F5504" s="336">
        <v>43738</v>
      </c>
      <c r="G5504" s="336">
        <v>43751</v>
      </c>
      <c r="H5504" s="334" t="s">
        <v>12694</v>
      </c>
      <c r="I5504" s="426">
        <v>18117316679</v>
      </c>
      <c r="J5504" s="334" t="s">
        <v>12695</v>
      </c>
      <c r="K5504" s="455">
        <v>500</v>
      </c>
      <c r="L5504" s="334">
        <v>8673</v>
      </c>
      <c r="M5504" s="338"/>
      <c r="N5504" s="362">
        <f t="shared" si="184"/>
        <v>8673</v>
      </c>
      <c r="X5504" s="339"/>
    </row>
    <row r="5505" s="330" customFormat="1" ht="15" customHeight="1" spans="1:24">
      <c r="A5505" s="550" t="s">
        <v>12696</v>
      </c>
      <c r="B5505" s="334" t="s">
        <v>236</v>
      </c>
      <c r="C5505" s="334" t="s">
        <v>703</v>
      </c>
      <c r="D5505" s="334" t="s">
        <v>207</v>
      </c>
      <c r="E5505" s="336">
        <v>43781</v>
      </c>
      <c r="F5505" s="336">
        <v>43738</v>
      </c>
      <c r="G5505" s="336">
        <v>43778</v>
      </c>
      <c r="H5505" s="334" t="s">
        <v>4508</v>
      </c>
      <c r="I5505" s="426">
        <v>18019190740</v>
      </c>
      <c r="J5505" s="334" t="s">
        <v>12697</v>
      </c>
      <c r="K5505" s="455">
        <v>500</v>
      </c>
      <c r="L5505" s="334">
        <v>22877</v>
      </c>
      <c r="M5505" s="338"/>
      <c r="N5505" s="362">
        <f t="shared" si="184"/>
        <v>22877</v>
      </c>
      <c r="X5505" s="339"/>
    </row>
    <row r="5506" s="330" customFormat="1" ht="15" customHeight="1" spans="1:24">
      <c r="A5506" s="550" t="s">
        <v>12698</v>
      </c>
      <c r="B5506" s="334" t="s">
        <v>4009</v>
      </c>
      <c r="C5506" s="334" t="s">
        <v>12699</v>
      </c>
      <c r="D5506" s="335" t="s">
        <v>1170</v>
      </c>
      <c r="E5506" s="336">
        <v>43759</v>
      </c>
      <c r="F5506" s="336">
        <v>43738</v>
      </c>
      <c r="G5506" s="336">
        <v>43757</v>
      </c>
      <c r="H5506" s="334" t="s">
        <v>12700</v>
      </c>
      <c r="I5506" s="426">
        <v>13636699291</v>
      </c>
      <c r="J5506" s="334" t="s">
        <v>12701</v>
      </c>
      <c r="K5506" s="455">
        <f>13393+1000</f>
        <v>14393</v>
      </c>
      <c r="L5506" s="334">
        <v>14393</v>
      </c>
      <c r="M5506" s="338"/>
      <c r="N5506" s="362">
        <f t="shared" si="184"/>
        <v>14393</v>
      </c>
      <c r="X5506" s="339"/>
    </row>
    <row r="5507" s="330" customFormat="1" ht="15" customHeight="1" spans="1:24">
      <c r="A5507" s="348"/>
      <c r="B5507" s="334" t="s">
        <v>315</v>
      </c>
      <c r="C5507" s="334" t="s">
        <v>275</v>
      </c>
      <c r="D5507" s="335" t="s">
        <v>162</v>
      </c>
      <c r="E5507" s="336">
        <v>43738</v>
      </c>
      <c r="F5507" s="336">
        <v>43738</v>
      </c>
      <c r="G5507" s="399"/>
      <c r="H5507" s="334" t="s">
        <v>12702</v>
      </c>
      <c r="I5507" s="426">
        <v>17375536836</v>
      </c>
      <c r="J5507" s="334" t="s">
        <v>12703</v>
      </c>
      <c r="K5507" s="455">
        <v>1299</v>
      </c>
      <c r="L5507" s="338"/>
      <c r="M5507" s="338"/>
      <c r="N5507" s="362">
        <f t="shared" si="184"/>
        <v>0</v>
      </c>
      <c r="Q5507" s="330">
        <v>1</v>
      </c>
      <c r="X5507" s="339"/>
    </row>
    <row r="5508" s="330" customFormat="1" customHeight="1" spans="1:24">
      <c r="A5508" s="550" t="s">
        <v>12704</v>
      </c>
      <c r="B5508" s="334" t="s">
        <v>236</v>
      </c>
      <c r="C5508" s="334" t="s">
        <v>703</v>
      </c>
      <c r="D5508" s="335" t="s">
        <v>237</v>
      </c>
      <c r="E5508" s="336">
        <v>43738</v>
      </c>
      <c r="F5508" s="336">
        <v>43738</v>
      </c>
      <c r="G5508" s="399"/>
      <c r="H5508" s="334" t="s">
        <v>12705</v>
      </c>
      <c r="I5508" s="426">
        <v>13916091245</v>
      </c>
      <c r="J5508" s="334" t="s">
        <v>12706</v>
      </c>
      <c r="K5508" s="455">
        <v>1000</v>
      </c>
      <c r="L5508" s="338"/>
      <c r="M5508" s="338"/>
      <c r="N5508" s="362">
        <f t="shared" si="184"/>
        <v>0</v>
      </c>
      <c r="U5508" s="356" t="s">
        <v>52</v>
      </c>
      <c r="X5508" s="339"/>
    </row>
    <row r="5509" s="330" customFormat="1" ht="15" customHeight="1" spans="1:24">
      <c r="A5509" s="348"/>
      <c r="B5509" s="334" t="s">
        <v>335</v>
      </c>
      <c r="C5509" s="334" t="s">
        <v>399</v>
      </c>
      <c r="D5509" s="334" t="s">
        <v>635</v>
      </c>
      <c r="E5509" s="336">
        <v>43738</v>
      </c>
      <c r="F5509" s="336">
        <v>43735</v>
      </c>
      <c r="G5509" s="399">
        <v>43735</v>
      </c>
      <c r="H5509" s="334" t="s">
        <v>12707</v>
      </c>
      <c r="I5509" s="334">
        <v>13918957285</v>
      </c>
      <c r="J5509" s="334" t="s">
        <v>12708</v>
      </c>
      <c r="K5509" s="455">
        <v>35000</v>
      </c>
      <c r="L5509" s="334">
        <v>35000</v>
      </c>
      <c r="M5509" s="338"/>
      <c r="N5509" s="362">
        <f t="shared" si="184"/>
        <v>35000</v>
      </c>
      <c r="X5509" s="339"/>
    </row>
    <row r="5510" s="330" customFormat="1" ht="15" customHeight="1" spans="1:24">
      <c r="A5510" s="348"/>
      <c r="B5510" s="334" t="s">
        <v>31</v>
      </c>
      <c r="C5510" s="334" t="s">
        <v>251</v>
      </c>
      <c r="D5510" s="334" t="s">
        <v>221</v>
      </c>
      <c r="E5510" s="336">
        <v>43748</v>
      </c>
      <c r="F5510" s="336">
        <v>43738</v>
      </c>
      <c r="G5510" s="336">
        <v>43746</v>
      </c>
      <c r="H5510" s="334" t="s">
        <v>12709</v>
      </c>
      <c r="I5510" s="426">
        <v>13310122699</v>
      </c>
      <c r="J5510" s="334" t="s">
        <v>12710</v>
      </c>
      <c r="K5510" s="455">
        <v>1000</v>
      </c>
      <c r="L5510" s="334">
        <v>3828</v>
      </c>
      <c r="M5510" s="338"/>
      <c r="N5510" s="362">
        <f t="shared" si="184"/>
        <v>3828</v>
      </c>
      <c r="X5510" s="339"/>
    </row>
    <row r="5511" s="330" customFormat="1" ht="15" customHeight="1" spans="1:24">
      <c r="A5511" s="348"/>
      <c r="B5511" s="334" t="s">
        <v>726</v>
      </c>
      <c r="C5511" s="334" t="s">
        <v>727</v>
      </c>
      <c r="D5511" s="335" t="s">
        <v>149</v>
      </c>
      <c r="E5511" s="336">
        <v>43738</v>
      </c>
      <c r="F5511" s="336">
        <v>43714</v>
      </c>
      <c r="G5511" s="353" t="s">
        <v>469</v>
      </c>
      <c r="H5511" s="334" t="s">
        <v>10811</v>
      </c>
      <c r="I5511" s="426">
        <v>13901787110</v>
      </c>
      <c r="J5511" s="334" t="s">
        <v>12711</v>
      </c>
      <c r="K5511" s="455">
        <v>18600</v>
      </c>
      <c r="L5511" s="338"/>
      <c r="M5511" s="338"/>
      <c r="N5511" s="362">
        <f t="shared" si="184"/>
        <v>0</v>
      </c>
      <c r="X5511" s="339"/>
    </row>
    <row r="5512" s="330" customFormat="1" ht="15" customHeight="1" spans="1:24">
      <c r="A5512" s="348"/>
      <c r="B5512" s="334" t="s">
        <v>726</v>
      </c>
      <c r="C5512" s="334" t="s">
        <v>727</v>
      </c>
      <c r="D5512" s="335" t="s">
        <v>149</v>
      </c>
      <c r="E5512" s="336">
        <v>43738</v>
      </c>
      <c r="F5512" s="336">
        <v>43726</v>
      </c>
      <c r="G5512" s="353" t="s">
        <v>469</v>
      </c>
      <c r="H5512" s="334" t="s">
        <v>12712</v>
      </c>
      <c r="I5512" s="334">
        <v>17701800477</v>
      </c>
      <c r="J5512" s="334" t="s">
        <v>11822</v>
      </c>
      <c r="K5512" s="455">
        <v>6838</v>
      </c>
      <c r="L5512" s="338"/>
      <c r="M5512" s="338"/>
      <c r="N5512" s="362">
        <f t="shared" si="184"/>
        <v>0</v>
      </c>
      <c r="X5512" s="339"/>
    </row>
    <row r="5513" s="330" customFormat="1" ht="15" customHeight="1" spans="1:24">
      <c r="A5513" s="550" t="s">
        <v>12713</v>
      </c>
      <c r="B5513" s="334" t="s">
        <v>35</v>
      </c>
      <c r="C5513" s="334" t="s">
        <v>392</v>
      </c>
      <c r="D5513" s="335" t="s">
        <v>37</v>
      </c>
      <c r="E5513" s="336">
        <v>43738</v>
      </c>
      <c r="F5513" s="336">
        <v>43736</v>
      </c>
      <c r="G5513" s="399" t="s">
        <v>69</v>
      </c>
      <c r="H5513" s="334" t="s">
        <v>12714</v>
      </c>
      <c r="I5513" s="426">
        <v>18817878114</v>
      </c>
      <c r="J5513" s="334" t="s">
        <v>12715</v>
      </c>
      <c r="K5513" s="455">
        <v>1000</v>
      </c>
      <c r="L5513" s="338"/>
      <c r="M5513" s="338"/>
      <c r="N5513" s="362">
        <f t="shared" si="184"/>
        <v>0</v>
      </c>
      <c r="X5513" s="339"/>
    </row>
    <row r="5514" s="330" customFormat="1" ht="15" customHeight="1" spans="1:24">
      <c r="A5514" s="348"/>
      <c r="B5514" s="334" t="s">
        <v>35</v>
      </c>
      <c r="C5514" s="334" t="s">
        <v>392</v>
      </c>
      <c r="D5514" s="335" t="s">
        <v>37</v>
      </c>
      <c r="E5514" s="336">
        <v>43743</v>
      </c>
      <c r="F5514" s="336">
        <v>43738</v>
      </c>
      <c r="G5514" s="336">
        <v>43742</v>
      </c>
      <c r="H5514" s="334" t="s">
        <v>4402</v>
      </c>
      <c r="I5514" s="426">
        <v>18616256303</v>
      </c>
      <c r="J5514" s="334" t="s">
        <v>12716</v>
      </c>
      <c r="K5514" s="455">
        <v>1000</v>
      </c>
      <c r="L5514" s="334">
        <f>13617-1340</f>
        <v>12277</v>
      </c>
      <c r="M5514" s="334">
        <v>1340</v>
      </c>
      <c r="N5514" s="362">
        <f t="shared" si="184"/>
        <v>13617</v>
      </c>
      <c r="X5514" s="339"/>
    </row>
    <row r="5515" s="330" customFormat="1" ht="15" customHeight="1" spans="1:24">
      <c r="A5515" s="550" t="s">
        <v>12717</v>
      </c>
      <c r="B5515" s="334" t="s">
        <v>354</v>
      </c>
      <c r="C5515" s="334" t="s">
        <v>355</v>
      </c>
      <c r="D5515" s="334" t="s">
        <v>237</v>
      </c>
      <c r="E5515" s="336">
        <v>43765</v>
      </c>
      <c r="F5515" s="336">
        <v>43729</v>
      </c>
      <c r="G5515" s="336">
        <v>43764</v>
      </c>
      <c r="H5515" s="334" t="s">
        <v>12718</v>
      </c>
      <c r="I5515" s="334">
        <v>18962855907</v>
      </c>
      <c r="J5515" s="334" t="s">
        <v>12719</v>
      </c>
      <c r="K5515" s="455">
        <v>21252</v>
      </c>
      <c r="L5515" s="334">
        <v>21882</v>
      </c>
      <c r="M5515" s="338"/>
      <c r="N5515" s="362">
        <f t="shared" si="184"/>
        <v>21882</v>
      </c>
      <c r="X5515" s="339"/>
    </row>
    <row r="5516" s="330" customFormat="1" ht="15" customHeight="1" spans="1:24">
      <c r="A5516" s="550" t="s">
        <v>12720</v>
      </c>
      <c r="B5516" s="334" t="s">
        <v>354</v>
      </c>
      <c r="C5516" s="334" t="s">
        <v>355</v>
      </c>
      <c r="D5516" s="334" t="s">
        <v>237</v>
      </c>
      <c r="E5516" s="336">
        <v>43751</v>
      </c>
      <c r="F5516" s="336">
        <v>43730</v>
      </c>
      <c r="G5516" s="336">
        <v>43751</v>
      </c>
      <c r="H5516" s="334" t="s">
        <v>12721</v>
      </c>
      <c r="I5516" s="426">
        <v>18616886393</v>
      </c>
      <c r="J5516" s="334" t="s">
        <v>12722</v>
      </c>
      <c r="K5516" s="455">
        <v>3317</v>
      </c>
      <c r="L5516" s="334">
        <f>3317-368</f>
        <v>2949</v>
      </c>
      <c r="M5516" s="334">
        <v>368</v>
      </c>
      <c r="N5516" s="362">
        <f t="shared" si="184"/>
        <v>3317</v>
      </c>
      <c r="X5516" s="339"/>
    </row>
    <row r="5517" s="330" customFormat="1" ht="15" customHeight="1" spans="1:24">
      <c r="A5517" s="550" t="s">
        <v>12723</v>
      </c>
      <c r="B5517" s="334" t="s">
        <v>5435</v>
      </c>
      <c r="C5517" s="334" t="s">
        <v>1728</v>
      </c>
      <c r="D5517" s="335" t="s">
        <v>149</v>
      </c>
      <c r="E5517" s="336">
        <v>43745</v>
      </c>
      <c r="F5517" s="336">
        <v>43739</v>
      </c>
      <c r="G5517" s="336">
        <v>43745</v>
      </c>
      <c r="H5517" s="334" t="s">
        <v>12724</v>
      </c>
      <c r="I5517" s="426">
        <v>13816097931</v>
      </c>
      <c r="J5517" s="334" t="s">
        <v>12725</v>
      </c>
      <c r="K5517" s="455">
        <v>13105</v>
      </c>
      <c r="L5517" s="334">
        <v>13105</v>
      </c>
      <c r="M5517" s="338"/>
      <c r="N5517" s="362">
        <f t="shared" si="184"/>
        <v>13105</v>
      </c>
      <c r="X5517" s="339"/>
    </row>
    <row r="5518" s="330" customFormat="1" ht="15" customHeight="1" spans="1:24">
      <c r="A5518" s="550" t="s">
        <v>12726</v>
      </c>
      <c r="B5518" s="334" t="s">
        <v>31</v>
      </c>
      <c r="C5518" s="334" t="s">
        <v>220</v>
      </c>
      <c r="D5518" s="334" t="s">
        <v>139</v>
      </c>
      <c r="E5518" s="336">
        <v>43778</v>
      </c>
      <c r="F5518" s="336">
        <v>43739</v>
      </c>
      <c r="G5518" s="336">
        <v>43777</v>
      </c>
      <c r="H5518" s="334" t="s">
        <v>12727</v>
      </c>
      <c r="I5518" s="426">
        <v>18501667984</v>
      </c>
      <c r="J5518" s="334" t="s">
        <v>12728</v>
      </c>
      <c r="K5518" s="455">
        <v>500</v>
      </c>
      <c r="L5518" s="334">
        <v>33354</v>
      </c>
      <c r="M5518" s="338"/>
      <c r="N5518" s="362">
        <f t="shared" si="184"/>
        <v>33354</v>
      </c>
      <c r="U5518" s="393" t="s">
        <v>40</v>
      </c>
      <c r="X5518" s="339"/>
    </row>
    <row r="5519" s="330" customFormat="1" ht="15" customHeight="1" spans="1:24">
      <c r="A5519" s="550" t="s">
        <v>12729</v>
      </c>
      <c r="B5519" s="334" t="s">
        <v>31</v>
      </c>
      <c r="C5519" s="334" t="s">
        <v>220</v>
      </c>
      <c r="D5519" s="335" t="s">
        <v>221</v>
      </c>
      <c r="E5519" s="336">
        <v>43796</v>
      </c>
      <c r="F5519" s="336">
        <v>43739</v>
      </c>
      <c r="G5519" s="336">
        <v>43793</v>
      </c>
      <c r="H5519" s="334" t="s">
        <v>12730</v>
      </c>
      <c r="I5519" s="426">
        <v>13004177905</v>
      </c>
      <c r="J5519" s="348" t="s">
        <v>12731</v>
      </c>
      <c r="K5519" s="455">
        <v>1000</v>
      </c>
      <c r="L5519" s="334">
        <v>17083</v>
      </c>
      <c r="M5519" s="338"/>
      <c r="N5519" s="362">
        <f t="shared" si="184"/>
        <v>17083</v>
      </c>
      <c r="X5519" s="339"/>
    </row>
    <row r="5520" s="330" customFormat="1" ht="15" customHeight="1" spans="1:24">
      <c r="A5520" s="550" t="s">
        <v>12732</v>
      </c>
      <c r="B5520" s="334" t="s">
        <v>335</v>
      </c>
      <c r="C5520" s="334" t="s">
        <v>615</v>
      </c>
      <c r="D5520" s="335" t="s">
        <v>337</v>
      </c>
      <c r="E5520" s="336">
        <v>43745</v>
      </c>
      <c r="F5520" s="336">
        <v>43739</v>
      </c>
      <c r="G5520" s="336">
        <v>43745</v>
      </c>
      <c r="H5520" s="334" t="s">
        <v>12733</v>
      </c>
      <c r="I5520" s="426">
        <v>13916722807</v>
      </c>
      <c r="J5520" s="334" t="s">
        <v>12734</v>
      </c>
      <c r="K5520" s="455">
        <v>10000</v>
      </c>
      <c r="L5520" s="334">
        <v>10000</v>
      </c>
      <c r="M5520" s="338"/>
      <c r="N5520" s="362">
        <f t="shared" si="184"/>
        <v>10000</v>
      </c>
      <c r="X5520" s="339"/>
    </row>
    <row r="5521" s="330" customFormat="1" ht="15" customHeight="1" spans="1:24">
      <c r="A5521" s="550" t="s">
        <v>12735</v>
      </c>
      <c r="B5521" s="334" t="s">
        <v>726</v>
      </c>
      <c r="C5521" s="334" t="s">
        <v>727</v>
      </c>
      <c r="D5521" s="334" t="s">
        <v>271</v>
      </c>
      <c r="E5521" s="336">
        <v>43757</v>
      </c>
      <c r="F5521" s="336">
        <v>43739</v>
      </c>
      <c r="G5521" s="336">
        <v>43756</v>
      </c>
      <c r="H5521" s="334" t="s">
        <v>12736</v>
      </c>
      <c r="I5521" s="334">
        <v>15821028741</v>
      </c>
      <c r="J5521" s="334" t="s">
        <v>12737</v>
      </c>
      <c r="K5521" s="455">
        <v>10000</v>
      </c>
      <c r="L5521" s="334">
        <f>-5008+11946</f>
        <v>6938</v>
      </c>
      <c r="M5521" s="334">
        <v>5008</v>
      </c>
      <c r="N5521" s="362">
        <f t="shared" ref="N5521:N5552" si="185">L5521+M5521</f>
        <v>11946</v>
      </c>
      <c r="X5521" s="339"/>
    </row>
    <row r="5522" s="330" customFormat="1" ht="15" customHeight="1" spans="1:24">
      <c r="A5522" s="348"/>
      <c r="B5522" s="334" t="s">
        <v>243</v>
      </c>
      <c r="C5522" s="334" t="s">
        <v>304</v>
      </c>
      <c r="D5522" s="335" t="s">
        <v>49</v>
      </c>
      <c r="E5522" s="336">
        <v>43784</v>
      </c>
      <c r="F5522" s="336">
        <v>43739</v>
      </c>
      <c r="G5522" s="336">
        <v>43784</v>
      </c>
      <c r="H5522" s="334" t="s">
        <v>12738</v>
      </c>
      <c r="I5522" s="426">
        <v>13918632659</v>
      </c>
      <c r="J5522" s="334" t="s">
        <v>12739</v>
      </c>
      <c r="K5522" s="455">
        <v>10000</v>
      </c>
      <c r="L5522" s="334">
        <v>13050</v>
      </c>
      <c r="M5522" s="338"/>
      <c r="N5522" s="362">
        <f t="shared" si="185"/>
        <v>13050</v>
      </c>
      <c r="X5522" s="339"/>
    </row>
    <row r="5523" s="330" customFormat="1" ht="15" customHeight="1" spans="1:24">
      <c r="A5523" s="348">
        <v>2066521</v>
      </c>
      <c r="B5523" s="334" t="s">
        <v>243</v>
      </c>
      <c r="C5523" s="334" t="s">
        <v>309</v>
      </c>
      <c r="D5523" s="335" t="s">
        <v>49</v>
      </c>
      <c r="E5523" s="336">
        <v>43796</v>
      </c>
      <c r="F5523" s="336">
        <v>43739</v>
      </c>
      <c r="G5523" s="336">
        <v>43785</v>
      </c>
      <c r="H5523" s="334" t="s">
        <v>12740</v>
      </c>
      <c r="I5523" s="426">
        <v>13482858210</v>
      </c>
      <c r="J5523" s="334" t="s">
        <v>12741</v>
      </c>
      <c r="K5523" s="455">
        <v>1000</v>
      </c>
      <c r="L5523" s="334">
        <v>10700</v>
      </c>
      <c r="M5523" s="338"/>
      <c r="N5523" s="362">
        <f t="shared" si="185"/>
        <v>10700</v>
      </c>
      <c r="X5523" s="339"/>
    </row>
    <row r="5524" s="330" customFormat="1" ht="15" customHeight="1" spans="1:24">
      <c r="A5524" s="348"/>
      <c r="B5524" s="334" t="s">
        <v>2625</v>
      </c>
      <c r="C5524" s="334" t="s">
        <v>2626</v>
      </c>
      <c r="D5524" s="335" t="s">
        <v>44</v>
      </c>
      <c r="E5524" s="336">
        <v>43759</v>
      </c>
      <c r="F5524" s="336">
        <v>43739</v>
      </c>
      <c r="G5524" s="336">
        <v>43758</v>
      </c>
      <c r="H5524" s="334" t="s">
        <v>12742</v>
      </c>
      <c r="I5524" s="426">
        <v>15900677951</v>
      </c>
      <c r="J5524" s="334" t="s">
        <v>12743</v>
      </c>
      <c r="K5524" s="455">
        <v>3000</v>
      </c>
      <c r="L5524" s="334">
        <v>12000</v>
      </c>
      <c r="M5524" s="338"/>
      <c r="N5524" s="362">
        <f t="shared" si="185"/>
        <v>12000</v>
      </c>
      <c r="X5524" s="339"/>
    </row>
    <row r="5525" s="330" customFormat="1" ht="15" customHeight="1" spans="1:24">
      <c r="A5525" s="348"/>
      <c r="B5525" s="334" t="s">
        <v>66</v>
      </c>
      <c r="C5525" s="334" t="s">
        <v>1749</v>
      </c>
      <c r="D5525" s="334" t="s">
        <v>1436</v>
      </c>
      <c r="E5525" s="336">
        <v>43744</v>
      </c>
      <c r="F5525" s="336">
        <v>43739</v>
      </c>
      <c r="G5525" s="336">
        <v>43743</v>
      </c>
      <c r="H5525" s="334" t="s">
        <v>12744</v>
      </c>
      <c r="I5525" s="426">
        <v>13918394875</v>
      </c>
      <c r="J5525" s="334" t="s">
        <v>12745</v>
      </c>
      <c r="K5525" s="455">
        <v>10000</v>
      </c>
      <c r="L5525" s="334">
        <v>10000</v>
      </c>
      <c r="M5525" s="338"/>
      <c r="N5525" s="362">
        <f t="shared" si="185"/>
        <v>10000</v>
      </c>
      <c r="X5525" s="339"/>
    </row>
    <row r="5526" s="330" customFormat="1" ht="15" customHeight="1" spans="1:24">
      <c r="A5526" s="348">
        <v>6105072</v>
      </c>
      <c r="B5526" s="334" t="s">
        <v>405</v>
      </c>
      <c r="C5526" s="334" t="s">
        <v>823</v>
      </c>
      <c r="D5526" s="335" t="s">
        <v>407</v>
      </c>
      <c r="E5526" s="336">
        <v>43768</v>
      </c>
      <c r="F5526" s="336">
        <v>43740</v>
      </c>
      <c r="G5526" s="336">
        <v>43767</v>
      </c>
      <c r="H5526" s="334" t="s">
        <v>12746</v>
      </c>
      <c r="I5526" s="426">
        <v>18964307283</v>
      </c>
      <c r="J5526" s="334" t="s">
        <v>12747</v>
      </c>
      <c r="K5526" s="455">
        <v>6000</v>
      </c>
      <c r="L5526" s="334">
        <v>18311</v>
      </c>
      <c r="M5526" s="338"/>
      <c r="N5526" s="362">
        <f t="shared" si="185"/>
        <v>18311</v>
      </c>
      <c r="X5526" s="339"/>
    </row>
    <row r="5527" s="330" customFormat="1" ht="15" customHeight="1" spans="1:24">
      <c r="A5527" s="348"/>
      <c r="B5527" s="334" t="s">
        <v>2625</v>
      </c>
      <c r="C5527" s="334" t="s">
        <v>2626</v>
      </c>
      <c r="D5527" s="488" t="s">
        <v>337</v>
      </c>
      <c r="E5527" s="336">
        <v>43794</v>
      </c>
      <c r="F5527" s="336">
        <v>43740</v>
      </c>
      <c r="G5527" s="336">
        <v>43794</v>
      </c>
      <c r="H5527" s="334" t="s">
        <v>12748</v>
      </c>
      <c r="I5527" s="426">
        <v>15800574581</v>
      </c>
      <c r="J5527" s="334" t="s">
        <v>12749</v>
      </c>
      <c r="K5527" s="455">
        <v>3000</v>
      </c>
      <c r="L5527" s="334">
        <v>7500</v>
      </c>
      <c r="M5527" s="338"/>
      <c r="N5527" s="362">
        <f t="shared" si="185"/>
        <v>7500</v>
      </c>
      <c r="W5527" s="475">
        <v>43788</v>
      </c>
      <c r="X5527" s="339"/>
    </row>
    <row r="5528" s="330" customFormat="1" ht="15" customHeight="1" spans="1:24">
      <c r="A5528" s="348">
        <v>6078677</v>
      </c>
      <c r="B5528" s="334" t="s">
        <v>405</v>
      </c>
      <c r="C5528" s="334" t="s">
        <v>823</v>
      </c>
      <c r="D5528" s="335" t="s">
        <v>407</v>
      </c>
      <c r="E5528" s="336">
        <v>43773</v>
      </c>
      <c r="F5528" s="336">
        <v>43740</v>
      </c>
      <c r="G5528" s="336">
        <v>43772</v>
      </c>
      <c r="H5528" s="334" t="s">
        <v>12750</v>
      </c>
      <c r="I5528" s="426">
        <v>13868910883</v>
      </c>
      <c r="J5528" s="334" t="s">
        <v>12751</v>
      </c>
      <c r="K5528" s="455">
        <v>3000</v>
      </c>
      <c r="L5528" s="334">
        <v>8734</v>
      </c>
      <c r="M5528" s="338"/>
      <c r="N5528" s="362">
        <f t="shared" si="185"/>
        <v>8734</v>
      </c>
      <c r="X5528" s="339"/>
    </row>
    <row r="5529" s="330" customFormat="1" ht="15" customHeight="1" spans="1:24">
      <c r="A5529" s="550" t="s">
        <v>12752</v>
      </c>
      <c r="B5529" s="334" t="s">
        <v>185</v>
      </c>
      <c r="C5529" s="334" t="s">
        <v>1204</v>
      </c>
      <c r="D5529" s="335" t="s">
        <v>44</v>
      </c>
      <c r="E5529" s="336">
        <v>43740</v>
      </c>
      <c r="F5529" s="336">
        <v>43739</v>
      </c>
      <c r="G5529" s="399"/>
      <c r="H5529" s="334" t="s">
        <v>12753</v>
      </c>
      <c r="I5529" s="426">
        <v>18019009188</v>
      </c>
      <c r="J5529" s="334" t="s">
        <v>12754</v>
      </c>
      <c r="K5529" s="455">
        <v>3000</v>
      </c>
      <c r="L5529" s="338"/>
      <c r="M5529" s="338"/>
      <c r="N5529" s="362">
        <f t="shared" si="185"/>
        <v>0</v>
      </c>
      <c r="Q5529" s="356" t="s">
        <v>52</v>
      </c>
      <c r="X5529" s="339"/>
    </row>
    <row r="5530" s="330" customFormat="1" ht="15" customHeight="1" spans="1:24">
      <c r="A5530" s="550" t="s">
        <v>3599</v>
      </c>
      <c r="B5530" s="334" t="s">
        <v>335</v>
      </c>
      <c r="C5530" s="334" t="s">
        <v>615</v>
      </c>
      <c r="D5530" s="335" t="s">
        <v>337</v>
      </c>
      <c r="E5530" s="336">
        <v>43740</v>
      </c>
      <c r="F5530" s="336">
        <v>43740</v>
      </c>
      <c r="G5530" s="399"/>
      <c r="H5530" s="334" t="s">
        <v>12755</v>
      </c>
      <c r="I5530" s="426">
        <v>13636328069</v>
      </c>
      <c r="J5530" s="334" t="s">
        <v>12756</v>
      </c>
      <c r="K5530" s="455">
        <v>1000</v>
      </c>
      <c r="L5530" s="338"/>
      <c r="M5530" s="338"/>
      <c r="N5530" s="362">
        <f t="shared" si="185"/>
        <v>0</v>
      </c>
      <c r="U5530" s="393" t="s">
        <v>40</v>
      </c>
      <c r="X5530" s="339"/>
    </row>
    <row r="5531" s="330" customFormat="1" ht="15" customHeight="1" spans="1:24">
      <c r="A5531" s="550" t="s">
        <v>521</v>
      </c>
      <c r="B5531" s="334" t="s">
        <v>137</v>
      </c>
      <c r="C5531" s="334" t="s">
        <v>406</v>
      </c>
      <c r="D5531" s="335" t="s">
        <v>443</v>
      </c>
      <c r="E5531" s="336">
        <v>43766</v>
      </c>
      <c r="F5531" s="336">
        <v>43740</v>
      </c>
      <c r="G5531" s="336">
        <v>43765</v>
      </c>
      <c r="H5531" s="334" t="s">
        <v>12757</v>
      </c>
      <c r="I5531" s="426">
        <v>13391320023</v>
      </c>
      <c r="J5531" s="334" t="s">
        <v>12758</v>
      </c>
      <c r="K5531" s="455">
        <v>1000</v>
      </c>
      <c r="L5531" s="334">
        <v>9745</v>
      </c>
      <c r="M5531" s="338"/>
      <c r="N5531" s="362">
        <f t="shared" si="185"/>
        <v>9745</v>
      </c>
      <c r="X5531" s="339"/>
    </row>
    <row r="5532" s="330" customFormat="1" ht="15" customHeight="1" spans="1:24">
      <c r="A5532" s="550" t="s">
        <v>12759</v>
      </c>
      <c r="B5532" s="334" t="s">
        <v>137</v>
      </c>
      <c r="C5532" s="334" t="s">
        <v>406</v>
      </c>
      <c r="D5532" s="335" t="s">
        <v>443</v>
      </c>
      <c r="E5532" s="336">
        <v>43821</v>
      </c>
      <c r="F5532" s="336">
        <v>43740</v>
      </c>
      <c r="G5532" s="336">
        <v>43820</v>
      </c>
      <c r="H5532" s="334" t="s">
        <v>12760</v>
      </c>
      <c r="I5532" s="426">
        <v>18500237752</v>
      </c>
      <c r="J5532" s="334" t="s">
        <v>12761</v>
      </c>
      <c r="K5532" s="455">
        <v>1000</v>
      </c>
      <c r="L5532" s="334">
        <v>5179</v>
      </c>
      <c r="M5532" s="338"/>
      <c r="N5532" s="362">
        <f t="shared" si="185"/>
        <v>5179</v>
      </c>
      <c r="Q5532" s="330">
        <v>1</v>
      </c>
      <c r="X5532" s="339"/>
    </row>
    <row r="5533" s="330" customFormat="1" ht="15" customHeight="1" spans="1:24">
      <c r="A5533" s="550" t="s">
        <v>12762</v>
      </c>
      <c r="B5533" s="334" t="s">
        <v>137</v>
      </c>
      <c r="C5533" s="334" t="s">
        <v>406</v>
      </c>
      <c r="D5533" s="334" t="s">
        <v>427</v>
      </c>
      <c r="E5533" s="336">
        <v>43741</v>
      </c>
      <c r="F5533" s="336">
        <v>43740</v>
      </c>
      <c r="G5533" s="399">
        <v>43740</v>
      </c>
      <c r="H5533" s="334" t="s">
        <v>12763</v>
      </c>
      <c r="I5533" s="426">
        <v>13564556926</v>
      </c>
      <c r="J5533" s="334" t="s">
        <v>12764</v>
      </c>
      <c r="K5533" s="455">
        <v>5993</v>
      </c>
      <c r="L5533" s="334">
        <v>9000</v>
      </c>
      <c r="M5533" s="338"/>
      <c r="N5533" s="362">
        <f t="shared" si="185"/>
        <v>9000</v>
      </c>
      <c r="X5533" s="339"/>
    </row>
    <row r="5534" s="330" customFormat="1" ht="15" customHeight="1" spans="1:24">
      <c r="A5534" s="348">
        <v>2019328</v>
      </c>
      <c r="B5534" s="334" t="s">
        <v>42</v>
      </c>
      <c r="C5534" s="334" t="s">
        <v>12765</v>
      </c>
      <c r="D5534" s="334" t="s">
        <v>207</v>
      </c>
      <c r="E5534" s="336">
        <v>43744</v>
      </c>
      <c r="F5534" s="336">
        <v>43740</v>
      </c>
      <c r="G5534" s="336">
        <v>43742</v>
      </c>
      <c r="H5534" s="334" t="s">
        <v>12766</v>
      </c>
      <c r="I5534" s="426">
        <v>13371896955</v>
      </c>
      <c r="J5534" s="334" t="s">
        <v>12767</v>
      </c>
      <c r="K5534" s="455">
        <v>9275</v>
      </c>
      <c r="L5534" s="334">
        <v>4108</v>
      </c>
      <c r="M5534" s="338"/>
      <c r="N5534" s="362">
        <f t="shared" si="185"/>
        <v>4108</v>
      </c>
      <c r="X5534" s="339"/>
    </row>
    <row r="5535" s="330" customFormat="1" ht="15" customHeight="1" spans="1:24">
      <c r="A5535" s="550" t="s">
        <v>12768</v>
      </c>
      <c r="B5535" s="334" t="s">
        <v>31</v>
      </c>
      <c r="C5535" s="334" t="s">
        <v>419</v>
      </c>
      <c r="D5535" s="335" t="s">
        <v>221</v>
      </c>
      <c r="E5535" s="336">
        <v>43769</v>
      </c>
      <c r="F5535" s="336">
        <v>43740</v>
      </c>
      <c r="G5535" s="336">
        <v>43769</v>
      </c>
      <c r="H5535" s="334" t="s">
        <v>12769</v>
      </c>
      <c r="I5535" s="426">
        <v>17765105676</v>
      </c>
      <c r="J5535" s="334" t="s">
        <v>12770</v>
      </c>
      <c r="K5535" s="455">
        <v>10000</v>
      </c>
      <c r="L5535" s="455">
        <v>10000</v>
      </c>
      <c r="M5535" s="338"/>
      <c r="N5535" s="362">
        <f t="shared" si="185"/>
        <v>10000</v>
      </c>
      <c r="X5535" s="339"/>
    </row>
    <row r="5536" s="330" customFormat="1" ht="15" customHeight="1" spans="1:24">
      <c r="A5536" s="348">
        <v>2022543</v>
      </c>
      <c r="B5536" s="334" t="s">
        <v>73</v>
      </c>
      <c r="C5536" s="334" t="s">
        <v>74</v>
      </c>
      <c r="D5536" s="335" t="s">
        <v>75</v>
      </c>
      <c r="E5536" s="336">
        <v>43769</v>
      </c>
      <c r="F5536" s="336">
        <v>43740</v>
      </c>
      <c r="G5536" s="336">
        <v>43769</v>
      </c>
      <c r="H5536" s="334" t="s">
        <v>12771</v>
      </c>
      <c r="I5536" s="426">
        <v>13801746006</v>
      </c>
      <c r="J5536" s="334" t="s">
        <v>12772</v>
      </c>
      <c r="K5536" s="455">
        <v>1000</v>
      </c>
      <c r="L5536" s="334">
        <v>15635</v>
      </c>
      <c r="M5536" s="338"/>
      <c r="N5536" s="362">
        <f t="shared" si="185"/>
        <v>15635</v>
      </c>
      <c r="X5536" s="339"/>
    </row>
    <row r="5537" s="330" customFormat="1" ht="15" customHeight="1" spans="1:24">
      <c r="A5537" s="348">
        <v>2022543</v>
      </c>
      <c r="B5537" s="334" t="s">
        <v>73</v>
      </c>
      <c r="C5537" s="334" t="s">
        <v>74</v>
      </c>
      <c r="D5537" s="335" t="s">
        <v>125</v>
      </c>
      <c r="E5537" s="336">
        <v>43799</v>
      </c>
      <c r="F5537" s="336">
        <v>43740</v>
      </c>
      <c r="G5537" s="336">
        <v>43799</v>
      </c>
      <c r="H5537" s="334" t="s">
        <v>12773</v>
      </c>
      <c r="I5537" s="426">
        <v>13585827776</v>
      </c>
      <c r="J5537" s="334" t="s">
        <v>12774</v>
      </c>
      <c r="K5537" s="455">
        <v>1000</v>
      </c>
      <c r="L5537" s="334">
        <v>24631</v>
      </c>
      <c r="M5537" s="338"/>
      <c r="N5537" s="362">
        <f t="shared" si="185"/>
        <v>24631</v>
      </c>
      <c r="Q5537" s="366" t="s">
        <v>52</v>
      </c>
      <c r="X5537" s="339"/>
    </row>
    <row r="5538" s="330" customFormat="1" ht="15" customHeight="1" spans="1:24">
      <c r="A5538" s="550" t="s">
        <v>12775</v>
      </c>
      <c r="B5538" s="334" t="s">
        <v>73</v>
      </c>
      <c r="C5538" s="334" t="s">
        <v>178</v>
      </c>
      <c r="D5538" s="334" t="s">
        <v>187</v>
      </c>
      <c r="E5538" s="336">
        <v>43781</v>
      </c>
      <c r="F5538" s="336">
        <v>43740</v>
      </c>
      <c r="G5538" s="336">
        <v>43779</v>
      </c>
      <c r="H5538" s="334" t="s">
        <v>12776</v>
      </c>
      <c r="I5538" s="426">
        <v>13701600803</v>
      </c>
      <c r="J5538" s="334" t="s">
        <v>12777</v>
      </c>
      <c r="K5538" s="455">
        <v>1000</v>
      </c>
      <c r="L5538" s="334">
        <v>14219</v>
      </c>
      <c r="M5538" s="338"/>
      <c r="N5538" s="362">
        <f t="shared" si="185"/>
        <v>14219</v>
      </c>
      <c r="X5538" s="339"/>
    </row>
    <row r="5539" s="330" customFormat="1" ht="15" customHeight="1" spans="1:24">
      <c r="A5539" s="348">
        <v>2022542</v>
      </c>
      <c r="B5539" s="334" t="s">
        <v>73</v>
      </c>
      <c r="C5539" s="334" t="s">
        <v>74</v>
      </c>
      <c r="D5539" s="334" t="s">
        <v>132</v>
      </c>
      <c r="E5539" s="336">
        <v>43791</v>
      </c>
      <c r="F5539" s="336">
        <v>43740</v>
      </c>
      <c r="G5539" s="336">
        <v>43791</v>
      </c>
      <c r="H5539" s="334" t="s">
        <v>12778</v>
      </c>
      <c r="I5539" s="426">
        <v>13661967521</v>
      </c>
      <c r="J5539" s="334" t="s">
        <v>12779</v>
      </c>
      <c r="K5539" s="455">
        <v>1000</v>
      </c>
      <c r="L5539" s="334">
        <v>12133</v>
      </c>
      <c r="M5539" s="338"/>
      <c r="N5539" s="362">
        <f t="shared" si="185"/>
        <v>12133</v>
      </c>
      <c r="Q5539" s="366" t="s">
        <v>52</v>
      </c>
      <c r="X5539" s="339"/>
    </row>
    <row r="5540" s="330" customFormat="1" ht="15" customHeight="1" spans="1:24">
      <c r="A5540" s="550" t="s">
        <v>12780</v>
      </c>
      <c r="B5540" s="334" t="s">
        <v>73</v>
      </c>
      <c r="C5540" s="334" t="s">
        <v>74</v>
      </c>
      <c r="D5540" s="335" t="s">
        <v>717</v>
      </c>
      <c r="E5540" s="336">
        <v>43760</v>
      </c>
      <c r="F5540" s="336">
        <v>43740</v>
      </c>
      <c r="G5540" s="336">
        <v>43759</v>
      </c>
      <c r="H5540" s="334" t="s">
        <v>12781</v>
      </c>
      <c r="I5540" s="426">
        <v>13918858858</v>
      </c>
      <c r="J5540" s="334" t="s">
        <v>12782</v>
      </c>
      <c r="K5540" s="455">
        <v>1000</v>
      </c>
      <c r="L5540" s="334">
        <v>12586</v>
      </c>
      <c r="M5540" s="338"/>
      <c r="N5540" s="362">
        <f t="shared" si="185"/>
        <v>12586</v>
      </c>
      <c r="X5540" s="339"/>
    </row>
    <row r="5541" s="330" customFormat="1" ht="15" customHeight="1" spans="1:24">
      <c r="A5541" s="550" t="s">
        <v>12783</v>
      </c>
      <c r="B5541" s="334" t="s">
        <v>354</v>
      </c>
      <c r="C5541" s="334" t="s">
        <v>355</v>
      </c>
      <c r="D5541" s="334" t="s">
        <v>343</v>
      </c>
      <c r="E5541" s="336">
        <v>43765</v>
      </c>
      <c r="F5541" s="336">
        <v>43739</v>
      </c>
      <c r="G5541" s="336">
        <v>43764</v>
      </c>
      <c r="H5541" s="334" t="s">
        <v>12784</v>
      </c>
      <c r="I5541" s="426">
        <v>13916486276</v>
      </c>
      <c r="J5541" s="334" t="s">
        <v>12785</v>
      </c>
      <c r="K5541" s="455">
        <v>20000</v>
      </c>
      <c r="L5541" s="334">
        <f>20233-1472</f>
        <v>18761</v>
      </c>
      <c r="M5541" s="334">
        <v>1472</v>
      </c>
      <c r="N5541" s="362">
        <f t="shared" si="185"/>
        <v>20233</v>
      </c>
      <c r="X5541" s="339"/>
    </row>
    <row r="5542" s="330" customFormat="1" ht="15" customHeight="1" spans="1:24">
      <c r="A5542" s="348"/>
      <c r="B5542" s="334" t="s">
        <v>66</v>
      </c>
      <c r="C5542" s="334" t="s">
        <v>1749</v>
      </c>
      <c r="D5542" s="335" t="s">
        <v>68</v>
      </c>
      <c r="E5542" s="336">
        <v>43748</v>
      </c>
      <c r="F5542" s="336">
        <v>43739</v>
      </c>
      <c r="G5542" s="336">
        <v>43744</v>
      </c>
      <c r="H5542" s="334" t="s">
        <v>12786</v>
      </c>
      <c r="I5542" s="426">
        <v>13801705796</v>
      </c>
      <c r="J5542" s="334" t="s">
        <v>12787</v>
      </c>
      <c r="K5542" s="455">
        <v>1000</v>
      </c>
      <c r="L5542" s="334">
        <v>14250</v>
      </c>
      <c r="M5542" s="338"/>
      <c r="N5542" s="362">
        <f t="shared" si="185"/>
        <v>14250</v>
      </c>
      <c r="X5542" s="339"/>
    </row>
    <row r="5543" s="330" customFormat="1" ht="15" customHeight="1" spans="1:24">
      <c r="A5543" s="348">
        <v>6105071</v>
      </c>
      <c r="B5543" s="334" t="s">
        <v>405</v>
      </c>
      <c r="C5543" s="334" t="s">
        <v>823</v>
      </c>
      <c r="D5543" s="335" t="s">
        <v>407</v>
      </c>
      <c r="E5543" s="336">
        <v>43740</v>
      </c>
      <c r="F5543" s="336">
        <v>43739</v>
      </c>
      <c r="G5543" s="399"/>
      <c r="H5543" s="334" t="s">
        <v>12788</v>
      </c>
      <c r="I5543" s="426">
        <v>13501920737</v>
      </c>
      <c r="J5543" s="334" t="s">
        <v>12789</v>
      </c>
      <c r="K5543" s="455">
        <v>3000</v>
      </c>
      <c r="L5543" s="338"/>
      <c r="M5543" s="338"/>
      <c r="N5543" s="362">
        <f t="shared" si="185"/>
        <v>0</v>
      </c>
      <c r="O5543" s="356" t="s">
        <v>52</v>
      </c>
      <c r="X5543" s="339"/>
    </row>
    <row r="5544" s="330" customFormat="1" ht="15" customHeight="1" spans="1:24">
      <c r="A5544" s="348">
        <v>6105070</v>
      </c>
      <c r="B5544" s="334" t="s">
        <v>405</v>
      </c>
      <c r="C5544" s="334" t="s">
        <v>823</v>
      </c>
      <c r="D5544" s="335" t="s">
        <v>407</v>
      </c>
      <c r="E5544" s="336">
        <v>43769</v>
      </c>
      <c r="F5544" s="336">
        <v>43739</v>
      </c>
      <c r="G5544" s="336">
        <v>43745</v>
      </c>
      <c r="H5544" s="334" t="s">
        <v>12790</v>
      </c>
      <c r="I5544" s="426">
        <v>13391251215</v>
      </c>
      <c r="J5544" s="334" t="s">
        <v>12791</v>
      </c>
      <c r="K5544" s="455">
        <v>3000</v>
      </c>
      <c r="L5544" s="334">
        <v>6000</v>
      </c>
      <c r="M5544" s="338"/>
      <c r="N5544" s="362">
        <f t="shared" si="185"/>
        <v>6000</v>
      </c>
      <c r="X5544" s="339"/>
    </row>
    <row r="5545" s="330" customFormat="1" ht="15" customHeight="1" spans="1:24">
      <c r="A5545" s="348"/>
      <c r="B5545" s="334" t="s">
        <v>5336</v>
      </c>
      <c r="C5545" s="334" t="s">
        <v>5336</v>
      </c>
      <c r="D5545" s="335" t="s">
        <v>8334</v>
      </c>
      <c r="E5545" s="336">
        <v>43740</v>
      </c>
      <c r="F5545" s="336">
        <v>43740</v>
      </c>
      <c r="G5545" s="399"/>
      <c r="H5545" s="334" t="s">
        <v>12792</v>
      </c>
      <c r="I5545" s="426">
        <v>13310078078</v>
      </c>
      <c r="J5545" s="334" t="s">
        <v>12793</v>
      </c>
      <c r="K5545" s="455">
        <v>1000</v>
      </c>
      <c r="L5545" s="338"/>
      <c r="M5545" s="338"/>
      <c r="N5545" s="362">
        <f t="shared" si="185"/>
        <v>0</v>
      </c>
      <c r="U5545" s="471">
        <v>43747</v>
      </c>
      <c r="X5545" s="339"/>
    </row>
    <row r="5546" s="330" customFormat="1" ht="15" customHeight="1" spans="1:24">
      <c r="A5546" s="348"/>
      <c r="B5546" s="334" t="s">
        <v>5336</v>
      </c>
      <c r="C5546" s="334" t="s">
        <v>5336</v>
      </c>
      <c r="D5546" s="335" t="s">
        <v>8334</v>
      </c>
      <c r="E5546" s="336">
        <v>43740</v>
      </c>
      <c r="F5546" s="336">
        <v>43739</v>
      </c>
      <c r="G5546" s="399"/>
      <c r="H5546" s="334" t="s">
        <v>12794</v>
      </c>
      <c r="I5546" s="426">
        <v>15221897590</v>
      </c>
      <c r="J5546" s="334" t="s">
        <v>12795</v>
      </c>
      <c r="K5546" s="455">
        <v>7109</v>
      </c>
      <c r="L5546" s="338"/>
      <c r="M5546" s="338"/>
      <c r="N5546" s="362">
        <f t="shared" si="185"/>
        <v>0</v>
      </c>
      <c r="O5546" s="353"/>
      <c r="V5546" s="353" t="s">
        <v>52</v>
      </c>
      <c r="X5546" s="339"/>
    </row>
    <row r="5547" s="330" customFormat="1" ht="15" customHeight="1" spans="1:24">
      <c r="A5547" s="348"/>
      <c r="B5547" s="334" t="s">
        <v>5336</v>
      </c>
      <c r="C5547" s="334" t="s">
        <v>5336</v>
      </c>
      <c r="D5547" s="334" t="s">
        <v>8334</v>
      </c>
      <c r="E5547" s="336">
        <v>43795</v>
      </c>
      <c r="F5547" s="336">
        <v>43739</v>
      </c>
      <c r="G5547" s="336">
        <v>43790</v>
      </c>
      <c r="H5547" s="334" t="s">
        <v>12796</v>
      </c>
      <c r="I5547" s="426">
        <v>13611936206</v>
      </c>
      <c r="J5547" s="334" t="s">
        <v>12797</v>
      </c>
      <c r="K5547" s="455">
        <v>4682</v>
      </c>
      <c r="L5547" s="334">
        <v>8634</v>
      </c>
      <c r="M5547" s="338"/>
      <c r="N5547" s="362">
        <f t="shared" si="185"/>
        <v>8634</v>
      </c>
      <c r="X5547" s="339"/>
    </row>
    <row r="5548" s="330" customFormat="1" ht="15" customHeight="1" spans="1:24">
      <c r="A5548" s="348"/>
      <c r="B5548" s="334" t="s">
        <v>5336</v>
      </c>
      <c r="C5548" s="334" t="s">
        <v>5336</v>
      </c>
      <c r="D5548" s="334" t="s">
        <v>110</v>
      </c>
      <c r="E5548" s="336">
        <v>43740</v>
      </c>
      <c r="F5548" s="336">
        <v>43739</v>
      </c>
      <c r="G5548" s="336">
        <v>43740</v>
      </c>
      <c r="H5548" s="334" t="s">
        <v>12798</v>
      </c>
      <c r="I5548" s="426">
        <v>18939804083</v>
      </c>
      <c r="J5548" s="334" t="s">
        <v>12799</v>
      </c>
      <c r="K5548" s="455">
        <v>15017</v>
      </c>
      <c r="L5548" s="334">
        <v>21573</v>
      </c>
      <c r="M5548" s="338"/>
      <c r="N5548" s="362">
        <f t="shared" si="185"/>
        <v>21573</v>
      </c>
      <c r="X5548" s="339"/>
    </row>
    <row r="5549" s="330" customFormat="1" ht="15" customHeight="1" spans="1:24">
      <c r="A5549" s="348"/>
      <c r="B5549" s="334" t="s">
        <v>66</v>
      </c>
      <c r="C5549" s="334" t="s">
        <v>951</v>
      </c>
      <c r="D5549" s="334" t="s">
        <v>1436</v>
      </c>
      <c r="E5549" s="336">
        <v>43769</v>
      </c>
      <c r="F5549" s="336">
        <v>43739</v>
      </c>
      <c r="G5549" s="336">
        <v>43769</v>
      </c>
      <c r="H5549" s="334" t="s">
        <v>12800</v>
      </c>
      <c r="I5549" s="426">
        <v>13052076883</v>
      </c>
      <c r="J5549" s="334" t="s">
        <v>12801</v>
      </c>
      <c r="K5549" s="455">
        <v>500</v>
      </c>
      <c r="L5549" s="334">
        <v>10000</v>
      </c>
      <c r="M5549" s="338"/>
      <c r="N5549" s="362">
        <f t="shared" si="185"/>
        <v>10000</v>
      </c>
      <c r="X5549" s="339"/>
    </row>
    <row r="5550" s="330" customFormat="1" customHeight="1" spans="1:24">
      <c r="A5550" s="550" t="s">
        <v>1988</v>
      </c>
      <c r="B5550" s="334" t="s">
        <v>236</v>
      </c>
      <c r="C5550" s="334" t="s">
        <v>703</v>
      </c>
      <c r="D5550" s="335" t="s">
        <v>237</v>
      </c>
      <c r="E5550" s="336">
        <v>43740</v>
      </c>
      <c r="F5550" s="336">
        <v>43739</v>
      </c>
      <c r="G5550" s="399"/>
      <c r="H5550" s="334" t="s">
        <v>12802</v>
      </c>
      <c r="I5550" s="426">
        <v>13817592608</v>
      </c>
      <c r="J5550" s="334" t="s">
        <v>12803</v>
      </c>
      <c r="K5550" s="455">
        <v>14800</v>
      </c>
      <c r="L5550" s="338"/>
      <c r="M5550" s="338"/>
      <c r="N5550" s="362">
        <f t="shared" si="185"/>
        <v>0</v>
      </c>
      <c r="U5550" s="356" t="s">
        <v>52</v>
      </c>
      <c r="X5550" s="339"/>
    </row>
    <row r="5551" s="330" customFormat="1" ht="15" customHeight="1" spans="1:24">
      <c r="A5551" s="550" t="s">
        <v>12804</v>
      </c>
      <c r="B5551" s="334" t="s">
        <v>236</v>
      </c>
      <c r="C5551" s="334" t="s">
        <v>703</v>
      </c>
      <c r="D5551" s="334" t="s">
        <v>207</v>
      </c>
      <c r="E5551" s="336">
        <v>43745</v>
      </c>
      <c r="F5551" s="336">
        <v>43739</v>
      </c>
      <c r="G5551" s="336">
        <v>43745</v>
      </c>
      <c r="H5551" s="334" t="s">
        <v>12805</v>
      </c>
      <c r="I5551" s="426">
        <v>15692165508</v>
      </c>
      <c r="J5551" s="334" t="s">
        <v>12806</v>
      </c>
      <c r="K5551" s="455">
        <v>9294</v>
      </c>
      <c r="L5551" s="334">
        <v>10902</v>
      </c>
      <c r="M5551" s="338"/>
      <c r="N5551" s="362">
        <f t="shared" si="185"/>
        <v>10902</v>
      </c>
      <c r="X5551" s="339"/>
    </row>
    <row r="5552" s="330" customFormat="1" ht="15" customHeight="1" spans="1:24">
      <c r="A5552" s="550" t="s">
        <v>12807</v>
      </c>
      <c r="B5552" s="334" t="s">
        <v>236</v>
      </c>
      <c r="C5552" s="334" t="s">
        <v>703</v>
      </c>
      <c r="D5552" s="335" t="s">
        <v>125</v>
      </c>
      <c r="E5552" s="336">
        <v>43768</v>
      </c>
      <c r="F5552" s="336">
        <v>43739</v>
      </c>
      <c r="G5552" s="336">
        <v>43730</v>
      </c>
      <c r="H5552" s="334" t="s">
        <v>12808</v>
      </c>
      <c r="I5552" s="426">
        <v>18621106622</v>
      </c>
      <c r="J5552" s="334" t="s">
        <v>12809</v>
      </c>
      <c r="K5552" s="455">
        <v>65972</v>
      </c>
      <c r="L5552" s="455">
        <v>65972</v>
      </c>
      <c r="M5552" s="338"/>
      <c r="N5552" s="362">
        <f t="shared" si="185"/>
        <v>65972</v>
      </c>
      <c r="X5552" s="339"/>
    </row>
    <row r="5553" s="330" customFormat="1" ht="15" customHeight="1" spans="1:24">
      <c r="A5553" s="550" t="s">
        <v>12810</v>
      </c>
      <c r="B5553" s="334" t="s">
        <v>354</v>
      </c>
      <c r="C5553" s="334" t="s">
        <v>355</v>
      </c>
      <c r="D5553" s="335" t="s">
        <v>149</v>
      </c>
      <c r="E5553" s="336">
        <v>43740</v>
      </c>
      <c r="F5553" s="336">
        <v>43739</v>
      </c>
      <c r="G5553" s="399"/>
      <c r="H5553" s="334" t="s">
        <v>3368</v>
      </c>
      <c r="I5553" s="426">
        <v>13661466393</v>
      </c>
      <c r="J5553" s="334" t="s">
        <v>12811</v>
      </c>
      <c r="K5553" s="455">
        <v>14136</v>
      </c>
      <c r="L5553" s="338"/>
      <c r="M5553" s="338"/>
      <c r="N5553" s="362">
        <f t="shared" ref="N5553:N5584" si="186">L5553+M5553</f>
        <v>0</v>
      </c>
      <c r="X5553" s="339"/>
    </row>
    <row r="5554" s="330" customFormat="1" ht="15" customHeight="1" spans="1:24">
      <c r="A5554" s="348">
        <v>2019325</v>
      </c>
      <c r="B5554" s="334" t="s">
        <v>42</v>
      </c>
      <c r="C5554" s="334" t="s">
        <v>43</v>
      </c>
      <c r="D5554" s="334" t="s">
        <v>207</v>
      </c>
      <c r="E5554" s="336">
        <v>43745</v>
      </c>
      <c r="F5554" s="336">
        <v>43739</v>
      </c>
      <c r="G5554" s="336">
        <v>43745</v>
      </c>
      <c r="H5554" s="334" t="s">
        <v>12812</v>
      </c>
      <c r="I5554" s="426">
        <v>15618792566</v>
      </c>
      <c r="J5554" s="334" t="s">
        <v>12813</v>
      </c>
      <c r="K5554" s="455">
        <v>7710</v>
      </c>
      <c r="L5554" s="334">
        <v>7708</v>
      </c>
      <c r="M5554" s="338"/>
      <c r="N5554" s="362">
        <f t="shared" si="186"/>
        <v>7708</v>
      </c>
      <c r="X5554" s="339"/>
    </row>
    <row r="5555" s="330" customFormat="1" ht="15" customHeight="1" spans="1:24">
      <c r="A5555" s="348">
        <v>2019324</v>
      </c>
      <c r="B5555" s="334" t="s">
        <v>42</v>
      </c>
      <c r="C5555" s="334" t="s">
        <v>43</v>
      </c>
      <c r="D5555" s="334" t="s">
        <v>207</v>
      </c>
      <c r="E5555" s="336">
        <v>43745</v>
      </c>
      <c r="F5555" s="336">
        <v>43739</v>
      </c>
      <c r="G5555" s="336">
        <v>43745</v>
      </c>
      <c r="H5555" s="334" t="s">
        <v>12814</v>
      </c>
      <c r="I5555" s="426">
        <v>13818827619</v>
      </c>
      <c r="J5555" s="334" t="s">
        <v>12815</v>
      </c>
      <c r="K5555" s="455">
        <v>11703</v>
      </c>
      <c r="L5555" s="334">
        <v>10531</v>
      </c>
      <c r="M5555" s="338"/>
      <c r="N5555" s="362">
        <f t="shared" si="186"/>
        <v>10531</v>
      </c>
      <c r="X5555" s="339"/>
    </row>
    <row r="5556" s="330" customFormat="1" ht="15" customHeight="1" spans="1:24">
      <c r="A5556" s="348">
        <v>2019323</v>
      </c>
      <c r="B5556" s="334" t="s">
        <v>42</v>
      </c>
      <c r="C5556" s="334" t="s">
        <v>43</v>
      </c>
      <c r="D5556" s="334" t="s">
        <v>207</v>
      </c>
      <c r="E5556" s="336">
        <v>43745</v>
      </c>
      <c r="F5556" s="336">
        <v>43739</v>
      </c>
      <c r="G5556" s="336">
        <v>43745</v>
      </c>
      <c r="H5556" s="334" t="s">
        <v>12816</v>
      </c>
      <c r="I5556" s="426">
        <v>13801848549</v>
      </c>
      <c r="J5556" s="334" t="s">
        <v>12817</v>
      </c>
      <c r="K5556" s="455">
        <v>8500</v>
      </c>
      <c r="L5556" s="334">
        <v>8459</v>
      </c>
      <c r="M5556" s="338"/>
      <c r="N5556" s="362">
        <f t="shared" si="186"/>
        <v>8459</v>
      </c>
      <c r="X5556" s="339"/>
    </row>
    <row r="5557" s="330" customFormat="1" ht="15" customHeight="1" spans="1:24">
      <c r="A5557" s="348"/>
      <c r="B5557" s="334" t="s">
        <v>137</v>
      </c>
      <c r="C5557" s="334" t="s">
        <v>138</v>
      </c>
      <c r="D5557" s="335" t="s">
        <v>139</v>
      </c>
      <c r="E5557" s="336">
        <v>43768</v>
      </c>
      <c r="F5557" s="336">
        <v>43739</v>
      </c>
      <c r="G5557" s="336">
        <v>43767</v>
      </c>
      <c r="H5557" s="334" t="s">
        <v>84</v>
      </c>
      <c r="I5557" s="426">
        <v>18917639168</v>
      </c>
      <c r="J5557" s="334" t="s">
        <v>12818</v>
      </c>
      <c r="K5557" s="455">
        <v>11700</v>
      </c>
      <c r="L5557" s="334">
        <v>13516</v>
      </c>
      <c r="M5557" s="338"/>
      <c r="N5557" s="362">
        <f t="shared" si="186"/>
        <v>13516</v>
      </c>
      <c r="X5557" s="339"/>
    </row>
    <row r="5558" s="330" customFormat="1" ht="15" customHeight="1" spans="1:24">
      <c r="A5558" s="348"/>
      <c r="B5558" s="334" t="s">
        <v>137</v>
      </c>
      <c r="C5558" s="334" t="s">
        <v>138</v>
      </c>
      <c r="D5558" s="335" t="s">
        <v>139</v>
      </c>
      <c r="E5558" s="336">
        <v>43768</v>
      </c>
      <c r="F5558" s="336">
        <v>43739</v>
      </c>
      <c r="G5558" s="336">
        <v>43767</v>
      </c>
      <c r="H5558" s="334" t="s">
        <v>12819</v>
      </c>
      <c r="I5558" s="426">
        <v>18917639168</v>
      </c>
      <c r="J5558" s="334" t="s">
        <v>12820</v>
      </c>
      <c r="K5558" s="455">
        <v>13500</v>
      </c>
      <c r="L5558" s="334">
        <v>16554</v>
      </c>
      <c r="M5558" s="338"/>
      <c r="N5558" s="362">
        <f t="shared" si="186"/>
        <v>16554</v>
      </c>
      <c r="X5558" s="339"/>
    </row>
    <row r="5559" s="330" customFormat="1" ht="15" customHeight="1" spans="1:24">
      <c r="A5559" s="550" t="s">
        <v>12821</v>
      </c>
      <c r="B5559" s="334" t="s">
        <v>205</v>
      </c>
      <c r="C5559" s="334" t="s">
        <v>1467</v>
      </c>
      <c r="D5559" s="334" t="s">
        <v>237</v>
      </c>
      <c r="E5559" s="336">
        <v>43764</v>
      </c>
      <c r="F5559" s="336">
        <v>43739</v>
      </c>
      <c r="G5559" s="336">
        <v>43762</v>
      </c>
      <c r="H5559" s="334" t="s">
        <v>12822</v>
      </c>
      <c r="I5559" s="426">
        <v>15921805157</v>
      </c>
      <c r="J5559" s="334" t="s">
        <v>12823</v>
      </c>
      <c r="K5559" s="455">
        <v>5987</v>
      </c>
      <c r="L5559" s="334">
        <v>7401</v>
      </c>
      <c r="M5559" s="338"/>
      <c r="N5559" s="362">
        <f t="shared" si="186"/>
        <v>7401</v>
      </c>
      <c r="X5559" s="339"/>
    </row>
    <row r="5560" s="330" customFormat="1" ht="15" customHeight="1" spans="1:24">
      <c r="A5560" s="550" t="s">
        <v>12824</v>
      </c>
      <c r="B5560" s="334" t="s">
        <v>205</v>
      </c>
      <c r="C5560" s="334" t="s">
        <v>1467</v>
      </c>
      <c r="D5560" s="349" t="s">
        <v>207</v>
      </c>
      <c r="E5560" s="336">
        <v>43740</v>
      </c>
      <c r="F5560" s="336">
        <v>43739</v>
      </c>
      <c r="G5560" s="399"/>
      <c r="H5560" s="334" t="s">
        <v>12825</v>
      </c>
      <c r="I5560" s="426">
        <v>13813720375</v>
      </c>
      <c r="J5560" s="334" t="s">
        <v>12826</v>
      </c>
      <c r="K5560" s="455">
        <v>1000</v>
      </c>
      <c r="L5560" s="338"/>
      <c r="M5560" s="338"/>
      <c r="N5560" s="362">
        <f t="shared" si="186"/>
        <v>0</v>
      </c>
      <c r="U5560" s="353" t="s">
        <v>40</v>
      </c>
      <c r="X5560" s="339"/>
    </row>
    <row r="5561" s="330" customFormat="1" ht="15" customHeight="1" spans="1:24">
      <c r="A5561" s="550" t="s">
        <v>3504</v>
      </c>
      <c r="B5561" s="334" t="s">
        <v>137</v>
      </c>
      <c r="C5561" s="334" t="s">
        <v>406</v>
      </c>
      <c r="D5561" s="334" t="s">
        <v>2381</v>
      </c>
      <c r="E5561" s="336">
        <v>43773</v>
      </c>
      <c r="F5561" s="336">
        <v>43739</v>
      </c>
      <c r="G5561" s="336">
        <v>43772</v>
      </c>
      <c r="H5561" s="334" t="s">
        <v>12827</v>
      </c>
      <c r="I5561" s="426">
        <v>18516556307</v>
      </c>
      <c r="J5561" s="334" t="s">
        <v>12828</v>
      </c>
      <c r="K5561" s="455">
        <v>8100</v>
      </c>
      <c r="L5561" s="334">
        <v>8599</v>
      </c>
      <c r="M5561" s="338"/>
      <c r="N5561" s="362">
        <f t="shared" si="186"/>
        <v>8599</v>
      </c>
      <c r="X5561" s="339"/>
    </row>
    <row r="5562" s="330" customFormat="1" ht="15" customHeight="1" spans="1:24">
      <c r="A5562" s="550" t="s">
        <v>12829</v>
      </c>
      <c r="B5562" s="334" t="s">
        <v>31</v>
      </c>
      <c r="C5562" s="334" t="s">
        <v>3186</v>
      </c>
      <c r="D5562" s="334" t="s">
        <v>954</v>
      </c>
      <c r="E5562" s="336">
        <v>43744</v>
      </c>
      <c r="F5562" s="336">
        <v>43739</v>
      </c>
      <c r="G5562" s="336">
        <v>43739</v>
      </c>
      <c r="H5562" s="334" t="s">
        <v>12830</v>
      </c>
      <c r="I5562" s="426">
        <v>18616020041</v>
      </c>
      <c r="J5562" s="334" t="s">
        <v>12831</v>
      </c>
      <c r="K5562" s="455">
        <v>8526</v>
      </c>
      <c r="L5562" s="334">
        <v>8526</v>
      </c>
      <c r="M5562" s="338"/>
      <c r="N5562" s="362">
        <f t="shared" si="186"/>
        <v>8526</v>
      </c>
      <c r="X5562" s="339"/>
    </row>
    <row r="5563" s="330" customFormat="1" ht="15" customHeight="1" spans="1:24">
      <c r="A5563" s="550" t="s">
        <v>12832</v>
      </c>
      <c r="B5563" s="334" t="s">
        <v>31</v>
      </c>
      <c r="C5563" s="334" t="s">
        <v>3186</v>
      </c>
      <c r="D5563" s="334" t="s">
        <v>954</v>
      </c>
      <c r="E5563" s="336">
        <v>43762</v>
      </c>
      <c r="F5563" s="336">
        <v>43739</v>
      </c>
      <c r="G5563" s="336">
        <v>43757</v>
      </c>
      <c r="H5563" s="334" t="s">
        <v>12833</v>
      </c>
      <c r="I5563" s="426">
        <v>13816933706</v>
      </c>
      <c r="J5563" s="334" t="s">
        <v>12834</v>
      </c>
      <c r="K5563" s="455">
        <v>1000</v>
      </c>
      <c r="L5563" s="334">
        <v>6367</v>
      </c>
      <c r="M5563" s="338"/>
      <c r="N5563" s="362">
        <f t="shared" si="186"/>
        <v>6367</v>
      </c>
      <c r="X5563" s="339"/>
    </row>
    <row r="5564" s="330" customFormat="1" ht="15" customHeight="1" spans="1:24">
      <c r="A5564" s="550" t="s">
        <v>12835</v>
      </c>
      <c r="B5564" s="334" t="s">
        <v>354</v>
      </c>
      <c r="C5564" s="334" t="s">
        <v>355</v>
      </c>
      <c r="D5564" s="334" t="s">
        <v>162</v>
      </c>
      <c r="E5564" s="336">
        <v>43789</v>
      </c>
      <c r="F5564" s="336">
        <v>43739</v>
      </c>
      <c r="G5564" s="336">
        <v>43787</v>
      </c>
      <c r="H5564" s="334" t="s">
        <v>12836</v>
      </c>
      <c r="I5564" s="426">
        <v>18017161780</v>
      </c>
      <c r="J5564" s="334" t="s">
        <v>12837</v>
      </c>
      <c r="K5564" s="455">
        <v>15275</v>
      </c>
      <c r="L5564" s="334">
        <f>-3960+16607</f>
        <v>12647</v>
      </c>
      <c r="M5564" s="338"/>
      <c r="N5564" s="362">
        <f t="shared" si="186"/>
        <v>12647</v>
      </c>
      <c r="X5564" s="339"/>
    </row>
    <row r="5565" s="330" customFormat="1" ht="15" customHeight="1" spans="1:24">
      <c r="A5565" s="550" t="s">
        <v>12838</v>
      </c>
      <c r="B5565" s="334" t="s">
        <v>31</v>
      </c>
      <c r="C5565" s="334" t="s">
        <v>419</v>
      </c>
      <c r="D5565" s="334" t="s">
        <v>954</v>
      </c>
      <c r="E5565" s="336">
        <v>43759</v>
      </c>
      <c r="F5565" s="336">
        <v>43739</v>
      </c>
      <c r="G5565" s="336">
        <v>43757</v>
      </c>
      <c r="H5565" s="334" t="s">
        <v>12839</v>
      </c>
      <c r="I5565" s="426">
        <v>13818933392</v>
      </c>
      <c r="J5565" s="334" t="s">
        <v>12840</v>
      </c>
      <c r="K5565" s="455">
        <v>1000</v>
      </c>
      <c r="L5565" s="334">
        <v>4693</v>
      </c>
      <c r="M5565" s="338"/>
      <c r="N5565" s="362">
        <f t="shared" si="186"/>
        <v>4693</v>
      </c>
      <c r="X5565" s="339"/>
    </row>
    <row r="5566" s="330" customFormat="1" ht="15" customHeight="1" spans="1:24">
      <c r="A5566" s="550" t="s">
        <v>12841</v>
      </c>
      <c r="B5566" s="334" t="s">
        <v>31</v>
      </c>
      <c r="C5566" s="334" t="s">
        <v>220</v>
      </c>
      <c r="D5566" s="334" t="s">
        <v>33</v>
      </c>
      <c r="E5566" s="336">
        <v>43745</v>
      </c>
      <c r="F5566" s="336">
        <v>43739</v>
      </c>
      <c r="G5566" s="336">
        <v>43745</v>
      </c>
      <c r="H5566" s="334" t="s">
        <v>12842</v>
      </c>
      <c r="I5566" s="426">
        <v>18516189027</v>
      </c>
      <c r="J5566" s="334" t="s">
        <v>12843</v>
      </c>
      <c r="K5566" s="455">
        <v>10000</v>
      </c>
      <c r="L5566" s="334">
        <v>9994</v>
      </c>
      <c r="M5566" s="338"/>
      <c r="N5566" s="362">
        <f t="shared" si="186"/>
        <v>9994</v>
      </c>
      <c r="X5566" s="339"/>
    </row>
    <row r="5567" s="330" customFormat="1" ht="15" customHeight="1" spans="1:24">
      <c r="A5567" s="348">
        <v>2019322</v>
      </c>
      <c r="B5567" s="334" t="s">
        <v>42</v>
      </c>
      <c r="C5567" s="334" t="s">
        <v>43</v>
      </c>
      <c r="D5567" s="334" t="s">
        <v>207</v>
      </c>
      <c r="E5567" s="336">
        <v>43745</v>
      </c>
      <c r="F5567" s="336">
        <v>43739</v>
      </c>
      <c r="G5567" s="336">
        <v>43745</v>
      </c>
      <c r="H5567" s="334" t="s">
        <v>12844</v>
      </c>
      <c r="I5567" s="426">
        <v>13801944865</v>
      </c>
      <c r="J5567" s="334" t="s">
        <v>12845</v>
      </c>
      <c r="K5567" s="455">
        <v>14804</v>
      </c>
      <c r="L5567" s="334">
        <v>13948</v>
      </c>
      <c r="M5567" s="334">
        <v>597</v>
      </c>
      <c r="N5567" s="362">
        <f t="shared" si="186"/>
        <v>14545</v>
      </c>
      <c r="X5567" s="339"/>
    </row>
    <row r="5568" s="330" customFormat="1" ht="15" customHeight="1" spans="1:24">
      <c r="A5568" s="348"/>
      <c r="B5568" s="334" t="s">
        <v>137</v>
      </c>
      <c r="C5568" s="334" t="s">
        <v>411</v>
      </c>
      <c r="D5568" s="335" t="s">
        <v>427</v>
      </c>
      <c r="E5568" s="336">
        <v>43745</v>
      </c>
      <c r="F5568" s="336">
        <v>43739</v>
      </c>
      <c r="G5568" s="336">
        <v>43745</v>
      </c>
      <c r="H5568" s="334" t="s">
        <v>12846</v>
      </c>
      <c r="I5568" s="426">
        <v>18017101678</v>
      </c>
      <c r="J5568" s="334" t="s">
        <v>12847</v>
      </c>
      <c r="K5568" s="455">
        <v>17100</v>
      </c>
      <c r="L5568" s="334">
        <v>17100</v>
      </c>
      <c r="M5568" s="338"/>
      <c r="N5568" s="362">
        <f t="shared" si="186"/>
        <v>17100</v>
      </c>
      <c r="X5568" s="339"/>
    </row>
    <row r="5569" s="330" customFormat="1" ht="15" customHeight="1" spans="1:24">
      <c r="A5569" s="348"/>
      <c r="B5569" s="334" t="s">
        <v>137</v>
      </c>
      <c r="C5569" s="334" t="s">
        <v>411</v>
      </c>
      <c r="D5569" s="335" t="s">
        <v>427</v>
      </c>
      <c r="E5569" s="336">
        <v>43740</v>
      </c>
      <c r="F5569" s="336">
        <v>43739</v>
      </c>
      <c r="G5569" s="399"/>
      <c r="H5569" s="334" t="s">
        <v>2339</v>
      </c>
      <c r="I5569" s="426">
        <v>18916500659</v>
      </c>
      <c r="J5569" s="334" t="s">
        <v>12848</v>
      </c>
      <c r="K5569" s="455">
        <v>5400</v>
      </c>
      <c r="L5569" s="338"/>
      <c r="M5569" s="338"/>
      <c r="N5569" s="362">
        <f t="shared" si="186"/>
        <v>0</v>
      </c>
      <c r="U5569" s="393" t="s">
        <v>40</v>
      </c>
      <c r="X5569" s="339"/>
    </row>
    <row r="5570" s="330" customFormat="1" ht="15" customHeight="1" spans="1:24">
      <c r="A5570" s="550" t="s">
        <v>12849</v>
      </c>
      <c r="B5570" s="334" t="s">
        <v>123</v>
      </c>
      <c r="C5570" s="334" t="s">
        <v>902</v>
      </c>
      <c r="D5570" s="335" t="s">
        <v>125</v>
      </c>
      <c r="E5570" s="336">
        <v>43740</v>
      </c>
      <c r="F5570" s="336">
        <v>43739</v>
      </c>
      <c r="G5570" s="399"/>
      <c r="H5570" s="334" t="s">
        <v>12850</v>
      </c>
      <c r="I5570" s="426">
        <v>18516198253</v>
      </c>
      <c r="J5570" s="334" t="s">
        <v>12851</v>
      </c>
      <c r="K5570" s="455">
        <v>1000</v>
      </c>
      <c r="L5570" s="338"/>
      <c r="M5570" s="338"/>
      <c r="N5570" s="362">
        <f t="shared" si="186"/>
        <v>0</v>
      </c>
      <c r="Q5570" s="486" t="s">
        <v>52</v>
      </c>
      <c r="U5570" s="330" t="s">
        <v>12</v>
      </c>
      <c r="X5570" s="339"/>
    </row>
    <row r="5571" s="330" customFormat="1" ht="15" customHeight="1" spans="1:24">
      <c r="A5571" s="348"/>
      <c r="B5571" s="334" t="s">
        <v>137</v>
      </c>
      <c r="C5571" s="334" t="s">
        <v>480</v>
      </c>
      <c r="D5571" s="335" t="s">
        <v>139</v>
      </c>
      <c r="E5571" s="336">
        <v>43745</v>
      </c>
      <c r="F5571" s="336">
        <v>43739</v>
      </c>
      <c r="G5571" s="336">
        <v>43724</v>
      </c>
      <c r="H5571" s="334" t="s">
        <v>12852</v>
      </c>
      <c r="I5571" s="426">
        <v>13913529296</v>
      </c>
      <c r="J5571" s="334" t="s">
        <v>12853</v>
      </c>
      <c r="K5571" s="455">
        <v>15300</v>
      </c>
      <c r="L5571" s="334">
        <v>15300</v>
      </c>
      <c r="M5571" s="338"/>
      <c r="N5571" s="362">
        <f t="shared" si="186"/>
        <v>15300</v>
      </c>
      <c r="X5571" s="339"/>
    </row>
    <row r="5572" s="330" customFormat="1" ht="15" customHeight="1" spans="1:24">
      <c r="A5572" s="348"/>
      <c r="B5572" s="334" t="s">
        <v>66</v>
      </c>
      <c r="C5572" s="334" t="s">
        <v>951</v>
      </c>
      <c r="D5572" s="335" t="s">
        <v>1436</v>
      </c>
      <c r="E5572" s="336">
        <v>43750</v>
      </c>
      <c r="F5572" s="336">
        <v>43740</v>
      </c>
      <c r="G5572" s="336">
        <v>43749</v>
      </c>
      <c r="H5572" s="334" t="s">
        <v>12854</v>
      </c>
      <c r="I5572" s="426">
        <v>15380952817</v>
      </c>
      <c r="J5572" s="334" t="s">
        <v>12855</v>
      </c>
      <c r="K5572" s="455">
        <v>10000</v>
      </c>
      <c r="L5572" s="334">
        <v>11000</v>
      </c>
      <c r="M5572" s="338"/>
      <c r="N5572" s="362">
        <f t="shared" si="186"/>
        <v>11000</v>
      </c>
      <c r="X5572" s="339"/>
    </row>
    <row r="5573" s="330" customFormat="1" ht="15" customHeight="1" spans="1:24">
      <c r="A5573" s="550" t="s">
        <v>12856</v>
      </c>
      <c r="B5573" s="334" t="s">
        <v>73</v>
      </c>
      <c r="C5573" s="334" t="s">
        <v>74</v>
      </c>
      <c r="D5573" s="334" t="s">
        <v>132</v>
      </c>
      <c r="E5573" s="336">
        <v>43819</v>
      </c>
      <c r="F5573" s="336">
        <v>43740</v>
      </c>
      <c r="G5573" s="336">
        <v>43819</v>
      </c>
      <c r="H5573" s="334" t="s">
        <v>12857</v>
      </c>
      <c r="I5573" s="426">
        <v>18017272058</v>
      </c>
      <c r="J5573" s="334" t="s">
        <v>12858</v>
      </c>
      <c r="K5573" s="455">
        <v>1000</v>
      </c>
      <c r="L5573" s="334">
        <v>22803</v>
      </c>
      <c r="M5573" s="338"/>
      <c r="N5573" s="362">
        <f t="shared" si="186"/>
        <v>22803</v>
      </c>
      <c r="Q5573" s="366" t="s">
        <v>52</v>
      </c>
      <c r="X5573" s="339"/>
    </row>
    <row r="5574" s="330" customFormat="1" ht="15" customHeight="1" spans="1:24">
      <c r="A5574" s="348">
        <v>2067154</v>
      </c>
      <c r="B5574" s="334" t="s">
        <v>123</v>
      </c>
      <c r="C5574" s="334" t="s">
        <v>32</v>
      </c>
      <c r="D5574" s="335" t="s">
        <v>125</v>
      </c>
      <c r="E5574" s="336">
        <v>43744</v>
      </c>
      <c r="F5574" s="336">
        <v>43740</v>
      </c>
      <c r="G5574" s="336">
        <v>43743</v>
      </c>
      <c r="H5574" s="334" t="s">
        <v>12859</v>
      </c>
      <c r="I5574" s="426">
        <v>13817987076</v>
      </c>
      <c r="J5574" s="334" t="s">
        <v>12860</v>
      </c>
      <c r="K5574" s="455">
        <v>1000</v>
      </c>
      <c r="L5574" s="334">
        <v>24281</v>
      </c>
      <c r="M5574" s="338"/>
      <c r="N5574" s="362">
        <f t="shared" si="186"/>
        <v>24281</v>
      </c>
      <c r="X5574" s="339"/>
    </row>
    <row r="5575" s="330" customFormat="1" ht="15" customHeight="1" spans="1:24">
      <c r="A5575" s="550" t="s">
        <v>10959</v>
      </c>
      <c r="B5575" s="334" t="s">
        <v>185</v>
      </c>
      <c r="C5575" s="334" t="s">
        <v>1204</v>
      </c>
      <c r="D5575" s="335" t="s">
        <v>44</v>
      </c>
      <c r="E5575" s="336">
        <v>43740</v>
      </c>
      <c r="F5575" s="336">
        <v>43740</v>
      </c>
      <c r="G5575" s="399"/>
      <c r="H5575" s="334" t="s">
        <v>10969</v>
      </c>
      <c r="I5575" s="426">
        <v>13816555835</v>
      </c>
      <c r="J5575" s="334" t="s">
        <v>12861</v>
      </c>
      <c r="K5575" s="455">
        <v>1000</v>
      </c>
      <c r="L5575" s="338"/>
      <c r="M5575" s="338"/>
      <c r="N5575" s="362">
        <f t="shared" si="186"/>
        <v>0</v>
      </c>
      <c r="Q5575" s="356" t="s">
        <v>52</v>
      </c>
      <c r="X5575" s="339"/>
    </row>
    <row r="5576" s="330" customFormat="1" ht="15" customHeight="1" spans="1:24">
      <c r="A5576" s="550" t="s">
        <v>10966</v>
      </c>
      <c r="B5576" s="334" t="s">
        <v>185</v>
      </c>
      <c r="C5576" s="334" t="s">
        <v>1204</v>
      </c>
      <c r="D5576" s="334" t="s">
        <v>44</v>
      </c>
      <c r="E5576" s="399">
        <v>43741</v>
      </c>
      <c r="F5576" s="336">
        <v>43740</v>
      </c>
      <c r="G5576" s="399">
        <v>43741</v>
      </c>
      <c r="H5576" s="334" t="s">
        <v>12862</v>
      </c>
      <c r="I5576" s="426">
        <v>18121020587</v>
      </c>
      <c r="J5576" s="334" t="s">
        <v>12863</v>
      </c>
      <c r="K5576" s="455">
        <v>999</v>
      </c>
      <c r="L5576" s="334">
        <v>1524</v>
      </c>
      <c r="M5576" s="338"/>
      <c r="N5576" s="362">
        <f t="shared" si="186"/>
        <v>1524</v>
      </c>
      <c r="X5576" s="339"/>
    </row>
    <row r="5577" s="330" customFormat="1" ht="15" customHeight="1" spans="1:24">
      <c r="A5577" s="348"/>
      <c r="B5577" s="334" t="s">
        <v>66</v>
      </c>
      <c r="C5577" s="334" t="s">
        <v>951</v>
      </c>
      <c r="D5577" s="335" t="s">
        <v>68</v>
      </c>
      <c r="E5577" s="336">
        <v>43740</v>
      </c>
      <c r="F5577" s="336">
        <v>43723</v>
      </c>
      <c r="G5577" s="399"/>
      <c r="H5577" s="334" t="s">
        <v>9314</v>
      </c>
      <c r="I5577" s="426">
        <v>13386080302</v>
      </c>
      <c r="J5577" s="334" t="s">
        <v>12864</v>
      </c>
      <c r="K5577" s="455">
        <v>10000</v>
      </c>
      <c r="L5577" s="338"/>
      <c r="M5577" s="338"/>
      <c r="N5577" s="362">
        <f t="shared" si="186"/>
        <v>0</v>
      </c>
      <c r="X5577" s="339"/>
    </row>
    <row r="5578" s="330" customFormat="1" ht="15" customHeight="1" spans="1:24">
      <c r="A5578" s="550" t="s">
        <v>12865</v>
      </c>
      <c r="B5578" s="334" t="s">
        <v>35</v>
      </c>
      <c r="C5578" s="334" t="s">
        <v>392</v>
      </c>
      <c r="D5578" s="335" t="s">
        <v>37</v>
      </c>
      <c r="E5578" s="336">
        <v>43768</v>
      </c>
      <c r="F5578" s="336">
        <v>43740</v>
      </c>
      <c r="G5578" s="336">
        <v>43768</v>
      </c>
      <c r="H5578" s="334" t="s">
        <v>12866</v>
      </c>
      <c r="I5578" s="426">
        <v>13816831609</v>
      </c>
      <c r="J5578" s="334" t="s">
        <v>12867</v>
      </c>
      <c r="K5578" s="455">
        <v>5000</v>
      </c>
      <c r="L5578" s="334">
        <f>15000-1290</f>
        <v>13710</v>
      </c>
      <c r="M5578" s="334">
        <v>1290</v>
      </c>
      <c r="N5578" s="362">
        <f t="shared" si="186"/>
        <v>15000</v>
      </c>
      <c r="X5578" s="339"/>
    </row>
    <row r="5579" s="330" customFormat="1" ht="15" customHeight="1" spans="1:24">
      <c r="A5579" s="550" t="s">
        <v>12868</v>
      </c>
      <c r="B5579" s="334" t="s">
        <v>31</v>
      </c>
      <c r="C5579" s="334" t="s">
        <v>220</v>
      </c>
      <c r="D5579" s="335" t="s">
        <v>221</v>
      </c>
      <c r="E5579" s="336">
        <v>43744</v>
      </c>
      <c r="F5579" s="336">
        <v>43740</v>
      </c>
      <c r="G5579" s="336">
        <v>43743</v>
      </c>
      <c r="H5579" s="334" t="s">
        <v>12869</v>
      </c>
      <c r="I5579" s="426">
        <v>15618327072</v>
      </c>
      <c r="J5579" s="334" t="s">
        <v>12870</v>
      </c>
      <c r="K5579" s="455">
        <v>5000</v>
      </c>
      <c r="L5579" s="334">
        <v>6155</v>
      </c>
      <c r="M5579" s="338"/>
      <c r="N5579" s="362">
        <f t="shared" si="186"/>
        <v>6155</v>
      </c>
      <c r="X5579" s="339"/>
    </row>
    <row r="5580" s="330" customFormat="1" ht="15" customHeight="1" spans="1:24">
      <c r="A5580" s="348">
        <v>6078676</v>
      </c>
      <c r="B5580" s="334" t="s">
        <v>405</v>
      </c>
      <c r="C5580" s="334" t="s">
        <v>823</v>
      </c>
      <c r="D5580" s="335" t="s">
        <v>407</v>
      </c>
      <c r="E5580" s="336">
        <v>43767</v>
      </c>
      <c r="F5580" s="336">
        <v>43740</v>
      </c>
      <c r="G5580" s="336">
        <v>43765</v>
      </c>
      <c r="H5580" s="334" t="s">
        <v>12871</v>
      </c>
      <c r="I5580" s="426">
        <v>13764880835</v>
      </c>
      <c r="J5580" s="334" t="s">
        <v>12872</v>
      </c>
      <c r="K5580" s="455">
        <v>3000</v>
      </c>
      <c r="L5580" s="334">
        <v>14001</v>
      </c>
      <c r="M5580" s="338"/>
      <c r="N5580" s="362">
        <f t="shared" si="186"/>
        <v>14001</v>
      </c>
      <c r="X5580" s="339"/>
    </row>
    <row r="5581" s="330" customFormat="1" ht="15" customHeight="1" spans="1:24">
      <c r="A5581" s="550" t="s">
        <v>12873</v>
      </c>
      <c r="B5581" s="334" t="s">
        <v>31</v>
      </c>
      <c r="C5581" s="334" t="s">
        <v>220</v>
      </c>
      <c r="D5581" s="334" t="s">
        <v>954</v>
      </c>
      <c r="E5581" s="336">
        <v>43769</v>
      </c>
      <c r="F5581" s="336">
        <v>43740</v>
      </c>
      <c r="G5581" s="336">
        <v>43769</v>
      </c>
      <c r="H5581" s="334" t="s">
        <v>12874</v>
      </c>
      <c r="I5581" s="426">
        <v>18016038027</v>
      </c>
      <c r="J5581" s="334" t="s">
        <v>12875</v>
      </c>
      <c r="K5581" s="455">
        <v>500</v>
      </c>
      <c r="L5581" s="334">
        <v>4358</v>
      </c>
      <c r="M5581" s="338"/>
      <c r="N5581" s="362">
        <f t="shared" si="186"/>
        <v>4358</v>
      </c>
      <c r="X5581" s="339"/>
    </row>
    <row r="5582" s="330" customFormat="1" ht="15" customHeight="1" spans="1:24">
      <c r="A5582" s="550" t="s">
        <v>12876</v>
      </c>
      <c r="B5582" s="334" t="s">
        <v>31</v>
      </c>
      <c r="C5582" s="334" t="s">
        <v>220</v>
      </c>
      <c r="D5582" s="335" t="s">
        <v>221</v>
      </c>
      <c r="E5582" s="336">
        <v>43740</v>
      </c>
      <c r="F5582" s="336">
        <v>43740</v>
      </c>
      <c r="G5582" s="373" t="s">
        <v>1140</v>
      </c>
      <c r="H5582" s="334" t="s">
        <v>12877</v>
      </c>
      <c r="I5582" s="426">
        <v>18507777355</v>
      </c>
      <c r="J5582" s="334" t="s">
        <v>12878</v>
      </c>
      <c r="K5582" s="455">
        <v>500</v>
      </c>
      <c r="L5582" s="338"/>
      <c r="M5582" s="338"/>
      <c r="N5582" s="362">
        <f t="shared" si="186"/>
        <v>0</v>
      </c>
      <c r="R5582" s="385"/>
      <c r="X5582" s="339"/>
    </row>
    <row r="5583" s="330" customFormat="1" ht="15" customHeight="1" spans="1:24">
      <c r="A5583" s="550" t="s">
        <v>12879</v>
      </c>
      <c r="B5583" s="334" t="s">
        <v>58</v>
      </c>
      <c r="C5583" s="334" t="s">
        <v>342</v>
      </c>
      <c r="D5583" s="335" t="s">
        <v>343</v>
      </c>
      <c r="E5583" s="336">
        <v>43745</v>
      </c>
      <c r="F5583" s="336">
        <v>43739</v>
      </c>
      <c r="G5583" s="336">
        <v>43745</v>
      </c>
      <c r="H5583" s="334" t="s">
        <v>12880</v>
      </c>
      <c r="I5583" s="426">
        <v>15374266669</v>
      </c>
      <c r="J5583" s="334" t="s">
        <v>12881</v>
      </c>
      <c r="K5583" s="455">
        <v>10000</v>
      </c>
      <c r="L5583" s="334">
        <v>10000</v>
      </c>
      <c r="M5583" s="338"/>
      <c r="N5583" s="362">
        <f t="shared" si="186"/>
        <v>10000</v>
      </c>
      <c r="X5583" s="339"/>
    </row>
    <row r="5584" s="330" customFormat="1" ht="15" customHeight="1" spans="1:24">
      <c r="A5584" s="348">
        <v>2023315</v>
      </c>
      <c r="B5584" s="334" t="s">
        <v>243</v>
      </c>
      <c r="C5584" s="334" t="s">
        <v>309</v>
      </c>
      <c r="D5584" s="335" t="s">
        <v>49</v>
      </c>
      <c r="E5584" s="336">
        <v>43740</v>
      </c>
      <c r="F5584" s="336">
        <v>43740</v>
      </c>
      <c r="G5584" s="399"/>
      <c r="H5584" s="334" t="s">
        <v>12882</v>
      </c>
      <c r="I5584" s="426">
        <v>15800861102</v>
      </c>
      <c r="J5584" s="334" t="s">
        <v>12883</v>
      </c>
      <c r="K5584" s="455">
        <v>1000</v>
      </c>
      <c r="L5584" s="338"/>
      <c r="M5584" s="338"/>
      <c r="N5584" s="362">
        <f t="shared" si="186"/>
        <v>0</v>
      </c>
      <c r="R5584" s="356" t="s">
        <v>52</v>
      </c>
      <c r="X5584" s="339"/>
    </row>
    <row r="5585" s="330" customFormat="1" ht="15" customHeight="1" spans="1:24">
      <c r="A5585" s="550" t="s">
        <v>12884</v>
      </c>
      <c r="B5585" s="334" t="s">
        <v>805</v>
      </c>
      <c r="C5585" s="334" t="s">
        <v>4935</v>
      </c>
      <c r="D5585" s="335" t="s">
        <v>635</v>
      </c>
      <c r="E5585" s="336">
        <v>43740</v>
      </c>
      <c r="F5585" s="336">
        <v>43740</v>
      </c>
      <c r="G5585" s="399"/>
      <c r="H5585" s="334" t="s">
        <v>12885</v>
      </c>
      <c r="I5585" s="426">
        <v>18652992018</v>
      </c>
      <c r="J5585" s="334" t="s">
        <v>12886</v>
      </c>
      <c r="K5585" s="455">
        <v>1000</v>
      </c>
      <c r="L5585" s="338"/>
      <c r="M5585" s="338"/>
      <c r="N5585" s="362">
        <f t="shared" ref="N5585:N5648" si="187">L5585+M5585</f>
        <v>0</v>
      </c>
      <c r="R5585" s="430" t="s">
        <v>52</v>
      </c>
      <c r="X5585" s="339"/>
    </row>
    <row r="5586" s="330" customFormat="1" ht="15" customHeight="1" spans="1:24">
      <c r="A5586" s="348">
        <v>2019327</v>
      </c>
      <c r="B5586" s="334" t="s">
        <v>42</v>
      </c>
      <c r="C5586" s="334" t="s">
        <v>43</v>
      </c>
      <c r="D5586" s="335" t="s">
        <v>44</v>
      </c>
      <c r="E5586" s="336">
        <v>43740</v>
      </c>
      <c r="F5586" s="336">
        <v>43740</v>
      </c>
      <c r="G5586" s="399"/>
      <c r="H5586" s="334" t="s">
        <v>401</v>
      </c>
      <c r="I5586" s="426">
        <v>18616382286</v>
      </c>
      <c r="J5586" s="334" t="s">
        <v>12887</v>
      </c>
      <c r="K5586" s="455">
        <v>5000</v>
      </c>
      <c r="L5586" s="338"/>
      <c r="M5586" s="338"/>
      <c r="N5586" s="362">
        <f t="shared" si="187"/>
        <v>0</v>
      </c>
      <c r="U5586" s="489">
        <v>43728</v>
      </c>
      <c r="X5586" s="339"/>
    </row>
    <row r="5587" s="330" customFormat="1" ht="15" customHeight="1" spans="1:24">
      <c r="A5587" s="348">
        <v>2019326</v>
      </c>
      <c r="B5587" s="334" t="s">
        <v>42</v>
      </c>
      <c r="C5587" s="334" t="s">
        <v>43</v>
      </c>
      <c r="D5587" s="334" t="s">
        <v>207</v>
      </c>
      <c r="E5587" s="336">
        <v>43745</v>
      </c>
      <c r="F5587" s="336">
        <v>43740</v>
      </c>
      <c r="G5587" s="336">
        <v>43745</v>
      </c>
      <c r="H5587" s="334" t="s">
        <v>12888</v>
      </c>
      <c r="I5587" s="426">
        <v>13661735103</v>
      </c>
      <c r="J5587" s="334" t="s">
        <v>12889</v>
      </c>
      <c r="K5587" s="455">
        <v>9629</v>
      </c>
      <c r="L5587" s="334">
        <v>9623</v>
      </c>
      <c r="M5587" s="338"/>
      <c r="N5587" s="362">
        <f t="shared" si="187"/>
        <v>9623</v>
      </c>
      <c r="X5587" s="339"/>
    </row>
    <row r="5588" s="330" customFormat="1" ht="15" customHeight="1" spans="1:24">
      <c r="A5588" s="348">
        <v>2022540</v>
      </c>
      <c r="B5588" s="334" t="s">
        <v>73</v>
      </c>
      <c r="C5588" s="334" t="s">
        <v>178</v>
      </c>
      <c r="D5588" s="334" t="s">
        <v>75</v>
      </c>
      <c r="E5588" s="336">
        <v>43795</v>
      </c>
      <c r="F5588" s="336">
        <v>43740</v>
      </c>
      <c r="G5588" s="336">
        <v>43795</v>
      </c>
      <c r="H5588" s="334" t="s">
        <v>3267</v>
      </c>
      <c r="I5588" s="426">
        <v>13701817552</v>
      </c>
      <c r="J5588" s="334" t="s">
        <v>12890</v>
      </c>
      <c r="K5588" s="455">
        <v>1000</v>
      </c>
      <c r="L5588" s="334">
        <v>36081</v>
      </c>
      <c r="M5588" s="338"/>
      <c r="N5588" s="362">
        <f t="shared" si="187"/>
        <v>36081</v>
      </c>
      <c r="Q5588" s="366" t="s">
        <v>52</v>
      </c>
      <c r="X5588" s="339"/>
    </row>
    <row r="5589" s="330" customFormat="1" ht="15" customHeight="1" spans="1:24">
      <c r="A5589" s="550" t="s">
        <v>12891</v>
      </c>
      <c r="B5589" s="334" t="s">
        <v>31</v>
      </c>
      <c r="C5589" s="334" t="s">
        <v>3186</v>
      </c>
      <c r="D5589" s="334" t="s">
        <v>33</v>
      </c>
      <c r="E5589" s="336">
        <v>43837</v>
      </c>
      <c r="F5589" s="336">
        <v>43740</v>
      </c>
      <c r="G5589" s="336">
        <v>43831</v>
      </c>
      <c r="H5589" s="334" t="s">
        <v>12892</v>
      </c>
      <c r="I5589" s="426">
        <v>13761911467</v>
      </c>
      <c r="J5589" s="334" t="s">
        <v>12893</v>
      </c>
      <c r="K5589" s="455">
        <v>1000</v>
      </c>
      <c r="L5589" s="334">
        <v>28954</v>
      </c>
      <c r="M5589" s="338"/>
      <c r="N5589" s="362">
        <f t="shared" si="187"/>
        <v>28954</v>
      </c>
      <c r="R5589" s="385" t="s">
        <v>52</v>
      </c>
      <c r="X5589" s="339"/>
    </row>
    <row r="5590" s="330" customFormat="1" ht="15" customHeight="1" spans="1:24">
      <c r="A5590" s="550" t="s">
        <v>12894</v>
      </c>
      <c r="B5590" s="334" t="s">
        <v>31</v>
      </c>
      <c r="C5590" s="334" t="s">
        <v>3186</v>
      </c>
      <c r="D5590" s="335" t="s">
        <v>221</v>
      </c>
      <c r="E5590" s="336">
        <v>43741</v>
      </c>
      <c r="F5590" s="336">
        <v>43741</v>
      </c>
      <c r="G5590" s="399"/>
      <c r="H5590" s="334" t="s">
        <v>12895</v>
      </c>
      <c r="I5590" s="426">
        <v>13564390286</v>
      </c>
      <c r="J5590" s="334" t="s">
        <v>12896</v>
      </c>
      <c r="K5590" s="455">
        <v>1000</v>
      </c>
      <c r="L5590" s="338"/>
      <c r="M5590" s="338"/>
      <c r="N5590" s="362">
        <f t="shared" si="187"/>
        <v>0</v>
      </c>
      <c r="U5590" s="330" t="s">
        <v>12</v>
      </c>
      <c r="X5590" s="339"/>
    </row>
    <row r="5591" s="330" customFormat="1" ht="15" customHeight="1" spans="1:24">
      <c r="A5591" s="550" t="s">
        <v>12897</v>
      </c>
      <c r="B5591" s="334" t="s">
        <v>87</v>
      </c>
      <c r="C5591" s="334" t="s">
        <v>466</v>
      </c>
      <c r="D5591" s="335" t="s">
        <v>89</v>
      </c>
      <c r="E5591" s="336">
        <v>43741</v>
      </c>
      <c r="F5591" s="336">
        <v>43740</v>
      </c>
      <c r="G5591" s="399"/>
      <c r="H5591" s="334" t="s">
        <v>12898</v>
      </c>
      <c r="I5591" s="426">
        <v>15821970051</v>
      </c>
      <c r="J5591" s="334" t="s">
        <v>12899</v>
      </c>
      <c r="K5591" s="455">
        <v>1000</v>
      </c>
      <c r="L5591" s="338"/>
      <c r="M5591" s="338"/>
      <c r="N5591" s="362">
        <f t="shared" si="187"/>
        <v>0</v>
      </c>
      <c r="O5591" s="411" t="s">
        <v>52</v>
      </c>
      <c r="U5591" s="415" t="s">
        <v>40</v>
      </c>
      <c r="X5591" s="339"/>
    </row>
    <row r="5592" s="330" customFormat="1" ht="15" customHeight="1" spans="1:24">
      <c r="A5592" s="550" t="s">
        <v>12732</v>
      </c>
      <c r="B5592" s="334" t="s">
        <v>31</v>
      </c>
      <c r="C5592" s="334" t="s">
        <v>3186</v>
      </c>
      <c r="D5592" s="335" t="s">
        <v>221</v>
      </c>
      <c r="E5592" s="336">
        <v>43741</v>
      </c>
      <c r="F5592" s="336">
        <v>43740</v>
      </c>
      <c r="G5592" s="399"/>
      <c r="H5592" s="334" t="s">
        <v>12900</v>
      </c>
      <c r="I5592" s="426">
        <v>13916818016</v>
      </c>
      <c r="J5592" s="334" t="s">
        <v>12901</v>
      </c>
      <c r="K5592" s="455">
        <v>1000</v>
      </c>
      <c r="L5592" s="338"/>
      <c r="M5592" s="338"/>
      <c r="N5592" s="362">
        <f t="shared" si="187"/>
        <v>0</v>
      </c>
      <c r="U5592" s="330" t="s">
        <v>12</v>
      </c>
      <c r="X5592" s="339"/>
    </row>
    <row r="5593" s="330" customFormat="1" ht="15" customHeight="1" spans="1:24">
      <c r="A5593" s="550" t="s">
        <v>3011</v>
      </c>
      <c r="B5593" s="334" t="s">
        <v>31</v>
      </c>
      <c r="C5593" s="334" t="s">
        <v>3186</v>
      </c>
      <c r="D5593" s="335" t="s">
        <v>221</v>
      </c>
      <c r="E5593" s="336">
        <v>43741</v>
      </c>
      <c r="F5593" s="336">
        <v>43740</v>
      </c>
      <c r="G5593" s="399"/>
      <c r="H5593" s="334" t="s">
        <v>12902</v>
      </c>
      <c r="I5593" s="426">
        <v>18964765705</v>
      </c>
      <c r="J5593" s="334" t="s">
        <v>12903</v>
      </c>
      <c r="K5593" s="455">
        <v>1000</v>
      </c>
      <c r="L5593" s="338"/>
      <c r="M5593" s="338"/>
      <c r="N5593" s="362">
        <f t="shared" si="187"/>
        <v>0</v>
      </c>
      <c r="O5593" s="467" t="s">
        <v>52</v>
      </c>
      <c r="X5593" s="339"/>
    </row>
    <row r="5594" s="330" customFormat="1" ht="15" customHeight="1" spans="1:24">
      <c r="A5594" s="550" t="s">
        <v>675</v>
      </c>
      <c r="B5594" s="334" t="s">
        <v>31</v>
      </c>
      <c r="C5594" s="334" t="s">
        <v>3186</v>
      </c>
      <c r="D5594" s="335" t="s">
        <v>221</v>
      </c>
      <c r="E5594" s="336">
        <v>43741</v>
      </c>
      <c r="F5594" s="336">
        <v>43740</v>
      </c>
      <c r="G5594" s="339" t="s">
        <v>1140</v>
      </c>
      <c r="H5594" s="334" t="s">
        <v>12904</v>
      </c>
      <c r="I5594" s="426">
        <v>15800925640</v>
      </c>
      <c r="J5594" s="334" t="s">
        <v>12905</v>
      </c>
      <c r="K5594" s="455">
        <v>1000</v>
      </c>
      <c r="L5594" s="338"/>
      <c r="M5594" s="338"/>
      <c r="N5594" s="362">
        <f t="shared" si="187"/>
        <v>0</v>
      </c>
      <c r="X5594" s="339"/>
    </row>
    <row r="5595" s="330" customFormat="1" ht="15" customHeight="1" spans="1:24">
      <c r="A5595" s="550" t="s">
        <v>2992</v>
      </c>
      <c r="B5595" s="334" t="s">
        <v>87</v>
      </c>
      <c r="C5595" s="334" t="s">
        <v>466</v>
      </c>
      <c r="D5595" s="335" t="s">
        <v>89</v>
      </c>
      <c r="E5595" s="336">
        <v>43745</v>
      </c>
      <c r="F5595" s="336">
        <v>43740</v>
      </c>
      <c r="G5595" s="336">
        <v>43745</v>
      </c>
      <c r="H5595" s="334" t="s">
        <v>12906</v>
      </c>
      <c r="I5595" s="356">
        <v>13761318218</v>
      </c>
      <c r="J5595" s="334" t="s">
        <v>12907</v>
      </c>
      <c r="K5595" s="455">
        <v>10000</v>
      </c>
      <c r="L5595" s="334">
        <v>10000</v>
      </c>
      <c r="M5595" s="338"/>
      <c r="N5595" s="362">
        <f t="shared" si="187"/>
        <v>10000</v>
      </c>
      <c r="X5595" s="339"/>
    </row>
    <row r="5596" s="330" customFormat="1" ht="15" customHeight="1" spans="1:24">
      <c r="A5596" s="550" t="s">
        <v>100</v>
      </c>
      <c r="B5596" s="334" t="s">
        <v>87</v>
      </c>
      <c r="C5596" s="334" t="s">
        <v>466</v>
      </c>
      <c r="D5596" s="335" t="s">
        <v>89</v>
      </c>
      <c r="E5596" s="336">
        <v>43745</v>
      </c>
      <c r="F5596" s="336">
        <v>43740</v>
      </c>
      <c r="G5596" s="336">
        <v>43745</v>
      </c>
      <c r="H5596" s="334" t="s">
        <v>12908</v>
      </c>
      <c r="I5596" s="426">
        <v>13661791403</v>
      </c>
      <c r="J5596" s="334" t="s">
        <v>12909</v>
      </c>
      <c r="K5596" s="455">
        <v>1000</v>
      </c>
      <c r="L5596" s="334">
        <v>26000</v>
      </c>
      <c r="M5596" s="338"/>
      <c r="N5596" s="362">
        <f t="shared" si="187"/>
        <v>26000</v>
      </c>
      <c r="X5596" s="339"/>
    </row>
    <row r="5597" s="330" customFormat="1" ht="15" customHeight="1" spans="1:24">
      <c r="A5597" s="550" t="s">
        <v>12910</v>
      </c>
      <c r="B5597" s="334" t="s">
        <v>87</v>
      </c>
      <c r="C5597" s="334" t="s">
        <v>466</v>
      </c>
      <c r="D5597" s="335" t="s">
        <v>89</v>
      </c>
      <c r="E5597" s="336">
        <v>43741</v>
      </c>
      <c r="F5597" s="336">
        <v>43740</v>
      </c>
      <c r="G5597" s="399"/>
      <c r="H5597" s="334" t="s">
        <v>12911</v>
      </c>
      <c r="I5597" s="426">
        <v>18801758303</v>
      </c>
      <c r="J5597" s="334" t="s">
        <v>12912</v>
      </c>
      <c r="K5597" s="455">
        <v>500</v>
      </c>
      <c r="L5597" s="338"/>
      <c r="M5597" s="338"/>
      <c r="N5597" s="362">
        <f t="shared" si="187"/>
        <v>0</v>
      </c>
      <c r="U5597" s="330" t="s">
        <v>12</v>
      </c>
      <c r="X5597" s="339"/>
    </row>
    <row r="5598" s="330" customFormat="1" ht="15" customHeight="1" spans="1:24">
      <c r="A5598" s="550" t="s">
        <v>12913</v>
      </c>
      <c r="B5598" s="334" t="s">
        <v>726</v>
      </c>
      <c r="C5598" s="334" t="s">
        <v>727</v>
      </c>
      <c r="D5598" s="334" t="s">
        <v>271</v>
      </c>
      <c r="E5598" s="336">
        <v>43787</v>
      </c>
      <c r="F5598" s="336">
        <v>43739</v>
      </c>
      <c r="G5598" s="336">
        <v>43786</v>
      </c>
      <c r="H5598" s="334" t="s">
        <v>12914</v>
      </c>
      <c r="I5598" s="426">
        <v>13764286640</v>
      </c>
      <c r="J5598" s="334" t="s">
        <v>12915</v>
      </c>
      <c r="K5598" s="455">
        <v>1000</v>
      </c>
      <c r="L5598" s="334">
        <v>26500</v>
      </c>
      <c r="M5598" s="338"/>
      <c r="N5598" s="362">
        <f t="shared" si="187"/>
        <v>26500</v>
      </c>
      <c r="X5598" s="339"/>
    </row>
    <row r="5599" s="330" customFormat="1" ht="15" customHeight="1" spans="1:24">
      <c r="A5599" s="550" t="s">
        <v>12916</v>
      </c>
      <c r="B5599" s="334" t="s">
        <v>66</v>
      </c>
      <c r="C5599" s="334" t="s">
        <v>951</v>
      </c>
      <c r="D5599" s="334" t="s">
        <v>2302</v>
      </c>
      <c r="E5599" s="336">
        <v>43745</v>
      </c>
      <c r="F5599" s="336">
        <v>43741</v>
      </c>
      <c r="G5599" s="336">
        <v>43745</v>
      </c>
      <c r="H5599" s="334" t="s">
        <v>12917</v>
      </c>
      <c r="I5599" s="426">
        <v>18019789611</v>
      </c>
      <c r="J5599" s="334" t="s">
        <v>12918</v>
      </c>
      <c r="K5599" s="455">
        <v>20000</v>
      </c>
      <c r="L5599" s="334">
        <v>30000</v>
      </c>
      <c r="M5599" s="338"/>
      <c r="N5599" s="362">
        <f t="shared" si="187"/>
        <v>30000</v>
      </c>
      <c r="X5599" s="339"/>
    </row>
    <row r="5600" s="330" customFormat="1" ht="15" customHeight="1" spans="1:24">
      <c r="A5600" s="348"/>
      <c r="B5600" s="334" t="s">
        <v>137</v>
      </c>
      <c r="C5600" s="334" t="s">
        <v>480</v>
      </c>
      <c r="D5600" s="334" t="s">
        <v>443</v>
      </c>
      <c r="E5600" s="336">
        <v>43791</v>
      </c>
      <c r="F5600" s="336">
        <v>43740</v>
      </c>
      <c r="G5600" s="336">
        <v>43763</v>
      </c>
      <c r="H5600" s="334" t="s">
        <v>12919</v>
      </c>
      <c r="I5600" s="426">
        <v>13311692006</v>
      </c>
      <c r="J5600" s="334" t="s">
        <v>12920</v>
      </c>
      <c r="K5600" s="455">
        <v>1000</v>
      </c>
      <c r="L5600" s="334">
        <v>6014</v>
      </c>
      <c r="M5600" s="334">
        <v>12527</v>
      </c>
      <c r="N5600" s="362">
        <f t="shared" si="187"/>
        <v>18541</v>
      </c>
      <c r="R5600" s="330">
        <v>1</v>
      </c>
      <c r="X5600" s="339"/>
    </row>
    <row r="5601" s="330" customFormat="1" ht="15" customHeight="1" spans="1:24">
      <c r="A5601" s="550" t="s">
        <v>12921</v>
      </c>
      <c r="B5601" s="334" t="s">
        <v>354</v>
      </c>
      <c r="C5601" s="334" t="s">
        <v>355</v>
      </c>
      <c r="D5601" s="334" t="s">
        <v>237</v>
      </c>
      <c r="E5601" s="336">
        <v>43787</v>
      </c>
      <c r="F5601" s="336">
        <v>43740</v>
      </c>
      <c r="G5601" s="336">
        <v>43785</v>
      </c>
      <c r="H5601" s="334" t="s">
        <v>12922</v>
      </c>
      <c r="I5601" s="426">
        <v>13381692520</v>
      </c>
      <c r="J5601" s="334" t="s">
        <v>12923</v>
      </c>
      <c r="K5601" s="455">
        <v>1000</v>
      </c>
      <c r="L5601" s="334">
        <v>11275</v>
      </c>
      <c r="M5601" s="338"/>
      <c r="N5601" s="362">
        <f t="shared" si="187"/>
        <v>11275</v>
      </c>
      <c r="X5601" s="339"/>
    </row>
    <row r="5602" s="330" customFormat="1" ht="15" customHeight="1" spans="1:24">
      <c r="A5602" s="348"/>
      <c r="B5602" s="334" t="s">
        <v>87</v>
      </c>
      <c r="C5602" s="334" t="s">
        <v>1757</v>
      </c>
      <c r="D5602" s="335" t="s">
        <v>89</v>
      </c>
      <c r="E5602" s="336">
        <v>43769</v>
      </c>
      <c r="F5602" s="336">
        <v>43740</v>
      </c>
      <c r="G5602" s="336">
        <v>43769</v>
      </c>
      <c r="H5602" s="334" t="s">
        <v>12924</v>
      </c>
      <c r="I5602" s="426">
        <v>18019236386</v>
      </c>
      <c r="J5602" s="334" t="s">
        <v>12925</v>
      </c>
      <c r="K5602" s="455">
        <v>3000</v>
      </c>
      <c r="L5602" s="334">
        <v>7189</v>
      </c>
      <c r="M5602" s="338"/>
      <c r="N5602" s="362">
        <f t="shared" si="187"/>
        <v>7189</v>
      </c>
      <c r="X5602" s="339"/>
    </row>
    <row r="5603" s="330" customFormat="1" ht="15" customHeight="1" spans="1:24">
      <c r="A5603" s="550" t="s">
        <v>3023</v>
      </c>
      <c r="B5603" s="334" t="s">
        <v>87</v>
      </c>
      <c r="C5603" s="334" t="s">
        <v>1757</v>
      </c>
      <c r="D5603" s="335" t="s">
        <v>89</v>
      </c>
      <c r="E5603" s="336">
        <v>43782</v>
      </c>
      <c r="F5603" s="336">
        <v>43740</v>
      </c>
      <c r="G5603" s="336">
        <v>43780</v>
      </c>
      <c r="H5603" s="334" t="s">
        <v>12926</v>
      </c>
      <c r="I5603" s="426">
        <v>13564411382</v>
      </c>
      <c r="J5603" s="334" t="s">
        <v>12927</v>
      </c>
      <c r="K5603" s="455">
        <v>1000</v>
      </c>
      <c r="L5603" s="334">
        <v>23599</v>
      </c>
      <c r="M5603" s="338"/>
      <c r="N5603" s="362">
        <f t="shared" si="187"/>
        <v>23599</v>
      </c>
      <c r="X5603" s="339"/>
    </row>
    <row r="5604" s="330" customFormat="1" ht="15" customHeight="1" spans="1:24">
      <c r="A5604" s="550" t="s">
        <v>12928</v>
      </c>
      <c r="B5604" s="334" t="s">
        <v>335</v>
      </c>
      <c r="C5604" s="334" t="s">
        <v>615</v>
      </c>
      <c r="D5604" s="335" t="s">
        <v>337</v>
      </c>
      <c r="E5604" s="336">
        <v>43755</v>
      </c>
      <c r="F5604" s="336">
        <v>43740</v>
      </c>
      <c r="G5604" s="336">
        <v>43755</v>
      </c>
      <c r="H5604" s="334" t="s">
        <v>12929</v>
      </c>
      <c r="I5604" s="426">
        <v>13816047073</v>
      </c>
      <c r="J5604" s="334" t="s">
        <v>12930</v>
      </c>
      <c r="K5604" s="455">
        <v>1000</v>
      </c>
      <c r="L5604" s="334">
        <v>3999</v>
      </c>
      <c r="M5604" s="338"/>
      <c r="N5604" s="362">
        <f t="shared" si="187"/>
        <v>3999</v>
      </c>
      <c r="X5604" s="339"/>
    </row>
    <row r="5605" s="330" customFormat="1" ht="15" customHeight="1" spans="1:24">
      <c r="A5605" s="550" t="s">
        <v>12931</v>
      </c>
      <c r="B5605" s="334" t="s">
        <v>31</v>
      </c>
      <c r="C5605" s="334" t="s">
        <v>220</v>
      </c>
      <c r="D5605" s="334" t="s">
        <v>954</v>
      </c>
      <c r="E5605" s="336">
        <v>43745</v>
      </c>
      <c r="F5605" s="336">
        <v>43740</v>
      </c>
      <c r="G5605" s="336">
        <v>43745</v>
      </c>
      <c r="H5605" s="334" t="s">
        <v>12932</v>
      </c>
      <c r="I5605" s="426">
        <v>13585730129</v>
      </c>
      <c r="J5605" s="334" t="s">
        <v>12933</v>
      </c>
      <c r="K5605" s="455">
        <v>10000</v>
      </c>
      <c r="L5605" s="334">
        <v>10000</v>
      </c>
      <c r="M5605" s="338"/>
      <c r="N5605" s="362">
        <f t="shared" si="187"/>
        <v>10000</v>
      </c>
      <c r="X5605" s="339"/>
    </row>
    <row r="5606" s="330" customFormat="1" ht="15" customHeight="1" spans="1:24">
      <c r="A5606" s="348"/>
      <c r="B5606" s="334" t="s">
        <v>169</v>
      </c>
      <c r="C5606" s="334" t="s">
        <v>12053</v>
      </c>
      <c r="D5606" s="334" t="s">
        <v>171</v>
      </c>
      <c r="E5606" s="336">
        <v>43745</v>
      </c>
      <c r="F5606" s="336">
        <v>43740</v>
      </c>
      <c r="G5606" s="336">
        <v>43745</v>
      </c>
      <c r="H5606" s="334" t="s">
        <v>12934</v>
      </c>
      <c r="I5606" s="426">
        <v>17621721139</v>
      </c>
      <c r="J5606" s="334" t="s">
        <v>12935</v>
      </c>
      <c r="K5606" s="455">
        <v>14400</v>
      </c>
      <c r="L5606" s="334">
        <v>13669</v>
      </c>
      <c r="M5606" s="338"/>
      <c r="N5606" s="362">
        <f t="shared" si="187"/>
        <v>13669</v>
      </c>
      <c r="X5606" s="339"/>
    </row>
    <row r="5607" s="330" customFormat="1" ht="15" customHeight="1" spans="1:24">
      <c r="A5607" s="550" t="s">
        <v>618</v>
      </c>
      <c r="B5607" s="334" t="s">
        <v>31</v>
      </c>
      <c r="C5607" s="334" t="s">
        <v>220</v>
      </c>
      <c r="D5607" s="335" t="s">
        <v>221</v>
      </c>
      <c r="E5607" s="336">
        <v>43741</v>
      </c>
      <c r="F5607" s="336">
        <v>43740</v>
      </c>
      <c r="G5607" s="399"/>
      <c r="H5607" s="334" t="s">
        <v>12936</v>
      </c>
      <c r="I5607" s="426">
        <v>18516290034</v>
      </c>
      <c r="J5607" s="334" t="s">
        <v>12937</v>
      </c>
      <c r="K5607" s="455">
        <v>1000</v>
      </c>
      <c r="L5607" s="338"/>
      <c r="M5607" s="338"/>
      <c r="N5607" s="362">
        <f t="shared" si="187"/>
        <v>0</v>
      </c>
      <c r="Q5607" s="366" t="s">
        <v>52</v>
      </c>
      <c r="X5607" s="339"/>
    </row>
    <row r="5608" s="330" customFormat="1" ht="15" customHeight="1" spans="1:24">
      <c r="A5608" s="348"/>
      <c r="B5608" s="334" t="s">
        <v>137</v>
      </c>
      <c r="C5608" s="334" t="s">
        <v>426</v>
      </c>
      <c r="D5608" s="335" t="s">
        <v>443</v>
      </c>
      <c r="E5608" s="336">
        <v>43741</v>
      </c>
      <c r="F5608" s="336">
        <v>43740</v>
      </c>
      <c r="G5608" s="399"/>
      <c r="H5608" s="334" t="s">
        <v>12938</v>
      </c>
      <c r="I5608" s="444">
        <v>15800554640</v>
      </c>
      <c r="J5608" s="334" t="s">
        <v>12939</v>
      </c>
      <c r="K5608" s="455">
        <v>1000</v>
      </c>
      <c r="L5608" s="338"/>
      <c r="M5608" s="338"/>
      <c r="N5608" s="362">
        <f t="shared" si="187"/>
        <v>0</v>
      </c>
      <c r="S5608" s="330">
        <v>1</v>
      </c>
      <c r="U5608" s="330" t="s">
        <v>12</v>
      </c>
      <c r="X5608" s="339"/>
    </row>
    <row r="5609" s="330" customFormat="1" ht="15" customHeight="1" spans="1:24">
      <c r="A5609" s="348"/>
      <c r="B5609" s="334" t="s">
        <v>66</v>
      </c>
      <c r="C5609" s="334" t="s">
        <v>119</v>
      </c>
      <c r="D5609" s="335" t="s">
        <v>68</v>
      </c>
      <c r="E5609" s="336">
        <v>43745</v>
      </c>
      <c r="F5609" s="336">
        <v>43739</v>
      </c>
      <c r="G5609" s="336">
        <v>43745</v>
      </c>
      <c r="H5609" s="334" t="s">
        <v>12186</v>
      </c>
      <c r="I5609" s="426">
        <v>15201801805</v>
      </c>
      <c r="J5609" s="334" t="s">
        <v>12940</v>
      </c>
      <c r="K5609" s="455">
        <v>15000</v>
      </c>
      <c r="L5609" s="334">
        <v>20541</v>
      </c>
      <c r="M5609" s="338"/>
      <c r="N5609" s="362">
        <f t="shared" si="187"/>
        <v>20541</v>
      </c>
      <c r="X5609" s="339"/>
    </row>
    <row r="5610" s="330" customFormat="1" ht="15" customHeight="1" spans="1:24">
      <c r="A5610" s="348"/>
      <c r="B5610" s="334" t="s">
        <v>315</v>
      </c>
      <c r="C5610" s="334" t="s">
        <v>161</v>
      </c>
      <c r="D5610" s="335" t="s">
        <v>162</v>
      </c>
      <c r="E5610" s="336">
        <v>43741</v>
      </c>
      <c r="F5610" s="336">
        <v>43740</v>
      </c>
      <c r="G5610" s="350" t="s">
        <v>69</v>
      </c>
      <c r="H5610" s="334" t="s">
        <v>12941</v>
      </c>
      <c r="I5610" s="426">
        <v>18221428342</v>
      </c>
      <c r="J5610" s="334" t="s">
        <v>12942</v>
      </c>
      <c r="K5610" s="455">
        <v>16000</v>
      </c>
      <c r="L5610" s="338"/>
      <c r="M5610" s="338"/>
      <c r="N5610" s="362">
        <f t="shared" si="187"/>
        <v>0</v>
      </c>
      <c r="X5610" s="339"/>
    </row>
    <row r="5611" s="330" customFormat="1" ht="15" customHeight="1" spans="1:24">
      <c r="A5611" s="348"/>
      <c r="B5611" s="334" t="s">
        <v>137</v>
      </c>
      <c r="C5611" s="334" t="s">
        <v>138</v>
      </c>
      <c r="D5611" s="335" t="s">
        <v>139</v>
      </c>
      <c r="E5611" s="336">
        <v>43742</v>
      </c>
      <c r="F5611" s="336">
        <v>43740</v>
      </c>
      <c r="G5611" s="336">
        <v>43740</v>
      </c>
      <c r="H5611" s="334" t="s">
        <v>12943</v>
      </c>
      <c r="I5611" s="426">
        <v>18621001306</v>
      </c>
      <c r="J5611" s="334" t="s">
        <v>12944</v>
      </c>
      <c r="K5611" s="455">
        <v>34399</v>
      </c>
      <c r="L5611" s="334">
        <v>38199</v>
      </c>
      <c r="M5611" s="338"/>
      <c r="N5611" s="362">
        <f t="shared" si="187"/>
        <v>38199</v>
      </c>
      <c r="X5611" s="339"/>
    </row>
    <row r="5612" s="330" customFormat="1" ht="15" customHeight="1" spans="1:24">
      <c r="A5612" s="348"/>
      <c r="B5612" s="334" t="s">
        <v>315</v>
      </c>
      <c r="C5612" s="334" t="s">
        <v>161</v>
      </c>
      <c r="D5612" s="335" t="s">
        <v>162</v>
      </c>
      <c r="E5612" s="336">
        <v>43741</v>
      </c>
      <c r="F5612" s="336">
        <v>43740</v>
      </c>
      <c r="G5612" s="399"/>
      <c r="H5612" s="334" t="s">
        <v>12945</v>
      </c>
      <c r="I5612" s="426">
        <v>18930476464</v>
      </c>
      <c r="J5612" s="334" t="s">
        <v>12946</v>
      </c>
      <c r="K5612" s="455">
        <v>1000</v>
      </c>
      <c r="L5612" s="338"/>
      <c r="M5612" s="338"/>
      <c r="N5612" s="362">
        <f t="shared" si="187"/>
        <v>0</v>
      </c>
      <c r="O5612" s="330">
        <v>1</v>
      </c>
      <c r="X5612" s="339"/>
    </row>
    <row r="5613" s="330" customFormat="1" ht="15" customHeight="1" spans="1:24">
      <c r="A5613" s="348"/>
      <c r="B5613" s="334" t="s">
        <v>66</v>
      </c>
      <c r="C5613" s="334" t="s">
        <v>3954</v>
      </c>
      <c r="D5613" s="334" t="s">
        <v>2302</v>
      </c>
      <c r="E5613" s="336">
        <v>43745</v>
      </c>
      <c r="F5613" s="336">
        <v>43740</v>
      </c>
      <c r="G5613" s="336">
        <v>43745</v>
      </c>
      <c r="H5613" s="334" t="s">
        <v>294</v>
      </c>
      <c r="I5613" s="426">
        <v>13472882366</v>
      </c>
      <c r="J5613" s="334" t="s">
        <v>12947</v>
      </c>
      <c r="K5613" s="455">
        <v>10000</v>
      </c>
      <c r="L5613" s="334">
        <v>10000</v>
      </c>
      <c r="M5613" s="338"/>
      <c r="N5613" s="362">
        <f t="shared" si="187"/>
        <v>10000</v>
      </c>
      <c r="X5613" s="339"/>
    </row>
    <row r="5614" s="330" customFormat="1" ht="15" customHeight="1" spans="1:24">
      <c r="A5614" s="348"/>
      <c r="B5614" s="334" t="s">
        <v>315</v>
      </c>
      <c r="C5614" s="334" t="s">
        <v>161</v>
      </c>
      <c r="D5614" s="335" t="s">
        <v>162</v>
      </c>
      <c r="E5614" s="336">
        <v>43741</v>
      </c>
      <c r="F5614" s="336">
        <v>43740</v>
      </c>
      <c r="G5614" s="399"/>
      <c r="H5614" s="334" t="s">
        <v>12948</v>
      </c>
      <c r="I5614" s="426">
        <v>15601948832</v>
      </c>
      <c r="J5614" s="334" t="s">
        <v>12949</v>
      </c>
      <c r="K5614" s="455">
        <v>1000</v>
      </c>
      <c r="L5614" s="338"/>
      <c r="M5614" s="338"/>
      <c r="N5614" s="362">
        <f t="shared" si="187"/>
        <v>0</v>
      </c>
      <c r="U5614" s="330" t="s">
        <v>11374</v>
      </c>
      <c r="X5614" s="339"/>
    </row>
    <row r="5615" s="330" customFormat="1" ht="15" customHeight="1" spans="1:24">
      <c r="A5615" s="348"/>
      <c r="B5615" s="334" t="s">
        <v>66</v>
      </c>
      <c r="C5615" s="334" t="s">
        <v>505</v>
      </c>
      <c r="D5615" s="334" t="s">
        <v>2302</v>
      </c>
      <c r="E5615" s="336">
        <v>43820</v>
      </c>
      <c r="F5615" s="336">
        <v>43740</v>
      </c>
      <c r="G5615" s="336">
        <v>43819</v>
      </c>
      <c r="H5615" s="334" t="s">
        <v>12950</v>
      </c>
      <c r="I5615" s="426">
        <v>18616717788</v>
      </c>
      <c r="J5615" s="334" t="s">
        <v>12951</v>
      </c>
      <c r="K5615" s="455">
        <v>1000</v>
      </c>
      <c r="L5615" s="334">
        <v>5682</v>
      </c>
      <c r="M5615" s="338"/>
      <c r="N5615" s="362">
        <f t="shared" si="187"/>
        <v>5682</v>
      </c>
      <c r="X5615" s="339"/>
    </row>
    <row r="5616" s="330" customFormat="1" ht="15" customHeight="1" spans="1:24">
      <c r="A5616" s="348"/>
      <c r="B5616" s="334" t="s">
        <v>58</v>
      </c>
      <c r="C5616" s="334" t="s">
        <v>347</v>
      </c>
      <c r="D5616" s="334" t="s">
        <v>75</v>
      </c>
      <c r="E5616" s="336">
        <v>43745</v>
      </c>
      <c r="F5616" s="336">
        <v>43740</v>
      </c>
      <c r="G5616" s="336">
        <v>43745</v>
      </c>
      <c r="H5616" s="334" t="s">
        <v>12952</v>
      </c>
      <c r="I5616" s="426">
        <v>13501678230</v>
      </c>
      <c r="J5616" s="334" t="s">
        <v>12953</v>
      </c>
      <c r="K5616" s="455">
        <v>30600</v>
      </c>
      <c r="L5616" s="334">
        <v>34000</v>
      </c>
      <c r="M5616" s="338"/>
      <c r="N5616" s="362">
        <f t="shared" si="187"/>
        <v>34000</v>
      </c>
      <c r="X5616" s="339"/>
    </row>
    <row r="5617" s="330" customFormat="1" ht="15" customHeight="1" spans="1:24">
      <c r="A5617" s="550" t="s">
        <v>12954</v>
      </c>
      <c r="B5617" s="334" t="s">
        <v>66</v>
      </c>
      <c r="C5617" s="334" t="s">
        <v>1749</v>
      </c>
      <c r="D5617" s="334" t="s">
        <v>2302</v>
      </c>
      <c r="E5617" s="336">
        <v>43744</v>
      </c>
      <c r="F5617" s="336">
        <v>43740</v>
      </c>
      <c r="G5617" s="336">
        <v>43743</v>
      </c>
      <c r="H5617" s="334" t="s">
        <v>12955</v>
      </c>
      <c r="I5617" s="426">
        <v>13671992996</v>
      </c>
      <c r="J5617" s="334" t="s">
        <v>12956</v>
      </c>
      <c r="K5617" s="455">
        <v>10000</v>
      </c>
      <c r="L5617" s="334">
        <v>10481</v>
      </c>
      <c r="M5617" s="338"/>
      <c r="N5617" s="362">
        <f t="shared" si="187"/>
        <v>10481</v>
      </c>
      <c r="X5617" s="339"/>
    </row>
    <row r="5618" s="330" customFormat="1" ht="15" customHeight="1" spans="1:24">
      <c r="A5618" s="550" t="s">
        <v>12957</v>
      </c>
      <c r="B5618" s="334" t="s">
        <v>31</v>
      </c>
      <c r="C5618" s="334" t="s">
        <v>2716</v>
      </c>
      <c r="D5618" s="335" t="s">
        <v>33</v>
      </c>
      <c r="E5618" s="336">
        <v>43741</v>
      </c>
      <c r="F5618" s="336">
        <v>43741</v>
      </c>
      <c r="G5618" s="399"/>
      <c r="H5618" s="334" t="s">
        <v>12958</v>
      </c>
      <c r="I5618" s="426">
        <v>18201780863</v>
      </c>
      <c r="J5618" s="334" t="s">
        <v>12959</v>
      </c>
      <c r="K5618" s="455">
        <v>1000</v>
      </c>
      <c r="L5618" s="338"/>
      <c r="M5618" s="338"/>
      <c r="N5618" s="362">
        <f t="shared" si="187"/>
        <v>0</v>
      </c>
      <c r="Q5618" s="366" t="s">
        <v>52</v>
      </c>
      <c r="X5618" s="339"/>
    </row>
    <row r="5619" s="330" customFormat="1" ht="15" customHeight="1" spans="1:24">
      <c r="A5619" s="550" t="s">
        <v>12960</v>
      </c>
      <c r="B5619" s="334" t="s">
        <v>31</v>
      </c>
      <c r="C5619" s="334" t="s">
        <v>2716</v>
      </c>
      <c r="D5619" s="334" t="s">
        <v>221</v>
      </c>
      <c r="E5619" s="336">
        <v>43759</v>
      </c>
      <c r="F5619" s="336">
        <v>43741</v>
      </c>
      <c r="G5619" s="336">
        <v>43758</v>
      </c>
      <c r="H5619" s="334" t="s">
        <v>5575</v>
      </c>
      <c r="I5619" s="426">
        <v>13918591326</v>
      </c>
      <c r="J5619" s="334" t="s">
        <v>12961</v>
      </c>
      <c r="K5619" s="455">
        <v>1000</v>
      </c>
      <c r="L5619" s="334">
        <v>19063</v>
      </c>
      <c r="M5619" s="338"/>
      <c r="N5619" s="362">
        <f t="shared" si="187"/>
        <v>19063</v>
      </c>
      <c r="X5619" s="339"/>
    </row>
    <row r="5620" s="330" customFormat="1" ht="15" customHeight="1" spans="1:24">
      <c r="A5620" s="348">
        <v>2022548</v>
      </c>
      <c r="B5620" s="334" t="s">
        <v>73</v>
      </c>
      <c r="C5620" s="334" t="s">
        <v>74</v>
      </c>
      <c r="D5620" s="352" t="s">
        <v>75</v>
      </c>
      <c r="E5620" s="336">
        <v>43743</v>
      </c>
      <c r="F5620" s="336">
        <v>43742</v>
      </c>
      <c r="G5620" s="399"/>
      <c r="H5620" s="334" t="s">
        <v>12962</v>
      </c>
      <c r="I5620" s="426">
        <v>13621661554</v>
      </c>
      <c r="J5620" s="334" t="s">
        <v>12963</v>
      </c>
      <c r="K5620" s="455">
        <v>1000</v>
      </c>
      <c r="L5620" s="338"/>
      <c r="M5620" s="338"/>
      <c r="N5620" s="362">
        <f t="shared" si="187"/>
        <v>0</v>
      </c>
      <c r="Q5620" s="366" t="s">
        <v>52</v>
      </c>
      <c r="X5620" s="339"/>
    </row>
    <row r="5621" s="330" customFormat="1" ht="15" customHeight="1" spans="1:24">
      <c r="A5621" s="550" t="s">
        <v>12964</v>
      </c>
      <c r="B5621" s="334" t="s">
        <v>31</v>
      </c>
      <c r="C5621" s="334" t="s">
        <v>3186</v>
      </c>
      <c r="D5621" s="334" t="s">
        <v>33</v>
      </c>
      <c r="E5621" s="336">
        <v>43746</v>
      </c>
      <c r="F5621" s="336">
        <v>43741</v>
      </c>
      <c r="G5621" s="336">
        <v>43744</v>
      </c>
      <c r="H5621" s="334" t="s">
        <v>12965</v>
      </c>
      <c r="I5621" s="426">
        <v>18621585682</v>
      </c>
      <c r="J5621" s="334" t="s">
        <v>12966</v>
      </c>
      <c r="K5621" s="455">
        <v>6879</v>
      </c>
      <c r="L5621" s="334">
        <v>6879</v>
      </c>
      <c r="M5621" s="338"/>
      <c r="N5621" s="362">
        <f t="shared" si="187"/>
        <v>6879</v>
      </c>
      <c r="X5621" s="339"/>
    </row>
    <row r="5622" s="330" customFormat="1" ht="15" customHeight="1" spans="1:24">
      <c r="A5622" s="550" t="s">
        <v>12967</v>
      </c>
      <c r="B5622" s="334" t="s">
        <v>31</v>
      </c>
      <c r="C5622" s="334" t="s">
        <v>377</v>
      </c>
      <c r="D5622" s="334" t="s">
        <v>33</v>
      </c>
      <c r="E5622" s="336">
        <v>43821</v>
      </c>
      <c r="F5622" s="336">
        <v>43741</v>
      </c>
      <c r="G5622" s="336">
        <v>43821</v>
      </c>
      <c r="H5622" s="334" t="s">
        <v>12968</v>
      </c>
      <c r="I5622" s="426">
        <v>18916699070</v>
      </c>
      <c r="J5622" s="334" t="s">
        <v>12969</v>
      </c>
      <c r="K5622" s="455">
        <v>1000</v>
      </c>
      <c r="L5622" s="334">
        <v>8800</v>
      </c>
      <c r="M5622" s="338"/>
      <c r="N5622" s="362">
        <f t="shared" si="187"/>
        <v>8800</v>
      </c>
      <c r="X5622" s="339"/>
    </row>
    <row r="5623" s="330" customFormat="1" ht="15" customHeight="1" spans="1:24">
      <c r="A5623" s="550" t="s">
        <v>12970</v>
      </c>
      <c r="B5623" s="334" t="s">
        <v>31</v>
      </c>
      <c r="C5623" s="334" t="s">
        <v>2716</v>
      </c>
      <c r="D5623" s="335" t="s">
        <v>33</v>
      </c>
      <c r="E5623" s="336">
        <v>43741</v>
      </c>
      <c r="F5623" s="336">
        <v>43741</v>
      </c>
      <c r="G5623" s="399"/>
      <c r="H5623" s="334" t="s">
        <v>12941</v>
      </c>
      <c r="I5623" s="426">
        <v>13601891136</v>
      </c>
      <c r="J5623" s="334" t="s">
        <v>12971</v>
      </c>
      <c r="K5623" s="455">
        <v>2534</v>
      </c>
      <c r="L5623" s="338"/>
      <c r="M5623" s="338"/>
      <c r="N5623" s="362">
        <f t="shared" si="187"/>
        <v>0</v>
      </c>
      <c r="P5623" s="366" t="s">
        <v>52</v>
      </c>
      <c r="X5623" s="339"/>
    </row>
    <row r="5624" s="330" customFormat="1" ht="15" customHeight="1" spans="1:24">
      <c r="A5624" s="550" t="s">
        <v>12972</v>
      </c>
      <c r="B5624" s="334" t="s">
        <v>805</v>
      </c>
      <c r="C5624" s="334" t="s">
        <v>806</v>
      </c>
      <c r="D5624" s="335" t="s">
        <v>635</v>
      </c>
      <c r="E5624" s="336">
        <v>43741</v>
      </c>
      <c r="F5624" s="336">
        <v>43741</v>
      </c>
      <c r="G5624" s="399"/>
      <c r="H5624" s="334" t="s">
        <v>12973</v>
      </c>
      <c r="I5624" s="426">
        <v>13061621883</v>
      </c>
      <c r="J5624" s="334" t="s">
        <v>12974</v>
      </c>
      <c r="K5624" s="455">
        <v>1000</v>
      </c>
      <c r="L5624" s="338"/>
      <c r="M5624" s="338"/>
      <c r="N5624" s="362">
        <f t="shared" si="187"/>
        <v>0</v>
      </c>
      <c r="P5624" s="430" t="s">
        <v>52</v>
      </c>
      <c r="X5624" s="339"/>
    </row>
    <row r="5625" s="330" customFormat="1" ht="15" customHeight="1" spans="1:24">
      <c r="A5625" s="550" t="s">
        <v>12975</v>
      </c>
      <c r="B5625" s="334" t="s">
        <v>47</v>
      </c>
      <c r="C5625" s="334" t="s">
        <v>53</v>
      </c>
      <c r="D5625" s="335" t="s">
        <v>49</v>
      </c>
      <c r="E5625" s="336">
        <v>43763</v>
      </c>
      <c r="F5625" s="336">
        <v>43741</v>
      </c>
      <c r="G5625" s="336">
        <v>43762</v>
      </c>
      <c r="H5625" s="334" t="s">
        <v>12976</v>
      </c>
      <c r="I5625" s="426">
        <v>18918655771</v>
      </c>
      <c r="J5625" s="334" t="s">
        <v>12977</v>
      </c>
      <c r="K5625" s="455">
        <v>12935</v>
      </c>
      <c r="L5625" s="334">
        <v>12935</v>
      </c>
      <c r="M5625" s="338"/>
      <c r="N5625" s="362">
        <f t="shared" si="187"/>
        <v>12935</v>
      </c>
      <c r="X5625" s="339"/>
    </row>
    <row r="5626" s="330" customFormat="1" ht="15" customHeight="1" spans="1:24">
      <c r="A5626" s="334"/>
      <c r="B5626" s="334" t="s">
        <v>281</v>
      </c>
      <c r="C5626" s="334" t="s">
        <v>517</v>
      </c>
      <c r="D5626" s="334" t="s">
        <v>518</v>
      </c>
      <c r="E5626" s="336">
        <v>43738</v>
      </c>
      <c r="F5626" s="336"/>
      <c r="G5626" s="336">
        <v>43736</v>
      </c>
      <c r="H5626" s="334" t="s">
        <v>12978</v>
      </c>
      <c r="I5626" s="334">
        <v>18964928516</v>
      </c>
      <c r="J5626" s="334" t="s">
        <v>12979</v>
      </c>
      <c r="K5626" s="337"/>
      <c r="L5626" s="334">
        <v>24109</v>
      </c>
      <c r="M5626" s="338"/>
      <c r="N5626" s="362">
        <f t="shared" si="187"/>
        <v>24109</v>
      </c>
      <c r="X5626" s="339"/>
    </row>
    <row r="5627" s="330" customFormat="1" ht="15" customHeight="1" spans="1:24">
      <c r="A5627" s="334"/>
      <c r="B5627" s="334" t="s">
        <v>58</v>
      </c>
      <c r="C5627" s="334" t="s">
        <v>347</v>
      </c>
      <c r="D5627" s="334" t="s">
        <v>343</v>
      </c>
      <c r="E5627" s="336">
        <v>43738</v>
      </c>
      <c r="F5627" s="336"/>
      <c r="G5627" s="336">
        <v>43712</v>
      </c>
      <c r="H5627" s="334" t="s">
        <v>11726</v>
      </c>
      <c r="I5627" s="334">
        <v>13917029514</v>
      </c>
      <c r="J5627" s="334" t="s">
        <v>12980</v>
      </c>
      <c r="K5627" s="337"/>
      <c r="L5627" s="334">
        <v>11595</v>
      </c>
      <c r="M5627" s="338"/>
      <c r="N5627" s="362">
        <f t="shared" si="187"/>
        <v>11595</v>
      </c>
      <c r="X5627" s="339"/>
    </row>
    <row r="5628" s="330" customFormat="1" ht="15" customHeight="1" spans="1:24">
      <c r="A5628" s="334"/>
      <c r="B5628" s="334" t="s">
        <v>4009</v>
      </c>
      <c r="C5628" s="334" t="s">
        <v>6401</v>
      </c>
      <c r="D5628" s="334" t="s">
        <v>1170</v>
      </c>
      <c r="E5628" s="336">
        <v>43738</v>
      </c>
      <c r="F5628" s="336"/>
      <c r="G5628" s="336">
        <v>43735</v>
      </c>
      <c r="H5628" s="334" t="s">
        <v>12981</v>
      </c>
      <c r="I5628" s="334">
        <v>13621905936</v>
      </c>
      <c r="J5628" s="334" t="s">
        <v>12982</v>
      </c>
      <c r="K5628" s="337"/>
      <c r="L5628" s="334">
        <v>4490</v>
      </c>
      <c r="M5628" s="338"/>
      <c r="N5628" s="362">
        <f t="shared" si="187"/>
        <v>4490</v>
      </c>
      <c r="X5628" s="339"/>
    </row>
    <row r="5629" s="330" customFormat="1" ht="15" customHeight="1" spans="1:24">
      <c r="A5629" s="334"/>
      <c r="B5629" s="334" t="s">
        <v>805</v>
      </c>
      <c r="C5629" s="334" t="s">
        <v>4935</v>
      </c>
      <c r="D5629" s="334" t="s">
        <v>171</v>
      </c>
      <c r="E5629" s="336">
        <v>43738</v>
      </c>
      <c r="F5629" s="336"/>
      <c r="G5629" s="336">
        <v>43738</v>
      </c>
      <c r="H5629" s="334" t="s">
        <v>12983</v>
      </c>
      <c r="I5629" s="334">
        <v>15021589149</v>
      </c>
      <c r="J5629" s="334" t="s">
        <v>12984</v>
      </c>
      <c r="K5629" s="337"/>
      <c r="L5629" s="334">
        <v>10420</v>
      </c>
      <c r="M5629" s="338"/>
      <c r="N5629" s="362">
        <f t="shared" si="187"/>
        <v>10420</v>
      </c>
      <c r="X5629" s="339"/>
    </row>
    <row r="5630" s="330" customFormat="1" ht="15" customHeight="1" spans="1:24">
      <c r="A5630" s="334"/>
      <c r="B5630" s="334" t="s">
        <v>281</v>
      </c>
      <c r="C5630" s="334" t="s">
        <v>517</v>
      </c>
      <c r="D5630" s="334" t="s">
        <v>518</v>
      </c>
      <c r="E5630" s="336">
        <v>43738</v>
      </c>
      <c r="F5630" s="336"/>
      <c r="G5630" s="336">
        <v>43738</v>
      </c>
      <c r="H5630" s="334" t="s">
        <v>12985</v>
      </c>
      <c r="I5630" s="334">
        <v>15921990641</v>
      </c>
      <c r="J5630" s="334" t="s">
        <v>12986</v>
      </c>
      <c r="K5630" s="337"/>
      <c r="L5630" s="334">
        <v>25000</v>
      </c>
      <c r="M5630" s="338"/>
      <c r="N5630" s="362">
        <f t="shared" si="187"/>
        <v>25000</v>
      </c>
      <c r="X5630" s="339"/>
    </row>
    <row r="5631" s="330" customFormat="1" ht="15" customHeight="1" spans="1:24">
      <c r="A5631" s="334"/>
      <c r="B5631" s="334" t="s">
        <v>2625</v>
      </c>
      <c r="C5631" s="334" t="s">
        <v>2626</v>
      </c>
      <c r="D5631" s="334" t="s">
        <v>44</v>
      </c>
      <c r="E5631" s="336">
        <v>43738</v>
      </c>
      <c r="F5631" s="336"/>
      <c r="G5631" s="336">
        <v>43738</v>
      </c>
      <c r="H5631" s="334" t="s">
        <v>12987</v>
      </c>
      <c r="I5631" s="334">
        <v>18217644000</v>
      </c>
      <c r="J5631" s="334" t="s">
        <v>12988</v>
      </c>
      <c r="K5631" s="337"/>
      <c r="L5631" s="334">
        <v>10750</v>
      </c>
      <c r="M5631" s="338"/>
      <c r="N5631" s="362">
        <f t="shared" si="187"/>
        <v>10750</v>
      </c>
      <c r="X5631" s="339"/>
    </row>
    <row r="5632" s="330" customFormat="1" ht="15" customHeight="1" spans="1:24">
      <c r="A5632" s="334"/>
      <c r="B5632" s="334" t="s">
        <v>5336</v>
      </c>
      <c r="C5632" s="334" t="s">
        <v>5336</v>
      </c>
      <c r="D5632" s="334" t="s">
        <v>5336</v>
      </c>
      <c r="E5632" s="336">
        <v>43738</v>
      </c>
      <c r="F5632" s="336"/>
      <c r="G5632" s="336">
        <v>43738</v>
      </c>
      <c r="H5632" s="334" t="s">
        <v>12989</v>
      </c>
      <c r="I5632" s="334">
        <v>13585698462</v>
      </c>
      <c r="J5632" s="334" t="s">
        <v>12990</v>
      </c>
      <c r="K5632" s="337"/>
      <c r="L5632" s="334">
        <v>4547</v>
      </c>
      <c r="M5632" s="338"/>
      <c r="N5632" s="362">
        <f t="shared" si="187"/>
        <v>4547</v>
      </c>
      <c r="X5632" s="339"/>
    </row>
    <row r="5633" s="330" customFormat="1" ht="15" customHeight="1" spans="1:24">
      <c r="A5633" s="334"/>
      <c r="B5633" s="334" t="s">
        <v>5336</v>
      </c>
      <c r="C5633" s="334" t="s">
        <v>5336</v>
      </c>
      <c r="D5633" s="334" t="s">
        <v>5336</v>
      </c>
      <c r="E5633" s="336">
        <v>43738</v>
      </c>
      <c r="F5633" s="336"/>
      <c r="G5633" s="336">
        <v>43738</v>
      </c>
      <c r="H5633" s="334" t="s">
        <v>12991</v>
      </c>
      <c r="I5633" s="334">
        <v>18721212109</v>
      </c>
      <c r="J5633" s="334" t="s">
        <v>12992</v>
      </c>
      <c r="K5633" s="337"/>
      <c r="L5633" s="334">
        <v>7978</v>
      </c>
      <c r="M5633" s="338"/>
      <c r="N5633" s="362">
        <f t="shared" si="187"/>
        <v>7978</v>
      </c>
      <c r="X5633" s="339"/>
    </row>
    <row r="5634" s="330" customFormat="1" ht="15" customHeight="1" spans="1:24">
      <c r="A5634" s="334"/>
      <c r="B5634" s="334" t="s">
        <v>87</v>
      </c>
      <c r="C5634" s="334" t="s">
        <v>466</v>
      </c>
      <c r="D5634" s="334" t="s">
        <v>89</v>
      </c>
      <c r="E5634" s="336">
        <v>43738</v>
      </c>
      <c r="F5634" s="336"/>
      <c r="G5634" s="336">
        <v>43738</v>
      </c>
      <c r="H5634" s="334" t="s">
        <v>12993</v>
      </c>
      <c r="I5634" s="334">
        <v>18621286821</v>
      </c>
      <c r="J5634" s="334" t="s">
        <v>12994</v>
      </c>
      <c r="K5634" s="337"/>
      <c r="L5634" s="334">
        <v>50000</v>
      </c>
      <c r="M5634" s="338"/>
      <c r="N5634" s="362">
        <f t="shared" si="187"/>
        <v>50000</v>
      </c>
      <c r="X5634" s="339"/>
    </row>
    <row r="5635" s="330" customFormat="1" ht="15" customHeight="1" spans="1:24">
      <c r="A5635" s="334"/>
      <c r="B5635" s="334" t="s">
        <v>726</v>
      </c>
      <c r="C5635" s="334" t="s">
        <v>727</v>
      </c>
      <c r="D5635" s="334" t="s">
        <v>271</v>
      </c>
      <c r="E5635" s="336">
        <v>43738</v>
      </c>
      <c r="F5635" s="336"/>
      <c r="G5635" s="336">
        <v>43738</v>
      </c>
      <c r="H5635" s="334" t="s">
        <v>12995</v>
      </c>
      <c r="I5635" s="334">
        <v>13636500982</v>
      </c>
      <c r="J5635" s="334" t="s">
        <v>12996</v>
      </c>
      <c r="K5635" s="337"/>
      <c r="L5635" s="334">
        <v>8990</v>
      </c>
      <c r="M5635" s="338"/>
      <c r="N5635" s="362">
        <f t="shared" si="187"/>
        <v>8990</v>
      </c>
      <c r="X5635" s="339"/>
    </row>
    <row r="5636" s="330" customFormat="1" ht="15" customHeight="1" spans="1:24">
      <c r="A5636" s="334"/>
      <c r="B5636" s="334" t="s">
        <v>169</v>
      </c>
      <c r="C5636" s="334" t="s">
        <v>542</v>
      </c>
      <c r="D5636" s="334" t="s">
        <v>171</v>
      </c>
      <c r="E5636" s="336">
        <v>43738</v>
      </c>
      <c r="F5636" s="336"/>
      <c r="G5636" s="336">
        <v>43737</v>
      </c>
      <c r="H5636" s="334" t="s">
        <v>12997</v>
      </c>
      <c r="I5636" s="334">
        <v>18221186720</v>
      </c>
      <c r="J5636" s="334" t="s">
        <v>12998</v>
      </c>
      <c r="K5636" s="337"/>
      <c r="L5636" s="334">
        <v>13500</v>
      </c>
      <c r="M5636" s="338"/>
      <c r="N5636" s="362">
        <f t="shared" si="187"/>
        <v>13500</v>
      </c>
      <c r="U5636" s="393" t="s">
        <v>40</v>
      </c>
      <c r="X5636" s="339"/>
    </row>
    <row r="5637" s="330" customFormat="1" ht="15" customHeight="1" spans="1:24">
      <c r="A5637" s="334"/>
      <c r="B5637" s="334" t="s">
        <v>315</v>
      </c>
      <c r="C5637" s="334" t="s">
        <v>181</v>
      </c>
      <c r="D5637" s="334" t="s">
        <v>1431</v>
      </c>
      <c r="E5637" s="336">
        <v>43738</v>
      </c>
      <c r="F5637" s="336"/>
      <c r="G5637" s="336">
        <v>43738</v>
      </c>
      <c r="H5637" s="334" t="s">
        <v>12999</v>
      </c>
      <c r="I5637" s="334">
        <v>13901906585</v>
      </c>
      <c r="J5637" s="334" t="s">
        <v>13000</v>
      </c>
      <c r="K5637" s="337"/>
      <c r="L5637" s="334">
        <v>14380</v>
      </c>
      <c r="M5637" s="338"/>
      <c r="N5637" s="362">
        <f t="shared" si="187"/>
        <v>14380</v>
      </c>
      <c r="X5637" s="339"/>
    </row>
    <row r="5638" s="330" customFormat="1" ht="15" customHeight="1" spans="1:24">
      <c r="A5638" s="334"/>
      <c r="B5638" s="334" t="s">
        <v>315</v>
      </c>
      <c r="C5638" s="334" t="s">
        <v>230</v>
      </c>
      <c r="D5638" s="334" t="s">
        <v>44</v>
      </c>
      <c r="E5638" s="336">
        <v>43738</v>
      </c>
      <c r="F5638" s="336"/>
      <c r="G5638" s="336">
        <v>43737</v>
      </c>
      <c r="H5638" s="334" t="s">
        <v>13001</v>
      </c>
      <c r="I5638" s="334">
        <v>18016311877</v>
      </c>
      <c r="J5638" s="334" t="s">
        <v>13002</v>
      </c>
      <c r="K5638" s="337"/>
      <c r="L5638" s="334">
        <v>5362</v>
      </c>
      <c r="M5638" s="338"/>
      <c r="N5638" s="362">
        <f t="shared" si="187"/>
        <v>5362</v>
      </c>
      <c r="X5638" s="339"/>
    </row>
    <row r="5639" s="330" customFormat="1" ht="15" customHeight="1" spans="1:24">
      <c r="A5639" s="334"/>
      <c r="B5639" s="334" t="s">
        <v>73</v>
      </c>
      <c r="C5639" s="334" t="s">
        <v>74</v>
      </c>
      <c r="D5639" s="334" t="s">
        <v>75</v>
      </c>
      <c r="E5639" s="336">
        <v>43738</v>
      </c>
      <c r="F5639" s="336"/>
      <c r="G5639" s="336">
        <v>43738</v>
      </c>
      <c r="H5639" s="334" t="s">
        <v>11476</v>
      </c>
      <c r="I5639" s="334">
        <v>15021345732</v>
      </c>
      <c r="J5639" s="334" t="s">
        <v>13003</v>
      </c>
      <c r="K5639" s="337"/>
      <c r="L5639" s="334">
        <v>8816</v>
      </c>
      <c r="M5639" s="338"/>
      <c r="N5639" s="362">
        <f t="shared" si="187"/>
        <v>8816</v>
      </c>
      <c r="X5639" s="339"/>
    </row>
    <row r="5640" s="330" customFormat="1" ht="15" customHeight="1" spans="1:24">
      <c r="A5640" s="334"/>
      <c r="B5640" s="334" t="s">
        <v>315</v>
      </c>
      <c r="C5640" s="334" t="s">
        <v>366</v>
      </c>
      <c r="D5640" s="334" t="s">
        <v>132</v>
      </c>
      <c r="E5640" s="336">
        <v>43738</v>
      </c>
      <c r="F5640" s="336"/>
      <c r="G5640" s="336">
        <v>43738</v>
      </c>
      <c r="H5640" s="334" t="s">
        <v>13004</v>
      </c>
      <c r="I5640" s="334">
        <v>13901888948</v>
      </c>
      <c r="J5640" s="334" t="s">
        <v>13005</v>
      </c>
      <c r="K5640" s="337"/>
      <c r="L5640" s="334">
        <v>63480</v>
      </c>
      <c r="M5640" s="338"/>
      <c r="N5640" s="362">
        <f t="shared" si="187"/>
        <v>63480</v>
      </c>
      <c r="X5640" s="339"/>
    </row>
    <row r="5641" s="330" customFormat="1" ht="15" customHeight="1" spans="1:24">
      <c r="A5641" s="334"/>
      <c r="B5641" s="334" t="s">
        <v>315</v>
      </c>
      <c r="C5641" s="334" t="s">
        <v>366</v>
      </c>
      <c r="D5641" s="334" t="s">
        <v>132</v>
      </c>
      <c r="E5641" s="336">
        <v>43738</v>
      </c>
      <c r="F5641" s="336"/>
      <c r="G5641" s="336">
        <v>43736</v>
      </c>
      <c r="H5641" s="334" t="s">
        <v>13006</v>
      </c>
      <c r="I5641" s="334">
        <v>13817895205</v>
      </c>
      <c r="J5641" s="334" t="s">
        <v>13007</v>
      </c>
      <c r="K5641" s="337"/>
      <c r="L5641" s="334">
        <v>23166</v>
      </c>
      <c r="M5641" s="338"/>
      <c r="N5641" s="362">
        <f t="shared" si="187"/>
        <v>23166</v>
      </c>
      <c r="X5641" s="339"/>
    </row>
    <row r="5642" s="330" customFormat="1" ht="15" customHeight="1" spans="1:24">
      <c r="A5642" s="334"/>
      <c r="B5642" s="334" t="s">
        <v>35</v>
      </c>
      <c r="C5642" s="334" t="s">
        <v>328</v>
      </c>
      <c r="D5642" s="334" t="s">
        <v>37</v>
      </c>
      <c r="E5642" s="336">
        <v>43738</v>
      </c>
      <c r="F5642" s="336"/>
      <c r="G5642" s="336">
        <v>43738</v>
      </c>
      <c r="H5642" s="334" t="s">
        <v>13008</v>
      </c>
      <c r="I5642" s="334">
        <v>18274623158</v>
      </c>
      <c r="J5642" s="334" t="s">
        <v>13009</v>
      </c>
      <c r="K5642" s="337"/>
      <c r="L5642" s="334">
        <v>5838</v>
      </c>
      <c r="M5642" s="338"/>
      <c r="N5642" s="362">
        <f t="shared" si="187"/>
        <v>5838</v>
      </c>
      <c r="X5642" s="339"/>
    </row>
    <row r="5643" s="330" customFormat="1" ht="15" customHeight="1" spans="1:24">
      <c r="A5643" s="334"/>
      <c r="B5643" s="334" t="s">
        <v>281</v>
      </c>
      <c r="C5643" s="334" t="s">
        <v>4644</v>
      </c>
      <c r="D5643" s="335" t="s">
        <v>49</v>
      </c>
      <c r="E5643" s="336">
        <v>43738</v>
      </c>
      <c r="F5643" s="336"/>
      <c r="G5643" s="336">
        <v>43738</v>
      </c>
      <c r="H5643" s="334" t="s">
        <v>13010</v>
      </c>
      <c r="I5643" s="334">
        <v>17931245561</v>
      </c>
      <c r="J5643" s="334" t="s">
        <v>13011</v>
      </c>
      <c r="K5643" s="337"/>
      <c r="L5643" s="334">
        <v>15000</v>
      </c>
      <c r="M5643" s="338"/>
      <c r="N5643" s="362">
        <f t="shared" si="187"/>
        <v>15000</v>
      </c>
      <c r="X5643" s="339"/>
    </row>
    <row r="5644" s="330" customFormat="1" ht="15" customHeight="1" spans="1:24">
      <c r="A5644" s="334"/>
      <c r="B5644" s="334" t="s">
        <v>87</v>
      </c>
      <c r="C5644" s="334" t="s">
        <v>466</v>
      </c>
      <c r="D5644" s="334" t="s">
        <v>89</v>
      </c>
      <c r="E5644" s="336">
        <v>43738</v>
      </c>
      <c r="F5644" s="336"/>
      <c r="G5644" s="336">
        <v>43738</v>
      </c>
      <c r="H5644" s="334" t="s">
        <v>13012</v>
      </c>
      <c r="I5644" s="334">
        <v>15782514219</v>
      </c>
      <c r="J5644" s="334" t="s">
        <v>13013</v>
      </c>
      <c r="K5644" s="337"/>
      <c r="L5644" s="334">
        <v>9080</v>
      </c>
      <c r="M5644" s="338"/>
      <c r="N5644" s="362">
        <f t="shared" si="187"/>
        <v>9080</v>
      </c>
      <c r="X5644" s="339"/>
    </row>
    <row r="5645" s="330" customFormat="1" ht="15" customHeight="1" spans="1:24">
      <c r="A5645" s="334"/>
      <c r="B5645" s="334" t="s">
        <v>205</v>
      </c>
      <c r="C5645" s="334" t="s">
        <v>1467</v>
      </c>
      <c r="D5645" s="334" t="s">
        <v>207</v>
      </c>
      <c r="E5645" s="336">
        <v>43738</v>
      </c>
      <c r="F5645" s="336"/>
      <c r="G5645" s="336">
        <v>43738</v>
      </c>
      <c r="H5645" s="334" t="s">
        <v>13014</v>
      </c>
      <c r="I5645" s="334">
        <v>13755716723</v>
      </c>
      <c r="J5645" s="334" t="s">
        <v>13015</v>
      </c>
      <c r="K5645" s="337"/>
      <c r="L5645" s="334">
        <v>5844</v>
      </c>
      <c r="M5645" s="338"/>
      <c r="N5645" s="362">
        <f t="shared" si="187"/>
        <v>5844</v>
      </c>
      <c r="X5645" s="339"/>
    </row>
    <row r="5646" s="330" customFormat="1" ht="15" customHeight="1" spans="1:24">
      <c r="A5646" s="334"/>
      <c r="B5646" s="334" t="s">
        <v>354</v>
      </c>
      <c r="C5646" s="334" t="s">
        <v>355</v>
      </c>
      <c r="D5646" s="334" t="s">
        <v>207</v>
      </c>
      <c r="E5646" s="336">
        <v>43739</v>
      </c>
      <c r="F5646" s="336"/>
      <c r="G5646" s="336">
        <v>43738</v>
      </c>
      <c r="H5646" s="334" t="s">
        <v>13016</v>
      </c>
      <c r="I5646" s="334">
        <v>13901890075</v>
      </c>
      <c r="J5646" s="334" t="s">
        <v>13017</v>
      </c>
      <c r="K5646" s="337"/>
      <c r="L5646" s="334">
        <v>5000</v>
      </c>
      <c r="M5646" s="338"/>
      <c r="N5646" s="362">
        <f t="shared" si="187"/>
        <v>5000</v>
      </c>
      <c r="X5646" s="339"/>
    </row>
    <row r="5647" s="330" customFormat="1" ht="15" customHeight="1" spans="1:24">
      <c r="A5647" s="334"/>
      <c r="B5647" s="334" t="s">
        <v>94</v>
      </c>
      <c r="C5647" s="334" t="s">
        <v>101</v>
      </c>
      <c r="D5647" s="335" t="s">
        <v>49</v>
      </c>
      <c r="E5647" s="336">
        <v>43741</v>
      </c>
      <c r="F5647" s="336"/>
      <c r="G5647" s="336">
        <v>43740</v>
      </c>
      <c r="H5647" s="334" t="s">
        <v>13018</v>
      </c>
      <c r="I5647" s="334">
        <v>13482412568</v>
      </c>
      <c r="J5647" s="334" t="s">
        <v>13019</v>
      </c>
      <c r="K5647" s="337"/>
      <c r="L5647" s="334">
        <v>10384</v>
      </c>
      <c r="M5647" s="338"/>
      <c r="N5647" s="362">
        <f t="shared" si="187"/>
        <v>10384</v>
      </c>
      <c r="X5647" s="339"/>
    </row>
    <row r="5648" s="330" customFormat="1" ht="15" customHeight="1" spans="1:24">
      <c r="A5648" s="334"/>
      <c r="B5648" s="334" t="s">
        <v>47</v>
      </c>
      <c r="C5648" s="334" t="s">
        <v>80</v>
      </c>
      <c r="D5648" s="335" t="s">
        <v>49</v>
      </c>
      <c r="E5648" s="336">
        <v>43741</v>
      </c>
      <c r="F5648" s="336"/>
      <c r="G5648" s="336">
        <v>43741</v>
      </c>
      <c r="H5648" s="334" t="s">
        <v>12550</v>
      </c>
      <c r="I5648" s="334">
        <v>13585854273</v>
      </c>
      <c r="J5648" s="334" t="s">
        <v>13020</v>
      </c>
      <c r="K5648" s="337"/>
      <c r="L5648" s="334">
        <v>14496</v>
      </c>
      <c r="M5648" s="338"/>
      <c r="N5648" s="362">
        <f t="shared" si="187"/>
        <v>14496</v>
      </c>
      <c r="X5648" s="339"/>
    </row>
    <row r="5649" s="330" customFormat="1" ht="15" customHeight="1" spans="1:24">
      <c r="A5649" s="334"/>
      <c r="B5649" s="334" t="s">
        <v>153</v>
      </c>
      <c r="C5649" s="334" t="s">
        <v>154</v>
      </c>
      <c r="D5649" s="334" t="s">
        <v>155</v>
      </c>
      <c r="E5649" s="336">
        <v>43738</v>
      </c>
      <c r="F5649" s="336" t="s">
        <v>800</v>
      </c>
      <c r="G5649" s="336">
        <v>43717</v>
      </c>
      <c r="H5649" s="334" t="s">
        <v>13021</v>
      </c>
      <c r="I5649" s="334">
        <v>13918406004</v>
      </c>
      <c r="J5649" s="334" t="s">
        <v>13022</v>
      </c>
      <c r="K5649" s="337"/>
      <c r="L5649" s="338"/>
      <c r="M5649" s="334">
        <v>823</v>
      </c>
      <c r="N5649" s="362">
        <f t="shared" ref="N5649:N5697" si="188">L5649+M5649</f>
        <v>823</v>
      </c>
      <c r="X5649" s="339"/>
    </row>
    <row r="5650" s="330" customFormat="1" ht="15" customHeight="1" spans="1:24">
      <c r="A5650" s="334"/>
      <c r="B5650" s="348" t="s">
        <v>315</v>
      </c>
      <c r="C5650" s="348" t="s">
        <v>366</v>
      </c>
      <c r="D5650" s="349" t="s">
        <v>132</v>
      </c>
      <c r="E5650" s="336">
        <v>43738</v>
      </c>
      <c r="F5650" s="336" t="s">
        <v>800</v>
      </c>
      <c r="G5650" s="336">
        <v>43732</v>
      </c>
      <c r="H5650" s="334" t="s">
        <v>5610</v>
      </c>
      <c r="I5650" s="334">
        <v>1331959066</v>
      </c>
      <c r="J5650" s="334" t="s">
        <v>10024</v>
      </c>
      <c r="K5650" s="337"/>
      <c r="L5650" s="338"/>
      <c r="M5650" s="334">
        <v>27745</v>
      </c>
      <c r="N5650" s="362">
        <f t="shared" si="188"/>
        <v>27745</v>
      </c>
      <c r="X5650" s="339"/>
    </row>
    <row r="5651" s="330" customFormat="1" ht="15" customHeight="1" spans="1:24">
      <c r="A5651" s="334"/>
      <c r="B5651" s="348" t="s">
        <v>31</v>
      </c>
      <c r="C5651" s="334" t="s">
        <v>419</v>
      </c>
      <c r="D5651" s="349" t="s">
        <v>89</v>
      </c>
      <c r="E5651" s="336">
        <v>43738</v>
      </c>
      <c r="F5651" s="336" t="s">
        <v>800</v>
      </c>
      <c r="G5651" s="336">
        <v>43738</v>
      </c>
      <c r="H5651" s="334" t="s">
        <v>6915</v>
      </c>
      <c r="I5651" s="334">
        <v>13918400217</v>
      </c>
      <c r="J5651" s="334" t="s">
        <v>13023</v>
      </c>
      <c r="K5651" s="337"/>
      <c r="L5651" s="338"/>
      <c r="M5651" s="334">
        <v>307</v>
      </c>
      <c r="N5651" s="362">
        <f t="shared" si="188"/>
        <v>307</v>
      </c>
      <c r="X5651" s="339"/>
    </row>
    <row r="5652" s="330" customFormat="1" ht="15" customHeight="1" spans="1:24">
      <c r="A5652" s="334"/>
      <c r="B5652" s="334" t="s">
        <v>137</v>
      </c>
      <c r="C5652" s="334" t="s">
        <v>426</v>
      </c>
      <c r="D5652" s="334" t="s">
        <v>717</v>
      </c>
      <c r="E5652" s="336">
        <v>43738</v>
      </c>
      <c r="F5652" s="336" t="s">
        <v>800</v>
      </c>
      <c r="G5652" s="336">
        <v>43737</v>
      </c>
      <c r="H5652" s="334" t="s">
        <v>13024</v>
      </c>
      <c r="I5652" s="334">
        <v>13818787192</v>
      </c>
      <c r="J5652" s="334" t="s">
        <v>13025</v>
      </c>
      <c r="K5652" s="337"/>
      <c r="L5652" s="338"/>
      <c r="M5652" s="334">
        <v>1158</v>
      </c>
      <c r="N5652" s="362">
        <f t="shared" si="188"/>
        <v>1158</v>
      </c>
      <c r="X5652" s="339"/>
    </row>
    <row r="5653" s="330" customFormat="1" ht="15" customHeight="1" spans="1:24">
      <c r="A5653" s="334"/>
      <c r="B5653" s="334" t="s">
        <v>123</v>
      </c>
      <c r="C5653" s="334" t="s">
        <v>32</v>
      </c>
      <c r="D5653" s="335" t="s">
        <v>125</v>
      </c>
      <c r="E5653" s="336">
        <v>43738</v>
      </c>
      <c r="F5653" s="336" t="s">
        <v>800</v>
      </c>
      <c r="G5653" s="336">
        <v>43737</v>
      </c>
      <c r="H5653" s="334" t="s">
        <v>13026</v>
      </c>
      <c r="I5653" s="356">
        <v>13701915578</v>
      </c>
      <c r="J5653" s="348" t="s">
        <v>13027</v>
      </c>
      <c r="K5653" s="337"/>
      <c r="L5653" s="338"/>
      <c r="M5653" s="334">
        <v>4058</v>
      </c>
      <c r="N5653" s="362">
        <f t="shared" si="188"/>
        <v>4058</v>
      </c>
      <c r="X5653" s="339"/>
    </row>
    <row r="5654" s="330" customFormat="1" ht="15" customHeight="1" spans="1:24">
      <c r="A5654" s="334"/>
      <c r="B5654" s="348" t="s">
        <v>137</v>
      </c>
      <c r="C5654" s="348" t="s">
        <v>411</v>
      </c>
      <c r="D5654" s="349" t="s">
        <v>139</v>
      </c>
      <c r="E5654" s="336">
        <v>43738</v>
      </c>
      <c r="F5654" s="336" t="s">
        <v>800</v>
      </c>
      <c r="G5654" s="336">
        <v>43738</v>
      </c>
      <c r="H5654" s="334" t="s">
        <v>13028</v>
      </c>
      <c r="I5654" s="334">
        <v>15942606376</v>
      </c>
      <c r="J5654" s="334" t="s">
        <v>2338</v>
      </c>
      <c r="K5654" s="337"/>
      <c r="L5654" s="338"/>
      <c r="M5654" s="334">
        <v>732</v>
      </c>
      <c r="N5654" s="362">
        <f t="shared" si="188"/>
        <v>732</v>
      </c>
      <c r="X5654" s="339"/>
    </row>
    <row r="5655" s="330" customFormat="1" ht="15" customHeight="1" spans="1:24">
      <c r="A5655" s="334"/>
      <c r="B5655" s="348" t="s">
        <v>137</v>
      </c>
      <c r="C5655" s="348" t="s">
        <v>138</v>
      </c>
      <c r="D5655" s="352" t="s">
        <v>139</v>
      </c>
      <c r="E5655" s="336">
        <v>43738</v>
      </c>
      <c r="F5655" s="336" t="s">
        <v>800</v>
      </c>
      <c r="G5655" s="336">
        <v>43738</v>
      </c>
      <c r="H5655" s="334" t="s">
        <v>8254</v>
      </c>
      <c r="I5655" s="334">
        <v>13701691905</v>
      </c>
      <c r="J5655" s="334" t="s">
        <v>13029</v>
      </c>
      <c r="K5655" s="337"/>
      <c r="L5655" s="338"/>
      <c r="M5655" s="334">
        <v>4851</v>
      </c>
      <c r="N5655" s="362">
        <f t="shared" si="188"/>
        <v>4851</v>
      </c>
      <c r="X5655" s="339"/>
    </row>
    <row r="5656" s="330" customFormat="1" ht="15" customHeight="1" spans="1:24">
      <c r="A5656" s="334"/>
      <c r="B5656" s="334" t="s">
        <v>315</v>
      </c>
      <c r="C5656" s="334" t="s">
        <v>366</v>
      </c>
      <c r="D5656" s="334" t="s">
        <v>717</v>
      </c>
      <c r="E5656" s="336">
        <v>43738</v>
      </c>
      <c r="F5656" s="336" t="s">
        <v>800</v>
      </c>
      <c r="G5656" s="336">
        <v>43730</v>
      </c>
      <c r="H5656" s="334" t="s">
        <v>12387</v>
      </c>
      <c r="I5656" s="334">
        <v>13661990618</v>
      </c>
      <c r="J5656" s="334" t="s">
        <v>12388</v>
      </c>
      <c r="K5656" s="337"/>
      <c r="L5656" s="338"/>
      <c r="M5656" s="334">
        <v>10405</v>
      </c>
      <c r="N5656" s="362">
        <f t="shared" si="188"/>
        <v>10405</v>
      </c>
      <c r="X5656" s="339"/>
    </row>
    <row r="5657" s="330" customFormat="1" ht="15" customHeight="1" spans="1:24">
      <c r="A5657" s="334"/>
      <c r="B5657" s="348" t="s">
        <v>236</v>
      </c>
      <c r="C5657" s="348" t="s">
        <v>703</v>
      </c>
      <c r="D5657" s="349" t="s">
        <v>187</v>
      </c>
      <c r="E5657" s="336">
        <v>43738</v>
      </c>
      <c r="F5657" s="336" t="s">
        <v>800</v>
      </c>
      <c r="G5657" s="336">
        <v>43715</v>
      </c>
      <c r="H5657" s="334" t="s">
        <v>10477</v>
      </c>
      <c r="I5657" s="334">
        <v>13002113276</v>
      </c>
      <c r="J5657" s="348" t="s">
        <v>10478</v>
      </c>
      <c r="K5657" s="337"/>
      <c r="L5657" s="338"/>
      <c r="M5657" s="334">
        <v>6600</v>
      </c>
      <c r="N5657" s="362">
        <f t="shared" si="188"/>
        <v>6600</v>
      </c>
      <c r="X5657" s="339"/>
    </row>
    <row r="5658" s="330" customFormat="1" ht="15" customHeight="1" spans="1:24">
      <c r="A5658" s="334"/>
      <c r="B5658" s="348" t="s">
        <v>31</v>
      </c>
      <c r="C5658" s="348" t="s">
        <v>2716</v>
      </c>
      <c r="D5658" s="334" t="s">
        <v>68</v>
      </c>
      <c r="E5658" s="336">
        <v>43738</v>
      </c>
      <c r="F5658" s="336" t="s">
        <v>800</v>
      </c>
      <c r="G5658" s="336">
        <v>43723</v>
      </c>
      <c r="H5658" s="334" t="s">
        <v>5950</v>
      </c>
      <c r="I5658" s="334">
        <v>18930969507</v>
      </c>
      <c r="J5658" s="334" t="s">
        <v>5951</v>
      </c>
      <c r="K5658" s="337"/>
      <c r="L5658" s="338"/>
      <c r="M5658" s="334">
        <v>2524</v>
      </c>
      <c r="N5658" s="362">
        <f t="shared" si="188"/>
        <v>2524</v>
      </c>
      <c r="X5658" s="339"/>
    </row>
    <row r="5659" s="330" customFormat="1" ht="15" customHeight="1" spans="1:24">
      <c r="A5659" s="334"/>
      <c r="B5659" s="348" t="s">
        <v>185</v>
      </c>
      <c r="C5659" s="348" t="s">
        <v>1620</v>
      </c>
      <c r="D5659" s="352" t="s">
        <v>44</v>
      </c>
      <c r="E5659" s="336">
        <v>43738</v>
      </c>
      <c r="F5659" s="336" t="s">
        <v>800</v>
      </c>
      <c r="G5659" s="336">
        <v>43736</v>
      </c>
      <c r="H5659" s="334" t="s">
        <v>9105</v>
      </c>
      <c r="I5659" s="334">
        <v>13917771135</v>
      </c>
      <c r="J5659" s="334" t="s">
        <v>13030</v>
      </c>
      <c r="K5659" s="337"/>
      <c r="L5659" s="338"/>
      <c r="M5659" s="334">
        <v>618</v>
      </c>
      <c r="N5659" s="362">
        <f t="shared" si="188"/>
        <v>618</v>
      </c>
      <c r="X5659" s="339"/>
    </row>
    <row r="5660" s="330" customFormat="1" ht="15" customHeight="1" spans="1:24">
      <c r="A5660" s="334"/>
      <c r="B5660" s="348" t="s">
        <v>137</v>
      </c>
      <c r="C5660" s="348" t="s">
        <v>411</v>
      </c>
      <c r="D5660" s="349" t="s">
        <v>139</v>
      </c>
      <c r="E5660" s="336">
        <v>43738</v>
      </c>
      <c r="F5660" s="336" t="s">
        <v>800</v>
      </c>
      <c r="G5660" s="336">
        <v>43738</v>
      </c>
      <c r="H5660" s="334" t="s">
        <v>3590</v>
      </c>
      <c r="I5660" s="334">
        <v>18121411776</v>
      </c>
      <c r="J5660" s="334" t="s">
        <v>3591</v>
      </c>
      <c r="K5660" s="337"/>
      <c r="L5660" s="338"/>
      <c r="M5660" s="334">
        <v>244</v>
      </c>
      <c r="N5660" s="362">
        <f t="shared" si="188"/>
        <v>244</v>
      </c>
      <c r="X5660" s="339"/>
    </row>
    <row r="5661" s="330" customFormat="1" ht="15" customHeight="1" spans="1:24">
      <c r="A5661" s="334"/>
      <c r="B5661" s="334" t="s">
        <v>169</v>
      </c>
      <c r="C5661" s="334" t="s">
        <v>8075</v>
      </c>
      <c r="D5661" s="334" t="s">
        <v>171</v>
      </c>
      <c r="E5661" s="336">
        <v>43738</v>
      </c>
      <c r="F5661" s="336" t="s">
        <v>800</v>
      </c>
      <c r="G5661" s="336">
        <v>43737</v>
      </c>
      <c r="H5661" s="334" t="s">
        <v>8355</v>
      </c>
      <c r="I5661" s="551" t="s">
        <v>13031</v>
      </c>
      <c r="J5661" s="334" t="s">
        <v>13032</v>
      </c>
      <c r="K5661" s="337"/>
      <c r="L5661" s="334"/>
      <c r="M5661" s="334">
        <v>1287</v>
      </c>
      <c r="N5661" s="362">
        <f t="shared" si="188"/>
        <v>1287</v>
      </c>
      <c r="X5661" s="339"/>
    </row>
    <row r="5662" s="330" customFormat="1" ht="15" customHeight="1" spans="1:24">
      <c r="A5662" s="334"/>
      <c r="B5662" s="348" t="s">
        <v>42</v>
      </c>
      <c r="C5662" s="348" t="s">
        <v>1728</v>
      </c>
      <c r="D5662" s="349" t="s">
        <v>149</v>
      </c>
      <c r="E5662" s="336">
        <v>43738</v>
      </c>
      <c r="F5662" s="336" t="s">
        <v>800</v>
      </c>
      <c r="G5662" s="336">
        <v>43720</v>
      </c>
      <c r="H5662" s="334" t="s">
        <v>3937</v>
      </c>
      <c r="I5662" s="334">
        <v>18916821138</v>
      </c>
      <c r="J5662" s="334" t="s">
        <v>13033</v>
      </c>
      <c r="K5662" s="337"/>
      <c r="L5662" s="338"/>
      <c r="M5662" s="334">
        <v>800</v>
      </c>
      <c r="N5662" s="362">
        <f t="shared" si="188"/>
        <v>800</v>
      </c>
      <c r="X5662" s="339"/>
    </row>
    <row r="5663" s="330" customFormat="1" ht="15" customHeight="1" spans="1:24">
      <c r="A5663" s="334"/>
      <c r="B5663" s="348" t="s">
        <v>58</v>
      </c>
      <c r="C5663" s="348" t="s">
        <v>59</v>
      </c>
      <c r="D5663" s="334" t="s">
        <v>271</v>
      </c>
      <c r="E5663" s="336">
        <v>43738</v>
      </c>
      <c r="F5663" s="336" t="s">
        <v>800</v>
      </c>
      <c r="G5663" s="336">
        <v>43738</v>
      </c>
      <c r="H5663" s="334" t="s">
        <v>7134</v>
      </c>
      <c r="I5663" s="334">
        <v>13661996115</v>
      </c>
      <c r="J5663" s="334" t="s">
        <v>7135</v>
      </c>
      <c r="K5663" s="337"/>
      <c r="L5663" s="338"/>
      <c r="M5663" s="334">
        <v>898</v>
      </c>
      <c r="N5663" s="362">
        <f t="shared" si="188"/>
        <v>898</v>
      </c>
      <c r="X5663" s="339"/>
    </row>
    <row r="5664" s="330" customFormat="1" ht="15" customHeight="1" spans="1:24">
      <c r="A5664" s="334"/>
      <c r="B5664" s="348" t="s">
        <v>31</v>
      </c>
      <c r="C5664" s="348" t="s">
        <v>32</v>
      </c>
      <c r="D5664" s="349" t="s">
        <v>33</v>
      </c>
      <c r="E5664" s="336">
        <v>43738</v>
      </c>
      <c r="F5664" s="336" t="s">
        <v>800</v>
      </c>
      <c r="G5664" s="336">
        <v>43738</v>
      </c>
      <c r="H5664" s="334" t="s">
        <v>1954</v>
      </c>
      <c r="I5664" s="334">
        <v>13916875641</v>
      </c>
      <c r="J5664" s="334" t="s">
        <v>1955</v>
      </c>
      <c r="K5664" s="337"/>
      <c r="L5664" s="338"/>
      <c r="M5664" s="334">
        <v>4453</v>
      </c>
      <c r="N5664" s="362">
        <f t="shared" si="188"/>
        <v>4453</v>
      </c>
      <c r="X5664" s="339"/>
    </row>
    <row r="5665" s="330" customFormat="1" ht="15" customHeight="1" spans="1:24">
      <c r="A5665" s="334"/>
      <c r="B5665" s="348" t="s">
        <v>169</v>
      </c>
      <c r="C5665" s="348" t="s">
        <v>542</v>
      </c>
      <c r="D5665" s="349" t="s">
        <v>171</v>
      </c>
      <c r="E5665" s="336">
        <v>43738</v>
      </c>
      <c r="F5665" s="336" t="s">
        <v>800</v>
      </c>
      <c r="G5665" s="336">
        <v>43738</v>
      </c>
      <c r="H5665" s="334" t="s">
        <v>2513</v>
      </c>
      <c r="I5665" s="334">
        <v>18501638393</v>
      </c>
      <c r="J5665" s="334" t="s">
        <v>13034</v>
      </c>
      <c r="K5665" s="337"/>
      <c r="L5665" s="338"/>
      <c r="M5665" s="334">
        <v>234</v>
      </c>
      <c r="N5665" s="362">
        <f t="shared" si="188"/>
        <v>234</v>
      </c>
      <c r="X5665" s="339"/>
    </row>
    <row r="5666" s="330" customFormat="1" ht="15" customHeight="1" spans="1:24">
      <c r="A5666" s="334"/>
      <c r="B5666" s="348" t="s">
        <v>315</v>
      </c>
      <c r="C5666" s="348" t="s">
        <v>181</v>
      </c>
      <c r="D5666" s="334" t="s">
        <v>89</v>
      </c>
      <c r="E5666" s="336">
        <v>43738</v>
      </c>
      <c r="F5666" s="336" t="s">
        <v>800</v>
      </c>
      <c r="G5666" s="336">
        <v>43738</v>
      </c>
      <c r="H5666" s="334" t="s">
        <v>9603</v>
      </c>
      <c r="I5666" s="334">
        <v>15026779645</v>
      </c>
      <c r="J5666" s="334" t="s">
        <v>13035</v>
      </c>
      <c r="K5666" s="337"/>
      <c r="L5666" s="338"/>
      <c r="M5666" s="334">
        <v>2599</v>
      </c>
      <c r="N5666" s="362">
        <f t="shared" si="188"/>
        <v>2599</v>
      </c>
      <c r="X5666" s="339"/>
    </row>
    <row r="5667" s="330" customFormat="1" ht="15" customHeight="1" spans="1:24">
      <c r="A5667" s="334"/>
      <c r="B5667" s="334" t="s">
        <v>94</v>
      </c>
      <c r="C5667" s="334" t="s">
        <v>95</v>
      </c>
      <c r="D5667" s="335" t="s">
        <v>49</v>
      </c>
      <c r="E5667" s="336">
        <v>43738</v>
      </c>
      <c r="F5667" s="336" t="s">
        <v>800</v>
      </c>
      <c r="G5667" s="336">
        <v>43738</v>
      </c>
      <c r="H5667" s="334" t="s">
        <v>12046</v>
      </c>
      <c r="I5667" s="334">
        <v>19921031810</v>
      </c>
      <c r="J5667" s="334" t="s">
        <v>13036</v>
      </c>
      <c r="K5667" s="337"/>
      <c r="L5667" s="338"/>
      <c r="M5667" s="334">
        <v>1671</v>
      </c>
      <c r="N5667" s="362">
        <f t="shared" si="188"/>
        <v>1671</v>
      </c>
      <c r="X5667" s="339"/>
    </row>
    <row r="5668" s="330" customFormat="1" ht="15" customHeight="1" spans="1:24">
      <c r="A5668" s="334"/>
      <c r="B5668" s="348" t="s">
        <v>73</v>
      </c>
      <c r="C5668" s="348" t="s">
        <v>74</v>
      </c>
      <c r="D5668" s="349" t="s">
        <v>132</v>
      </c>
      <c r="E5668" s="336">
        <v>43738</v>
      </c>
      <c r="F5668" s="336" t="s">
        <v>800</v>
      </c>
      <c r="G5668" s="336">
        <v>43738</v>
      </c>
      <c r="H5668" s="334" t="s">
        <v>6644</v>
      </c>
      <c r="I5668" s="334">
        <v>13621861965</v>
      </c>
      <c r="J5668" s="348" t="s">
        <v>13037</v>
      </c>
      <c r="K5668" s="337"/>
      <c r="L5668" s="338"/>
      <c r="M5668" s="334">
        <f>5706</f>
        <v>5706</v>
      </c>
      <c r="N5668" s="362">
        <f t="shared" si="188"/>
        <v>5706</v>
      </c>
      <c r="X5668" s="339"/>
    </row>
    <row r="5669" s="330" customFormat="1" ht="15" customHeight="1" spans="1:24">
      <c r="A5669" s="334"/>
      <c r="B5669" s="348" t="s">
        <v>137</v>
      </c>
      <c r="C5669" s="348" t="s">
        <v>411</v>
      </c>
      <c r="D5669" s="349" t="s">
        <v>427</v>
      </c>
      <c r="E5669" s="336">
        <v>43738</v>
      </c>
      <c r="F5669" s="336" t="s">
        <v>800</v>
      </c>
      <c r="G5669" s="336">
        <v>43738</v>
      </c>
      <c r="H5669" s="334" t="s">
        <v>5145</v>
      </c>
      <c r="I5669" s="334">
        <v>13817218658</v>
      </c>
      <c r="J5669" s="334" t="s">
        <v>5146</v>
      </c>
      <c r="K5669" s="337"/>
      <c r="L5669" s="338"/>
      <c r="M5669" s="334">
        <v>1725</v>
      </c>
      <c r="N5669" s="362">
        <f t="shared" si="188"/>
        <v>1725</v>
      </c>
      <c r="X5669" s="339"/>
    </row>
    <row r="5670" s="330" customFormat="1" ht="15" customHeight="1" spans="1:24">
      <c r="A5670" s="334"/>
      <c r="B5670" s="348" t="s">
        <v>66</v>
      </c>
      <c r="C5670" s="348" t="s">
        <v>3954</v>
      </c>
      <c r="D5670" s="349" t="s">
        <v>44</v>
      </c>
      <c r="E5670" s="336">
        <v>43738</v>
      </c>
      <c r="F5670" s="336" t="s">
        <v>800</v>
      </c>
      <c r="G5670" s="336">
        <v>43738</v>
      </c>
      <c r="H5670" s="334" t="s">
        <v>3955</v>
      </c>
      <c r="I5670" s="334">
        <v>13816525076</v>
      </c>
      <c r="J5670" s="334" t="s">
        <v>3956</v>
      </c>
      <c r="K5670" s="337"/>
      <c r="L5670" s="338"/>
      <c r="M5670" s="334">
        <v>205</v>
      </c>
      <c r="N5670" s="362">
        <f t="shared" si="188"/>
        <v>205</v>
      </c>
      <c r="X5670" s="339"/>
    </row>
    <row r="5671" s="330" customFormat="1" ht="15" customHeight="1" spans="1:24">
      <c r="A5671" s="334"/>
      <c r="B5671" s="348" t="s">
        <v>31</v>
      </c>
      <c r="C5671" s="348" t="s">
        <v>377</v>
      </c>
      <c r="D5671" s="349" t="s">
        <v>221</v>
      </c>
      <c r="E5671" s="336">
        <v>43738</v>
      </c>
      <c r="F5671" s="336" t="s">
        <v>800</v>
      </c>
      <c r="G5671" s="336">
        <v>43738</v>
      </c>
      <c r="H5671" s="334" t="s">
        <v>3693</v>
      </c>
      <c r="I5671" s="334">
        <v>15121122062</v>
      </c>
      <c r="J5671" s="334" t="s">
        <v>11216</v>
      </c>
      <c r="K5671" s="337"/>
      <c r="L5671" s="338"/>
      <c r="M5671" s="334">
        <v>1988</v>
      </c>
      <c r="N5671" s="362">
        <f t="shared" si="188"/>
        <v>1988</v>
      </c>
      <c r="X5671" s="339"/>
    </row>
    <row r="5672" s="330" customFormat="1" ht="15" customHeight="1" spans="1:24">
      <c r="A5672" s="334"/>
      <c r="B5672" s="348" t="s">
        <v>87</v>
      </c>
      <c r="C5672" s="348" t="s">
        <v>466</v>
      </c>
      <c r="D5672" s="352" t="s">
        <v>89</v>
      </c>
      <c r="E5672" s="336">
        <v>43738</v>
      </c>
      <c r="F5672" s="336" t="s">
        <v>800</v>
      </c>
      <c r="G5672" s="336">
        <v>43729</v>
      </c>
      <c r="H5672" s="334" t="s">
        <v>8344</v>
      </c>
      <c r="I5672" s="334">
        <v>13795487816</v>
      </c>
      <c r="J5672" s="334" t="s">
        <v>13038</v>
      </c>
      <c r="K5672" s="337"/>
      <c r="L5672" s="338"/>
      <c r="M5672" s="334">
        <v>3000</v>
      </c>
      <c r="N5672" s="362">
        <f t="shared" si="188"/>
        <v>3000</v>
      </c>
      <c r="X5672" s="339"/>
    </row>
    <row r="5673" s="330" customFormat="1" ht="15" customHeight="1" spans="1:24">
      <c r="A5673" s="334"/>
      <c r="B5673" s="348" t="s">
        <v>58</v>
      </c>
      <c r="C5673" s="348" t="s">
        <v>59</v>
      </c>
      <c r="D5673" s="349" t="s">
        <v>271</v>
      </c>
      <c r="E5673" s="336">
        <v>43738</v>
      </c>
      <c r="F5673" s="336" t="s">
        <v>800</v>
      </c>
      <c r="G5673" s="336">
        <v>43738</v>
      </c>
      <c r="H5673" s="334" t="s">
        <v>912</v>
      </c>
      <c r="I5673" s="334">
        <v>13641605641</v>
      </c>
      <c r="J5673" s="334" t="s">
        <v>13039</v>
      </c>
      <c r="K5673" s="337"/>
      <c r="L5673" s="338"/>
      <c r="M5673" s="334">
        <v>2262</v>
      </c>
      <c r="N5673" s="362">
        <f t="shared" si="188"/>
        <v>2262</v>
      </c>
      <c r="X5673" s="339"/>
    </row>
    <row r="5674" s="330" customFormat="1" ht="15" customHeight="1" spans="1:24">
      <c r="A5674" s="334"/>
      <c r="B5674" s="348" t="s">
        <v>147</v>
      </c>
      <c r="C5674" s="334" t="s">
        <v>148</v>
      </c>
      <c r="D5674" s="349" t="s">
        <v>187</v>
      </c>
      <c r="E5674" s="336">
        <v>43738</v>
      </c>
      <c r="F5674" s="336" t="s">
        <v>800</v>
      </c>
      <c r="G5674" s="336">
        <v>43738</v>
      </c>
      <c r="H5674" s="334" t="s">
        <v>6846</v>
      </c>
      <c r="I5674" s="334">
        <v>13758555719</v>
      </c>
      <c r="J5674" s="348" t="s">
        <v>7899</v>
      </c>
      <c r="K5674" s="337"/>
      <c r="L5674" s="338"/>
      <c r="M5674" s="334">
        <v>840</v>
      </c>
      <c r="N5674" s="362">
        <f t="shared" si="188"/>
        <v>840</v>
      </c>
      <c r="X5674" s="339"/>
    </row>
    <row r="5675" s="330" customFormat="1" ht="15" customHeight="1" spans="1:24">
      <c r="A5675" s="334"/>
      <c r="B5675" s="348" t="s">
        <v>42</v>
      </c>
      <c r="C5675" s="348" t="s">
        <v>1728</v>
      </c>
      <c r="D5675" s="334" t="s">
        <v>207</v>
      </c>
      <c r="E5675" s="336">
        <v>43738</v>
      </c>
      <c r="F5675" s="336" t="s">
        <v>800</v>
      </c>
      <c r="G5675" s="336">
        <v>43738</v>
      </c>
      <c r="H5675" s="334" t="s">
        <v>6771</v>
      </c>
      <c r="I5675" s="334">
        <v>18516555228</v>
      </c>
      <c r="J5675" s="334" t="s">
        <v>13040</v>
      </c>
      <c r="K5675" s="337"/>
      <c r="L5675" s="338"/>
      <c r="M5675" s="334">
        <v>-34</v>
      </c>
      <c r="N5675" s="362">
        <f t="shared" si="188"/>
        <v>-34</v>
      </c>
      <c r="X5675" s="339"/>
    </row>
    <row r="5676" s="330" customFormat="1" ht="15" customHeight="1" spans="1:24">
      <c r="A5676" s="334"/>
      <c r="B5676" s="348" t="s">
        <v>31</v>
      </c>
      <c r="C5676" s="334" t="s">
        <v>220</v>
      </c>
      <c r="D5676" s="349" t="s">
        <v>33</v>
      </c>
      <c r="E5676" s="336">
        <v>43738</v>
      </c>
      <c r="F5676" s="336" t="s">
        <v>800</v>
      </c>
      <c r="G5676" s="336">
        <v>43738</v>
      </c>
      <c r="H5676" s="334" t="s">
        <v>13041</v>
      </c>
      <c r="I5676" s="334">
        <v>13916167067</v>
      </c>
      <c r="J5676" s="334" t="s">
        <v>6876</v>
      </c>
      <c r="K5676" s="337"/>
      <c r="L5676" s="338"/>
      <c r="M5676" s="334">
        <v>15192</v>
      </c>
      <c r="N5676" s="362">
        <f t="shared" si="188"/>
        <v>15192</v>
      </c>
      <c r="X5676" s="339"/>
    </row>
    <row r="5677" s="330" customFormat="1" ht="15" customHeight="1" spans="1:24">
      <c r="A5677" s="334"/>
      <c r="B5677" s="348" t="s">
        <v>359</v>
      </c>
      <c r="C5677" s="348" t="s">
        <v>5184</v>
      </c>
      <c r="D5677" s="349" t="s">
        <v>361</v>
      </c>
      <c r="E5677" s="336">
        <v>43738</v>
      </c>
      <c r="F5677" s="336" t="s">
        <v>800</v>
      </c>
      <c r="G5677" s="336">
        <v>43738</v>
      </c>
      <c r="H5677" s="334" t="s">
        <v>5193</v>
      </c>
      <c r="I5677" s="334">
        <v>18901696988</v>
      </c>
      <c r="J5677" s="334" t="s">
        <v>5194</v>
      </c>
      <c r="K5677" s="337"/>
      <c r="L5677" s="338"/>
      <c r="M5677" s="334">
        <v>1445</v>
      </c>
      <c r="N5677" s="362">
        <f t="shared" si="188"/>
        <v>1445</v>
      </c>
      <c r="X5677" s="339"/>
    </row>
    <row r="5678" s="330" customFormat="1" ht="15" customHeight="1" spans="1:24">
      <c r="A5678" s="334"/>
      <c r="B5678" s="348" t="s">
        <v>35</v>
      </c>
      <c r="C5678" s="334" t="s">
        <v>392</v>
      </c>
      <c r="D5678" s="349" t="s">
        <v>187</v>
      </c>
      <c r="E5678" s="336">
        <v>43738</v>
      </c>
      <c r="F5678" s="336" t="s">
        <v>800</v>
      </c>
      <c r="G5678" s="336">
        <v>43734</v>
      </c>
      <c r="H5678" s="334" t="s">
        <v>13042</v>
      </c>
      <c r="I5678" s="334">
        <v>18101067467</v>
      </c>
      <c r="J5678" s="334" t="s">
        <v>6407</v>
      </c>
      <c r="K5678" s="337"/>
      <c r="L5678" s="338"/>
      <c r="M5678" s="334">
        <v>5534</v>
      </c>
      <c r="N5678" s="362">
        <f t="shared" si="188"/>
        <v>5534</v>
      </c>
      <c r="X5678" s="339"/>
    </row>
    <row r="5679" s="330" customFormat="1" ht="15" customHeight="1" spans="1:24">
      <c r="A5679" s="334"/>
      <c r="B5679" s="348" t="s">
        <v>153</v>
      </c>
      <c r="C5679" s="334" t="s">
        <v>302</v>
      </c>
      <c r="D5679" s="352" t="s">
        <v>155</v>
      </c>
      <c r="E5679" s="336">
        <v>43739</v>
      </c>
      <c r="F5679" s="336" t="s">
        <v>800</v>
      </c>
      <c r="G5679" s="336">
        <v>43739</v>
      </c>
      <c r="H5679" s="334" t="s">
        <v>8920</v>
      </c>
      <c r="I5679" s="334">
        <v>18101796806</v>
      </c>
      <c r="J5679" s="334" t="s">
        <v>8921</v>
      </c>
      <c r="K5679" s="337"/>
      <c r="L5679" s="338"/>
      <c r="M5679" s="334">
        <v>773</v>
      </c>
      <c r="N5679" s="362">
        <f t="shared" si="188"/>
        <v>773</v>
      </c>
      <c r="X5679" s="339"/>
    </row>
    <row r="5680" s="330" customFormat="1" ht="15" customHeight="1" spans="1:24">
      <c r="A5680" s="334"/>
      <c r="B5680" s="334" t="s">
        <v>58</v>
      </c>
      <c r="C5680" s="334" t="s">
        <v>59</v>
      </c>
      <c r="D5680" s="334" t="s">
        <v>343</v>
      </c>
      <c r="E5680" s="336">
        <v>43740</v>
      </c>
      <c r="F5680" s="336" t="s">
        <v>800</v>
      </c>
      <c r="G5680" s="336">
        <v>43739</v>
      </c>
      <c r="H5680" s="334" t="s">
        <v>13043</v>
      </c>
      <c r="I5680" s="356">
        <v>13701778636</v>
      </c>
      <c r="J5680" s="348" t="s">
        <v>7327</v>
      </c>
      <c r="K5680" s="337"/>
      <c r="L5680" s="338"/>
      <c r="M5680" s="334">
        <v>274</v>
      </c>
      <c r="N5680" s="362">
        <f t="shared" si="188"/>
        <v>274</v>
      </c>
      <c r="X5680" s="339"/>
    </row>
    <row r="5681" s="330" customFormat="1" ht="15" customHeight="1" spans="1:24">
      <c r="A5681" s="334"/>
      <c r="B5681" s="348" t="s">
        <v>58</v>
      </c>
      <c r="C5681" s="348" t="s">
        <v>794</v>
      </c>
      <c r="D5681" s="352" t="s">
        <v>110</v>
      </c>
      <c r="E5681" s="336">
        <v>43740</v>
      </c>
      <c r="F5681" s="336" t="s">
        <v>800</v>
      </c>
      <c r="G5681" s="336">
        <v>43737</v>
      </c>
      <c r="H5681" s="334" t="s">
        <v>9245</v>
      </c>
      <c r="I5681" s="334">
        <v>13564482649</v>
      </c>
      <c r="J5681" s="334" t="s">
        <v>13044</v>
      </c>
      <c r="K5681" s="337"/>
      <c r="L5681" s="338"/>
      <c r="M5681" s="334">
        <v>20000</v>
      </c>
      <c r="N5681" s="362">
        <f t="shared" si="188"/>
        <v>20000</v>
      </c>
      <c r="X5681" s="339"/>
    </row>
    <row r="5682" s="330" customFormat="1" ht="15" customHeight="1" spans="1:24">
      <c r="A5682" s="334"/>
      <c r="B5682" s="348" t="s">
        <v>137</v>
      </c>
      <c r="C5682" s="348" t="s">
        <v>861</v>
      </c>
      <c r="D5682" s="349" t="s">
        <v>139</v>
      </c>
      <c r="E5682" s="336">
        <v>43738</v>
      </c>
      <c r="F5682" s="336" t="s">
        <v>800</v>
      </c>
      <c r="G5682" s="336">
        <v>43725</v>
      </c>
      <c r="H5682" s="334" t="s">
        <v>6347</v>
      </c>
      <c r="I5682" s="444">
        <v>18101810845</v>
      </c>
      <c r="J5682" s="348" t="s">
        <v>6348</v>
      </c>
      <c r="K5682" s="337"/>
      <c r="L5682" s="338"/>
      <c r="M5682" s="334">
        <v>10</v>
      </c>
      <c r="N5682" s="362">
        <f t="shared" si="188"/>
        <v>10</v>
      </c>
      <c r="X5682" s="339"/>
    </row>
    <row r="5683" s="330" customFormat="1" ht="15" customHeight="1" spans="1:24">
      <c r="A5683" s="334"/>
      <c r="B5683" s="348" t="s">
        <v>73</v>
      </c>
      <c r="C5683" s="348" t="s">
        <v>74</v>
      </c>
      <c r="D5683" s="334" t="s">
        <v>75</v>
      </c>
      <c r="E5683" s="336">
        <v>43740</v>
      </c>
      <c r="F5683" s="336" t="s">
        <v>800</v>
      </c>
      <c r="G5683" s="336">
        <v>43739</v>
      </c>
      <c r="H5683" s="334" t="s">
        <v>13045</v>
      </c>
      <c r="I5683" s="334">
        <v>15026685582</v>
      </c>
      <c r="J5683" s="334" t="s">
        <v>9642</v>
      </c>
      <c r="K5683" s="337"/>
      <c r="L5683" s="338"/>
      <c r="M5683" s="334">
        <v>-593</v>
      </c>
      <c r="N5683" s="362">
        <f t="shared" si="188"/>
        <v>-593</v>
      </c>
      <c r="X5683" s="339"/>
    </row>
    <row r="5684" s="330" customFormat="1" ht="15" customHeight="1" spans="1:24">
      <c r="A5684" s="334"/>
      <c r="B5684" s="334" t="s">
        <v>137</v>
      </c>
      <c r="C5684" s="334" t="s">
        <v>861</v>
      </c>
      <c r="D5684" s="334" t="s">
        <v>443</v>
      </c>
      <c r="E5684" s="336">
        <v>43740</v>
      </c>
      <c r="F5684" s="336" t="s">
        <v>800</v>
      </c>
      <c r="G5684" s="336">
        <v>43739</v>
      </c>
      <c r="H5684" s="334" t="s">
        <v>4935</v>
      </c>
      <c r="I5684" s="334">
        <v>13671660954</v>
      </c>
      <c r="J5684" s="334" t="s">
        <v>6147</v>
      </c>
      <c r="K5684" s="337"/>
      <c r="L5684" s="338"/>
      <c r="M5684" s="334">
        <v>1981</v>
      </c>
      <c r="N5684" s="362">
        <f t="shared" si="188"/>
        <v>1981</v>
      </c>
      <c r="X5684" s="339"/>
    </row>
    <row r="5685" s="330" customFormat="1" ht="15" customHeight="1" spans="1:24">
      <c r="A5685" s="334"/>
      <c r="B5685" s="348" t="s">
        <v>137</v>
      </c>
      <c r="C5685" s="348" t="s">
        <v>138</v>
      </c>
      <c r="D5685" s="352" t="s">
        <v>139</v>
      </c>
      <c r="E5685" s="336">
        <v>43740</v>
      </c>
      <c r="F5685" s="336" t="s">
        <v>800</v>
      </c>
      <c r="G5685" s="336">
        <v>43736</v>
      </c>
      <c r="H5685" s="334" t="s">
        <v>2773</v>
      </c>
      <c r="I5685" s="334">
        <v>13681938192</v>
      </c>
      <c r="J5685" s="334" t="s">
        <v>6100</v>
      </c>
      <c r="K5685" s="337"/>
      <c r="L5685" s="338"/>
      <c r="M5685" s="334">
        <v>-2895</v>
      </c>
      <c r="N5685" s="362">
        <f t="shared" si="188"/>
        <v>-2895</v>
      </c>
      <c r="X5685" s="339"/>
    </row>
    <row r="5686" s="330" customFormat="1" ht="15" customHeight="1" spans="1:24">
      <c r="A5686" s="334"/>
      <c r="B5686" s="348" t="s">
        <v>2625</v>
      </c>
      <c r="C5686" s="348" t="s">
        <v>2626</v>
      </c>
      <c r="D5686" s="334" t="s">
        <v>2302</v>
      </c>
      <c r="E5686" s="336">
        <v>43740</v>
      </c>
      <c r="F5686" s="336" t="s">
        <v>800</v>
      </c>
      <c r="G5686" s="336">
        <v>43738</v>
      </c>
      <c r="H5686" s="334" t="s">
        <v>8061</v>
      </c>
      <c r="I5686" s="334">
        <v>13817904620</v>
      </c>
      <c r="J5686" s="334" t="s">
        <v>8062</v>
      </c>
      <c r="K5686" s="337"/>
      <c r="L5686" s="338"/>
      <c r="M5686" s="334">
        <v>300</v>
      </c>
      <c r="N5686" s="362">
        <f t="shared" si="188"/>
        <v>300</v>
      </c>
      <c r="X5686" s="339"/>
    </row>
    <row r="5687" s="330" customFormat="1" ht="15" customHeight="1" spans="1:24">
      <c r="A5687" s="334"/>
      <c r="B5687" s="334" t="s">
        <v>354</v>
      </c>
      <c r="C5687" s="334" t="s">
        <v>355</v>
      </c>
      <c r="D5687" s="334" t="s">
        <v>182</v>
      </c>
      <c r="E5687" s="336">
        <v>43740</v>
      </c>
      <c r="F5687" s="336" t="s">
        <v>800</v>
      </c>
      <c r="G5687" s="336">
        <v>43734</v>
      </c>
      <c r="H5687" s="334" t="s">
        <v>6485</v>
      </c>
      <c r="I5687" s="334">
        <v>13916371499</v>
      </c>
      <c r="J5687" s="334" t="s">
        <v>13046</v>
      </c>
      <c r="K5687" s="337"/>
      <c r="L5687" s="338"/>
      <c r="M5687" s="334">
        <v>1273</v>
      </c>
      <c r="N5687" s="362">
        <f t="shared" si="188"/>
        <v>1273</v>
      </c>
      <c r="X5687" s="339"/>
    </row>
    <row r="5688" s="330" customFormat="1" ht="15" customHeight="1" spans="1:24">
      <c r="A5688" s="334"/>
      <c r="B5688" s="348" t="s">
        <v>354</v>
      </c>
      <c r="C5688" s="348" t="s">
        <v>355</v>
      </c>
      <c r="D5688" s="334" t="s">
        <v>162</v>
      </c>
      <c r="E5688" s="336">
        <v>43741</v>
      </c>
      <c r="F5688" s="336" t="s">
        <v>800</v>
      </c>
      <c r="G5688" s="336">
        <v>43733</v>
      </c>
      <c r="H5688" s="334" t="s">
        <v>5959</v>
      </c>
      <c r="I5688" s="334">
        <v>13817920303</v>
      </c>
      <c r="J5688" s="334" t="s">
        <v>13047</v>
      </c>
      <c r="K5688" s="337"/>
      <c r="L5688" s="338"/>
      <c r="M5688" s="334">
        <v>-840</v>
      </c>
      <c r="N5688" s="362">
        <f t="shared" si="188"/>
        <v>-840</v>
      </c>
      <c r="X5688" s="339"/>
    </row>
    <row r="5689" s="330" customFormat="1" ht="15" customHeight="1" spans="1:24">
      <c r="A5689" s="334"/>
      <c r="B5689" s="334" t="s">
        <v>354</v>
      </c>
      <c r="C5689" s="334" t="s">
        <v>355</v>
      </c>
      <c r="D5689" s="334" t="s">
        <v>149</v>
      </c>
      <c r="E5689" s="336">
        <v>43741</v>
      </c>
      <c r="F5689" s="336" t="s">
        <v>800</v>
      </c>
      <c r="G5689" s="336">
        <v>43740</v>
      </c>
      <c r="H5689" s="334" t="s">
        <v>11501</v>
      </c>
      <c r="I5689" s="334">
        <v>13564650572</v>
      </c>
      <c r="J5689" s="334" t="s">
        <v>11502</v>
      </c>
      <c r="K5689" s="337"/>
      <c r="L5689" s="338"/>
      <c r="M5689" s="334">
        <v>1931</v>
      </c>
      <c r="N5689" s="362">
        <f t="shared" si="188"/>
        <v>1931</v>
      </c>
      <c r="X5689" s="339"/>
    </row>
    <row r="5690" s="330" customFormat="1" ht="15" customHeight="1" spans="1:24">
      <c r="A5690" s="334"/>
      <c r="B5690" s="334" t="s">
        <v>31</v>
      </c>
      <c r="C5690" s="334" t="s">
        <v>220</v>
      </c>
      <c r="D5690" s="334" t="s">
        <v>33</v>
      </c>
      <c r="E5690" s="336">
        <v>43741</v>
      </c>
      <c r="F5690" s="336" t="s">
        <v>800</v>
      </c>
      <c r="G5690" s="336">
        <v>43740</v>
      </c>
      <c r="H5690" s="334" t="s">
        <v>11760</v>
      </c>
      <c r="I5690" s="334">
        <v>13917523667</v>
      </c>
      <c r="J5690" s="334" t="s">
        <v>13048</v>
      </c>
      <c r="K5690" s="337"/>
      <c r="L5690" s="338"/>
      <c r="M5690" s="334">
        <v>298</v>
      </c>
      <c r="N5690" s="362">
        <f t="shared" si="188"/>
        <v>298</v>
      </c>
      <c r="X5690" s="339"/>
    </row>
    <row r="5691" s="330" customFormat="1" ht="15" customHeight="1" spans="1:24">
      <c r="A5691" s="334"/>
      <c r="B5691" s="348" t="s">
        <v>169</v>
      </c>
      <c r="C5691" s="348" t="s">
        <v>634</v>
      </c>
      <c r="D5691" s="349" t="s">
        <v>635</v>
      </c>
      <c r="E5691" s="336">
        <v>43741</v>
      </c>
      <c r="F5691" s="336" t="s">
        <v>800</v>
      </c>
      <c r="G5691" s="336">
        <v>43739</v>
      </c>
      <c r="H5691" s="334" t="s">
        <v>2764</v>
      </c>
      <c r="I5691" s="334">
        <v>18017113751</v>
      </c>
      <c r="J5691" s="334" t="s">
        <v>2765</v>
      </c>
      <c r="K5691" s="337"/>
      <c r="L5691" s="338"/>
      <c r="M5691" s="334">
        <v>4436</v>
      </c>
      <c r="N5691" s="362">
        <f t="shared" si="188"/>
        <v>4436</v>
      </c>
      <c r="X5691" s="339"/>
    </row>
    <row r="5692" s="330" customFormat="1" ht="15" customHeight="1" spans="1:24">
      <c r="A5692" s="334"/>
      <c r="B5692" s="348" t="s">
        <v>35</v>
      </c>
      <c r="C5692" s="348" t="s">
        <v>36</v>
      </c>
      <c r="D5692" s="352" t="s">
        <v>37</v>
      </c>
      <c r="E5692" s="336">
        <v>43741</v>
      </c>
      <c r="F5692" s="336" t="s">
        <v>800</v>
      </c>
      <c r="G5692" s="336">
        <v>43740</v>
      </c>
      <c r="H5692" s="334" t="s">
        <v>6785</v>
      </c>
      <c r="I5692" s="334">
        <v>13524777177</v>
      </c>
      <c r="J5692" s="334" t="s">
        <v>13049</v>
      </c>
      <c r="K5692" s="337"/>
      <c r="L5692" s="338"/>
      <c r="M5692" s="334">
        <v>47</v>
      </c>
      <c r="N5692" s="362">
        <f t="shared" si="188"/>
        <v>47</v>
      </c>
      <c r="X5692" s="339"/>
    </row>
    <row r="5693" s="330" customFormat="1" ht="15" customHeight="1" spans="1:24">
      <c r="A5693" s="334"/>
      <c r="B5693" s="334" t="s">
        <v>205</v>
      </c>
      <c r="C5693" s="334" t="s">
        <v>1467</v>
      </c>
      <c r="D5693" s="334" t="s">
        <v>407</v>
      </c>
      <c r="E5693" s="336">
        <v>43741</v>
      </c>
      <c r="F5693" s="336" t="s">
        <v>800</v>
      </c>
      <c r="G5693" s="336">
        <v>43741</v>
      </c>
      <c r="H5693" s="334" t="s">
        <v>12555</v>
      </c>
      <c r="I5693" s="334">
        <v>13512163040</v>
      </c>
      <c r="J5693" s="334" t="s">
        <v>12556</v>
      </c>
      <c r="K5693" s="337"/>
      <c r="L5693" s="338"/>
      <c r="M5693" s="334">
        <v>16945</v>
      </c>
      <c r="N5693" s="362">
        <f t="shared" si="188"/>
        <v>16945</v>
      </c>
      <c r="X5693" s="339"/>
    </row>
    <row r="5694" s="330" customFormat="1" ht="15" customHeight="1" spans="1:24">
      <c r="A5694" s="334"/>
      <c r="B5694" s="348" t="s">
        <v>42</v>
      </c>
      <c r="C5694" s="348" t="s">
        <v>43</v>
      </c>
      <c r="D5694" s="349" t="s">
        <v>44</v>
      </c>
      <c r="E5694" s="336">
        <v>43741</v>
      </c>
      <c r="F5694" s="336" t="s">
        <v>800</v>
      </c>
      <c r="G5694" s="336">
        <v>43729</v>
      </c>
      <c r="H5694" s="334" t="s">
        <v>2768</v>
      </c>
      <c r="I5694" s="334">
        <v>13661904666</v>
      </c>
      <c r="J5694" s="334" t="s">
        <v>13050</v>
      </c>
      <c r="K5694" s="337"/>
      <c r="L5694" s="338"/>
      <c r="M5694" s="334">
        <v>110</v>
      </c>
      <c r="N5694" s="362">
        <f t="shared" si="188"/>
        <v>110</v>
      </c>
      <c r="X5694" s="339"/>
    </row>
    <row r="5695" s="330" customFormat="1" ht="15" customHeight="1" spans="1:24">
      <c r="A5695" s="334"/>
      <c r="B5695" s="334" t="s">
        <v>147</v>
      </c>
      <c r="C5695" s="334" t="s">
        <v>148</v>
      </c>
      <c r="D5695" s="334" t="s">
        <v>207</v>
      </c>
      <c r="E5695" s="336">
        <v>43741</v>
      </c>
      <c r="F5695" s="336" t="s">
        <v>800</v>
      </c>
      <c r="G5695" s="336">
        <v>43741</v>
      </c>
      <c r="H5695" s="334" t="s">
        <v>6798</v>
      </c>
      <c r="I5695" s="334">
        <v>13917202353</v>
      </c>
      <c r="J5695" s="334" t="s">
        <v>13051</v>
      </c>
      <c r="K5695" s="337"/>
      <c r="L5695" s="338"/>
      <c r="M5695" s="334">
        <v>1589</v>
      </c>
      <c r="N5695" s="362">
        <f t="shared" si="188"/>
        <v>1589</v>
      </c>
      <c r="X5695" s="339"/>
    </row>
    <row r="5696" s="330" customFormat="1" ht="15" customHeight="1" spans="1:24">
      <c r="A5696" s="334"/>
      <c r="B5696" s="334" t="s">
        <v>35</v>
      </c>
      <c r="C5696" s="334" t="s">
        <v>392</v>
      </c>
      <c r="D5696" s="334" t="s">
        <v>37</v>
      </c>
      <c r="E5696" s="336">
        <v>43741</v>
      </c>
      <c r="F5696" s="336" t="s">
        <v>800</v>
      </c>
      <c r="G5696" s="336">
        <v>43740</v>
      </c>
      <c r="H5696" s="334" t="s">
        <v>7911</v>
      </c>
      <c r="I5696" s="334">
        <v>13816816175</v>
      </c>
      <c r="J5696" s="334" t="s">
        <v>13052</v>
      </c>
      <c r="K5696" s="337"/>
      <c r="L5696" s="338"/>
      <c r="M5696" s="334">
        <v>839</v>
      </c>
      <c r="N5696" s="362">
        <f t="shared" si="188"/>
        <v>839</v>
      </c>
      <c r="X5696" s="339"/>
    </row>
    <row r="5697" s="330" customFormat="1" ht="15" customHeight="1" spans="1:24">
      <c r="A5697" s="334"/>
      <c r="B5697" s="348" t="s">
        <v>73</v>
      </c>
      <c r="C5697" s="348" t="s">
        <v>1130</v>
      </c>
      <c r="D5697" s="334" t="s">
        <v>717</v>
      </c>
      <c r="E5697" s="336">
        <v>43740</v>
      </c>
      <c r="F5697" s="336" t="s">
        <v>800</v>
      </c>
      <c r="G5697" s="336">
        <v>43740</v>
      </c>
      <c r="H5697" s="334" t="s">
        <v>2837</v>
      </c>
      <c r="I5697" s="356">
        <v>13022155161</v>
      </c>
      <c r="J5697" s="361" t="s">
        <v>2838</v>
      </c>
      <c r="K5697" s="337"/>
      <c r="L5697" s="338"/>
      <c r="M5697" s="334">
        <v>-500</v>
      </c>
      <c r="N5697" s="362">
        <f t="shared" si="188"/>
        <v>-500</v>
      </c>
      <c r="X5697" s="339"/>
    </row>
    <row r="5698" s="330" customFormat="1" ht="15" customHeight="1" spans="1:24">
      <c r="A5698" s="334"/>
      <c r="B5698" s="334" t="s">
        <v>354</v>
      </c>
      <c r="C5698" s="334" t="s">
        <v>355</v>
      </c>
      <c r="D5698" s="334" t="s">
        <v>237</v>
      </c>
      <c r="E5698" s="336">
        <v>43769</v>
      </c>
      <c r="F5698" s="336">
        <v>43740</v>
      </c>
      <c r="G5698" s="336">
        <v>43768</v>
      </c>
      <c r="H5698" s="334" t="s">
        <v>13053</v>
      </c>
      <c r="I5698" s="426">
        <v>13901608305</v>
      </c>
      <c r="J5698" s="334" t="s">
        <v>13054</v>
      </c>
      <c r="K5698" s="455">
        <v>3000</v>
      </c>
      <c r="L5698" s="334">
        <v>15592</v>
      </c>
      <c r="M5698" s="338"/>
      <c r="N5698" s="362">
        <f t="shared" ref="N5698:N5729" si="189">L5698+M5698</f>
        <v>15592</v>
      </c>
      <c r="X5698" s="339"/>
    </row>
    <row r="5699" s="330" customFormat="1" ht="15" customHeight="1" spans="1:24">
      <c r="A5699" s="551" t="s">
        <v>5235</v>
      </c>
      <c r="B5699" s="334" t="s">
        <v>147</v>
      </c>
      <c r="C5699" s="334" t="s">
        <v>148</v>
      </c>
      <c r="D5699" s="334" t="s">
        <v>1170</v>
      </c>
      <c r="E5699" s="336">
        <v>43745</v>
      </c>
      <c r="F5699" s="336">
        <v>43741</v>
      </c>
      <c r="G5699" s="336">
        <v>43745</v>
      </c>
      <c r="H5699" s="334" t="s">
        <v>13055</v>
      </c>
      <c r="I5699" s="426">
        <v>13311605980</v>
      </c>
      <c r="J5699" s="334" t="s">
        <v>13056</v>
      </c>
      <c r="K5699" s="455">
        <v>24000</v>
      </c>
      <c r="L5699" s="334">
        <v>23992</v>
      </c>
      <c r="M5699" s="338"/>
      <c r="N5699" s="362">
        <f t="shared" si="189"/>
        <v>23992</v>
      </c>
      <c r="X5699" s="339"/>
    </row>
    <row r="5700" s="330" customFormat="1" ht="15" customHeight="1" spans="1:24">
      <c r="A5700" s="334"/>
      <c r="B5700" s="334" t="s">
        <v>147</v>
      </c>
      <c r="C5700" s="334" t="s">
        <v>148</v>
      </c>
      <c r="D5700" s="334" t="s">
        <v>1170</v>
      </c>
      <c r="E5700" s="336">
        <v>43745</v>
      </c>
      <c r="F5700" s="336">
        <v>43740</v>
      </c>
      <c r="G5700" s="336">
        <v>43745</v>
      </c>
      <c r="H5700" s="334" t="s">
        <v>13057</v>
      </c>
      <c r="I5700" s="426">
        <v>13023262691</v>
      </c>
      <c r="J5700" s="334" t="s">
        <v>13058</v>
      </c>
      <c r="K5700" s="455">
        <v>4524</v>
      </c>
      <c r="L5700" s="334">
        <v>4524</v>
      </c>
      <c r="M5700" s="338"/>
      <c r="N5700" s="362">
        <f t="shared" si="189"/>
        <v>4524</v>
      </c>
      <c r="X5700" s="339"/>
    </row>
    <row r="5701" s="330" customFormat="1" ht="15" customHeight="1" spans="1:24">
      <c r="A5701" s="551" t="s">
        <v>6695</v>
      </c>
      <c r="B5701" s="334" t="s">
        <v>147</v>
      </c>
      <c r="C5701" s="334" t="s">
        <v>148</v>
      </c>
      <c r="D5701" s="334" t="s">
        <v>1170</v>
      </c>
      <c r="E5701" s="336">
        <v>43745</v>
      </c>
      <c r="F5701" s="336">
        <v>43739</v>
      </c>
      <c r="G5701" s="336">
        <v>43745</v>
      </c>
      <c r="H5701" s="334" t="s">
        <v>13059</v>
      </c>
      <c r="I5701" s="558" t="s">
        <v>13060</v>
      </c>
      <c r="J5701" s="334" t="s">
        <v>13061</v>
      </c>
      <c r="K5701" s="455">
        <v>23500</v>
      </c>
      <c r="L5701" s="334">
        <v>23500</v>
      </c>
      <c r="M5701" s="338"/>
      <c r="N5701" s="362">
        <f t="shared" si="189"/>
        <v>23500</v>
      </c>
      <c r="X5701" s="339"/>
    </row>
    <row r="5702" s="330" customFormat="1" ht="15" customHeight="1" spans="1:24">
      <c r="A5702" s="551" t="s">
        <v>5178</v>
      </c>
      <c r="B5702" s="334" t="s">
        <v>147</v>
      </c>
      <c r="C5702" s="334" t="s">
        <v>148</v>
      </c>
      <c r="D5702" s="334" t="s">
        <v>1170</v>
      </c>
      <c r="E5702" s="336">
        <v>43745</v>
      </c>
      <c r="F5702" s="336">
        <v>43738</v>
      </c>
      <c r="G5702" s="336">
        <v>43745</v>
      </c>
      <c r="H5702" s="334" t="s">
        <v>13062</v>
      </c>
      <c r="I5702" s="426">
        <v>13816912380</v>
      </c>
      <c r="J5702" s="334" t="s">
        <v>13063</v>
      </c>
      <c r="K5702" s="455">
        <v>14966</v>
      </c>
      <c r="L5702" s="334">
        <v>14966</v>
      </c>
      <c r="M5702" s="338"/>
      <c r="N5702" s="362">
        <f t="shared" si="189"/>
        <v>14966</v>
      </c>
      <c r="X5702" s="339"/>
    </row>
    <row r="5703" s="330" customFormat="1" ht="15" customHeight="1" spans="1:24">
      <c r="A5703" s="551" t="s">
        <v>6600</v>
      </c>
      <c r="B5703" s="334" t="s">
        <v>147</v>
      </c>
      <c r="C5703" s="334" t="s">
        <v>148</v>
      </c>
      <c r="D5703" s="334" t="s">
        <v>1170</v>
      </c>
      <c r="E5703" s="336">
        <v>43745</v>
      </c>
      <c r="F5703" s="336">
        <v>43739</v>
      </c>
      <c r="G5703" s="336">
        <v>43745</v>
      </c>
      <c r="H5703" s="334" t="s">
        <v>13064</v>
      </c>
      <c r="I5703" s="426">
        <v>15301939297</v>
      </c>
      <c r="J5703" s="334" t="s">
        <v>13065</v>
      </c>
      <c r="K5703" s="455">
        <v>10329</v>
      </c>
      <c r="L5703" s="334">
        <v>10329</v>
      </c>
      <c r="M5703" s="338"/>
      <c r="N5703" s="362">
        <f t="shared" si="189"/>
        <v>10329</v>
      </c>
      <c r="X5703" s="339"/>
    </row>
    <row r="5704" s="330" customFormat="1" ht="15" customHeight="1" spans="1:24">
      <c r="A5704" s="551" t="s">
        <v>13066</v>
      </c>
      <c r="B5704" s="334" t="s">
        <v>236</v>
      </c>
      <c r="C5704" s="334" t="s">
        <v>195</v>
      </c>
      <c r="D5704" s="334" t="s">
        <v>207</v>
      </c>
      <c r="E5704" s="336">
        <v>43781</v>
      </c>
      <c r="F5704" s="336">
        <v>43741</v>
      </c>
      <c r="G5704" s="336">
        <v>43779</v>
      </c>
      <c r="H5704" s="334" t="s">
        <v>13067</v>
      </c>
      <c r="I5704" s="426">
        <v>13012814960</v>
      </c>
      <c r="J5704" s="334" t="s">
        <v>13068</v>
      </c>
      <c r="K5704" s="455">
        <v>12980</v>
      </c>
      <c r="L5704" s="334">
        <v>13318</v>
      </c>
      <c r="M5704" s="338"/>
      <c r="N5704" s="362">
        <f t="shared" si="189"/>
        <v>13318</v>
      </c>
      <c r="X5704" s="339"/>
    </row>
    <row r="5705" s="330" customFormat="1" ht="15" customHeight="1" spans="1:24">
      <c r="A5705" s="551" t="s">
        <v>13069</v>
      </c>
      <c r="B5705" s="334" t="s">
        <v>236</v>
      </c>
      <c r="C5705" s="334" t="s">
        <v>703</v>
      </c>
      <c r="D5705" s="334" t="s">
        <v>207</v>
      </c>
      <c r="E5705" s="336">
        <v>43756</v>
      </c>
      <c r="F5705" s="336">
        <v>43741</v>
      </c>
      <c r="G5705" s="336">
        <v>43746</v>
      </c>
      <c r="H5705" s="334" t="s">
        <v>13070</v>
      </c>
      <c r="I5705" s="426">
        <v>13918618770</v>
      </c>
      <c r="J5705" s="334" t="s">
        <v>13071</v>
      </c>
      <c r="K5705" s="455">
        <v>12000</v>
      </c>
      <c r="L5705" s="338"/>
      <c r="M5705" s="334">
        <v>0</v>
      </c>
      <c r="N5705" s="362">
        <f t="shared" si="189"/>
        <v>0</v>
      </c>
      <c r="X5705" s="339"/>
    </row>
    <row r="5706" s="330" customFormat="1" ht="15" customHeight="1" spans="1:24">
      <c r="A5706" s="551" t="s">
        <v>13072</v>
      </c>
      <c r="B5706" s="334" t="s">
        <v>236</v>
      </c>
      <c r="C5706" s="334" t="s">
        <v>195</v>
      </c>
      <c r="D5706" s="335" t="s">
        <v>125</v>
      </c>
      <c r="E5706" s="336">
        <v>43744</v>
      </c>
      <c r="F5706" s="336">
        <v>43741</v>
      </c>
      <c r="G5706" s="336">
        <v>43736</v>
      </c>
      <c r="H5706" s="334" t="s">
        <v>9287</v>
      </c>
      <c r="I5706" s="426">
        <v>13795304588</v>
      </c>
      <c r="J5706" s="426" t="s">
        <v>13073</v>
      </c>
      <c r="K5706" s="455">
        <v>8543</v>
      </c>
      <c r="L5706" s="334">
        <v>8754</v>
      </c>
      <c r="M5706" s="338"/>
      <c r="N5706" s="362">
        <f t="shared" si="189"/>
        <v>8754</v>
      </c>
      <c r="X5706" s="339"/>
    </row>
    <row r="5707" s="330" customFormat="1" ht="15" customHeight="1" spans="1:24">
      <c r="A5707" s="334" t="s">
        <v>13074</v>
      </c>
      <c r="B5707" s="334" t="s">
        <v>153</v>
      </c>
      <c r="C5707" s="334" t="s">
        <v>13075</v>
      </c>
      <c r="D5707" s="335" t="s">
        <v>155</v>
      </c>
      <c r="E5707" s="336">
        <v>43751</v>
      </c>
      <c r="F5707" s="336">
        <v>43741</v>
      </c>
      <c r="G5707" s="336">
        <v>43750</v>
      </c>
      <c r="H5707" s="334" t="s">
        <v>13076</v>
      </c>
      <c r="I5707" s="426">
        <v>18616346518</v>
      </c>
      <c r="J5707" s="334" t="s">
        <v>13077</v>
      </c>
      <c r="K5707" s="455">
        <v>1000</v>
      </c>
      <c r="L5707" s="334">
        <v>17756</v>
      </c>
      <c r="M5707" s="338"/>
      <c r="N5707" s="362">
        <f t="shared" si="189"/>
        <v>17756</v>
      </c>
      <c r="X5707" s="339"/>
    </row>
    <row r="5708" s="330" customFormat="1" ht="15" customHeight="1" spans="1:24">
      <c r="A5708" s="334" t="s">
        <v>13074</v>
      </c>
      <c r="B5708" s="334" t="s">
        <v>153</v>
      </c>
      <c r="C5708" s="334" t="s">
        <v>13075</v>
      </c>
      <c r="D5708" s="335" t="s">
        <v>155</v>
      </c>
      <c r="E5708" s="336">
        <v>43742</v>
      </c>
      <c r="F5708" s="336">
        <v>43741</v>
      </c>
      <c r="G5708" s="490"/>
      <c r="H5708" s="334" t="s">
        <v>13078</v>
      </c>
      <c r="I5708" s="558" t="s">
        <v>13079</v>
      </c>
      <c r="J5708" s="334" t="s">
        <v>13080</v>
      </c>
      <c r="K5708" s="455">
        <v>1000</v>
      </c>
      <c r="L5708" s="338"/>
      <c r="M5708" s="338"/>
      <c r="N5708" s="362">
        <f t="shared" si="189"/>
        <v>0</v>
      </c>
      <c r="R5708" s="353" t="s">
        <v>22</v>
      </c>
      <c r="X5708" s="339"/>
    </row>
    <row r="5709" s="330" customFormat="1" ht="15" customHeight="1" spans="1:24">
      <c r="A5709" s="334" t="s">
        <v>13074</v>
      </c>
      <c r="B5709" s="334" t="s">
        <v>153</v>
      </c>
      <c r="C5709" s="334" t="s">
        <v>13075</v>
      </c>
      <c r="D5709" s="335" t="s">
        <v>155</v>
      </c>
      <c r="E5709" s="336">
        <v>43742</v>
      </c>
      <c r="F5709" s="336">
        <v>43741</v>
      </c>
      <c r="G5709" s="490"/>
      <c r="H5709" s="334" t="s">
        <v>13081</v>
      </c>
      <c r="I5709" s="426">
        <v>18621585353</v>
      </c>
      <c r="J5709" s="334" t="s">
        <v>13082</v>
      </c>
      <c r="K5709" s="455">
        <v>3000</v>
      </c>
      <c r="L5709" s="338"/>
      <c r="M5709" s="338"/>
      <c r="N5709" s="362">
        <f t="shared" si="189"/>
        <v>0</v>
      </c>
      <c r="S5709" s="353" t="s">
        <v>23</v>
      </c>
      <c r="X5709" s="339"/>
    </row>
    <row r="5710" s="330" customFormat="1" ht="15" customHeight="1" spans="1:24">
      <c r="A5710" s="551" t="s">
        <v>13083</v>
      </c>
      <c r="B5710" s="334" t="s">
        <v>58</v>
      </c>
      <c r="C5710" s="334" t="s">
        <v>347</v>
      </c>
      <c r="D5710" s="334" t="s">
        <v>75</v>
      </c>
      <c r="E5710" s="336">
        <v>43810</v>
      </c>
      <c r="F5710" s="336">
        <v>43740</v>
      </c>
      <c r="G5710" s="336">
        <v>43808</v>
      </c>
      <c r="H5710" s="334" t="s">
        <v>13084</v>
      </c>
      <c r="I5710" s="426">
        <v>18121037563</v>
      </c>
      <c r="J5710" s="334" t="s">
        <v>13085</v>
      </c>
      <c r="K5710" s="455">
        <v>1000</v>
      </c>
      <c r="L5710" s="334">
        <v>9148</v>
      </c>
      <c r="M5710" s="338"/>
      <c r="N5710" s="362">
        <f t="shared" si="189"/>
        <v>9148</v>
      </c>
      <c r="Q5710" s="365" t="s">
        <v>52</v>
      </c>
      <c r="X5710" s="339"/>
    </row>
    <row r="5711" s="330" customFormat="1" ht="15" customHeight="1" spans="1:24">
      <c r="A5711" s="551" t="s">
        <v>11327</v>
      </c>
      <c r="B5711" s="334" t="s">
        <v>185</v>
      </c>
      <c r="C5711" s="334" t="s">
        <v>186</v>
      </c>
      <c r="D5711" s="335" t="s">
        <v>187</v>
      </c>
      <c r="E5711" s="336">
        <v>43745</v>
      </c>
      <c r="F5711" s="336">
        <v>43740</v>
      </c>
      <c r="G5711" s="336">
        <v>43745</v>
      </c>
      <c r="H5711" s="334" t="s">
        <v>13086</v>
      </c>
      <c r="I5711" s="426">
        <v>13585681949</v>
      </c>
      <c r="J5711" s="334" t="s">
        <v>13087</v>
      </c>
      <c r="K5711" s="455">
        <v>2000</v>
      </c>
      <c r="L5711" s="334">
        <v>10500</v>
      </c>
      <c r="M5711" s="338"/>
      <c r="N5711" s="362">
        <f t="shared" si="189"/>
        <v>10500</v>
      </c>
      <c r="X5711" s="339"/>
    </row>
    <row r="5712" s="330" customFormat="1" ht="15" customHeight="1" spans="1:24">
      <c r="A5712" s="551" t="s">
        <v>4925</v>
      </c>
      <c r="B5712" s="334" t="s">
        <v>185</v>
      </c>
      <c r="C5712" s="334" t="s">
        <v>186</v>
      </c>
      <c r="D5712" s="334" t="s">
        <v>44</v>
      </c>
      <c r="E5712" s="336">
        <v>43745</v>
      </c>
      <c r="F5712" s="336">
        <v>43741</v>
      </c>
      <c r="G5712" s="336">
        <v>43744</v>
      </c>
      <c r="H5712" s="334" t="s">
        <v>13088</v>
      </c>
      <c r="I5712" s="426">
        <v>18800235968</v>
      </c>
      <c r="J5712" s="334" t="s">
        <v>13089</v>
      </c>
      <c r="K5712" s="455">
        <v>6000</v>
      </c>
      <c r="L5712" s="334">
        <v>9615</v>
      </c>
      <c r="M5712" s="338"/>
      <c r="N5712" s="362">
        <f t="shared" si="189"/>
        <v>9615</v>
      </c>
      <c r="X5712" s="339"/>
    </row>
    <row r="5713" s="330" customFormat="1" ht="15" customHeight="1" spans="1:24">
      <c r="A5713" s="551" t="s">
        <v>13090</v>
      </c>
      <c r="B5713" s="334" t="s">
        <v>31</v>
      </c>
      <c r="C5713" s="334" t="s">
        <v>419</v>
      </c>
      <c r="D5713" s="334" t="s">
        <v>33</v>
      </c>
      <c r="E5713" s="336">
        <v>43745</v>
      </c>
      <c r="F5713" s="336">
        <v>43740</v>
      </c>
      <c r="G5713" s="336">
        <v>43745</v>
      </c>
      <c r="H5713" s="334" t="s">
        <v>13091</v>
      </c>
      <c r="I5713" s="426">
        <v>13918409665</v>
      </c>
      <c r="J5713" s="426" t="s">
        <v>13092</v>
      </c>
      <c r="K5713" s="455">
        <v>10000</v>
      </c>
      <c r="L5713" s="334">
        <v>16223</v>
      </c>
      <c r="M5713" s="338"/>
      <c r="N5713" s="362">
        <f t="shared" si="189"/>
        <v>16223</v>
      </c>
      <c r="X5713" s="339"/>
    </row>
    <row r="5714" s="330" customFormat="1" ht="15" customHeight="1" spans="1:24">
      <c r="A5714" s="551" t="s">
        <v>813</v>
      </c>
      <c r="B5714" s="334" t="s">
        <v>137</v>
      </c>
      <c r="C5714" s="334" t="s">
        <v>411</v>
      </c>
      <c r="D5714" s="335" t="s">
        <v>427</v>
      </c>
      <c r="E5714" s="336">
        <v>43745</v>
      </c>
      <c r="F5714" s="336">
        <v>43741</v>
      </c>
      <c r="G5714" s="336">
        <v>43745</v>
      </c>
      <c r="H5714" s="334" t="s">
        <v>10136</v>
      </c>
      <c r="I5714" s="426">
        <v>15601816025</v>
      </c>
      <c r="J5714" s="334" t="s">
        <v>13093</v>
      </c>
      <c r="K5714" s="455">
        <v>23400</v>
      </c>
      <c r="L5714" s="334">
        <v>23400</v>
      </c>
      <c r="M5714" s="338"/>
      <c r="N5714" s="362">
        <f t="shared" si="189"/>
        <v>23400</v>
      </c>
      <c r="X5714" s="339"/>
    </row>
    <row r="5715" s="330" customFormat="1" ht="15" customHeight="1" spans="1:24">
      <c r="A5715" s="551" t="s">
        <v>13094</v>
      </c>
      <c r="B5715" s="334" t="s">
        <v>236</v>
      </c>
      <c r="C5715" s="334" t="s">
        <v>703</v>
      </c>
      <c r="D5715" s="335" t="s">
        <v>125</v>
      </c>
      <c r="E5715" s="336">
        <v>43759</v>
      </c>
      <c r="F5715" s="336">
        <v>43740</v>
      </c>
      <c r="G5715" s="336">
        <v>43753</v>
      </c>
      <c r="H5715" s="334" t="s">
        <v>11821</v>
      </c>
      <c r="I5715" s="426">
        <v>13816803647</v>
      </c>
      <c r="J5715" s="334" t="s">
        <v>13095</v>
      </c>
      <c r="K5715" s="455">
        <v>16745</v>
      </c>
      <c r="L5715" s="334">
        <v>16745</v>
      </c>
      <c r="M5715" s="338"/>
      <c r="N5715" s="362">
        <f t="shared" si="189"/>
        <v>16745</v>
      </c>
      <c r="X5715" s="339"/>
    </row>
    <row r="5716" s="330" customFormat="1" ht="15" customHeight="1" spans="1:24">
      <c r="A5716" s="551" t="s">
        <v>13096</v>
      </c>
      <c r="B5716" s="334" t="s">
        <v>236</v>
      </c>
      <c r="C5716" s="334" t="s">
        <v>703</v>
      </c>
      <c r="D5716" s="334" t="s">
        <v>207</v>
      </c>
      <c r="E5716" s="336">
        <v>43756</v>
      </c>
      <c r="F5716" s="336">
        <v>43740</v>
      </c>
      <c r="G5716" s="336">
        <v>43754</v>
      </c>
      <c r="H5716" s="334" t="s">
        <v>13097</v>
      </c>
      <c r="I5716" s="426">
        <v>18621909450</v>
      </c>
      <c r="J5716" s="334" t="s">
        <v>13098</v>
      </c>
      <c r="K5716" s="455">
        <v>2499</v>
      </c>
      <c r="L5716" s="334">
        <v>2430</v>
      </c>
      <c r="M5716" s="338"/>
      <c r="N5716" s="362">
        <f t="shared" si="189"/>
        <v>2430</v>
      </c>
      <c r="X5716" s="339"/>
    </row>
    <row r="5717" s="330" customFormat="1" ht="15" customHeight="1" spans="1:24">
      <c r="A5717" s="551" t="s">
        <v>13099</v>
      </c>
      <c r="B5717" s="334" t="s">
        <v>236</v>
      </c>
      <c r="C5717" s="334" t="s">
        <v>195</v>
      </c>
      <c r="D5717" s="334" t="s">
        <v>207</v>
      </c>
      <c r="E5717" s="336">
        <v>43769</v>
      </c>
      <c r="F5717" s="336">
        <v>43740</v>
      </c>
      <c r="G5717" s="336">
        <v>43769</v>
      </c>
      <c r="H5717" s="334" t="s">
        <v>13100</v>
      </c>
      <c r="I5717" s="426">
        <v>13832072608</v>
      </c>
      <c r="J5717" s="334" t="s">
        <v>13101</v>
      </c>
      <c r="K5717" s="455">
        <v>20000</v>
      </c>
      <c r="L5717" s="334">
        <v>20000</v>
      </c>
      <c r="M5717" s="338"/>
      <c r="N5717" s="362">
        <f t="shared" si="189"/>
        <v>20000</v>
      </c>
      <c r="X5717" s="339"/>
    </row>
    <row r="5718" s="330" customFormat="1" ht="15" customHeight="1" spans="1:24">
      <c r="A5718" s="334"/>
      <c r="B5718" s="334" t="s">
        <v>66</v>
      </c>
      <c r="C5718" s="334" t="s">
        <v>13102</v>
      </c>
      <c r="D5718" s="334" t="s">
        <v>1436</v>
      </c>
      <c r="E5718" s="336">
        <v>43745</v>
      </c>
      <c r="F5718" s="336">
        <v>43739</v>
      </c>
      <c r="G5718" s="336">
        <v>43745</v>
      </c>
      <c r="H5718" s="334" t="s">
        <v>13103</v>
      </c>
      <c r="I5718" s="426">
        <v>13917601831</v>
      </c>
      <c r="J5718" s="334" t="s">
        <v>13104</v>
      </c>
      <c r="K5718" s="455">
        <v>10000</v>
      </c>
      <c r="L5718" s="334">
        <v>10000</v>
      </c>
      <c r="M5718" s="338"/>
      <c r="N5718" s="362">
        <f t="shared" si="189"/>
        <v>10000</v>
      </c>
      <c r="X5718" s="339"/>
    </row>
    <row r="5719" s="330" customFormat="1" ht="15" customHeight="1" spans="1:24">
      <c r="A5719" s="551" t="s">
        <v>13105</v>
      </c>
      <c r="B5719" s="334" t="s">
        <v>66</v>
      </c>
      <c r="C5719" s="334" t="s">
        <v>3954</v>
      </c>
      <c r="D5719" s="334" t="s">
        <v>68</v>
      </c>
      <c r="E5719" s="336">
        <v>43745</v>
      </c>
      <c r="F5719" s="336">
        <v>43742</v>
      </c>
      <c r="G5719" s="336">
        <v>43745</v>
      </c>
      <c r="H5719" s="334" t="s">
        <v>13106</v>
      </c>
      <c r="I5719" s="426">
        <v>18101799868</v>
      </c>
      <c r="J5719" s="334" t="s">
        <v>13107</v>
      </c>
      <c r="K5719" s="455">
        <v>10000</v>
      </c>
      <c r="L5719" s="334">
        <v>57701</v>
      </c>
      <c r="M5719" s="338"/>
      <c r="N5719" s="362">
        <f t="shared" si="189"/>
        <v>57701</v>
      </c>
      <c r="X5719" s="339"/>
    </row>
    <row r="5720" s="330" customFormat="1" ht="15" customHeight="1" spans="1:24">
      <c r="A5720" s="551" t="s">
        <v>10342</v>
      </c>
      <c r="B5720" s="334" t="s">
        <v>31</v>
      </c>
      <c r="C5720" s="334" t="s">
        <v>3186</v>
      </c>
      <c r="D5720" s="335" t="s">
        <v>221</v>
      </c>
      <c r="E5720" s="336">
        <v>43742</v>
      </c>
      <c r="F5720" s="336">
        <v>43741</v>
      </c>
      <c r="G5720" s="339" t="s">
        <v>1140</v>
      </c>
      <c r="H5720" s="334" t="s">
        <v>13108</v>
      </c>
      <c r="I5720" s="426">
        <v>15921878661</v>
      </c>
      <c r="J5720" s="334" t="s">
        <v>13109</v>
      </c>
      <c r="K5720" s="455">
        <v>1723</v>
      </c>
      <c r="L5720" s="338"/>
      <c r="M5720" s="338"/>
      <c r="N5720" s="362">
        <f t="shared" si="189"/>
        <v>0</v>
      </c>
      <c r="X5720" s="339"/>
    </row>
    <row r="5721" s="330" customFormat="1" ht="15" customHeight="1" spans="1:24">
      <c r="A5721" s="551" t="s">
        <v>1995</v>
      </c>
      <c r="B5721" s="334" t="s">
        <v>31</v>
      </c>
      <c r="C5721" s="334" t="s">
        <v>2716</v>
      </c>
      <c r="D5721" s="335" t="s">
        <v>33</v>
      </c>
      <c r="E5721" s="336">
        <v>43742</v>
      </c>
      <c r="F5721" s="336">
        <v>43741</v>
      </c>
      <c r="G5721" s="490"/>
      <c r="H5721" s="334" t="s">
        <v>13110</v>
      </c>
      <c r="I5721" s="426">
        <v>17629225856</v>
      </c>
      <c r="J5721" s="426" t="s">
        <v>13111</v>
      </c>
      <c r="K5721" s="455">
        <v>99</v>
      </c>
      <c r="L5721" s="338"/>
      <c r="M5721" s="338"/>
      <c r="N5721" s="362">
        <f t="shared" si="189"/>
        <v>0</v>
      </c>
      <c r="O5721" s="366" t="s">
        <v>52</v>
      </c>
      <c r="X5721" s="339"/>
    </row>
    <row r="5722" s="330" customFormat="1" ht="15" customHeight="1" spans="1:24">
      <c r="A5722" s="551" t="s">
        <v>10344</v>
      </c>
      <c r="B5722" s="334" t="s">
        <v>31</v>
      </c>
      <c r="C5722" s="334" t="s">
        <v>3186</v>
      </c>
      <c r="D5722" s="334" t="s">
        <v>954</v>
      </c>
      <c r="E5722" s="336">
        <v>43781</v>
      </c>
      <c r="F5722" s="336">
        <v>43741</v>
      </c>
      <c r="G5722" s="336">
        <v>43780</v>
      </c>
      <c r="H5722" s="334" t="s">
        <v>13112</v>
      </c>
      <c r="I5722" s="426">
        <v>18701791745</v>
      </c>
      <c r="J5722" s="334" t="s">
        <v>13113</v>
      </c>
      <c r="K5722" s="455">
        <v>1000</v>
      </c>
      <c r="L5722" s="334">
        <v>6597</v>
      </c>
      <c r="M5722" s="338"/>
      <c r="N5722" s="362">
        <f t="shared" si="189"/>
        <v>6597</v>
      </c>
      <c r="X5722" s="339"/>
    </row>
    <row r="5723" s="330" customFormat="1" ht="15" customHeight="1" spans="1:24">
      <c r="A5723" s="551" t="s">
        <v>13114</v>
      </c>
      <c r="B5723" s="334" t="s">
        <v>31</v>
      </c>
      <c r="C5723" s="334" t="s">
        <v>3186</v>
      </c>
      <c r="D5723" s="334" t="s">
        <v>954</v>
      </c>
      <c r="E5723" s="336">
        <v>43763</v>
      </c>
      <c r="F5723" s="336">
        <v>43741</v>
      </c>
      <c r="G5723" s="336">
        <v>43763</v>
      </c>
      <c r="H5723" s="334" t="s">
        <v>13115</v>
      </c>
      <c r="I5723" s="426">
        <v>13671988048</v>
      </c>
      <c r="J5723" s="334" t="s">
        <v>13116</v>
      </c>
      <c r="K5723" s="455">
        <v>1000</v>
      </c>
      <c r="L5723" s="334">
        <v>4799</v>
      </c>
      <c r="M5723" s="338"/>
      <c r="N5723" s="362">
        <f t="shared" si="189"/>
        <v>4799</v>
      </c>
      <c r="X5723" s="339"/>
    </row>
    <row r="5724" s="330" customFormat="1" ht="15" customHeight="1" spans="1:24">
      <c r="A5724" s="551" t="s">
        <v>3534</v>
      </c>
      <c r="B5724" s="334" t="s">
        <v>137</v>
      </c>
      <c r="C5724" s="334" t="s">
        <v>480</v>
      </c>
      <c r="D5724" s="335" t="s">
        <v>139</v>
      </c>
      <c r="E5724" s="336">
        <v>43786</v>
      </c>
      <c r="F5724" s="336">
        <v>43741</v>
      </c>
      <c r="G5724" s="336">
        <v>43786</v>
      </c>
      <c r="H5724" s="334" t="s">
        <v>13117</v>
      </c>
      <c r="I5724" s="426">
        <v>18017721578</v>
      </c>
      <c r="J5724" s="334" t="s">
        <v>13118</v>
      </c>
      <c r="K5724" s="455">
        <v>9000</v>
      </c>
      <c r="L5724" s="334">
        <v>18000</v>
      </c>
      <c r="M5724" s="338"/>
      <c r="N5724" s="362">
        <f t="shared" si="189"/>
        <v>18000</v>
      </c>
      <c r="X5724" s="339"/>
    </row>
    <row r="5725" s="330" customFormat="1" ht="15" customHeight="1" spans="1:24">
      <c r="A5725" s="551" t="s">
        <v>13119</v>
      </c>
      <c r="B5725" s="334" t="s">
        <v>726</v>
      </c>
      <c r="C5725" s="334" t="s">
        <v>727</v>
      </c>
      <c r="D5725" s="334" t="s">
        <v>271</v>
      </c>
      <c r="E5725" s="336">
        <v>43787</v>
      </c>
      <c r="F5725" s="336">
        <v>43739</v>
      </c>
      <c r="G5725" s="336">
        <v>43786</v>
      </c>
      <c r="H5725" s="334" t="s">
        <v>13120</v>
      </c>
      <c r="I5725" s="426">
        <v>18602124689</v>
      </c>
      <c r="J5725" s="334" t="s">
        <v>13121</v>
      </c>
      <c r="K5725" s="455">
        <v>25000</v>
      </c>
      <c r="L5725" s="334">
        <v>17088</v>
      </c>
      <c r="M5725" s="338"/>
      <c r="N5725" s="362">
        <f t="shared" si="189"/>
        <v>17088</v>
      </c>
      <c r="X5725" s="339"/>
    </row>
    <row r="5726" s="330" customFormat="1" ht="15" customHeight="1" spans="1:24">
      <c r="A5726" s="551" t="s">
        <v>13122</v>
      </c>
      <c r="B5726" s="334" t="s">
        <v>58</v>
      </c>
      <c r="C5726" s="334" t="s">
        <v>59</v>
      </c>
      <c r="D5726" s="335" t="s">
        <v>271</v>
      </c>
      <c r="E5726" s="336">
        <v>43742</v>
      </c>
      <c r="F5726" s="336">
        <v>43740</v>
      </c>
      <c r="G5726" s="490"/>
      <c r="H5726" s="334" t="s">
        <v>13123</v>
      </c>
      <c r="I5726" s="426">
        <v>13801818266</v>
      </c>
      <c r="J5726" s="334" t="s">
        <v>13124</v>
      </c>
      <c r="K5726" s="455"/>
      <c r="L5726" s="338"/>
      <c r="M5726" s="338"/>
      <c r="N5726" s="362">
        <f t="shared" si="189"/>
        <v>0</v>
      </c>
      <c r="O5726" s="365" t="s">
        <v>52</v>
      </c>
      <c r="X5726" s="339"/>
    </row>
    <row r="5727" s="330" customFormat="1" ht="15" customHeight="1" spans="1:24">
      <c r="A5727" s="551" t="s">
        <v>10333</v>
      </c>
      <c r="B5727" s="334" t="s">
        <v>31</v>
      </c>
      <c r="C5727" s="334" t="s">
        <v>220</v>
      </c>
      <c r="D5727" s="334" t="s">
        <v>33</v>
      </c>
      <c r="E5727" s="336">
        <v>43745</v>
      </c>
      <c r="F5727" s="336">
        <v>43741</v>
      </c>
      <c r="G5727" s="336">
        <v>43745</v>
      </c>
      <c r="H5727" s="334" t="s">
        <v>13125</v>
      </c>
      <c r="I5727" s="426">
        <v>18616762267</v>
      </c>
      <c r="J5727" s="334" t="s">
        <v>13126</v>
      </c>
      <c r="K5727" s="455">
        <v>40000</v>
      </c>
      <c r="L5727" s="334">
        <v>40000</v>
      </c>
      <c r="M5727" s="338"/>
      <c r="N5727" s="362">
        <f t="shared" si="189"/>
        <v>40000</v>
      </c>
      <c r="X5727" s="339"/>
    </row>
    <row r="5728" s="330" customFormat="1" ht="15" customHeight="1" spans="1:24">
      <c r="A5728" s="334"/>
      <c r="B5728" s="334" t="s">
        <v>66</v>
      </c>
      <c r="C5728" s="334" t="s">
        <v>67</v>
      </c>
      <c r="D5728" s="335" t="s">
        <v>1436</v>
      </c>
      <c r="E5728" s="336">
        <v>43757</v>
      </c>
      <c r="F5728" s="336">
        <v>43741</v>
      </c>
      <c r="G5728" s="336">
        <v>43750</v>
      </c>
      <c r="H5728" s="334" t="s">
        <v>13127</v>
      </c>
      <c r="I5728" s="426">
        <v>15021088303</v>
      </c>
      <c r="J5728" s="334" t="s">
        <v>13128</v>
      </c>
      <c r="K5728" s="455">
        <v>1000</v>
      </c>
      <c r="L5728" s="334">
        <v>7139</v>
      </c>
      <c r="M5728" s="338"/>
      <c r="N5728" s="362">
        <f t="shared" si="189"/>
        <v>7139</v>
      </c>
      <c r="X5728" s="339"/>
    </row>
    <row r="5729" s="330" customFormat="1" ht="15" customHeight="1" spans="1:24">
      <c r="A5729" s="551" t="s">
        <v>1839</v>
      </c>
      <c r="B5729" s="334" t="s">
        <v>58</v>
      </c>
      <c r="C5729" s="334" t="s">
        <v>342</v>
      </c>
      <c r="D5729" s="335" t="s">
        <v>343</v>
      </c>
      <c r="E5729" s="336">
        <v>43745</v>
      </c>
      <c r="F5729" s="336">
        <v>43741</v>
      </c>
      <c r="G5729" s="336">
        <v>43745</v>
      </c>
      <c r="H5729" s="334" t="s">
        <v>13129</v>
      </c>
      <c r="I5729" s="426">
        <v>18616295652</v>
      </c>
      <c r="J5729" s="334" t="s">
        <v>13130</v>
      </c>
      <c r="K5729" s="455">
        <v>1000</v>
      </c>
      <c r="L5729" s="334">
        <v>11900</v>
      </c>
      <c r="M5729" s="338"/>
      <c r="N5729" s="362">
        <f t="shared" si="189"/>
        <v>11900</v>
      </c>
      <c r="X5729" s="339"/>
    </row>
    <row r="5730" s="330" customFormat="1" ht="15" customHeight="1" spans="1:24">
      <c r="A5730" s="551" t="s">
        <v>13131</v>
      </c>
      <c r="B5730" s="334" t="s">
        <v>123</v>
      </c>
      <c r="C5730" s="334" t="s">
        <v>115</v>
      </c>
      <c r="D5730" s="335" t="s">
        <v>125</v>
      </c>
      <c r="E5730" s="336">
        <v>43745</v>
      </c>
      <c r="F5730" s="336">
        <v>43740</v>
      </c>
      <c r="G5730" s="336">
        <v>43744</v>
      </c>
      <c r="H5730" s="334" t="s">
        <v>13132</v>
      </c>
      <c r="I5730" s="426">
        <v>15021808918</v>
      </c>
      <c r="J5730" s="334" t="s">
        <v>13133</v>
      </c>
      <c r="K5730" s="455">
        <v>1000</v>
      </c>
      <c r="L5730" s="334">
        <v>19911</v>
      </c>
      <c r="M5730" s="338"/>
      <c r="N5730" s="362">
        <f t="shared" ref="N5730:N5779" si="190">L5730+M5730</f>
        <v>19911</v>
      </c>
      <c r="X5730" s="339"/>
    </row>
    <row r="5731" s="330" customFormat="1" ht="15" customHeight="1" spans="1:24">
      <c r="A5731" s="334" t="s">
        <v>13074</v>
      </c>
      <c r="B5731" s="334" t="s">
        <v>58</v>
      </c>
      <c r="C5731" s="334" t="s">
        <v>347</v>
      </c>
      <c r="D5731" s="335" t="s">
        <v>343</v>
      </c>
      <c r="E5731" s="336">
        <v>43745</v>
      </c>
      <c r="F5731" s="336">
        <v>43741</v>
      </c>
      <c r="G5731" s="336">
        <v>43745</v>
      </c>
      <c r="H5731" s="334" t="s">
        <v>13134</v>
      </c>
      <c r="I5731" s="426">
        <v>15802190497</v>
      </c>
      <c r="J5731" s="334" t="s">
        <v>13135</v>
      </c>
      <c r="K5731" s="455">
        <v>12000</v>
      </c>
      <c r="L5731" s="334">
        <v>12000</v>
      </c>
      <c r="M5731" s="338"/>
      <c r="N5731" s="362">
        <f t="shared" si="190"/>
        <v>12000</v>
      </c>
      <c r="X5731" s="339"/>
    </row>
    <row r="5732" s="330" customFormat="1" ht="15" customHeight="1" spans="1:24">
      <c r="A5732" s="334"/>
      <c r="B5732" s="334" t="s">
        <v>137</v>
      </c>
      <c r="C5732" s="334" t="s">
        <v>411</v>
      </c>
      <c r="D5732" s="335" t="s">
        <v>427</v>
      </c>
      <c r="E5732" s="336">
        <v>43765</v>
      </c>
      <c r="F5732" s="336">
        <v>43741</v>
      </c>
      <c r="G5732" s="336">
        <v>43765</v>
      </c>
      <c r="H5732" s="334" t="s">
        <v>13136</v>
      </c>
      <c r="I5732" s="426">
        <v>15800900579</v>
      </c>
      <c r="J5732" s="334" t="s">
        <v>13137</v>
      </c>
      <c r="K5732" s="455">
        <v>10800</v>
      </c>
      <c r="L5732" s="334">
        <v>11299</v>
      </c>
      <c r="M5732" s="338"/>
      <c r="N5732" s="362">
        <f t="shared" si="190"/>
        <v>11299</v>
      </c>
      <c r="X5732" s="339"/>
    </row>
    <row r="5733" s="330" customFormat="1" ht="15" customHeight="1" spans="1:24">
      <c r="A5733" s="551" t="s">
        <v>13138</v>
      </c>
      <c r="B5733" s="334" t="s">
        <v>137</v>
      </c>
      <c r="C5733" s="334" t="s">
        <v>411</v>
      </c>
      <c r="D5733" s="335" t="s">
        <v>427</v>
      </c>
      <c r="E5733" s="336">
        <v>43745</v>
      </c>
      <c r="F5733" s="336">
        <v>43741</v>
      </c>
      <c r="G5733" s="336">
        <v>43745</v>
      </c>
      <c r="H5733" s="334" t="s">
        <v>13139</v>
      </c>
      <c r="I5733" s="426">
        <v>18149728143</v>
      </c>
      <c r="J5733" s="334" t="s">
        <v>13140</v>
      </c>
      <c r="K5733" s="455">
        <v>21000</v>
      </c>
      <c r="L5733" s="334">
        <v>21000</v>
      </c>
      <c r="M5733" s="338"/>
      <c r="N5733" s="362">
        <f t="shared" si="190"/>
        <v>21000</v>
      </c>
      <c r="X5733" s="339"/>
    </row>
    <row r="5734" s="330" customFormat="1" ht="15" customHeight="1" spans="1:24">
      <c r="A5734" s="334">
        <v>2019329</v>
      </c>
      <c r="B5734" s="334" t="s">
        <v>42</v>
      </c>
      <c r="C5734" s="334" t="s">
        <v>43</v>
      </c>
      <c r="D5734" s="334" t="s">
        <v>207</v>
      </c>
      <c r="E5734" s="336">
        <v>43745</v>
      </c>
      <c r="F5734" s="336">
        <v>43741</v>
      </c>
      <c r="G5734" s="336">
        <v>43745</v>
      </c>
      <c r="H5734" s="334" t="s">
        <v>13141</v>
      </c>
      <c r="I5734" s="426">
        <v>13916268700</v>
      </c>
      <c r="J5734" s="334" t="s">
        <v>13142</v>
      </c>
      <c r="K5734" s="455">
        <v>8398</v>
      </c>
      <c r="L5734" s="334">
        <v>8097</v>
      </c>
      <c r="M5734" s="338"/>
      <c r="N5734" s="362">
        <f t="shared" si="190"/>
        <v>8097</v>
      </c>
      <c r="X5734" s="339"/>
    </row>
    <row r="5735" s="330" customFormat="1" ht="15" customHeight="1" spans="1:24">
      <c r="A5735" s="551" t="s">
        <v>4803</v>
      </c>
      <c r="B5735" s="334" t="s">
        <v>87</v>
      </c>
      <c r="C5735" s="334" t="s">
        <v>199</v>
      </c>
      <c r="D5735" s="335" t="s">
        <v>89</v>
      </c>
      <c r="E5735" s="336">
        <v>43750</v>
      </c>
      <c r="F5735" s="336">
        <v>43741</v>
      </c>
      <c r="G5735" s="336">
        <v>43749</v>
      </c>
      <c r="H5735" s="334" t="s">
        <v>13143</v>
      </c>
      <c r="I5735" s="426">
        <v>13918664223</v>
      </c>
      <c r="J5735" s="334" t="s">
        <v>13144</v>
      </c>
      <c r="K5735" s="455">
        <v>1000</v>
      </c>
      <c r="L5735" s="334">
        <v>14432</v>
      </c>
      <c r="M5735" s="338"/>
      <c r="N5735" s="362">
        <f t="shared" si="190"/>
        <v>14432</v>
      </c>
      <c r="X5735" s="339"/>
    </row>
    <row r="5736" s="330" customFormat="1" ht="15" customHeight="1" spans="1:24">
      <c r="A5736" s="551" t="s">
        <v>2852</v>
      </c>
      <c r="B5736" s="334" t="s">
        <v>137</v>
      </c>
      <c r="C5736" s="334" t="s">
        <v>406</v>
      </c>
      <c r="D5736" s="334" t="s">
        <v>427</v>
      </c>
      <c r="E5736" s="336">
        <v>43745</v>
      </c>
      <c r="F5736" s="336">
        <v>43741</v>
      </c>
      <c r="G5736" s="336">
        <v>43745</v>
      </c>
      <c r="H5736" s="334" t="s">
        <v>13145</v>
      </c>
      <c r="I5736" s="426">
        <v>18121021549</v>
      </c>
      <c r="J5736" s="334" t="s">
        <v>13146</v>
      </c>
      <c r="K5736" s="455">
        <v>41400</v>
      </c>
      <c r="L5736" s="334">
        <v>41400</v>
      </c>
      <c r="M5736" s="338"/>
      <c r="N5736" s="362">
        <f t="shared" si="190"/>
        <v>41400</v>
      </c>
      <c r="X5736" s="339"/>
    </row>
    <row r="5737" s="330" customFormat="1" ht="15" customHeight="1" spans="1:24">
      <c r="A5737" s="551" t="s">
        <v>6692</v>
      </c>
      <c r="B5737" s="334" t="s">
        <v>87</v>
      </c>
      <c r="C5737" s="334" t="s">
        <v>466</v>
      </c>
      <c r="D5737" s="334" t="s">
        <v>8334</v>
      </c>
      <c r="E5737" s="336">
        <v>43794</v>
      </c>
      <c r="F5737" s="336">
        <v>43741</v>
      </c>
      <c r="G5737" s="336">
        <v>43793</v>
      </c>
      <c r="H5737" s="334" t="s">
        <v>13147</v>
      </c>
      <c r="I5737" s="426">
        <v>18801877890</v>
      </c>
      <c r="J5737" s="334" t="s">
        <v>13148</v>
      </c>
      <c r="K5737" s="455">
        <v>1000</v>
      </c>
      <c r="L5737" s="334">
        <f>-1174+19695</f>
        <v>18521</v>
      </c>
      <c r="M5737" s="334">
        <v>1174</v>
      </c>
      <c r="N5737" s="362">
        <f t="shared" si="190"/>
        <v>19695</v>
      </c>
      <c r="X5737" s="339"/>
    </row>
    <row r="5738" s="330" customFormat="1" ht="15" customHeight="1" spans="1:24">
      <c r="A5738" s="551" t="s">
        <v>3093</v>
      </c>
      <c r="B5738" s="334" t="s">
        <v>87</v>
      </c>
      <c r="C5738" s="334" t="s">
        <v>466</v>
      </c>
      <c r="D5738" s="335" t="s">
        <v>89</v>
      </c>
      <c r="E5738" s="336">
        <v>43750</v>
      </c>
      <c r="F5738" s="336">
        <v>43741</v>
      </c>
      <c r="G5738" s="336">
        <v>43749</v>
      </c>
      <c r="H5738" s="334" t="s">
        <v>13149</v>
      </c>
      <c r="I5738" s="426">
        <v>13801797333</v>
      </c>
      <c r="J5738" s="334" t="s">
        <v>13150</v>
      </c>
      <c r="K5738" s="455">
        <v>4596</v>
      </c>
      <c r="L5738" s="334">
        <v>6583</v>
      </c>
      <c r="M5738" s="338"/>
      <c r="N5738" s="362">
        <f t="shared" si="190"/>
        <v>6583</v>
      </c>
      <c r="X5738" s="339"/>
    </row>
    <row r="5739" s="330" customFormat="1" ht="15" customHeight="1" spans="1:24">
      <c r="A5739" s="334"/>
      <c r="B5739" s="334" t="s">
        <v>87</v>
      </c>
      <c r="C5739" s="334" t="s">
        <v>466</v>
      </c>
      <c r="D5739" s="335" t="s">
        <v>89</v>
      </c>
      <c r="E5739" s="336">
        <v>43745</v>
      </c>
      <c r="F5739" s="336">
        <v>43741</v>
      </c>
      <c r="G5739" s="336">
        <v>43745</v>
      </c>
      <c r="H5739" s="334" t="s">
        <v>13151</v>
      </c>
      <c r="I5739" s="426">
        <v>18501664858</v>
      </c>
      <c r="J5739" s="334" t="s">
        <v>13152</v>
      </c>
      <c r="K5739" s="455">
        <v>7140</v>
      </c>
      <c r="L5739" s="334">
        <v>7140</v>
      </c>
      <c r="M5739" s="338"/>
      <c r="N5739" s="362">
        <f t="shared" si="190"/>
        <v>7140</v>
      </c>
      <c r="X5739" s="339"/>
    </row>
    <row r="5740" s="330" customFormat="1" ht="15" customHeight="1" spans="1:24">
      <c r="A5740" s="551" t="s">
        <v>13153</v>
      </c>
      <c r="B5740" s="334" t="s">
        <v>137</v>
      </c>
      <c r="C5740" s="334" t="s">
        <v>480</v>
      </c>
      <c r="D5740" s="335" t="s">
        <v>139</v>
      </c>
      <c r="E5740" s="336">
        <v>43745</v>
      </c>
      <c r="F5740" s="336">
        <v>43741</v>
      </c>
      <c r="G5740" s="336">
        <v>43744</v>
      </c>
      <c r="H5740" s="334" t="s">
        <v>13154</v>
      </c>
      <c r="I5740" s="426">
        <v>13761825189</v>
      </c>
      <c r="J5740" s="334" t="s">
        <v>13155</v>
      </c>
      <c r="K5740" s="455">
        <v>12600</v>
      </c>
      <c r="L5740" s="334">
        <v>12600</v>
      </c>
      <c r="M5740" s="338"/>
      <c r="N5740" s="362">
        <f t="shared" si="190"/>
        <v>12600</v>
      </c>
      <c r="X5740" s="339"/>
    </row>
    <row r="5741" s="330" customFormat="1" ht="15" customHeight="1" spans="1:24">
      <c r="A5741" s="334"/>
      <c r="B5741" s="334" t="s">
        <v>2625</v>
      </c>
      <c r="C5741" s="334" t="s">
        <v>2626</v>
      </c>
      <c r="D5741" s="334" t="s">
        <v>337</v>
      </c>
      <c r="E5741" s="336">
        <v>43759</v>
      </c>
      <c r="F5741" s="336">
        <v>43742</v>
      </c>
      <c r="G5741" s="336">
        <v>43758</v>
      </c>
      <c r="H5741" s="334" t="s">
        <v>13156</v>
      </c>
      <c r="I5741" s="426">
        <v>13788917351</v>
      </c>
      <c r="J5741" s="334" t="s">
        <v>13157</v>
      </c>
      <c r="K5741" s="455">
        <v>1500</v>
      </c>
      <c r="L5741" s="334">
        <v>10124</v>
      </c>
      <c r="M5741" s="338"/>
      <c r="N5741" s="362">
        <f t="shared" si="190"/>
        <v>10124</v>
      </c>
      <c r="X5741" s="339"/>
    </row>
    <row r="5742" s="330" customFormat="1" ht="15" customHeight="1" spans="1:24">
      <c r="A5742" s="334"/>
      <c r="B5742" s="334" t="s">
        <v>2625</v>
      </c>
      <c r="C5742" s="334" t="s">
        <v>2626</v>
      </c>
      <c r="D5742" s="334" t="s">
        <v>44</v>
      </c>
      <c r="E5742" s="336">
        <v>43750</v>
      </c>
      <c r="F5742" s="336">
        <v>43741</v>
      </c>
      <c r="G5742" s="336">
        <v>43749</v>
      </c>
      <c r="H5742" s="334" t="s">
        <v>13158</v>
      </c>
      <c r="I5742" s="426">
        <v>13818844481</v>
      </c>
      <c r="J5742" s="334" t="s">
        <v>13159</v>
      </c>
      <c r="K5742" s="455">
        <v>3000</v>
      </c>
      <c r="L5742" s="334">
        <v>4035</v>
      </c>
      <c r="M5742" s="338"/>
      <c r="N5742" s="362">
        <f t="shared" si="190"/>
        <v>4035</v>
      </c>
      <c r="X5742" s="339"/>
    </row>
    <row r="5743" s="330" customFormat="1" ht="15" customHeight="1" spans="1:24">
      <c r="A5743" s="334"/>
      <c r="B5743" s="334" t="s">
        <v>354</v>
      </c>
      <c r="C5743" s="334" t="s">
        <v>355</v>
      </c>
      <c r="D5743" s="334" t="s">
        <v>162</v>
      </c>
      <c r="E5743" s="336">
        <v>43745</v>
      </c>
      <c r="F5743" s="336">
        <v>43741</v>
      </c>
      <c r="G5743" s="336">
        <v>43741</v>
      </c>
      <c r="H5743" s="334" t="s">
        <v>13160</v>
      </c>
      <c r="I5743" s="426">
        <v>13917594409</v>
      </c>
      <c r="J5743" s="334" t="s">
        <v>13161</v>
      </c>
      <c r="K5743" s="455">
        <v>41500</v>
      </c>
      <c r="L5743" s="334">
        <v>41500</v>
      </c>
      <c r="M5743" s="334">
        <v>-5770</v>
      </c>
      <c r="N5743" s="362">
        <f t="shared" si="190"/>
        <v>35730</v>
      </c>
      <c r="X5743" s="339"/>
    </row>
    <row r="5744" s="330" customFormat="1" ht="15" customHeight="1" spans="1:24">
      <c r="A5744" s="334"/>
      <c r="B5744" s="334" t="s">
        <v>354</v>
      </c>
      <c r="C5744" s="334" t="s">
        <v>355</v>
      </c>
      <c r="D5744" s="335" t="s">
        <v>149</v>
      </c>
      <c r="E5744" s="336">
        <v>43742</v>
      </c>
      <c r="F5744" s="336">
        <v>43740</v>
      </c>
      <c r="G5744" s="490"/>
      <c r="H5744" s="334" t="s">
        <v>13162</v>
      </c>
      <c r="I5744" s="426">
        <v>13816314887</v>
      </c>
      <c r="J5744" s="334" t="s">
        <v>13163</v>
      </c>
      <c r="K5744" s="455">
        <v>500</v>
      </c>
      <c r="L5744" s="338"/>
      <c r="M5744" s="338"/>
      <c r="N5744" s="362">
        <f t="shared" si="190"/>
        <v>0</v>
      </c>
      <c r="X5744" s="339"/>
    </row>
    <row r="5745" s="330" customFormat="1" ht="15" customHeight="1" spans="1:24">
      <c r="A5745" s="551" t="s">
        <v>13164</v>
      </c>
      <c r="B5745" s="334" t="s">
        <v>160</v>
      </c>
      <c r="C5745" s="334" t="s">
        <v>161</v>
      </c>
      <c r="D5745" s="335" t="s">
        <v>162</v>
      </c>
      <c r="E5745" s="336">
        <v>43788</v>
      </c>
      <c r="F5745" s="336">
        <v>43741</v>
      </c>
      <c r="G5745" s="336">
        <v>43788</v>
      </c>
      <c r="H5745" s="334" t="s">
        <v>13165</v>
      </c>
      <c r="I5745" s="426">
        <v>13310039593</v>
      </c>
      <c r="J5745" s="334" t="s">
        <v>13166</v>
      </c>
      <c r="K5745" s="455">
        <v>1000</v>
      </c>
      <c r="L5745" s="334">
        <v>7750</v>
      </c>
      <c r="M5745" s="338"/>
      <c r="N5745" s="362">
        <f t="shared" si="190"/>
        <v>7750</v>
      </c>
      <c r="X5745" s="339"/>
    </row>
    <row r="5746" s="330" customFormat="1" ht="15" customHeight="1" spans="1:24">
      <c r="A5746" s="334"/>
      <c r="B5746" s="334" t="s">
        <v>58</v>
      </c>
      <c r="C5746" s="334" t="s">
        <v>109</v>
      </c>
      <c r="D5746" s="334" t="s">
        <v>343</v>
      </c>
      <c r="E5746" s="336">
        <v>43745</v>
      </c>
      <c r="F5746" s="336">
        <v>43742</v>
      </c>
      <c r="G5746" s="336">
        <v>43745</v>
      </c>
      <c r="H5746" s="334" t="s">
        <v>13167</v>
      </c>
      <c r="I5746" s="426">
        <v>13801794658</v>
      </c>
      <c r="J5746" s="426" t="s">
        <v>13168</v>
      </c>
      <c r="K5746" s="455">
        <v>1000</v>
      </c>
      <c r="L5746" s="334">
        <v>12046</v>
      </c>
      <c r="M5746" s="338"/>
      <c r="N5746" s="362">
        <f t="shared" si="190"/>
        <v>12046</v>
      </c>
      <c r="X5746" s="339"/>
    </row>
    <row r="5747" s="330" customFormat="1" ht="15" customHeight="1" spans="1:24">
      <c r="A5747" s="334"/>
      <c r="B5747" s="334" t="s">
        <v>58</v>
      </c>
      <c r="C5747" s="334" t="s">
        <v>109</v>
      </c>
      <c r="D5747" s="335" t="s">
        <v>110</v>
      </c>
      <c r="E5747" s="336">
        <v>43769</v>
      </c>
      <c r="F5747" s="336">
        <v>43742</v>
      </c>
      <c r="G5747" s="336">
        <v>43769</v>
      </c>
      <c r="H5747" s="334" t="s">
        <v>13169</v>
      </c>
      <c r="I5747" s="426">
        <v>13916036956</v>
      </c>
      <c r="J5747" s="334" t="s">
        <v>13170</v>
      </c>
      <c r="K5747" s="455">
        <v>30000</v>
      </c>
      <c r="L5747" s="334">
        <v>29802</v>
      </c>
      <c r="M5747" s="338"/>
      <c r="N5747" s="362">
        <f t="shared" si="190"/>
        <v>29802</v>
      </c>
      <c r="X5747" s="339"/>
    </row>
    <row r="5748" s="330" customFormat="1" ht="15" customHeight="1" spans="1:24">
      <c r="A5748" s="551" t="s">
        <v>1400</v>
      </c>
      <c r="B5748" s="334" t="s">
        <v>31</v>
      </c>
      <c r="C5748" s="348" t="s">
        <v>13171</v>
      </c>
      <c r="D5748" s="335" t="s">
        <v>221</v>
      </c>
      <c r="E5748" s="336">
        <v>43742</v>
      </c>
      <c r="F5748" s="336">
        <v>43741</v>
      </c>
      <c r="G5748" s="490"/>
      <c r="H5748" s="334" t="s">
        <v>13172</v>
      </c>
      <c r="I5748" s="426">
        <v>13585803949</v>
      </c>
      <c r="J5748" s="334" t="s">
        <v>13173</v>
      </c>
      <c r="K5748" s="455">
        <v>1000</v>
      </c>
      <c r="L5748" s="338"/>
      <c r="M5748" s="338"/>
      <c r="N5748" s="362">
        <f t="shared" si="190"/>
        <v>0</v>
      </c>
      <c r="U5748" s="393" t="s">
        <v>40</v>
      </c>
      <c r="X5748" s="339"/>
    </row>
    <row r="5749" s="330" customFormat="1" ht="15" customHeight="1" spans="1:24">
      <c r="A5749" s="551" t="s">
        <v>11296</v>
      </c>
      <c r="B5749" s="334" t="s">
        <v>169</v>
      </c>
      <c r="C5749" s="334" t="s">
        <v>12053</v>
      </c>
      <c r="D5749" s="335" t="s">
        <v>171</v>
      </c>
      <c r="E5749" s="336">
        <v>43780</v>
      </c>
      <c r="F5749" s="336">
        <v>43741</v>
      </c>
      <c r="G5749" s="336">
        <v>43779</v>
      </c>
      <c r="H5749" s="334" t="s">
        <v>13174</v>
      </c>
      <c r="I5749" s="426">
        <v>13761065626</v>
      </c>
      <c r="J5749" s="334" t="s">
        <v>13175</v>
      </c>
      <c r="K5749" s="455">
        <v>1000</v>
      </c>
      <c r="L5749" s="334">
        <v>4734</v>
      </c>
      <c r="M5749" s="338"/>
      <c r="N5749" s="362">
        <f t="shared" si="190"/>
        <v>4734</v>
      </c>
      <c r="X5749" s="339"/>
    </row>
    <row r="5750" s="330" customFormat="1" ht="15" customHeight="1" spans="1:24">
      <c r="A5750" s="334"/>
      <c r="B5750" s="334" t="s">
        <v>169</v>
      </c>
      <c r="C5750" s="334" t="s">
        <v>12053</v>
      </c>
      <c r="D5750" s="334" t="s">
        <v>171</v>
      </c>
      <c r="E5750" s="336">
        <v>43745</v>
      </c>
      <c r="F5750" s="336">
        <v>43742</v>
      </c>
      <c r="G5750" s="336">
        <v>43745</v>
      </c>
      <c r="H5750" s="334" t="s">
        <v>13176</v>
      </c>
      <c r="I5750" s="426">
        <v>17621507280</v>
      </c>
      <c r="J5750" s="334" t="s">
        <v>13177</v>
      </c>
      <c r="K5750" s="455">
        <v>15000</v>
      </c>
      <c r="L5750" s="334">
        <v>15787</v>
      </c>
      <c r="M5750" s="338"/>
      <c r="N5750" s="362">
        <f t="shared" si="190"/>
        <v>15787</v>
      </c>
      <c r="X5750" s="339"/>
    </row>
    <row r="5751" s="330" customFormat="1" ht="15" customHeight="1" spans="1:24">
      <c r="A5751" s="551" t="s">
        <v>10351</v>
      </c>
      <c r="B5751" s="334" t="s">
        <v>31</v>
      </c>
      <c r="C5751" s="334" t="s">
        <v>220</v>
      </c>
      <c r="D5751" s="335" t="s">
        <v>221</v>
      </c>
      <c r="E5751" s="336">
        <v>43742</v>
      </c>
      <c r="F5751" s="336">
        <v>43742</v>
      </c>
      <c r="G5751" s="490"/>
      <c r="H5751" s="334" t="s">
        <v>13178</v>
      </c>
      <c r="I5751" s="426">
        <v>13501993466</v>
      </c>
      <c r="J5751" s="334" t="s">
        <v>13179</v>
      </c>
      <c r="K5751" s="455">
        <v>1000</v>
      </c>
      <c r="L5751" s="338"/>
      <c r="M5751" s="338"/>
      <c r="N5751" s="362">
        <f t="shared" si="190"/>
        <v>0</v>
      </c>
      <c r="U5751" s="393" t="s">
        <v>40</v>
      </c>
      <c r="X5751" s="339"/>
    </row>
    <row r="5752" s="330" customFormat="1" ht="15" customHeight="1" spans="1:24">
      <c r="A5752" s="334"/>
      <c r="B5752" s="334" t="s">
        <v>315</v>
      </c>
      <c r="C5752" s="334" t="s">
        <v>275</v>
      </c>
      <c r="D5752" s="335" t="s">
        <v>162</v>
      </c>
      <c r="E5752" s="336">
        <v>43742</v>
      </c>
      <c r="F5752" s="336">
        <v>43742</v>
      </c>
      <c r="G5752" s="490"/>
      <c r="H5752" s="334" t="s">
        <v>11851</v>
      </c>
      <c r="I5752" s="426">
        <v>18017530727</v>
      </c>
      <c r="J5752" s="334" t="s">
        <v>13180</v>
      </c>
      <c r="K5752" s="455">
        <v>1799</v>
      </c>
      <c r="L5752" s="338"/>
      <c r="M5752" s="338"/>
      <c r="N5752" s="362">
        <f t="shared" si="190"/>
        <v>0</v>
      </c>
      <c r="P5752" s="330">
        <v>1</v>
      </c>
      <c r="X5752" s="339"/>
    </row>
    <row r="5753" s="330" customFormat="1" ht="15" customHeight="1" spans="1:24">
      <c r="A5753" s="334"/>
      <c r="B5753" s="334" t="s">
        <v>58</v>
      </c>
      <c r="C5753" s="334" t="s">
        <v>794</v>
      </c>
      <c r="D5753" s="335" t="s">
        <v>110</v>
      </c>
      <c r="E5753" s="336">
        <v>43769</v>
      </c>
      <c r="F5753" s="336">
        <v>43741</v>
      </c>
      <c r="G5753" s="336">
        <v>43767</v>
      </c>
      <c r="H5753" s="334" t="s">
        <v>13181</v>
      </c>
      <c r="I5753" s="426">
        <v>13585664260</v>
      </c>
      <c r="J5753" s="334" t="s">
        <v>13182</v>
      </c>
      <c r="K5753" s="455">
        <v>18900</v>
      </c>
      <c r="L5753" s="455">
        <v>18900</v>
      </c>
      <c r="M5753" s="338"/>
      <c r="N5753" s="362">
        <f t="shared" si="190"/>
        <v>18900</v>
      </c>
      <c r="X5753" s="339"/>
    </row>
    <row r="5754" s="330" customFormat="1" ht="15" customHeight="1" spans="1:24">
      <c r="A5754" s="551" t="s">
        <v>3599</v>
      </c>
      <c r="B5754" s="334" t="s">
        <v>315</v>
      </c>
      <c r="C5754" s="334" t="s">
        <v>275</v>
      </c>
      <c r="D5754" s="335" t="s">
        <v>162</v>
      </c>
      <c r="E5754" s="336">
        <v>43795</v>
      </c>
      <c r="F5754" s="336">
        <v>43741</v>
      </c>
      <c r="G5754" s="336">
        <v>43795</v>
      </c>
      <c r="H5754" s="334" t="s">
        <v>13183</v>
      </c>
      <c r="I5754" s="426">
        <v>1361784560</v>
      </c>
      <c r="J5754" s="334" t="s">
        <v>13184</v>
      </c>
      <c r="K5754" s="455">
        <v>1000</v>
      </c>
      <c r="L5754" s="334">
        <v>21000</v>
      </c>
      <c r="M5754" s="338"/>
      <c r="N5754" s="362">
        <f t="shared" si="190"/>
        <v>21000</v>
      </c>
      <c r="X5754" s="339"/>
    </row>
    <row r="5755" s="330" customFormat="1" ht="15" customHeight="1" spans="1:24">
      <c r="A5755" s="334"/>
      <c r="B5755" s="334" t="s">
        <v>58</v>
      </c>
      <c r="C5755" s="334" t="s">
        <v>347</v>
      </c>
      <c r="D5755" s="334" t="s">
        <v>717</v>
      </c>
      <c r="E5755" s="336">
        <v>43745</v>
      </c>
      <c r="F5755" s="336">
        <v>43741</v>
      </c>
      <c r="G5755" s="336">
        <v>43743</v>
      </c>
      <c r="H5755" s="334" t="s">
        <v>13185</v>
      </c>
      <c r="I5755" s="426">
        <v>13764240969</v>
      </c>
      <c r="J5755" s="334" t="s">
        <v>13186</v>
      </c>
      <c r="K5755" s="455">
        <v>5000</v>
      </c>
      <c r="L5755" s="334">
        <v>11900</v>
      </c>
      <c r="M5755" s="338"/>
      <c r="N5755" s="362">
        <f t="shared" si="190"/>
        <v>11900</v>
      </c>
      <c r="X5755" s="339"/>
    </row>
    <row r="5756" s="330" customFormat="1" ht="15" customHeight="1" spans="1:24">
      <c r="A5756" s="334"/>
      <c r="B5756" s="334" t="s">
        <v>58</v>
      </c>
      <c r="C5756" s="334" t="s">
        <v>347</v>
      </c>
      <c r="D5756" s="335" t="s">
        <v>343</v>
      </c>
      <c r="E5756" s="336">
        <v>43797</v>
      </c>
      <c r="F5756" s="336">
        <v>43742</v>
      </c>
      <c r="G5756" s="336">
        <v>43793</v>
      </c>
      <c r="H5756" s="334" t="s">
        <v>13187</v>
      </c>
      <c r="I5756" s="426">
        <v>18918352592</v>
      </c>
      <c r="J5756" s="334" t="s">
        <v>13188</v>
      </c>
      <c r="K5756" s="455">
        <v>1000</v>
      </c>
      <c r="L5756" s="334">
        <v>11109</v>
      </c>
      <c r="M5756" s="338"/>
      <c r="N5756" s="362">
        <f t="shared" si="190"/>
        <v>11109</v>
      </c>
      <c r="Q5756" s="365" t="s">
        <v>52</v>
      </c>
      <c r="X5756" s="339"/>
    </row>
    <row r="5757" s="330" customFormat="1" ht="15" customHeight="1" spans="1:24">
      <c r="A5757" s="551" t="s">
        <v>4836</v>
      </c>
      <c r="B5757" s="334" t="s">
        <v>726</v>
      </c>
      <c r="C5757" s="334" t="s">
        <v>727</v>
      </c>
      <c r="D5757" s="334" t="s">
        <v>271</v>
      </c>
      <c r="E5757" s="336">
        <v>43746</v>
      </c>
      <c r="F5757" s="336">
        <v>43741</v>
      </c>
      <c r="G5757" s="336">
        <v>43746</v>
      </c>
      <c r="H5757" s="334" t="s">
        <v>13189</v>
      </c>
      <c r="I5757" s="426">
        <v>13501812789</v>
      </c>
      <c r="J5757" s="334" t="s">
        <v>13190</v>
      </c>
      <c r="K5757" s="455">
        <v>16983</v>
      </c>
      <c r="L5757" s="334">
        <v>16983</v>
      </c>
      <c r="M5757" s="338"/>
      <c r="N5757" s="362">
        <f t="shared" si="190"/>
        <v>16983</v>
      </c>
      <c r="X5757" s="339"/>
    </row>
    <row r="5758" s="330" customFormat="1" ht="15" customHeight="1" spans="1:24">
      <c r="A5758" s="334"/>
      <c r="B5758" s="334" t="s">
        <v>169</v>
      </c>
      <c r="C5758" s="334" t="s">
        <v>542</v>
      </c>
      <c r="D5758" s="335" t="s">
        <v>171</v>
      </c>
      <c r="E5758" s="336">
        <v>43745</v>
      </c>
      <c r="F5758" s="336">
        <v>43742</v>
      </c>
      <c r="G5758" s="336">
        <v>43745</v>
      </c>
      <c r="H5758" s="408" t="s">
        <v>13191</v>
      </c>
      <c r="I5758" s="426">
        <v>18516523980</v>
      </c>
      <c r="J5758" s="334" t="s">
        <v>13192</v>
      </c>
      <c r="K5758" s="455">
        <v>16200</v>
      </c>
      <c r="L5758" s="334">
        <v>18000</v>
      </c>
      <c r="M5758" s="338"/>
      <c r="N5758" s="362">
        <f t="shared" si="190"/>
        <v>18000</v>
      </c>
      <c r="X5758" s="339"/>
    </row>
    <row r="5759" s="330" customFormat="1" ht="15" customHeight="1" spans="1:24">
      <c r="A5759" s="551" t="s">
        <v>13193</v>
      </c>
      <c r="B5759" s="334" t="s">
        <v>185</v>
      </c>
      <c r="C5759" s="334" t="s">
        <v>886</v>
      </c>
      <c r="D5759" s="335" t="s">
        <v>187</v>
      </c>
      <c r="E5759" s="336">
        <v>43789</v>
      </c>
      <c r="F5759" s="336">
        <v>43742</v>
      </c>
      <c r="G5759" s="336">
        <v>43786</v>
      </c>
      <c r="H5759" s="334" t="s">
        <v>13194</v>
      </c>
      <c r="I5759" s="426">
        <v>13918876347</v>
      </c>
      <c r="J5759" s="334" t="s">
        <v>13195</v>
      </c>
      <c r="K5759" s="455">
        <v>1000</v>
      </c>
      <c r="L5759" s="334">
        <v>5468</v>
      </c>
      <c r="M5759" s="338"/>
      <c r="N5759" s="362">
        <f t="shared" si="190"/>
        <v>5468</v>
      </c>
      <c r="X5759" s="339"/>
    </row>
    <row r="5760" s="330" customFormat="1" ht="15" customHeight="1" spans="1:24">
      <c r="A5760" s="334"/>
      <c r="B5760" s="334" t="s">
        <v>66</v>
      </c>
      <c r="C5760" s="334" t="s">
        <v>505</v>
      </c>
      <c r="D5760" s="335" t="s">
        <v>1436</v>
      </c>
      <c r="E5760" s="336">
        <v>43742</v>
      </c>
      <c r="F5760" s="336">
        <v>43741</v>
      </c>
      <c r="G5760" s="490"/>
      <c r="H5760" s="334" t="s">
        <v>13196</v>
      </c>
      <c r="I5760" s="426">
        <v>15900723629</v>
      </c>
      <c r="J5760" s="334" t="s">
        <v>13197</v>
      </c>
      <c r="K5760" s="455">
        <v>1000</v>
      </c>
      <c r="L5760" s="338"/>
      <c r="M5760" s="338"/>
      <c r="N5760" s="362">
        <f t="shared" si="190"/>
        <v>0</v>
      </c>
      <c r="U5760" s="330" t="s">
        <v>63</v>
      </c>
      <c r="X5760" s="339"/>
    </row>
    <row r="5761" s="330" customFormat="1" ht="15" customHeight="1" spans="1:24">
      <c r="A5761" s="334">
        <v>2066522</v>
      </c>
      <c r="B5761" s="334" t="s">
        <v>243</v>
      </c>
      <c r="C5761" s="334" t="s">
        <v>309</v>
      </c>
      <c r="D5761" s="335" t="s">
        <v>49</v>
      </c>
      <c r="E5761" s="336">
        <v>43747</v>
      </c>
      <c r="F5761" s="336">
        <v>43742</v>
      </c>
      <c r="G5761" s="336">
        <v>43746</v>
      </c>
      <c r="H5761" s="334" t="s">
        <v>13198</v>
      </c>
      <c r="I5761" s="426">
        <v>13701725248</v>
      </c>
      <c r="J5761" s="334" t="s">
        <v>13199</v>
      </c>
      <c r="K5761" s="455">
        <v>3000</v>
      </c>
      <c r="L5761" s="334">
        <v>39000</v>
      </c>
      <c r="M5761" s="338"/>
      <c r="N5761" s="362">
        <f t="shared" si="190"/>
        <v>39000</v>
      </c>
      <c r="X5761" s="339"/>
    </row>
    <row r="5762" s="330" customFormat="1" ht="15" customHeight="1" spans="1:24">
      <c r="A5762" s="551" t="s">
        <v>13200</v>
      </c>
      <c r="B5762" s="334" t="s">
        <v>42</v>
      </c>
      <c r="C5762" s="334" t="s">
        <v>12765</v>
      </c>
      <c r="D5762" s="334" t="s">
        <v>207</v>
      </c>
      <c r="E5762" s="336">
        <v>43745</v>
      </c>
      <c r="F5762" s="336">
        <v>43742</v>
      </c>
      <c r="G5762" s="336">
        <v>43744</v>
      </c>
      <c r="H5762" s="334" t="s">
        <v>13201</v>
      </c>
      <c r="I5762" s="426">
        <v>18101890927</v>
      </c>
      <c r="J5762" s="334" t="s">
        <v>13202</v>
      </c>
      <c r="K5762" s="455">
        <v>8000</v>
      </c>
      <c r="L5762" s="334">
        <v>18315</v>
      </c>
      <c r="M5762" s="338"/>
      <c r="N5762" s="362">
        <f t="shared" si="190"/>
        <v>18315</v>
      </c>
      <c r="X5762" s="339"/>
    </row>
    <row r="5763" s="330" customFormat="1" ht="15" customHeight="1" spans="1:24">
      <c r="A5763" s="551" t="s">
        <v>11414</v>
      </c>
      <c r="B5763" s="334" t="s">
        <v>185</v>
      </c>
      <c r="C5763" s="334" t="s">
        <v>186</v>
      </c>
      <c r="D5763" s="335" t="s">
        <v>187</v>
      </c>
      <c r="E5763" s="336">
        <v>43834</v>
      </c>
      <c r="F5763" s="336">
        <v>43742</v>
      </c>
      <c r="G5763" s="336">
        <v>43833</v>
      </c>
      <c r="H5763" s="334" t="s">
        <v>13203</v>
      </c>
      <c r="I5763" s="426">
        <v>13917428986</v>
      </c>
      <c r="J5763" s="334" t="s">
        <v>13204</v>
      </c>
      <c r="K5763" s="455">
        <v>1000</v>
      </c>
      <c r="L5763" s="334">
        <v>24497</v>
      </c>
      <c r="M5763" s="338"/>
      <c r="N5763" s="362">
        <f t="shared" si="190"/>
        <v>24497</v>
      </c>
      <c r="P5763" s="356" t="s">
        <v>52</v>
      </c>
      <c r="X5763" s="339"/>
    </row>
    <row r="5764" s="330" customFormat="1" ht="15" customHeight="1" spans="1:24">
      <c r="A5764" s="334"/>
      <c r="B5764" s="334" t="s">
        <v>169</v>
      </c>
      <c r="C5764" s="334" t="s">
        <v>542</v>
      </c>
      <c r="D5764" s="335" t="s">
        <v>171</v>
      </c>
      <c r="E5764" s="336">
        <v>43745</v>
      </c>
      <c r="F5764" s="336">
        <v>43742</v>
      </c>
      <c r="G5764" s="336">
        <v>43745</v>
      </c>
      <c r="H5764" s="334" t="s">
        <v>13205</v>
      </c>
      <c r="I5764" s="426">
        <v>15214381615</v>
      </c>
      <c r="J5764" s="334" t="s">
        <v>13206</v>
      </c>
      <c r="K5764" s="455">
        <v>5000</v>
      </c>
      <c r="L5764" s="334">
        <v>5500</v>
      </c>
      <c r="M5764" s="338"/>
      <c r="N5764" s="362">
        <f t="shared" si="190"/>
        <v>5500</v>
      </c>
      <c r="X5764" s="339"/>
    </row>
    <row r="5765" s="330" customFormat="1" ht="15" customHeight="1" spans="1:24">
      <c r="A5765" s="551" t="s">
        <v>13207</v>
      </c>
      <c r="B5765" s="334" t="s">
        <v>31</v>
      </c>
      <c r="C5765" s="334" t="s">
        <v>220</v>
      </c>
      <c r="D5765" s="334" t="s">
        <v>954</v>
      </c>
      <c r="E5765" s="336">
        <v>43745</v>
      </c>
      <c r="F5765" s="336">
        <v>43742</v>
      </c>
      <c r="G5765" s="336">
        <v>43745</v>
      </c>
      <c r="H5765" s="334" t="s">
        <v>13208</v>
      </c>
      <c r="I5765" s="426">
        <v>15221663938</v>
      </c>
      <c r="J5765" s="334" t="s">
        <v>13209</v>
      </c>
      <c r="K5765" s="455">
        <v>10000</v>
      </c>
      <c r="L5765" s="334">
        <v>10000</v>
      </c>
      <c r="M5765" s="338"/>
      <c r="N5765" s="362">
        <f t="shared" si="190"/>
        <v>10000</v>
      </c>
      <c r="X5765" s="339"/>
    </row>
    <row r="5766" s="330" customFormat="1" ht="15" customHeight="1" spans="1:24">
      <c r="A5766" s="334"/>
      <c r="B5766" s="334" t="s">
        <v>315</v>
      </c>
      <c r="C5766" s="334" t="s">
        <v>275</v>
      </c>
      <c r="D5766" s="335" t="s">
        <v>162</v>
      </c>
      <c r="E5766" s="336">
        <v>43796</v>
      </c>
      <c r="F5766" s="336">
        <v>43742</v>
      </c>
      <c r="G5766" s="336">
        <v>43793</v>
      </c>
      <c r="H5766" s="334" t="s">
        <v>13210</v>
      </c>
      <c r="I5766" s="426">
        <v>13917040581</v>
      </c>
      <c r="J5766" s="334" t="s">
        <v>13211</v>
      </c>
      <c r="K5766" s="455">
        <v>1000</v>
      </c>
      <c r="L5766" s="334">
        <v>15000</v>
      </c>
      <c r="M5766" s="338"/>
      <c r="N5766" s="362">
        <f t="shared" si="190"/>
        <v>15000</v>
      </c>
      <c r="X5766" s="339"/>
    </row>
    <row r="5767" s="330" customFormat="1" ht="15" customHeight="1" spans="1:24">
      <c r="A5767" s="551" t="s">
        <v>13212</v>
      </c>
      <c r="B5767" s="334" t="s">
        <v>66</v>
      </c>
      <c r="C5767" s="334" t="s">
        <v>67</v>
      </c>
      <c r="D5767" s="335" t="s">
        <v>1436</v>
      </c>
      <c r="E5767" s="336">
        <v>43742</v>
      </c>
      <c r="F5767" s="336">
        <v>43742</v>
      </c>
      <c r="G5767" s="490"/>
      <c r="H5767" s="334" t="s">
        <v>13213</v>
      </c>
      <c r="I5767" s="426">
        <v>13916998270</v>
      </c>
      <c r="J5767" s="334" t="s">
        <v>13214</v>
      </c>
      <c r="K5767" s="455">
        <v>1000</v>
      </c>
      <c r="L5767" s="338"/>
      <c r="M5767" s="338"/>
      <c r="N5767" s="362">
        <f t="shared" si="190"/>
        <v>0</v>
      </c>
      <c r="U5767" s="330" t="s">
        <v>12</v>
      </c>
      <c r="X5767" s="339"/>
    </row>
    <row r="5768" s="330" customFormat="1" ht="15" customHeight="1" spans="1:24">
      <c r="A5768" s="551" t="s">
        <v>4517</v>
      </c>
      <c r="B5768" s="334" t="s">
        <v>137</v>
      </c>
      <c r="C5768" s="334" t="s">
        <v>138</v>
      </c>
      <c r="D5768" s="334" t="s">
        <v>443</v>
      </c>
      <c r="E5768" s="336">
        <v>43786</v>
      </c>
      <c r="F5768" s="336">
        <v>43742</v>
      </c>
      <c r="G5768" s="336">
        <v>43786</v>
      </c>
      <c r="H5768" s="334" t="s">
        <v>13215</v>
      </c>
      <c r="I5768" s="426">
        <v>13501641976</v>
      </c>
      <c r="J5768" s="334" t="s">
        <v>13216</v>
      </c>
      <c r="K5768" s="455">
        <v>5601</v>
      </c>
      <c r="L5768" s="334">
        <v>7992</v>
      </c>
      <c r="M5768" s="338"/>
      <c r="N5768" s="362">
        <f t="shared" si="190"/>
        <v>7992</v>
      </c>
      <c r="X5768" s="339"/>
    </row>
    <row r="5769" s="330" customFormat="1" ht="15" customHeight="1" spans="1:24">
      <c r="A5769" s="551" t="s">
        <v>2162</v>
      </c>
      <c r="B5769" s="334" t="s">
        <v>137</v>
      </c>
      <c r="C5769" s="334" t="s">
        <v>138</v>
      </c>
      <c r="D5769" s="335" t="s">
        <v>139</v>
      </c>
      <c r="E5769" s="336">
        <v>43742</v>
      </c>
      <c r="F5769" s="336">
        <v>43741</v>
      </c>
      <c r="G5769" s="490"/>
      <c r="H5769" s="334" t="s">
        <v>13217</v>
      </c>
      <c r="I5769" s="426">
        <v>13817870081</v>
      </c>
      <c r="J5769" s="334" t="s">
        <v>13218</v>
      </c>
      <c r="K5769" s="455">
        <v>1000</v>
      </c>
      <c r="L5769" s="338"/>
      <c r="M5769" s="338"/>
      <c r="N5769" s="362">
        <f t="shared" si="190"/>
        <v>0</v>
      </c>
      <c r="T5769" s="330">
        <v>1</v>
      </c>
      <c r="U5769" s="330" t="s">
        <v>12</v>
      </c>
      <c r="X5769" s="339"/>
    </row>
    <row r="5770" s="330" customFormat="1" ht="15" customHeight="1" spans="1:24">
      <c r="A5770" s="334" t="s">
        <v>13074</v>
      </c>
      <c r="B5770" s="334" t="s">
        <v>58</v>
      </c>
      <c r="C5770" s="334" t="s">
        <v>347</v>
      </c>
      <c r="D5770" s="335" t="s">
        <v>343</v>
      </c>
      <c r="E5770" s="336">
        <v>43768</v>
      </c>
      <c r="F5770" s="336">
        <v>43741</v>
      </c>
      <c r="G5770" s="336">
        <v>43767</v>
      </c>
      <c r="H5770" s="334" t="s">
        <v>13219</v>
      </c>
      <c r="I5770" s="426">
        <v>18939745680</v>
      </c>
      <c r="J5770" s="334" t="s">
        <v>13220</v>
      </c>
      <c r="K5770" s="455">
        <v>13000</v>
      </c>
      <c r="L5770" s="455">
        <v>11700</v>
      </c>
      <c r="M5770" s="338"/>
      <c r="N5770" s="362">
        <f t="shared" si="190"/>
        <v>11700</v>
      </c>
      <c r="X5770" s="339"/>
    </row>
    <row r="5771" s="330" customFormat="1" ht="15" customHeight="1" spans="1:24">
      <c r="A5771" s="334"/>
      <c r="B5771" s="334" t="s">
        <v>726</v>
      </c>
      <c r="C5771" s="334" t="s">
        <v>727</v>
      </c>
      <c r="D5771" s="334" t="s">
        <v>271</v>
      </c>
      <c r="E5771" s="336">
        <v>43742</v>
      </c>
      <c r="F5771" s="336"/>
      <c r="G5771" s="336">
        <v>43741</v>
      </c>
      <c r="H5771" s="334" t="s">
        <v>13221</v>
      </c>
      <c r="I5771" s="334">
        <v>13982022020</v>
      </c>
      <c r="J5771" s="334" t="s">
        <v>13222</v>
      </c>
      <c r="K5771" s="337"/>
      <c r="L5771" s="334">
        <v>7058</v>
      </c>
      <c r="M5771" s="338"/>
      <c r="N5771" s="362">
        <f t="shared" si="190"/>
        <v>7058</v>
      </c>
      <c r="X5771" s="339"/>
    </row>
    <row r="5772" s="330" customFormat="1" ht="15" customHeight="1" spans="1:24">
      <c r="A5772" s="334"/>
      <c r="B5772" s="334" t="s">
        <v>5336</v>
      </c>
      <c r="C5772" s="334" t="s">
        <v>5336</v>
      </c>
      <c r="D5772" s="334" t="s">
        <v>271</v>
      </c>
      <c r="E5772" s="336">
        <v>43742</v>
      </c>
      <c r="F5772" s="336"/>
      <c r="G5772" s="336">
        <v>43742</v>
      </c>
      <c r="H5772" s="334" t="s">
        <v>13223</v>
      </c>
      <c r="I5772" s="334">
        <v>13524341407</v>
      </c>
      <c r="J5772" s="334" t="s">
        <v>13224</v>
      </c>
      <c r="K5772" s="337"/>
      <c r="L5772" s="334">
        <v>2533</v>
      </c>
      <c r="M5772" s="338"/>
      <c r="N5772" s="362">
        <f t="shared" si="190"/>
        <v>2533</v>
      </c>
      <c r="X5772" s="339"/>
    </row>
    <row r="5773" s="330" customFormat="1" ht="15" customHeight="1" spans="1:24">
      <c r="A5773" s="334"/>
      <c r="B5773" s="348" t="s">
        <v>236</v>
      </c>
      <c r="C5773" s="334" t="s">
        <v>703</v>
      </c>
      <c r="D5773" s="349" t="s">
        <v>68</v>
      </c>
      <c r="E5773" s="336">
        <v>43742</v>
      </c>
      <c r="F5773" s="336" t="s">
        <v>800</v>
      </c>
      <c r="G5773" s="336">
        <v>43741</v>
      </c>
      <c r="H5773" s="334" t="s">
        <v>5034</v>
      </c>
      <c r="I5773" s="334">
        <v>18001936898</v>
      </c>
      <c r="J5773" s="334" t="s">
        <v>13225</v>
      </c>
      <c r="K5773" s="337"/>
      <c r="L5773" s="338"/>
      <c r="M5773" s="334">
        <v>488</v>
      </c>
      <c r="N5773" s="362">
        <f t="shared" si="190"/>
        <v>488</v>
      </c>
      <c r="X5773" s="339"/>
    </row>
    <row r="5774" s="330" customFormat="1" ht="15" customHeight="1" spans="1:24">
      <c r="A5774" s="334"/>
      <c r="B5774" s="348" t="s">
        <v>31</v>
      </c>
      <c r="C5774" s="348" t="s">
        <v>419</v>
      </c>
      <c r="D5774" s="352" t="s">
        <v>221</v>
      </c>
      <c r="E5774" s="336">
        <v>43742</v>
      </c>
      <c r="F5774" s="336" t="s">
        <v>800</v>
      </c>
      <c r="G5774" s="336">
        <v>43741</v>
      </c>
      <c r="H5774" s="334" t="s">
        <v>7198</v>
      </c>
      <c r="I5774" s="334">
        <v>13764456285</v>
      </c>
      <c r="J5774" s="334" t="s">
        <v>13226</v>
      </c>
      <c r="K5774" s="337"/>
      <c r="L5774" s="338"/>
      <c r="M5774" s="334">
        <v>456</v>
      </c>
      <c r="N5774" s="362">
        <f t="shared" si="190"/>
        <v>456</v>
      </c>
      <c r="X5774" s="339"/>
    </row>
    <row r="5775" s="330" customFormat="1" ht="15" customHeight="1" spans="1:24">
      <c r="A5775" s="334"/>
      <c r="B5775" s="348" t="s">
        <v>31</v>
      </c>
      <c r="C5775" s="334" t="s">
        <v>220</v>
      </c>
      <c r="D5775" s="349" t="s">
        <v>33</v>
      </c>
      <c r="E5775" s="336">
        <v>43742</v>
      </c>
      <c r="F5775" s="336" t="s">
        <v>800</v>
      </c>
      <c r="G5775" s="336">
        <v>43741</v>
      </c>
      <c r="H5775" s="334" t="s">
        <v>6875</v>
      </c>
      <c r="I5775" s="334">
        <v>13916167067</v>
      </c>
      <c r="J5775" s="334" t="s">
        <v>6876</v>
      </c>
      <c r="K5775" s="337"/>
      <c r="L5775" s="338"/>
      <c r="M5775" s="334">
        <v>15192</v>
      </c>
      <c r="N5775" s="362">
        <f t="shared" si="190"/>
        <v>15192</v>
      </c>
      <c r="X5775" s="339"/>
    </row>
    <row r="5776" s="330" customFormat="1" ht="15" customHeight="1" spans="1:24">
      <c r="A5776" s="334"/>
      <c r="B5776" s="334" t="s">
        <v>805</v>
      </c>
      <c r="C5776" s="334" t="s">
        <v>4935</v>
      </c>
      <c r="D5776" s="334" t="s">
        <v>171</v>
      </c>
      <c r="E5776" s="336">
        <v>43742</v>
      </c>
      <c r="F5776" s="336" t="s">
        <v>800</v>
      </c>
      <c r="G5776" s="336">
        <v>43741</v>
      </c>
      <c r="H5776" s="334" t="s">
        <v>13227</v>
      </c>
      <c r="I5776" s="334">
        <v>15021589149</v>
      </c>
      <c r="J5776" s="334" t="s">
        <v>12984</v>
      </c>
      <c r="K5776" s="337"/>
      <c r="L5776" s="338"/>
      <c r="M5776" s="334">
        <v>1226</v>
      </c>
      <c r="N5776" s="362">
        <f t="shared" si="190"/>
        <v>1226</v>
      </c>
      <c r="X5776" s="339"/>
    </row>
    <row r="5777" s="330" customFormat="1" ht="15" customHeight="1" spans="1:24">
      <c r="A5777" s="334"/>
      <c r="B5777" s="334" t="s">
        <v>243</v>
      </c>
      <c r="C5777" s="334" t="s">
        <v>244</v>
      </c>
      <c r="D5777" s="335" t="s">
        <v>49</v>
      </c>
      <c r="E5777" s="336">
        <v>43742</v>
      </c>
      <c r="F5777" s="336" t="s">
        <v>800</v>
      </c>
      <c r="G5777" s="336">
        <v>43742</v>
      </c>
      <c r="H5777" s="334" t="s">
        <v>13228</v>
      </c>
      <c r="I5777" s="334">
        <v>15002118950</v>
      </c>
      <c r="J5777" s="334" t="s">
        <v>13229</v>
      </c>
      <c r="K5777" s="337"/>
      <c r="L5777" s="338"/>
      <c r="M5777" s="334">
        <v>811</v>
      </c>
      <c r="N5777" s="362">
        <f t="shared" si="190"/>
        <v>811</v>
      </c>
      <c r="X5777" s="339"/>
    </row>
    <row r="5778" s="330" customFormat="1" ht="15" customHeight="1" spans="1:24">
      <c r="A5778" s="334"/>
      <c r="B5778" s="334" t="s">
        <v>405</v>
      </c>
      <c r="C5778" s="334" t="s">
        <v>1234</v>
      </c>
      <c r="D5778" s="334" t="s">
        <v>407</v>
      </c>
      <c r="E5778" s="336">
        <v>43742</v>
      </c>
      <c r="F5778" s="336" t="s">
        <v>800</v>
      </c>
      <c r="G5778" s="336">
        <v>43742</v>
      </c>
      <c r="H5778" s="334" t="s">
        <v>2681</v>
      </c>
      <c r="I5778" s="334">
        <v>13310103010</v>
      </c>
      <c r="J5778" s="334" t="s">
        <v>13230</v>
      </c>
      <c r="K5778" s="337"/>
      <c r="L5778" s="338"/>
      <c r="M5778" s="334">
        <v>1756</v>
      </c>
      <c r="N5778" s="362">
        <f t="shared" si="190"/>
        <v>1756</v>
      </c>
      <c r="X5778" s="339"/>
    </row>
    <row r="5779" s="330" customFormat="1" ht="15" customHeight="1" spans="1:24">
      <c r="A5779" s="334"/>
      <c r="B5779" s="334" t="s">
        <v>5435</v>
      </c>
      <c r="C5779" s="334" t="s">
        <v>1728</v>
      </c>
      <c r="D5779" s="334" t="s">
        <v>237</v>
      </c>
      <c r="E5779" s="336">
        <v>43742</v>
      </c>
      <c r="F5779" s="336" t="s">
        <v>800</v>
      </c>
      <c r="G5779" s="336">
        <v>43739</v>
      </c>
      <c r="H5779" s="334" t="s">
        <v>12367</v>
      </c>
      <c r="I5779" s="334">
        <v>13818402701</v>
      </c>
      <c r="J5779" s="334" t="s">
        <v>13231</v>
      </c>
      <c r="K5779" s="337"/>
      <c r="L5779" s="338"/>
      <c r="M5779" s="334">
        <v>175</v>
      </c>
      <c r="N5779" s="362">
        <f t="shared" si="190"/>
        <v>175</v>
      </c>
      <c r="X5779" s="339"/>
    </row>
    <row r="5780" s="330" customFormat="1" ht="15" customHeight="1" spans="1:24">
      <c r="A5780" s="348" t="s">
        <v>13074</v>
      </c>
      <c r="B5780" s="334" t="s">
        <v>66</v>
      </c>
      <c r="C5780" s="334" t="s">
        <v>119</v>
      </c>
      <c r="D5780" s="335" t="s">
        <v>68</v>
      </c>
      <c r="E5780" s="336">
        <v>43745</v>
      </c>
      <c r="F5780" s="336">
        <v>43739</v>
      </c>
      <c r="G5780" s="336">
        <v>43745</v>
      </c>
      <c r="H5780" s="334" t="s">
        <v>13232</v>
      </c>
      <c r="I5780" s="426">
        <v>15618386507</v>
      </c>
      <c r="J5780" s="334" t="s">
        <v>13233</v>
      </c>
      <c r="K5780" s="455">
        <v>10000</v>
      </c>
      <c r="L5780" s="334">
        <v>10000</v>
      </c>
      <c r="M5780" s="338"/>
      <c r="N5780" s="362">
        <f t="shared" ref="N5780:N5811" si="191">L5780+M5780</f>
        <v>10000</v>
      </c>
      <c r="X5780" s="339"/>
    </row>
    <row r="5781" s="330" customFormat="1" ht="15" customHeight="1" spans="1:24">
      <c r="A5781" s="348">
        <v>2066254</v>
      </c>
      <c r="B5781" s="334" t="s">
        <v>94</v>
      </c>
      <c r="C5781" s="334" t="s">
        <v>95</v>
      </c>
      <c r="D5781" s="335" t="s">
        <v>49</v>
      </c>
      <c r="E5781" s="336">
        <v>43743</v>
      </c>
      <c r="F5781" s="336">
        <v>43742</v>
      </c>
      <c r="G5781" s="399"/>
      <c r="H5781" s="334" t="s">
        <v>13234</v>
      </c>
      <c r="I5781" s="426">
        <v>13813058007</v>
      </c>
      <c r="J5781" s="334" t="s">
        <v>13235</v>
      </c>
      <c r="K5781" s="455">
        <v>1000</v>
      </c>
      <c r="L5781" s="338"/>
      <c r="M5781" s="338"/>
      <c r="N5781" s="362">
        <f t="shared" si="191"/>
        <v>0</v>
      </c>
      <c r="O5781" s="467" t="s">
        <v>52</v>
      </c>
      <c r="X5781" s="339"/>
    </row>
    <row r="5782" s="330" customFormat="1" ht="15" customHeight="1" spans="1:24">
      <c r="A5782" s="348"/>
      <c r="B5782" s="334" t="s">
        <v>35</v>
      </c>
      <c r="C5782" s="334" t="s">
        <v>328</v>
      </c>
      <c r="D5782" s="334" t="s">
        <v>37</v>
      </c>
      <c r="E5782" s="336">
        <v>43743</v>
      </c>
      <c r="F5782" s="336">
        <v>43742</v>
      </c>
      <c r="G5782" s="399">
        <v>43743</v>
      </c>
      <c r="H5782" s="334" t="s">
        <v>13236</v>
      </c>
      <c r="I5782" s="426">
        <v>18655199075</v>
      </c>
      <c r="J5782" s="334" t="s">
        <v>13237</v>
      </c>
      <c r="K5782" s="455">
        <v>1267</v>
      </c>
      <c r="L5782" s="334">
        <v>1627</v>
      </c>
      <c r="M5782" s="338"/>
      <c r="N5782" s="362">
        <f t="shared" si="191"/>
        <v>1627</v>
      </c>
      <c r="X5782" s="339"/>
    </row>
    <row r="5783" s="330" customFormat="1" ht="15" customHeight="1" spans="1:24">
      <c r="A5783" s="348"/>
      <c r="B5783" s="334" t="s">
        <v>66</v>
      </c>
      <c r="C5783" s="334" t="s">
        <v>119</v>
      </c>
      <c r="D5783" s="335" t="s">
        <v>68</v>
      </c>
      <c r="E5783" s="336">
        <v>43745</v>
      </c>
      <c r="F5783" s="336">
        <v>43739</v>
      </c>
      <c r="G5783" s="336">
        <v>43745</v>
      </c>
      <c r="H5783" s="334" t="s">
        <v>13238</v>
      </c>
      <c r="I5783" s="426">
        <v>18918017793</v>
      </c>
      <c r="J5783" s="334" t="s">
        <v>13239</v>
      </c>
      <c r="K5783" s="455">
        <v>10000</v>
      </c>
      <c r="L5783" s="334">
        <v>10000</v>
      </c>
      <c r="M5783" s="338"/>
      <c r="N5783" s="362">
        <f t="shared" si="191"/>
        <v>10000</v>
      </c>
      <c r="X5783" s="339"/>
    </row>
    <row r="5784" s="330" customFormat="1" ht="15" customHeight="1" spans="1:24">
      <c r="A5784" s="348"/>
      <c r="B5784" s="334" t="s">
        <v>66</v>
      </c>
      <c r="C5784" s="334" t="s">
        <v>67</v>
      </c>
      <c r="D5784" s="334" t="s">
        <v>2302</v>
      </c>
      <c r="E5784" s="336">
        <v>43813</v>
      </c>
      <c r="F5784" s="336">
        <v>43742</v>
      </c>
      <c r="G5784" s="336">
        <v>43813</v>
      </c>
      <c r="H5784" s="334" t="s">
        <v>13240</v>
      </c>
      <c r="I5784" s="426">
        <v>18516171102</v>
      </c>
      <c r="J5784" s="334" t="s">
        <v>13241</v>
      </c>
      <c r="K5784" s="455">
        <v>1000</v>
      </c>
      <c r="L5784" s="334">
        <v>14025</v>
      </c>
      <c r="M5784" s="338"/>
      <c r="N5784" s="362">
        <f t="shared" si="191"/>
        <v>14025</v>
      </c>
      <c r="X5784" s="339"/>
    </row>
    <row r="5785" s="330" customFormat="1" ht="15" customHeight="1" spans="1:24">
      <c r="A5785" s="550" t="s">
        <v>13242</v>
      </c>
      <c r="B5785" s="334" t="s">
        <v>73</v>
      </c>
      <c r="C5785" s="334" t="s">
        <v>74</v>
      </c>
      <c r="D5785" s="334" t="s">
        <v>132</v>
      </c>
      <c r="E5785" s="336">
        <v>43778</v>
      </c>
      <c r="F5785" s="336">
        <v>43742</v>
      </c>
      <c r="G5785" s="336">
        <v>43778</v>
      </c>
      <c r="H5785" s="334" t="s">
        <v>13243</v>
      </c>
      <c r="I5785" s="426">
        <v>18018538392</v>
      </c>
      <c r="J5785" s="334" t="s">
        <v>13244</v>
      </c>
      <c r="K5785" s="455">
        <v>1000</v>
      </c>
      <c r="L5785" s="334">
        <v>12500</v>
      </c>
      <c r="M5785" s="338"/>
      <c r="N5785" s="362">
        <f t="shared" si="191"/>
        <v>12500</v>
      </c>
      <c r="X5785" s="339"/>
    </row>
    <row r="5786" s="330" customFormat="1" ht="15" customHeight="1" spans="1:24">
      <c r="A5786" s="348">
        <v>2022547</v>
      </c>
      <c r="B5786" s="334" t="s">
        <v>73</v>
      </c>
      <c r="C5786" s="334" t="s">
        <v>74</v>
      </c>
      <c r="D5786" s="335" t="s">
        <v>717</v>
      </c>
      <c r="E5786" s="336">
        <v>43768</v>
      </c>
      <c r="F5786" s="336">
        <v>43742</v>
      </c>
      <c r="G5786" s="336">
        <v>43765</v>
      </c>
      <c r="H5786" s="334" t="s">
        <v>13245</v>
      </c>
      <c r="I5786" s="426">
        <v>18601780881</v>
      </c>
      <c r="J5786" s="334" t="s">
        <v>13246</v>
      </c>
      <c r="K5786" s="455">
        <v>1000</v>
      </c>
      <c r="L5786" s="334">
        <v>32122</v>
      </c>
      <c r="M5786" s="338"/>
      <c r="N5786" s="362">
        <f t="shared" si="191"/>
        <v>32122</v>
      </c>
      <c r="X5786" s="339"/>
    </row>
    <row r="5787" s="330" customFormat="1" ht="15" customHeight="1" spans="1:24">
      <c r="A5787" s="550" t="s">
        <v>13247</v>
      </c>
      <c r="B5787" s="334" t="s">
        <v>73</v>
      </c>
      <c r="C5787" s="334" t="s">
        <v>74</v>
      </c>
      <c r="D5787" s="352" t="s">
        <v>75</v>
      </c>
      <c r="E5787" s="336">
        <v>43743</v>
      </c>
      <c r="F5787" s="336">
        <v>43742</v>
      </c>
      <c r="G5787" s="399"/>
      <c r="H5787" s="334" t="s">
        <v>13248</v>
      </c>
      <c r="I5787" s="426">
        <v>13311885553</v>
      </c>
      <c r="J5787" s="334" t="s">
        <v>13249</v>
      </c>
      <c r="K5787" s="455">
        <v>1000</v>
      </c>
      <c r="L5787" s="338"/>
      <c r="M5787" s="338"/>
      <c r="N5787" s="362">
        <f t="shared" si="191"/>
        <v>0</v>
      </c>
      <c r="Q5787" s="366" t="s">
        <v>52</v>
      </c>
      <c r="X5787" s="339"/>
    </row>
    <row r="5788" s="330" customFormat="1" ht="15" customHeight="1" spans="1:24">
      <c r="A5788" s="550" t="s">
        <v>11449</v>
      </c>
      <c r="B5788" s="334" t="s">
        <v>73</v>
      </c>
      <c r="C5788" s="334" t="s">
        <v>74</v>
      </c>
      <c r="D5788" s="334" t="s">
        <v>427</v>
      </c>
      <c r="E5788" s="336">
        <v>43837</v>
      </c>
      <c r="F5788" s="336">
        <v>43742</v>
      </c>
      <c r="G5788" s="336">
        <v>43837</v>
      </c>
      <c r="H5788" s="334" t="s">
        <v>13250</v>
      </c>
      <c r="I5788" s="426">
        <v>13012862198</v>
      </c>
      <c r="J5788" s="334" t="s">
        <v>13251</v>
      </c>
      <c r="K5788" s="455">
        <v>1000</v>
      </c>
      <c r="L5788" s="334">
        <v>10538</v>
      </c>
      <c r="M5788" s="338"/>
      <c r="N5788" s="362">
        <f t="shared" si="191"/>
        <v>10538</v>
      </c>
      <c r="Q5788" s="366"/>
      <c r="R5788" s="405" t="s">
        <v>52</v>
      </c>
      <c r="X5788" s="339"/>
    </row>
    <row r="5789" s="330" customFormat="1" ht="15" customHeight="1" spans="1:24">
      <c r="A5789" s="348">
        <v>2022550</v>
      </c>
      <c r="B5789" s="334" t="s">
        <v>73</v>
      </c>
      <c r="C5789" s="334" t="s">
        <v>178</v>
      </c>
      <c r="D5789" s="335" t="s">
        <v>75</v>
      </c>
      <c r="E5789" s="336">
        <v>43743</v>
      </c>
      <c r="F5789" s="336">
        <v>43742</v>
      </c>
      <c r="G5789" s="399"/>
      <c r="H5789" s="334" t="s">
        <v>6217</v>
      </c>
      <c r="I5789" s="426">
        <v>18021037102</v>
      </c>
      <c r="J5789" s="334" t="s">
        <v>13252</v>
      </c>
      <c r="K5789" s="455">
        <v>1000</v>
      </c>
      <c r="L5789" s="338"/>
      <c r="M5789" s="338"/>
      <c r="N5789" s="362">
        <f t="shared" si="191"/>
        <v>0</v>
      </c>
      <c r="Q5789" s="366" t="s">
        <v>52</v>
      </c>
      <c r="R5789" s="331"/>
      <c r="X5789" s="339"/>
    </row>
    <row r="5790" s="330" customFormat="1" ht="15" customHeight="1" spans="1:24">
      <c r="A5790" s="550" t="s">
        <v>13253</v>
      </c>
      <c r="B5790" s="334" t="s">
        <v>66</v>
      </c>
      <c r="C5790" s="334" t="s">
        <v>505</v>
      </c>
      <c r="D5790" s="335" t="s">
        <v>1436</v>
      </c>
      <c r="E5790" s="336">
        <v>43745</v>
      </c>
      <c r="F5790" s="336">
        <v>43743</v>
      </c>
      <c r="G5790" s="336">
        <v>43744</v>
      </c>
      <c r="H5790" s="334" t="s">
        <v>13254</v>
      </c>
      <c r="I5790" s="426">
        <v>13166092630</v>
      </c>
      <c r="J5790" s="334" t="s">
        <v>13255</v>
      </c>
      <c r="K5790" s="455">
        <v>10000</v>
      </c>
      <c r="L5790" s="334">
        <v>10000</v>
      </c>
      <c r="M5790" s="338"/>
      <c r="N5790" s="362">
        <f t="shared" si="191"/>
        <v>10000</v>
      </c>
      <c r="X5790" s="339"/>
    </row>
    <row r="5791" s="330" customFormat="1" ht="15" customHeight="1" spans="1:24">
      <c r="A5791" s="550" t="s">
        <v>13256</v>
      </c>
      <c r="B5791" s="334" t="s">
        <v>137</v>
      </c>
      <c r="C5791" s="334" t="s">
        <v>411</v>
      </c>
      <c r="D5791" s="335" t="s">
        <v>427</v>
      </c>
      <c r="E5791" s="336">
        <v>43769</v>
      </c>
      <c r="F5791" s="336">
        <v>43742</v>
      </c>
      <c r="G5791" s="336">
        <v>43768</v>
      </c>
      <c r="H5791" s="334" t="s">
        <v>13257</v>
      </c>
      <c r="I5791" s="426">
        <v>13003181958</v>
      </c>
      <c r="J5791" s="334" t="s">
        <v>13258</v>
      </c>
      <c r="K5791" s="455">
        <v>15300</v>
      </c>
      <c r="L5791" s="334">
        <v>21298</v>
      </c>
      <c r="M5791" s="338"/>
      <c r="N5791" s="362">
        <f t="shared" si="191"/>
        <v>21298</v>
      </c>
      <c r="X5791" s="339"/>
    </row>
    <row r="5792" s="330" customFormat="1" ht="15" customHeight="1" spans="1:24">
      <c r="A5792" s="348"/>
      <c r="B5792" s="334" t="s">
        <v>169</v>
      </c>
      <c r="C5792" s="334" t="s">
        <v>542</v>
      </c>
      <c r="D5792" s="335" t="s">
        <v>171</v>
      </c>
      <c r="E5792" s="336">
        <v>43745</v>
      </c>
      <c r="F5792" s="336">
        <v>43743</v>
      </c>
      <c r="G5792" s="336">
        <v>43744</v>
      </c>
      <c r="H5792" s="334" t="s">
        <v>13259</v>
      </c>
      <c r="I5792" s="426">
        <v>17822592</v>
      </c>
      <c r="J5792" s="334" t="s">
        <v>13260</v>
      </c>
      <c r="K5792" s="455">
        <v>4500</v>
      </c>
      <c r="L5792" s="334">
        <v>5510</v>
      </c>
      <c r="M5792" s="338"/>
      <c r="N5792" s="362">
        <f t="shared" si="191"/>
        <v>5510</v>
      </c>
      <c r="X5792" s="339"/>
    </row>
    <row r="5793" s="330" customFormat="1" ht="15" customHeight="1" spans="1:24">
      <c r="A5793" s="550" t="s">
        <v>3827</v>
      </c>
      <c r="B5793" s="334" t="s">
        <v>137</v>
      </c>
      <c r="C5793" s="334" t="s">
        <v>411</v>
      </c>
      <c r="D5793" s="334" t="s">
        <v>139</v>
      </c>
      <c r="E5793" s="336">
        <v>43759</v>
      </c>
      <c r="F5793" s="336">
        <v>43742</v>
      </c>
      <c r="G5793" s="336">
        <v>43757</v>
      </c>
      <c r="H5793" s="334" t="s">
        <v>13261</v>
      </c>
      <c r="I5793" s="426">
        <v>18017311733</v>
      </c>
      <c r="J5793" s="334" t="s">
        <v>13262</v>
      </c>
      <c r="K5793" s="455">
        <v>1000</v>
      </c>
      <c r="L5793" s="334">
        <v>71000</v>
      </c>
      <c r="M5793" s="338"/>
      <c r="N5793" s="362">
        <f t="shared" si="191"/>
        <v>71000</v>
      </c>
      <c r="X5793" s="339"/>
    </row>
    <row r="5794" s="330" customFormat="1" ht="15" customHeight="1" spans="1:24">
      <c r="A5794" s="550" t="s">
        <v>13263</v>
      </c>
      <c r="B5794" s="334" t="s">
        <v>5435</v>
      </c>
      <c r="C5794" s="334" t="s">
        <v>1728</v>
      </c>
      <c r="D5794" s="335" t="s">
        <v>149</v>
      </c>
      <c r="E5794" s="336">
        <v>43745</v>
      </c>
      <c r="F5794" s="336">
        <v>43741</v>
      </c>
      <c r="G5794" s="336">
        <v>43744</v>
      </c>
      <c r="H5794" s="334" t="s">
        <v>8259</v>
      </c>
      <c r="I5794" s="426">
        <v>13901714604</v>
      </c>
      <c r="J5794" s="334" t="s">
        <v>13264</v>
      </c>
      <c r="K5794" s="455">
        <v>11487</v>
      </c>
      <c r="L5794" s="334">
        <v>11487</v>
      </c>
      <c r="M5794" s="338"/>
      <c r="N5794" s="362">
        <f t="shared" si="191"/>
        <v>11487</v>
      </c>
      <c r="X5794" s="339"/>
    </row>
    <row r="5795" s="330" customFormat="1" ht="15" customHeight="1" spans="1:24">
      <c r="A5795" s="550" t="s">
        <v>3593</v>
      </c>
      <c r="B5795" s="334" t="s">
        <v>137</v>
      </c>
      <c r="C5795" s="334" t="s">
        <v>138</v>
      </c>
      <c r="D5795" s="335" t="s">
        <v>139</v>
      </c>
      <c r="E5795" s="336">
        <v>43743</v>
      </c>
      <c r="F5795" s="336">
        <v>43742</v>
      </c>
      <c r="G5795" s="399"/>
      <c r="H5795" s="334" t="s">
        <v>13265</v>
      </c>
      <c r="I5795" s="426">
        <v>13917126967</v>
      </c>
      <c r="J5795" s="334" t="s">
        <v>13266</v>
      </c>
      <c r="K5795" s="455">
        <v>10800</v>
      </c>
      <c r="L5795" s="338"/>
      <c r="M5795" s="338"/>
      <c r="N5795" s="362">
        <f t="shared" si="191"/>
        <v>0</v>
      </c>
      <c r="S5795" s="330">
        <v>1</v>
      </c>
      <c r="V5795" s="330" t="s">
        <v>13267</v>
      </c>
      <c r="X5795" s="339"/>
    </row>
    <row r="5796" s="330" customFormat="1" ht="15" customHeight="1" spans="1:24">
      <c r="A5796" s="550" t="s">
        <v>13268</v>
      </c>
      <c r="B5796" s="334" t="s">
        <v>5435</v>
      </c>
      <c r="C5796" s="334" t="s">
        <v>1728</v>
      </c>
      <c r="D5796" s="335" t="s">
        <v>149</v>
      </c>
      <c r="E5796" s="336">
        <v>43743</v>
      </c>
      <c r="F5796" s="336">
        <v>43742</v>
      </c>
      <c r="G5796" s="356" t="s">
        <v>3654</v>
      </c>
      <c r="H5796" s="334" t="s">
        <v>13269</v>
      </c>
      <c r="I5796" s="426"/>
      <c r="J5796" s="334" t="s">
        <v>13270</v>
      </c>
      <c r="K5796" s="455">
        <v>3000</v>
      </c>
      <c r="L5796" s="338"/>
      <c r="M5796" s="338"/>
      <c r="N5796" s="362">
        <f t="shared" si="191"/>
        <v>0</v>
      </c>
      <c r="X5796" s="339"/>
    </row>
    <row r="5797" s="330" customFormat="1" ht="15" customHeight="1" spans="1:24">
      <c r="A5797" s="550" t="s">
        <v>13271</v>
      </c>
      <c r="B5797" s="334" t="s">
        <v>66</v>
      </c>
      <c r="C5797" s="334" t="s">
        <v>1749</v>
      </c>
      <c r="D5797" s="334" t="s">
        <v>1436</v>
      </c>
      <c r="E5797" s="336">
        <v>43744</v>
      </c>
      <c r="F5797" s="336">
        <v>43742</v>
      </c>
      <c r="G5797" s="336">
        <v>43743</v>
      </c>
      <c r="H5797" s="334" t="s">
        <v>13272</v>
      </c>
      <c r="I5797" s="426">
        <v>13621642093</v>
      </c>
      <c r="J5797" s="334" t="s">
        <v>13273</v>
      </c>
      <c r="K5797" s="455">
        <v>10000</v>
      </c>
      <c r="L5797" s="334">
        <v>10000</v>
      </c>
      <c r="M5797" s="338"/>
      <c r="N5797" s="362">
        <f t="shared" si="191"/>
        <v>10000</v>
      </c>
      <c r="X5797" s="339"/>
    </row>
    <row r="5798" s="330" customFormat="1" ht="15" customHeight="1" spans="1:24">
      <c r="A5798" s="550" t="s">
        <v>13274</v>
      </c>
      <c r="B5798" s="334" t="s">
        <v>31</v>
      </c>
      <c r="C5798" s="334" t="s">
        <v>3186</v>
      </c>
      <c r="D5798" s="334" t="s">
        <v>954</v>
      </c>
      <c r="E5798" s="336">
        <v>43793</v>
      </c>
      <c r="F5798" s="336">
        <v>43741</v>
      </c>
      <c r="G5798" s="336">
        <v>43792</v>
      </c>
      <c r="H5798" s="334" t="s">
        <v>13275</v>
      </c>
      <c r="I5798" s="426">
        <v>18116339927</v>
      </c>
      <c r="J5798" s="334" t="s">
        <v>13276</v>
      </c>
      <c r="K5798" s="455">
        <v>1000</v>
      </c>
      <c r="L5798" s="334">
        <v>19024</v>
      </c>
      <c r="M5798" s="338"/>
      <c r="N5798" s="362">
        <f t="shared" si="191"/>
        <v>19024</v>
      </c>
      <c r="X5798" s="339"/>
    </row>
    <row r="5799" s="330" customFormat="1" ht="15" customHeight="1" spans="1:24">
      <c r="A5799" s="550" t="s">
        <v>13277</v>
      </c>
      <c r="B5799" s="334" t="s">
        <v>31</v>
      </c>
      <c r="C5799" s="334" t="s">
        <v>377</v>
      </c>
      <c r="D5799" s="334" t="s">
        <v>33</v>
      </c>
      <c r="E5799" s="336">
        <v>43760</v>
      </c>
      <c r="F5799" s="336">
        <v>43742</v>
      </c>
      <c r="G5799" s="336">
        <v>43758</v>
      </c>
      <c r="H5799" s="334" t="s">
        <v>13278</v>
      </c>
      <c r="I5799" s="426">
        <v>15250485951</v>
      </c>
      <c r="J5799" s="334" t="s">
        <v>13279</v>
      </c>
      <c r="K5799" s="455">
        <v>1000</v>
      </c>
      <c r="L5799" s="334">
        <v>9293</v>
      </c>
      <c r="M5799" s="338"/>
      <c r="N5799" s="362">
        <f t="shared" si="191"/>
        <v>9293</v>
      </c>
      <c r="X5799" s="339"/>
    </row>
    <row r="5800" s="330" customFormat="1" ht="15" customHeight="1" spans="1:24">
      <c r="A5800" s="550" t="s">
        <v>13280</v>
      </c>
      <c r="B5800" s="334" t="s">
        <v>58</v>
      </c>
      <c r="C5800" s="334" t="s">
        <v>342</v>
      </c>
      <c r="D5800" s="335" t="s">
        <v>343</v>
      </c>
      <c r="E5800" s="336">
        <v>43743</v>
      </c>
      <c r="F5800" s="336">
        <v>43743</v>
      </c>
      <c r="G5800" s="399"/>
      <c r="H5800" s="334" t="s">
        <v>13281</v>
      </c>
      <c r="I5800" s="426">
        <v>13386086796</v>
      </c>
      <c r="J5800" s="334" t="s">
        <v>13282</v>
      </c>
      <c r="K5800" s="455">
        <v>1000</v>
      </c>
      <c r="L5800" s="338"/>
      <c r="M5800" s="338"/>
      <c r="N5800" s="362">
        <f t="shared" si="191"/>
        <v>0</v>
      </c>
      <c r="U5800" s="393" t="s">
        <v>40</v>
      </c>
      <c r="X5800" s="339"/>
    </row>
    <row r="5801" s="330" customFormat="1" ht="15" customHeight="1" spans="1:24">
      <c r="A5801" s="348" t="s">
        <v>13074</v>
      </c>
      <c r="B5801" s="334" t="s">
        <v>58</v>
      </c>
      <c r="C5801" s="334" t="s">
        <v>342</v>
      </c>
      <c r="D5801" s="335" t="s">
        <v>343</v>
      </c>
      <c r="E5801" s="336">
        <v>43745</v>
      </c>
      <c r="F5801" s="336">
        <v>43741</v>
      </c>
      <c r="G5801" s="336">
        <v>43744</v>
      </c>
      <c r="H5801" s="334" t="s">
        <v>13283</v>
      </c>
      <c r="I5801" s="426">
        <v>13816100798</v>
      </c>
      <c r="J5801" s="334" t="s">
        <v>13284</v>
      </c>
      <c r="K5801" s="455">
        <v>18000</v>
      </c>
      <c r="L5801" s="334">
        <v>17838</v>
      </c>
      <c r="M5801" s="338"/>
      <c r="N5801" s="362">
        <f t="shared" si="191"/>
        <v>17838</v>
      </c>
      <c r="X5801" s="339"/>
    </row>
    <row r="5802" s="330" customFormat="1" ht="15" customHeight="1" spans="1:24">
      <c r="A5802" s="348"/>
      <c r="B5802" s="334" t="s">
        <v>35</v>
      </c>
      <c r="C5802" s="334" t="s">
        <v>36</v>
      </c>
      <c r="D5802" s="335" t="s">
        <v>37</v>
      </c>
      <c r="E5802" s="336">
        <v>43743</v>
      </c>
      <c r="F5802" s="336">
        <v>43742</v>
      </c>
      <c r="G5802" s="399"/>
      <c r="H5802" s="334" t="s">
        <v>13285</v>
      </c>
      <c r="I5802" s="426">
        <v>13918618100</v>
      </c>
      <c r="J5802" s="334" t="s">
        <v>13286</v>
      </c>
      <c r="K5802" s="455">
        <v>1000</v>
      </c>
      <c r="L5802" s="338"/>
      <c r="M5802" s="338"/>
      <c r="N5802" s="362">
        <f t="shared" si="191"/>
        <v>0</v>
      </c>
      <c r="O5802" s="356" t="s">
        <v>52</v>
      </c>
      <c r="X5802" s="339"/>
    </row>
    <row r="5803" s="330" customFormat="1" ht="15" customHeight="1" spans="1:24">
      <c r="A5803" s="348"/>
      <c r="B5803" s="334" t="s">
        <v>35</v>
      </c>
      <c r="C5803" s="334" t="s">
        <v>36</v>
      </c>
      <c r="D5803" s="335" t="s">
        <v>37</v>
      </c>
      <c r="E5803" s="336">
        <v>43744</v>
      </c>
      <c r="F5803" s="336">
        <v>43742</v>
      </c>
      <c r="G5803" s="336">
        <v>43742</v>
      </c>
      <c r="H5803" s="334" t="s">
        <v>13287</v>
      </c>
      <c r="I5803" s="426">
        <v>18301736227</v>
      </c>
      <c r="J5803" s="334" t="s">
        <v>13288</v>
      </c>
      <c r="K5803" s="455">
        <v>20924</v>
      </c>
      <c r="L5803" s="334">
        <f>20924-1104</f>
        <v>19820</v>
      </c>
      <c r="M5803" s="334">
        <v>1104</v>
      </c>
      <c r="N5803" s="362">
        <f t="shared" si="191"/>
        <v>20924</v>
      </c>
      <c r="X5803" s="339"/>
    </row>
    <row r="5804" s="330" customFormat="1" ht="15" customHeight="1" spans="1:24">
      <c r="A5804" s="348"/>
      <c r="B5804" s="334" t="s">
        <v>160</v>
      </c>
      <c r="C5804" s="334" t="s">
        <v>161</v>
      </c>
      <c r="D5804" s="335" t="s">
        <v>162</v>
      </c>
      <c r="E5804" s="336">
        <v>43743</v>
      </c>
      <c r="F5804" s="336">
        <v>43741</v>
      </c>
      <c r="G5804" s="350"/>
      <c r="H5804" s="334" t="s">
        <v>13289</v>
      </c>
      <c r="I5804" s="334">
        <v>13564951438</v>
      </c>
      <c r="J5804" s="426" t="s">
        <v>13290</v>
      </c>
      <c r="K5804" s="455">
        <v>4940</v>
      </c>
      <c r="L5804" s="338"/>
      <c r="M5804" s="338"/>
      <c r="N5804" s="362">
        <f t="shared" si="191"/>
        <v>0</v>
      </c>
      <c r="U5804" s="330" t="s">
        <v>12</v>
      </c>
      <c r="X5804" s="339"/>
    </row>
    <row r="5805" s="330" customFormat="1" ht="15" customHeight="1" spans="1:24">
      <c r="A5805" s="348"/>
      <c r="B5805" s="334" t="s">
        <v>160</v>
      </c>
      <c r="C5805" s="334" t="s">
        <v>161</v>
      </c>
      <c r="D5805" s="334" t="s">
        <v>207</v>
      </c>
      <c r="E5805" s="336">
        <v>43751</v>
      </c>
      <c r="F5805" s="336">
        <v>43741</v>
      </c>
      <c r="G5805" s="336">
        <v>43750</v>
      </c>
      <c r="H5805" s="334" t="s">
        <v>13291</v>
      </c>
      <c r="I5805" s="426">
        <v>13761750171</v>
      </c>
      <c r="J5805" s="334" t="s">
        <v>13292</v>
      </c>
      <c r="K5805" s="455">
        <v>1000</v>
      </c>
      <c r="L5805" s="334">
        <v>17160</v>
      </c>
      <c r="M5805" s="338"/>
      <c r="N5805" s="362">
        <f t="shared" si="191"/>
        <v>17160</v>
      </c>
      <c r="X5805" s="339"/>
    </row>
    <row r="5806" s="330" customFormat="1" ht="15" customHeight="1" spans="1:24">
      <c r="A5806" s="550" t="s">
        <v>10354</v>
      </c>
      <c r="B5806" s="334" t="s">
        <v>31</v>
      </c>
      <c r="C5806" s="334" t="s">
        <v>251</v>
      </c>
      <c r="D5806" s="335" t="s">
        <v>33</v>
      </c>
      <c r="E5806" s="336">
        <v>43745</v>
      </c>
      <c r="F5806" s="336">
        <v>43742</v>
      </c>
      <c r="G5806" s="336">
        <v>43745</v>
      </c>
      <c r="H5806" s="334" t="s">
        <v>13293</v>
      </c>
      <c r="I5806" s="426">
        <v>18930867186</v>
      </c>
      <c r="J5806" s="334" t="s">
        <v>13294</v>
      </c>
      <c r="K5806" s="455">
        <v>10000</v>
      </c>
      <c r="L5806" s="334">
        <v>10000</v>
      </c>
      <c r="M5806" s="338"/>
      <c r="N5806" s="362">
        <f t="shared" si="191"/>
        <v>10000</v>
      </c>
      <c r="U5806" s="393" t="s">
        <v>40</v>
      </c>
      <c r="X5806" s="339"/>
    </row>
    <row r="5807" s="330" customFormat="1" ht="15" customHeight="1" spans="1:24">
      <c r="A5807" s="550" t="s">
        <v>13295</v>
      </c>
      <c r="B5807" s="334" t="s">
        <v>31</v>
      </c>
      <c r="C5807" s="334" t="s">
        <v>251</v>
      </c>
      <c r="D5807" s="335" t="s">
        <v>33</v>
      </c>
      <c r="E5807" s="336">
        <v>43743</v>
      </c>
      <c r="F5807" s="336">
        <v>43742</v>
      </c>
      <c r="G5807" s="399"/>
      <c r="H5807" s="334" t="s">
        <v>13296</v>
      </c>
      <c r="I5807" s="426">
        <v>13817405532</v>
      </c>
      <c r="J5807" s="334" t="s">
        <v>13297</v>
      </c>
      <c r="K5807" s="455">
        <v>1000</v>
      </c>
      <c r="L5807" s="338"/>
      <c r="M5807" s="338"/>
      <c r="N5807" s="362">
        <f t="shared" si="191"/>
        <v>0</v>
      </c>
      <c r="O5807" s="366" t="s">
        <v>52</v>
      </c>
      <c r="X5807" s="339"/>
    </row>
    <row r="5808" s="330" customFormat="1" ht="15" customHeight="1" spans="1:24">
      <c r="A5808" s="550" t="s">
        <v>10357</v>
      </c>
      <c r="B5808" s="334" t="s">
        <v>31</v>
      </c>
      <c r="C5808" s="334" t="s">
        <v>251</v>
      </c>
      <c r="D5808" s="335" t="s">
        <v>33</v>
      </c>
      <c r="E5808" s="336">
        <v>43745</v>
      </c>
      <c r="F5808" s="336">
        <v>43742</v>
      </c>
      <c r="G5808" s="336">
        <v>43745</v>
      </c>
      <c r="H5808" s="334" t="s">
        <v>13298</v>
      </c>
      <c r="I5808" s="426">
        <v>13524558485</v>
      </c>
      <c r="J5808" s="334" t="s">
        <v>13299</v>
      </c>
      <c r="K5808" s="455">
        <v>10000</v>
      </c>
      <c r="L5808" s="334">
        <v>10000</v>
      </c>
      <c r="M5808" s="338"/>
      <c r="N5808" s="362">
        <f t="shared" si="191"/>
        <v>10000</v>
      </c>
      <c r="X5808" s="339"/>
    </row>
    <row r="5809" s="330" customFormat="1" ht="15" customHeight="1" spans="1:24">
      <c r="A5809" s="348">
        <v>2022545</v>
      </c>
      <c r="B5809" s="334" t="s">
        <v>73</v>
      </c>
      <c r="C5809" s="334" t="s">
        <v>74</v>
      </c>
      <c r="D5809" s="334" t="s">
        <v>44</v>
      </c>
      <c r="E5809" s="336">
        <v>43784</v>
      </c>
      <c r="F5809" s="336">
        <v>43742</v>
      </c>
      <c r="G5809" s="336">
        <v>43783</v>
      </c>
      <c r="H5809" s="334" t="s">
        <v>13300</v>
      </c>
      <c r="I5809" s="426">
        <v>18501718907</v>
      </c>
      <c r="J5809" s="334" t="s">
        <v>13301</v>
      </c>
      <c r="K5809" s="455">
        <v>1000</v>
      </c>
      <c r="L5809" s="334">
        <v>10107</v>
      </c>
      <c r="M5809" s="338"/>
      <c r="N5809" s="362">
        <f t="shared" si="191"/>
        <v>10107</v>
      </c>
      <c r="X5809" s="339"/>
    </row>
    <row r="5810" s="330" customFormat="1" ht="15" customHeight="1" spans="1:24">
      <c r="A5810" s="550" t="s">
        <v>13302</v>
      </c>
      <c r="B5810" s="334" t="s">
        <v>73</v>
      </c>
      <c r="C5810" s="334" t="s">
        <v>178</v>
      </c>
      <c r="D5810" s="335" t="s">
        <v>75</v>
      </c>
      <c r="E5810" s="336">
        <v>43744</v>
      </c>
      <c r="F5810" s="336">
        <v>43743</v>
      </c>
      <c r="G5810" s="399"/>
      <c r="H5810" s="334" t="s">
        <v>13303</v>
      </c>
      <c r="I5810" s="426">
        <v>13124838550</v>
      </c>
      <c r="J5810" s="334" t="s">
        <v>13304</v>
      </c>
      <c r="K5810" s="455">
        <v>1000</v>
      </c>
      <c r="L5810" s="338"/>
      <c r="M5810" s="338"/>
      <c r="N5810" s="362">
        <f t="shared" si="191"/>
        <v>0</v>
      </c>
      <c r="P5810" s="405" t="s">
        <v>52</v>
      </c>
      <c r="Q5810" s="331"/>
      <c r="X5810" s="339"/>
    </row>
    <row r="5811" s="330" customFormat="1" ht="15" customHeight="1" spans="1:24">
      <c r="A5811" s="550" t="s">
        <v>13305</v>
      </c>
      <c r="B5811" s="334" t="s">
        <v>73</v>
      </c>
      <c r="C5811" s="334" t="s">
        <v>178</v>
      </c>
      <c r="D5811" s="334" t="s">
        <v>132</v>
      </c>
      <c r="E5811" s="336">
        <v>43808</v>
      </c>
      <c r="F5811" s="336">
        <v>43742</v>
      </c>
      <c r="G5811" s="336">
        <v>43807</v>
      </c>
      <c r="H5811" s="334" t="s">
        <v>13306</v>
      </c>
      <c r="I5811" s="426">
        <v>13917308570</v>
      </c>
      <c r="J5811" s="334" t="s">
        <v>13307</v>
      </c>
      <c r="K5811" s="455">
        <v>1000</v>
      </c>
      <c r="L5811" s="338"/>
      <c r="M5811" s="334">
        <v>3216</v>
      </c>
      <c r="N5811" s="362">
        <f t="shared" si="191"/>
        <v>3216</v>
      </c>
      <c r="S5811" s="366" t="s">
        <v>52</v>
      </c>
      <c r="X5811" s="339"/>
    </row>
    <row r="5812" s="330" customFormat="1" ht="15" customHeight="1" spans="1:24">
      <c r="A5812" s="348"/>
      <c r="B5812" s="334" t="s">
        <v>35</v>
      </c>
      <c r="C5812" s="334" t="s">
        <v>392</v>
      </c>
      <c r="D5812" s="334" t="s">
        <v>37</v>
      </c>
      <c r="E5812" s="336">
        <v>43743</v>
      </c>
      <c r="F5812" s="336">
        <v>43742</v>
      </c>
      <c r="G5812" s="399">
        <v>43742</v>
      </c>
      <c r="H5812" s="334" t="s">
        <v>13308</v>
      </c>
      <c r="I5812" s="426">
        <v>13917061328</v>
      </c>
      <c r="J5812" s="334" t="s">
        <v>13309</v>
      </c>
      <c r="K5812" s="455">
        <v>23127</v>
      </c>
      <c r="L5812" s="334">
        <f>23127-3040</f>
        <v>20087</v>
      </c>
      <c r="M5812" s="334">
        <v>3040</v>
      </c>
      <c r="N5812" s="362">
        <f t="shared" ref="N5812:N5854" si="192">L5812+M5812</f>
        <v>23127</v>
      </c>
      <c r="X5812" s="339"/>
    </row>
    <row r="5813" s="330" customFormat="1" ht="15" customHeight="1" spans="1:24">
      <c r="A5813" s="348"/>
      <c r="B5813" s="334" t="s">
        <v>354</v>
      </c>
      <c r="C5813" s="334" t="s">
        <v>355</v>
      </c>
      <c r="D5813" s="334" t="s">
        <v>237</v>
      </c>
      <c r="E5813" s="336">
        <v>43759</v>
      </c>
      <c r="F5813" s="336">
        <v>43742</v>
      </c>
      <c r="G5813" s="336">
        <v>43758</v>
      </c>
      <c r="H5813" s="334" t="s">
        <v>8460</v>
      </c>
      <c r="I5813" s="426">
        <v>13917956337</v>
      </c>
      <c r="J5813" s="334" t="s">
        <v>13310</v>
      </c>
      <c r="K5813" s="455">
        <v>5000</v>
      </c>
      <c r="L5813" s="334">
        <v>9017</v>
      </c>
      <c r="M5813" s="338"/>
      <c r="N5813" s="362">
        <f t="shared" si="192"/>
        <v>9017</v>
      </c>
      <c r="X5813" s="339"/>
    </row>
    <row r="5814" s="330" customFormat="1" ht="15" customHeight="1" spans="1:24">
      <c r="A5814" s="348"/>
      <c r="B5814" s="334" t="s">
        <v>160</v>
      </c>
      <c r="C5814" s="334" t="s">
        <v>161</v>
      </c>
      <c r="D5814" s="335" t="s">
        <v>162</v>
      </c>
      <c r="E5814" s="336">
        <v>43743</v>
      </c>
      <c r="F5814" s="336">
        <v>43742</v>
      </c>
      <c r="G5814" s="399"/>
      <c r="H5814" s="334" t="s">
        <v>232</v>
      </c>
      <c r="I5814" s="558" t="s">
        <v>13311</v>
      </c>
      <c r="J5814" s="334" t="s">
        <v>13312</v>
      </c>
      <c r="K5814" s="455">
        <v>1000</v>
      </c>
      <c r="L5814" s="338"/>
      <c r="M5814" s="338"/>
      <c r="N5814" s="362">
        <f t="shared" si="192"/>
        <v>0</v>
      </c>
      <c r="P5814" s="330">
        <v>1</v>
      </c>
      <c r="X5814" s="339"/>
    </row>
    <row r="5815" s="330" customFormat="1" ht="15" customHeight="1" spans="1:24">
      <c r="A5815" s="550" t="s">
        <v>13313</v>
      </c>
      <c r="B5815" s="334" t="s">
        <v>31</v>
      </c>
      <c r="C5815" s="334" t="s">
        <v>419</v>
      </c>
      <c r="D5815" s="335" t="s">
        <v>221</v>
      </c>
      <c r="E5815" s="336">
        <v>43769</v>
      </c>
      <c r="F5815" s="336">
        <v>43742</v>
      </c>
      <c r="G5815" s="336">
        <v>43768</v>
      </c>
      <c r="H5815" s="334" t="s">
        <v>13314</v>
      </c>
      <c r="I5815" s="426">
        <v>15821610493</v>
      </c>
      <c r="J5815" s="334" t="s">
        <v>13315</v>
      </c>
      <c r="K5815" s="455">
        <v>10000</v>
      </c>
      <c r="L5815" s="334">
        <v>13000</v>
      </c>
      <c r="M5815" s="338"/>
      <c r="N5815" s="362">
        <f t="shared" si="192"/>
        <v>13000</v>
      </c>
      <c r="X5815" s="339"/>
    </row>
    <row r="5816" s="330" customFormat="1" ht="15" customHeight="1" spans="1:24">
      <c r="A5816" s="348"/>
      <c r="B5816" s="334" t="s">
        <v>354</v>
      </c>
      <c r="C5816" s="334" t="s">
        <v>355</v>
      </c>
      <c r="D5816" s="334" t="s">
        <v>237</v>
      </c>
      <c r="E5816" s="336">
        <v>43745</v>
      </c>
      <c r="F5816" s="336">
        <v>43742</v>
      </c>
      <c r="G5816" s="336">
        <v>43743</v>
      </c>
      <c r="H5816" s="334" t="s">
        <v>13316</v>
      </c>
      <c r="I5816" s="426">
        <v>13817733930</v>
      </c>
      <c r="J5816" s="334" t="s">
        <v>13317</v>
      </c>
      <c r="K5816" s="455">
        <v>4600</v>
      </c>
      <c r="L5816" s="334">
        <v>5690</v>
      </c>
      <c r="M5816" s="338"/>
      <c r="N5816" s="362">
        <f t="shared" si="192"/>
        <v>5690</v>
      </c>
      <c r="X5816" s="339"/>
    </row>
    <row r="5817" s="330" customFormat="1" ht="15" customHeight="1" spans="1:24">
      <c r="A5817" s="550" t="s">
        <v>13318</v>
      </c>
      <c r="B5817" s="334" t="s">
        <v>805</v>
      </c>
      <c r="C5817" s="334" t="s">
        <v>498</v>
      </c>
      <c r="D5817" s="335" t="s">
        <v>171</v>
      </c>
      <c r="E5817" s="336">
        <v>43746</v>
      </c>
      <c r="F5817" s="336">
        <v>43743</v>
      </c>
      <c r="G5817" s="336">
        <v>43746</v>
      </c>
      <c r="H5817" s="334" t="s">
        <v>12183</v>
      </c>
      <c r="I5817" s="426">
        <v>18930810392</v>
      </c>
      <c r="J5817" s="334" t="s">
        <v>13319</v>
      </c>
      <c r="K5817" s="455">
        <v>1000</v>
      </c>
      <c r="L5817" s="334">
        <v>4300</v>
      </c>
      <c r="M5817" s="338"/>
      <c r="N5817" s="362">
        <f t="shared" si="192"/>
        <v>4300</v>
      </c>
      <c r="X5817" s="339"/>
    </row>
    <row r="5818" s="330" customFormat="1" ht="15" customHeight="1" spans="1:24">
      <c r="A5818" s="348"/>
      <c r="B5818" s="334" t="s">
        <v>130</v>
      </c>
      <c r="C5818" s="334" t="s">
        <v>722</v>
      </c>
      <c r="D5818" s="335" t="s">
        <v>132</v>
      </c>
      <c r="E5818" s="336">
        <v>43745</v>
      </c>
      <c r="F5818" s="336">
        <v>43743</v>
      </c>
      <c r="G5818" s="336">
        <v>43745</v>
      </c>
      <c r="H5818" s="334" t="s">
        <v>13320</v>
      </c>
      <c r="I5818" s="426">
        <v>13816685122</v>
      </c>
      <c r="J5818" s="334" t="s">
        <v>13321</v>
      </c>
      <c r="K5818" s="455">
        <v>10000</v>
      </c>
      <c r="L5818" s="334">
        <v>10000</v>
      </c>
      <c r="M5818" s="338"/>
      <c r="N5818" s="362">
        <f t="shared" si="192"/>
        <v>10000</v>
      </c>
      <c r="X5818" s="339"/>
    </row>
    <row r="5819" s="330" customFormat="1" ht="15" customHeight="1" spans="1:24">
      <c r="A5819" s="348"/>
      <c r="B5819" s="334" t="s">
        <v>87</v>
      </c>
      <c r="C5819" s="334" t="s">
        <v>199</v>
      </c>
      <c r="D5819" s="335" t="s">
        <v>89</v>
      </c>
      <c r="E5819" s="336">
        <v>43745</v>
      </c>
      <c r="F5819" s="336">
        <v>43743</v>
      </c>
      <c r="G5819" s="336">
        <v>43743</v>
      </c>
      <c r="H5819" s="334" t="s">
        <v>13322</v>
      </c>
      <c r="I5819" s="426">
        <v>15901800800</v>
      </c>
      <c r="J5819" s="334" t="s">
        <v>13323</v>
      </c>
      <c r="K5819" s="455">
        <v>5710</v>
      </c>
      <c r="L5819" s="334">
        <v>5391</v>
      </c>
      <c r="M5819" s="338"/>
      <c r="N5819" s="362">
        <f t="shared" si="192"/>
        <v>5391</v>
      </c>
      <c r="X5819" s="339"/>
    </row>
    <row r="5820" s="330" customFormat="1" ht="15" customHeight="1" spans="1:24">
      <c r="A5820" s="550" t="s">
        <v>13324</v>
      </c>
      <c r="B5820" s="334" t="s">
        <v>35</v>
      </c>
      <c r="C5820" s="334" t="s">
        <v>328</v>
      </c>
      <c r="D5820" s="335" t="s">
        <v>37</v>
      </c>
      <c r="E5820" s="336">
        <v>43749</v>
      </c>
      <c r="F5820" s="336">
        <v>43743</v>
      </c>
      <c r="G5820" s="336">
        <v>43748</v>
      </c>
      <c r="H5820" s="334" t="s">
        <v>13325</v>
      </c>
      <c r="I5820" s="426">
        <v>13865421003</v>
      </c>
      <c r="J5820" s="334" t="s">
        <v>13326</v>
      </c>
      <c r="K5820" s="455">
        <v>3102</v>
      </c>
      <c r="L5820" s="334">
        <v>4287</v>
      </c>
      <c r="M5820" s="338"/>
      <c r="N5820" s="362">
        <f t="shared" si="192"/>
        <v>4287</v>
      </c>
      <c r="X5820" s="339"/>
    </row>
    <row r="5821" s="330" customFormat="1" ht="15" customHeight="1" spans="1:24">
      <c r="A5821" s="348"/>
      <c r="B5821" s="334" t="s">
        <v>315</v>
      </c>
      <c r="C5821" s="334" t="s">
        <v>181</v>
      </c>
      <c r="D5821" s="334" t="s">
        <v>1431</v>
      </c>
      <c r="E5821" s="336">
        <v>43792</v>
      </c>
      <c r="F5821" s="336">
        <v>43743</v>
      </c>
      <c r="G5821" s="336">
        <v>43791</v>
      </c>
      <c r="H5821" s="334" t="s">
        <v>13327</v>
      </c>
      <c r="I5821" s="426">
        <v>18621561121</v>
      </c>
      <c r="J5821" s="334" t="s">
        <v>13328</v>
      </c>
      <c r="K5821" s="455">
        <v>10000</v>
      </c>
      <c r="L5821" s="334">
        <v>23602</v>
      </c>
      <c r="M5821" s="338"/>
      <c r="N5821" s="362">
        <f t="shared" si="192"/>
        <v>23602</v>
      </c>
      <c r="X5821" s="339"/>
    </row>
    <row r="5822" s="330" customFormat="1" ht="15" customHeight="1" spans="1:24">
      <c r="A5822" s="348"/>
      <c r="B5822" s="334" t="s">
        <v>315</v>
      </c>
      <c r="C5822" s="334" t="s">
        <v>181</v>
      </c>
      <c r="D5822" s="334" t="s">
        <v>1431</v>
      </c>
      <c r="E5822" s="336">
        <v>43761</v>
      </c>
      <c r="F5822" s="336">
        <v>43741</v>
      </c>
      <c r="G5822" s="336">
        <v>43744</v>
      </c>
      <c r="H5822" s="334" t="s">
        <v>13329</v>
      </c>
      <c r="I5822" s="426">
        <v>13964673796</v>
      </c>
      <c r="J5822" s="334" t="s">
        <v>13330</v>
      </c>
      <c r="K5822" s="455">
        <v>1000</v>
      </c>
      <c r="L5822" s="334">
        <v>5580</v>
      </c>
      <c r="M5822" s="338"/>
      <c r="N5822" s="362">
        <f t="shared" si="192"/>
        <v>5580</v>
      </c>
      <c r="X5822" s="339"/>
    </row>
    <row r="5823" s="330" customFormat="1" ht="15" customHeight="1" spans="1:24">
      <c r="A5823" s="550" t="s">
        <v>12841</v>
      </c>
      <c r="B5823" s="334" t="s">
        <v>315</v>
      </c>
      <c r="C5823" s="334" t="s">
        <v>181</v>
      </c>
      <c r="D5823" s="335" t="s">
        <v>182</v>
      </c>
      <c r="E5823" s="336">
        <v>43743</v>
      </c>
      <c r="F5823" s="336">
        <v>43743</v>
      </c>
      <c r="G5823" s="350" t="s">
        <v>69</v>
      </c>
      <c r="H5823" s="334" t="s">
        <v>13331</v>
      </c>
      <c r="I5823" s="426">
        <v>1367153316</v>
      </c>
      <c r="J5823" s="334" t="s">
        <v>13332</v>
      </c>
      <c r="K5823" s="455">
        <v>1000</v>
      </c>
      <c r="L5823" s="338"/>
      <c r="M5823" s="338"/>
      <c r="N5823" s="362">
        <f t="shared" si="192"/>
        <v>0</v>
      </c>
      <c r="X5823" s="339"/>
    </row>
    <row r="5824" s="330" customFormat="1" ht="15" customHeight="1" spans="1:24">
      <c r="A5824" s="348"/>
      <c r="B5824" s="334" t="s">
        <v>354</v>
      </c>
      <c r="C5824" s="334" t="s">
        <v>13333</v>
      </c>
      <c r="D5824" s="334" t="s">
        <v>237</v>
      </c>
      <c r="E5824" s="336">
        <v>43770</v>
      </c>
      <c r="F5824" s="336">
        <v>43743</v>
      </c>
      <c r="G5824" s="336">
        <v>43770</v>
      </c>
      <c r="H5824" s="334" t="s">
        <v>13334</v>
      </c>
      <c r="I5824" s="426">
        <v>13901654934</v>
      </c>
      <c r="J5824" s="334" t="s">
        <v>13335</v>
      </c>
      <c r="K5824" s="455">
        <v>11311</v>
      </c>
      <c r="L5824" s="334">
        <v>13458</v>
      </c>
      <c r="M5824" s="338"/>
      <c r="N5824" s="362">
        <f t="shared" si="192"/>
        <v>13458</v>
      </c>
      <c r="X5824" s="339"/>
    </row>
    <row r="5825" s="330" customFormat="1" ht="15" customHeight="1" spans="1:24">
      <c r="A5825" s="550" t="s">
        <v>13336</v>
      </c>
      <c r="B5825" s="334" t="s">
        <v>185</v>
      </c>
      <c r="C5825" s="334" t="s">
        <v>1204</v>
      </c>
      <c r="D5825" s="335" t="s">
        <v>44</v>
      </c>
      <c r="E5825" s="336">
        <v>43743</v>
      </c>
      <c r="F5825" s="336">
        <v>43743</v>
      </c>
      <c r="G5825" s="399"/>
      <c r="H5825" s="334" t="s">
        <v>13337</v>
      </c>
      <c r="I5825" s="426">
        <v>18616363915</v>
      </c>
      <c r="J5825" s="334" t="s">
        <v>13338</v>
      </c>
      <c r="K5825" s="455">
        <v>1998</v>
      </c>
      <c r="L5825" s="338"/>
      <c r="M5825" s="338"/>
      <c r="N5825" s="362">
        <f t="shared" si="192"/>
        <v>0</v>
      </c>
      <c r="Q5825" s="356" t="s">
        <v>52</v>
      </c>
      <c r="X5825" s="339"/>
    </row>
    <row r="5826" s="330" customFormat="1" ht="15" customHeight="1" spans="1:24">
      <c r="A5826" s="550" t="s">
        <v>8039</v>
      </c>
      <c r="B5826" s="334" t="s">
        <v>5435</v>
      </c>
      <c r="C5826" s="334" t="s">
        <v>1728</v>
      </c>
      <c r="D5826" s="335" t="s">
        <v>149</v>
      </c>
      <c r="E5826" s="336">
        <v>43751</v>
      </c>
      <c r="F5826" s="336">
        <v>43739</v>
      </c>
      <c r="G5826" s="336">
        <v>43750</v>
      </c>
      <c r="H5826" s="334" t="s">
        <v>13339</v>
      </c>
      <c r="I5826" s="426">
        <v>13501652228</v>
      </c>
      <c r="J5826" s="334" t="s">
        <v>13340</v>
      </c>
      <c r="K5826" s="455">
        <v>10763</v>
      </c>
      <c r="L5826" s="334">
        <v>11255</v>
      </c>
      <c r="M5826" s="338"/>
      <c r="N5826" s="362">
        <f t="shared" si="192"/>
        <v>11255</v>
      </c>
      <c r="X5826" s="339"/>
    </row>
    <row r="5827" s="330" customFormat="1" ht="15" customHeight="1" spans="1:24">
      <c r="A5827" s="550" t="s">
        <v>13341</v>
      </c>
      <c r="B5827" s="334" t="s">
        <v>137</v>
      </c>
      <c r="C5827" s="334" t="s">
        <v>426</v>
      </c>
      <c r="D5827" s="334" t="s">
        <v>139</v>
      </c>
      <c r="E5827" s="336">
        <v>43745</v>
      </c>
      <c r="F5827" s="336">
        <v>43743</v>
      </c>
      <c r="G5827" s="336">
        <v>43745</v>
      </c>
      <c r="H5827" s="334" t="s">
        <v>13342</v>
      </c>
      <c r="I5827" s="426">
        <v>18018677092</v>
      </c>
      <c r="J5827" s="334" t="s">
        <v>13343</v>
      </c>
      <c r="K5827" s="455">
        <v>36100</v>
      </c>
      <c r="L5827" s="334">
        <v>36100</v>
      </c>
      <c r="M5827" s="338"/>
      <c r="N5827" s="362">
        <f t="shared" si="192"/>
        <v>36100</v>
      </c>
      <c r="X5827" s="339"/>
    </row>
    <row r="5828" s="330" customFormat="1" ht="15" customHeight="1" spans="1:24">
      <c r="A5828" s="348"/>
      <c r="B5828" s="334" t="s">
        <v>58</v>
      </c>
      <c r="C5828" s="334" t="s">
        <v>59</v>
      </c>
      <c r="D5828" s="335" t="s">
        <v>271</v>
      </c>
      <c r="E5828" s="336">
        <v>43769</v>
      </c>
      <c r="F5828" s="336">
        <v>43741</v>
      </c>
      <c r="G5828" s="336">
        <v>43769</v>
      </c>
      <c r="H5828" s="334" t="s">
        <v>13344</v>
      </c>
      <c r="I5828" s="426">
        <v>18918960081</v>
      </c>
      <c r="J5828" s="334" t="s">
        <v>13345</v>
      </c>
      <c r="K5828" s="455">
        <v>19800</v>
      </c>
      <c r="L5828" s="455">
        <v>19800</v>
      </c>
      <c r="M5828" s="338"/>
      <c r="N5828" s="362">
        <f t="shared" si="192"/>
        <v>19800</v>
      </c>
      <c r="X5828" s="339"/>
    </row>
    <row r="5829" s="330" customFormat="1" ht="15" customHeight="1" spans="1:24">
      <c r="A5829" s="348"/>
      <c r="B5829" s="334" t="s">
        <v>58</v>
      </c>
      <c r="C5829" s="334" t="s">
        <v>59</v>
      </c>
      <c r="D5829" s="335" t="s">
        <v>271</v>
      </c>
      <c r="E5829" s="336">
        <v>43745</v>
      </c>
      <c r="F5829" s="336">
        <v>43742</v>
      </c>
      <c r="G5829" s="336">
        <v>43745</v>
      </c>
      <c r="H5829" s="334" t="s">
        <v>13346</v>
      </c>
      <c r="I5829" s="426">
        <v>13901941662</v>
      </c>
      <c r="J5829" s="334" t="s">
        <v>13347</v>
      </c>
      <c r="K5829" s="455">
        <v>40000</v>
      </c>
      <c r="L5829" s="334">
        <v>40000</v>
      </c>
      <c r="M5829" s="338"/>
      <c r="N5829" s="362">
        <f t="shared" si="192"/>
        <v>40000</v>
      </c>
      <c r="X5829" s="339"/>
    </row>
    <row r="5830" s="330" customFormat="1" ht="15" customHeight="1" spans="1:24">
      <c r="A5830" s="550" t="s">
        <v>404</v>
      </c>
      <c r="B5830" s="334" t="s">
        <v>153</v>
      </c>
      <c r="C5830" s="334" t="s">
        <v>302</v>
      </c>
      <c r="D5830" s="335" t="s">
        <v>155</v>
      </c>
      <c r="E5830" s="336">
        <v>43746</v>
      </c>
      <c r="F5830" s="336">
        <v>43743</v>
      </c>
      <c r="G5830" s="336">
        <v>43746</v>
      </c>
      <c r="H5830" s="334" t="s">
        <v>13348</v>
      </c>
      <c r="I5830" s="426">
        <v>13916007991</v>
      </c>
      <c r="J5830" s="334" t="s">
        <v>13349</v>
      </c>
      <c r="K5830" s="455">
        <v>13343</v>
      </c>
      <c r="L5830" s="334">
        <v>13343</v>
      </c>
      <c r="M5830" s="338"/>
      <c r="N5830" s="362">
        <f t="shared" si="192"/>
        <v>13343</v>
      </c>
      <c r="X5830" s="339"/>
    </row>
    <row r="5831" s="330" customFormat="1" ht="15" customHeight="1" spans="1:24">
      <c r="A5831" s="550" t="s">
        <v>2341</v>
      </c>
      <c r="B5831" s="334" t="s">
        <v>153</v>
      </c>
      <c r="C5831" s="334" t="s">
        <v>302</v>
      </c>
      <c r="D5831" s="335" t="s">
        <v>155</v>
      </c>
      <c r="E5831" s="336">
        <v>43746</v>
      </c>
      <c r="F5831" s="336">
        <v>43743</v>
      </c>
      <c r="G5831" s="336">
        <v>43746</v>
      </c>
      <c r="H5831" s="334" t="s">
        <v>13350</v>
      </c>
      <c r="I5831" s="426">
        <v>13916612308</v>
      </c>
      <c r="J5831" s="334" t="s">
        <v>13351</v>
      </c>
      <c r="K5831" s="455">
        <v>1000</v>
      </c>
      <c r="L5831" s="334">
        <v>13039</v>
      </c>
      <c r="M5831" s="338"/>
      <c r="N5831" s="362">
        <f t="shared" si="192"/>
        <v>13039</v>
      </c>
      <c r="X5831" s="339"/>
    </row>
    <row r="5832" s="330" customFormat="1" ht="15" customHeight="1" spans="1:24">
      <c r="A5832" s="550" t="s">
        <v>13352</v>
      </c>
      <c r="B5832" s="334" t="s">
        <v>153</v>
      </c>
      <c r="C5832" s="334" t="s">
        <v>302</v>
      </c>
      <c r="D5832" s="335" t="s">
        <v>155</v>
      </c>
      <c r="E5832" s="336">
        <v>43743</v>
      </c>
      <c r="F5832" s="336">
        <v>43743</v>
      </c>
      <c r="G5832" s="399"/>
      <c r="H5832" s="334" t="s">
        <v>13353</v>
      </c>
      <c r="I5832" s="426">
        <v>18616029960</v>
      </c>
      <c r="J5832" s="334" t="s">
        <v>13354</v>
      </c>
      <c r="K5832" s="455">
        <v>1000</v>
      </c>
      <c r="L5832" s="338"/>
      <c r="M5832" s="338"/>
      <c r="N5832" s="362">
        <f t="shared" si="192"/>
        <v>0</v>
      </c>
      <c r="U5832" s="330" t="s">
        <v>12</v>
      </c>
      <c r="X5832" s="339"/>
    </row>
    <row r="5833" s="330" customFormat="1" ht="15" customHeight="1" spans="1:24">
      <c r="A5833" s="348"/>
      <c r="B5833" s="334" t="s">
        <v>153</v>
      </c>
      <c r="C5833" s="334" t="s">
        <v>154</v>
      </c>
      <c r="D5833" s="335" t="s">
        <v>155</v>
      </c>
      <c r="E5833" s="336">
        <v>43743</v>
      </c>
      <c r="F5833" s="336">
        <v>43742</v>
      </c>
      <c r="G5833" s="399" t="s">
        <v>231</v>
      </c>
      <c r="H5833" s="334" t="s">
        <v>13355</v>
      </c>
      <c r="I5833" s="426">
        <v>18955246996</v>
      </c>
      <c r="J5833" s="334" t="s">
        <v>13356</v>
      </c>
      <c r="K5833" s="455">
        <v>2000</v>
      </c>
      <c r="L5833" s="338"/>
      <c r="M5833" s="338"/>
      <c r="N5833" s="362">
        <f t="shared" si="192"/>
        <v>0</v>
      </c>
      <c r="X5833" s="339"/>
    </row>
    <row r="5834" s="330" customFormat="1" ht="15" customHeight="1" spans="1:24">
      <c r="A5834" s="550" t="s">
        <v>930</v>
      </c>
      <c r="B5834" s="334" t="s">
        <v>726</v>
      </c>
      <c r="C5834" s="334" t="s">
        <v>727</v>
      </c>
      <c r="D5834" s="334" t="s">
        <v>271</v>
      </c>
      <c r="E5834" s="336">
        <v>43797</v>
      </c>
      <c r="F5834" s="336">
        <v>43742</v>
      </c>
      <c r="G5834" s="336">
        <v>43792</v>
      </c>
      <c r="H5834" s="334" t="s">
        <v>13357</v>
      </c>
      <c r="I5834" s="426">
        <v>13651966201</v>
      </c>
      <c r="J5834" s="334" t="s">
        <v>13358</v>
      </c>
      <c r="K5834" s="455">
        <v>8250</v>
      </c>
      <c r="L5834" s="334">
        <v>8250</v>
      </c>
      <c r="M5834" s="338"/>
      <c r="N5834" s="362">
        <f t="shared" si="192"/>
        <v>8250</v>
      </c>
      <c r="V5834" s="471">
        <v>43789</v>
      </c>
      <c r="X5834" s="339"/>
    </row>
    <row r="5835" s="330" customFormat="1" ht="15" customHeight="1" spans="1:24">
      <c r="A5835" s="348"/>
      <c r="B5835" s="334" t="s">
        <v>137</v>
      </c>
      <c r="C5835" s="334" t="s">
        <v>861</v>
      </c>
      <c r="D5835" s="335" t="s">
        <v>427</v>
      </c>
      <c r="E5835" s="336">
        <v>43745</v>
      </c>
      <c r="F5835" s="336">
        <v>43739</v>
      </c>
      <c r="G5835" s="336">
        <v>43745</v>
      </c>
      <c r="H5835" s="334" t="s">
        <v>13359</v>
      </c>
      <c r="I5835" s="426">
        <v>13916333237</v>
      </c>
      <c r="J5835" s="334" t="s">
        <v>13360</v>
      </c>
      <c r="K5835" s="455">
        <v>32400</v>
      </c>
      <c r="L5835" s="334">
        <v>36000</v>
      </c>
      <c r="M5835" s="338"/>
      <c r="N5835" s="362">
        <f t="shared" si="192"/>
        <v>36000</v>
      </c>
      <c r="X5835" s="339"/>
    </row>
    <row r="5836" s="330" customFormat="1" ht="15" customHeight="1" spans="1:24">
      <c r="A5836" s="550" t="s">
        <v>13361</v>
      </c>
      <c r="B5836" s="334" t="s">
        <v>137</v>
      </c>
      <c r="C5836" s="334" t="s">
        <v>861</v>
      </c>
      <c r="D5836" s="334" t="s">
        <v>443</v>
      </c>
      <c r="E5836" s="336">
        <v>43747</v>
      </c>
      <c r="F5836" s="336">
        <v>43739</v>
      </c>
      <c r="G5836" s="336">
        <v>43746</v>
      </c>
      <c r="H5836" s="334" t="s">
        <v>13362</v>
      </c>
      <c r="I5836" s="426">
        <v>13916939589</v>
      </c>
      <c r="J5836" s="334" t="s">
        <v>13363</v>
      </c>
      <c r="K5836" s="455">
        <v>9900</v>
      </c>
      <c r="L5836" s="334">
        <v>9687</v>
      </c>
      <c r="M5836" s="338"/>
      <c r="N5836" s="362">
        <f t="shared" si="192"/>
        <v>9687</v>
      </c>
      <c r="X5836" s="339"/>
    </row>
    <row r="5837" s="330" customFormat="1" ht="15" customHeight="1" spans="1:24">
      <c r="A5837" s="550" t="s">
        <v>12464</v>
      </c>
      <c r="B5837" s="334" t="s">
        <v>66</v>
      </c>
      <c r="C5837" s="334" t="s">
        <v>7029</v>
      </c>
      <c r="D5837" s="334" t="s">
        <v>1436</v>
      </c>
      <c r="E5837" s="336">
        <v>43744</v>
      </c>
      <c r="F5837" s="336">
        <v>43740</v>
      </c>
      <c r="G5837" s="336">
        <v>43743</v>
      </c>
      <c r="H5837" s="334" t="s">
        <v>12906</v>
      </c>
      <c r="I5837" s="426">
        <v>13816978944</v>
      </c>
      <c r="J5837" s="334" t="s">
        <v>13364</v>
      </c>
      <c r="K5837" s="455">
        <v>10000</v>
      </c>
      <c r="L5837" s="334">
        <f>10000-1799-1799</f>
        <v>6402</v>
      </c>
      <c r="M5837" s="334">
        <f>1799*2</f>
        <v>3598</v>
      </c>
      <c r="N5837" s="362">
        <f t="shared" si="192"/>
        <v>10000</v>
      </c>
      <c r="X5837" s="339"/>
    </row>
    <row r="5838" s="330" customFormat="1" ht="15" customHeight="1" spans="1:24">
      <c r="A5838" s="550" t="s">
        <v>1707</v>
      </c>
      <c r="B5838" s="334" t="s">
        <v>66</v>
      </c>
      <c r="C5838" s="334" t="s">
        <v>7029</v>
      </c>
      <c r="D5838" s="335" t="s">
        <v>68</v>
      </c>
      <c r="E5838" s="336">
        <v>43743</v>
      </c>
      <c r="F5838" s="336">
        <v>43741</v>
      </c>
      <c r="G5838" s="399"/>
      <c r="H5838" s="334" t="s">
        <v>13365</v>
      </c>
      <c r="I5838" s="426">
        <v>13817702594</v>
      </c>
      <c r="J5838" s="334" t="s">
        <v>13366</v>
      </c>
      <c r="K5838" s="455">
        <v>10000</v>
      </c>
      <c r="L5838" s="338"/>
      <c r="M5838" s="338"/>
      <c r="N5838" s="362">
        <f t="shared" si="192"/>
        <v>0</v>
      </c>
      <c r="Q5838" s="467" t="s">
        <v>52</v>
      </c>
      <c r="X5838" s="339"/>
    </row>
    <row r="5839" s="330" customFormat="1" ht="15" customHeight="1" spans="1:24">
      <c r="A5839" s="348"/>
      <c r="B5839" s="334" t="s">
        <v>169</v>
      </c>
      <c r="C5839" s="334" t="s">
        <v>634</v>
      </c>
      <c r="D5839" s="334" t="s">
        <v>171</v>
      </c>
      <c r="E5839" s="336">
        <v>43768</v>
      </c>
      <c r="F5839" s="336">
        <v>43743</v>
      </c>
      <c r="G5839" s="336">
        <v>43768</v>
      </c>
      <c r="H5839" s="334" t="s">
        <v>13367</v>
      </c>
      <c r="I5839" s="426" t="s">
        <v>13368</v>
      </c>
      <c r="J5839" s="334" t="s">
        <v>13369</v>
      </c>
      <c r="K5839" s="455">
        <v>7200</v>
      </c>
      <c r="L5839" s="334">
        <v>13249</v>
      </c>
      <c r="M5839" s="338"/>
      <c r="N5839" s="362">
        <f t="shared" si="192"/>
        <v>13249</v>
      </c>
      <c r="X5839" s="339"/>
    </row>
    <row r="5840" s="330" customFormat="1" ht="15" customHeight="1" spans="1:24">
      <c r="A5840" s="348"/>
      <c r="B5840" s="334" t="s">
        <v>169</v>
      </c>
      <c r="C5840" s="334" t="s">
        <v>634</v>
      </c>
      <c r="D5840" s="335" t="s">
        <v>635</v>
      </c>
      <c r="E5840" s="336">
        <v>43743</v>
      </c>
      <c r="F5840" s="336">
        <v>43743</v>
      </c>
      <c r="G5840" s="399"/>
      <c r="H5840" s="334" t="s">
        <v>13370</v>
      </c>
      <c r="I5840" s="426">
        <v>13585711115</v>
      </c>
      <c r="J5840" s="334" t="s">
        <v>13371</v>
      </c>
      <c r="K5840" s="455">
        <v>8100</v>
      </c>
      <c r="L5840" s="338"/>
      <c r="M5840" s="338"/>
      <c r="N5840" s="362">
        <f t="shared" si="192"/>
        <v>0</v>
      </c>
      <c r="P5840" s="353" t="s">
        <v>13372</v>
      </c>
      <c r="V5840" s="353" t="s">
        <v>1481</v>
      </c>
      <c r="X5840" s="339"/>
    </row>
    <row r="5841" s="330" customFormat="1" ht="15" customHeight="1" spans="1:24">
      <c r="A5841" s="348"/>
      <c r="B5841" s="334" t="s">
        <v>169</v>
      </c>
      <c r="C5841" s="334" t="s">
        <v>634</v>
      </c>
      <c r="D5841" s="335" t="s">
        <v>635</v>
      </c>
      <c r="E5841" s="336">
        <v>43746</v>
      </c>
      <c r="F5841" s="336">
        <v>43743</v>
      </c>
      <c r="G5841" s="336">
        <v>43746</v>
      </c>
      <c r="H5841" s="334" t="s">
        <v>13373</v>
      </c>
      <c r="I5841" s="426">
        <v>15801838076</v>
      </c>
      <c r="J5841" s="334" t="s">
        <v>13374</v>
      </c>
      <c r="K5841" s="455">
        <v>16200</v>
      </c>
      <c r="L5841" s="334">
        <v>16418</v>
      </c>
      <c r="M5841" s="338"/>
      <c r="N5841" s="362">
        <f t="shared" si="192"/>
        <v>16418</v>
      </c>
      <c r="X5841" s="339"/>
    </row>
    <row r="5842" s="330" customFormat="1" ht="15" customHeight="1" spans="1:24">
      <c r="A5842" s="550" t="s">
        <v>13375</v>
      </c>
      <c r="B5842" s="334" t="s">
        <v>66</v>
      </c>
      <c r="C5842" s="334" t="s">
        <v>7029</v>
      </c>
      <c r="D5842" s="335" t="s">
        <v>68</v>
      </c>
      <c r="E5842" s="336">
        <v>43744</v>
      </c>
      <c r="F5842" s="336">
        <v>43741</v>
      </c>
      <c r="G5842" s="336">
        <v>43743</v>
      </c>
      <c r="H5842" s="334" t="s">
        <v>13376</v>
      </c>
      <c r="I5842" s="426">
        <v>13916103629</v>
      </c>
      <c r="J5842" s="334" t="s">
        <v>13377</v>
      </c>
      <c r="K5842" s="455">
        <v>40000</v>
      </c>
      <c r="L5842" s="455">
        <v>40000</v>
      </c>
      <c r="M5842" s="338"/>
      <c r="N5842" s="362">
        <f t="shared" si="192"/>
        <v>40000</v>
      </c>
      <c r="X5842" s="339"/>
    </row>
    <row r="5843" s="330" customFormat="1" ht="15" customHeight="1" spans="1:24">
      <c r="A5843" s="550" t="s">
        <v>13378</v>
      </c>
      <c r="B5843" s="334" t="s">
        <v>205</v>
      </c>
      <c r="C5843" s="334" t="s">
        <v>1467</v>
      </c>
      <c r="D5843" s="334" t="s">
        <v>207</v>
      </c>
      <c r="E5843" s="336">
        <v>43763</v>
      </c>
      <c r="F5843" s="336">
        <v>43743</v>
      </c>
      <c r="G5843" s="336">
        <v>43763</v>
      </c>
      <c r="H5843" s="334" t="s">
        <v>13379</v>
      </c>
      <c r="I5843" s="426">
        <v>17316306972</v>
      </c>
      <c r="J5843" s="334" t="s">
        <v>13380</v>
      </c>
      <c r="K5843" s="455">
        <v>12000</v>
      </c>
      <c r="L5843" s="334">
        <v>18225</v>
      </c>
      <c r="M5843" s="338"/>
      <c r="N5843" s="362">
        <f t="shared" si="192"/>
        <v>18225</v>
      </c>
      <c r="X5843" s="339"/>
    </row>
    <row r="5844" s="330" customFormat="1" ht="15" customHeight="1" spans="1:24">
      <c r="A5844" s="334"/>
      <c r="B5844" s="334" t="s">
        <v>281</v>
      </c>
      <c r="C5844" s="334" t="s">
        <v>517</v>
      </c>
      <c r="D5844" s="334" t="s">
        <v>518</v>
      </c>
      <c r="E5844" s="336">
        <v>43743</v>
      </c>
      <c r="F5844" s="336"/>
      <c r="G5844" s="336">
        <v>43742</v>
      </c>
      <c r="H5844" s="334" t="s">
        <v>13381</v>
      </c>
      <c r="I5844" s="334">
        <v>18930331221</v>
      </c>
      <c r="J5844" s="334" t="s">
        <v>13382</v>
      </c>
      <c r="K5844" s="337"/>
      <c r="L5844" s="334">
        <v>18879</v>
      </c>
      <c r="M5844" s="338"/>
      <c r="N5844" s="362">
        <f t="shared" si="192"/>
        <v>18879</v>
      </c>
      <c r="X5844" s="339"/>
    </row>
    <row r="5845" s="330" customFormat="1" ht="15" customHeight="1" spans="1:24">
      <c r="A5845" s="334"/>
      <c r="B5845" s="334" t="s">
        <v>4009</v>
      </c>
      <c r="C5845" s="334" t="s">
        <v>6401</v>
      </c>
      <c r="D5845" s="334" t="s">
        <v>1170</v>
      </c>
      <c r="E5845" s="336">
        <v>43743</v>
      </c>
      <c r="F5845" s="336"/>
      <c r="G5845" s="336">
        <v>43742</v>
      </c>
      <c r="H5845" s="334" t="s">
        <v>13383</v>
      </c>
      <c r="I5845" s="334">
        <v>15800617072</v>
      </c>
      <c r="J5845" s="334" t="s">
        <v>13384</v>
      </c>
      <c r="K5845" s="337"/>
      <c r="L5845" s="334">
        <v>7545</v>
      </c>
      <c r="M5845" s="338"/>
      <c r="N5845" s="362">
        <f t="shared" si="192"/>
        <v>7545</v>
      </c>
      <c r="X5845" s="339"/>
    </row>
    <row r="5846" s="330" customFormat="1" ht="15" customHeight="1" spans="1:24">
      <c r="A5846" s="334"/>
      <c r="B5846" s="334" t="s">
        <v>31</v>
      </c>
      <c r="C5846" s="334" t="s">
        <v>220</v>
      </c>
      <c r="D5846" s="352" t="s">
        <v>33</v>
      </c>
      <c r="E5846" s="336">
        <v>43743</v>
      </c>
      <c r="F5846" s="336"/>
      <c r="G5846" s="336">
        <v>43743</v>
      </c>
      <c r="H5846" s="334" t="s">
        <v>1208</v>
      </c>
      <c r="I5846" s="334">
        <v>13671526079</v>
      </c>
      <c r="J5846" s="334" t="s">
        <v>13385</v>
      </c>
      <c r="K5846" s="337"/>
      <c r="L5846" s="334">
        <v>1358</v>
      </c>
      <c r="M5846" s="338"/>
      <c r="N5846" s="362">
        <f t="shared" si="192"/>
        <v>1358</v>
      </c>
      <c r="X5846" s="339"/>
    </row>
    <row r="5847" s="330" customFormat="1" ht="15" customHeight="1" spans="1:24">
      <c r="A5847" s="334"/>
      <c r="B5847" s="334" t="s">
        <v>153</v>
      </c>
      <c r="C5847" s="334" t="s">
        <v>154</v>
      </c>
      <c r="D5847" s="335" t="s">
        <v>155</v>
      </c>
      <c r="E5847" s="336">
        <v>43743</v>
      </c>
      <c r="F5847" s="336" t="s">
        <v>800</v>
      </c>
      <c r="G5847" s="336">
        <v>43742</v>
      </c>
      <c r="H5847" s="334" t="s">
        <v>13386</v>
      </c>
      <c r="I5847" s="334">
        <v>13003133137</v>
      </c>
      <c r="J5847" s="334" t="s">
        <v>13387</v>
      </c>
      <c r="K5847" s="337"/>
      <c r="L5847" s="338"/>
      <c r="M5847" s="408">
        <v>19800</v>
      </c>
      <c r="N5847" s="362">
        <f t="shared" si="192"/>
        <v>19800</v>
      </c>
      <c r="X5847" s="339"/>
    </row>
    <row r="5848" s="330" customFormat="1" ht="15" customHeight="1" spans="1:24">
      <c r="A5848" s="334"/>
      <c r="B5848" s="334" t="s">
        <v>315</v>
      </c>
      <c r="C5848" s="334" t="s">
        <v>181</v>
      </c>
      <c r="D5848" s="334" t="s">
        <v>132</v>
      </c>
      <c r="E5848" s="336">
        <v>43743</v>
      </c>
      <c r="F5848" s="336" t="s">
        <v>800</v>
      </c>
      <c r="G5848" s="336">
        <v>43739</v>
      </c>
      <c r="H5848" s="334" t="s">
        <v>2219</v>
      </c>
      <c r="I5848" s="334">
        <v>13901820879</v>
      </c>
      <c r="J5848" s="348" t="s">
        <v>5641</v>
      </c>
      <c r="K5848" s="337"/>
      <c r="L5848" s="338"/>
      <c r="M5848" s="334">
        <v>18888</v>
      </c>
      <c r="N5848" s="362">
        <f t="shared" si="192"/>
        <v>18888</v>
      </c>
      <c r="X5848" s="339"/>
    </row>
    <row r="5849" s="330" customFormat="1" ht="15" customHeight="1" spans="1:24">
      <c r="A5849" s="334"/>
      <c r="B5849" s="348" t="s">
        <v>73</v>
      </c>
      <c r="C5849" s="348" t="s">
        <v>178</v>
      </c>
      <c r="D5849" s="352" t="s">
        <v>143</v>
      </c>
      <c r="E5849" s="336">
        <v>43743</v>
      </c>
      <c r="F5849" s="336" t="s">
        <v>800</v>
      </c>
      <c r="G5849" s="336">
        <v>43740</v>
      </c>
      <c r="H5849" s="334" t="s">
        <v>4832</v>
      </c>
      <c r="I5849" s="334">
        <v>13816108743</v>
      </c>
      <c r="J5849" s="334" t="s">
        <v>10597</v>
      </c>
      <c r="K5849" s="337"/>
      <c r="L5849" s="338"/>
      <c r="M5849" s="334">
        <v>4433</v>
      </c>
      <c r="N5849" s="362">
        <f t="shared" si="192"/>
        <v>4433</v>
      </c>
      <c r="X5849" s="339"/>
    </row>
    <row r="5850" s="330" customFormat="1" ht="15" customHeight="1" spans="1:24">
      <c r="A5850" s="334"/>
      <c r="B5850" s="348" t="s">
        <v>153</v>
      </c>
      <c r="C5850" s="348" t="s">
        <v>302</v>
      </c>
      <c r="D5850" s="352" t="s">
        <v>155</v>
      </c>
      <c r="E5850" s="336">
        <v>43743</v>
      </c>
      <c r="F5850" s="336" t="s">
        <v>800</v>
      </c>
      <c r="G5850" s="336">
        <v>43743</v>
      </c>
      <c r="H5850" s="334" t="s">
        <v>5964</v>
      </c>
      <c r="I5850" s="334">
        <v>18616181010</v>
      </c>
      <c r="J5850" s="334" t="s">
        <v>13388</v>
      </c>
      <c r="K5850" s="337"/>
      <c r="L5850" s="338"/>
      <c r="M5850" s="334">
        <v>6736</v>
      </c>
      <c r="N5850" s="362">
        <f t="shared" si="192"/>
        <v>6736</v>
      </c>
      <c r="X5850" s="339"/>
    </row>
    <row r="5851" s="330" customFormat="1" ht="15" customHeight="1" spans="1:24">
      <c r="A5851" s="334"/>
      <c r="B5851" s="348" t="s">
        <v>185</v>
      </c>
      <c r="C5851" s="348" t="s">
        <v>1204</v>
      </c>
      <c r="D5851" s="352" t="s">
        <v>44</v>
      </c>
      <c r="E5851" s="336">
        <v>43743</v>
      </c>
      <c r="F5851" s="336" t="s">
        <v>800</v>
      </c>
      <c r="G5851" s="336">
        <v>43743</v>
      </c>
      <c r="H5851" s="334" t="s">
        <v>8625</v>
      </c>
      <c r="I5851" s="334">
        <v>15900629849</v>
      </c>
      <c r="J5851" s="334" t="s">
        <v>13389</v>
      </c>
      <c r="K5851" s="337"/>
      <c r="L5851" s="338"/>
      <c r="M5851" s="334">
        <v>8400</v>
      </c>
      <c r="N5851" s="362">
        <f t="shared" si="192"/>
        <v>8400</v>
      </c>
      <c r="X5851" s="339"/>
    </row>
    <row r="5852" s="330" customFormat="1" ht="15" customHeight="1" spans="1:24">
      <c r="A5852" s="334"/>
      <c r="B5852" s="334" t="s">
        <v>137</v>
      </c>
      <c r="C5852" s="334" t="s">
        <v>426</v>
      </c>
      <c r="D5852" s="335" t="s">
        <v>443</v>
      </c>
      <c r="E5852" s="336">
        <v>43743</v>
      </c>
      <c r="F5852" s="336" t="s">
        <v>800</v>
      </c>
      <c r="G5852" s="336">
        <v>43742</v>
      </c>
      <c r="H5852" s="334" t="s">
        <v>11048</v>
      </c>
      <c r="I5852" s="334">
        <v>13164977100</v>
      </c>
      <c r="J5852" s="334" t="s">
        <v>11049</v>
      </c>
      <c r="K5852" s="337"/>
      <c r="L5852" s="338"/>
      <c r="M5852" s="334">
        <v>2276</v>
      </c>
      <c r="N5852" s="362">
        <f t="shared" si="192"/>
        <v>2276</v>
      </c>
      <c r="X5852" s="339"/>
    </row>
    <row r="5853" s="330" customFormat="1" ht="15" customHeight="1" spans="1:24">
      <c r="A5853" s="334"/>
      <c r="B5853" s="334" t="s">
        <v>31</v>
      </c>
      <c r="C5853" s="334" t="s">
        <v>220</v>
      </c>
      <c r="D5853" s="334" t="s">
        <v>33</v>
      </c>
      <c r="E5853" s="336">
        <v>43743</v>
      </c>
      <c r="F5853" s="336" t="s">
        <v>800</v>
      </c>
      <c r="G5853" s="336">
        <v>43743</v>
      </c>
      <c r="H5853" s="334" t="s">
        <v>12474</v>
      </c>
      <c r="I5853" s="334">
        <v>18616853028</v>
      </c>
      <c r="J5853" s="334" t="s">
        <v>12475</v>
      </c>
      <c r="K5853" s="337"/>
      <c r="L5853" s="338"/>
      <c r="M5853" s="334">
        <v>1009</v>
      </c>
      <c r="N5853" s="362">
        <f t="shared" si="192"/>
        <v>1009</v>
      </c>
      <c r="X5853" s="339"/>
    </row>
    <row r="5854" s="330" customFormat="1" ht="15" customHeight="1" spans="1:24">
      <c r="A5854" s="334"/>
      <c r="B5854" s="348" t="s">
        <v>726</v>
      </c>
      <c r="C5854" s="348" t="s">
        <v>727</v>
      </c>
      <c r="D5854" s="334" t="s">
        <v>271</v>
      </c>
      <c r="E5854" s="336">
        <v>43743</v>
      </c>
      <c r="F5854" s="336" t="s">
        <v>800</v>
      </c>
      <c r="G5854" s="336">
        <v>43728</v>
      </c>
      <c r="H5854" s="334" t="s">
        <v>9231</v>
      </c>
      <c r="I5854" s="334">
        <v>13916463437</v>
      </c>
      <c r="J5854" s="334" t="s">
        <v>13390</v>
      </c>
      <c r="K5854" s="337"/>
      <c r="L5854" s="338"/>
      <c r="M5854" s="334">
        <v>1519</v>
      </c>
      <c r="N5854" s="362">
        <f t="shared" si="192"/>
        <v>1519</v>
      </c>
      <c r="X5854" s="339"/>
    </row>
    <row r="5855" s="330" customFormat="1" ht="15" customHeight="1" spans="1:24">
      <c r="A5855" s="348"/>
      <c r="B5855" s="334" t="s">
        <v>354</v>
      </c>
      <c r="C5855" s="334" t="s">
        <v>355</v>
      </c>
      <c r="D5855" s="334" t="s">
        <v>237</v>
      </c>
      <c r="E5855" s="336">
        <v>43793</v>
      </c>
      <c r="F5855" s="336">
        <v>43743</v>
      </c>
      <c r="G5855" s="336">
        <v>43792</v>
      </c>
      <c r="H5855" s="334" t="s">
        <v>13391</v>
      </c>
      <c r="I5855" s="426">
        <v>13761612961</v>
      </c>
      <c r="J5855" s="334" t="s">
        <v>13392</v>
      </c>
      <c r="K5855" s="455">
        <v>5000</v>
      </c>
      <c r="L5855" s="334">
        <v>5989</v>
      </c>
      <c r="M5855" s="338"/>
      <c r="N5855" s="362">
        <f t="shared" ref="N5855:N5886" si="193">L5855+M5855</f>
        <v>5989</v>
      </c>
      <c r="X5855" s="339"/>
    </row>
    <row r="5856" s="330" customFormat="1" ht="15" customHeight="1" spans="1:24">
      <c r="A5856" s="348"/>
      <c r="B5856" s="334" t="s">
        <v>354</v>
      </c>
      <c r="C5856" s="334" t="s">
        <v>355</v>
      </c>
      <c r="D5856" s="334" t="s">
        <v>162</v>
      </c>
      <c r="E5856" s="336">
        <v>43766</v>
      </c>
      <c r="F5856" s="336">
        <v>43743</v>
      </c>
      <c r="G5856" s="336">
        <v>43766</v>
      </c>
      <c r="H5856" s="334" t="s">
        <v>13393</v>
      </c>
      <c r="I5856" s="426">
        <v>13651989818</v>
      </c>
      <c r="J5856" s="334" t="s">
        <v>13394</v>
      </c>
      <c r="K5856" s="455">
        <v>3757</v>
      </c>
      <c r="L5856" s="334">
        <v>7158</v>
      </c>
      <c r="M5856" s="338"/>
      <c r="N5856" s="362">
        <f t="shared" si="193"/>
        <v>7158</v>
      </c>
      <c r="X5856" s="339"/>
    </row>
    <row r="5857" s="330" customFormat="1" ht="15" customHeight="1" spans="1:24">
      <c r="A5857" s="550" t="s">
        <v>13395</v>
      </c>
      <c r="B5857" s="334" t="s">
        <v>58</v>
      </c>
      <c r="C5857" s="334" t="s">
        <v>342</v>
      </c>
      <c r="D5857" s="335" t="s">
        <v>343</v>
      </c>
      <c r="E5857" s="336">
        <v>43744</v>
      </c>
      <c r="F5857" s="336">
        <v>43742</v>
      </c>
      <c r="G5857" s="399"/>
      <c r="H5857" s="334" t="s">
        <v>13396</v>
      </c>
      <c r="I5857" s="426">
        <v>13482510518</v>
      </c>
      <c r="J5857" s="334" t="s">
        <v>13397</v>
      </c>
      <c r="K5857" s="455">
        <v>1000</v>
      </c>
      <c r="L5857" s="338"/>
      <c r="M5857" s="338"/>
      <c r="N5857" s="362">
        <f t="shared" si="193"/>
        <v>0</v>
      </c>
      <c r="O5857" s="365" t="s">
        <v>52</v>
      </c>
      <c r="X5857" s="339"/>
    </row>
    <row r="5858" s="330" customFormat="1" ht="15" customHeight="1" spans="1:24">
      <c r="A5858" s="550" t="s">
        <v>12066</v>
      </c>
      <c r="B5858" s="334" t="s">
        <v>123</v>
      </c>
      <c r="C5858" s="334" t="s">
        <v>115</v>
      </c>
      <c r="D5858" s="335" t="s">
        <v>125</v>
      </c>
      <c r="E5858" s="336">
        <v>43744</v>
      </c>
      <c r="F5858" s="336">
        <v>43740</v>
      </c>
      <c r="G5858" s="399"/>
      <c r="H5858" s="334" t="s">
        <v>13398</v>
      </c>
      <c r="I5858" s="426">
        <v>17717095610</v>
      </c>
      <c r="J5858" s="334" t="s">
        <v>13399</v>
      </c>
      <c r="K5858" s="455">
        <v>1000</v>
      </c>
      <c r="L5858" s="338"/>
      <c r="M5858" s="338"/>
      <c r="N5858" s="362">
        <f t="shared" si="193"/>
        <v>0</v>
      </c>
      <c r="R5858" s="486" t="s">
        <v>52</v>
      </c>
      <c r="X5858" s="339"/>
    </row>
    <row r="5859" s="330" customFormat="1" ht="15" customHeight="1" spans="1:24">
      <c r="A5859" s="550" t="s">
        <v>12868</v>
      </c>
      <c r="B5859" s="334" t="s">
        <v>185</v>
      </c>
      <c r="C5859" s="334" t="s">
        <v>886</v>
      </c>
      <c r="D5859" s="335" t="s">
        <v>187</v>
      </c>
      <c r="E5859" s="336">
        <v>43744</v>
      </c>
      <c r="F5859" s="336">
        <v>43739</v>
      </c>
      <c r="G5859" s="399"/>
      <c r="H5859" s="334" t="s">
        <v>13400</v>
      </c>
      <c r="I5859" s="426">
        <v>18677069002</v>
      </c>
      <c r="J5859" s="334" t="s">
        <v>13401</v>
      </c>
      <c r="K5859" s="455">
        <v>1000</v>
      </c>
      <c r="L5859" s="338"/>
      <c r="M5859" s="338"/>
      <c r="N5859" s="362">
        <f t="shared" si="193"/>
        <v>0</v>
      </c>
      <c r="O5859" s="467" t="s">
        <v>52</v>
      </c>
      <c r="X5859" s="339"/>
    </row>
    <row r="5860" s="330" customFormat="1" ht="15" customHeight="1" spans="1:24">
      <c r="A5860" s="348"/>
      <c r="B5860" s="334" t="s">
        <v>185</v>
      </c>
      <c r="C5860" s="334" t="s">
        <v>886</v>
      </c>
      <c r="D5860" s="335" t="s">
        <v>187</v>
      </c>
      <c r="E5860" s="336">
        <v>43799</v>
      </c>
      <c r="F5860" s="336">
        <v>43741</v>
      </c>
      <c r="G5860" s="336">
        <v>43799</v>
      </c>
      <c r="H5860" s="334" t="s">
        <v>13402</v>
      </c>
      <c r="I5860" s="426">
        <v>15821849451</v>
      </c>
      <c r="J5860" s="334" t="s">
        <v>13403</v>
      </c>
      <c r="K5860" s="455">
        <v>1000</v>
      </c>
      <c r="L5860" s="334">
        <v>19496</v>
      </c>
      <c r="M5860" s="338"/>
      <c r="N5860" s="362">
        <f t="shared" si="193"/>
        <v>19496</v>
      </c>
      <c r="X5860" s="339"/>
    </row>
    <row r="5861" s="330" customFormat="1" ht="15" customHeight="1" spans="1:24">
      <c r="A5861" s="348"/>
      <c r="B5861" s="334" t="s">
        <v>185</v>
      </c>
      <c r="C5861" s="334" t="s">
        <v>886</v>
      </c>
      <c r="D5861" s="335" t="s">
        <v>187</v>
      </c>
      <c r="E5861" s="336">
        <v>43744</v>
      </c>
      <c r="F5861" s="336">
        <v>43740</v>
      </c>
      <c r="G5861" s="399"/>
      <c r="H5861" s="334" t="s">
        <v>13404</v>
      </c>
      <c r="I5861" s="426">
        <v>18601618515</v>
      </c>
      <c r="J5861" s="334" t="s">
        <v>13405</v>
      </c>
      <c r="K5861" s="455">
        <v>1000</v>
      </c>
      <c r="L5861" s="338"/>
      <c r="M5861" s="338"/>
      <c r="N5861" s="362">
        <f t="shared" si="193"/>
        <v>0</v>
      </c>
      <c r="O5861" s="467" t="s">
        <v>52</v>
      </c>
      <c r="X5861" s="339"/>
    </row>
    <row r="5862" s="330" customFormat="1" ht="15" customHeight="1" spans="1:24">
      <c r="A5862" s="348"/>
      <c r="B5862" s="334" t="s">
        <v>66</v>
      </c>
      <c r="C5862" s="334" t="s">
        <v>505</v>
      </c>
      <c r="D5862" s="334" t="s">
        <v>2302</v>
      </c>
      <c r="E5862" s="336">
        <v>43745</v>
      </c>
      <c r="F5862" s="336">
        <v>43743</v>
      </c>
      <c r="G5862" s="336">
        <v>43744</v>
      </c>
      <c r="H5862" s="334" t="s">
        <v>13406</v>
      </c>
      <c r="I5862" s="426">
        <v>13564727985</v>
      </c>
      <c r="J5862" s="334" t="s">
        <v>13407</v>
      </c>
      <c r="K5862" s="455">
        <v>10000</v>
      </c>
      <c r="L5862" s="334">
        <v>17087</v>
      </c>
      <c r="M5862" s="338"/>
      <c r="N5862" s="362">
        <f t="shared" si="193"/>
        <v>17087</v>
      </c>
      <c r="X5862" s="339"/>
    </row>
    <row r="5863" s="330" customFormat="1" ht="15" customHeight="1" spans="1:24">
      <c r="A5863" s="550" t="s">
        <v>12534</v>
      </c>
      <c r="B5863" s="334" t="s">
        <v>58</v>
      </c>
      <c r="C5863" s="334" t="s">
        <v>59</v>
      </c>
      <c r="D5863" s="335" t="s">
        <v>271</v>
      </c>
      <c r="E5863" s="336">
        <v>43769</v>
      </c>
      <c r="F5863" s="336">
        <v>43743</v>
      </c>
      <c r="G5863" s="336">
        <v>43769</v>
      </c>
      <c r="H5863" s="334" t="s">
        <v>13408</v>
      </c>
      <c r="I5863" s="426">
        <v>13901914902</v>
      </c>
      <c r="J5863" s="334" t="s">
        <v>13409</v>
      </c>
      <c r="K5863" s="455">
        <v>15000</v>
      </c>
      <c r="L5863" s="334">
        <v>14957</v>
      </c>
      <c r="M5863" s="338"/>
      <c r="N5863" s="362">
        <f t="shared" si="193"/>
        <v>14957</v>
      </c>
      <c r="X5863" s="339"/>
    </row>
    <row r="5864" s="330" customFormat="1" ht="15" customHeight="1" spans="1:24">
      <c r="A5864" s="550" t="s">
        <v>13410</v>
      </c>
      <c r="B5864" s="334" t="s">
        <v>73</v>
      </c>
      <c r="C5864" s="334" t="s">
        <v>178</v>
      </c>
      <c r="D5864" s="334" t="s">
        <v>44</v>
      </c>
      <c r="E5864" s="336">
        <v>43781</v>
      </c>
      <c r="F5864" s="336">
        <v>43743</v>
      </c>
      <c r="G5864" s="336">
        <v>43779</v>
      </c>
      <c r="H5864" s="334" t="s">
        <v>13411</v>
      </c>
      <c r="I5864" s="426">
        <v>13818020418</v>
      </c>
      <c r="J5864" s="334" t="s">
        <v>13412</v>
      </c>
      <c r="K5864" s="455">
        <v>1000</v>
      </c>
      <c r="L5864" s="334">
        <v>9244</v>
      </c>
      <c r="M5864" s="338"/>
      <c r="N5864" s="362">
        <f t="shared" si="193"/>
        <v>9244</v>
      </c>
      <c r="X5864" s="339"/>
    </row>
    <row r="5865" s="330" customFormat="1" ht="15" customHeight="1" spans="1:24">
      <c r="A5865" s="348" t="s">
        <v>13413</v>
      </c>
      <c r="B5865" s="334" t="s">
        <v>73</v>
      </c>
      <c r="C5865" s="334" t="s">
        <v>74</v>
      </c>
      <c r="D5865" s="334" t="s">
        <v>44</v>
      </c>
      <c r="E5865" s="336">
        <v>43807</v>
      </c>
      <c r="F5865" s="336">
        <v>43743</v>
      </c>
      <c r="G5865" s="336">
        <v>43807</v>
      </c>
      <c r="H5865" s="334" t="s">
        <v>13414</v>
      </c>
      <c r="I5865" s="426">
        <v>13918984837</v>
      </c>
      <c r="J5865" s="334" t="s">
        <v>13415</v>
      </c>
      <c r="K5865" s="455">
        <v>1000</v>
      </c>
      <c r="L5865" s="334">
        <v>9474</v>
      </c>
      <c r="M5865" s="338">
        <v>759</v>
      </c>
      <c r="N5865" s="362">
        <f t="shared" si="193"/>
        <v>10233</v>
      </c>
      <c r="R5865" s="366" t="s">
        <v>52</v>
      </c>
      <c r="X5865" s="339"/>
    </row>
    <row r="5866" s="330" customFormat="1" ht="15" customHeight="1" spans="1:24">
      <c r="A5866" s="550" t="s">
        <v>13416</v>
      </c>
      <c r="B5866" s="334" t="s">
        <v>73</v>
      </c>
      <c r="C5866" s="334" t="s">
        <v>74</v>
      </c>
      <c r="D5866" s="334" t="s">
        <v>44</v>
      </c>
      <c r="E5866" s="336">
        <v>43798</v>
      </c>
      <c r="F5866" s="336">
        <v>43743</v>
      </c>
      <c r="G5866" s="336">
        <v>43798</v>
      </c>
      <c r="H5866" s="334" t="s">
        <v>13417</v>
      </c>
      <c r="I5866" s="426">
        <v>13916087220</v>
      </c>
      <c r="J5866" s="334" t="s">
        <v>13418</v>
      </c>
      <c r="K5866" s="455">
        <v>1000</v>
      </c>
      <c r="L5866" s="334">
        <v>12500</v>
      </c>
      <c r="M5866" s="338"/>
      <c r="N5866" s="362">
        <f t="shared" si="193"/>
        <v>12500</v>
      </c>
      <c r="R5866" s="366" t="s">
        <v>52</v>
      </c>
      <c r="X5866" s="339"/>
    </row>
    <row r="5867" s="330" customFormat="1" ht="15" customHeight="1" spans="1:24">
      <c r="A5867" s="550" t="s">
        <v>13419</v>
      </c>
      <c r="B5867" s="334" t="s">
        <v>73</v>
      </c>
      <c r="C5867" s="334" t="s">
        <v>74</v>
      </c>
      <c r="D5867" s="334" t="s">
        <v>717</v>
      </c>
      <c r="E5867" s="336">
        <v>43791</v>
      </c>
      <c r="F5867" s="336">
        <v>43743</v>
      </c>
      <c r="G5867" s="336">
        <v>43791</v>
      </c>
      <c r="H5867" s="334" t="s">
        <v>13420</v>
      </c>
      <c r="I5867" s="426">
        <v>13818290362</v>
      </c>
      <c r="J5867" s="334" t="s">
        <v>13421</v>
      </c>
      <c r="K5867" s="455">
        <v>1000</v>
      </c>
      <c r="L5867" s="334">
        <v>14030</v>
      </c>
      <c r="M5867" s="338"/>
      <c r="N5867" s="362">
        <f t="shared" si="193"/>
        <v>14030</v>
      </c>
      <c r="R5867" s="366" t="s">
        <v>52</v>
      </c>
      <c r="X5867" s="339"/>
    </row>
    <row r="5868" s="330" customFormat="1" ht="15" customHeight="1" spans="1:24">
      <c r="A5868" s="550" t="s">
        <v>13422</v>
      </c>
      <c r="B5868" s="334" t="s">
        <v>73</v>
      </c>
      <c r="C5868" s="334" t="s">
        <v>178</v>
      </c>
      <c r="D5868" s="335" t="s">
        <v>75</v>
      </c>
      <c r="E5868" s="336">
        <v>43744</v>
      </c>
      <c r="F5868" s="336">
        <v>43743</v>
      </c>
      <c r="G5868" s="399"/>
      <c r="H5868" s="334" t="s">
        <v>13423</v>
      </c>
      <c r="I5868" s="426">
        <v>13816055789</v>
      </c>
      <c r="J5868" s="334" t="s">
        <v>13424</v>
      </c>
      <c r="K5868" s="455">
        <v>1000</v>
      </c>
      <c r="L5868" s="338"/>
      <c r="M5868" s="338"/>
      <c r="N5868" s="362">
        <f t="shared" si="193"/>
        <v>0</v>
      </c>
      <c r="P5868" s="366" t="s">
        <v>52</v>
      </c>
      <c r="X5868" s="339"/>
    </row>
    <row r="5869" s="330" customFormat="1" ht="15" customHeight="1" spans="1:24">
      <c r="A5869" s="550" t="s">
        <v>13425</v>
      </c>
      <c r="B5869" s="334" t="s">
        <v>73</v>
      </c>
      <c r="C5869" s="334" t="s">
        <v>178</v>
      </c>
      <c r="D5869" s="335" t="s">
        <v>75</v>
      </c>
      <c r="E5869" s="336">
        <v>43745</v>
      </c>
      <c r="F5869" s="336">
        <v>43744</v>
      </c>
      <c r="G5869" s="399" t="s">
        <v>69</v>
      </c>
      <c r="H5869" s="334" t="s">
        <v>13426</v>
      </c>
      <c r="I5869" s="426">
        <v>13701807745</v>
      </c>
      <c r="J5869" s="334" t="s">
        <v>13427</v>
      </c>
      <c r="K5869" s="455">
        <v>1000</v>
      </c>
      <c r="L5869" s="338"/>
      <c r="M5869" s="338"/>
      <c r="N5869" s="362">
        <f t="shared" si="193"/>
        <v>0</v>
      </c>
      <c r="P5869" s="366" t="s">
        <v>52</v>
      </c>
      <c r="X5869" s="339"/>
    </row>
    <row r="5870" s="330" customFormat="1" ht="15" customHeight="1" spans="1:24">
      <c r="A5870" s="550" t="s">
        <v>13428</v>
      </c>
      <c r="B5870" s="334" t="s">
        <v>137</v>
      </c>
      <c r="C5870" s="334" t="s">
        <v>480</v>
      </c>
      <c r="D5870" s="335" t="s">
        <v>139</v>
      </c>
      <c r="E5870" s="336">
        <v>43770</v>
      </c>
      <c r="F5870" s="336">
        <v>43743</v>
      </c>
      <c r="G5870" s="336">
        <v>43770</v>
      </c>
      <c r="H5870" s="334" t="s">
        <v>13429</v>
      </c>
      <c r="I5870" s="426">
        <v>13601634537</v>
      </c>
      <c r="J5870" s="334" t="s">
        <v>13430</v>
      </c>
      <c r="K5870" s="455">
        <v>1000</v>
      </c>
      <c r="L5870" s="426">
        <v>11314</v>
      </c>
      <c r="M5870" s="338"/>
      <c r="N5870" s="362">
        <f t="shared" si="193"/>
        <v>11314</v>
      </c>
      <c r="X5870" s="339"/>
    </row>
    <row r="5871" s="330" customFormat="1" ht="15" customHeight="1" spans="1:24">
      <c r="A5871" s="550" t="s">
        <v>13431</v>
      </c>
      <c r="B5871" s="334" t="s">
        <v>42</v>
      </c>
      <c r="C5871" s="334" t="s">
        <v>12765</v>
      </c>
      <c r="D5871" s="334" t="s">
        <v>207</v>
      </c>
      <c r="E5871" s="336">
        <v>43772</v>
      </c>
      <c r="F5871" s="336">
        <v>43744</v>
      </c>
      <c r="G5871" s="336">
        <v>43771</v>
      </c>
      <c r="H5871" s="334" t="s">
        <v>13432</v>
      </c>
      <c r="I5871" s="426">
        <v>15921290558</v>
      </c>
      <c r="J5871" s="334" t="s">
        <v>13433</v>
      </c>
      <c r="K5871" s="455">
        <v>11000</v>
      </c>
      <c r="L5871" s="334">
        <v>11394</v>
      </c>
      <c r="M5871" s="338"/>
      <c r="N5871" s="362">
        <f t="shared" si="193"/>
        <v>11394</v>
      </c>
      <c r="X5871" s="339"/>
    </row>
    <row r="5872" s="330" customFormat="1" ht="15" customHeight="1" spans="1:24">
      <c r="A5872" s="348"/>
      <c r="B5872" s="334" t="s">
        <v>315</v>
      </c>
      <c r="C5872" s="334" t="s">
        <v>275</v>
      </c>
      <c r="D5872" s="335" t="s">
        <v>162</v>
      </c>
      <c r="E5872" s="336">
        <v>43745</v>
      </c>
      <c r="F5872" s="336">
        <v>43743</v>
      </c>
      <c r="G5872" s="336">
        <v>43745</v>
      </c>
      <c r="H5872" s="334" t="s">
        <v>13434</v>
      </c>
      <c r="I5872" s="426">
        <v>13611797604</v>
      </c>
      <c r="J5872" s="334" t="s">
        <v>13435</v>
      </c>
      <c r="K5872" s="455">
        <v>18000</v>
      </c>
      <c r="L5872" s="334">
        <v>18000</v>
      </c>
      <c r="M5872" s="338"/>
      <c r="N5872" s="362">
        <f t="shared" si="193"/>
        <v>18000</v>
      </c>
      <c r="X5872" s="339"/>
    </row>
    <row r="5873" s="330" customFormat="1" ht="15" customHeight="1" spans="1:24">
      <c r="A5873" s="348"/>
      <c r="B5873" s="334" t="s">
        <v>35</v>
      </c>
      <c r="C5873" s="334" t="s">
        <v>36</v>
      </c>
      <c r="D5873" s="335" t="s">
        <v>37</v>
      </c>
      <c r="E5873" s="336">
        <v>43789</v>
      </c>
      <c r="F5873" s="336">
        <v>43743</v>
      </c>
      <c r="G5873" s="336">
        <v>43789</v>
      </c>
      <c r="H5873" s="334" t="s">
        <v>13436</v>
      </c>
      <c r="I5873" s="426">
        <v>13061657573</v>
      </c>
      <c r="J5873" s="334" t="s">
        <v>13437</v>
      </c>
      <c r="K5873" s="455">
        <v>12000</v>
      </c>
      <c r="L5873" s="334">
        <v>17255</v>
      </c>
      <c r="M5873" s="338"/>
      <c r="N5873" s="362">
        <f t="shared" si="193"/>
        <v>17255</v>
      </c>
      <c r="S5873" s="356" t="s">
        <v>52</v>
      </c>
      <c r="X5873" s="339"/>
    </row>
    <row r="5874" s="330" customFormat="1" ht="15" customHeight="1" spans="1:24">
      <c r="A5874" s="348"/>
      <c r="B5874" s="334" t="s">
        <v>66</v>
      </c>
      <c r="C5874" s="334" t="s">
        <v>3954</v>
      </c>
      <c r="D5874" s="334" t="s">
        <v>2302</v>
      </c>
      <c r="E5874" s="336">
        <v>43746</v>
      </c>
      <c r="F5874" s="336">
        <v>43744</v>
      </c>
      <c r="G5874" s="336">
        <v>43745</v>
      </c>
      <c r="H5874" s="334" t="s">
        <v>13438</v>
      </c>
      <c r="I5874" s="426">
        <v>13611951466</v>
      </c>
      <c r="J5874" s="334" t="s">
        <v>13439</v>
      </c>
      <c r="K5874" s="455">
        <v>10000</v>
      </c>
      <c r="L5874" s="334">
        <v>27092</v>
      </c>
      <c r="M5874" s="338"/>
      <c r="N5874" s="362">
        <f t="shared" si="193"/>
        <v>27092</v>
      </c>
      <c r="X5874" s="339"/>
    </row>
    <row r="5875" s="330" customFormat="1" ht="15" customHeight="1" spans="1:24">
      <c r="A5875" s="348">
        <v>206756</v>
      </c>
      <c r="B5875" s="334" t="s">
        <v>123</v>
      </c>
      <c r="C5875" s="334" t="s">
        <v>32</v>
      </c>
      <c r="D5875" s="335" t="s">
        <v>125</v>
      </c>
      <c r="E5875" s="336">
        <v>43787</v>
      </c>
      <c r="F5875" s="336">
        <v>43743</v>
      </c>
      <c r="G5875" s="336">
        <v>43787</v>
      </c>
      <c r="H5875" s="334" t="s">
        <v>13440</v>
      </c>
      <c r="I5875" s="426">
        <v>18017118887</v>
      </c>
      <c r="J5875" s="334" t="s">
        <v>13441</v>
      </c>
      <c r="K5875" s="455">
        <v>1000</v>
      </c>
      <c r="L5875" s="334">
        <v>4650</v>
      </c>
      <c r="M5875" s="338"/>
      <c r="N5875" s="362">
        <f t="shared" si="193"/>
        <v>4650</v>
      </c>
      <c r="X5875" s="339"/>
    </row>
    <row r="5876" s="330" customFormat="1" ht="15" customHeight="1" spans="1:24">
      <c r="A5876" s="550" t="s">
        <v>13442</v>
      </c>
      <c r="B5876" s="334" t="s">
        <v>31</v>
      </c>
      <c r="C5876" s="334" t="s">
        <v>2716</v>
      </c>
      <c r="D5876" s="334" t="s">
        <v>221</v>
      </c>
      <c r="E5876" s="336">
        <v>43763</v>
      </c>
      <c r="F5876" s="336">
        <v>43744</v>
      </c>
      <c r="G5876" s="336">
        <v>43762</v>
      </c>
      <c r="H5876" s="334" t="s">
        <v>13443</v>
      </c>
      <c r="I5876" s="426">
        <v>15000167508</v>
      </c>
      <c r="J5876" s="334" t="s">
        <v>13444</v>
      </c>
      <c r="K5876" s="455">
        <v>1000</v>
      </c>
      <c r="L5876" s="334">
        <v>9879</v>
      </c>
      <c r="M5876" s="338"/>
      <c r="N5876" s="362">
        <f t="shared" si="193"/>
        <v>9879</v>
      </c>
      <c r="X5876" s="339"/>
    </row>
    <row r="5877" s="330" customFormat="1" ht="15" customHeight="1" spans="1:24">
      <c r="A5877" s="550" t="s">
        <v>13445</v>
      </c>
      <c r="B5877" s="334" t="s">
        <v>205</v>
      </c>
      <c r="C5877" s="334" t="s">
        <v>1467</v>
      </c>
      <c r="D5877" s="334" t="s">
        <v>407</v>
      </c>
      <c r="E5877" s="336">
        <v>43745</v>
      </c>
      <c r="F5877" s="336">
        <v>43744</v>
      </c>
      <c r="G5877" s="336">
        <v>43745</v>
      </c>
      <c r="H5877" s="334" t="s">
        <v>13446</v>
      </c>
      <c r="I5877" s="426">
        <v>13914177212</v>
      </c>
      <c r="J5877" s="334" t="s">
        <v>13447</v>
      </c>
      <c r="K5877" s="455">
        <v>21383</v>
      </c>
      <c r="L5877" s="334">
        <v>21383</v>
      </c>
      <c r="M5877" s="338"/>
      <c r="N5877" s="362">
        <f t="shared" si="193"/>
        <v>21383</v>
      </c>
      <c r="X5877" s="339"/>
    </row>
    <row r="5878" s="330" customFormat="1" ht="15" customHeight="1" spans="1:24">
      <c r="A5878" s="550" t="s">
        <v>13448</v>
      </c>
      <c r="B5878" s="334" t="s">
        <v>205</v>
      </c>
      <c r="C5878" s="334" t="s">
        <v>1467</v>
      </c>
      <c r="D5878" s="335" t="s">
        <v>1170</v>
      </c>
      <c r="E5878" s="336">
        <v>43745</v>
      </c>
      <c r="F5878" s="336">
        <v>43744</v>
      </c>
      <c r="G5878" s="336">
        <v>43745</v>
      </c>
      <c r="H5878" s="334" t="s">
        <v>13449</v>
      </c>
      <c r="I5878" s="426">
        <v>13817576544</v>
      </c>
      <c r="J5878" s="334" t="s">
        <v>13450</v>
      </c>
      <c r="K5878" s="455">
        <v>13000</v>
      </c>
      <c r="L5878" s="334">
        <v>13000</v>
      </c>
      <c r="M5878" s="338"/>
      <c r="N5878" s="362">
        <f t="shared" si="193"/>
        <v>13000</v>
      </c>
      <c r="X5878" s="339"/>
    </row>
    <row r="5879" s="330" customFormat="1" ht="15" customHeight="1" spans="1:24">
      <c r="A5879" s="550" t="s">
        <v>10339</v>
      </c>
      <c r="B5879" s="334" t="s">
        <v>31</v>
      </c>
      <c r="C5879" s="334" t="s">
        <v>251</v>
      </c>
      <c r="D5879" s="335" t="s">
        <v>33</v>
      </c>
      <c r="E5879" s="336">
        <v>43745</v>
      </c>
      <c r="F5879" s="336">
        <v>43743</v>
      </c>
      <c r="G5879" s="336">
        <v>43745</v>
      </c>
      <c r="H5879" s="334" t="s">
        <v>13451</v>
      </c>
      <c r="I5879" s="426">
        <v>18017121757</v>
      </c>
      <c r="J5879" s="334" t="s">
        <v>13452</v>
      </c>
      <c r="K5879" s="455">
        <v>10000</v>
      </c>
      <c r="L5879" s="334">
        <v>10000</v>
      </c>
      <c r="M5879" s="338"/>
      <c r="N5879" s="362">
        <f t="shared" si="193"/>
        <v>10000</v>
      </c>
      <c r="X5879" s="339"/>
    </row>
    <row r="5880" s="330" customFormat="1" ht="15" customHeight="1" spans="1:24">
      <c r="A5880" s="550" t="s">
        <v>13453</v>
      </c>
      <c r="B5880" s="334" t="s">
        <v>31</v>
      </c>
      <c r="C5880" s="334" t="s">
        <v>251</v>
      </c>
      <c r="D5880" s="334" t="s">
        <v>221</v>
      </c>
      <c r="E5880" s="336">
        <v>43745</v>
      </c>
      <c r="F5880" s="336">
        <v>43740</v>
      </c>
      <c r="G5880" s="336">
        <v>43745</v>
      </c>
      <c r="H5880" s="334" t="s">
        <v>13454</v>
      </c>
      <c r="I5880" s="426">
        <v>19901650464</v>
      </c>
      <c r="J5880" s="334" t="s">
        <v>13455</v>
      </c>
      <c r="K5880" s="455">
        <v>20000</v>
      </c>
      <c r="L5880" s="334">
        <v>20000</v>
      </c>
      <c r="M5880" s="338"/>
      <c r="N5880" s="362">
        <f t="shared" si="193"/>
        <v>20000</v>
      </c>
      <c r="X5880" s="339"/>
    </row>
    <row r="5881" s="330" customFormat="1" ht="15" customHeight="1" spans="1:24">
      <c r="A5881" s="550" t="s">
        <v>13456</v>
      </c>
      <c r="B5881" s="334" t="s">
        <v>31</v>
      </c>
      <c r="C5881" s="334" t="s">
        <v>251</v>
      </c>
      <c r="D5881" s="334" t="s">
        <v>954</v>
      </c>
      <c r="E5881" s="336">
        <v>43784</v>
      </c>
      <c r="F5881" s="336">
        <v>43739</v>
      </c>
      <c r="G5881" s="336">
        <v>43783</v>
      </c>
      <c r="H5881" s="334" t="s">
        <v>13457</v>
      </c>
      <c r="I5881" s="426">
        <v>13801954497</v>
      </c>
      <c r="J5881" s="334" t="s">
        <v>13458</v>
      </c>
      <c r="K5881" s="455">
        <v>1998</v>
      </c>
      <c r="L5881" s="334">
        <v>9100</v>
      </c>
      <c r="M5881" s="338"/>
      <c r="N5881" s="362">
        <f t="shared" si="193"/>
        <v>9100</v>
      </c>
      <c r="X5881" s="339"/>
    </row>
    <row r="5882" s="330" customFormat="1" ht="15" customHeight="1" spans="1:24">
      <c r="A5882" s="550" t="s">
        <v>13459</v>
      </c>
      <c r="B5882" s="334" t="s">
        <v>31</v>
      </c>
      <c r="C5882" s="334" t="s">
        <v>251</v>
      </c>
      <c r="D5882" s="335" t="s">
        <v>33</v>
      </c>
      <c r="E5882" s="336">
        <v>43780</v>
      </c>
      <c r="F5882" s="336">
        <v>43739</v>
      </c>
      <c r="G5882" s="336">
        <v>43778</v>
      </c>
      <c r="H5882" s="334" t="s">
        <v>13460</v>
      </c>
      <c r="I5882" s="426">
        <v>17317310537</v>
      </c>
      <c r="J5882" s="334" t="s">
        <v>13461</v>
      </c>
      <c r="K5882" s="455">
        <v>3000</v>
      </c>
      <c r="L5882" s="334">
        <v>12285</v>
      </c>
      <c r="M5882" s="338"/>
      <c r="N5882" s="362">
        <f t="shared" si="193"/>
        <v>12285</v>
      </c>
      <c r="X5882" s="339"/>
    </row>
    <row r="5883" s="330" customFormat="1" ht="15" customHeight="1" spans="1:24">
      <c r="A5883" s="550" t="s">
        <v>13462</v>
      </c>
      <c r="B5883" s="334" t="s">
        <v>66</v>
      </c>
      <c r="C5883" s="334" t="s">
        <v>119</v>
      </c>
      <c r="D5883" s="334" t="s">
        <v>2302</v>
      </c>
      <c r="E5883" s="336">
        <v>43745</v>
      </c>
      <c r="F5883" s="336">
        <v>43743</v>
      </c>
      <c r="G5883" s="336">
        <v>43744</v>
      </c>
      <c r="H5883" s="334" t="s">
        <v>13463</v>
      </c>
      <c r="I5883" s="426">
        <v>13764315807</v>
      </c>
      <c r="J5883" s="334" t="s">
        <v>13464</v>
      </c>
      <c r="K5883" s="455">
        <v>10000</v>
      </c>
      <c r="L5883" s="334">
        <v>24136</v>
      </c>
      <c r="M5883" s="338"/>
      <c r="N5883" s="362">
        <f t="shared" si="193"/>
        <v>24136</v>
      </c>
      <c r="X5883" s="339"/>
    </row>
    <row r="5884" s="330" customFormat="1" ht="15" customHeight="1" spans="1:24">
      <c r="A5884" s="348"/>
      <c r="B5884" s="334" t="s">
        <v>35</v>
      </c>
      <c r="C5884" s="334" t="s">
        <v>392</v>
      </c>
      <c r="D5884" s="334" t="s">
        <v>44</v>
      </c>
      <c r="E5884" s="336">
        <v>43783</v>
      </c>
      <c r="F5884" s="336">
        <v>43743</v>
      </c>
      <c r="G5884" s="336">
        <v>43771</v>
      </c>
      <c r="H5884" s="334" t="s">
        <v>13465</v>
      </c>
      <c r="I5884" s="426">
        <v>13671527691</v>
      </c>
      <c r="J5884" s="334" t="s">
        <v>13466</v>
      </c>
      <c r="K5884" s="455">
        <v>18000</v>
      </c>
      <c r="L5884" s="334">
        <v>18888</v>
      </c>
      <c r="M5884" s="338"/>
      <c r="N5884" s="362">
        <f t="shared" si="193"/>
        <v>18888</v>
      </c>
      <c r="X5884" s="339"/>
    </row>
    <row r="5885" s="330" customFormat="1" ht="15" customHeight="1" spans="1:24">
      <c r="A5885" s="348"/>
      <c r="B5885" s="334" t="s">
        <v>137</v>
      </c>
      <c r="C5885" s="334" t="s">
        <v>406</v>
      </c>
      <c r="D5885" s="334" t="s">
        <v>427</v>
      </c>
      <c r="E5885" s="336">
        <v>43745</v>
      </c>
      <c r="F5885" s="336">
        <v>43742</v>
      </c>
      <c r="G5885" s="336">
        <v>43745</v>
      </c>
      <c r="H5885" s="334" t="s">
        <v>13467</v>
      </c>
      <c r="I5885" s="426">
        <v>13817980468</v>
      </c>
      <c r="J5885" s="334" t="s">
        <v>13468</v>
      </c>
      <c r="K5885" s="455">
        <v>24300</v>
      </c>
      <c r="L5885" s="334">
        <v>24300</v>
      </c>
      <c r="M5885" s="338"/>
      <c r="N5885" s="362">
        <f t="shared" si="193"/>
        <v>24300</v>
      </c>
      <c r="X5885" s="339"/>
    </row>
    <row r="5886" s="330" customFormat="1" ht="15" customHeight="1" spans="1:24">
      <c r="A5886" s="550" t="s">
        <v>3189</v>
      </c>
      <c r="B5886" s="334" t="s">
        <v>137</v>
      </c>
      <c r="C5886" s="334" t="s">
        <v>411</v>
      </c>
      <c r="D5886" s="335" t="s">
        <v>427</v>
      </c>
      <c r="E5886" s="336">
        <v>43794</v>
      </c>
      <c r="F5886" s="336">
        <v>43744</v>
      </c>
      <c r="G5886" s="336">
        <v>43794</v>
      </c>
      <c r="H5886" s="334" t="s">
        <v>13469</v>
      </c>
      <c r="I5886" s="426">
        <v>13801966848</v>
      </c>
      <c r="J5886" s="334" t="s">
        <v>13470</v>
      </c>
      <c r="K5886" s="455">
        <v>20000</v>
      </c>
      <c r="L5886" s="334">
        <v>58689</v>
      </c>
      <c r="M5886" s="338"/>
      <c r="N5886" s="362">
        <f t="shared" si="193"/>
        <v>58689</v>
      </c>
      <c r="S5886" s="330">
        <v>1</v>
      </c>
      <c r="X5886" s="339"/>
    </row>
    <row r="5887" s="330" customFormat="1" ht="15" customHeight="1" spans="1:24">
      <c r="A5887" s="550" t="s">
        <v>13471</v>
      </c>
      <c r="B5887" s="334" t="s">
        <v>726</v>
      </c>
      <c r="C5887" s="334" t="s">
        <v>727</v>
      </c>
      <c r="D5887" s="334" t="s">
        <v>271</v>
      </c>
      <c r="E5887" s="336">
        <v>43759</v>
      </c>
      <c r="F5887" s="336">
        <v>43739</v>
      </c>
      <c r="G5887" s="336">
        <v>43757</v>
      </c>
      <c r="H5887" s="334" t="s">
        <v>13472</v>
      </c>
      <c r="I5887" s="426">
        <v>13795331559</v>
      </c>
      <c r="J5887" s="334" t="s">
        <v>13473</v>
      </c>
      <c r="K5887" s="455">
        <v>16888</v>
      </c>
      <c r="L5887" s="334">
        <v>29168</v>
      </c>
      <c r="M5887" s="338"/>
      <c r="N5887" s="362">
        <f t="shared" ref="N5887:N5929" si="194">L5887+M5887</f>
        <v>29168</v>
      </c>
      <c r="X5887" s="339"/>
    </row>
    <row r="5888" s="330" customFormat="1" ht="15" customHeight="1" spans="1:24">
      <c r="A5888" s="550" t="s">
        <v>13474</v>
      </c>
      <c r="B5888" s="334" t="s">
        <v>66</v>
      </c>
      <c r="C5888" s="334" t="s">
        <v>1749</v>
      </c>
      <c r="D5888" s="334" t="s">
        <v>68</v>
      </c>
      <c r="E5888" s="336">
        <v>43744</v>
      </c>
      <c r="F5888" s="336">
        <v>43743</v>
      </c>
      <c r="G5888" s="336">
        <v>43743</v>
      </c>
      <c r="H5888" s="334" t="s">
        <v>13475</v>
      </c>
      <c r="I5888" s="426">
        <v>13918367457</v>
      </c>
      <c r="J5888" s="334" t="s">
        <v>13476</v>
      </c>
      <c r="K5888" s="455">
        <v>30000</v>
      </c>
      <c r="L5888" s="334">
        <v>30000</v>
      </c>
      <c r="M5888" s="338"/>
      <c r="N5888" s="362">
        <f t="shared" si="194"/>
        <v>30000</v>
      </c>
      <c r="X5888" s="339"/>
    </row>
    <row r="5889" s="330" customFormat="1" customHeight="1" spans="1:24">
      <c r="A5889" s="550" t="s">
        <v>12415</v>
      </c>
      <c r="B5889" s="334" t="s">
        <v>236</v>
      </c>
      <c r="C5889" s="334" t="s">
        <v>703</v>
      </c>
      <c r="D5889" s="335" t="s">
        <v>237</v>
      </c>
      <c r="E5889" s="336">
        <v>43744</v>
      </c>
      <c r="F5889" s="336">
        <v>43742</v>
      </c>
      <c r="G5889" s="399"/>
      <c r="H5889" s="334" t="s">
        <v>13477</v>
      </c>
      <c r="I5889" s="444">
        <v>18818029706</v>
      </c>
      <c r="J5889" s="348" t="s">
        <v>13478</v>
      </c>
      <c r="K5889" s="455">
        <v>3000</v>
      </c>
      <c r="L5889" s="338"/>
      <c r="M5889" s="338"/>
      <c r="N5889" s="362">
        <f t="shared" si="194"/>
        <v>0</v>
      </c>
      <c r="O5889" s="333" t="s">
        <v>4314</v>
      </c>
      <c r="X5889" s="339"/>
    </row>
    <row r="5890" s="330" customFormat="1" ht="15" customHeight="1" spans="1:24">
      <c r="A5890" s="550" t="s">
        <v>13479</v>
      </c>
      <c r="B5890" s="334" t="s">
        <v>137</v>
      </c>
      <c r="C5890" s="334" t="s">
        <v>406</v>
      </c>
      <c r="D5890" s="334" t="s">
        <v>2381</v>
      </c>
      <c r="E5890" s="336">
        <v>43745</v>
      </c>
      <c r="F5890" s="336">
        <v>43743</v>
      </c>
      <c r="G5890" s="336">
        <v>43745</v>
      </c>
      <c r="H5890" s="334" t="s">
        <v>13480</v>
      </c>
      <c r="I5890" s="558" t="s">
        <v>13481</v>
      </c>
      <c r="J5890" s="334" t="s">
        <v>13482</v>
      </c>
      <c r="K5890" s="455">
        <v>1000</v>
      </c>
      <c r="L5890" s="334">
        <v>4810</v>
      </c>
      <c r="M5890" s="338"/>
      <c r="N5890" s="362">
        <f t="shared" si="194"/>
        <v>4810</v>
      </c>
      <c r="X5890" s="339"/>
    </row>
    <row r="5891" s="330" customFormat="1" ht="15" customHeight="1" spans="1:24">
      <c r="A5891" s="348">
        <v>2023320</v>
      </c>
      <c r="B5891" s="334" t="s">
        <v>243</v>
      </c>
      <c r="C5891" s="334" t="s">
        <v>309</v>
      </c>
      <c r="D5891" s="335" t="s">
        <v>49</v>
      </c>
      <c r="E5891" s="336">
        <v>43744</v>
      </c>
      <c r="F5891" s="336">
        <v>43744</v>
      </c>
      <c r="G5891" s="399"/>
      <c r="H5891" s="334" t="s">
        <v>743</v>
      </c>
      <c r="I5891" s="426">
        <v>18621865215</v>
      </c>
      <c r="J5891" s="334" t="s">
        <v>13483</v>
      </c>
      <c r="K5891" s="455">
        <v>10000</v>
      </c>
      <c r="L5891" s="338"/>
      <c r="M5891" s="338"/>
      <c r="N5891" s="362">
        <f t="shared" si="194"/>
        <v>0</v>
      </c>
      <c r="R5891" s="356"/>
      <c r="W5891" s="356" t="s">
        <v>52</v>
      </c>
      <c r="X5891" s="356"/>
    </row>
    <row r="5892" s="330" customFormat="1" ht="15" customHeight="1" spans="1:24">
      <c r="A5892" s="550" t="s">
        <v>13484</v>
      </c>
      <c r="B5892" s="334" t="s">
        <v>281</v>
      </c>
      <c r="C5892" s="334" t="s">
        <v>491</v>
      </c>
      <c r="D5892" s="334" t="s">
        <v>518</v>
      </c>
      <c r="E5892" s="336">
        <v>43799</v>
      </c>
      <c r="F5892" s="336">
        <v>43744</v>
      </c>
      <c r="G5892" s="336">
        <v>43799</v>
      </c>
      <c r="H5892" s="334" t="s">
        <v>13485</v>
      </c>
      <c r="I5892" s="426">
        <v>1896492385</v>
      </c>
      <c r="J5892" s="334" t="s">
        <v>13486</v>
      </c>
      <c r="K5892" s="455">
        <v>3000</v>
      </c>
      <c r="L5892" s="334">
        <v>32100</v>
      </c>
      <c r="M5892" s="338"/>
      <c r="N5892" s="362">
        <f t="shared" si="194"/>
        <v>32100</v>
      </c>
      <c r="X5892" s="339"/>
    </row>
    <row r="5893" s="330" customFormat="1" ht="15" customHeight="1" spans="1:24">
      <c r="A5893" s="348">
        <v>2023319</v>
      </c>
      <c r="B5893" s="334" t="s">
        <v>243</v>
      </c>
      <c r="C5893" s="334" t="s">
        <v>309</v>
      </c>
      <c r="D5893" s="335" t="s">
        <v>49</v>
      </c>
      <c r="E5893" s="336">
        <v>43789</v>
      </c>
      <c r="F5893" s="336">
        <v>43743</v>
      </c>
      <c r="G5893" s="336">
        <v>43789</v>
      </c>
      <c r="H5893" s="334" t="s">
        <v>13487</v>
      </c>
      <c r="I5893" s="426">
        <v>15900955306</v>
      </c>
      <c r="J5893" s="334" t="s">
        <v>13488</v>
      </c>
      <c r="K5893" s="455">
        <v>5000</v>
      </c>
      <c r="L5893" s="334">
        <v>8369</v>
      </c>
      <c r="M5893" s="338"/>
      <c r="N5893" s="362">
        <f t="shared" si="194"/>
        <v>8369</v>
      </c>
      <c r="X5893" s="339"/>
    </row>
    <row r="5894" s="330" customFormat="1" ht="15" customHeight="1" spans="1:24">
      <c r="A5894" s="348"/>
      <c r="B5894" s="334" t="s">
        <v>94</v>
      </c>
      <c r="C5894" s="334" t="s">
        <v>3196</v>
      </c>
      <c r="D5894" s="335" t="s">
        <v>49</v>
      </c>
      <c r="E5894" s="336">
        <v>43782</v>
      </c>
      <c r="F5894" s="336">
        <v>43743</v>
      </c>
      <c r="G5894" s="336">
        <v>43782</v>
      </c>
      <c r="H5894" s="334" t="s">
        <v>13489</v>
      </c>
      <c r="I5894" s="426">
        <v>15221816546</v>
      </c>
      <c r="J5894" s="334" t="s">
        <v>13490</v>
      </c>
      <c r="K5894" s="455">
        <v>1000</v>
      </c>
      <c r="L5894" s="334">
        <v>16460</v>
      </c>
      <c r="M5894" s="338"/>
      <c r="N5894" s="362">
        <f t="shared" si="194"/>
        <v>16460</v>
      </c>
      <c r="X5894" s="339"/>
    </row>
    <row r="5895" s="330" customFormat="1" ht="15" customHeight="1" spans="1:24">
      <c r="A5895" s="348">
        <v>2066255</v>
      </c>
      <c r="B5895" s="334" t="s">
        <v>94</v>
      </c>
      <c r="C5895" s="334" t="s">
        <v>95</v>
      </c>
      <c r="D5895" s="335" t="s">
        <v>49</v>
      </c>
      <c r="E5895" s="336">
        <v>43744</v>
      </c>
      <c r="F5895" s="336">
        <v>43743</v>
      </c>
      <c r="G5895" s="399"/>
      <c r="H5895" s="334" t="s">
        <v>13491</v>
      </c>
      <c r="I5895" s="426">
        <v>15021598713</v>
      </c>
      <c r="J5895" s="334" t="s">
        <v>13492</v>
      </c>
      <c r="K5895" s="455">
        <v>1000</v>
      </c>
      <c r="L5895" s="338"/>
      <c r="M5895" s="338"/>
      <c r="N5895" s="362">
        <f t="shared" si="194"/>
        <v>0</v>
      </c>
      <c r="O5895" s="467" t="s">
        <v>52</v>
      </c>
      <c r="X5895" s="339"/>
    </row>
    <row r="5896" s="330" customFormat="1" ht="15" customHeight="1" spans="1:24">
      <c r="A5896" s="348">
        <v>2023276</v>
      </c>
      <c r="B5896" s="334" t="s">
        <v>94</v>
      </c>
      <c r="C5896" s="334" t="s">
        <v>95</v>
      </c>
      <c r="D5896" s="335" t="s">
        <v>49</v>
      </c>
      <c r="E5896" s="336">
        <v>43746</v>
      </c>
      <c r="F5896" s="336">
        <v>43743</v>
      </c>
      <c r="G5896" s="336">
        <v>43745</v>
      </c>
      <c r="H5896" s="334" t="s">
        <v>13493</v>
      </c>
      <c r="I5896" s="426">
        <v>13166279011</v>
      </c>
      <c r="J5896" s="334" t="s">
        <v>13494</v>
      </c>
      <c r="K5896" s="455">
        <v>5000</v>
      </c>
      <c r="L5896" s="334">
        <v>7743</v>
      </c>
      <c r="M5896" s="338"/>
      <c r="N5896" s="362">
        <f t="shared" si="194"/>
        <v>7743</v>
      </c>
      <c r="X5896" s="339"/>
    </row>
    <row r="5897" s="330" customFormat="1" ht="15" customHeight="1" spans="1:24">
      <c r="A5897" s="348"/>
      <c r="B5897" s="334" t="s">
        <v>58</v>
      </c>
      <c r="C5897" s="334" t="s">
        <v>794</v>
      </c>
      <c r="D5897" s="335" t="s">
        <v>110</v>
      </c>
      <c r="E5897" s="336">
        <v>43761</v>
      </c>
      <c r="F5897" s="336">
        <v>43742</v>
      </c>
      <c r="G5897" s="336">
        <v>43760</v>
      </c>
      <c r="H5897" s="334" t="s">
        <v>13495</v>
      </c>
      <c r="I5897" s="426">
        <v>13918361910</v>
      </c>
      <c r="J5897" s="334" t="s">
        <v>13496</v>
      </c>
      <c r="K5897" s="455">
        <v>5000</v>
      </c>
      <c r="L5897" s="334">
        <v>8311</v>
      </c>
      <c r="M5897" s="338"/>
      <c r="N5897" s="362">
        <f t="shared" si="194"/>
        <v>8311</v>
      </c>
      <c r="X5897" s="339"/>
    </row>
    <row r="5898" s="330" customFormat="1" ht="15" customHeight="1" spans="1:24">
      <c r="A5898" s="550" t="s">
        <v>1748</v>
      </c>
      <c r="B5898" s="334" t="s">
        <v>87</v>
      </c>
      <c r="C5898" s="334" t="s">
        <v>466</v>
      </c>
      <c r="D5898" s="335" t="s">
        <v>89</v>
      </c>
      <c r="E5898" s="336">
        <v>43744</v>
      </c>
      <c r="F5898" s="336">
        <v>43744</v>
      </c>
      <c r="G5898" s="399"/>
      <c r="H5898" s="334" t="s">
        <v>10012</v>
      </c>
      <c r="I5898" s="426">
        <v>13585843567</v>
      </c>
      <c r="J5898" s="334" t="s">
        <v>13497</v>
      </c>
      <c r="K5898" s="455">
        <v>3000</v>
      </c>
      <c r="L5898" s="338"/>
      <c r="M5898" s="338"/>
      <c r="N5898" s="362">
        <f t="shared" si="194"/>
        <v>0</v>
      </c>
      <c r="O5898" s="411"/>
      <c r="Q5898" s="411" t="s">
        <v>52</v>
      </c>
      <c r="X5898" s="339"/>
    </row>
    <row r="5899" s="330" customFormat="1" ht="15" customHeight="1" spans="1:24">
      <c r="A5899" s="348"/>
      <c r="B5899" s="334" t="s">
        <v>87</v>
      </c>
      <c r="C5899" s="334" t="s">
        <v>1757</v>
      </c>
      <c r="D5899" s="335" t="s">
        <v>89</v>
      </c>
      <c r="E5899" s="336">
        <v>43744</v>
      </c>
      <c r="F5899" s="336">
        <v>43743</v>
      </c>
      <c r="G5899" s="339" t="s">
        <v>1140</v>
      </c>
      <c r="H5899" s="334" t="s">
        <v>13498</v>
      </c>
      <c r="I5899" s="426">
        <v>17602184303</v>
      </c>
      <c r="J5899" s="334" t="s">
        <v>13499</v>
      </c>
      <c r="K5899" s="455">
        <v>3000</v>
      </c>
      <c r="L5899" s="338"/>
      <c r="M5899" s="338"/>
      <c r="N5899" s="362">
        <f t="shared" si="194"/>
        <v>0</v>
      </c>
      <c r="X5899" s="339"/>
    </row>
    <row r="5900" s="330" customFormat="1" ht="15" customHeight="1" spans="1:24">
      <c r="A5900" s="550" t="s">
        <v>3981</v>
      </c>
      <c r="B5900" s="334" t="s">
        <v>87</v>
      </c>
      <c r="C5900" s="334" t="s">
        <v>1757</v>
      </c>
      <c r="D5900" s="335" t="s">
        <v>89</v>
      </c>
      <c r="E5900" s="336">
        <v>43791</v>
      </c>
      <c r="F5900" s="336">
        <v>43741</v>
      </c>
      <c r="G5900" s="336">
        <v>43791</v>
      </c>
      <c r="H5900" s="334" t="s">
        <v>13500</v>
      </c>
      <c r="I5900" s="426">
        <v>13916516969</v>
      </c>
      <c r="J5900" s="334" t="s">
        <v>13501</v>
      </c>
      <c r="K5900" s="455">
        <v>1000</v>
      </c>
      <c r="L5900" s="334">
        <v>13175</v>
      </c>
      <c r="M5900" s="338"/>
      <c r="N5900" s="362">
        <f t="shared" si="194"/>
        <v>13175</v>
      </c>
      <c r="X5900" s="339"/>
    </row>
    <row r="5901" s="330" customFormat="1" ht="15" customHeight="1" spans="1:24">
      <c r="A5901" s="550" t="s">
        <v>13502</v>
      </c>
      <c r="B5901" s="334" t="s">
        <v>35</v>
      </c>
      <c r="C5901" s="334" t="s">
        <v>392</v>
      </c>
      <c r="D5901" s="335" t="s">
        <v>37</v>
      </c>
      <c r="E5901" s="336">
        <v>43763</v>
      </c>
      <c r="F5901" s="336">
        <v>43744</v>
      </c>
      <c r="G5901" s="336">
        <v>43750</v>
      </c>
      <c r="H5901" s="334" t="s">
        <v>13503</v>
      </c>
      <c r="I5901" s="426">
        <v>15921975355</v>
      </c>
      <c r="J5901" s="334" t="s">
        <v>13504</v>
      </c>
      <c r="K5901" s="455">
        <v>1000</v>
      </c>
      <c r="L5901" s="334">
        <v>26500</v>
      </c>
      <c r="M5901" s="338"/>
      <c r="N5901" s="362">
        <f t="shared" si="194"/>
        <v>26500</v>
      </c>
      <c r="U5901" s="330" t="s">
        <v>12</v>
      </c>
      <c r="X5901" s="339"/>
    </row>
    <row r="5902" s="330" customFormat="1" ht="15" customHeight="1" spans="1:24">
      <c r="A5902" s="348"/>
      <c r="B5902" s="334" t="s">
        <v>185</v>
      </c>
      <c r="C5902" s="334" t="s">
        <v>4146</v>
      </c>
      <c r="D5902" s="335" t="s">
        <v>187</v>
      </c>
      <c r="E5902" s="336">
        <v>43799</v>
      </c>
      <c r="F5902" s="336">
        <v>43739</v>
      </c>
      <c r="G5902" s="336">
        <v>43799</v>
      </c>
      <c r="H5902" s="334" t="s">
        <v>13505</v>
      </c>
      <c r="I5902" s="426">
        <v>13817172291</v>
      </c>
      <c r="J5902" s="334" t="s">
        <v>13506</v>
      </c>
      <c r="K5902" s="455">
        <v>1000</v>
      </c>
      <c r="L5902" s="334">
        <v>4886</v>
      </c>
      <c r="M5902" s="338"/>
      <c r="N5902" s="362">
        <f t="shared" si="194"/>
        <v>4886</v>
      </c>
      <c r="X5902" s="339"/>
    </row>
    <row r="5903" s="330" customFormat="1" ht="15" customHeight="1" spans="1:24">
      <c r="A5903" s="550" t="s">
        <v>1956</v>
      </c>
      <c r="B5903" s="334" t="s">
        <v>31</v>
      </c>
      <c r="C5903" s="334" t="s">
        <v>3186</v>
      </c>
      <c r="D5903" s="334" t="s">
        <v>33</v>
      </c>
      <c r="E5903" s="336">
        <v>43782</v>
      </c>
      <c r="F5903" s="336">
        <v>43744</v>
      </c>
      <c r="G5903" s="336">
        <v>43781</v>
      </c>
      <c r="H5903" s="334" t="s">
        <v>13507</v>
      </c>
      <c r="I5903" s="426">
        <v>13636648011</v>
      </c>
      <c r="J5903" s="334" t="s">
        <v>13508</v>
      </c>
      <c r="K5903" s="455">
        <v>1000</v>
      </c>
      <c r="L5903" s="334">
        <v>13928</v>
      </c>
      <c r="M5903" s="338"/>
      <c r="N5903" s="362">
        <f t="shared" si="194"/>
        <v>13928</v>
      </c>
      <c r="X5903" s="339"/>
    </row>
    <row r="5904" s="330" customFormat="1" ht="15" customHeight="1" spans="1:24">
      <c r="A5904" s="550" t="s">
        <v>8922</v>
      </c>
      <c r="B5904" s="334" t="s">
        <v>726</v>
      </c>
      <c r="C5904" s="334" t="s">
        <v>727</v>
      </c>
      <c r="D5904" s="334" t="s">
        <v>271</v>
      </c>
      <c r="E5904" s="336">
        <v>43745</v>
      </c>
      <c r="F5904" s="336">
        <v>43744</v>
      </c>
      <c r="G5904" s="336">
        <v>43745</v>
      </c>
      <c r="H5904" s="334" t="s">
        <v>13509</v>
      </c>
      <c r="I5904" s="426">
        <v>13641892711</v>
      </c>
      <c r="J5904" s="334" t="s">
        <v>13510</v>
      </c>
      <c r="K5904" s="455">
        <v>11877</v>
      </c>
      <c r="L5904" s="334">
        <v>11877</v>
      </c>
      <c r="M5904" s="338"/>
      <c r="N5904" s="362">
        <f t="shared" si="194"/>
        <v>11877</v>
      </c>
      <c r="X5904" s="339"/>
    </row>
    <row r="5905" s="330" customFormat="1" ht="15" customHeight="1" spans="1:24">
      <c r="A5905" s="348"/>
      <c r="B5905" s="334" t="s">
        <v>315</v>
      </c>
      <c r="C5905" s="334" t="s">
        <v>181</v>
      </c>
      <c r="D5905" s="335" t="s">
        <v>182</v>
      </c>
      <c r="E5905" s="336">
        <v>43744</v>
      </c>
      <c r="F5905" s="336">
        <v>43743</v>
      </c>
      <c r="G5905" s="399"/>
      <c r="H5905" s="334" t="s">
        <v>13511</v>
      </c>
      <c r="I5905" s="426">
        <v>13918834725</v>
      </c>
      <c r="J5905" s="334"/>
      <c r="K5905" s="455">
        <v>1000</v>
      </c>
      <c r="L5905" s="338"/>
      <c r="M5905" s="338"/>
      <c r="N5905" s="362">
        <f t="shared" si="194"/>
        <v>0</v>
      </c>
      <c r="O5905" s="330">
        <v>1</v>
      </c>
      <c r="U5905" s="330" t="s">
        <v>12</v>
      </c>
      <c r="X5905" s="339"/>
    </row>
    <row r="5906" s="330" customFormat="1" ht="15" customHeight="1" spans="1:24">
      <c r="A5906" s="550" t="s">
        <v>13512</v>
      </c>
      <c r="B5906" s="334" t="s">
        <v>42</v>
      </c>
      <c r="C5906" s="334" t="s">
        <v>43</v>
      </c>
      <c r="D5906" s="334" t="s">
        <v>207</v>
      </c>
      <c r="E5906" s="336">
        <v>43745</v>
      </c>
      <c r="F5906" s="336">
        <v>43744</v>
      </c>
      <c r="G5906" s="336">
        <v>43744</v>
      </c>
      <c r="H5906" s="334" t="s">
        <v>13513</v>
      </c>
      <c r="I5906" s="426">
        <v>13761788535</v>
      </c>
      <c r="J5906" s="334" t="s">
        <v>13514</v>
      </c>
      <c r="K5906" s="455">
        <v>10000</v>
      </c>
      <c r="L5906" s="334">
        <v>9234</v>
      </c>
      <c r="M5906" s="338"/>
      <c r="N5906" s="362">
        <f t="shared" si="194"/>
        <v>9234</v>
      </c>
      <c r="X5906" s="339"/>
    </row>
    <row r="5907" s="330" customFormat="1" ht="15" customHeight="1" spans="1:24">
      <c r="A5907" s="550" t="s">
        <v>13515</v>
      </c>
      <c r="B5907" s="334" t="s">
        <v>31</v>
      </c>
      <c r="C5907" s="334" t="s">
        <v>2716</v>
      </c>
      <c r="D5907" s="334" t="s">
        <v>221</v>
      </c>
      <c r="E5907" s="336">
        <v>43787</v>
      </c>
      <c r="F5907" s="336">
        <v>43744</v>
      </c>
      <c r="G5907" s="491">
        <v>43786</v>
      </c>
      <c r="H5907" s="334" t="s">
        <v>13516</v>
      </c>
      <c r="I5907" s="426">
        <v>18802110898</v>
      </c>
      <c r="J5907" s="334" t="s">
        <v>13517</v>
      </c>
      <c r="K5907" s="455">
        <v>1000</v>
      </c>
      <c r="L5907" s="334">
        <v>11900</v>
      </c>
      <c r="M5907" s="338"/>
      <c r="N5907" s="362">
        <f t="shared" si="194"/>
        <v>11900</v>
      </c>
      <c r="X5907" s="339"/>
    </row>
    <row r="5908" s="330" customFormat="1" ht="15" customHeight="1" spans="1:24">
      <c r="A5908" s="550" t="s">
        <v>3039</v>
      </c>
      <c r="B5908" s="334" t="s">
        <v>153</v>
      </c>
      <c r="C5908" s="334" t="s">
        <v>302</v>
      </c>
      <c r="D5908" s="335" t="s">
        <v>155</v>
      </c>
      <c r="E5908" s="336">
        <v>43765</v>
      </c>
      <c r="F5908" s="336">
        <v>43744</v>
      </c>
      <c r="G5908" s="336">
        <v>43765</v>
      </c>
      <c r="H5908" s="334" t="s">
        <v>13518</v>
      </c>
      <c r="I5908" s="426">
        <v>18821226781</v>
      </c>
      <c r="J5908" s="334" t="s">
        <v>13519</v>
      </c>
      <c r="K5908" s="455">
        <v>1000</v>
      </c>
      <c r="L5908" s="334">
        <v>31000</v>
      </c>
      <c r="M5908" s="338"/>
      <c r="N5908" s="362">
        <f t="shared" si="194"/>
        <v>31000</v>
      </c>
      <c r="X5908" s="339"/>
    </row>
    <row r="5909" s="330" customFormat="1" ht="15" customHeight="1" spans="1:24">
      <c r="A5909" s="550" t="s">
        <v>4625</v>
      </c>
      <c r="B5909" s="334" t="s">
        <v>137</v>
      </c>
      <c r="C5909" s="334" t="s">
        <v>2705</v>
      </c>
      <c r="D5909" s="335" t="s">
        <v>443</v>
      </c>
      <c r="E5909" s="336">
        <v>43789</v>
      </c>
      <c r="F5909" s="336">
        <v>43744</v>
      </c>
      <c r="G5909" s="336">
        <v>43787</v>
      </c>
      <c r="H5909" s="334" t="s">
        <v>13520</v>
      </c>
      <c r="I5909" s="426">
        <v>13611745698</v>
      </c>
      <c r="J5909" s="334" t="s">
        <v>13521</v>
      </c>
      <c r="K5909" s="455">
        <v>1000</v>
      </c>
      <c r="L5909" s="334">
        <v>25808</v>
      </c>
      <c r="M5909" s="338"/>
      <c r="N5909" s="362">
        <f t="shared" si="194"/>
        <v>25808</v>
      </c>
      <c r="X5909" s="339"/>
    </row>
    <row r="5910" s="330" customFormat="1" ht="15" customHeight="1" spans="1:24">
      <c r="A5910" s="550" t="s">
        <v>13522</v>
      </c>
      <c r="B5910" s="334" t="s">
        <v>335</v>
      </c>
      <c r="C5910" s="334" t="s">
        <v>615</v>
      </c>
      <c r="D5910" s="335" t="s">
        <v>337</v>
      </c>
      <c r="E5910" s="336">
        <v>43793</v>
      </c>
      <c r="F5910" s="336">
        <v>43744</v>
      </c>
      <c r="G5910" s="336">
        <v>43791</v>
      </c>
      <c r="H5910" s="334" t="s">
        <v>13523</v>
      </c>
      <c r="I5910" s="426">
        <v>13818539201</v>
      </c>
      <c r="J5910" s="334" t="s">
        <v>13524</v>
      </c>
      <c r="K5910" s="455">
        <v>5600</v>
      </c>
      <c r="L5910" s="334">
        <v>7600</v>
      </c>
      <c r="M5910" s="338"/>
      <c r="N5910" s="362">
        <f t="shared" si="194"/>
        <v>7600</v>
      </c>
      <c r="X5910" s="339"/>
    </row>
    <row r="5911" s="330" customFormat="1" ht="15" customHeight="1" spans="1:24">
      <c r="A5911" s="348"/>
      <c r="B5911" s="334" t="s">
        <v>281</v>
      </c>
      <c r="C5911" s="334" t="s">
        <v>13525</v>
      </c>
      <c r="D5911" s="334" t="s">
        <v>518</v>
      </c>
      <c r="E5911" s="336">
        <v>43794</v>
      </c>
      <c r="F5911" s="336">
        <v>43744</v>
      </c>
      <c r="G5911" s="336">
        <v>43793</v>
      </c>
      <c r="H5911" s="334" t="s">
        <v>13526</v>
      </c>
      <c r="I5911" s="426">
        <v>13918928864</v>
      </c>
      <c r="J5911" s="334" t="s">
        <v>13527</v>
      </c>
      <c r="K5911" s="455">
        <v>10000</v>
      </c>
      <c r="L5911" s="334">
        <v>23028</v>
      </c>
      <c r="M5911" s="338"/>
      <c r="N5911" s="362">
        <f t="shared" si="194"/>
        <v>23028</v>
      </c>
      <c r="X5911" s="339"/>
    </row>
    <row r="5912" s="330" customFormat="1" ht="15" customHeight="1" spans="1:24">
      <c r="A5912" s="348"/>
      <c r="B5912" s="334" t="s">
        <v>281</v>
      </c>
      <c r="C5912" s="334" t="s">
        <v>498</v>
      </c>
      <c r="D5912" s="335" t="s">
        <v>49</v>
      </c>
      <c r="E5912" s="336">
        <v>43744</v>
      </c>
      <c r="F5912" s="336">
        <v>43744</v>
      </c>
      <c r="G5912" s="399"/>
      <c r="H5912" s="334" t="s">
        <v>7674</v>
      </c>
      <c r="I5912" s="426">
        <v>18001682535</v>
      </c>
      <c r="J5912" s="334" t="s">
        <v>13528</v>
      </c>
      <c r="K5912" s="455">
        <v>1000</v>
      </c>
      <c r="L5912" s="338"/>
      <c r="M5912" s="338"/>
      <c r="N5912" s="362">
        <f t="shared" si="194"/>
        <v>0</v>
      </c>
      <c r="R5912" s="356" t="s">
        <v>52</v>
      </c>
      <c r="X5912" s="339"/>
    </row>
    <row r="5913" s="330" customFormat="1" ht="15" customHeight="1" spans="1:24">
      <c r="A5913" s="348"/>
      <c r="B5913" s="334" t="s">
        <v>281</v>
      </c>
      <c r="C5913" s="334" t="s">
        <v>517</v>
      </c>
      <c r="D5913" s="334" t="s">
        <v>518</v>
      </c>
      <c r="E5913" s="336">
        <v>43761</v>
      </c>
      <c r="F5913" s="336">
        <v>43744</v>
      </c>
      <c r="G5913" s="336">
        <v>43760</v>
      </c>
      <c r="H5913" s="334" t="s">
        <v>13529</v>
      </c>
      <c r="I5913" s="334">
        <v>13818208686</v>
      </c>
      <c r="J5913" s="334" t="s">
        <v>13530</v>
      </c>
      <c r="K5913" s="455">
        <v>1000</v>
      </c>
      <c r="L5913" s="334">
        <v>24064</v>
      </c>
      <c r="M5913" s="338"/>
      <c r="N5913" s="362">
        <f t="shared" si="194"/>
        <v>24064</v>
      </c>
      <c r="X5913" s="339"/>
    </row>
    <row r="5914" s="330" customFormat="1" ht="15" customHeight="1" spans="1:24">
      <c r="A5914" s="334"/>
      <c r="B5914" s="334" t="s">
        <v>66</v>
      </c>
      <c r="C5914" s="334" t="s">
        <v>7029</v>
      </c>
      <c r="D5914" s="334" t="s">
        <v>1436</v>
      </c>
      <c r="E5914" s="336">
        <v>43744</v>
      </c>
      <c r="F5914" s="336"/>
      <c r="G5914" s="336">
        <v>43744</v>
      </c>
      <c r="H5914" s="334" t="s">
        <v>13531</v>
      </c>
      <c r="I5914" s="334">
        <v>13817202594</v>
      </c>
      <c r="J5914" s="334" t="s">
        <v>13532</v>
      </c>
      <c r="K5914" s="337"/>
      <c r="L5914" s="334">
        <v>10000</v>
      </c>
      <c r="M5914" s="338"/>
      <c r="N5914" s="362">
        <f t="shared" si="194"/>
        <v>10000</v>
      </c>
      <c r="X5914" s="339"/>
    </row>
    <row r="5915" s="330" customFormat="1" ht="15" customHeight="1" spans="1:24">
      <c r="A5915" s="334"/>
      <c r="B5915" s="334" t="s">
        <v>66</v>
      </c>
      <c r="C5915" s="334" t="s">
        <v>1749</v>
      </c>
      <c r="D5915" s="334" t="s">
        <v>2302</v>
      </c>
      <c r="E5915" s="336">
        <v>43744</v>
      </c>
      <c r="F5915" s="336"/>
      <c r="G5915" s="336">
        <v>43743</v>
      </c>
      <c r="H5915" s="334" t="s">
        <v>13533</v>
      </c>
      <c r="I5915" s="334">
        <v>17301853186</v>
      </c>
      <c r="J5915" s="334" t="s">
        <v>13534</v>
      </c>
      <c r="K5915" s="337"/>
      <c r="L5915" s="334">
        <v>10000</v>
      </c>
      <c r="M5915" s="338"/>
      <c r="N5915" s="362">
        <f t="shared" si="194"/>
        <v>10000</v>
      </c>
      <c r="X5915" s="339"/>
    </row>
    <row r="5916" s="330" customFormat="1" ht="15" customHeight="1" spans="1:24">
      <c r="A5916" s="334"/>
      <c r="B5916" s="334" t="s">
        <v>66</v>
      </c>
      <c r="C5916" s="334" t="s">
        <v>1749</v>
      </c>
      <c r="D5916" s="334" t="s">
        <v>1436</v>
      </c>
      <c r="E5916" s="336">
        <v>43744</v>
      </c>
      <c r="F5916" s="336"/>
      <c r="G5916" s="336">
        <v>43743</v>
      </c>
      <c r="H5916" s="334" t="s">
        <v>6651</v>
      </c>
      <c r="I5916" s="334">
        <v>13161500717</v>
      </c>
      <c r="J5916" s="334" t="s">
        <v>13535</v>
      </c>
      <c r="K5916" s="337"/>
      <c r="L5916" s="334">
        <v>10000</v>
      </c>
      <c r="M5916" s="338"/>
      <c r="N5916" s="362">
        <f t="shared" si="194"/>
        <v>10000</v>
      </c>
      <c r="X5916" s="339"/>
    </row>
    <row r="5917" s="330" customFormat="1" ht="15" customHeight="1" spans="1:24">
      <c r="A5917" s="334"/>
      <c r="B5917" s="334" t="s">
        <v>5435</v>
      </c>
      <c r="C5917" s="334" t="s">
        <v>1728</v>
      </c>
      <c r="D5917" s="334" t="s">
        <v>149</v>
      </c>
      <c r="E5917" s="336">
        <v>43744</v>
      </c>
      <c r="F5917" s="336"/>
      <c r="G5917" s="336">
        <v>43742</v>
      </c>
      <c r="H5917" s="334" t="s">
        <v>13536</v>
      </c>
      <c r="I5917" s="334">
        <v>13774245066</v>
      </c>
      <c r="J5917" s="334" t="s">
        <v>13537</v>
      </c>
      <c r="K5917" s="337"/>
      <c r="L5917" s="334">
        <v>7140</v>
      </c>
      <c r="M5917" s="338"/>
      <c r="N5917" s="362">
        <f t="shared" si="194"/>
        <v>7140</v>
      </c>
      <c r="X5917" s="339"/>
    </row>
    <row r="5918" s="330" customFormat="1" ht="15" customHeight="1" spans="1:24">
      <c r="A5918" s="334"/>
      <c r="B5918" s="334" t="s">
        <v>315</v>
      </c>
      <c r="C5918" s="334" t="s">
        <v>161</v>
      </c>
      <c r="D5918" s="334" t="s">
        <v>207</v>
      </c>
      <c r="E5918" s="336">
        <v>43744</v>
      </c>
      <c r="F5918" s="336"/>
      <c r="G5918" s="336">
        <v>43744</v>
      </c>
      <c r="H5918" s="334" t="s">
        <v>13538</v>
      </c>
      <c r="I5918" s="334">
        <v>18101873239</v>
      </c>
      <c r="J5918" s="334" t="s">
        <v>13539</v>
      </c>
      <c r="K5918" s="337"/>
      <c r="L5918" s="334">
        <v>11164</v>
      </c>
      <c r="M5918" s="338"/>
      <c r="N5918" s="362">
        <f t="shared" si="194"/>
        <v>11164</v>
      </c>
      <c r="X5918" s="339"/>
    </row>
    <row r="5919" s="330" customFormat="1" ht="15" customHeight="1" spans="1:24">
      <c r="A5919" s="334"/>
      <c r="B5919" s="348" t="s">
        <v>236</v>
      </c>
      <c r="C5919" s="334" t="s">
        <v>703</v>
      </c>
      <c r="D5919" s="349" t="s">
        <v>125</v>
      </c>
      <c r="E5919" s="336">
        <v>43744</v>
      </c>
      <c r="F5919" s="336" t="s">
        <v>800</v>
      </c>
      <c r="G5919" s="336">
        <v>43731</v>
      </c>
      <c r="H5919" s="334" t="s">
        <v>4940</v>
      </c>
      <c r="I5919" s="444">
        <v>13621638910</v>
      </c>
      <c r="J5919" s="348" t="s">
        <v>4941</v>
      </c>
      <c r="K5919" s="337"/>
      <c r="L5919" s="338"/>
      <c r="M5919" s="334">
        <v>691</v>
      </c>
      <c r="N5919" s="362">
        <f t="shared" si="194"/>
        <v>691</v>
      </c>
      <c r="X5919" s="339"/>
    </row>
    <row r="5920" s="330" customFormat="1" ht="15" customHeight="1" spans="1:24">
      <c r="A5920" s="334"/>
      <c r="B5920" s="348" t="s">
        <v>73</v>
      </c>
      <c r="C5920" s="348" t="s">
        <v>74</v>
      </c>
      <c r="D5920" s="334" t="s">
        <v>717</v>
      </c>
      <c r="E5920" s="336">
        <v>43744</v>
      </c>
      <c r="F5920" s="336" t="s">
        <v>800</v>
      </c>
      <c r="G5920" s="336">
        <v>43742</v>
      </c>
      <c r="H5920" s="334" t="s">
        <v>975</v>
      </c>
      <c r="I5920" s="334">
        <v>15601690228</v>
      </c>
      <c r="J5920" s="334" t="s">
        <v>13540</v>
      </c>
      <c r="K5920" s="337"/>
      <c r="L5920" s="338"/>
      <c r="M5920" s="334">
        <f>3281+23400</f>
        <v>26681</v>
      </c>
      <c r="N5920" s="362">
        <f t="shared" si="194"/>
        <v>26681</v>
      </c>
      <c r="X5920" s="339"/>
    </row>
    <row r="5921" s="330" customFormat="1" ht="15" customHeight="1" spans="1:24">
      <c r="A5921" s="334"/>
      <c r="B5921" s="348" t="s">
        <v>58</v>
      </c>
      <c r="C5921" s="348" t="s">
        <v>342</v>
      </c>
      <c r="D5921" s="352" t="s">
        <v>343</v>
      </c>
      <c r="E5921" s="336">
        <v>43744</v>
      </c>
      <c r="F5921" s="336" t="s">
        <v>800</v>
      </c>
      <c r="G5921" s="336">
        <v>43743</v>
      </c>
      <c r="H5921" s="334" t="s">
        <v>9897</v>
      </c>
      <c r="I5921" s="334">
        <v>18121364647</v>
      </c>
      <c r="J5921" s="334" t="s">
        <v>13541</v>
      </c>
      <c r="K5921" s="337"/>
      <c r="L5921" s="338"/>
      <c r="M5921" s="334">
        <v>13810</v>
      </c>
      <c r="N5921" s="362">
        <f t="shared" si="194"/>
        <v>13810</v>
      </c>
      <c r="X5921" s="339"/>
    </row>
    <row r="5922" s="330" customFormat="1" ht="15" customHeight="1" spans="1:24">
      <c r="A5922" s="334"/>
      <c r="B5922" s="348" t="s">
        <v>169</v>
      </c>
      <c r="C5922" s="348" t="s">
        <v>634</v>
      </c>
      <c r="D5922" s="335" t="s">
        <v>635</v>
      </c>
      <c r="E5922" s="336">
        <v>43744</v>
      </c>
      <c r="F5922" s="336" t="s">
        <v>800</v>
      </c>
      <c r="G5922" s="336">
        <v>43743</v>
      </c>
      <c r="H5922" s="334" t="s">
        <v>10034</v>
      </c>
      <c r="I5922" s="334">
        <v>13701682335</v>
      </c>
      <c r="J5922" s="334" t="s">
        <v>10035</v>
      </c>
      <c r="K5922" s="337"/>
      <c r="L5922" s="338"/>
      <c r="M5922" s="334">
        <f>11216</f>
        <v>11216</v>
      </c>
      <c r="N5922" s="362">
        <f t="shared" si="194"/>
        <v>11216</v>
      </c>
      <c r="X5922" s="339"/>
    </row>
    <row r="5923" s="330" customFormat="1" ht="15" customHeight="1" spans="1:24">
      <c r="A5923" s="334"/>
      <c r="B5923" s="334" t="s">
        <v>73</v>
      </c>
      <c r="C5923" s="334" t="s">
        <v>74</v>
      </c>
      <c r="D5923" s="334" t="s">
        <v>33</v>
      </c>
      <c r="E5923" s="336">
        <v>43744</v>
      </c>
      <c r="F5923" s="336" t="s">
        <v>800</v>
      </c>
      <c r="G5923" s="336">
        <v>43742</v>
      </c>
      <c r="H5923" s="334" t="s">
        <v>3605</v>
      </c>
      <c r="I5923" s="334">
        <v>13611718687</v>
      </c>
      <c r="J5923" s="334" t="s">
        <v>3606</v>
      </c>
      <c r="K5923" s="337"/>
      <c r="L5923" s="338"/>
      <c r="M5923" s="334">
        <v>21470</v>
      </c>
      <c r="N5923" s="362">
        <f t="shared" si="194"/>
        <v>21470</v>
      </c>
      <c r="X5923" s="339"/>
    </row>
    <row r="5924" s="330" customFormat="1" ht="15" customHeight="1" spans="1:24">
      <c r="A5924" s="334"/>
      <c r="B5924" s="348" t="s">
        <v>73</v>
      </c>
      <c r="C5924" s="348" t="s">
        <v>74</v>
      </c>
      <c r="D5924" s="352" t="s">
        <v>717</v>
      </c>
      <c r="E5924" s="336">
        <v>43744</v>
      </c>
      <c r="F5924" s="336" t="s">
        <v>800</v>
      </c>
      <c r="G5924" s="336">
        <v>43742</v>
      </c>
      <c r="H5924" s="334" t="s">
        <v>4989</v>
      </c>
      <c r="I5924" s="334">
        <v>15000152567</v>
      </c>
      <c r="J5924" s="334" t="s">
        <v>13542</v>
      </c>
      <c r="K5924" s="337"/>
      <c r="L5924" s="338"/>
      <c r="M5924" s="334">
        <f>13572</f>
        <v>13572</v>
      </c>
      <c r="N5924" s="362">
        <f t="shared" si="194"/>
        <v>13572</v>
      </c>
      <c r="X5924" s="339"/>
    </row>
    <row r="5925" s="330" customFormat="1" ht="15" customHeight="1" spans="1:24">
      <c r="A5925" s="334"/>
      <c r="B5925" s="334" t="s">
        <v>66</v>
      </c>
      <c r="C5925" s="334" t="s">
        <v>119</v>
      </c>
      <c r="D5925" s="335" t="s">
        <v>143</v>
      </c>
      <c r="E5925" s="336">
        <v>43744</v>
      </c>
      <c r="F5925" s="336" t="s">
        <v>800</v>
      </c>
      <c r="G5925" s="336">
        <v>43743</v>
      </c>
      <c r="H5925" s="334" t="s">
        <v>13543</v>
      </c>
      <c r="I5925" s="334">
        <v>13918841795</v>
      </c>
      <c r="J5925" s="348" t="s">
        <v>13544</v>
      </c>
      <c r="K5925" s="337"/>
      <c r="L5925" s="338"/>
      <c r="M5925" s="334">
        <v>3360</v>
      </c>
      <c r="N5925" s="362">
        <f t="shared" si="194"/>
        <v>3360</v>
      </c>
      <c r="X5925" s="339"/>
    </row>
    <row r="5926" s="330" customFormat="1" ht="15" customHeight="1" spans="1:24">
      <c r="A5926" s="334"/>
      <c r="B5926" s="334" t="s">
        <v>169</v>
      </c>
      <c r="C5926" s="334" t="s">
        <v>542</v>
      </c>
      <c r="D5926" s="334" t="s">
        <v>171</v>
      </c>
      <c r="E5926" s="336">
        <v>43744</v>
      </c>
      <c r="F5926" s="336" t="s">
        <v>800</v>
      </c>
      <c r="G5926" s="336">
        <v>43741</v>
      </c>
      <c r="H5926" s="334" t="s">
        <v>13545</v>
      </c>
      <c r="I5926" s="334">
        <v>13564703616</v>
      </c>
      <c r="J5926" s="334" t="s">
        <v>13546</v>
      </c>
      <c r="K5926" s="337"/>
      <c r="L5926" s="338"/>
      <c r="M5926" s="334">
        <v>33300</v>
      </c>
      <c r="N5926" s="362">
        <f t="shared" si="194"/>
        <v>33300</v>
      </c>
      <c r="X5926" s="339"/>
    </row>
    <row r="5927" s="330" customFormat="1" ht="15" customHeight="1" spans="1:24">
      <c r="A5927" s="334"/>
      <c r="B5927" s="348" t="s">
        <v>185</v>
      </c>
      <c r="C5927" s="348" t="s">
        <v>1620</v>
      </c>
      <c r="D5927" s="352" t="s">
        <v>44</v>
      </c>
      <c r="E5927" s="336">
        <v>43744</v>
      </c>
      <c r="F5927" s="336" t="s">
        <v>800</v>
      </c>
      <c r="G5927" s="336">
        <v>43744</v>
      </c>
      <c r="H5927" s="334" t="s">
        <v>13547</v>
      </c>
      <c r="I5927" s="334">
        <v>13636481245</v>
      </c>
      <c r="J5927" s="334" t="s">
        <v>13548</v>
      </c>
      <c r="K5927" s="337"/>
      <c r="L5927" s="338"/>
      <c r="M5927" s="334">
        <v>2817</v>
      </c>
      <c r="N5927" s="362">
        <f t="shared" si="194"/>
        <v>2817</v>
      </c>
      <c r="X5927" s="339"/>
    </row>
    <row r="5928" s="330" customFormat="1" ht="15" customHeight="1" spans="1:24">
      <c r="A5928" s="334"/>
      <c r="B5928" s="348" t="s">
        <v>281</v>
      </c>
      <c r="C5928" s="348" t="s">
        <v>491</v>
      </c>
      <c r="D5928" s="334" t="s">
        <v>518</v>
      </c>
      <c r="E5928" s="336">
        <v>43744</v>
      </c>
      <c r="F5928" s="336" t="s">
        <v>800</v>
      </c>
      <c r="G5928" s="336">
        <v>43744</v>
      </c>
      <c r="H5928" s="334" t="s">
        <v>10045</v>
      </c>
      <c r="I5928" s="334">
        <v>15618946162</v>
      </c>
      <c r="J5928" s="334" t="s">
        <v>13549</v>
      </c>
      <c r="K5928" s="337"/>
      <c r="L5928" s="338"/>
      <c r="M5928" s="334">
        <v>5500</v>
      </c>
      <c r="N5928" s="362">
        <f t="shared" si="194"/>
        <v>5500</v>
      </c>
      <c r="X5928" s="339"/>
    </row>
    <row r="5929" s="330" customFormat="1" ht="15" customHeight="1" spans="1:24">
      <c r="A5929" s="334"/>
      <c r="B5929" s="348" t="s">
        <v>31</v>
      </c>
      <c r="C5929" s="334" t="s">
        <v>419</v>
      </c>
      <c r="D5929" s="349" t="s">
        <v>187</v>
      </c>
      <c r="E5929" s="336">
        <v>43744</v>
      </c>
      <c r="F5929" s="336" t="s">
        <v>800</v>
      </c>
      <c r="G5929" s="336">
        <v>43744</v>
      </c>
      <c r="H5929" s="334" t="s">
        <v>6927</v>
      </c>
      <c r="I5929" s="356">
        <v>13761224153</v>
      </c>
      <c r="J5929" s="348" t="s">
        <v>6928</v>
      </c>
      <c r="K5929" s="337"/>
      <c r="L5929" s="338"/>
      <c r="M5929" s="334">
        <v>175</v>
      </c>
      <c r="N5929" s="362">
        <f t="shared" si="194"/>
        <v>175</v>
      </c>
      <c r="X5929" s="339"/>
    </row>
    <row r="5930" s="330" customFormat="1" ht="15" customHeight="1" spans="1:24">
      <c r="A5930" s="550" t="s">
        <v>702</v>
      </c>
      <c r="B5930" s="334" t="s">
        <v>31</v>
      </c>
      <c r="C5930" s="334" t="s">
        <v>220</v>
      </c>
      <c r="D5930" s="334" t="s">
        <v>33</v>
      </c>
      <c r="E5930" s="336">
        <v>43765</v>
      </c>
      <c r="F5930" s="336">
        <v>43744</v>
      </c>
      <c r="G5930" s="336">
        <v>43764</v>
      </c>
      <c r="H5930" s="334" t="s">
        <v>13550</v>
      </c>
      <c r="I5930" s="426">
        <v>18918023059</v>
      </c>
      <c r="J5930" s="334" t="s">
        <v>13551</v>
      </c>
      <c r="K5930" s="455">
        <v>1000</v>
      </c>
      <c r="L5930" s="334">
        <v>4300</v>
      </c>
      <c r="M5930" s="338"/>
      <c r="N5930" s="362">
        <f t="shared" ref="N5930:N5975" si="195">L5930+M5930</f>
        <v>4300</v>
      </c>
      <c r="U5930" s="393" t="s">
        <v>40</v>
      </c>
      <c r="X5930" s="339"/>
    </row>
    <row r="5931" s="330" customFormat="1" ht="15" customHeight="1" spans="1:24">
      <c r="A5931" s="348"/>
      <c r="B5931" s="334" t="s">
        <v>137</v>
      </c>
      <c r="C5931" s="334" t="s">
        <v>411</v>
      </c>
      <c r="D5931" s="334" t="s">
        <v>139</v>
      </c>
      <c r="E5931" s="336">
        <v>43793</v>
      </c>
      <c r="F5931" s="336">
        <v>43744</v>
      </c>
      <c r="G5931" s="336">
        <v>43792</v>
      </c>
      <c r="H5931" s="334" t="s">
        <v>5340</v>
      </c>
      <c r="I5931" s="426">
        <v>18501719181</v>
      </c>
      <c r="J5931" s="334" t="s">
        <v>13552</v>
      </c>
      <c r="K5931" s="455">
        <v>1000</v>
      </c>
      <c r="L5931" s="334">
        <v>14463</v>
      </c>
      <c r="M5931" s="338"/>
      <c r="N5931" s="362">
        <f t="shared" si="195"/>
        <v>14463</v>
      </c>
      <c r="R5931" s="330">
        <v>1</v>
      </c>
      <c r="X5931" s="339"/>
    </row>
    <row r="5932" s="330" customFormat="1" ht="15" customHeight="1" spans="1:24">
      <c r="A5932" s="348"/>
      <c r="B5932" s="334" t="s">
        <v>66</v>
      </c>
      <c r="C5932" s="334" t="s">
        <v>951</v>
      </c>
      <c r="D5932" s="334" t="s">
        <v>2302</v>
      </c>
      <c r="E5932" s="336">
        <v>43745</v>
      </c>
      <c r="F5932" s="336">
        <v>43744</v>
      </c>
      <c r="G5932" s="399">
        <v>43745</v>
      </c>
      <c r="H5932" s="334" t="s">
        <v>13553</v>
      </c>
      <c r="I5932" s="426">
        <v>18521307239</v>
      </c>
      <c r="J5932" s="334" t="s">
        <v>13554</v>
      </c>
      <c r="K5932" s="455">
        <v>10000</v>
      </c>
      <c r="L5932" s="334">
        <v>10000</v>
      </c>
      <c r="M5932" s="338"/>
      <c r="N5932" s="362">
        <f t="shared" si="195"/>
        <v>10000</v>
      </c>
      <c r="X5932" s="339"/>
    </row>
    <row r="5933" s="330" customFormat="1" ht="15" customHeight="1" spans="1:24">
      <c r="A5933" s="348"/>
      <c r="B5933" s="334" t="s">
        <v>66</v>
      </c>
      <c r="C5933" s="334" t="s">
        <v>951</v>
      </c>
      <c r="D5933" s="334" t="s">
        <v>2302</v>
      </c>
      <c r="E5933" s="336">
        <v>43745</v>
      </c>
      <c r="F5933" s="336">
        <v>43744</v>
      </c>
      <c r="G5933" s="336">
        <v>43745</v>
      </c>
      <c r="H5933" s="334" t="s">
        <v>11688</v>
      </c>
      <c r="I5933" s="426">
        <v>13916065461</v>
      </c>
      <c r="J5933" s="334" t="s">
        <v>13555</v>
      </c>
      <c r="K5933" s="455">
        <v>10000</v>
      </c>
      <c r="L5933" s="334">
        <v>10000</v>
      </c>
      <c r="M5933" s="338"/>
      <c r="N5933" s="362">
        <f t="shared" si="195"/>
        <v>10000</v>
      </c>
      <c r="X5933" s="339"/>
    </row>
    <row r="5934" s="330" customFormat="1" ht="15" customHeight="1" spans="1:24">
      <c r="A5934" s="348"/>
      <c r="B5934" s="334" t="s">
        <v>66</v>
      </c>
      <c r="C5934" s="334" t="s">
        <v>951</v>
      </c>
      <c r="D5934" s="334" t="s">
        <v>2302</v>
      </c>
      <c r="E5934" s="336">
        <v>43745</v>
      </c>
      <c r="F5934" s="336">
        <v>43744</v>
      </c>
      <c r="G5934" s="336">
        <v>43745</v>
      </c>
      <c r="H5934" s="334" t="s">
        <v>441</v>
      </c>
      <c r="I5934" s="426">
        <v>18818261967</v>
      </c>
      <c r="J5934" s="348" t="s">
        <v>13556</v>
      </c>
      <c r="K5934" s="455">
        <v>10000</v>
      </c>
      <c r="L5934" s="334">
        <v>10000</v>
      </c>
      <c r="M5934" s="338"/>
      <c r="N5934" s="362">
        <f t="shared" si="195"/>
        <v>10000</v>
      </c>
      <c r="U5934" s="330" t="s">
        <v>12</v>
      </c>
      <c r="X5934" s="339"/>
    </row>
    <row r="5935" s="330" customFormat="1" ht="15" customHeight="1" spans="1:24">
      <c r="A5935" s="550" t="s">
        <v>13557</v>
      </c>
      <c r="B5935" s="334" t="s">
        <v>137</v>
      </c>
      <c r="C5935" s="334" t="s">
        <v>2705</v>
      </c>
      <c r="D5935" s="334" t="s">
        <v>2381</v>
      </c>
      <c r="E5935" s="336">
        <v>43745</v>
      </c>
      <c r="F5935" s="336">
        <v>43744</v>
      </c>
      <c r="G5935" s="399">
        <v>43745</v>
      </c>
      <c r="H5935" s="334" t="s">
        <v>13558</v>
      </c>
      <c r="I5935" s="426">
        <v>13601733780</v>
      </c>
      <c r="J5935" s="334" t="s">
        <v>13559</v>
      </c>
      <c r="K5935" s="455">
        <v>5000</v>
      </c>
      <c r="L5935" s="334">
        <v>18500</v>
      </c>
      <c r="M5935" s="338"/>
      <c r="N5935" s="362">
        <f t="shared" si="195"/>
        <v>18500</v>
      </c>
      <c r="X5935" s="339"/>
    </row>
    <row r="5936" s="330" customFormat="1" ht="15" customHeight="1" spans="1:24">
      <c r="A5936" s="550" t="s">
        <v>13560</v>
      </c>
      <c r="B5936" s="334" t="s">
        <v>66</v>
      </c>
      <c r="C5936" s="334" t="s">
        <v>67</v>
      </c>
      <c r="D5936" s="334" t="s">
        <v>2302</v>
      </c>
      <c r="E5936" s="336">
        <v>43788</v>
      </c>
      <c r="F5936" s="336">
        <v>43744</v>
      </c>
      <c r="G5936" s="336">
        <v>43788</v>
      </c>
      <c r="H5936" s="334" t="s">
        <v>13561</v>
      </c>
      <c r="I5936" s="426">
        <v>18930115579</v>
      </c>
      <c r="J5936" s="334" t="s">
        <v>13562</v>
      </c>
      <c r="K5936" s="455">
        <v>1099</v>
      </c>
      <c r="L5936" s="334">
        <v>1399</v>
      </c>
      <c r="M5936" s="338"/>
      <c r="N5936" s="362">
        <f t="shared" si="195"/>
        <v>1399</v>
      </c>
      <c r="X5936" s="339"/>
    </row>
    <row r="5937" s="330" customFormat="1" ht="15" customHeight="1" spans="1:24">
      <c r="A5937" s="550" t="s">
        <v>6135</v>
      </c>
      <c r="B5937" s="334" t="s">
        <v>726</v>
      </c>
      <c r="C5937" s="334" t="s">
        <v>12699</v>
      </c>
      <c r="D5937" s="334" t="s">
        <v>271</v>
      </c>
      <c r="E5937" s="336">
        <v>43765</v>
      </c>
      <c r="F5937" s="336">
        <v>43744</v>
      </c>
      <c r="G5937" s="336">
        <v>43764</v>
      </c>
      <c r="H5937" s="334" t="s">
        <v>13563</v>
      </c>
      <c r="I5937" s="426">
        <v>13641839675</v>
      </c>
      <c r="J5937" s="334" t="s">
        <v>13564</v>
      </c>
      <c r="K5937" s="455">
        <v>8300</v>
      </c>
      <c r="L5937" s="338"/>
      <c r="M5937" s="334">
        <v>11000</v>
      </c>
      <c r="N5937" s="362">
        <f t="shared" si="195"/>
        <v>11000</v>
      </c>
      <c r="X5937" s="339"/>
    </row>
    <row r="5938" s="330" customFormat="1" ht="15" customHeight="1" spans="1:24">
      <c r="A5938" s="550" t="s">
        <v>13565</v>
      </c>
      <c r="B5938" s="334" t="s">
        <v>73</v>
      </c>
      <c r="C5938" s="334" t="s">
        <v>74</v>
      </c>
      <c r="D5938" s="335" t="s">
        <v>75</v>
      </c>
      <c r="E5938" s="336">
        <v>43745</v>
      </c>
      <c r="F5938" s="336">
        <v>43744</v>
      </c>
      <c r="G5938" s="399"/>
      <c r="H5938" s="334" t="s">
        <v>13566</v>
      </c>
      <c r="I5938" s="426">
        <v>13788950365</v>
      </c>
      <c r="J5938" s="334" t="s">
        <v>13567</v>
      </c>
      <c r="K5938" s="455">
        <v>1000</v>
      </c>
      <c r="L5938" s="338"/>
      <c r="M5938" s="338"/>
      <c r="N5938" s="362">
        <f t="shared" si="195"/>
        <v>0</v>
      </c>
      <c r="P5938" s="366" t="s">
        <v>52</v>
      </c>
      <c r="X5938" s="339"/>
    </row>
    <row r="5939" s="330" customFormat="1" ht="15" customHeight="1" spans="1:24">
      <c r="A5939" s="348" t="s">
        <v>13074</v>
      </c>
      <c r="B5939" s="334" t="s">
        <v>73</v>
      </c>
      <c r="C5939" s="334" t="s">
        <v>74</v>
      </c>
      <c r="D5939" s="352" t="s">
        <v>75</v>
      </c>
      <c r="E5939" s="336">
        <v>43745</v>
      </c>
      <c r="F5939" s="336">
        <v>43745</v>
      </c>
      <c r="G5939" s="399"/>
      <c r="H5939" s="334" t="s">
        <v>13568</v>
      </c>
      <c r="I5939" s="426">
        <v>18116081798</v>
      </c>
      <c r="J5939" s="334" t="s">
        <v>13569</v>
      </c>
      <c r="K5939" s="455">
        <v>1000</v>
      </c>
      <c r="L5939" s="338"/>
      <c r="M5939" s="338"/>
      <c r="N5939" s="362">
        <f t="shared" si="195"/>
        <v>0</v>
      </c>
      <c r="P5939" s="331"/>
      <c r="R5939" s="405" t="s">
        <v>52</v>
      </c>
      <c r="X5939" s="339"/>
    </row>
    <row r="5940" s="330" customFormat="1" ht="15" customHeight="1" spans="1:24">
      <c r="A5940" s="550" t="s">
        <v>13570</v>
      </c>
      <c r="B5940" s="334" t="s">
        <v>73</v>
      </c>
      <c r="C5940" s="334" t="s">
        <v>74</v>
      </c>
      <c r="D5940" s="334" t="s">
        <v>132</v>
      </c>
      <c r="E5940" s="336">
        <v>43769</v>
      </c>
      <c r="F5940" s="336">
        <v>43744</v>
      </c>
      <c r="G5940" s="336">
        <v>43769</v>
      </c>
      <c r="H5940" s="334" t="s">
        <v>13571</v>
      </c>
      <c r="I5940" s="426">
        <v>13816138033</v>
      </c>
      <c r="J5940" s="334" t="s">
        <v>13572</v>
      </c>
      <c r="K5940" s="455">
        <v>1000</v>
      </c>
      <c r="L5940" s="334">
        <v>22472</v>
      </c>
      <c r="M5940" s="338"/>
      <c r="N5940" s="362">
        <f t="shared" si="195"/>
        <v>22472</v>
      </c>
      <c r="X5940" s="339"/>
    </row>
    <row r="5941" s="330" customFormat="1" ht="15" customHeight="1" spans="1:24">
      <c r="A5941" s="550" t="s">
        <v>13573</v>
      </c>
      <c r="B5941" s="334" t="s">
        <v>73</v>
      </c>
      <c r="C5941" s="334" t="s">
        <v>74</v>
      </c>
      <c r="D5941" s="335" t="s">
        <v>125</v>
      </c>
      <c r="E5941" s="336">
        <v>43781</v>
      </c>
      <c r="F5941" s="336">
        <v>43744</v>
      </c>
      <c r="G5941" s="336">
        <v>43781</v>
      </c>
      <c r="H5941" s="334" t="s">
        <v>13574</v>
      </c>
      <c r="I5941" s="426">
        <v>13818179068</v>
      </c>
      <c r="J5941" s="334" t="s">
        <v>13575</v>
      </c>
      <c r="K5941" s="455">
        <v>1000</v>
      </c>
      <c r="L5941" s="334">
        <v>8300</v>
      </c>
      <c r="M5941" s="338"/>
      <c r="N5941" s="362">
        <f t="shared" si="195"/>
        <v>8300</v>
      </c>
      <c r="X5941" s="339"/>
    </row>
    <row r="5942" s="330" customFormat="1" ht="15" customHeight="1" spans="1:24">
      <c r="A5942" s="348"/>
      <c r="B5942" s="334" t="s">
        <v>35</v>
      </c>
      <c r="C5942" s="334" t="s">
        <v>36</v>
      </c>
      <c r="D5942" s="335" t="s">
        <v>37</v>
      </c>
      <c r="E5942" s="336">
        <v>43745</v>
      </c>
      <c r="F5942" s="336">
        <v>43744</v>
      </c>
      <c r="G5942" s="399"/>
      <c r="H5942" s="334" t="s">
        <v>13576</v>
      </c>
      <c r="I5942" s="426">
        <v>18601789010</v>
      </c>
      <c r="J5942" s="334" t="s">
        <v>13577</v>
      </c>
      <c r="K5942" s="455">
        <v>12000</v>
      </c>
      <c r="L5942" s="338"/>
      <c r="M5942" s="338"/>
      <c r="N5942" s="362">
        <f t="shared" si="195"/>
        <v>0</v>
      </c>
      <c r="P5942" s="356" t="s">
        <v>52</v>
      </c>
      <c r="X5942" s="339"/>
    </row>
    <row r="5943" s="330" customFormat="1" ht="15" customHeight="1" spans="1:24">
      <c r="A5943" s="550" t="s">
        <v>13578</v>
      </c>
      <c r="B5943" s="334" t="s">
        <v>73</v>
      </c>
      <c r="C5943" s="334" t="s">
        <v>74</v>
      </c>
      <c r="D5943" s="335" t="s">
        <v>75</v>
      </c>
      <c r="E5943" s="336">
        <v>43745</v>
      </c>
      <c r="F5943" s="336">
        <v>43744</v>
      </c>
      <c r="G5943" s="399" t="s">
        <v>69</v>
      </c>
      <c r="H5943" s="334" t="s">
        <v>13579</v>
      </c>
      <c r="I5943" s="426">
        <v>13764451381</v>
      </c>
      <c r="J5943" s="334" t="s">
        <v>13580</v>
      </c>
      <c r="K5943" s="455">
        <v>1000</v>
      </c>
      <c r="L5943" s="338"/>
      <c r="M5943" s="338"/>
      <c r="N5943" s="362">
        <f t="shared" si="195"/>
        <v>0</v>
      </c>
      <c r="O5943" s="366" t="s">
        <v>52</v>
      </c>
      <c r="X5943" s="339"/>
    </row>
    <row r="5944" s="330" customFormat="1" ht="15" customHeight="1" spans="1:24">
      <c r="A5944" s="550" t="s">
        <v>675</v>
      </c>
      <c r="B5944" s="334" t="s">
        <v>335</v>
      </c>
      <c r="C5944" s="334" t="s">
        <v>615</v>
      </c>
      <c r="D5944" s="334" t="s">
        <v>337</v>
      </c>
      <c r="E5944" s="336">
        <v>43745</v>
      </c>
      <c r="F5944" s="336">
        <v>43744</v>
      </c>
      <c r="G5944" s="336">
        <v>43745</v>
      </c>
      <c r="H5944" s="334" t="s">
        <v>13581</v>
      </c>
      <c r="I5944" s="426">
        <v>15921284380</v>
      </c>
      <c r="J5944" s="334" t="s">
        <v>13582</v>
      </c>
      <c r="K5944" s="455">
        <v>7500</v>
      </c>
      <c r="L5944" s="334">
        <v>7500</v>
      </c>
      <c r="M5944" s="338"/>
      <c r="N5944" s="362">
        <f t="shared" si="195"/>
        <v>7500</v>
      </c>
      <c r="X5944" s="339"/>
    </row>
    <row r="5945" s="330" customFormat="1" ht="15" customHeight="1" spans="1:24">
      <c r="A5945" s="550" t="s">
        <v>13583</v>
      </c>
      <c r="B5945" s="334" t="s">
        <v>73</v>
      </c>
      <c r="C5945" s="334" t="s">
        <v>74</v>
      </c>
      <c r="D5945" s="334" t="s">
        <v>427</v>
      </c>
      <c r="E5945" s="336">
        <v>43797</v>
      </c>
      <c r="F5945" s="336">
        <v>43744</v>
      </c>
      <c r="G5945" s="336">
        <v>43796</v>
      </c>
      <c r="H5945" s="334" t="s">
        <v>13584</v>
      </c>
      <c r="I5945" s="426">
        <v>13918955963</v>
      </c>
      <c r="J5945" s="334" t="s">
        <v>13585</v>
      </c>
      <c r="K5945" s="455">
        <v>1000</v>
      </c>
      <c r="L5945" s="334">
        <v>12231</v>
      </c>
      <c r="M5945" s="338"/>
      <c r="N5945" s="362">
        <f t="shared" si="195"/>
        <v>12231</v>
      </c>
      <c r="O5945" s="366" t="s">
        <v>52</v>
      </c>
      <c r="X5945" s="339"/>
    </row>
    <row r="5946" s="330" customFormat="1" ht="15" customHeight="1" spans="1:24">
      <c r="A5946" s="550" t="s">
        <v>108</v>
      </c>
      <c r="B5946" s="334" t="s">
        <v>73</v>
      </c>
      <c r="C5946" s="334" t="s">
        <v>74</v>
      </c>
      <c r="D5946" s="335" t="s">
        <v>75</v>
      </c>
      <c r="E5946" s="336">
        <v>43791</v>
      </c>
      <c r="F5946" s="336">
        <v>43744</v>
      </c>
      <c r="G5946" s="336">
        <v>43791</v>
      </c>
      <c r="H5946" s="334" t="s">
        <v>13586</v>
      </c>
      <c r="I5946" s="426">
        <v>13611972629</v>
      </c>
      <c r="J5946" s="334" t="s">
        <v>13587</v>
      </c>
      <c r="K5946" s="455">
        <v>1000</v>
      </c>
      <c r="L5946" s="334">
        <v>16133</v>
      </c>
      <c r="M5946" s="338"/>
      <c r="N5946" s="362">
        <f t="shared" si="195"/>
        <v>16133</v>
      </c>
      <c r="O5946" s="366" t="s">
        <v>52</v>
      </c>
      <c r="X5946" s="339"/>
    </row>
    <row r="5947" s="330" customFormat="1" ht="15" customHeight="1" spans="1:24">
      <c r="A5947" s="348" t="s">
        <v>13074</v>
      </c>
      <c r="B5947" s="334" t="s">
        <v>335</v>
      </c>
      <c r="C5947" s="334" t="s">
        <v>399</v>
      </c>
      <c r="D5947" s="334" t="s">
        <v>337</v>
      </c>
      <c r="E5947" s="336">
        <v>43745</v>
      </c>
      <c r="F5947" s="336">
        <v>43743</v>
      </c>
      <c r="G5947" s="399">
        <v>43745</v>
      </c>
      <c r="H5947" s="334" t="s">
        <v>13588</v>
      </c>
      <c r="I5947" s="426">
        <v>13564164457</v>
      </c>
      <c r="J5947" s="334" t="s">
        <v>13589</v>
      </c>
      <c r="K5947" s="455">
        <v>18600</v>
      </c>
      <c r="L5947" s="455">
        <v>18600</v>
      </c>
      <c r="M5947" s="338"/>
      <c r="N5947" s="362">
        <f t="shared" si="195"/>
        <v>18600</v>
      </c>
      <c r="X5947" s="339"/>
    </row>
    <row r="5948" s="330" customFormat="1" ht="15" customHeight="1" spans="1:24">
      <c r="A5948" s="550" t="s">
        <v>13590</v>
      </c>
      <c r="B5948" s="334" t="s">
        <v>73</v>
      </c>
      <c r="C5948" s="334" t="s">
        <v>178</v>
      </c>
      <c r="D5948" s="334" t="s">
        <v>44</v>
      </c>
      <c r="E5948" s="336">
        <v>43791</v>
      </c>
      <c r="F5948" s="336">
        <v>43744</v>
      </c>
      <c r="G5948" s="336">
        <v>43791</v>
      </c>
      <c r="H5948" s="334" t="s">
        <v>13591</v>
      </c>
      <c r="I5948" s="426">
        <v>13818277817</v>
      </c>
      <c r="J5948" s="334" t="s">
        <v>13592</v>
      </c>
      <c r="K5948" s="455">
        <v>1000</v>
      </c>
      <c r="L5948" s="334">
        <v>15997</v>
      </c>
      <c r="M5948" s="338"/>
      <c r="N5948" s="362">
        <f t="shared" si="195"/>
        <v>15997</v>
      </c>
      <c r="R5948" s="366" t="s">
        <v>52</v>
      </c>
      <c r="X5948" s="339"/>
    </row>
    <row r="5949" s="330" customFormat="1" ht="15" customHeight="1" spans="1:24">
      <c r="A5949" s="550" t="s">
        <v>190</v>
      </c>
      <c r="B5949" s="334" t="s">
        <v>73</v>
      </c>
      <c r="C5949" s="334" t="s">
        <v>178</v>
      </c>
      <c r="D5949" s="334" t="s">
        <v>75</v>
      </c>
      <c r="E5949" s="336">
        <v>43769</v>
      </c>
      <c r="F5949" s="336">
        <v>43744</v>
      </c>
      <c r="G5949" s="336">
        <v>43769</v>
      </c>
      <c r="H5949" s="334" t="s">
        <v>13593</v>
      </c>
      <c r="I5949" s="426">
        <v>13816928331</v>
      </c>
      <c r="J5949" s="334" t="s">
        <v>13594</v>
      </c>
      <c r="K5949" s="455">
        <v>1000</v>
      </c>
      <c r="L5949" s="334">
        <v>46618</v>
      </c>
      <c r="M5949" s="338"/>
      <c r="N5949" s="362">
        <f t="shared" si="195"/>
        <v>46618</v>
      </c>
      <c r="X5949" s="339"/>
    </row>
    <row r="5950" s="330" customFormat="1" ht="15" customHeight="1" spans="1:24">
      <c r="A5950" s="550" t="s">
        <v>13595</v>
      </c>
      <c r="B5950" s="334" t="s">
        <v>73</v>
      </c>
      <c r="C5950" s="334" t="s">
        <v>74</v>
      </c>
      <c r="D5950" s="335" t="s">
        <v>717</v>
      </c>
      <c r="E5950" s="336">
        <v>43777</v>
      </c>
      <c r="F5950" s="336">
        <v>43744</v>
      </c>
      <c r="G5950" s="336">
        <v>43776</v>
      </c>
      <c r="H5950" s="334" t="s">
        <v>13596</v>
      </c>
      <c r="I5950" s="426">
        <v>13585982685</v>
      </c>
      <c r="J5950" s="455" t="s">
        <v>13597</v>
      </c>
      <c r="K5950" s="455">
        <v>1000</v>
      </c>
      <c r="L5950" s="334">
        <v>12988</v>
      </c>
      <c r="M5950" s="338"/>
      <c r="N5950" s="362">
        <f t="shared" si="195"/>
        <v>12988</v>
      </c>
      <c r="X5950" s="339"/>
    </row>
    <row r="5951" s="330" customFormat="1" ht="15" customHeight="1" spans="1:24">
      <c r="A5951" s="348"/>
      <c r="B5951" s="334" t="s">
        <v>73</v>
      </c>
      <c r="C5951" s="334" t="s">
        <v>74</v>
      </c>
      <c r="D5951" s="334" t="s">
        <v>44</v>
      </c>
      <c r="E5951" s="336">
        <v>43791</v>
      </c>
      <c r="F5951" s="336">
        <v>43744</v>
      </c>
      <c r="G5951" s="336">
        <v>43784</v>
      </c>
      <c r="H5951" s="334" t="s">
        <v>13598</v>
      </c>
      <c r="I5951" s="426">
        <v>15900773495</v>
      </c>
      <c r="J5951" s="334" t="s">
        <v>13599</v>
      </c>
      <c r="K5951" s="455">
        <v>1000</v>
      </c>
      <c r="L5951" s="334">
        <v>17727</v>
      </c>
      <c r="M5951" s="338"/>
      <c r="N5951" s="362">
        <f t="shared" si="195"/>
        <v>17727</v>
      </c>
      <c r="R5951" s="366" t="s">
        <v>52</v>
      </c>
      <c r="X5951" s="339"/>
    </row>
    <row r="5952" s="330" customFormat="1" ht="15" customHeight="1" spans="1:24">
      <c r="A5952" s="550" t="s">
        <v>13600</v>
      </c>
      <c r="B5952" s="334" t="s">
        <v>73</v>
      </c>
      <c r="C5952" s="334" t="s">
        <v>178</v>
      </c>
      <c r="D5952" s="334" t="s">
        <v>75</v>
      </c>
      <c r="E5952" s="336">
        <v>43773</v>
      </c>
      <c r="F5952" s="336">
        <v>43744</v>
      </c>
      <c r="G5952" s="336">
        <v>43772</v>
      </c>
      <c r="H5952" s="334" t="s">
        <v>3301</v>
      </c>
      <c r="I5952" s="426">
        <v>13818470543</v>
      </c>
      <c r="J5952" s="334" t="s">
        <v>13601</v>
      </c>
      <c r="K5952" s="455">
        <v>1000</v>
      </c>
      <c r="L5952" s="334">
        <v>10464</v>
      </c>
      <c r="M5952" s="338"/>
      <c r="N5952" s="362">
        <f t="shared" si="195"/>
        <v>10464</v>
      </c>
      <c r="X5952" s="339"/>
    </row>
    <row r="5953" s="330" customFormat="1" ht="15" customHeight="1" spans="1:24">
      <c r="A5953" s="550" t="s">
        <v>13602</v>
      </c>
      <c r="B5953" s="334" t="s">
        <v>73</v>
      </c>
      <c r="C5953" s="334" t="s">
        <v>178</v>
      </c>
      <c r="D5953" s="334" t="s">
        <v>44</v>
      </c>
      <c r="E5953" s="336">
        <v>43769</v>
      </c>
      <c r="F5953" s="336">
        <v>43744</v>
      </c>
      <c r="G5953" s="336">
        <v>43769</v>
      </c>
      <c r="H5953" s="334" t="s">
        <v>13603</v>
      </c>
      <c r="I5953" s="426">
        <v>13301730986</v>
      </c>
      <c r="J5953" s="334" t="s">
        <v>13604</v>
      </c>
      <c r="K5953" s="455">
        <v>1000</v>
      </c>
      <c r="L5953" s="334">
        <v>18308</v>
      </c>
      <c r="M5953" s="338"/>
      <c r="N5953" s="362">
        <f t="shared" si="195"/>
        <v>18308</v>
      </c>
      <c r="X5953" s="339"/>
    </row>
    <row r="5954" s="330" customFormat="1" ht="15" customHeight="1" spans="1:24">
      <c r="A5954" s="348" t="s">
        <v>13074</v>
      </c>
      <c r="B5954" s="334" t="s">
        <v>335</v>
      </c>
      <c r="C5954" s="334" t="s">
        <v>399</v>
      </c>
      <c r="D5954" s="334" t="s">
        <v>337</v>
      </c>
      <c r="E5954" s="336">
        <v>43745</v>
      </c>
      <c r="F5954" s="336">
        <v>43743</v>
      </c>
      <c r="G5954" s="399">
        <v>43745</v>
      </c>
      <c r="H5954" s="334" t="s">
        <v>13605</v>
      </c>
      <c r="I5954" s="426">
        <v>18051795555</v>
      </c>
      <c r="J5954" s="334" t="s">
        <v>13606</v>
      </c>
      <c r="K5954" s="455">
        <v>10000</v>
      </c>
      <c r="L5954" s="334">
        <v>10000</v>
      </c>
      <c r="M5954" s="338"/>
      <c r="N5954" s="362">
        <f t="shared" si="195"/>
        <v>10000</v>
      </c>
      <c r="X5954" s="339"/>
    </row>
    <row r="5955" s="330" customFormat="1" ht="15" customHeight="1" spans="1:24">
      <c r="A5955" s="550" t="s">
        <v>2985</v>
      </c>
      <c r="B5955" s="334" t="s">
        <v>335</v>
      </c>
      <c r="C5955" s="334" t="s">
        <v>399</v>
      </c>
      <c r="D5955" s="335" t="s">
        <v>337</v>
      </c>
      <c r="E5955" s="336">
        <v>43745</v>
      </c>
      <c r="F5955" s="336">
        <v>43744</v>
      </c>
      <c r="G5955" s="399"/>
      <c r="H5955" s="334" t="s">
        <v>13607</v>
      </c>
      <c r="I5955" s="426">
        <v>13681787638</v>
      </c>
      <c r="J5955" s="334" t="s">
        <v>13608</v>
      </c>
      <c r="K5955" s="455">
        <v>1000</v>
      </c>
      <c r="L5955" s="338"/>
      <c r="M5955" s="338"/>
      <c r="N5955" s="362">
        <f t="shared" si="195"/>
        <v>0</v>
      </c>
      <c r="U5955" s="330" t="s">
        <v>12</v>
      </c>
      <c r="X5955" s="339"/>
    </row>
    <row r="5956" s="330" customFormat="1" ht="15" customHeight="1" spans="1:24">
      <c r="A5956" s="348"/>
      <c r="B5956" s="334" t="s">
        <v>169</v>
      </c>
      <c r="C5956" s="334" t="s">
        <v>542</v>
      </c>
      <c r="D5956" s="335" t="s">
        <v>171</v>
      </c>
      <c r="E5956" s="336">
        <v>43745</v>
      </c>
      <c r="F5956" s="336">
        <v>43744</v>
      </c>
      <c r="G5956" s="399"/>
      <c r="H5956" s="334" t="s">
        <v>13609</v>
      </c>
      <c r="I5956" s="426">
        <v>13818181881</v>
      </c>
      <c r="J5956" s="334" t="s">
        <v>13610</v>
      </c>
      <c r="K5956" s="455">
        <v>1000</v>
      </c>
      <c r="L5956" s="338"/>
      <c r="M5956" s="338"/>
      <c r="N5956" s="362">
        <f t="shared" si="195"/>
        <v>0</v>
      </c>
      <c r="U5956" s="393" t="s">
        <v>40</v>
      </c>
      <c r="X5956" s="339"/>
    </row>
    <row r="5957" s="330" customFormat="1" ht="15" customHeight="1" spans="1:24">
      <c r="A5957" s="550" t="s">
        <v>13611</v>
      </c>
      <c r="B5957" s="334" t="s">
        <v>205</v>
      </c>
      <c r="C5957" s="334" t="s">
        <v>1467</v>
      </c>
      <c r="D5957" s="334" t="s">
        <v>207</v>
      </c>
      <c r="E5957" s="336">
        <v>43799</v>
      </c>
      <c r="F5957" s="336">
        <v>43744</v>
      </c>
      <c r="G5957" s="336">
        <v>43799</v>
      </c>
      <c r="H5957" s="334" t="s">
        <v>13612</v>
      </c>
      <c r="I5957" s="426">
        <v>18918081602</v>
      </c>
      <c r="J5957" s="334" t="s">
        <v>13613</v>
      </c>
      <c r="K5957" s="455">
        <v>6823</v>
      </c>
      <c r="L5957" s="334">
        <v>19414</v>
      </c>
      <c r="M5957" s="338"/>
      <c r="N5957" s="362">
        <f t="shared" si="195"/>
        <v>19414</v>
      </c>
      <c r="X5957" s="339"/>
    </row>
    <row r="5958" s="330" customFormat="1" ht="15" customHeight="1" spans="1:24">
      <c r="A5958" s="348"/>
      <c r="B5958" s="334" t="s">
        <v>315</v>
      </c>
      <c r="C5958" s="334" t="s">
        <v>275</v>
      </c>
      <c r="D5958" s="334" t="s">
        <v>162</v>
      </c>
      <c r="E5958" s="336">
        <v>43745</v>
      </c>
      <c r="F5958" s="336">
        <v>43744</v>
      </c>
      <c r="G5958" s="336">
        <v>43745</v>
      </c>
      <c r="H5958" s="334" t="s">
        <v>13614</v>
      </c>
      <c r="I5958" s="426">
        <v>13917839405</v>
      </c>
      <c r="J5958" s="334" t="s">
        <v>13615</v>
      </c>
      <c r="K5958" s="455">
        <v>9500</v>
      </c>
      <c r="L5958" s="334">
        <v>9500</v>
      </c>
      <c r="M5958" s="338"/>
      <c r="N5958" s="362">
        <f t="shared" si="195"/>
        <v>9500</v>
      </c>
      <c r="X5958" s="339"/>
    </row>
    <row r="5959" s="330" customFormat="1" ht="15" customHeight="1" spans="1:24">
      <c r="A5959" s="348"/>
      <c r="B5959" s="334" t="s">
        <v>66</v>
      </c>
      <c r="C5959" s="334" t="s">
        <v>119</v>
      </c>
      <c r="D5959" s="335" t="s">
        <v>68</v>
      </c>
      <c r="E5959" s="336">
        <v>43745</v>
      </c>
      <c r="F5959" s="336">
        <v>43744</v>
      </c>
      <c r="G5959" s="399"/>
      <c r="H5959" s="334" t="s">
        <v>13616</v>
      </c>
      <c r="I5959" s="426">
        <v>13661654048</v>
      </c>
      <c r="J5959" s="334" t="s">
        <v>13617</v>
      </c>
      <c r="K5959" s="455">
        <v>1000</v>
      </c>
      <c r="L5959" s="338"/>
      <c r="M5959" s="338"/>
      <c r="N5959" s="362">
        <f t="shared" si="195"/>
        <v>0</v>
      </c>
      <c r="O5959" s="330" t="s">
        <v>19</v>
      </c>
      <c r="X5959" s="339"/>
    </row>
    <row r="5960" s="330" customFormat="1" ht="15" customHeight="1" spans="1:24">
      <c r="A5960" s="348"/>
      <c r="B5960" s="334" t="s">
        <v>315</v>
      </c>
      <c r="C5960" s="334" t="s">
        <v>181</v>
      </c>
      <c r="D5960" s="334" t="s">
        <v>207</v>
      </c>
      <c r="E5960" s="336">
        <v>43760</v>
      </c>
      <c r="F5960" s="336">
        <v>43744</v>
      </c>
      <c r="G5960" s="336">
        <v>43745</v>
      </c>
      <c r="H5960" s="334" t="s">
        <v>13618</v>
      </c>
      <c r="I5960" s="426">
        <v>13818003395</v>
      </c>
      <c r="J5960" s="334" t="s">
        <v>13619</v>
      </c>
      <c r="K5960" s="455">
        <v>1470</v>
      </c>
      <c r="L5960" s="334">
        <v>5085</v>
      </c>
      <c r="M5960" s="338"/>
      <c r="N5960" s="362">
        <f t="shared" si="195"/>
        <v>5085</v>
      </c>
      <c r="X5960" s="339"/>
    </row>
    <row r="5961" s="330" customFormat="1" ht="15" customHeight="1" spans="1:24">
      <c r="A5961" s="348"/>
      <c r="B5961" s="334" t="s">
        <v>66</v>
      </c>
      <c r="C5961" s="334" t="s">
        <v>3954</v>
      </c>
      <c r="D5961" s="334" t="s">
        <v>68</v>
      </c>
      <c r="E5961" s="336">
        <v>43769</v>
      </c>
      <c r="F5961" s="336">
        <v>43744</v>
      </c>
      <c r="G5961" s="336">
        <v>43769</v>
      </c>
      <c r="H5961" s="334" t="s">
        <v>13620</v>
      </c>
      <c r="I5961" s="426">
        <v>18917606095</v>
      </c>
      <c r="J5961" s="334" t="s">
        <v>13621</v>
      </c>
      <c r="K5961" s="455">
        <v>10000</v>
      </c>
      <c r="L5961" s="334">
        <v>10000</v>
      </c>
      <c r="M5961" s="338"/>
      <c r="N5961" s="362">
        <f t="shared" si="195"/>
        <v>10000</v>
      </c>
      <c r="X5961" s="339"/>
    </row>
    <row r="5962" s="330" customFormat="1" ht="15" customHeight="1" spans="1:24">
      <c r="A5962" s="550" t="s">
        <v>11956</v>
      </c>
      <c r="B5962" s="334" t="s">
        <v>185</v>
      </c>
      <c r="C5962" s="334" t="s">
        <v>186</v>
      </c>
      <c r="D5962" s="335" t="s">
        <v>187</v>
      </c>
      <c r="E5962" s="336">
        <v>43745</v>
      </c>
      <c r="F5962" s="336">
        <v>43744</v>
      </c>
      <c r="G5962" s="336">
        <v>43745</v>
      </c>
      <c r="H5962" s="334" t="s">
        <v>13622</v>
      </c>
      <c r="I5962" s="426">
        <v>18801946069</v>
      </c>
      <c r="J5962" s="334" t="s">
        <v>13623</v>
      </c>
      <c r="K5962" s="455">
        <v>10000</v>
      </c>
      <c r="L5962" s="334">
        <v>10000</v>
      </c>
      <c r="M5962" s="338"/>
      <c r="N5962" s="362">
        <f t="shared" si="195"/>
        <v>10000</v>
      </c>
      <c r="X5962" s="339"/>
    </row>
    <row r="5963" s="330" customFormat="1" ht="15" customHeight="1" spans="1:24">
      <c r="A5963" s="348"/>
      <c r="B5963" s="334" t="s">
        <v>66</v>
      </c>
      <c r="C5963" s="334" t="s">
        <v>3954</v>
      </c>
      <c r="D5963" s="334" t="s">
        <v>2302</v>
      </c>
      <c r="E5963" s="336">
        <v>43745</v>
      </c>
      <c r="F5963" s="336">
        <v>43744</v>
      </c>
      <c r="G5963" s="336">
        <v>43745</v>
      </c>
      <c r="H5963" s="334" t="s">
        <v>13624</v>
      </c>
      <c r="I5963" s="426">
        <v>18665887854</v>
      </c>
      <c r="J5963" s="334" t="s">
        <v>13625</v>
      </c>
      <c r="K5963" s="455">
        <v>10000</v>
      </c>
      <c r="L5963" s="334">
        <v>10000</v>
      </c>
      <c r="M5963" s="338"/>
      <c r="N5963" s="362">
        <f t="shared" si="195"/>
        <v>10000</v>
      </c>
      <c r="X5963" s="339"/>
    </row>
    <row r="5964" s="330" customFormat="1" ht="15" customHeight="1" spans="1:24">
      <c r="A5964" s="550" t="s">
        <v>13626</v>
      </c>
      <c r="B5964" s="334" t="s">
        <v>236</v>
      </c>
      <c r="C5964" s="334" t="s">
        <v>195</v>
      </c>
      <c r="D5964" s="334" t="s">
        <v>207</v>
      </c>
      <c r="E5964" s="336">
        <v>43769</v>
      </c>
      <c r="F5964" s="336">
        <v>43744</v>
      </c>
      <c r="G5964" s="336">
        <v>43768</v>
      </c>
      <c r="H5964" s="334" t="s">
        <v>13627</v>
      </c>
      <c r="I5964" s="426">
        <v>13917690239</v>
      </c>
      <c r="J5964" s="334" t="s">
        <v>13628</v>
      </c>
      <c r="K5964" s="455">
        <v>17593</v>
      </c>
      <c r="L5964" s="334">
        <v>17593</v>
      </c>
      <c r="M5964" s="338"/>
      <c r="N5964" s="362">
        <f t="shared" si="195"/>
        <v>17593</v>
      </c>
      <c r="X5964" s="339"/>
    </row>
    <row r="5965" s="330" customFormat="1" ht="15" customHeight="1" spans="1:24">
      <c r="A5965" s="550" t="s">
        <v>13629</v>
      </c>
      <c r="B5965" s="334" t="s">
        <v>236</v>
      </c>
      <c r="C5965" s="334" t="s">
        <v>195</v>
      </c>
      <c r="D5965" s="334" t="s">
        <v>207</v>
      </c>
      <c r="E5965" s="336">
        <v>43769</v>
      </c>
      <c r="F5965" s="336">
        <v>43744</v>
      </c>
      <c r="G5965" s="336">
        <v>43768</v>
      </c>
      <c r="H5965" s="334" t="s">
        <v>144</v>
      </c>
      <c r="I5965" s="426">
        <v>18721268349</v>
      </c>
      <c r="J5965" s="334" t="s">
        <v>13630</v>
      </c>
      <c r="K5965" s="455">
        <v>13573</v>
      </c>
      <c r="L5965" s="455">
        <v>13573</v>
      </c>
      <c r="M5965" s="338"/>
      <c r="N5965" s="362">
        <f t="shared" si="195"/>
        <v>13573</v>
      </c>
      <c r="X5965" s="339"/>
    </row>
    <row r="5966" s="330" customFormat="1" ht="15" customHeight="1" spans="1:24">
      <c r="A5966" s="348"/>
      <c r="B5966" s="334" t="s">
        <v>35</v>
      </c>
      <c r="C5966" s="334" t="s">
        <v>392</v>
      </c>
      <c r="D5966" s="335" t="s">
        <v>37</v>
      </c>
      <c r="E5966" s="336">
        <v>43794</v>
      </c>
      <c r="F5966" s="336">
        <v>43744</v>
      </c>
      <c r="G5966" s="336">
        <v>43792</v>
      </c>
      <c r="H5966" s="334" t="s">
        <v>13631</v>
      </c>
      <c r="I5966" s="426">
        <v>18516260417</v>
      </c>
      <c r="J5966" s="334" t="s">
        <v>13632</v>
      </c>
      <c r="K5966" s="455">
        <v>5000</v>
      </c>
      <c r="L5966" s="334">
        <v>9394</v>
      </c>
      <c r="M5966" s="338"/>
      <c r="N5966" s="362">
        <f t="shared" si="195"/>
        <v>9394</v>
      </c>
      <c r="Q5966" s="356" t="s">
        <v>52</v>
      </c>
      <c r="X5966" s="339"/>
    </row>
    <row r="5967" s="330" customFormat="1" ht="15" customHeight="1" spans="1:24">
      <c r="A5967" s="348"/>
      <c r="B5967" s="334" t="s">
        <v>35</v>
      </c>
      <c r="C5967" s="334" t="s">
        <v>392</v>
      </c>
      <c r="D5967" s="335" t="s">
        <v>37</v>
      </c>
      <c r="E5967" s="336">
        <v>43768</v>
      </c>
      <c r="F5967" s="336">
        <v>43744</v>
      </c>
      <c r="G5967" s="336">
        <v>43766</v>
      </c>
      <c r="H5967" s="334" t="s">
        <v>13633</v>
      </c>
      <c r="I5967" s="426">
        <v>18221230029</v>
      </c>
      <c r="J5967" s="334" t="s">
        <v>13634</v>
      </c>
      <c r="K5967" s="455">
        <v>12000</v>
      </c>
      <c r="L5967" s="334">
        <v>12712</v>
      </c>
      <c r="M5967" s="338"/>
      <c r="N5967" s="362">
        <f t="shared" si="195"/>
        <v>12712</v>
      </c>
      <c r="X5967" s="339"/>
    </row>
    <row r="5968" s="330" customFormat="1" ht="15" customHeight="1" spans="1:24">
      <c r="A5968" s="348"/>
      <c r="B5968" s="334" t="s">
        <v>35</v>
      </c>
      <c r="C5968" s="334" t="s">
        <v>392</v>
      </c>
      <c r="D5968" s="335" t="s">
        <v>37</v>
      </c>
      <c r="E5968" s="336">
        <v>43745</v>
      </c>
      <c r="F5968" s="336">
        <v>43743</v>
      </c>
      <c r="G5968" s="399" t="s">
        <v>69</v>
      </c>
      <c r="H5968" s="334" t="s">
        <v>13635</v>
      </c>
      <c r="I5968" s="426">
        <v>13061721658</v>
      </c>
      <c r="J5968" s="334" t="s">
        <v>13636</v>
      </c>
      <c r="K5968" s="455">
        <v>6000</v>
      </c>
      <c r="L5968" s="338"/>
      <c r="M5968" s="338"/>
      <c r="N5968" s="362">
        <f t="shared" si="195"/>
        <v>0</v>
      </c>
      <c r="X5968" s="339"/>
    </row>
    <row r="5969" s="330" customFormat="1" ht="15" customHeight="1" spans="1:24">
      <c r="A5969" s="348"/>
      <c r="B5969" s="334" t="s">
        <v>35</v>
      </c>
      <c r="C5969" s="334" t="s">
        <v>392</v>
      </c>
      <c r="D5969" s="335" t="s">
        <v>37</v>
      </c>
      <c r="E5969" s="336">
        <v>43768</v>
      </c>
      <c r="F5969" s="336">
        <v>43744</v>
      </c>
      <c r="G5969" s="336">
        <v>43764</v>
      </c>
      <c r="H5969" s="334" t="s">
        <v>13635</v>
      </c>
      <c r="I5969" s="426">
        <v>13061721658</v>
      </c>
      <c r="J5969" s="334" t="s">
        <v>13637</v>
      </c>
      <c r="K5969" s="455">
        <v>6000</v>
      </c>
      <c r="L5969" s="334">
        <v>10491</v>
      </c>
      <c r="M5969" s="338"/>
      <c r="N5969" s="362">
        <f t="shared" si="195"/>
        <v>10491</v>
      </c>
      <c r="X5969" s="339"/>
    </row>
    <row r="5970" s="330" customFormat="1" ht="15" customHeight="1" spans="1:24">
      <c r="A5970" s="348"/>
      <c r="B5970" s="334" t="s">
        <v>315</v>
      </c>
      <c r="C5970" s="334" t="s">
        <v>161</v>
      </c>
      <c r="D5970" s="334" t="s">
        <v>162</v>
      </c>
      <c r="E5970" s="336">
        <v>43745</v>
      </c>
      <c r="F5970" s="336">
        <v>43744</v>
      </c>
      <c r="G5970" s="336">
        <v>43745</v>
      </c>
      <c r="H5970" s="334" t="s">
        <v>13638</v>
      </c>
      <c r="I5970" s="426">
        <v>18116337066</v>
      </c>
      <c r="J5970" s="334" t="s">
        <v>13639</v>
      </c>
      <c r="K5970" s="455">
        <v>20000</v>
      </c>
      <c r="L5970" s="334">
        <v>20000</v>
      </c>
      <c r="M5970" s="338"/>
      <c r="N5970" s="362">
        <f t="shared" si="195"/>
        <v>20000</v>
      </c>
      <c r="X5970" s="339"/>
    </row>
    <row r="5971" s="330" customFormat="1" ht="15" customHeight="1" spans="1:24">
      <c r="A5971" s="550" t="s">
        <v>13640</v>
      </c>
      <c r="B5971" s="334" t="s">
        <v>236</v>
      </c>
      <c r="C5971" s="334" t="s">
        <v>703</v>
      </c>
      <c r="D5971" s="335" t="s">
        <v>125</v>
      </c>
      <c r="E5971" s="336">
        <v>43745</v>
      </c>
      <c r="F5971" s="336">
        <v>43744</v>
      </c>
      <c r="G5971" s="336">
        <v>43745</v>
      </c>
      <c r="H5971" s="334" t="s">
        <v>13641</v>
      </c>
      <c r="I5971" s="426">
        <v>13761187718</v>
      </c>
      <c r="J5971" s="426" t="s">
        <v>13642</v>
      </c>
      <c r="K5971" s="455">
        <v>25200</v>
      </c>
      <c r="L5971" s="334">
        <v>25200</v>
      </c>
      <c r="M5971" s="338"/>
      <c r="N5971" s="362">
        <f t="shared" si="195"/>
        <v>25200</v>
      </c>
      <c r="X5971" s="339"/>
    </row>
    <row r="5972" s="330" customFormat="1" ht="15" customHeight="1" spans="1:24">
      <c r="A5972" s="550" t="s">
        <v>13643</v>
      </c>
      <c r="B5972" s="334" t="s">
        <v>236</v>
      </c>
      <c r="C5972" s="334" t="s">
        <v>703</v>
      </c>
      <c r="D5972" s="335" t="s">
        <v>237</v>
      </c>
      <c r="E5972" s="336">
        <v>43745</v>
      </c>
      <c r="F5972" s="336">
        <v>43744</v>
      </c>
      <c r="G5972" s="336">
        <v>43743</v>
      </c>
      <c r="H5972" s="334" t="s">
        <v>13644</v>
      </c>
      <c r="I5972" s="426">
        <v>13020177088</v>
      </c>
      <c r="J5972" s="334" t="s">
        <v>13645</v>
      </c>
      <c r="K5972" s="455">
        <v>9792</v>
      </c>
      <c r="L5972" s="334">
        <v>9700</v>
      </c>
      <c r="M5972" s="338"/>
      <c r="N5972" s="362">
        <f t="shared" si="195"/>
        <v>9700</v>
      </c>
      <c r="X5972" s="339"/>
    </row>
    <row r="5973" s="330" customFormat="1" customHeight="1" spans="1:24">
      <c r="A5973" s="550" t="s">
        <v>13459</v>
      </c>
      <c r="B5973" s="334" t="s">
        <v>236</v>
      </c>
      <c r="C5973" s="334" t="s">
        <v>703</v>
      </c>
      <c r="D5973" s="334" t="s">
        <v>207</v>
      </c>
      <c r="E5973" s="336">
        <v>43829</v>
      </c>
      <c r="F5973" s="336">
        <v>43744</v>
      </c>
      <c r="G5973" s="336">
        <v>43828</v>
      </c>
      <c r="H5973" s="334" t="s">
        <v>2773</v>
      </c>
      <c r="I5973" s="426">
        <v>18016510062</v>
      </c>
      <c r="J5973" s="334" t="s">
        <v>13646</v>
      </c>
      <c r="K5973" s="455">
        <v>2000</v>
      </c>
      <c r="L5973" s="334">
        <v>13200</v>
      </c>
      <c r="M5973" s="338"/>
      <c r="N5973" s="362">
        <f t="shared" si="195"/>
        <v>13200</v>
      </c>
      <c r="O5973" s="333" t="s">
        <v>4314</v>
      </c>
      <c r="X5973" s="339"/>
    </row>
    <row r="5974" s="330" customFormat="1" customHeight="1" spans="1:24">
      <c r="A5974" s="550" t="s">
        <v>13295</v>
      </c>
      <c r="B5974" s="334" t="s">
        <v>236</v>
      </c>
      <c r="C5974" s="334" t="s">
        <v>195</v>
      </c>
      <c r="D5974" s="335" t="s">
        <v>237</v>
      </c>
      <c r="E5974" s="336">
        <v>43745</v>
      </c>
      <c r="F5974" s="336">
        <v>43744</v>
      </c>
      <c r="G5974" s="399"/>
      <c r="H5974" s="334" t="s">
        <v>13647</v>
      </c>
      <c r="I5974" s="426">
        <v>15900736436</v>
      </c>
      <c r="J5974" s="334" t="s">
        <v>13648</v>
      </c>
      <c r="K5974" s="455">
        <v>3700</v>
      </c>
      <c r="L5974" s="338"/>
      <c r="M5974" s="338"/>
      <c r="N5974" s="362">
        <f t="shared" si="195"/>
        <v>0</v>
      </c>
      <c r="O5974" s="333" t="s">
        <v>4314</v>
      </c>
      <c r="X5974" s="339"/>
    </row>
    <row r="5975" s="330" customFormat="1" ht="15" customHeight="1" spans="1:24">
      <c r="A5975" s="348"/>
      <c r="B5975" s="334" t="s">
        <v>137</v>
      </c>
      <c r="C5975" s="334" t="s">
        <v>426</v>
      </c>
      <c r="D5975" s="335" t="s">
        <v>443</v>
      </c>
      <c r="E5975" s="336">
        <v>43771</v>
      </c>
      <c r="F5975" s="336">
        <v>43744</v>
      </c>
      <c r="G5975" s="336">
        <v>43771</v>
      </c>
      <c r="H5975" s="334" t="s">
        <v>13649</v>
      </c>
      <c r="I5975" s="426">
        <v>13564248531</v>
      </c>
      <c r="J5975" s="334" t="s">
        <v>13650</v>
      </c>
      <c r="K5975" s="455">
        <v>1000</v>
      </c>
      <c r="L5975" s="334">
        <v>6266</v>
      </c>
      <c r="M5975" s="338"/>
      <c r="N5975" s="362">
        <f t="shared" si="195"/>
        <v>6266</v>
      </c>
      <c r="X5975" s="339"/>
    </row>
    <row r="5976" s="330" customFormat="1" ht="15" customHeight="1" spans="1:24">
      <c r="A5976" s="550" t="s">
        <v>13651</v>
      </c>
      <c r="B5976" s="334" t="s">
        <v>58</v>
      </c>
      <c r="C5976" s="334" t="s">
        <v>342</v>
      </c>
      <c r="D5976" s="335" t="s">
        <v>343</v>
      </c>
      <c r="E5976" s="336">
        <v>43830</v>
      </c>
      <c r="F5976" s="336">
        <v>43743</v>
      </c>
      <c r="G5976" s="336">
        <v>43830</v>
      </c>
      <c r="H5976" s="334" t="s">
        <v>13652</v>
      </c>
      <c r="I5976" s="426">
        <v>13564227137</v>
      </c>
      <c r="J5976" s="334" t="s">
        <v>13653</v>
      </c>
      <c r="K5976" s="455">
        <v>2000</v>
      </c>
      <c r="L5976" s="334">
        <v>22437</v>
      </c>
      <c r="M5976" s="338"/>
      <c r="N5976" s="362">
        <f t="shared" ref="N5976:N5992" si="196">L5976+M5976</f>
        <v>22437</v>
      </c>
      <c r="P5976" s="365" t="s">
        <v>52</v>
      </c>
      <c r="X5976" s="339"/>
    </row>
    <row r="5977" s="330" customFormat="1" ht="15" customHeight="1" spans="1:24">
      <c r="A5977" s="550" t="s">
        <v>13654</v>
      </c>
      <c r="B5977" s="334" t="s">
        <v>66</v>
      </c>
      <c r="C5977" s="334" t="s">
        <v>505</v>
      </c>
      <c r="D5977" s="334" t="s">
        <v>68</v>
      </c>
      <c r="E5977" s="336">
        <v>43745</v>
      </c>
      <c r="F5977" s="336">
        <v>43745</v>
      </c>
      <c r="G5977" s="336">
        <v>43745</v>
      </c>
      <c r="H5977" s="334" t="s">
        <v>13655</v>
      </c>
      <c r="I5977" s="426">
        <v>18917283130</v>
      </c>
      <c r="J5977" s="334" t="s">
        <v>13656</v>
      </c>
      <c r="K5977" s="455">
        <v>10000</v>
      </c>
      <c r="L5977" s="334">
        <v>10000</v>
      </c>
      <c r="M5977" s="338"/>
      <c r="N5977" s="362">
        <f t="shared" si="196"/>
        <v>10000</v>
      </c>
      <c r="X5977" s="339"/>
    </row>
    <row r="5978" s="330" customFormat="1" ht="15" customHeight="1" spans="1:24">
      <c r="A5978" s="550" t="s">
        <v>13657</v>
      </c>
      <c r="B5978" s="334" t="s">
        <v>58</v>
      </c>
      <c r="C5978" s="334" t="s">
        <v>342</v>
      </c>
      <c r="D5978" s="335" t="s">
        <v>343</v>
      </c>
      <c r="E5978" s="336">
        <v>43745</v>
      </c>
      <c r="F5978" s="336">
        <v>43745</v>
      </c>
      <c r="G5978" s="399"/>
      <c r="H5978" s="334" t="s">
        <v>13658</v>
      </c>
      <c r="I5978" s="426">
        <v>18357000086</v>
      </c>
      <c r="J5978" s="334" t="s">
        <v>13659</v>
      </c>
      <c r="K5978" s="455">
        <v>5000</v>
      </c>
      <c r="L5978" s="338"/>
      <c r="M5978" s="338"/>
      <c r="N5978" s="362">
        <f t="shared" si="196"/>
        <v>0</v>
      </c>
      <c r="O5978" s="365" t="s">
        <v>52</v>
      </c>
      <c r="X5978" s="339"/>
    </row>
    <row r="5979" s="330" customFormat="1" ht="15" customHeight="1" spans="1:24">
      <c r="A5979" s="550" t="s">
        <v>12967</v>
      </c>
      <c r="B5979" s="334" t="s">
        <v>405</v>
      </c>
      <c r="C5979" s="334" t="s">
        <v>1234</v>
      </c>
      <c r="D5979" s="334" t="s">
        <v>110</v>
      </c>
      <c r="E5979" s="336">
        <v>43767</v>
      </c>
      <c r="F5979" s="336">
        <v>43745</v>
      </c>
      <c r="G5979" s="336">
        <v>43764</v>
      </c>
      <c r="H5979" s="334" t="s">
        <v>13660</v>
      </c>
      <c r="I5979" s="426">
        <v>13916535190</v>
      </c>
      <c r="J5979" s="334" t="s">
        <v>13661</v>
      </c>
      <c r="K5979" s="455">
        <v>1000</v>
      </c>
      <c r="L5979" s="334">
        <v>7385</v>
      </c>
      <c r="M5979" s="338"/>
      <c r="N5979" s="362">
        <f t="shared" si="196"/>
        <v>7385</v>
      </c>
      <c r="X5979" s="339"/>
    </row>
    <row r="5980" s="330" customFormat="1" ht="15" customHeight="1" spans="1:24">
      <c r="A5980" s="550" t="s">
        <v>13662</v>
      </c>
      <c r="B5980" s="334" t="s">
        <v>405</v>
      </c>
      <c r="C5980" s="334" t="s">
        <v>1234</v>
      </c>
      <c r="D5980" s="335" t="s">
        <v>407</v>
      </c>
      <c r="E5980" s="336">
        <v>43776</v>
      </c>
      <c r="F5980" s="336">
        <v>43745</v>
      </c>
      <c r="G5980" s="336">
        <v>43776</v>
      </c>
      <c r="H5980" s="334" t="s">
        <v>13663</v>
      </c>
      <c r="I5980" s="426">
        <v>17521202706</v>
      </c>
      <c r="J5980" s="334" t="s">
        <v>13664</v>
      </c>
      <c r="K5980" s="455">
        <v>3000</v>
      </c>
      <c r="L5980" s="334">
        <v>8899</v>
      </c>
      <c r="M5980" s="338"/>
      <c r="N5980" s="362">
        <f t="shared" si="196"/>
        <v>8899</v>
      </c>
      <c r="X5980" s="339"/>
    </row>
    <row r="5981" s="330" customFormat="1" ht="15" customHeight="1" spans="1:24">
      <c r="A5981" s="550" t="s">
        <v>3131</v>
      </c>
      <c r="B5981" s="334" t="s">
        <v>31</v>
      </c>
      <c r="C5981" s="334" t="s">
        <v>419</v>
      </c>
      <c r="D5981" s="335" t="s">
        <v>221</v>
      </c>
      <c r="E5981" s="336">
        <v>43765</v>
      </c>
      <c r="F5981" s="336">
        <v>43745</v>
      </c>
      <c r="G5981" s="336">
        <v>43765</v>
      </c>
      <c r="H5981" s="334" t="s">
        <v>13665</v>
      </c>
      <c r="I5981" s="426">
        <v>18621902583</v>
      </c>
      <c r="J5981" s="334" t="s">
        <v>13666</v>
      </c>
      <c r="K5981" s="455">
        <v>1000</v>
      </c>
      <c r="L5981" s="338"/>
      <c r="M5981" s="334">
        <f>-270+3635</f>
        <v>3365</v>
      </c>
      <c r="N5981" s="362">
        <f t="shared" si="196"/>
        <v>3365</v>
      </c>
      <c r="X5981" s="339"/>
    </row>
    <row r="5982" s="330" customFormat="1" ht="15" customHeight="1" spans="1:24">
      <c r="A5982" s="348"/>
      <c r="B5982" s="334" t="s">
        <v>58</v>
      </c>
      <c r="C5982" s="334" t="s">
        <v>347</v>
      </c>
      <c r="D5982" s="335" t="s">
        <v>343</v>
      </c>
      <c r="E5982" s="336">
        <v>43790</v>
      </c>
      <c r="F5982" s="336">
        <v>43744</v>
      </c>
      <c r="G5982" s="336">
        <v>43784</v>
      </c>
      <c r="H5982" s="334" t="s">
        <v>13667</v>
      </c>
      <c r="I5982" s="426">
        <v>13816008268</v>
      </c>
      <c r="J5982" s="334" t="s">
        <v>13668</v>
      </c>
      <c r="K5982" s="455">
        <v>1000</v>
      </c>
      <c r="L5982" s="334">
        <v>19312</v>
      </c>
      <c r="M5982" s="338"/>
      <c r="N5982" s="362">
        <f t="shared" si="196"/>
        <v>19312</v>
      </c>
      <c r="X5982" s="339"/>
    </row>
    <row r="5983" s="330" customFormat="1" ht="15" customHeight="1" spans="1:24">
      <c r="A5983" s="348" t="s">
        <v>13074</v>
      </c>
      <c r="B5983" s="334" t="s">
        <v>243</v>
      </c>
      <c r="C5983" s="334" t="s">
        <v>304</v>
      </c>
      <c r="D5983" s="335" t="s">
        <v>49</v>
      </c>
      <c r="E5983" s="336">
        <v>43746</v>
      </c>
      <c r="F5983" s="336">
        <v>43745</v>
      </c>
      <c r="G5983" s="336">
        <v>43746</v>
      </c>
      <c r="H5983" s="334" t="s">
        <v>13669</v>
      </c>
      <c r="I5983" s="426">
        <v>13916871958</v>
      </c>
      <c r="J5983" s="334" t="s">
        <v>13670</v>
      </c>
      <c r="K5983" s="455">
        <v>4180</v>
      </c>
      <c r="L5983" s="334">
        <v>4180</v>
      </c>
      <c r="M5983" s="338"/>
      <c r="N5983" s="362">
        <f t="shared" si="196"/>
        <v>4180</v>
      </c>
      <c r="X5983" s="339"/>
    </row>
    <row r="5984" s="330" customFormat="1" ht="15" customHeight="1" spans="1:24">
      <c r="A5984" s="550" t="s">
        <v>13671</v>
      </c>
      <c r="B5984" s="334" t="s">
        <v>805</v>
      </c>
      <c r="C5984" s="334" t="s">
        <v>806</v>
      </c>
      <c r="D5984" s="334" t="s">
        <v>427</v>
      </c>
      <c r="E5984" s="336">
        <v>43794</v>
      </c>
      <c r="F5984" s="336">
        <v>43745</v>
      </c>
      <c r="G5984" s="336">
        <v>43780</v>
      </c>
      <c r="H5984" s="334" t="s">
        <v>13672</v>
      </c>
      <c r="I5984" s="426">
        <v>13917408679</v>
      </c>
      <c r="J5984" s="334" t="s">
        <v>13673</v>
      </c>
      <c r="K5984" s="455">
        <v>10000</v>
      </c>
      <c r="L5984" s="334">
        <v>20000</v>
      </c>
      <c r="M5984" s="338"/>
      <c r="N5984" s="362">
        <f t="shared" si="196"/>
        <v>20000</v>
      </c>
      <c r="X5984" s="339"/>
    </row>
    <row r="5985" s="330" customFormat="1" ht="15" customHeight="1" spans="1:24">
      <c r="A5985" s="348"/>
      <c r="B5985" s="334" t="s">
        <v>243</v>
      </c>
      <c r="C5985" s="334" t="s">
        <v>309</v>
      </c>
      <c r="D5985" s="335" t="s">
        <v>49</v>
      </c>
      <c r="E5985" s="336">
        <v>43752</v>
      </c>
      <c r="F5985" s="336">
        <v>43745</v>
      </c>
      <c r="G5985" s="336">
        <v>43745</v>
      </c>
      <c r="H5985" s="334" t="s">
        <v>13674</v>
      </c>
      <c r="I5985" s="426">
        <v>15921789537</v>
      </c>
      <c r="J5985" s="334" t="s">
        <v>13675</v>
      </c>
      <c r="K5985" s="455">
        <v>20000</v>
      </c>
      <c r="L5985" s="334">
        <v>25457</v>
      </c>
      <c r="M5985" s="338"/>
      <c r="N5985" s="362">
        <f t="shared" si="196"/>
        <v>25457</v>
      </c>
      <c r="X5985" s="339"/>
    </row>
    <row r="5986" s="330" customFormat="1" ht="15" customHeight="1" spans="1:24">
      <c r="A5986" s="348"/>
      <c r="B5986" s="334" t="s">
        <v>359</v>
      </c>
      <c r="C5986" s="334" t="s">
        <v>5184</v>
      </c>
      <c r="D5986" s="335" t="s">
        <v>361</v>
      </c>
      <c r="E5986" s="336">
        <v>43746</v>
      </c>
      <c r="F5986" s="336">
        <v>43745</v>
      </c>
      <c r="G5986" s="336">
        <v>43746</v>
      </c>
      <c r="H5986" s="334" t="s">
        <v>13676</v>
      </c>
      <c r="I5986" s="426">
        <v>18149759690</v>
      </c>
      <c r="J5986" s="334" t="s">
        <v>13677</v>
      </c>
      <c r="K5986" s="455">
        <v>5500</v>
      </c>
      <c r="L5986" s="334">
        <v>5695</v>
      </c>
      <c r="M5986" s="338"/>
      <c r="N5986" s="362">
        <f t="shared" si="196"/>
        <v>5695</v>
      </c>
      <c r="X5986" s="339"/>
    </row>
    <row r="5987" s="330" customFormat="1" ht="15" customHeight="1" spans="1:24">
      <c r="A5987" s="550" t="s">
        <v>13678</v>
      </c>
      <c r="B5987" s="334" t="s">
        <v>47</v>
      </c>
      <c r="C5987" s="334" t="s">
        <v>2399</v>
      </c>
      <c r="D5987" s="335" t="s">
        <v>49</v>
      </c>
      <c r="E5987" s="336">
        <v>43769</v>
      </c>
      <c r="F5987" s="336">
        <v>43744</v>
      </c>
      <c r="G5987" s="336">
        <v>43769</v>
      </c>
      <c r="H5987" s="334" t="s">
        <v>13679</v>
      </c>
      <c r="I5987" s="426">
        <v>13917127925</v>
      </c>
      <c r="J5987" s="334" t="s">
        <v>13680</v>
      </c>
      <c r="K5987" s="455">
        <v>22600</v>
      </c>
      <c r="L5987" s="455">
        <v>22600</v>
      </c>
      <c r="M5987" s="338"/>
      <c r="N5987" s="362">
        <f t="shared" si="196"/>
        <v>22600</v>
      </c>
      <c r="X5987" s="339"/>
    </row>
    <row r="5988" s="330" customFormat="1" ht="15" customHeight="1" spans="1:24">
      <c r="A5988" s="550" t="s">
        <v>13681</v>
      </c>
      <c r="B5988" s="334" t="s">
        <v>47</v>
      </c>
      <c r="C5988" s="334" t="s">
        <v>80</v>
      </c>
      <c r="D5988" s="335" t="s">
        <v>49</v>
      </c>
      <c r="E5988" s="336">
        <v>43792</v>
      </c>
      <c r="F5988" s="336">
        <v>43743</v>
      </c>
      <c r="G5988" s="336">
        <v>43791</v>
      </c>
      <c r="H5988" s="334" t="s">
        <v>13682</v>
      </c>
      <c r="I5988" s="426">
        <v>13918279596</v>
      </c>
      <c r="J5988" s="334" t="s">
        <v>13683</v>
      </c>
      <c r="K5988" s="455">
        <v>15000</v>
      </c>
      <c r="L5988" s="334">
        <v>30247</v>
      </c>
      <c r="M5988" s="338"/>
      <c r="N5988" s="362">
        <f t="shared" si="196"/>
        <v>30247</v>
      </c>
      <c r="S5988" s="356" t="s">
        <v>52</v>
      </c>
      <c r="X5988" s="339"/>
    </row>
    <row r="5989" s="330" customFormat="1" ht="15" customHeight="1" spans="1:24">
      <c r="A5989" s="348"/>
      <c r="B5989" s="334" t="s">
        <v>47</v>
      </c>
      <c r="C5989" s="334" t="s">
        <v>80</v>
      </c>
      <c r="D5989" s="335" t="s">
        <v>49</v>
      </c>
      <c r="E5989" s="336">
        <v>43748</v>
      </c>
      <c r="F5989" s="336">
        <v>43744</v>
      </c>
      <c r="G5989" s="336">
        <v>43748</v>
      </c>
      <c r="H5989" s="334" t="s">
        <v>13684</v>
      </c>
      <c r="I5989" s="426">
        <v>15216773900</v>
      </c>
      <c r="J5989" s="334" t="s">
        <v>13685</v>
      </c>
      <c r="K5989" s="455">
        <v>11881</v>
      </c>
      <c r="L5989" s="334">
        <v>11319</v>
      </c>
      <c r="M5989" s="338"/>
      <c r="N5989" s="362">
        <f t="shared" si="196"/>
        <v>11319</v>
      </c>
      <c r="X5989" s="339"/>
    </row>
    <row r="5990" s="330" customFormat="1" ht="15" customHeight="1" spans="1:24">
      <c r="A5990" s="348"/>
      <c r="B5990" s="334" t="s">
        <v>47</v>
      </c>
      <c r="C5990" s="334" t="s">
        <v>53</v>
      </c>
      <c r="D5990" s="335" t="s">
        <v>49</v>
      </c>
      <c r="E5990" s="336">
        <v>43767</v>
      </c>
      <c r="F5990" s="336">
        <v>43744</v>
      </c>
      <c r="G5990" s="336">
        <v>43767</v>
      </c>
      <c r="H5990" s="334" t="s">
        <v>13686</v>
      </c>
      <c r="I5990" s="426">
        <v>18521036860</v>
      </c>
      <c r="J5990" s="334" t="s">
        <v>13687</v>
      </c>
      <c r="K5990" s="455">
        <v>7000</v>
      </c>
      <c r="L5990" s="334">
        <v>7000</v>
      </c>
      <c r="M5990" s="338"/>
      <c r="N5990" s="362">
        <f t="shared" si="196"/>
        <v>7000</v>
      </c>
      <c r="X5990" s="339"/>
    </row>
    <row r="5991" s="330" customFormat="1" ht="15" customHeight="1" spans="1:24">
      <c r="A5991" s="550" t="s">
        <v>13688</v>
      </c>
      <c r="B5991" s="334" t="s">
        <v>47</v>
      </c>
      <c r="C5991" s="334" t="s">
        <v>53</v>
      </c>
      <c r="D5991" s="335" t="s">
        <v>49</v>
      </c>
      <c r="E5991" s="336">
        <v>43786</v>
      </c>
      <c r="F5991" s="336">
        <v>43742</v>
      </c>
      <c r="G5991" s="336">
        <v>43786</v>
      </c>
      <c r="H5991" s="334" t="s">
        <v>13689</v>
      </c>
      <c r="I5991" s="426">
        <v>13585926719</v>
      </c>
      <c r="J5991" s="334" t="s">
        <v>13690</v>
      </c>
      <c r="K5991" s="455">
        <v>15000</v>
      </c>
      <c r="L5991" s="334">
        <v>13000</v>
      </c>
      <c r="M5991" s="338"/>
      <c r="N5991" s="362">
        <f t="shared" si="196"/>
        <v>13000</v>
      </c>
      <c r="X5991" s="339"/>
    </row>
    <row r="5992" s="330" customFormat="1" ht="15" customHeight="1" spans="1:24">
      <c r="A5992" s="348"/>
      <c r="B5992" s="334" t="s">
        <v>47</v>
      </c>
      <c r="C5992" s="334" t="s">
        <v>53</v>
      </c>
      <c r="D5992" s="335" t="s">
        <v>49</v>
      </c>
      <c r="E5992" s="336">
        <v>43784</v>
      </c>
      <c r="F5992" s="336">
        <v>43744</v>
      </c>
      <c r="G5992" s="336">
        <v>43784</v>
      </c>
      <c r="H5992" s="334" t="s">
        <v>7690</v>
      </c>
      <c r="I5992" s="426">
        <v>13917076642</v>
      </c>
      <c r="J5992" s="334" t="s">
        <v>13691</v>
      </c>
      <c r="K5992" s="455">
        <v>7343</v>
      </c>
      <c r="L5992" s="334">
        <v>7343</v>
      </c>
      <c r="M5992" s="338"/>
      <c r="N5992" s="362">
        <f t="shared" si="196"/>
        <v>7343</v>
      </c>
      <c r="X5992" s="339"/>
    </row>
    <row r="5993" s="330" customFormat="1" ht="15" customHeight="1" spans="1:24">
      <c r="A5993" s="348"/>
      <c r="B5993" s="334" t="s">
        <v>47</v>
      </c>
      <c r="C5993" s="334" t="s">
        <v>53</v>
      </c>
      <c r="D5993" s="335" t="s">
        <v>49</v>
      </c>
      <c r="E5993" s="336">
        <v>43767</v>
      </c>
      <c r="F5993" s="336">
        <v>43744</v>
      </c>
      <c r="G5993" s="336">
        <v>43765</v>
      </c>
      <c r="H5993" s="334" t="s">
        <v>13692</v>
      </c>
      <c r="I5993" s="426">
        <v>13287967360</v>
      </c>
      <c r="J5993" s="334" t="s">
        <v>13693</v>
      </c>
      <c r="K5993" s="455">
        <v>4654</v>
      </c>
      <c r="L5993" s="334">
        <v>4654</v>
      </c>
      <c r="M5993" s="338"/>
      <c r="N5993" s="362">
        <f t="shared" ref="N5993:N6032" si="197">L5993+M5993</f>
        <v>4654</v>
      </c>
      <c r="X5993" s="339"/>
    </row>
    <row r="5994" s="330" customFormat="1" ht="15" customHeight="1" spans="1:24">
      <c r="A5994" s="550" t="s">
        <v>13694</v>
      </c>
      <c r="B5994" s="334" t="s">
        <v>281</v>
      </c>
      <c r="C5994" s="334" t="s">
        <v>13525</v>
      </c>
      <c r="D5994" s="335" t="s">
        <v>49</v>
      </c>
      <c r="E5994" s="336">
        <v>43745</v>
      </c>
      <c r="F5994" s="336">
        <v>43745</v>
      </c>
      <c r="G5994" s="407" t="s">
        <v>231</v>
      </c>
      <c r="H5994" s="334" t="s">
        <v>13695</v>
      </c>
      <c r="I5994" s="426">
        <v>13564911743</v>
      </c>
      <c r="J5994" s="334" t="s">
        <v>13696</v>
      </c>
      <c r="K5994" s="455">
        <v>18000</v>
      </c>
      <c r="L5994" s="338"/>
      <c r="M5994" s="338"/>
      <c r="N5994" s="362">
        <f t="shared" si="197"/>
        <v>0</v>
      </c>
      <c r="X5994" s="339"/>
    </row>
    <row r="5995" s="330" customFormat="1" ht="15" customHeight="1" spans="1:24">
      <c r="A5995" s="550" t="s">
        <v>13697</v>
      </c>
      <c r="B5995" s="334" t="s">
        <v>281</v>
      </c>
      <c r="C5995" s="334" t="s">
        <v>13525</v>
      </c>
      <c r="D5995" s="334" t="s">
        <v>518</v>
      </c>
      <c r="E5995" s="336">
        <v>43830</v>
      </c>
      <c r="F5995" s="336">
        <v>43744</v>
      </c>
      <c r="G5995" s="336">
        <v>43827</v>
      </c>
      <c r="H5995" s="334" t="s">
        <v>13698</v>
      </c>
      <c r="I5995" s="426">
        <v>18621521060</v>
      </c>
      <c r="J5995" s="334" t="s">
        <v>13699</v>
      </c>
      <c r="K5995" s="455">
        <v>1000</v>
      </c>
      <c r="L5995" s="334">
        <v>23386</v>
      </c>
      <c r="M5995" s="338"/>
      <c r="N5995" s="362">
        <f t="shared" si="197"/>
        <v>23386</v>
      </c>
      <c r="X5995" s="339"/>
    </row>
    <row r="5996" s="330" customFormat="1" ht="15" customHeight="1" spans="1:24">
      <c r="A5996" s="550" t="s">
        <v>13700</v>
      </c>
      <c r="B5996" s="334" t="s">
        <v>805</v>
      </c>
      <c r="C5996" s="334" t="s">
        <v>806</v>
      </c>
      <c r="D5996" s="335" t="s">
        <v>171</v>
      </c>
      <c r="E5996" s="336">
        <v>43759</v>
      </c>
      <c r="F5996" s="336">
        <v>43744</v>
      </c>
      <c r="G5996" s="336">
        <v>43757</v>
      </c>
      <c r="H5996" s="334" t="s">
        <v>13701</v>
      </c>
      <c r="I5996" s="426">
        <v>13917686755</v>
      </c>
      <c r="J5996" s="334" t="s">
        <v>13702</v>
      </c>
      <c r="K5996" s="455">
        <v>3000</v>
      </c>
      <c r="L5996" s="334">
        <v>13700</v>
      </c>
      <c r="M5996" s="338"/>
      <c r="N5996" s="362">
        <f t="shared" si="197"/>
        <v>13700</v>
      </c>
      <c r="X5996" s="339"/>
    </row>
    <row r="5997" s="330" customFormat="1" ht="15" customHeight="1" spans="1:24">
      <c r="A5997" s="348">
        <v>2066258</v>
      </c>
      <c r="B5997" s="334" t="s">
        <v>94</v>
      </c>
      <c r="C5997" s="334" t="s">
        <v>101</v>
      </c>
      <c r="D5997" s="335" t="s">
        <v>49</v>
      </c>
      <c r="E5997" s="336">
        <v>43771</v>
      </c>
      <c r="F5997" s="336">
        <v>43744</v>
      </c>
      <c r="G5997" s="336">
        <v>43771</v>
      </c>
      <c r="H5997" s="334" t="s">
        <v>13703</v>
      </c>
      <c r="I5997" s="426">
        <v>13817537088</v>
      </c>
      <c r="J5997" s="334" t="s">
        <v>13704</v>
      </c>
      <c r="K5997" s="455">
        <v>1000</v>
      </c>
      <c r="L5997" s="334">
        <v>8500</v>
      </c>
      <c r="M5997" s="338"/>
      <c r="N5997" s="362">
        <f t="shared" si="197"/>
        <v>8500</v>
      </c>
      <c r="X5997" s="339"/>
    </row>
    <row r="5998" s="330" customFormat="1" ht="15" customHeight="1" spans="1:24">
      <c r="A5998" s="348">
        <v>2066256</v>
      </c>
      <c r="B5998" s="334" t="s">
        <v>94</v>
      </c>
      <c r="C5998" s="334" t="s">
        <v>101</v>
      </c>
      <c r="D5998" s="335" t="s">
        <v>49</v>
      </c>
      <c r="E5998" s="336">
        <v>43745</v>
      </c>
      <c r="F5998" s="336">
        <v>43744</v>
      </c>
      <c r="G5998" s="399"/>
      <c r="H5998" s="334" t="s">
        <v>13705</v>
      </c>
      <c r="I5998" s="426">
        <v>15821568578</v>
      </c>
      <c r="J5998" s="334" t="s">
        <v>13706</v>
      </c>
      <c r="K5998" s="455">
        <v>1000</v>
      </c>
      <c r="L5998" s="338"/>
      <c r="M5998" s="338"/>
      <c r="N5998" s="362">
        <f t="shared" si="197"/>
        <v>0</v>
      </c>
      <c r="O5998" s="467" t="s">
        <v>52</v>
      </c>
      <c r="X5998" s="339"/>
    </row>
    <row r="5999" s="330" customFormat="1" ht="15" customHeight="1" spans="1:24">
      <c r="A5999" s="348">
        <v>2066257</v>
      </c>
      <c r="B5999" s="334" t="s">
        <v>94</v>
      </c>
      <c r="C5999" s="334" t="s">
        <v>101</v>
      </c>
      <c r="D5999" s="335" t="s">
        <v>49</v>
      </c>
      <c r="E5999" s="336">
        <v>43796</v>
      </c>
      <c r="F5999" s="336">
        <v>43744</v>
      </c>
      <c r="G5999" s="336">
        <v>43795</v>
      </c>
      <c r="H5999" s="334" t="s">
        <v>13707</v>
      </c>
      <c r="I5999" s="426">
        <v>15021683088</v>
      </c>
      <c r="J5999" s="334" t="s">
        <v>13708</v>
      </c>
      <c r="K5999" s="455">
        <v>1000</v>
      </c>
      <c r="L5999" s="334">
        <v>22800</v>
      </c>
      <c r="M5999" s="338"/>
      <c r="N5999" s="362">
        <f t="shared" si="197"/>
        <v>22800</v>
      </c>
      <c r="P5999" s="467" t="s">
        <v>52</v>
      </c>
      <c r="X5999" s="339"/>
    </row>
    <row r="6000" s="330" customFormat="1" ht="15" customHeight="1" spans="1:24">
      <c r="A6000" s="550" t="s">
        <v>13709</v>
      </c>
      <c r="B6000" s="334" t="s">
        <v>281</v>
      </c>
      <c r="C6000" s="334" t="s">
        <v>491</v>
      </c>
      <c r="D6000" s="334" t="s">
        <v>518</v>
      </c>
      <c r="E6000" s="336">
        <v>43776</v>
      </c>
      <c r="F6000" s="336">
        <v>43744</v>
      </c>
      <c r="G6000" s="336">
        <v>43775</v>
      </c>
      <c r="H6000" s="334" t="s">
        <v>13710</v>
      </c>
      <c r="I6000" s="426">
        <v>17717877729</v>
      </c>
      <c r="J6000" s="334" t="s">
        <v>13711</v>
      </c>
      <c r="K6000" s="455">
        <v>16200</v>
      </c>
      <c r="L6000" s="334">
        <f>19138+470</f>
        <v>19608</v>
      </c>
      <c r="M6000" s="338"/>
      <c r="N6000" s="362">
        <f t="shared" si="197"/>
        <v>19608</v>
      </c>
      <c r="X6000" s="339"/>
    </row>
    <row r="6001" s="330" customFormat="1" ht="15" customHeight="1" spans="1:24">
      <c r="A6001" s="348">
        <v>6105073</v>
      </c>
      <c r="B6001" s="334" t="s">
        <v>405</v>
      </c>
      <c r="C6001" s="334" t="s">
        <v>823</v>
      </c>
      <c r="D6001" s="335" t="s">
        <v>407</v>
      </c>
      <c r="E6001" s="336">
        <v>43745</v>
      </c>
      <c r="F6001" s="336">
        <v>43745</v>
      </c>
      <c r="G6001" s="399"/>
      <c r="H6001" s="334" t="s">
        <v>13712</v>
      </c>
      <c r="I6001" s="426">
        <v>13564115341</v>
      </c>
      <c r="J6001" s="334" t="s">
        <v>13713</v>
      </c>
      <c r="K6001" s="455">
        <v>1000</v>
      </c>
      <c r="L6001" s="338"/>
      <c r="M6001" s="338"/>
      <c r="N6001" s="362">
        <f t="shared" si="197"/>
        <v>0</v>
      </c>
      <c r="Q6001" s="356" t="s">
        <v>52</v>
      </c>
      <c r="X6001" s="339"/>
    </row>
    <row r="6002" s="330" customFormat="1" ht="15" customHeight="1" spans="1:24">
      <c r="A6002" s="550" t="s">
        <v>13714</v>
      </c>
      <c r="B6002" s="334" t="s">
        <v>281</v>
      </c>
      <c r="C6002" s="334" t="s">
        <v>517</v>
      </c>
      <c r="D6002" s="334" t="s">
        <v>518</v>
      </c>
      <c r="E6002" s="336">
        <v>43756</v>
      </c>
      <c r="F6002" s="336">
        <v>43745</v>
      </c>
      <c r="G6002" s="336">
        <v>43756</v>
      </c>
      <c r="H6002" s="334" t="s">
        <v>13715</v>
      </c>
      <c r="I6002" s="426">
        <v>18918262668</v>
      </c>
      <c r="J6002" s="334" t="s">
        <v>13716</v>
      </c>
      <c r="K6002" s="455">
        <v>1000</v>
      </c>
      <c r="L6002" s="334">
        <v>16627</v>
      </c>
      <c r="M6002" s="338"/>
      <c r="N6002" s="362">
        <f t="shared" si="197"/>
        <v>16627</v>
      </c>
      <c r="X6002" s="339"/>
    </row>
    <row r="6003" s="330" customFormat="1" ht="15" customHeight="1" spans="1:24">
      <c r="A6003" s="348"/>
      <c r="B6003" s="334" t="s">
        <v>359</v>
      </c>
      <c r="C6003" s="334" t="s">
        <v>5184</v>
      </c>
      <c r="D6003" s="335" t="s">
        <v>361</v>
      </c>
      <c r="E6003" s="336">
        <v>43745</v>
      </c>
      <c r="F6003" s="336">
        <v>43745</v>
      </c>
      <c r="G6003" s="399"/>
      <c r="H6003" s="334" t="s">
        <v>13717</v>
      </c>
      <c r="I6003" s="426">
        <v>13707658904</v>
      </c>
      <c r="J6003" s="334" t="s">
        <v>13718</v>
      </c>
      <c r="K6003" s="455">
        <v>500</v>
      </c>
      <c r="L6003" s="338"/>
      <c r="M6003" s="338"/>
      <c r="N6003" s="362">
        <f t="shared" si="197"/>
        <v>0</v>
      </c>
      <c r="O6003" s="353" t="s">
        <v>19</v>
      </c>
      <c r="X6003" s="339"/>
    </row>
    <row r="6004" s="330" customFormat="1" ht="15" customHeight="1" spans="1:24">
      <c r="A6004" s="348"/>
      <c r="B6004" s="334" t="s">
        <v>354</v>
      </c>
      <c r="C6004" s="334" t="s">
        <v>13719</v>
      </c>
      <c r="D6004" s="334" t="s">
        <v>237</v>
      </c>
      <c r="E6004" s="336">
        <v>43760</v>
      </c>
      <c r="F6004" s="336">
        <v>43745</v>
      </c>
      <c r="G6004" s="336">
        <v>43758</v>
      </c>
      <c r="H6004" s="334" t="s">
        <v>1925</v>
      </c>
      <c r="I6004" s="426">
        <v>18121295216</v>
      </c>
      <c r="J6004" s="334" t="s">
        <v>13720</v>
      </c>
      <c r="K6004" s="455">
        <v>1917</v>
      </c>
      <c r="L6004" s="334">
        <v>3539</v>
      </c>
      <c r="M6004" s="338"/>
      <c r="N6004" s="362">
        <f t="shared" si="197"/>
        <v>3539</v>
      </c>
      <c r="X6004" s="339"/>
    </row>
    <row r="6005" s="330" customFormat="1" ht="15" customHeight="1" spans="1:24">
      <c r="A6005" s="348"/>
      <c r="B6005" s="334" t="s">
        <v>354</v>
      </c>
      <c r="C6005" s="334" t="s">
        <v>13719</v>
      </c>
      <c r="D6005" s="334" t="s">
        <v>182</v>
      </c>
      <c r="E6005" s="336">
        <v>43752</v>
      </c>
      <c r="F6005" s="336">
        <v>43745</v>
      </c>
      <c r="G6005" s="336">
        <v>43751</v>
      </c>
      <c r="H6005" s="334" t="s">
        <v>13721</v>
      </c>
      <c r="I6005" s="426">
        <v>13764318346</v>
      </c>
      <c r="J6005" s="334" t="s">
        <v>13722</v>
      </c>
      <c r="K6005" s="455">
        <v>5000</v>
      </c>
      <c r="L6005" s="334">
        <v>35977</v>
      </c>
      <c r="M6005" s="338"/>
      <c r="N6005" s="362">
        <f t="shared" si="197"/>
        <v>35977</v>
      </c>
      <c r="X6005" s="339"/>
    </row>
    <row r="6006" s="330" customFormat="1" ht="15" customHeight="1" spans="1:24">
      <c r="A6006" s="348"/>
      <c r="B6006" s="334" t="s">
        <v>58</v>
      </c>
      <c r="C6006" s="334" t="s">
        <v>59</v>
      </c>
      <c r="D6006" s="335" t="s">
        <v>271</v>
      </c>
      <c r="E6006" s="336">
        <v>43745</v>
      </c>
      <c r="F6006" s="336">
        <v>43745</v>
      </c>
      <c r="G6006" s="336">
        <v>43745</v>
      </c>
      <c r="H6006" s="334" t="s">
        <v>13723</v>
      </c>
      <c r="I6006" s="426">
        <v>13764385866</v>
      </c>
      <c r="J6006" s="334" t="s">
        <v>13724</v>
      </c>
      <c r="K6006" s="455">
        <v>10000</v>
      </c>
      <c r="L6006" s="455">
        <v>10000</v>
      </c>
      <c r="M6006" s="334">
        <v>-664</v>
      </c>
      <c r="N6006" s="362">
        <f t="shared" si="197"/>
        <v>9336</v>
      </c>
      <c r="X6006" s="339"/>
    </row>
    <row r="6007" s="330" customFormat="1" ht="15" customHeight="1" spans="1:24">
      <c r="A6007" s="550" t="s">
        <v>13725</v>
      </c>
      <c r="B6007" s="334" t="s">
        <v>87</v>
      </c>
      <c r="C6007" s="334" t="s">
        <v>199</v>
      </c>
      <c r="D6007" s="335" t="s">
        <v>89</v>
      </c>
      <c r="E6007" s="336">
        <v>43745</v>
      </c>
      <c r="F6007" s="336">
        <v>43745</v>
      </c>
      <c r="G6007" s="336">
        <v>43745</v>
      </c>
      <c r="H6007" s="334" t="s">
        <v>13726</v>
      </c>
      <c r="I6007" s="426">
        <v>13671871323</v>
      </c>
      <c r="J6007" s="334" t="s">
        <v>13727</v>
      </c>
      <c r="K6007" s="455">
        <v>10000</v>
      </c>
      <c r="L6007" s="455">
        <v>10000</v>
      </c>
      <c r="M6007" s="338"/>
      <c r="N6007" s="362">
        <f t="shared" si="197"/>
        <v>10000</v>
      </c>
      <c r="X6007" s="339"/>
    </row>
    <row r="6008" s="330" customFormat="1" ht="15" customHeight="1" spans="1:24">
      <c r="A6008" s="550" t="s">
        <v>13728</v>
      </c>
      <c r="B6008" s="334" t="s">
        <v>87</v>
      </c>
      <c r="C6008" s="334" t="s">
        <v>199</v>
      </c>
      <c r="D6008" s="335" t="s">
        <v>89</v>
      </c>
      <c r="E6008" s="336">
        <v>43787</v>
      </c>
      <c r="F6008" s="336">
        <v>43745</v>
      </c>
      <c r="G6008" s="336">
        <v>43787</v>
      </c>
      <c r="H6008" s="334" t="s">
        <v>13729</v>
      </c>
      <c r="I6008" s="426">
        <v>18018585831</v>
      </c>
      <c r="J6008" s="334" t="s">
        <v>13730</v>
      </c>
      <c r="K6008" s="455">
        <v>2000</v>
      </c>
      <c r="L6008" s="334">
        <v>15819</v>
      </c>
      <c r="M6008" s="338"/>
      <c r="N6008" s="362">
        <f t="shared" si="197"/>
        <v>15819</v>
      </c>
      <c r="X6008" s="339"/>
    </row>
    <row r="6009" s="330" customFormat="1" ht="15" customHeight="1" spans="1:24">
      <c r="A6009" s="348"/>
      <c r="B6009" s="334" t="s">
        <v>47</v>
      </c>
      <c r="C6009" s="334" t="s">
        <v>80</v>
      </c>
      <c r="D6009" s="335" t="s">
        <v>49</v>
      </c>
      <c r="E6009" s="336">
        <v>43778</v>
      </c>
      <c r="F6009" s="336">
        <v>43745</v>
      </c>
      <c r="G6009" s="336">
        <v>43773</v>
      </c>
      <c r="H6009" s="334" t="s">
        <v>13731</v>
      </c>
      <c r="I6009" s="426">
        <v>18019080036</v>
      </c>
      <c r="J6009" s="334" t="s">
        <v>13732</v>
      </c>
      <c r="K6009" s="455">
        <v>1000</v>
      </c>
      <c r="L6009" s="334">
        <v>11542</v>
      </c>
      <c r="M6009" s="338"/>
      <c r="N6009" s="362">
        <f t="shared" si="197"/>
        <v>11542</v>
      </c>
      <c r="X6009" s="339"/>
    </row>
    <row r="6010" s="330" customFormat="1" ht="15" customHeight="1" spans="1:24">
      <c r="A6010" s="348"/>
      <c r="B6010" s="334" t="s">
        <v>6313</v>
      </c>
      <c r="C6010" s="334" t="s">
        <v>7818</v>
      </c>
      <c r="D6010" s="334" t="s">
        <v>7871</v>
      </c>
      <c r="E6010" s="336">
        <v>43774</v>
      </c>
      <c r="F6010" s="336">
        <v>43745</v>
      </c>
      <c r="G6010" s="336">
        <v>43768</v>
      </c>
      <c r="H6010" s="334" t="s">
        <v>13733</v>
      </c>
      <c r="I6010" s="426">
        <v>15021796230</v>
      </c>
      <c r="J6010" s="334" t="s">
        <v>13734</v>
      </c>
      <c r="K6010" s="455">
        <v>1000</v>
      </c>
      <c r="L6010" s="334">
        <v>6800</v>
      </c>
      <c r="M6010" s="338"/>
      <c r="N6010" s="362">
        <f t="shared" si="197"/>
        <v>6800</v>
      </c>
      <c r="X6010" s="339"/>
    </row>
    <row r="6011" s="330" customFormat="1" ht="15" customHeight="1" spans="1:24">
      <c r="A6011" s="348"/>
      <c r="B6011" s="334" t="s">
        <v>47</v>
      </c>
      <c r="C6011" s="334" t="s">
        <v>80</v>
      </c>
      <c r="D6011" s="335" t="s">
        <v>49</v>
      </c>
      <c r="E6011" s="336">
        <v>43793</v>
      </c>
      <c r="F6011" s="336">
        <v>43745</v>
      </c>
      <c r="G6011" s="336">
        <v>43792</v>
      </c>
      <c r="H6011" s="334" t="s">
        <v>13735</v>
      </c>
      <c r="I6011" s="426">
        <v>13564563042</v>
      </c>
      <c r="J6011" s="334" t="s">
        <v>13736</v>
      </c>
      <c r="K6011" s="455">
        <v>17700</v>
      </c>
      <c r="L6011" s="334">
        <v>22700</v>
      </c>
      <c r="M6011" s="338"/>
      <c r="N6011" s="362">
        <f t="shared" si="197"/>
        <v>22700</v>
      </c>
      <c r="R6011" s="356" t="s">
        <v>52</v>
      </c>
      <c r="X6011" s="339"/>
    </row>
    <row r="6012" s="330" customFormat="1" ht="15" customHeight="1" spans="1:24">
      <c r="A6012" s="348"/>
      <c r="B6012" s="334" t="s">
        <v>47</v>
      </c>
      <c r="C6012" s="334" t="s">
        <v>53</v>
      </c>
      <c r="D6012" s="335" t="s">
        <v>49</v>
      </c>
      <c r="E6012" s="336">
        <v>43803</v>
      </c>
      <c r="F6012" s="336">
        <v>43745</v>
      </c>
      <c r="G6012" s="336">
        <v>43803</v>
      </c>
      <c r="H6012" s="334" t="s">
        <v>13737</v>
      </c>
      <c r="I6012" s="426">
        <v>18121176663</v>
      </c>
      <c r="J6012" s="334" t="s">
        <v>13738</v>
      </c>
      <c r="K6012" s="455">
        <v>20000</v>
      </c>
      <c r="L6012" s="334">
        <v>20230</v>
      </c>
      <c r="M6012" s="334">
        <v>1826</v>
      </c>
      <c r="N6012" s="362">
        <f t="shared" si="197"/>
        <v>22056</v>
      </c>
      <c r="R6012" s="356" t="s">
        <v>52</v>
      </c>
      <c r="X6012" s="339"/>
    </row>
    <row r="6013" s="330" customFormat="1" ht="15" customHeight="1" spans="1:24">
      <c r="A6013" s="348"/>
      <c r="B6013" s="334" t="s">
        <v>243</v>
      </c>
      <c r="C6013" s="334" t="s">
        <v>304</v>
      </c>
      <c r="D6013" s="335" t="s">
        <v>49</v>
      </c>
      <c r="E6013" s="336">
        <v>43745</v>
      </c>
      <c r="F6013" s="336">
        <v>43745</v>
      </c>
      <c r="G6013" s="399"/>
      <c r="H6013" s="334" t="s">
        <v>13739</v>
      </c>
      <c r="I6013" s="426">
        <v>13501873200</v>
      </c>
      <c r="J6013" s="334" t="s">
        <v>13740</v>
      </c>
      <c r="K6013" s="455">
        <v>1000</v>
      </c>
      <c r="L6013" s="338"/>
      <c r="M6013" s="338"/>
      <c r="N6013" s="362">
        <f t="shared" si="197"/>
        <v>0</v>
      </c>
      <c r="P6013" s="356" t="s">
        <v>52</v>
      </c>
      <c r="X6013" s="339"/>
    </row>
    <row r="6014" s="330" customFormat="1" ht="15" customHeight="1" spans="1:24">
      <c r="A6014" s="348"/>
      <c r="B6014" s="334" t="s">
        <v>6313</v>
      </c>
      <c r="C6014" s="334" t="s">
        <v>7818</v>
      </c>
      <c r="D6014" s="334" t="s">
        <v>7871</v>
      </c>
      <c r="E6014" s="336">
        <v>43784</v>
      </c>
      <c r="F6014" s="336">
        <v>43745</v>
      </c>
      <c r="G6014" s="336">
        <v>43784</v>
      </c>
      <c r="H6014" s="334" t="s">
        <v>13741</v>
      </c>
      <c r="I6014" s="426">
        <v>13621941247</v>
      </c>
      <c r="J6014" s="334" t="s">
        <v>13742</v>
      </c>
      <c r="K6014" s="455">
        <v>1000</v>
      </c>
      <c r="L6014" s="334">
        <v>19708</v>
      </c>
      <c r="M6014" s="338"/>
      <c r="N6014" s="362">
        <f t="shared" si="197"/>
        <v>19708</v>
      </c>
      <c r="X6014" s="339"/>
    </row>
    <row r="6015" s="330" customFormat="1" ht="15" customHeight="1" spans="1:24">
      <c r="A6015" s="348"/>
      <c r="B6015" s="334" t="s">
        <v>6313</v>
      </c>
      <c r="C6015" s="334" t="s">
        <v>7818</v>
      </c>
      <c r="D6015" s="334" t="s">
        <v>7871</v>
      </c>
      <c r="E6015" s="336">
        <v>43749</v>
      </c>
      <c r="F6015" s="336">
        <v>43745</v>
      </c>
      <c r="G6015" s="336">
        <v>43748</v>
      </c>
      <c r="H6015" s="334" t="s">
        <v>13743</v>
      </c>
      <c r="I6015" s="426">
        <v>18817707020</v>
      </c>
      <c r="J6015" s="334" t="s">
        <v>13744</v>
      </c>
      <c r="K6015" s="455">
        <v>1000</v>
      </c>
      <c r="L6015" s="334">
        <v>11000</v>
      </c>
      <c r="M6015" s="338"/>
      <c r="N6015" s="362">
        <f t="shared" si="197"/>
        <v>11000</v>
      </c>
      <c r="X6015" s="339"/>
    </row>
    <row r="6016" s="330" customFormat="1" ht="15" customHeight="1" spans="1:24">
      <c r="A6016" s="348"/>
      <c r="B6016" s="334" t="s">
        <v>6313</v>
      </c>
      <c r="C6016" s="334" t="s">
        <v>7818</v>
      </c>
      <c r="D6016" s="334" t="s">
        <v>7871</v>
      </c>
      <c r="E6016" s="336">
        <v>43748</v>
      </c>
      <c r="F6016" s="336">
        <v>43745</v>
      </c>
      <c r="G6016" s="336">
        <v>43748</v>
      </c>
      <c r="H6016" s="334" t="s">
        <v>13745</v>
      </c>
      <c r="I6016" s="426">
        <v>13918847225</v>
      </c>
      <c r="J6016" s="334" t="s">
        <v>13746</v>
      </c>
      <c r="K6016" s="455">
        <v>1000</v>
      </c>
      <c r="L6016" s="334">
        <v>5448</v>
      </c>
      <c r="M6016" s="338"/>
      <c r="N6016" s="362">
        <f t="shared" si="197"/>
        <v>5448</v>
      </c>
      <c r="X6016" s="339"/>
    </row>
    <row r="6017" s="330" customFormat="1" ht="15" customHeight="1" spans="1:24">
      <c r="A6017" s="348"/>
      <c r="B6017" s="334" t="s">
        <v>6313</v>
      </c>
      <c r="C6017" s="334" t="s">
        <v>7818</v>
      </c>
      <c r="D6017" s="334" t="s">
        <v>7871</v>
      </c>
      <c r="E6017" s="336">
        <v>43782</v>
      </c>
      <c r="F6017" s="336">
        <v>43745</v>
      </c>
      <c r="G6017" s="336">
        <v>43779</v>
      </c>
      <c r="H6017" s="334" t="s">
        <v>13745</v>
      </c>
      <c r="I6017" s="426">
        <v>13918847225</v>
      </c>
      <c r="J6017" s="334" t="s">
        <v>13747</v>
      </c>
      <c r="K6017" s="455">
        <v>1000</v>
      </c>
      <c r="L6017" s="334">
        <v>5464</v>
      </c>
      <c r="M6017" s="338"/>
      <c r="N6017" s="362">
        <f t="shared" si="197"/>
        <v>5464</v>
      </c>
      <c r="X6017" s="339"/>
    </row>
    <row r="6018" s="330" customFormat="1" ht="15" customHeight="1" spans="1:24">
      <c r="A6018" s="348"/>
      <c r="B6018" s="334" t="s">
        <v>6313</v>
      </c>
      <c r="C6018" s="334" t="s">
        <v>7818</v>
      </c>
      <c r="D6018" s="334" t="s">
        <v>7871</v>
      </c>
      <c r="E6018" s="336">
        <v>43746</v>
      </c>
      <c r="F6018" s="336">
        <v>43745</v>
      </c>
      <c r="G6018" s="336">
        <v>43716</v>
      </c>
      <c r="H6018" s="334" t="s">
        <v>13748</v>
      </c>
      <c r="I6018" s="426">
        <v>13818366193</v>
      </c>
      <c r="J6018" s="334" t="s">
        <v>13749</v>
      </c>
      <c r="K6018" s="455">
        <v>1000</v>
      </c>
      <c r="L6018" s="334">
        <v>4862</v>
      </c>
      <c r="M6018" s="338"/>
      <c r="N6018" s="362">
        <f t="shared" si="197"/>
        <v>4862</v>
      </c>
      <c r="X6018" s="339"/>
    </row>
    <row r="6019" s="330" customFormat="1" ht="15" customHeight="1" spans="1:24">
      <c r="A6019" s="348"/>
      <c r="B6019" s="334" t="s">
        <v>47</v>
      </c>
      <c r="C6019" s="334" t="s">
        <v>53</v>
      </c>
      <c r="D6019" s="335" t="s">
        <v>49</v>
      </c>
      <c r="E6019" s="336">
        <v>43745</v>
      </c>
      <c r="F6019" s="336">
        <v>43745</v>
      </c>
      <c r="G6019" s="399"/>
      <c r="H6019" s="334" t="s">
        <v>3201</v>
      </c>
      <c r="I6019" s="426">
        <v>18917904466</v>
      </c>
      <c r="J6019" s="334" t="s">
        <v>13750</v>
      </c>
      <c r="K6019" s="455">
        <v>20000</v>
      </c>
      <c r="L6019" s="338"/>
      <c r="M6019" s="338"/>
      <c r="N6019" s="362">
        <f t="shared" si="197"/>
        <v>0</v>
      </c>
      <c r="O6019" s="356" t="s">
        <v>52</v>
      </c>
      <c r="X6019" s="339"/>
    </row>
    <row r="6020" s="330" customFormat="1" ht="15" customHeight="1" spans="1:24">
      <c r="A6020" s="550" t="s">
        <v>13751</v>
      </c>
      <c r="B6020" s="334" t="s">
        <v>31</v>
      </c>
      <c r="C6020" s="334" t="s">
        <v>419</v>
      </c>
      <c r="D6020" s="335" t="s">
        <v>221</v>
      </c>
      <c r="E6020" s="336">
        <v>43761</v>
      </c>
      <c r="F6020" s="336">
        <v>43745</v>
      </c>
      <c r="G6020" s="336">
        <v>43761</v>
      </c>
      <c r="H6020" s="334" t="s">
        <v>13752</v>
      </c>
      <c r="I6020" s="426">
        <v>13636380076</v>
      </c>
      <c r="J6020" s="334" t="s">
        <v>13753</v>
      </c>
      <c r="K6020" s="455">
        <v>3000</v>
      </c>
      <c r="L6020" s="334">
        <v>11059</v>
      </c>
      <c r="M6020" s="338"/>
      <c r="N6020" s="362">
        <f t="shared" si="197"/>
        <v>11059</v>
      </c>
      <c r="X6020" s="339"/>
    </row>
    <row r="6021" s="330" customFormat="1" ht="15" customHeight="1" spans="1:24">
      <c r="A6021" s="348" t="s">
        <v>13074</v>
      </c>
      <c r="B6021" s="334" t="s">
        <v>31</v>
      </c>
      <c r="C6021" s="334" t="s">
        <v>251</v>
      </c>
      <c r="D6021" s="335" t="s">
        <v>33</v>
      </c>
      <c r="E6021" s="336">
        <v>43776</v>
      </c>
      <c r="F6021" s="336">
        <v>43745</v>
      </c>
      <c r="G6021" s="336">
        <v>43776</v>
      </c>
      <c r="H6021" s="334" t="s">
        <v>13754</v>
      </c>
      <c r="I6021" s="426">
        <v>18221190784</v>
      </c>
      <c r="J6021" s="334" t="s">
        <v>13755</v>
      </c>
      <c r="K6021" s="455">
        <v>1000</v>
      </c>
      <c r="L6021" s="334">
        <v>5962</v>
      </c>
      <c r="M6021" s="338"/>
      <c r="N6021" s="362">
        <f t="shared" si="197"/>
        <v>5962</v>
      </c>
      <c r="X6021" s="339"/>
    </row>
    <row r="6022" s="330" customFormat="1" ht="15" customHeight="1" spans="1:24">
      <c r="A6022" s="348"/>
      <c r="B6022" s="334" t="s">
        <v>35</v>
      </c>
      <c r="C6022" s="334" t="s">
        <v>36</v>
      </c>
      <c r="D6022" s="335" t="s">
        <v>37</v>
      </c>
      <c r="E6022" s="336">
        <v>43794</v>
      </c>
      <c r="F6022" s="336">
        <v>43745</v>
      </c>
      <c r="G6022" s="336">
        <v>43793</v>
      </c>
      <c r="H6022" s="334" t="s">
        <v>13756</v>
      </c>
      <c r="I6022" s="426">
        <v>13564399933</v>
      </c>
      <c r="J6022" s="334" t="s">
        <v>13757</v>
      </c>
      <c r="K6022" s="455">
        <v>10000</v>
      </c>
      <c r="L6022" s="334">
        <v>12711</v>
      </c>
      <c r="M6022" s="338"/>
      <c r="N6022" s="362">
        <f t="shared" si="197"/>
        <v>12711</v>
      </c>
      <c r="O6022" s="356" t="s">
        <v>52</v>
      </c>
      <c r="X6022" s="339"/>
    </row>
    <row r="6023" s="330" customFormat="1" ht="15" customHeight="1" spans="1:24">
      <c r="A6023" s="348"/>
      <c r="B6023" s="334" t="s">
        <v>315</v>
      </c>
      <c r="C6023" s="334" t="s">
        <v>161</v>
      </c>
      <c r="D6023" s="334" t="s">
        <v>162</v>
      </c>
      <c r="E6023" s="336">
        <v>43745</v>
      </c>
      <c r="F6023" s="336">
        <v>43745</v>
      </c>
      <c r="G6023" s="399">
        <v>43745</v>
      </c>
      <c r="H6023" s="334" t="s">
        <v>13758</v>
      </c>
      <c r="I6023" s="426">
        <v>13761342113</v>
      </c>
      <c r="J6023" s="334" t="s">
        <v>13759</v>
      </c>
      <c r="K6023" s="455">
        <v>6000</v>
      </c>
      <c r="L6023" s="334">
        <v>6000</v>
      </c>
      <c r="M6023" s="338"/>
      <c r="N6023" s="362">
        <f t="shared" si="197"/>
        <v>6000</v>
      </c>
      <c r="X6023" s="339"/>
    </row>
    <row r="6024" s="330" customFormat="1" ht="15" customHeight="1" spans="1:24">
      <c r="A6024" s="550" t="s">
        <v>13760</v>
      </c>
      <c r="B6024" s="334" t="s">
        <v>205</v>
      </c>
      <c r="C6024" s="334" t="s">
        <v>1467</v>
      </c>
      <c r="D6024" s="334" t="s">
        <v>407</v>
      </c>
      <c r="E6024" s="336">
        <v>43745</v>
      </c>
      <c r="F6024" s="336">
        <v>43745</v>
      </c>
      <c r="G6024" s="399">
        <v>43745</v>
      </c>
      <c r="H6024" s="334" t="s">
        <v>13761</v>
      </c>
      <c r="I6024" s="426">
        <v>13621666005</v>
      </c>
      <c r="J6024" s="334" t="s">
        <v>13762</v>
      </c>
      <c r="K6024" s="455">
        <v>12306</v>
      </c>
      <c r="L6024" s="334">
        <v>12306</v>
      </c>
      <c r="M6024" s="338"/>
      <c r="N6024" s="362">
        <f t="shared" si="197"/>
        <v>12306</v>
      </c>
      <c r="X6024" s="339"/>
    </row>
    <row r="6025" s="330" customFormat="1" ht="15" customHeight="1" spans="1:24">
      <c r="A6025" s="348" t="s">
        <v>13074</v>
      </c>
      <c r="B6025" s="334" t="s">
        <v>66</v>
      </c>
      <c r="C6025" s="334" t="s">
        <v>7029</v>
      </c>
      <c r="D6025" s="334" t="s">
        <v>1436</v>
      </c>
      <c r="E6025" s="336">
        <v>43772</v>
      </c>
      <c r="F6025" s="336">
        <v>43745</v>
      </c>
      <c r="G6025" s="336">
        <v>43770</v>
      </c>
      <c r="H6025" s="334" t="s">
        <v>13763</v>
      </c>
      <c r="I6025" s="426">
        <v>13764718067</v>
      </c>
      <c r="J6025" s="334" t="s">
        <v>13764</v>
      </c>
      <c r="K6025" s="455">
        <v>1000</v>
      </c>
      <c r="L6025" s="334">
        <v>11259</v>
      </c>
      <c r="M6025" s="338"/>
      <c r="N6025" s="362">
        <f t="shared" si="197"/>
        <v>11259</v>
      </c>
      <c r="X6025" s="339"/>
    </row>
    <row r="6026" s="330" customFormat="1" ht="15" customHeight="1" spans="1:24">
      <c r="A6026" s="348" t="s">
        <v>13074</v>
      </c>
      <c r="B6026" s="334" t="s">
        <v>58</v>
      </c>
      <c r="C6026" s="334" t="s">
        <v>347</v>
      </c>
      <c r="D6026" s="335" t="s">
        <v>343</v>
      </c>
      <c r="E6026" s="336">
        <v>43768</v>
      </c>
      <c r="F6026" s="336">
        <v>43745</v>
      </c>
      <c r="G6026" s="336">
        <v>43767</v>
      </c>
      <c r="H6026" s="334" t="s">
        <v>11246</v>
      </c>
      <c r="I6026" s="426">
        <v>13918227495</v>
      </c>
      <c r="J6026" s="334" t="s">
        <v>13765</v>
      </c>
      <c r="K6026" s="455">
        <v>10000</v>
      </c>
      <c r="L6026" s="334">
        <v>10000</v>
      </c>
      <c r="M6026" s="338"/>
      <c r="N6026" s="362">
        <f t="shared" si="197"/>
        <v>10000</v>
      </c>
      <c r="X6026" s="339"/>
    </row>
    <row r="6027" s="330" customFormat="1" ht="15" customHeight="1" spans="1:24">
      <c r="A6027" s="348">
        <v>2019330</v>
      </c>
      <c r="B6027" s="334" t="s">
        <v>42</v>
      </c>
      <c r="C6027" s="334" t="s">
        <v>43</v>
      </c>
      <c r="D6027" s="335" t="s">
        <v>44</v>
      </c>
      <c r="E6027" s="336">
        <v>43745</v>
      </c>
      <c r="F6027" s="336">
        <v>43745</v>
      </c>
      <c r="G6027" s="336">
        <v>43745</v>
      </c>
      <c r="H6027" s="334" t="s">
        <v>13605</v>
      </c>
      <c r="I6027" s="426">
        <v>13817982082</v>
      </c>
      <c r="J6027" s="334" t="s">
        <v>13766</v>
      </c>
      <c r="K6027" s="455">
        <v>10000</v>
      </c>
      <c r="L6027" s="455">
        <v>10000</v>
      </c>
      <c r="M6027" s="338"/>
      <c r="N6027" s="362">
        <f t="shared" si="197"/>
        <v>10000</v>
      </c>
      <c r="X6027" s="339"/>
    </row>
    <row r="6028" s="330" customFormat="1" ht="15" customHeight="1" spans="1:24">
      <c r="A6028" s="550" t="s">
        <v>13767</v>
      </c>
      <c r="B6028" s="334" t="s">
        <v>35</v>
      </c>
      <c r="C6028" s="334" t="s">
        <v>392</v>
      </c>
      <c r="D6028" s="334" t="s">
        <v>37</v>
      </c>
      <c r="E6028" s="336">
        <v>43745</v>
      </c>
      <c r="F6028" s="336">
        <v>43745</v>
      </c>
      <c r="G6028" s="336">
        <v>43745</v>
      </c>
      <c r="H6028" s="334" t="s">
        <v>13768</v>
      </c>
      <c r="I6028" s="426">
        <v>15001986099</v>
      </c>
      <c r="J6028" s="348" t="s">
        <v>13769</v>
      </c>
      <c r="K6028" s="455">
        <v>19000</v>
      </c>
      <c r="L6028" s="334">
        <v>19100</v>
      </c>
      <c r="M6028" s="338"/>
      <c r="N6028" s="362">
        <f t="shared" si="197"/>
        <v>19100</v>
      </c>
      <c r="X6028" s="339"/>
    </row>
    <row r="6029" s="330" customFormat="1" ht="15" customHeight="1" spans="1:24">
      <c r="A6029" s="348">
        <v>6078683</v>
      </c>
      <c r="B6029" s="334" t="s">
        <v>405</v>
      </c>
      <c r="C6029" s="334" t="s">
        <v>1234</v>
      </c>
      <c r="D6029" s="335" t="s">
        <v>407</v>
      </c>
      <c r="E6029" s="336">
        <v>43794</v>
      </c>
      <c r="F6029" s="336">
        <v>43745</v>
      </c>
      <c r="G6029" s="336">
        <v>43785</v>
      </c>
      <c r="H6029" s="334" t="s">
        <v>13770</v>
      </c>
      <c r="I6029" s="426">
        <v>13564873737</v>
      </c>
      <c r="J6029" s="334" t="s">
        <v>13771</v>
      </c>
      <c r="K6029" s="455">
        <v>5000</v>
      </c>
      <c r="L6029" s="334">
        <v>19017</v>
      </c>
      <c r="M6029" s="338"/>
      <c r="N6029" s="362">
        <f t="shared" si="197"/>
        <v>19017</v>
      </c>
      <c r="X6029" s="339"/>
    </row>
    <row r="6030" s="330" customFormat="1" ht="15" customHeight="1" spans="1:24">
      <c r="A6030" s="550" t="s">
        <v>13772</v>
      </c>
      <c r="B6030" s="334" t="s">
        <v>35</v>
      </c>
      <c r="C6030" s="334" t="s">
        <v>392</v>
      </c>
      <c r="D6030" s="334" t="s">
        <v>37</v>
      </c>
      <c r="E6030" s="336">
        <v>43745</v>
      </c>
      <c r="F6030" s="336">
        <v>43745</v>
      </c>
      <c r="G6030" s="336">
        <v>43745</v>
      </c>
      <c r="H6030" s="334" t="s">
        <v>13773</v>
      </c>
      <c r="I6030" s="426">
        <v>15921767496</v>
      </c>
      <c r="J6030" s="334" t="s">
        <v>13774</v>
      </c>
      <c r="K6030" s="455">
        <v>1000</v>
      </c>
      <c r="L6030" s="334">
        <v>17135</v>
      </c>
      <c r="M6030" s="338"/>
      <c r="N6030" s="362">
        <f t="shared" si="197"/>
        <v>17135</v>
      </c>
      <c r="X6030" s="339"/>
    </row>
    <row r="6031" s="330" customFormat="1" ht="15" customHeight="1" spans="1:24">
      <c r="A6031" s="348"/>
      <c r="B6031" s="334" t="s">
        <v>315</v>
      </c>
      <c r="C6031" s="334" t="s">
        <v>161</v>
      </c>
      <c r="D6031" s="335" t="s">
        <v>162</v>
      </c>
      <c r="E6031" s="336">
        <v>43745</v>
      </c>
      <c r="F6031" s="336">
        <v>43745</v>
      </c>
      <c r="G6031" s="399"/>
      <c r="H6031" s="334" t="s">
        <v>13775</v>
      </c>
      <c r="I6031" s="426">
        <v>18616532468</v>
      </c>
      <c r="J6031" s="334" t="s">
        <v>13776</v>
      </c>
      <c r="K6031" s="455">
        <v>1000</v>
      </c>
      <c r="L6031" s="338"/>
      <c r="M6031" s="338"/>
      <c r="N6031" s="362">
        <f t="shared" si="197"/>
        <v>0</v>
      </c>
      <c r="O6031" s="330">
        <v>1</v>
      </c>
      <c r="X6031" s="339"/>
    </row>
    <row r="6032" s="330" customFormat="1" ht="15" customHeight="1" spans="1:24">
      <c r="A6032" s="550" t="s">
        <v>13777</v>
      </c>
      <c r="B6032" s="348" t="s">
        <v>73</v>
      </c>
      <c r="C6032" s="348" t="s">
        <v>178</v>
      </c>
      <c r="D6032" s="335" t="s">
        <v>75</v>
      </c>
      <c r="E6032" s="336">
        <v>43751</v>
      </c>
      <c r="F6032" s="336">
        <v>43751</v>
      </c>
      <c r="G6032" s="399"/>
      <c r="H6032" s="334" t="s">
        <v>13778</v>
      </c>
      <c r="I6032" s="444">
        <v>18602174925</v>
      </c>
      <c r="J6032" s="348" t="s">
        <v>13779</v>
      </c>
      <c r="K6032" s="452">
        <v>1000</v>
      </c>
      <c r="L6032" s="338"/>
      <c r="M6032" s="338"/>
      <c r="N6032" s="362">
        <f t="shared" si="197"/>
        <v>0</v>
      </c>
      <c r="Q6032" s="405" t="s">
        <v>52</v>
      </c>
      <c r="R6032" s="331"/>
      <c r="X6032" s="339"/>
    </row>
    <row r="6033" s="330" customFormat="1" ht="15" customHeight="1" spans="1:24">
      <c r="A6033" s="550" t="s">
        <v>13780</v>
      </c>
      <c r="B6033" s="334" t="s">
        <v>236</v>
      </c>
      <c r="C6033" s="334" t="s">
        <v>195</v>
      </c>
      <c r="D6033" s="334" t="s">
        <v>8334</v>
      </c>
      <c r="E6033" s="336">
        <v>43803</v>
      </c>
      <c r="F6033" s="336">
        <v>43745</v>
      </c>
      <c r="G6033" s="336">
        <v>43803</v>
      </c>
      <c r="H6033" s="334" t="s">
        <v>13781</v>
      </c>
      <c r="I6033" s="426">
        <v>13817941090</v>
      </c>
      <c r="J6033" s="426" t="s">
        <v>13782</v>
      </c>
      <c r="K6033" s="455">
        <v>4934</v>
      </c>
      <c r="L6033" s="334">
        <v>4934</v>
      </c>
      <c r="M6033" s="338"/>
      <c r="N6033" s="362">
        <f t="shared" ref="N6033:N6063" si="198">L6033+M6033</f>
        <v>4934</v>
      </c>
      <c r="X6033" s="339"/>
    </row>
    <row r="6034" s="330" customFormat="1" ht="15" customHeight="1" spans="1:24">
      <c r="A6034" s="550" t="s">
        <v>2667</v>
      </c>
      <c r="B6034" s="334" t="s">
        <v>35</v>
      </c>
      <c r="C6034" s="334" t="s">
        <v>392</v>
      </c>
      <c r="D6034" s="334" t="s">
        <v>44</v>
      </c>
      <c r="E6034" s="336">
        <v>43795</v>
      </c>
      <c r="F6034" s="336">
        <v>43745</v>
      </c>
      <c r="G6034" s="336">
        <v>43794</v>
      </c>
      <c r="H6034" s="334" t="s">
        <v>13783</v>
      </c>
      <c r="I6034" s="426">
        <v>15900917719</v>
      </c>
      <c r="J6034" s="334" t="s">
        <v>13784</v>
      </c>
      <c r="K6034" s="455">
        <v>1000</v>
      </c>
      <c r="L6034" s="334">
        <v>11785</v>
      </c>
      <c r="M6034" s="338"/>
      <c r="N6034" s="362">
        <f t="shared" si="198"/>
        <v>11785</v>
      </c>
      <c r="P6034" s="356"/>
      <c r="S6034" s="356" t="s">
        <v>52</v>
      </c>
      <c r="V6034" s="372" t="s">
        <v>98</v>
      </c>
      <c r="X6034" s="339"/>
    </row>
    <row r="6035" s="330" customFormat="1" ht="15" customHeight="1" spans="1:24">
      <c r="A6035" s="550" t="s">
        <v>2680</v>
      </c>
      <c r="B6035" s="334" t="s">
        <v>35</v>
      </c>
      <c r="C6035" s="334" t="s">
        <v>392</v>
      </c>
      <c r="D6035" s="334" t="s">
        <v>37</v>
      </c>
      <c r="E6035" s="336">
        <v>43745</v>
      </c>
      <c r="F6035" s="336">
        <v>43745</v>
      </c>
      <c r="G6035" s="336">
        <v>43745</v>
      </c>
      <c r="H6035" s="334" t="s">
        <v>13785</v>
      </c>
      <c r="I6035" s="426">
        <v>13818256223</v>
      </c>
      <c r="J6035" s="334" t="s">
        <v>13786</v>
      </c>
      <c r="K6035" s="455">
        <v>10000</v>
      </c>
      <c r="L6035" s="334">
        <v>10000</v>
      </c>
      <c r="M6035" s="338"/>
      <c r="N6035" s="362">
        <f t="shared" si="198"/>
        <v>10000</v>
      </c>
      <c r="X6035" s="339"/>
    </row>
    <row r="6036" s="330" customFormat="1" ht="15" customHeight="1" spans="1:24">
      <c r="A6036" s="348" t="s">
        <v>13074</v>
      </c>
      <c r="B6036" s="334" t="s">
        <v>236</v>
      </c>
      <c r="C6036" s="334" t="s">
        <v>195</v>
      </c>
      <c r="D6036" s="334" t="s">
        <v>207</v>
      </c>
      <c r="E6036" s="336">
        <v>43763</v>
      </c>
      <c r="F6036" s="336">
        <v>43745</v>
      </c>
      <c r="G6036" s="336">
        <v>43760</v>
      </c>
      <c r="H6036" s="334" t="s">
        <v>13787</v>
      </c>
      <c r="I6036" s="558" t="s">
        <v>13788</v>
      </c>
      <c r="J6036" s="334" t="s">
        <v>13789</v>
      </c>
      <c r="K6036" s="455">
        <v>4054</v>
      </c>
      <c r="L6036" s="334">
        <v>4054</v>
      </c>
      <c r="M6036" s="338"/>
      <c r="N6036" s="362">
        <f t="shared" si="198"/>
        <v>4054</v>
      </c>
      <c r="X6036" s="339"/>
    </row>
    <row r="6037" s="330" customFormat="1" ht="15" customHeight="1" spans="1:24">
      <c r="A6037" s="348" t="s">
        <v>13074</v>
      </c>
      <c r="B6037" s="334" t="s">
        <v>236</v>
      </c>
      <c r="C6037" s="334" t="s">
        <v>195</v>
      </c>
      <c r="D6037" s="334" t="s">
        <v>207</v>
      </c>
      <c r="E6037" s="336">
        <v>43799</v>
      </c>
      <c r="F6037" s="336">
        <v>43745</v>
      </c>
      <c r="G6037" s="336">
        <v>43798</v>
      </c>
      <c r="H6037" s="334" t="s">
        <v>13790</v>
      </c>
      <c r="I6037" s="426">
        <v>13020286597</v>
      </c>
      <c r="J6037" s="334" t="s">
        <v>13791</v>
      </c>
      <c r="K6037" s="455">
        <v>40000</v>
      </c>
      <c r="L6037" s="334">
        <v>40000</v>
      </c>
      <c r="M6037" s="338"/>
      <c r="N6037" s="362">
        <f t="shared" si="198"/>
        <v>40000</v>
      </c>
      <c r="X6037" s="339"/>
    </row>
    <row r="6038" s="330" customFormat="1" ht="15" customHeight="1" spans="1:24">
      <c r="A6038" s="348" t="s">
        <v>13074</v>
      </c>
      <c r="B6038" s="334" t="s">
        <v>35</v>
      </c>
      <c r="C6038" s="334" t="s">
        <v>392</v>
      </c>
      <c r="D6038" s="335" t="s">
        <v>37</v>
      </c>
      <c r="E6038" s="336">
        <v>43745</v>
      </c>
      <c r="F6038" s="336">
        <v>43745</v>
      </c>
      <c r="G6038" s="399"/>
      <c r="H6038" s="334" t="s">
        <v>13792</v>
      </c>
      <c r="I6038" s="426">
        <v>15836684268</v>
      </c>
      <c r="J6038" s="334" t="s">
        <v>13793</v>
      </c>
      <c r="K6038" s="455">
        <v>1000</v>
      </c>
      <c r="L6038" s="338"/>
      <c r="M6038" s="338"/>
      <c r="N6038" s="362">
        <f t="shared" si="198"/>
        <v>0</v>
      </c>
      <c r="Q6038" s="356"/>
      <c r="S6038" s="356" t="s">
        <v>52</v>
      </c>
      <c r="U6038" s="399" t="s">
        <v>40</v>
      </c>
      <c r="X6038" s="339"/>
    </row>
    <row r="6039" s="330" customFormat="1" ht="15" customHeight="1" spans="1:24">
      <c r="A6039" s="348" t="s">
        <v>13074</v>
      </c>
      <c r="B6039" s="334" t="s">
        <v>66</v>
      </c>
      <c r="C6039" s="334" t="s">
        <v>951</v>
      </c>
      <c r="D6039" s="335" t="s">
        <v>2302</v>
      </c>
      <c r="E6039" s="336">
        <v>43745</v>
      </c>
      <c r="F6039" s="336">
        <v>43745</v>
      </c>
      <c r="G6039" s="336">
        <v>43745</v>
      </c>
      <c r="H6039" s="334" t="s">
        <v>13794</v>
      </c>
      <c r="I6039" s="426">
        <v>13371888521</v>
      </c>
      <c r="J6039" s="334" t="s">
        <v>13795</v>
      </c>
      <c r="K6039" s="455">
        <v>1000</v>
      </c>
      <c r="L6039" s="334">
        <v>10000</v>
      </c>
      <c r="M6039" s="338"/>
      <c r="N6039" s="362">
        <f t="shared" si="198"/>
        <v>10000</v>
      </c>
      <c r="X6039" s="339"/>
    </row>
    <row r="6040" s="330" customFormat="1" ht="15" customHeight="1" spans="1:24">
      <c r="A6040" s="550" t="s">
        <v>13796</v>
      </c>
      <c r="B6040" s="334" t="s">
        <v>35</v>
      </c>
      <c r="C6040" s="334" t="s">
        <v>392</v>
      </c>
      <c r="D6040" s="334" t="s">
        <v>187</v>
      </c>
      <c r="E6040" s="336">
        <v>43795</v>
      </c>
      <c r="F6040" s="336">
        <v>43745</v>
      </c>
      <c r="G6040" s="336">
        <v>43795</v>
      </c>
      <c r="H6040" s="334" t="s">
        <v>13797</v>
      </c>
      <c r="I6040" s="426">
        <v>18629902821</v>
      </c>
      <c r="J6040" s="334" t="s">
        <v>13798</v>
      </c>
      <c r="K6040" s="455">
        <v>1000</v>
      </c>
      <c r="L6040" s="334">
        <v>14541</v>
      </c>
      <c r="M6040" s="338"/>
      <c r="N6040" s="362">
        <f t="shared" si="198"/>
        <v>14541</v>
      </c>
      <c r="Q6040" s="356" t="s">
        <v>52</v>
      </c>
      <c r="X6040" s="339"/>
    </row>
    <row r="6041" s="330" customFormat="1" ht="15" customHeight="1" spans="1:24">
      <c r="A6041" s="550" t="s">
        <v>13799</v>
      </c>
      <c r="B6041" s="334" t="s">
        <v>805</v>
      </c>
      <c r="C6041" s="334" t="s">
        <v>806</v>
      </c>
      <c r="D6041" s="335" t="s">
        <v>171</v>
      </c>
      <c r="E6041" s="336">
        <v>43802</v>
      </c>
      <c r="F6041" s="336">
        <v>43745</v>
      </c>
      <c r="G6041" s="336">
        <v>43801</v>
      </c>
      <c r="H6041" s="334" t="s">
        <v>13800</v>
      </c>
      <c r="I6041" s="334">
        <v>15021736572</v>
      </c>
      <c r="J6041" s="334" t="s">
        <v>13801</v>
      </c>
      <c r="K6041" s="334">
        <v>1000</v>
      </c>
      <c r="L6041" s="334">
        <v>6000</v>
      </c>
      <c r="M6041" s="338"/>
      <c r="N6041" s="362">
        <f t="shared" si="198"/>
        <v>6000</v>
      </c>
      <c r="X6041" s="339"/>
    </row>
    <row r="6042" s="330" customFormat="1" ht="15" customHeight="1" spans="1:24">
      <c r="A6042" s="348"/>
      <c r="B6042" s="348" t="s">
        <v>169</v>
      </c>
      <c r="C6042" s="348" t="s">
        <v>542</v>
      </c>
      <c r="D6042" s="335" t="s">
        <v>171</v>
      </c>
      <c r="E6042" s="336">
        <v>43792</v>
      </c>
      <c r="F6042" s="336">
        <v>43745</v>
      </c>
      <c r="G6042" s="336">
        <v>43792</v>
      </c>
      <c r="H6042" s="334" t="s">
        <v>13802</v>
      </c>
      <c r="I6042" s="444">
        <v>13564279855</v>
      </c>
      <c r="J6042" s="348" t="s">
        <v>13803</v>
      </c>
      <c r="K6042" s="452">
        <v>2000</v>
      </c>
      <c r="L6042" s="334">
        <v>22000</v>
      </c>
      <c r="M6042" s="338"/>
      <c r="N6042" s="362">
        <f t="shared" si="198"/>
        <v>22000</v>
      </c>
      <c r="V6042" s="372" t="s">
        <v>765</v>
      </c>
      <c r="X6042" s="339"/>
    </row>
    <row r="6043" s="330" customFormat="1" ht="15" customHeight="1" spans="1:24">
      <c r="A6043" s="334"/>
      <c r="B6043" s="348" t="s">
        <v>87</v>
      </c>
      <c r="C6043" s="348" t="s">
        <v>199</v>
      </c>
      <c r="D6043" s="352" t="s">
        <v>89</v>
      </c>
      <c r="E6043" s="336">
        <v>43745</v>
      </c>
      <c r="F6043" s="336"/>
      <c r="G6043" s="336">
        <v>43744</v>
      </c>
      <c r="H6043" s="334" t="s">
        <v>8931</v>
      </c>
      <c r="I6043" s="356">
        <v>13621768196</v>
      </c>
      <c r="J6043" s="348" t="s">
        <v>8932</v>
      </c>
      <c r="K6043" s="337"/>
      <c r="L6043" s="334">
        <v>35396</v>
      </c>
      <c r="M6043" s="334"/>
      <c r="N6043" s="362">
        <f t="shared" si="198"/>
        <v>35396</v>
      </c>
      <c r="X6043" s="339"/>
    </row>
    <row r="6044" s="330" customFormat="1" ht="15" customHeight="1" spans="1:24">
      <c r="A6044" s="334"/>
      <c r="B6044" s="334" t="s">
        <v>137</v>
      </c>
      <c r="C6044" s="334" t="s">
        <v>861</v>
      </c>
      <c r="D6044" s="334" t="s">
        <v>427</v>
      </c>
      <c r="E6044" s="336">
        <v>43745</v>
      </c>
      <c r="F6044" s="336"/>
      <c r="G6044" s="336">
        <v>43745</v>
      </c>
      <c r="H6044" s="334" t="s">
        <v>13804</v>
      </c>
      <c r="I6044" s="334">
        <v>13817274319</v>
      </c>
      <c r="J6044" s="334" t="s">
        <v>13805</v>
      </c>
      <c r="K6044" s="337"/>
      <c r="L6044" s="334">
        <v>30000</v>
      </c>
      <c r="M6044" s="338"/>
      <c r="N6044" s="362">
        <f t="shared" si="198"/>
        <v>30000</v>
      </c>
      <c r="X6044" s="339"/>
    </row>
    <row r="6045" s="330" customFormat="1" ht="15" customHeight="1" spans="1:24">
      <c r="A6045" s="334"/>
      <c r="B6045" s="334" t="s">
        <v>137</v>
      </c>
      <c r="C6045" s="334" t="s">
        <v>861</v>
      </c>
      <c r="D6045" s="334" t="s">
        <v>139</v>
      </c>
      <c r="E6045" s="336">
        <v>43745</v>
      </c>
      <c r="F6045" s="336"/>
      <c r="G6045" s="336">
        <v>43745</v>
      </c>
      <c r="H6045" s="334" t="s">
        <v>13806</v>
      </c>
      <c r="I6045" s="334">
        <v>13761735615</v>
      </c>
      <c r="J6045" s="334" t="s">
        <v>13807</v>
      </c>
      <c r="K6045" s="337"/>
      <c r="L6045" s="334">
        <v>15000</v>
      </c>
      <c r="M6045" s="338"/>
      <c r="N6045" s="362">
        <f t="shared" si="198"/>
        <v>15000</v>
      </c>
      <c r="X6045" s="339"/>
    </row>
    <row r="6046" s="330" customFormat="1" ht="15" customHeight="1" spans="1:24">
      <c r="A6046" s="334"/>
      <c r="B6046" s="334" t="s">
        <v>137</v>
      </c>
      <c r="C6046" s="334" t="s">
        <v>861</v>
      </c>
      <c r="D6046" s="334" t="s">
        <v>443</v>
      </c>
      <c r="E6046" s="336">
        <v>43745</v>
      </c>
      <c r="F6046" s="336"/>
      <c r="G6046" s="336">
        <v>43745</v>
      </c>
      <c r="H6046" s="334" t="s">
        <v>13808</v>
      </c>
      <c r="I6046" s="334">
        <v>17721236650</v>
      </c>
      <c r="J6046" s="334" t="s">
        <v>13809</v>
      </c>
      <c r="K6046" s="337"/>
      <c r="L6046" s="334">
        <v>12600</v>
      </c>
      <c r="M6046" s="338"/>
      <c r="N6046" s="362">
        <f t="shared" si="198"/>
        <v>12600</v>
      </c>
      <c r="X6046" s="339"/>
    </row>
    <row r="6047" s="330" customFormat="1" ht="15" customHeight="1" spans="1:24">
      <c r="A6047" s="334"/>
      <c r="B6047" s="348" t="s">
        <v>73</v>
      </c>
      <c r="C6047" s="348" t="s">
        <v>74</v>
      </c>
      <c r="D6047" s="334" t="s">
        <v>143</v>
      </c>
      <c r="E6047" s="336">
        <v>43745</v>
      </c>
      <c r="F6047" s="336"/>
      <c r="G6047" s="336">
        <v>43744</v>
      </c>
      <c r="H6047" s="334" t="s">
        <v>13810</v>
      </c>
      <c r="I6047" s="334">
        <v>13764939316</v>
      </c>
      <c r="J6047" s="334" t="s">
        <v>2355</v>
      </c>
      <c r="K6047" s="337"/>
      <c r="L6047" s="334">
        <v>139550</v>
      </c>
      <c r="M6047" s="338"/>
      <c r="N6047" s="362">
        <f t="shared" si="198"/>
        <v>139550</v>
      </c>
      <c r="X6047" s="339"/>
    </row>
    <row r="6048" s="330" customFormat="1" ht="15" customHeight="1" spans="1:24">
      <c r="A6048" s="334"/>
      <c r="B6048" s="334" t="s">
        <v>58</v>
      </c>
      <c r="C6048" s="334" t="s">
        <v>794</v>
      </c>
      <c r="D6048" s="334" t="s">
        <v>271</v>
      </c>
      <c r="E6048" s="336">
        <v>43745</v>
      </c>
      <c r="F6048" s="336"/>
      <c r="G6048" s="336">
        <v>43745</v>
      </c>
      <c r="H6048" s="334" t="s">
        <v>13811</v>
      </c>
      <c r="I6048" s="334">
        <v>18016002510</v>
      </c>
      <c r="J6048" s="334" t="s">
        <v>13812</v>
      </c>
      <c r="K6048" s="337"/>
      <c r="L6048" s="334">
        <v>4062</v>
      </c>
      <c r="M6048" s="338"/>
      <c r="N6048" s="362">
        <f t="shared" si="198"/>
        <v>4062</v>
      </c>
      <c r="X6048" s="339"/>
    </row>
    <row r="6049" s="330" customFormat="1" ht="15" customHeight="1" spans="1:24">
      <c r="A6049" s="334"/>
      <c r="B6049" s="348" t="s">
        <v>87</v>
      </c>
      <c r="C6049" s="348" t="s">
        <v>466</v>
      </c>
      <c r="D6049" s="352" t="s">
        <v>89</v>
      </c>
      <c r="E6049" s="336">
        <v>43745</v>
      </c>
      <c r="F6049" s="336"/>
      <c r="G6049" s="336">
        <v>43745</v>
      </c>
      <c r="H6049" s="334" t="s">
        <v>13813</v>
      </c>
      <c r="I6049" s="334">
        <v>18862928036</v>
      </c>
      <c r="J6049" s="334" t="s">
        <v>9325</v>
      </c>
      <c r="K6049" s="337"/>
      <c r="L6049" s="334">
        <v>14501</v>
      </c>
      <c r="M6049" s="338"/>
      <c r="N6049" s="362">
        <f t="shared" si="198"/>
        <v>14501</v>
      </c>
      <c r="X6049" s="339"/>
    </row>
    <row r="6050" s="330" customFormat="1" ht="15" customHeight="1" spans="1:24">
      <c r="A6050" s="334"/>
      <c r="B6050" s="334" t="s">
        <v>153</v>
      </c>
      <c r="C6050" s="334" t="s">
        <v>154</v>
      </c>
      <c r="D6050" s="334" t="s">
        <v>155</v>
      </c>
      <c r="E6050" s="336">
        <v>43745</v>
      </c>
      <c r="F6050" s="336"/>
      <c r="G6050" s="336">
        <v>43744</v>
      </c>
      <c r="H6050" s="334" t="s">
        <v>13814</v>
      </c>
      <c r="I6050" s="356">
        <v>13901803461</v>
      </c>
      <c r="J6050" s="348" t="s">
        <v>13815</v>
      </c>
      <c r="K6050" s="337"/>
      <c r="L6050" s="334">
        <v>31169</v>
      </c>
      <c r="M6050" s="338"/>
      <c r="N6050" s="362">
        <f t="shared" si="198"/>
        <v>31169</v>
      </c>
      <c r="X6050" s="339"/>
    </row>
    <row r="6051" s="330" customFormat="1" ht="15" customHeight="1" spans="1:24">
      <c r="A6051" s="334"/>
      <c r="B6051" s="334" t="s">
        <v>354</v>
      </c>
      <c r="C6051" s="334" t="s">
        <v>355</v>
      </c>
      <c r="D6051" s="334" t="s">
        <v>237</v>
      </c>
      <c r="E6051" s="336">
        <v>43745</v>
      </c>
      <c r="F6051" s="336"/>
      <c r="G6051" s="336">
        <v>43744</v>
      </c>
      <c r="H6051" s="334" t="s">
        <v>7911</v>
      </c>
      <c r="I6051" s="552" t="s">
        <v>13816</v>
      </c>
      <c r="J6051" s="348" t="s">
        <v>13817</v>
      </c>
      <c r="K6051" s="337"/>
      <c r="L6051" s="334">
        <v>14047</v>
      </c>
      <c r="M6051" s="338"/>
      <c r="N6051" s="362">
        <f t="shared" si="198"/>
        <v>14047</v>
      </c>
      <c r="X6051" s="339"/>
    </row>
    <row r="6052" s="330" customFormat="1" ht="15" customHeight="1" spans="1:24">
      <c r="A6052" s="334"/>
      <c r="B6052" s="334" t="s">
        <v>66</v>
      </c>
      <c r="C6052" s="334" t="s">
        <v>3954</v>
      </c>
      <c r="D6052" s="334" t="s">
        <v>68</v>
      </c>
      <c r="E6052" s="336">
        <v>43745</v>
      </c>
      <c r="F6052" s="336"/>
      <c r="G6052" s="336">
        <v>43745</v>
      </c>
      <c r="H6052" s="334" t="s">
        <v>13818</v>
      </c>
      <c r="I6052" s="334">
        <v>13813527088</v>
      </c>
      <c r="J6052" s="334" t="s">
        <v>13819</v>
      </c>
      <c r="K6052" s="337"/>
      <c r="L6052" s="334">
        <v>10000</v>
      </c>
      <c r="M6052" s="338"/>
      <c r="N6052" s="362">
        <f t="shared" si="198"/>
        <v>10000</v>
      </c>
      <c r="X6052" s="339"/>
    </row>
    <row r="6053" s="330" customFormat="1" ht="15" customHeight="1" spans="1:24">
      <c r="A6053" s="334"/>
      <c r="B6053" s="334" t="s">
        <v>87</v>
      </c>
      <c r="C6053" s="334" t="s">
        <v>199</v>
      </c>
      <c r="D6053" s="334" t="s">
        <v>89</v>
      </c>
      <c r="E6053" s="336">
        <v>43745</v>
      </c>
      <c r="F6053" s="336"/>
      <c r="G6053" s="336">
        <v>43745</v>
      </c>
      <c r="H6053" s="334" t="s">
        <v>13820</v>
      </c>
      <c r="I6053" s="551" t="s">
        <v>13821</v>
      </c>
      <c r="J6053" s="334" t="s">
        <v>13822</v>
      </c>
      <c r="K6053" s="337"/>
      <c r="L6053" s="334">
        <v>50000</v>
      </c>
      <c r="M6053" s="338"/>
      <c r="N6053" s="362">
        <f t="shared" si="198"/>
        <v>50000</v>
      </c>
      <c r="X6053" s="339"/>
    </row>
    <row r="6054" s="330" customFormat="1" ht="15" customHeight="1" spans="1:24">
      <c r="A6054" s="334"/>
      <c r="B6054" s="334" t="s">
        <v>236</v>
      </c>
      <c r="C6054" s="334" t="s">
        <v>703</v>
      </c>
      <c r="D6054" s="334" t="s">
        <v>207</v>
      </c>
      <c r="E6054" s="336">
        <v>43745</v>
      </c>
      <c r="F6054" s="336"/>
      <c r="G6054" s="336">
        <v>43745</v>
      </c>
      <c r="H6054" s="334" t="s">
        <v>13823</v>
      </c>
      <c r="I6054" s="334">
        <v>13918018770</v>
      </c>
      <c r="J6054" s="334" t="s">
        <v>13824</v>
      </c>
      <c r="K6054" s="337"/>
      <c r="L6054" s="334">
        <v>13000</v>
      </c>
      <c r="M6054" s="338"/>
      <c r="N6054" s="362">
        <f t="shared" si="198"/>
        <v>13000</v>
      </c>
      <c r="X6054" s="339"/>
    </row>
    <row r="6055" s="330" customFormat="1" ht="15" customHeight="1" spans="1:24">
      <c r="A6055" s="334"/>
      <c r="B6055" s="334" t="s">
        <v>42</v>
      </c>
      <c r="C6055" s="334" t="s">
        <v>43</v>
      </c>
      <c r="D6055" s="334" t="s">
        <v>207</v>
      </c>
      <c r="E6055" s="336">
        <v>43745</v>
      </c>
      <c r="F6055" s="336"/>
      <c r="G6055" s="336">
        <v>43745</v>
      </c>
      <c r="H6055" s="334" t="s">
        <v>13825</v>
      </c>
      <c r="I6055" s="334">
        <v>15026745289</v>
      </c>
      <c r="J6055" s="334" t="s">
        <v>12889</v>
      </c>
      <c r="K6055" s="337"/>
      <c r="L6055" s="334">
        <v>18090</v>
      </c>
      <c r="M6055" s="338"/>
      <c r="N6055" s="362">
        <f t="shared" si="198"/>
        <v>18090</v>
      </c>
      <c r="X6055" s="339"/>
    </row>
    <row r="6056" s="330" customFormat="1" ht="15" customHeight="1" spans="1:24">
      <c r="A6056" s="334"/>
      <c r="B6056" s="334" t="s">
        <v>42</v>
      </c>
      <c r="C6056" s="334" t="s">
        <v>43</v>
      </c>
      <c r="D6056" s="334" t="s">
        <v>207</v>
      </c>
      <c r="E6056" s="336">
        <v>43745</v>
      </c>
      <c r="F6056" s="336"/>
      <c r="G6056" s="336">
        <v>43745</v>
      </c>
      <c r="H6056" s="334" t="s">
        <v>13826</v>
      </c>
      <c r="I6056" s="334">
        <v>18602129053</v>
      </c>
      <c r="J6056" s="334" t="s">
        <v>13827</v>
      </c>
      <c r="K6056" s="337"/>
      <c r="L6056" s="334">
        <v>13259</v>
      </c>
      <c r="M6056" s="338"/>
      <c r="N6056" s="362">
        <f t="shared" si="198"/>
        <v>13259</v>
      </c>
      <c r="X6056" s="339"/>
    </row>
    <row r="6057" s="330" customFormat="1" ht="15" customHeight="1" spans="1:24">
      <c r="A6057" s="334"/>
      <c r="B6057" s="334" t="s">
        <v>42</v>
      </c>
      <c r="C6057" s="334" t="s">
        <v>43</v>
      </c>
      <c r="D6057" s="334" t="s">
        <v>207</v>
      </c>
      <c r="E6057" s="336">
        <v>43745</v>
      </c>
      <c r="F6057" s="336"/>
      <c r="G6057" s="336">
        <v>43745</v>
      </c>
      <c r="H6057" s="334" t="s">
        <v>13828</v>
      </c>
      <c r="I6057" s="334">
        <v>17721005485</v>
      </c>
      <c r="J6057" s="334" t="s">
        <v>13829</v>
      </c>
      <c r="K6057" s="337"/>
      <c r="L6057" s="334">
        <v>9983</v>
      </c>
      <c r="M6057" s="338"/>
      <c r="N6057" s="362">
        <f t="shared" si="198"/>
        <v>9983</v>
      </c>
      <c r="X6057" s="339"/>
    </row>
    <row r="6058" s="330" customFormat="1" ht="15" customHeight="1" spans="1:24">
      <c r="A6058" s="334"/>
      <c r="B6058" s="334" t="s">
        <v>66</v>
      </c>
      <c r="C6058" s="334" t="s">
        <v>119</v>
      </c>
      <c r="D6058" s="334" t="s">
        <v>2302</v>
      </c>
      <c r="E6058" s="336">
        <v>43745</v>
      </c>
      <c r="F6058" s="336"/>
      <c r="G6058" s="336">
        <v>43745</v>
      </c>
      <c r="H6058" s="334" t="s">
        <v>13830</v>
      </c>
      <c r="I6058" s="334">
        <v>13788915568</v>
      </c>
      <c r="J6058" s="334" t="s">
        <v>13831</v>
      </c>
      <c r="K6058" s="337"/>
      <c r="L6058" s="334">
        <v>10000</v>
      </c>
      <c r="M6058" s="338"/>
      <c r="N6058" s="362">
        <f t="shared" si="198"/>
        <v>10000</v>
      </c>
      <c r="X6058" s="339"/>
    </row>
    <row r="6059" s="330" customFormat="1" ht="15" customHeight="1" spans="1:24">
      <c r="A6059" s="334"/>
      <c r="B6059" s="334" t="s">
        <v>66</v>
      </c>
      <c r="C6059" s="334" t="s">
        <v>119</v>
      </c>
      <c r="D6059" s="334" t="s">
        <v>1436</v>
      </c>
      <c r="E6059" s="336">
        <v>43745</v>
      </c>
      <c r="F6059" s="336"/>
      <c r="G6059" s="336">
        <v>43745</v>
      </c>
      <c r="H6059" s="334" t="s">
        <v>13832</v>
      </c>
      <c r="I6059" s="334">
        <v>13601928678</v>
      </c>
      <c r="J6059" s="334" t="s">
        <v>13833</v>
      </c>
      <c r="K6059" s="337"/>
      <c r="L6059" s="334">
        <v>10000</v>
      </c>
      <c r="M6059" s="338"/>
      <c r="N6059" s="362">
        <f t="shared" si="198"/>
        <v>10000</v>
      </c>
      <c r="X6059" s="339"/>
    </row>
    <row r="6060" s="330" customFormat="1" ht="15" customHeight="1" spans="1:24">
      <c r="A6060" s="334"/>
      <c r="B6060" s="334" t="s">
        <v>66</v>
      </c>
      <c r="C6060" s="334" t="s">
        <v>1749</v>
      </c>
      <c r="D6060" s="334" t="s">
        <v>68</v>
      </c>
      <c r="E6060" s="336">
        <v>43745</v>
      </c>
      <c r="F6060" s="336"/>
      <c r="G6060" s="336">
        <v>43745</v>
      </c>
      <c r="H6060" s="334" t="s">
        <v>13834</v>
      </c>
      <c r="I6060" s="334">
        <v>13564059608</v>
      </c>
      <c r="J6060" s="334" t="s">
        <v>13835</v>
      </c>
      <c r="K6060" s="337"/>
      <c r="L6060" s="334">
        <v>10000</v>
      </c>
      <c r="M6060" s="338"/>
      <c r="N6060" s="362">
        <f t="shared" si="198"/>
        <v>10000</v>
      </c>
      <c r="X6060" s="339"/>
    </row>
    <row r="6061" s="330" customFormat="1" ht="15" customHeight="1" spans="1:24">
      <c r="A6061" s="334"/>
      <c r="B6061" s="334" t="s">
        <v>66</v>
      </c>
      <c r="C6061" s="334" t="s">
        <v>1749</v>
      </c>
      <c r="D6061" s="334" t="s">
        <v>2302</v>
      </c>
      <c r="E6061" s="336">
        <v>43745</v>
      </c>
      <c r="F6061" s="336"/>
      <c r="G6061" s="336">
        <v>43745</v>
      </c>
      <c r="H6061" s="492" t="s">
        <v>13836</v>
      </c>
      <c r="I6061" s="551" t="s">
        <v>13837</v>
      </c>
      <c r="J6061" s="334" t="s">
        <v>13838</v>
      </c>
      <c r="K6061" s="337"/>
      <c r="L6061" s="334">
        <v>10000</v>
      </c>
      <c r="M6061" s="334">
        <v>10000</v>
      </c>
      <c r="N6061" s="362">
        <f t="shared" si="198"/>
        <v>20000</v>
      </c>
      <c r="X6061" s="339"/>
    </row>
    <row r="6062" s="330" customFormat="1" ht="15" customHeight="1" spans="1:24">
      <c r="A6062" s="334"/>
      <c r="B6062" s="334" t="s">
        <v>405</v>
      </c>
      <c r="C6062" s="334" t="s">
        <v>1234</v>
      </c>
      <c r="D6062" s="334" t="s">
        <v>407</v>
      </c>
      <c r="E6062" s="336">
        <v>43745</v>
      </c>
      <c r="F6062" s="336"/>
      <c r="G6062" s="336">
        <v>43745</v>
      </c>
      <c r="H6062" s="334" t="s">
        <v>3909</v>
      </c>
      <c r="I6062" s="334">
        <v>13671859889</v>
      </c>
      <c r="J6062" s="334" t="s">
        <v>13839</v>
      </c>
      <c r="K6062" s="337"/>
      <c r="L6062" s="334">
        <v>24162</v>
      </c>
      <c r="M6062" s="334">
        <v>180</v>
      </c>
      <c r="N6062" s="362">
        <f t="shared" si="198"/>
        <v>24342</v>
      </c>
      <c r="X6062" s="339"/>
    </row>
    <row r="6063" s="330" customFormat="1" ht="15" customHeight="1" spans="1:24">
      <c r="A6063" s="334"/>
      <c r="B6063" s="334" t="s">
        <v>66</v>
      </c>
      <c r="C6063" s="334" t="s">
        <v>67</v>
      </c>
      <c r="D6063" s="334" t="s">
        <v>68</v>
      </c>
      <c r="E6063" s="336">
        <v>43745</v>
      </c>
      <c r="F6063" s="336"/>
      <c r="G6063" s="336">
        <v>43745</v>
      </c>
      <c r="H6063" s="334" t="s">
        <v>13840</v>
      </c>
      <c r="I6063" s="334">
        <v>18621563215</v>
      </c>
      <c r="J6063" s="334" t="s">
        <v>13841</v>
      </c>
      <c r="K6063" s="337"/>
      <c r="L6063" s="334">
        <v>10000</v>
      </c>
      <c r="M6063" s="338"/>
      <c r="N6063" s="362">
        <f t="shared" si="198"/>
        <v>10000</v>
      </c>
      <c r="X6063" s="339"/>
    </row>
    <row r="6064" s="330" customFormat="1" ht="15" customHeight="1" spans="1:24">
      <c r="A6064" s="334"/>
      <c r="B6064" s="334" t="s">
        <v>147</v>
      </c>
      <c r="C6064" s="334" t="s">
        <v>148</v>
      </c>
      <c r="D6064" s="334" t="s">
        <v>1170</v>
      </c>
      <c r="E6064" s="336">
        <v>43745</v>
      </c>
      <c r="F6064" s="336"/>
      <c r="G6064" s="336">
        <v>43745</v>
      </c>
      <c r="H6064" s="334" t="s">
        <v>13842</v>
      </c>
      <c r="I6064" s="356">
        <v>18930166883</v>
      </c>
      <c r="J6064" s="348" t="s">
        <v>13843</v>
      </c>
      <c r="K6064" s="337"/>
      <c r="L6064" s="334">
        <v>12085</v>
      </c>
      <c r="M6064" s="338"/>
      <c r="N6064" s="362">
        <f t="shared" ref="N6064:N6083" si="199">L6064+M6064</f>
        <v>12085</v>
      </c>
      <c r="X6064" s="339"/>
    </row>
    <row r="6065" s="330" customFormat="1" ht="15" customHeight="1" spans="1:24">
      <c r="A6065" s="334"/>
      <c r="B6065" s="334" t="s">
        <v>31</v>
      </c>
      <c r="C6065" s="334" t="s">
        <v>251</v>
      </c>
      <c r="D6065" s="334" t="s">
        <v>954</v>
      </c>
      <c r="E6065" s="336">
        <v>43745</v>
      </c>
      <c r="F6065" s="336"/>
      <c r="G6065" s="336">
        <v>43745</v>
      </c>
      <c r="H6065" s="334" t="s">
        <v>13844</v>
      </c>
      <c r="I6065" s="356">
        <v>13817292987</v>
      </c>
      <c r="J6065" s="348" t="s">
        <v>13845</v>
      </c>
      <c r="K6065" s="337"/>
      <c r="L6065" s="334">
        <v>9575</v>
      </c>
      <c r="M6065" s="338"/>
      <c r="N6065" s="362">
        <f t="shared" si="199"/>
        <v>9575</v>
      </c>
      <c r="X6065" s="339"/>
    </row>
    <row r="6066" s="330" customFormat="1" ht="15" customHeight="1" spans="1:24">
      <c r="A6066" s="334"/>
      <c r="B6066" s="334" t="s">
        <v>87</v>
      </c>
      <c r="C6066" s="334" t="s">
        <v>466</v>
      </c>
      <c r="D6066" s="334" t="s">
        <v>89</v>
      </c>
      <c r="E6066" s="336">
        <v>43745</v>
      </c>
      <c r="F6066" s="336"/>
      <c r="G6066" s="336">
        <v>43745</v>
      </c>
      <c r="H6066" s="334" t="s">
        <v>13846</v>
      </c>
      <c r="I6066" s="356">
        <v>15221322490</v>
      </c>
      <c r="J6066" s="348" t="s">
        <v>13847</v>
      </c>
      <c r="K6066" s="337"/>
      <c r="L6066" s="334">
        <v>7100</v>
      </c>
      <c r="M6066" s="338"/>
      <c r="N6066" s="362">
        <f t="shared" si="199"/>
        <v>7100</v>
      </c>
      <c r="X6066" s="339"/>
    </row>
    <row r="6067" s="330" customFormat="1" ht="15" customHeight="1" spans="1:24">
      <c r="A6067" s="334"/>
      <c r="B6067" s="334" t="s">
        <v>335</v>
      </c>
      <c r="C6067" s="334" t="s">
        <v>399</v>
      </c>
      <c r="D6067" s="334" t="s">
        <v>337</v>
      </c>
      <c r="E6067" s="336">
        <v>43745</v>
      </c>
      <c r="F6067" s="336"/>
      <c r="G6067" s="336">
        <v>43745</v>
      </c>
      <c r="H6067" s="334" t="s">
        <v>13848</v>
      </c>
      <c r="I6067" s="356">
        <v>13611967252</v>
      </c>
      <c r="J6067" s="348" t="s">
        <v>13849</v>
      </c>
      <c r="K6067" s="337"/>
      <c r="L6067" s="334">
        <v>8000</v>
      </c>
      <c r="M6067" s="338"/>
      <c r="N6067" s="362">
        <f t="shared" si="199"/>
        <v>8000</v>
      </c>
      <c r="X6067" s="339"/>
    </row>
    <row r="6068" s="330" customFormat="1" ht="15" customHeight="1" spans="1:24">
      <c r="A6068" s="334"/>
      <c r="B6068" s="334" t="s">
        <v>147</v>
      </c>
      <c r="C6068" s="334" t="s">
        <v>148</v>
      </c>
      <c r="D6068" s="334" t="s">
        <v>1170</v>
      </c>
      <c r="E6068" s="336">
        <v>43745</v>
      </c>
      <c r="F6068" s="336"/>
      <c r="G6068" s="336">
        <v>43745</v>
      </c>
      <c r="H6068" s="334" t="s">
        <v>13850</v>
      </c>
      <c r="I6068" s="356">
        <v>13816889705</v>
      </c>
      <c r="J6068" s="348" t="s">
        <v>13851</v>
      </c>
      <c r="K6068" s="337"/>
      <c r="L6068" s="334">
        <v>18740</v>
      </c>
      <c r="M6068" s="338"/>
      <c r="N6068" s="362">
        <f t="shared" si="199"/>
        <v>18740</v>
      </c>
      <c r="X6068" s="339"/>
    </row>
    <row r="6069" s="330" customFormat="1" ht="15" customHeight="1" spans="1:24">
      <c r="A6069" s="334"/>
      <c r="B6069" s="334" t="s">
        <v>66</v>
      </c>
      <c r="C6069" s="334" t="s">
        <v>505</v>
      </c>
      <c r="D6069" s="335" t="s">
        <v>2302</v>
      </c>
      <c r="E6069" s="336">
        <v>43745</v>
      </c>
      <c r="F6069" s="336"/>
      <c r="G6069" s="336">
        <v>43745</v>
      </c>
      <c r="H6069" s="334" t="s">
        <v>13852</v>
      </c>
      <c r="I6069" s="426">
        <v>13916692295</v>
      </c>
      <c r="J6069" s="334" t="s">
        <v>13853</v>
      </c>
      <c r="K6069" s="337"/>
      <c r="L6069" s="455">
        <v>20000</v>
      </c>
      <c r="M6069" s="338"/>
      <c r="N6069" s="362">
        <f t="shared" si="199"/>
        <v>20000</v>
      </c>
      <c r="X6069" s="339"/>
    </row>
    <row r="6070" s="330" customFormat="1" ht="15" customHeight="1" spans="1:24">
      <c r="A6070" s="334"/>
      <c r="B6070" s="334" t="s">
        <v>243</v>
      </c>
      <c r="C6070" s="334" t="s">
        <v>304</v>
      </c>
      <c r="D6070" s="335" t="s">
        <v>49</v>
      </c>
      <c r="E6070" s="336">
        <v>43745</v>
      </c>
      <c r="F6070" s="336"/>
      <c r="G6070" s="336">
        <v>43741</v>
      </c>
      <c r="H6070" s="334" t="s">
        <v>13854</v>
      </c>
      <c r="I6070" s="334">
        <v>1371726978</v>
      </c>
      <c r="J6070" s="334" t="s">
        <v>13855</v>
      </c>
      <c r="K6070" s="337"/>
      <c r="L6070" s="334">
        <v>20000</v>
      </c>
      <c r="M6070" s="338"/>
      <c r="N6070" s="362">
        <f t="shared" si="199"/>
        <v>20000</v>
      </c>
      <c r="X6070" s="339"/>
    </row>
    <row r="6071" s="330" customFormat="1" ht="15" customHeight="1" spans="1:24">
      <c r="A6071" s="334"/>
      <c r="B6071" s="334" t="s">
        <v>405</v>
      </c>
      <c r="C6071" s="334" t="s">
        <v>498</v>
      </c>
      <c r="D6071" s="334" t="s">
        <v>407</v>
      </c>
      <c r="E6071" s="336">
        <v>43745</v>
      </c>
      <c r="F6071" s="336"/>
      <c r="G6071" s="336">
        <v>43745</v>
      </c>
      <c r="H6071" s="334" t="s">
        <v>13856</v>
      </c>
      <c r="I6071" s="444">
        <v>15221643568</v>
      </c>
      <c r="J6071" s="348" t="s">
        <v>13857</v>
      </c>
      <c r="K6071" s="337"/>
      <c r="L6071" s="452">
        <v>11754</v>
      </c>
      <c r="M6071" s="338"/>
      <c r="N6071" s="362">
        <f t="shared" si="199"/>
        <v>11754</v>
      </c>
      <c r="X6071" s="339"/>
    </row>
    <row r="6072" s="330" customFormat="1" ht="15" customHeight="1" spans="1:24">
      <c r="A6072" s="334"/>
      <c r="B6072" s="334" t="s">
        <v>726</v>
      </c>
      <c r="C6072" s="334" t="s">
        <v>727</v>
      </c>
      <c r="D6072" s="334" t="s">
        <v>271</v>
      </c>
      <c r="E6072" s="336">
        <v>43745</v>
      </c>
      <c r="F6072" s="336" t="s">
        <v>800</v>
      </c>
      <c r="G6072" s="336">
        <v>43743</v>
      </c>
      <c r="H6072" s="492" t="s">
        <v>11071</v>
      </c>
      <c r="I6072" s="356">
        <v>17721059587</v>
      </c>
      <c r="J6072" s="334" t="s">
        <v>13858</v>
      </c>
      <c r="K6072" s="337"/>
      <c r="L6072" s="338"/>
      <c r="M6072" s="334">
        <v>6936</v>
      </c>
      <c r="N6072" s="362">
        <f t="shared" si="199"/>
        <v>6936</v>
      </c>
      <c r="X6072" s="339"/>
    </row>
    <row r="6073" s="330" customFormat="1" ht="15" customHeight="1" spans="1:24">
      <c r="A6073" s="334"/>
      <c r="B6073" s="348" t="s">
        <v>87</v>
      </c>
      <c r="C6073" s="348" t="s">
        <v>466</v>
      </c>
      <c r="D6073" s="334" t="s">
        <v>89</v>
      </c>
      <c r="E6073" s="336">
        <v>43745</v>
      </c>
      <c r="F6073" s="336" t="s">
        <v>800</v>
      </c>
      <c r="G6073" s="336">
        <v>43744</v>
      </c>
      <c r="H6073" s="492" t="s">
        <v>8344</v>
      </c>
      <c r="I6073" s="334">
        <v>13795487816</v>
      </c>
      <c r="J6073" s="334" t="s">
        <v>13038</v>
      </c>
      <c r="K6073" s="337"/>
      <c r="L6073" s="338"/>
      <c r="M6073" s="334">
        <v>2083</v>
      </c>
      <c r="N6073" s="362">
        <f t="shared" si="199"/>
        <v>2083</v>
      </c>
      <c r="X6073" s="339"/>
    </row>
    <row r="6074" s="330" customFormat="1" ht="15" customHeight="1" spans="1:24">
      <c r="A6074" s="334"/>
      <c r="B6074" s="334" t="s">
        <v>205</v>
      </c>
      <c r="C6074" s="334" t="s">
        <v>1467</v>
      </c>
      <c r="D6074" s="334" t="s">
        <v>407</v>
      </c>
      <c r="E6074" s="336">
        <v>43745</v>
      </c>
      <c r="F6074" s="336" t="s">
        <v>800</v>
      </c>
      <c r="G6074" s="336">
        <v>43744</v>
      </c>
      <c r="H6074" s="492" t="s">
        <v>12624</v>
      </c>
      <c r="I6074" s="334">
        <v>13717211286</v>
      </c>
      <c r="J6074" s="334" t="s">
        <v>13859</v>
      </c>
      <c r="K6074" s="337"/>
      <c r="L6074" s="338"/>
      <c r="M6074" s="334">
        <v>7180</v>
      </c>
      <c r="N6074" s="362">
        <f t="shared" si="199"/>
        <v>7180</v>
      </c>
      <c r="X6074" s="339"/>
    </row>
    <row r="6075" s="330" customFormat="1" ht="15" customHeight="1" spans="1:24">
      <c r="A6075" s="334"/>
      <c r="B6075" s="348" t="s">
        <v>66</v>
      </c>
      <c r="C6075" s="348" t="s">
        <v>505</v>
      </c>
      <c r="D6075" s="349" t="s">
        <v>68</v>
      </c>
      <c r="E6075" s="336">
        <v>43745</v>
      </c>
      <c r="F6075" s="336" t="s">
        <v>800</v>
      </c>
      <c r="G6075" s="336">
        <v>43744</v>
      </c>
      <c r="H6075" s="493" t="s">
        <v>4824</v>
      </c>
      <c r="I6075" s="444">
        <v>13636322828</v>
      </c>
      <c r="J6075" s="348" t="s">
        <v>4825</v>
      </c>
      <c r="K6075" s="337"/>
      <c r="L6075" s="338"/>
      <c r="M6075" s="334">
        <v>12513</v>
      </c>
      <c r="N6075" s="362">
        <f t="shared" si="199"/>
        <v>12513</v>
      </c>
      <c r="X6075" s="339"/>
    </row>
    <row r="6076" s="330" customFormat="1" ht="15" customHeight="1" spans="1:24">
      <c r="A6076" s="334"/>
      <c r="B6076" s="334" t="s">
        <v>31</v>
      </c>
      <c r="C6076" s="334" t="s">
        <v>419</v>
      </c>
      <c r="D6076" s="334" t="s">
        <v>33</v>
      </c>
      <c r="E6076" s="336">
        <v>43745</v>
      </c>
      <c r="F6076" s="336" t="s">
        <v>800</v>
      </c>
      <c r="G6076" s="336">
        <v>43741</v>
      </c>
      <c r="H6076" s="492" t="s">
        <v>11184</v>
      </c>
      <c r="I6076" s="334">
        <v>17701784433</v>
      </c>
      <c r="J6076" s="334" t="s">
        <v>13860</v>
      </c>
      <c r="K6076" s="337"/>
      <c r="L6076" s="338"/>
      <c r="M6076" s="334">
        <v>2573</v>
      </c>
      <c r="N6076" s="362">
        <f t="shared" si="199"/>
        <v>2573</v>
      </c>
      <c r="X6076" s="339"/>
    </row>
    <row r="6077" s="330" customFormat="1" ht="15" customHeight="1" spans="1:24">
      <c r="A6077" s="334"/>
      <c r="B6077" s="334" t="s">
        <v>281</v>
      </c>
      <c r="C6077" s="334" t="s">
        <v>517</v>
      </c>
      <c r="D6077" s="334" t="s">
        <v>518</v>
      </c>
      <c r="E6077" s="336">
        <v>43745</v>
      </c>
      <c r="F6077" s="336" t="s">
        <v>800</v>
      </c>
      <c r="G6077" s="336">
        <v>43738</v>
      </c>
      <c r="H6077" s="492" t="s">
        <v>12985</v>
      </c>
      <c r="I6077" s="334">
        <v>15921990641</v>
      </c>
      <c r="J6077" s="334" t="s">
        <v>12986</v>
      </c>
      <c r="K6077" s="337"/>
      <c r="L6077" s="338"/>
      <c r="M6077" s="334">
        <v>671</v>
      </c>
      <c r="N6077" s="362">
        <f t="shared" si="199"/>
        <v>671</v>
      </c>
      <c r="X6077" s="339"/>
    </row>
    <row r="6078" s="330" customFormat="1" ht="15" customHeight="1" spans="1:24">
      <c r="A6078" s="334"/>
      <c r="B6078" s="348" t="s">
        <v>31</v>
      </c>
      <c r="C6078" s="348" t="s">
        <v>419</v>
      </c>
      <c r="D6078" s="334" t="s">
        <v>954</v>
      </c>
      <c r="E6078" s="336">
        <v>43745</v>
      </c>
      <c r="F6078" s="336" t="s">
        <v>800</v>
      </c>
      <c r="G6078" s="336">
        <v>43743</v>
      </c>
      <c r="H6078" s="492" t="s">
        <v>5279</v>
      </c>
      <c r="I6078" s="356">
        <v>18601729219</v>
      </c>
      <c r="J6078" s="334" t="s">
        <v>5280</v>
      </c>
      <c r="K6078" s="337"/>
      <c r="L6078" s="338"/>
      <c r="M6078" s="334">
        <v>-800</v>
      </c>
      <c r="N6078" s="362">
        <f t="shared" si="199"/>
        <v>-800</v>
      </c>
      <c r="X6078" s="339"/>
    </row>
    <row r="6079" s="330" customFormat="1" ht="15" customHeight="1" spans="1:24">
      <c r="A6079" s="334"/>
      <c r="B6079" s="334" t="s">
        <v>137</v>
      </c>
      <c r="C6079" s="334" t="s">
        <v>138</v>
      </c>
      <c r="D6079" s="334" t="s">
        <v>139</v>
      </c>
      <c r="E6079" s="336">
        <v>43745</v>
      </c>
      <c r="F6079" s="336" t="s">
        <v>800</v>
      </c>
      <c r="G6079" s="336">
        <v>43743</v>
      </c>
      <c r="H6079" s="492" t="s">
        <v>1063</v>
      </c>
      <c r="I6079" s="356">
        <v>13524295254</v>
      </c>
      <c r="J6079" s="334" t="s">
        <v>1064</v>
      </c>
      <c r="K6079" s="337"/>
      <c r="L6079" s="338"/>
      <c r="M6079" s="334">
        <f>8243+2664</f>
        <v>10907</v>
      </c>
      <c r="N6079" s="362">
        <f t="shared" si="199"/>
        <v>10907</v>
      </c>
      <c r="X6079" s="339"/>
    </row>
    <row r="6080" s="330" customFormat="1" ht="15" customHeight="1" spans="1:24">
      <c r="A6080" s="334"/>
      <c r="B6080" s="348" t="s">
        <v>73</v>
      </c>
      <c r="C6080" s="348" t="s">
        <v>74</v>
      </c>
      <c r="D6080" s="334" t="s">
        <v>717</v>
      </c>
      <c r="E6080" s="336">
        <v>43745</v>
      </c>
      <c r="F6080" s="336" t="s">
        <v>800</v>
      </c>
      <c r="G6080" s="336">
        <v>43745</v>
      </c>
      <c r="H6080" s="492" t="s">
        <v>7982</v>
      </c>
      <c r="I6080" s="334">
        <v>13801675504</v>
      </c>
      <c r="J6080" s="334" t="s">
        <v>13861</v>
      </c>
      <c r="K6080" s="337"/>
      <c r="L6080" s="338"/>
      <c r="M6080" s="334">
        <v>-400</v>
      </c>
      <c r="N6080" s="362">
        <f t="shared" si="199"/>
        <v>-400</v>
      </c>
      <c r="X6080" s="339"/>
    </row>
    <row r="6081" s="330" customFormat="1" ht="15" customHeight="1" spans="1:24">
      <c r="A6081" s="334"/>
      <c r="B6081" s="348" t="s">
        <v>137</v>
      </c>
      <c r="C6081" s="348" t="s">
        <v>480</v>
      </c>
      <c r="D6081" s="349" t="s">
        <v>139</v>
      </c>
      <c r="E6081" s="336">
        <v>43745</v>
      </c>
      <c r="F6081" s="336" t="s">
        <v>800</v>
      </c>
      <c r="G6081" s="336">
        <v>43744</v>
      </c>
      <c r="H6081" s="492" t="s">
        <v>868</v>
      </c>
      <c r="I6081" s="334">
        <v>13818773142</v>
      </c>
      <c r="J6081" s="334" t="s">
        <v>13862</v>
      </c>
      <c r="K6081" s="337"/>
      <c r="L6081" s="338"/>
      <c r="M6081" s="334">
        <v>1666</v>
      </c>
      <c r="N6081" s="362">
        <f t="shared" si="199"/>
        <v>1666</v>
      </c>
      <c r="X6081" s="339"/>
    </row>
    <row r="6082" s="330" customFormat="1" ht="15" customHeight="1" spans="1:24">
      <c r="A6082" s="334"/>
      <c r="B6082" s="348" t="s">
        <v>73</v>
      </c>
      <c r="C6082" s="348" t="s">
        <v>74</v>
      </c>
      <c r="D6082" s="352" t="s">
        <v>717</v>
      </c>
      <c r="E6082" s="336">
        <v>43745</v>
      </c>
      <c r="F6082" s="336" t="s">
        <v>800</v>
      </c>
      <c r="G6082" s="336">
        <v>43744</v>
      </c>
      <c r="H6082" s="492" t="s">
        <v>13863</v>
      </c>
      <c r="I6082" s="356">
        <v>13564663198</v>
      </c>
      <c r="J6082" s="348" t="s">
        <v>2606</v>
      </c>
      <c r="K6082" s="337"/>
      <c r="L6082" s="338"/>
      <c r="M6082" s="334">
        <v>43</v>
      </c>
      <c r="N6082" s="362">
        <f t="shared" si="199"/>
        <v>43</v>
      </c>
      <c r="X6082" s="339"/>
    </row>
    <row r="6083" s="330" customFormat="1" ht="15" customHeight="1" spans="1:24">
      <c r="A6083" s="334"/>
      <c r="B6083" s="348" t="s">
        <v>405</v>
      </c>
      <c r="C6083" s="334" t="s">
        <v>1234</v>
      </c>
      <c r="D6083" s="349" t="s">
        <v>407</v>
      </c>
      <c r="E6083" s="336">
        <v>43745</v>
      </c>
      <c r="F6083" s="336" t="s">
        <v>800</v>
      </c>
      <c r="G6083" s="336">
        <v>43743</v>
      </c>
      <c r="H6083" s="492" t="s">
        <v>8086</v>
      </c>
      <c r="I6083" s="356">
        <v>13501974293</v>
      </c>
      <c r="J6083" s="348" t="s">
        <v>8087</v>
      </c>
      <c r="K6083" s="337"/>
      <c r="L6083" s="338"/>
      <c r="M6083" s="334">
        <v>1500</v>
      </c>
      <c r="N6083" s="362">
        <f t="shared" si="199"/>
        <v>1500</v>
      </c>
      <c r="X6083" s="339"/>
    </row>
    <row r="6084" s="330" customFormat="1" ht="15" customHeight="1" spans="1:24">
      <c r="A6084" s="334"/>
      <c r="B6084" s="334" t="s">
        <v>73</v>
      </c>
      <c r="C6084" s="334" t="s">
        <v>74</v>
      </c>
      <c r="D6084" s="334" t="s">
        <v>717</v>
      </c>
      <c r="E6084" s="336">
        <v>43745</v>
      </c>
      <c r="F6084" s="336" t="s">
        <v>800</v>
      </c>
      <c r="G6084" s="336">
        <v>43744</v>
      </c>
      <c r="H6084" s="492" t="s">
        <v>13864</v>
      </c>
      <c r="I6084" s="356">
        <v>18930635079</v>
      </c>
      <c r="J6084" s="334" t="s">
        <v>13865</v>
      </c>
      <c r="K6084" s="337"/>
      <c r="L6084" s="338"/>
      <c r="M6084" s="334">
        <v>-737</v>
      </c>
      <c r="N6084" s="362">
        <f t="shared" ref="N6084:N6095" si="200">L6084+M6084</f>
        <v>-737</v>
      </c>
      <c r="X6084" s="339"/>
    </row>
    <row r="6085" s="330" customFormat="1" ht="15" customHeight="1" spans="1:24">
      <c r="A6085" s="334"/>
      <c r="B6085" s="334" t="s">
        <v>315</v>
      </c>
      <c r="C6085" s="334" t="s">
        <v>275</v>
      </c>
      <c r="D6085" s="334" t="s">
        <v>207</v>
      </c>
      <c r="E6085" s="336">
        <v>43745</v>
      </c>
      <c r="F6085" s="336" t="s">
        <v>800</v>
      </c>
      <c r="G6085" s="336">
        <v>43744</v>
      </c>
      <c r="H6085" s="492" t="s">
        <v>7386</v>
      </c>
      <c r="I6085" s="356">
        <v>15317229531</v>
      </c>
      <c r="J6085" s="348" t="s">
        <v>7387</v>
      </c>
      <c r="K6085" s="337"/>
      <c r="L6085" s="338"/>
      <c r="M6085" s="334">
        <v>1314</v>
      </c>
      <c r="N6085" s="362">
        <f t="shared" si="200"/>
        <v>1314</v>
      </c>
      <c r="X6085" s="339"/>
    </row>
    <row r="6086" s="330" customFormat="1" ht="15" customHeight="1" spans="1:24">
      <c r="A6086" s="334"/>
      <c r="B6086" s="334" t="s">
        <v>58</v>
      </c>
      <c r="C6086" s="334" t="s">
        <v>794</v>
      </c>
      <c r="D6086" s="334" t="s">
        <v>75</v>
      </c>
      <c r="E6086" s="336">
        <v>43745</v>
      </c>
      <c r="F6086" s="336" t="s">
        <v>800</v>
      </c>
      <c r="G6086" s="336">
        <v>43745</v>
      </c>
      <c r="H6086" s="492" t="s">
        <v>9245</v>
      </c>
      <c r="I6086" s="334">
        <v>13564482649</v>
      </c>
      <c r="J6086" s="334" t="s">
        <v>13044</v>
      </c>
      <c r="K6086" s="337"/>
      <c r="L6086" s="338"/>
      <c r="M6086" s="334">
        <v>20000</v>
      </c>
      <c r="N6086" s="362">
        <f t="shared" si="200"/>
        <v>20000</v>
      </c>
      <c r="X6086" s="339"/>
    </row>
    <row r="6087" s="330" customFormat="1" ht="15" customHeight="1" spans="1:24">
      <c r="A6087" s="334"/>
      <c r="B6087" s="334" t="s">
        <v>31</v>
      </c>
      <c r="C6087" s="334" t="s">
        <v>2716</v>
      </c>
      <c r="D6087" s="334" t="s">
        <v>33</v>
      </c>
      <c r="E6087" s="336">
        <v>43745</v>
      </c>
      <c r="F6087" s="336" t="s">
        <v>800</v>
      </c>
      <c r="G6087" s="336">
        <v>43745</v>
      </c>
      <c r="H6087" s="492" t="s">
        <v>8072</v>
      </c>
      <c r="I6087" s="334">
        <v>13601906262</v>
      </c>
      <c r="J6087" s="334" t="s">
        <v>8073</v>
      </c>
      <c r="K6087" s="337"/>
      <c r="L6087" s="338"/>
      <c r="M6087" s="334">
        <v>2246</v>
      </c>
      <c r="N6087" s="362">
        <f t="shared" si="200"/>
        <v>2246</v>
      </c>
      <c r="X6087" s="339"/>
    </row>
    <row r="6088" s="330" customFormat="1" ht="15" customHeight="1" spans="1:24">
      <c r="A6088" s="334"/>
      <c r="B6088" s="334" t="s">
        <v>315</v>
      </c>
      <c r="C6088" s="334" t="s">
        <v>722</v>
      </c>
      <c r="D6088" s="334" t="s">
        <v>132</v>
      </c>
      <c r="E6088" s="336">
        <v>43745</v>
      </c>
      <c r="F6088" s="336" t="s">
        <v>800</v>
      </c>
      <c r="G6088" s="336">
        <v>43745</v>
      </c>
      <c r="H6088" s="492" t="s">
        <v>13866</v>
      </c>
      <c r="I6088" s="334">
        <v>13701808823</v>
      </c>
      <c r="J6088" s="334" t="s">
        <v>13867</v>
      </c>
      <c r="K6088" s="337"/>
      <c r="L6088" s="338"/>
      <c r="M6088" s="334">
        <v>2803</v>
      </c>
      <c r="N6088" s="362">
        <f t="shared" si="200"/>
        <v>2803</v>
      </c>
      <c r="X6088" s="339"/>
    </row>
    <row r="6089" s="330" customFormat="1" ht="15" customHeight="1" spans="1:24">
      <c r="A6089" s="334"/>
      <c r="B6089" s="334" t="s">
        <v>315</v>
      </c>
      <c r="C6089" s="334" t="s">
        <v>722</v>
      </c>
      <c r="D6089" s="334" t="s">
        <v>132</v>
      </c>
      <c r="E6089" s="336">
        <v>43745</v>
      </c>
      <c r="F6089" s="336" t="s">
        <v>800</v>
      </c>
      <c r="G6089" s="336">
        <v>43745</v>
      </c>
      <c r="H6089" s="492" t="s">
        <v>5158</v>
      </c>
      <c r="I6089" s="551" t="s">
        <v>13868</v>
      </c>
      <c r="J6089" s="334" t="s">
        <v>13869</v>
      </c>
      <c r="K6089" s="337"/>
      <c r="L6089" s="338"/>
      <c r="M6089" s="334">
        <v>15936</v>
      </c>
      <c r="N6089" s="362">
        <f t="shared" si="200"/>
        <v>15936</v>
      </c>
      <c r="X6089" s="339"/>
    </row>
    <row r="6090" s="330" customFormat="1" ht="15" customHeight="1" spans="1:24">
      <c r="A6090" s="334"/>
      <c r="B6090" s="334" t="s">
        <v>205</v>
      </c>
      <c r="C6090" s="334" t="s">
        <v>1467</v>
      </c>
      <c r="D6090" s="335" t="s">
        <v>125</v>
      </c>
      <c r="E6090" s="336">
        <v>43745</v>
      </c>
      <c r="F6090" s="336" t="s">
        <v>800</v>
      </c>
      <c r="G6090" s="336">
        <v>43745</v>
      </c>
      <c r="H6090" s="492" t="s">
        <v>11942</v>
      </c>
      <c r="I6090" s="334">
        <v>13917040889</v>
      </c>
      <c r="J6090" s="334" t="s">
        <v>13870</v>
      </c>
      <c r="K6090" s="337"/>
      <c r="L6090" s="338"/>
      <c r="M6090" s="334">
        <v>50000</v>
      </c>
      <c r="N6090" s="362">
        <f t="shared" si="200"/>
        <v>50000</v>
      </c>
      <c r="X6090" s="339"/>
    </row>
    <row r="6091" s="330" customFormat="1" ht="15" customHeight="1" spans="1:24">
      <c r="A6091" s="334"/>
      <c r="B6091" s="334" t="s">
        <v>31</v>
      </c>
      <c r="C6091" s="334" t="s">
        <v>2716</v>
      </c>
      <c r="D6091" s="334" t="s">
        <v>33</v>
      </c>
      <c r="E6091" s="336">
        <v>43745</v>
      </c>
      <c r="F6091" s="336" t="s">
        <v>800</v>
      </c>
      <c r="G6091" s="336">
        <v>43745</v>
      </c>
      <c r="H6091" s="492" t="s">
        <v>8072</v>
      </c>
      <c r="I6091" s="356">
        <v>13601906262</v>
      </c>
      <c r="J6091" s="348" t="s">
        <v>8073</v>
      </c>
      <c r="K6091" s="337"/>
      <c r="L6091" s="338"/>
      <c r="M6091" s="334">
        <v>2246</v>
      </c>
      <c r="N6091" s="362">
        <f t="shared" si="200"/>
        <v>2246</v>
      </c>
      <c r="X6091" s="339"/>
    </row>
    <row r="6092" s="330" customFormat="1" ht="15" customHeight="1" spans="1:24">
      <c r="A6092" s="334"/>
      <c r="B6092" s="334" t="s">
        <v>243</v>
      </c>
      <c r="C6092" s="334" t="s">
        <v>244</v>
      </c>
      <c r="D6092" s="334" t="s">
        <v>49</v>
      </c>
      <c r="E6092" s="336">
        <v>43745</v>
      </c>
      <c r="F6092" s="336" t="s">
        <v>800</v>
      </c>
      <c r="G6092" s="336">
        <v>43738</v>
      </c>
      <c r="H6092" s="492" t="s">
        <v>4603</v>
      </c>
      <c r="I6092" s="334">
        <v>13917941307</v>
      </c>
      <c r="J6092" s="334" t="s">
        <v>13871</v>
      </c>
      <c r="K6092" s="337"/>
      <c r="L6092" s="338"/>
      <c r="M6092" s="334">
        <v>8464</v>
      </c>
      <c r="N6092" s="362">
        <f t="shared" si="200"/>
        <v>8464</v>
      </c>
      <c r="X6092" s="339"/>
    </row>
    <row r="6093" s="330" customFormat="1" ht="15" customHeight="1" spans="1:24">
      <c r="A6093" s="348"/>
      <c r="B6093" s="348" t="s">
        <v>137</v>
      </c>
      <c r="C6093" s="348" t="s">
        <v>426</v>
      </c>
      <c r="D6093" s="335" t="s">
        <v>443</v>
      </c>
      <c r="E6093" s="336">
        <v>43746</v>
      </c>
      <c r="F6093" s="336">
        <v>43745</v>
      </c>
      <c r="G6093" s="399"/>
      <c r="H6093" s="334" t="s">
        <v>13872</v>
      </c>
      <c r="I6093" s="444">
        <v>19921862916</v>
      </c>
      <c r="J6093" s="348" t="s">
        <v>13873</v>
      </c>
      <c r="K6093" s="452">
        <v>1000</v>
      </c>
      <c r="L6093" s="338"/>
      <c r="M6093" s="338"/>
      <c r="N6093" s="362">
        <f t="shared" si="200"/>
        <v>0</v>
      </c>
      <c r="R6093" s="330">
        <v>1</v>
      </c>
      <c r="X6093" s="339"/>
    </row>
    <row r="6094" s="330" customFormat="1" ht="15" customHeight="1" spans="1:24">
      <c r="A6094" s="550" t="s">
        <v>13874</v>
      </c>
      <c r="B6094" s="348" t="s">
        <v>137</v>
      </c>
      <c r="C6094" s="348" t="s">
        <v>426</v>
      </c>
      <c r="D6094" s="335" t="s">
        <v>443</v>
      </c>
      <c r="E6094" s="336">
        <v>43798</v>
      </c>
      <c r="F6094" s="336">
        <v>43745</v>
      </c>
      <c r="G6094" s="336">
        <v>43798</v>
      </c>
      <c r="H6094" s="334" t="s">
        <v>13875</v>
      </c>
      <c r="I6094" s="444">
        <v>13918377368</v>
      </c>
      <c r="J6094" s="348" t="s">
        <v>13876</v>
      </c>
      <c r="K6094" s="452">
        <v>1000</v>
      </c>
      <c r="L6094" s="334">
        <v>10845</v>
      </c>
      <c r="M6094" s="338"/>
      <c r="N6094" s="362">
        <f t="shared" si="200"/>
        <v>10845</v>
      </c>
      <c r="V6094" s="330">
        <v>11.27</v>
      </c>
      <c r="X6094" s="339"/>
    </row>
    <row r="6095" s="330" customFormat="1" ht="15" customHeight="1" spans="1:24">
      <c r="A6095" s="550" t="s">
        <v>3964</v>
      </c>
      <c r="B6095" s="348" t="s">
        <v>137</v>
      </c>
      <c r="C6095" s="348" t="s">
        <v>426</v>
      </c>
      <c r="D6095" s="335" t="s">
        <v>443</v>
      </c>
      <c r="E6095" s="336">
        <v>43746</v>
      </c>
      <c r="F6095" s="336">
        <v>43745</v>
      </c>
      <c r="G6095" s="399"/>
      <c r="H6095" s="334" t="s">
        <v>13877</v>
      </c>
      <c r="I6095" s="444">
        <v>1591706196</v>
      </c>
      <c r="J6095" s="348" t="s">
        <v>13878</v>
      </c>
      <c r="K6095" s="452">
        <v>1000</v>
      </c>
      <c r="L6095" s="338"/>
      <c r="M6095" s="338"/>
      <c r="N6095" s="362">
        <f t="shared" si="200"/>
        <v>0</v>
      </c>
      <c r="Q6095" s="330">
        <v>1</v>
      </c>
      <c r="X6095" s="339"/>
    </row>
    <row r="6096" s="330" customFormat="1" ht="15" customHeight="1" spans="1:24">
      <c r="A6096" s="550" t="s">
        <v>13879</v>
      </c>
      <c r="B6096" s="348" t="s">
        <v>31</v>
      </c>
      <c r="C6096" s="348" t="s">
        <v>419</v>
      </c>
      <c r="D6096" s="335" t="s">
        <v>221</v>
      </c>
      <c r="E6096" s="336">
        <v>43760</v>
      </c>
      <c r="F6096" s="336">
        <v>43745</v>
      </c>
      <c r="G6096" s="336">
        <v>43759</v>
      </c>
      <c r="H6096" s="334" t="s">
        <v>7697</v>
      </c>
      <c r="I6096" s="444">
        <v>18918581220</v>
      </c>
      <c r="J6096" s="348" t="s">
        <v>13880</v>
      </c>
      <c r="K6096" s="452">
        <v>1000</v>
      </c>
      <c r="L6096" s="334">
        <v>13322</v>
      </c>
      <c r="M6096" s="338"/>
      <c r="N6096" s="362">
        <f t="shared" ref="N6096:N6127" si="201">L6096+M6096</f>
        <v>13322</v>
      </c>
      <c r="X6096" s="339"/>
    </row>
    <row r="6097" s="330" customFormat="1" ht="15" customHeight="1" spans="1:24">
      <c r="A6097" s="550" t="s">
        <v>13881</v>
      </c>
      <c r="B6097" s="348" t="s">
        <v>31</v>
      </c>
      <c r="C6097" s="348" t="s">
        <v>2716</v>
      </c>
      <c r="D6097" s="335" t="s">
        <v>33</v>
      </c>
      <c r="E6097" s="336">
        <v>43746</v>
      </c>
      <c r="F6097" s="336">
        <v>43745</v>
      </c>
      <c r="G6097" s="399"/>
      <c r="H6097" s="334" t="s">
        <v>13882</v>
      </c>
      <c r="I6097" s="444">
        <v>15001848085</v>
      </c>
      <c r="J6097" s="348" t="s">
        <v>13883</v>
      </c>
      <c r="K6097" s="452">
        <v>1000</v>
      </c>
      <c r="L6097" s="338"/>
      <c r="M6097" s="338"/>
      <c r="N6097" s="362">
        <f t="shared" si="201"/>
        <v>0</v>
      </c>
      <c r="X6097" s="339"/>
    </row>
    <row r="6098" s="330" customFormat="1" ht="15" customHeight="1" spans="1:24">
      <c r="A6098" s="550" t="s">
        <v>13884</v>
      </c>
      <c r="B6098" s="348" t="s">
        <v>185</v>
      </c>
      <c r="C6098" s="348" t="s">
        <v>1204</v>
      </c>
      <c r="D6098" s="335" t="s">
        <v>44</v>
      </c>
      <c r="E6098" s="336">
        <v>43746</v>
      </c>
      <c r="F6098" s="336">
        <v>43745</v>
      </c>
      <c r="G6098" s="399"/>
      <c r="H6098" s="334" t="s">
        <v>13885</v>
      </c>
      <c r="I6098" s="444">
        <v>18258784526</v>
      </c>
      <c r="J6098" s="348" t="s">
        <v>13886</v>
      </c>
      <c r="K6098" s="452">
        <v>1000</v>
      </c>
      <c r="L6098" s="338"/>
      <c r="M6098" s="338"/>
      <c r="N6098" s="362">
        <f t="shared" si="201"/>
        <v>0</v>
      </c>
      <c r="U6098" s="330" t="s">
        <v>12</v>
      </c>
      <c r="X6098" s="339"/>
    </row>
    <row r="6099" s="330" customFormat="1" ht="15" customHeight="1" spans="1:24">
      <c r="A6099" s="348"/>
      <c r="B6099" s="348" t="s">
        <v>805</v>
      </c>
      <c r="C6099" s="348" t="s">
        <v>4935</v>
      </c>
      <c r="D6099" s="334" t="s">
        <v>171</v>
      </c>
      <c r="E6099" s="336">
        <v>43748</v>
      </c>
      <c r="F6099" s="336">
        <v>43746</v>
      </c>
      <c r="G6099" s="399">
        <v>43748</v>
      </c>
      <c r="H6099" s="334" t="s">
        <v>13887</v>
      </c>
      <c r="I6099" s="444">
        <v>18116240917</v>
      </c>
      <c r="J6099" s="348" t="s">
        <v>13888</v>
      </c>
      <c r="K6099" s="452">
        <v>3000</v>
      </c>
      <c r="L6099" s="334">
        <v>7883</v>
      </c>
      <c r="M6099" s="338"/>
      <c r="N6099" s="362">
        <f t="shared" si="201"/>
        <v>7883</v>
      </c>
      <c r="X6099" s="339"/>
    </row>
    <row r="6100" s="330" customFormat="1" ht="15" customHeight="1" spans="1:24">
      <c r="A6100" s="348"/>
      <c r="B6100" s="348" t="s">
        <v>2625</v>
      </c>
      <c r="C6100" s="348" t="s">
        <v>2626</v>
      </c>
      <c r="D6100" s="334" t="s">
        <v>44</v>
      </c>
      <c r="E6100" s="336">
        <v>43746</v>
      </c>
      <c r="F6100" s="336">
        <v>43746</v>
      </c>
      <c r="G6100" s="399">
        <v>43748</v>
      </c>
      <c r="H6100" s="334" t="s">
        <v>13889</v>
      </c>
      <c r="I6100" s="444">
        <v>13301988280</v>
      </c>
      <c r="J6100" s="348" t="s">
        <v>13890</v>
      </c>
      <c r="K6100" s="452">
        <v>3000</v>
      </c>
      <c r="L6100" s="334">
        <v>8744</v>
      </c>
      <c r="M6100" s="338"/>
      <c r="N6100" s="362">
        <f t="shared" si="201"/>
        <v>8744</v>
      </c>
      <c r="X6100" s="339"/>
    </row>
    <row r="6101" s="330" customFormat="1" ht="15" customHeight="1" spans="1:24">
      <c r="A6101" s="348"/>
      <c r="B6101" s="348" t="s">
        <v>58</v>
      </c>
      <c r="C6101" s="348" t="s">
        <v>59</v>
      </c>
      <c r="D6101" s="335" t="s">
        <v>271</v>
      </c>
      <c r="E6101" s="336">
        <v>43798</v>
      </c>
      <c r="F6101" s="336">
        <v>43745</v>
      </c>
      <c r="G6101" s="336">
        <v>43797</v>
      </c>
      <c r="H6101" s="334" t="s">
        <v>6311</v>
      </c>
      <c r="I6101" s="444">
        <v>13818971770</v>
      </c>
      <c r="J6101" s="348" t="s">
        <v>13891</v>
      </c>
      <c r="K6101" s="452">
        <v>1000</v>
      </c>
      <c r="L6101" s="334">
        <v>51000</v>
      </c>
      <c r="M6101" s="338"/>
      <c r="N6101" s="362">
        <f t="shared" si="201"/>
        <v>51000</v>
      </c>
      <c r="X6101" s="339"/>
    </row>
    <row r="6102" s="330" customFormat="1" ht="15" customHeight="1" spans="1:24">
      <c r="A6102" s="348"/>
      <c r="B6102" s="348" t="s">
        <v>169</v>
      </c>
      <c r="C6102" s="348" t="s">
        <v>634</v>
      </c>
      <c r="D6102" s="335" t="s">
        <v>635</v>
      </c>
      <c r="E6102" s="336">
        <v>43793</v>
      </c>
      <c r="F6102" s="336">
        <v>43745</v>
      </c>
      <c r="G6102" s="336">
        <v>43792</v>
      </c>
      <c r="H6102" s="334" t="s">
        <v>13892</v>
      </c>
      <c r="I6102" s="444">
        <v>18717108078</v>
      </c>
      <c r="J6102" s="348" t="s">
        <v>13893</v>
      </c>
      <c r="K6102" s="452">
        <v>1000</v>
      </c>
      <c r="L6102" s="334">
        <v>12875</v>
      </c>
      <c r="M6102" s="338"/>
      <c r="N6102" s="362">
        <f t="shared" si="201"/>
        <v>12875</v>
      </c>
      <c r="X6102" s="339"/>
    </row>
    <row r="6103" s="330" customFormat="1" ht="15" customHeight="1" spans="1:24">
      <c r="A6103" s="550" t="s">
        <v>8851</v>
      </c>
      <c r="B6103" s="348" t="s">
        <v>137</v>
      </c>
      <c r="C6103" s="348" t="s">
        <v>426</v>
      </c>
      <c r="D6103" s="335" t="s">
        <v>443</v>
      </c>
      <c r="E6103" s="336">
        <v>43769</v>
      </c>
      <c r="F6103" s="336">
        <v>43747</v>
      </c>
      <c r="G6103" s="336">
        <v>43768</v>
      </c>
      <c r="H6103" s="334" t="s">
        <v>13894</v>
      </c>
      <c r="I6103" s="444">
        <v>13601830692</v>
      </c>
      <c r="J6103" s="348" t="s">
        <v>13895</v>
      </c>
      <c r="K6103" s="452">
        <v>1000</v>
      </c>
      <c r="L6103" s="334">
        <v>27915</v>
      </c>
      <c r="M6103" s="338"/>
      <c r="N6103" s="362">
        <f t="shared" si="201"/>
        <v>27915</v>
      </c>
      <c r="X6103" s="339"/>
    </row>
    <row r="6104" s="330" customFormat="1" ht="15" customHeight="1" spans="1:24">
      <c r="A6104" s="550" t="s">
        <v>13896</v>
      </c>
      <c r="B6104" s="348" t="s">
        <v>31</v>
      </c>
      <c r="C6104" s="348" t="s">
        <v>377</v>
      </c>
      <c r="D6104" s="335" t="s">
        <v>221</v>
      </c>
      <c r="E6104" s="336">
        <v>43814</v>
      </c>
      <c r="F6104" s="336">
        <v>43747</v>
      </c>
      <c r="G6104" s="336">
        <v>43813</v>
      </c>
      <c r="H6104" s="334" t="s">
        <v>13897</v>
      </c>
      <c r="I6104" s="444">
        <v>18930348681</v>
      </c>
      <c r="J6104" s="348" t="s">
        <v>13898</v>
      </c>
      <c r="K6104" s="452">
        <v>1000</v>
      </c>
      <c r="L6104" s="334">
        <v>8011</v>
      </c>
      <c r="M6104" s="338"/>
      <c r="N6104" s="362">
        <f t="shared" si="201"/>
        <v>8011</v>
      </c>
      <c r="X6104" s="339"/>
    </row>
    <row r="6105" s="330" customFormat="1" ht="15" customHeight="1" spans="1:24">
      <c r="A6105" s="550" t="s">
        <v>5355</v>
      </c>
      <c r="B6105" s="348" t="s">
        <v>185</v>
      </c>
      <c r="C6105" s="334" t="s">
        <v>886</v>
      </c>
      <c r="D6105" s="335" t="s">
        <v>187</v>
      </c>
      <c r="E6105" s="336">
        <v>43762</v>
      </c>
      <c r="F6105" s="336">
        <v>43748</v>
      </c>
      <c r="G6105" s="336">
        <v>43762</v>
      </c>
      <c r="H6105" s="334" t="s">
        <v>10036</v>
      </c>
      <c r="I6105" s="444">
        <v>15026784188</v>
      </c>
      <c r="J6105" s="348" t="s">
        <v>13899</v>
      </c>
      <c r="K6105" s="452">
        <v>114000</v>
      </c>
      <c r="L6105" s="334">
        <v>14100</v>
      </c>
      <c r="M6105" s="338"/>
      <c r="N6105" s="362">
        <f t="shared" si="201"/>
        <v>14100</v>
      </c>
      <c r="X6105" s="339"/>
    </row>
    <row r="6106" s="330" customFormat="1" ht="15" customHeight="1" spans="1:24">
      <c r="A6106" s="550" t="s">
        <v>9022</v>
      </c>
      <c r="B6106" s="348" t="s">
        <v>185</v>
      </c>
      <c r="C6106" s="334" t="s">
        <v>886</v>
      </c>
      <c r="D6106" s="335" t="s">
        <v>187</v>
      </c>
      <c r="E6106" s="336">
        <v>43748</v>
      </c>
      <c r="F6106" s="336">
        <v>43748</v>
      </c>
      <c r="G6106" s="399"/>
      <c r="H6106" s="334" t="s">
        <v>13900</v>
      </c>
      <c r="I6106" s="444">
        <v>13764023076</v>
      </c>
      <c r="J6106" s="348" t="s">
        <v>13901</v>
      </c>
      <c r="K6106" s="452">
        <v>1000</v>
      </c>
      <c r="L6106" s="338"/>
      <c r="M6106" s="338"/>
      <c r="N6106" s="362">
        <f t="shared" si="201"/>
        <v>0</v>
      </c>
      <c r="U6106" s="330" t="s">
        <v>12</v>
      </c>
      <c r="X6106" s="339"/>
    </row>
    <row r="6107" s="330" customFormat="1" ht="15" customHeight="1" spans="1:24">
      <c r="A6107" s="348"/>
      <c r="B6107" s="348" t="s">
        <v>2625</v>
      </c>
      <c r="C6107" s="348" t="s">
        <v>2626</v>
      </c>
      <c r="D6107" s="334" t="s">
        <v>337</v>
      </c>
      <c r="E6107" s="336">
        <v>43786</v>
      </c>
      <c r="F6107" s="336">
        <v>43747</v>
      </c>
      <c r="G6107" s="336">
        <v>43784</v>
      </c>
      <c r="H6107" s="334" t="s">
        <v>13902</v>
      </c>
      <c r="I6107" s="444">
        <v>13621940173</v>
      </c>
      <c r="J6107" s="348" t="s">
        <v>13903</v>
      </c>
      <c r="K6107" s="452">
        <v>1000</v>
      </c>
      <c r="L6107" s="334">
        <v>7500</v>
      </c>
      <c r="M6107" s="338"/>
      <c r="N6107" s="362">
        <f t="shared" si="201"/>
        <v>7500</v>
      </c>
      <c r="X6107" s="339"/>
    </row>
    <row r="6108" s="330" customFormat="1" ht="15" customHeight="1" spans="1:24">
      <c r="A6108" s="348">
        <v>2019331</v>
      </c>
      <c r="B6108" s="348" t="s">
        <v>42</v>
      </c>
      <c r="C6108" s="348" t="s">
        <v>43</v>
      </c>
      <c r="D6108" s="335" t="s">
        <v>44</v>
      </c>
      <c r="E6108" s="336">
        <v>43805</v>
      </c>
      <c r="F6108" s="336">
        <v>43747</v>
      </c>
      <c r="G6108" s="336">
        <v>43802</v>
      </c>
      <c r="H6108" s="334" t="s">
        <v>13904</v>
      </c>
      <c r="I6108" s="444">
        <v>13611800187</v>
      </c>
      <c r="J6108" s="348" t="s">
        <v>13905</v>
      </c>
      <c r="K6108" s="452">
        <v>1000</v>
      </c>
      <c r="L6108" s="334">
        <v>9030</v>
      </c>
      <c r="M6108" s="338"/>
      <c r="N6108" s="362">
        <f t="shared" si="201"/>
        <v>9030</v>
      </c>
      <c r="X6108" s="339"/>
    </row>
    <row r="6109" s="330" customFormat="1" ht="15" customHeight="1" spans="1:24">
      <c r="A6109" s="348"/>
      <c r="B6109" s="348" t="s">
        <v>58</v>
      </c>
      <c r="C6109" s="348" t="s">
        <v>109</v>
      </c>
      <c r="D6109" s="335" t="s">
        <v>110</v>
      </c>
      <c r="E6109" s="336">
        <v>43790</v>
      </c>
      <c r="F6109" s="336">
        <v>43747</v>
      </c>
      <c r="G6109" s="336">
        <v>43789</v>
      </c>
      <c r="H6109" s="334" t="s">
        <v>13906</v>
      </c>
      <c r="I6109" s="444">
        <v>13818557370</v>
      </c>
      <c r="J6109" s="348" t="s">
        <v>13907</v>
      </c>
      <c r="K6109" s="452">
        <v>1000</v>
      </c>
      <c r="L6109" s="334">
        <v>8768</v>
      </c>
      <c r="M6109" s="338"/>
      <c r="N6109" s="362">
        <f t="shared" si="201"/>
        <v>8768</v>
      </c>
      <c r="T6109" s="365" t="s">
        <v>52</v>
      </c>
      <c r="X6109" s="339"/>
    </row>
    <row r="6110" s="330" customFormat="1" ht="15" customHeight="1" spans="1:24">
      <c r="A6110" s="348"/>
      <c r="B6110" s="348" t="s">
        <v>58</v>
      </c>
      <c r="C6110" s="348" t="s">
        <v>342</v>
      </c>
      <c r="D6110" s="335" t="s">
        <v>343</v>
      </c>
      <c r="E6110" s="336">
        <v>43824</v>
      </c>
      <c r="F6110" s="336">
        <v>43745</v>
      </c>
      <c r="G6110" s="336">
        <v>43823</v>
      </c>
      <c r="H6110" s="334" t="s">
        <v>13908</v>
      </c>
      <c r="I6110" s="444">
        <v>18616577612</v>
      </c>
      <c r="J6110" s="348" t="s">
        <v>13909</v>
      </c>
      <c r="K6110" s="452">
        <v>1000</v>
      </c>
      <c r="L6110" s="334">
        <v>5252</v>
      </c>
      <c r="M6110" s="338"/>
      <c r="N6110" s="362">
        <f t="shared" si="201"/>
        <v>5252</v>
      </c>
      <c r="Q6110" s="365" t="s">
        <v>52</v>
      </c>
      <c r="X6110" s="339"/>
    </row>
    <row r="6111" s="330" customFormat="1" ht="15" customHeight="1" spans="1:24">
      <c r="A6111" s="348"/>
      <c r="B6111" s="348" t="s">
        <v>58</v>
      </c>
      <c r="C6111" s="348" t="s">
        <v>342</v>
      </c>
      <c r="D6111" s="335" t="s">
        <v>343</v>
      </c>
      <c r="E6111" s="336">
        <v>43824</v>
      </c>
      <c r="F6111" s="336">
        <v>43745</v>
      </c>
      <c r="G6111" s="336">
        <v>43823</v>
      </c>
      <c r="H6111" s="334" t="s">
        <v>13908</v>
      </c>
      <c r="I6111" s="444">
        <v>18616577612</v>
      </c>
      <c r="J6111" s="348" t="s">
        <v>13910</v>
      </c>
      <c r="K6111" s="452">
        <v>1000</v>
      </c>
      <c r="L6111" s="334">
        <v>6748</v>
      </c>
      <c r="M6111" s="338"/>
      <c r="N6111" s="362">
        <f t="shared" si="201"/>
        <v>6748</v>
      </c>
      <c r="Q6111" s="365" t="s">
        <v>52</v>
      </c>
      <c r="X6111" s="339"/>
    </row>
    <row r="6112" s="330" customFormat="1" ht="15" customHeight="1" spans="1:24">
      <c r="A6112" s="550" t="s">
        <v>1409</v>
      </c>
      <c r="B6112" s="348" t="s">
        <v>87</v>
      </c>
      <c r="C6112" s="348" t="s">
        <v>199</v>
      </c>
      <c r="D6112" s="335" t="s">
        <v>89</v>
      </c>
      <c r="E6112" s="336">
        <v>43751</v>
      </c>
      <c r="F6112" s="336">
        <v>43748</v>
      </c>
      <c r="G6112" s="336">
        <v>43751</v>
      </c>
      <c r="H6112" s="334" t="s">
        <v>13911</v>
      </c>
      <c r="I6112" s="444">
        <v>15801838171</v>
      </c>
      <c r="J6112" s="348" t="s">
        <v>13912</v>
      </c>
      <c r="K6112" s="452">
        <v>1000</v>
      </c>
      <c r="L6112" s="334">
        <f>8761-760</f>
        <v>8001</v>
      </c>
      <c r="M6112" s="334">
        <v>760</v>
      </c>
      <c r="N6112" s="362">
        <f t="shared" si="201"/>
        <v>8761</v>
      </c>
      <c r="X6112" s="339"/>
    </row>
    <row r="6113" s="330" customFormat="1" ht="15" customHeight="1" spans="1:24">
      <c r="A6113" s="348"/>
      <c r="B6113" s="348" t="s">
        <v>58</v>
      </c>
      <c r="C6113" s="348" t="s">
        <v>59</v>
      </c>
      <c r="D6113" s="334" t="s">
        <v>110</v>
      </c>
      <c r="E6113" s="336">
        <v>43830</v>
      </c>
      <c r="F6113" s="336">
        <v>43747</v>
      </c>
      <c r="G6113" s="336">
        <v>43830</v>
      </c>
      <c r="H6113" s="334" t="s">
        <v>13913</v>
      </c>
      <c r="I6113" s="444">
        <v>13901799075</v>
      </c>
      <c r="J6113" s="348" t="s">
        <v>13914</v>
      </c>
      <c r="K6113" s="452">
        <v>10283</v>
      </c>
      <c r="L6113" s="334">
        <v>10283</v>
      </c>
      <c r="M6113" s="338"/>
      <c r="N6113" s="362">
        <f t="shared" si="201"/>
        <v>10283</v>
      </c>
      <c r="S6113" s="365" t="s">
        <v>52</v>
      </c>
      <c r="X6113" s="339"/>
    </row>
    <row r="6114" s="330" customFormat="1" ht="15" customHeight="1" spans="1:24">
      <c r="A6114" s="348"/>
      <c r="B6114" s="348" t="s">
        <v>169</v>
      </c>
      <c r="C6114" s="348" t="s">
        <v>634</v>
      </c>
      <c r="D6114" s="335" t="s">
        <v>635</v>
      </c>
      <c r="E6114" s="336">
        <v>43772</v>
      </c>
      <c r="F6114" s="336">
        <v>43748</v>
      </c>
      <c r="G6114" s="336">
        <v>43772</v>
      </c>
      <c r="H6114" s="334" t="s">
        <v>13915</v>
      </c>
      <c r="I6114" s="444">
        <v>18106300165</v>
      </c>
      <c r="J6114" s="348" t="s">
        <v>13916</v>
      </c>
      <c r="K6114" s="452">
        <v>1000</v>
      </c>
      <c r="L6114" s="334">
        <v>8200</v>
      </c>
      <c r="M6114" s="338"/>
      <c r="N6114" s="362">
        <f t="shared" si="201"/>
        <v>8200</v>
      </c>
      <c r="X6114" s="339"/>
    </row>
    <row r="6115" s="330" customFormat="1" ht="15" customHeight="1" spans="1:24">
      <c r="A6115" s="334"/>
      <c r="B6115" s="334" t="s">
        <v>66</v>
      </c>
      <c r="C6115" s="334" t="s">
        <v>119</v>
      </c>
      <c r="D6115" s="334" t="s">
        <v>2302</v>
      </c>
      <c r="E6115" s="336">
        <v>43746</v>
      </c>
      <c r="F6115" s="336"/>
      <c r="G6115" s="336">
        <v>43745</v>
      </c>
      <c r="H6115" s="334" t="s">
        <v>5516</v>
      </c>
      <c r="I6115" s="334">
        <v>13764261198</v>
      </c>
      <c r="J6115" s="334" t="s">
        <v>13917</v>
      </c>
      <c r="K6115" s="337"/>
      <c r="L6115" s="334">
        <v>4015</v>
      </c>
      <c r="M6115" s="334">
        <v>-1948</v>
      </c>
      <c r="N6115" s="362">
        <f t="shared" si="201"/>
        <v>2067</v>
      </c>
      <c r="X6115" s="339"/>
    </row>
    <row r="6116" s="330" customFormat="1" ht="15" customHeight="1" spans="1:24">
      <c r="A6116" s="334"/>
      <c r="B6116" s="334" t="s">
        <v>6313</v>
      </c>
      <c r="C6116" s="334" t="s">
        <v>13918</v>
      </c>
      <c r="D6116" s="334" t="s">
        <v>7871</v>
      </c>
      <c r="E6116" s="336">
        <v>43746</v>
      </c>
      <c r="F6116" s="336"/>
      <c r="G6116" s="336">
        <v>43745</v>
      </c>
      <c r="H6116" s="334" t="s">
        <v>13919</v>
      </c>
      <c r="I6116" s="334">
        <v>13818583878</v>
      </c>
      <c r="J6116" s="334" t="s">
        <v>13920</v>
      </c>
      <c r="K6116" s="337"/>
      <c r="L6116" s="334">
        <v>22500</v>
      </c>
      <c r="M6116" s="338"/>
      <c r="N6116" s="362">
        <f t="shared" si="201"/>
        <v>22500</v>
      </c>
      <c r="X6116" s="339"/>
    </row>
    <row r="6117" s="330" customFormat="1" ht="15" customHeight="1" spans="1:24">
      <c r="A6117" s="334"/>
      <c r="B6117" s="334" t="s">
        <v>6313</v>
      </c>
      <c r="C6117" s="334" t="s">
        <v>13918</v>
      </c>
      <c r="D6117" s="334" t="s">
        <v>7871</v>
      </c>
      <c r="E6117" s="336">
        <v>43746</v>
      </c>
      <c r="F6117" s="336"/>
      <c r="G6117" s="336">
        <v>43738</v>
      </c>
      <c r="H6117" s="334" t="s">
        <v>13921</v>
      </c>
      <c r="I6117" s="334">
        <v>13818386765</v>
      </c>
      <c r="J6117" s="334" t="s">
        <v>13922</v>
      </c>
      <c r="K6117" s="337"/>
      <c r="L6117" s="334">
        <v>11000</v>
      </c>
      <c r="M6117" s="338"/>
      <c r="N6117" s="362">
        <f t="shared" si="201"/>
        <v>11000</v>
      </c>
      <c r="X6117" s="339"/>
    </row>
    <row r="6118" s="330" customFormat="1" ht="15" customHeight="1" spans="1:24">
      <c r="A6118" s="334"/>
      <c r="B6118" s="334" t="s">
        <v>6313</v>
      </c>
      <c r="C6118" s="334" t="s">
        <v>13918</v>
      </c>
      <c r="D6118" s="334" t="s">
        <v>7871</v>
      </c>
      <c r="E6118" s="336">
        <v>43746</v>
      </c>
      <c r="F6118" s="336"/>
      <c r="G6118" s="336">
        <v>43738</v>
      </c>
      <c r="H6118" s="334" t="s">
        <v>13923</v>
      </c>
      <c r="I6118" s="334">
        <v>13818046000</v>
      </c>
      <c r="J6118" s="334" t="s">
        <v>13924</v>
      </c>
      <c r="K6118" s="337"/>
      <c r="L6118" s="334">
        <v>16304</v>
      </c>
      <c r="M6118" s="338"/>
      <c r="N6118" s="362">
        <f t="shared" si="201"/>
        <v>16304</v>
      </c>
      <c r="X6118" s="339"/>
    </row>
    <row r="6119" s="330" customFormat="1" ht="15" customHeight="1" spans="1:24">
      <c r="A6119" s="334"/>
      <c r="B6119" s="334" t="s">
        <v>805</v>
      </c>
      <c r="C6119" s="334" t="s">
        <v>4935</v>
      </c>
      <c r="D6119" s="334" t="s">
        <v>171</v>
      </c>
      <c r="E6119" s="336">
        <v>43747</v>
      </c>
      <c r="F6119" s="336"/>
      <c r="G6119" s="336">
        <v>43746</v>
      </c>
      <c r="H6119" s="334" t="s">
        <v>13925</v>
      </c>
      <c r="I6119" s="334">
        <v>18018509739</v>
      </c>
      <c r="J6119" s="334" t="s">
        <v>13926</v>
      </c>
      <c r="K6119" s="337"/>
      <c r="L6119" s="334">
        <v>14800</v>
      </c>
      <c r="M6119" s="338"/>
      <c r="N6119" s="362">
        <f t="shared" si="201"/>
        <v>14800</v>
      </c>
      <c r="X6119" s="339"/>
    </row>
    <row r="6120" s="330" customFormat="1" ht="15" customHeight="1" spans="1:24">
      <c r="A6120" s="334"/>
      <c r="B6120" s="334" t="s">
        <v>805</v>
      </c>
      <c r="C6120" s="334" t="s">
        <v>806</v>
      </c>
      <c r="D6120" s="334" t="s">
        <v>171</v>
      </c>
      <c r="E6120" s="336">
        <v>43747</v>
      </c>
      <c r="F6120" s="336"/>
      <c r="G6120" s="336">
        <v>43746</v>
      </c>
      <c r="H6120" s="334" t="s">
        <v>8674</v>
      </c>
      <c r="I6120" s="334">
        <v>13610760655</v>
      </c>
      <c r="J6120" s="334" t="s">
        <v>12523</v>
      </c>
      <c r="K6120" s="337"/>
      <c r="L6120" s="334">
        <v>28000</v>
      </c>
      <c r="M6120" s="338"/>
      <c r="N6120" s="362">
        <f t="shared" si="201"/>
        <v>28000</v>
      </c>
      <c r="X6120" s="339"/>
    </row>
    <row r="6121" s="330" customFormat="1" ht="15" customHeight="1" spans="1:24">
      <c r="A6121" s="334"/>
      <c r="B6121" s="334" t="s">
        <v>315</v>
      </c>
      <c r="C6121" s="334" t="s">
        <v>161</v>
      </c>
      <c r="D6121" s="334" t="s">
        <v>149</v>
      </c>
      <c r="E6121" s="336">
        <v>43747</v>
      </c>
      <c r="F6121" s="336"/>
      <c r="G6121" s="336">
        <v>43746</v>
      </c>
      <c r="H6121" s="334" t="s">
        <v>13927</v>
      </c>
      <c r="I6121" s="334">
        <v>13166069191</v>
      </c>
      <c r="J6121" s="334" t="s">
        <v>13928</v>
      </c>
      <c r="K6121" s="337"/>
      <c r="L6121" s="334">
        <v>2105</v>
      </c>
      <c r="M6121" s="338"/>
      <c r="N6121" s="362">
        <f t="shared" si="201"/>
        <v>2105</v>
      </c>
      <c r="X6121" s="339"/>
    </row>
    <row r="6122" s="330" customFormat="1" ht="15" customHeight="1" spans="1:24">
      <c r="A6122" s="334"/>
      <c r="B6122" s="334" t="s">
        <v>5336</v>
      </c>
      <c r="C6122" s="334" t="s">
        <v>5336</v>
      </c>
      <c r="D6122" s="334" t="s">
        <v>954</v>
      </c>
      <c r="E6122" s="336">
        <v>43747</v>
      </c>
      <c r="F6122" s="336"/>
      <c r="G6122" s="336">
        <v>43747</v>
      </c>
      <c r="H6122" s="334" t="s">
        <v>13929</v>
      </c>
      <c r="I6122" s="334">
        <v>17721263682</v>
      </c>
      <c r="J6122" s="334" t="s">
        <v>13930</v>
      </c>
      <c r="K6122" s="337"/>
      <c r="L6122" s="334">
        <v>7591</v>
      </c>
      <c r="M6122" s="338"/>
      <c r="N6122" s="362">
        <f t="shared" si="201"/>
        <v>7591</v>
      </c>
      <c r="X6122" s="339"/>
    </row>
    <row r="6123" s="330" customFormat="1" ht="15" customHeight="1" spans="1:24">
      <c r="A6123" s="334"/>
      <c r="B6123" s="334" t="s">
        <v>5336</v>
      </c>
      <c r="C6123" s="334" t="s">
        <v>5336</v>
      </c>
      <c r="D6123" s="334" t="s">
        <v>8334</v>
      </c>
      <c r="E6123" s="336">
        <v>43794</v>
      </c>
      <c r="F6123" s="336"/>
      <c r="G6123" s="336">
        <v>43794</v>
      </c>
      <c r="H6123" s="334" t="s">
        <v>13931</v>
      </c>
      <c r="I6123" s="334">
        <v>13701910531</v>
      </c>
      <c r="J6123" s="334" t="s">
        <v>13932</v>
      </c>
      <c r="K6123" s="337"/>
      <c r="L6123" s="334">
        <v>14472</v>
      </c>
      <c r="M6123" s="338"/>
      <c r="N6123" s="362">
        <f t="shared" si="201"/>
        <v>14472</v>
      </c>
      <c r="X6123" s="339"/>
    </row>
    <row r="6124" s="330" customFormat="1" ht="15" customHeight="1" spans="1:24">
      <c r="A6124" s="334"/>
      <c r="B6124" s="334" t="s">
        <v>185</v>
      </c>
      <c r="C6124" s="334" t="s">
        <v>1204</v>
      </c>
      <c r="D6124" s="334" t="s">
        <v>44</v>
      </c>
      <c r="E6124" s="336">
        <v>43747</v>
      </c>
      <c r="F6124" s="336"/>
      <c r="G6124" s="336">
        <v>43747</v>
      </c>
      <c r="H6124" s="334" t="s">
        <v>13933</v>
      </c>
      <c r="I6124" s="334">
        <v>18621037050</v>
      </c>
      <c r="J6124" s="334" t="s">
        <v>13934</v>
      </c>
      <c r="K6124" s="337"/>
      <c r="L6124" s="334">
        <v>9476</v>
      </c>
      <c r="M6124" s="338"/>
      <c r="N6124" s="362">
        <f t="shared" si="201"/>
        <v>9476</v>
      </c>
      <c r="X6124" s="339"/>
    </row>
    <row r="6125" s="330" customFormat="1" ht="15" customHeight="1" spans="1:24">
      <c r="A6125" s="334"/>
      <c r="B6125" s="334" t="s">
        <v>66</v>
      </c>
      <c r="C6125" s="334" t="s">
        <v>7029</v>
      </c>
      <c r="D6125" s="334" t="s">
        <v>1436</v>
      </c>
      <c r="E6125" s="336">
        <v>43747</v>
      </c>
      <c r="F6125" s="336"/>
      <c r="G6125" s="336">
        <v>43747</v>
      </c>
      <c r="H6125" s="334" t="s">
        <v>13935</v>
      </c>
      <c r="I6125" s="334">
        <v>15026518424</v>
      </c>
      <c r="J6125" s="334" t="s">
        <v>13936</v>
      </c>
      <c r="K6125" s="337"/>
      <c r="L6125" s="334">
        <v>4886</v>
      </c>
      <c r="M6125" s="338"/>
      <c r="N6125" s="362">
        <f t="shared" si="201"/>
        <v>4886</v>
      </c>
      <c r="X6125" s="339"/>
    </row>
    <row r="6126" s="330" customFormat="1" ht="15" customHeight="1" spans="1:24">
      <c r="A6126" s="334"/>
      <c r="B6126" s="334" t="s">
        <v>281</v>
      </c>
      <c r="C6126" s="334" t="s">
        <v>517</v>
      </c>
      <c r="D6126" s="334" t="s">
        <v>518</v>
      </c>
      <c r="E6126" s="336">
        <v>43747</v>
      </c>
      <c r="F6126" s="336"/>
      <c r="G6126" s="336">
        <v>43747</v>
      </c>
      <c r="H6126" s="334" t="s">
        <v>13937</v>
      </c>
      <c r="I6126" s="334">
        <v>18651993777</v>
      </c>
      <c r="J6126" s="334" t="s">
        <v>13938</v>
      </c>
      <c r="K6126" s="337"/>
      <c r="L6126" s="334">
        <v>7118</v>
      </c>
      <c r="M6126" s="338"/>
      <c r="N6126" s="362">
        <f t="shared" si="201"/>
        <v>7118</v>
      </c>
      <c r="X6126" s="339"/>
    </row>
    <row r="6127" s="330" customFormat="1" ht="15" customHeight="1" spans="1:24">
      <c r="A6127" s="334"/>
      <c r="B6127" s="334" t="s">
        <v>94</v>
      </c>
      <c r="C6127" s="334" t="s">
        <v>101</v>
      </c>
      <c r="D6127" s="335" t="s">
        <v>49</v>
      </c>
      <c r="E6127" s="336">
        <v>43748</v>
      </c>
      <c r="F6127" s="336"/>
      <c r="G6127" s="336">
        <v>43747</v>
      </c>
      <c r="H6127" s="334" t="s">
        <v>13939</v>
      </c>
      <c r="I6127" s="334">
        <v>13585906361</v>
      </c>
      <c r="J6127" s="334" t="s">
        <v>13940</v>
      </c>
      <c r="K6127" s="337"/>
      <c r="L6127" s="334">
        <v>12760</v>
      </c>
      <c r="M6127" s="338"/>
      <c r="N6127" s="362">
        <f t="shared" si="201"/>
        <v>12760</v>
      </c>
      <c r="X6127" s="339"/>
    </row>
    <row r="6128" s="330" customFormat="1" ht="15" customHeight="1" spans="1:24">
      <c r="A6128" s="334"/>
      <c r="B6128" s="348" t="s">
        <v>137</v>
      </c>
      <c r="C6128" s="348" t="s">
        <v>406</v>
      </c>
      <c r="D6128" s="334" t="s">
        <v>427</v>
      </c>
      <c r="E6128" s="336">
        <v>43746</v>
      </c>
      <c r="F6128" s="336" t="s">
        <v>800</v>
      </c>
      <c r="G6128" s="336">
        <v>43744</v>
      </c>
      <c r="H6128" s="334" t="s">
        <v>7168</v>
      </c>
      <c r="I6128" s="356">
        <v>13701899261</v>
      </c>
      <c r="J6128" s="348" t="s">
        <v>7169</v>
      </c>
      <c r="K6128" s="337"/>
      <c r="L6128" s="338"/>
      <c r="M6128" s="334">
        <v>4996</v>
      </c>
      <c r="N6128" s="362">
        <f t="shared" ref="N6128:N6144" si="202">L6128+M6128</f>
        <v>4996</v>
      </c>
      <c r="X6128" s="339"/>
    </row>
    <row r="6129" s="330" customFormat="1" ht="15" customHeight="1" spans="1:24">
      <c r="A6129" s="334"/>
      <c r="B6129" s="348" t="s">
        <v>73</v>
      </c>
      <c r="C6129" s="348" t="s">
        <v>178</v>
      </c>
      <c r="D6129" s="334" t="s">
        <v>68</v>
      </c>
      <c r="E6129" s="336">
        <v>43746</v>
      </c>
      <c r="F6129" s="336" t="s">
        <v>800</v>
      </c>
      <c r="G6129" s="336">
        <v>43746</v>
      </c>
      <c r="H6129" s="334" t="s">
        <v>8556</v>
      </c>
      <c r="I6129" s="334">
        <v>13611845240</v>
      </c>
      <c r="J6129" s="334" t="s">
        <v>13941</v>
      </c>
      <c r="K6129" s="337"/>
      <c r="L6129" s="338"/>
      <c r="M6129" s="334">
        <v>986</v>
      </c>
      <c r="N6129" s="362">
        <f t="shared" si="202"/>
        <v>986</v>
      </c>
      <c r="X6129" s="339"/>
    </row>
    <row r="6130" s="330" customFormat="1" ht="15" customHeight="1" spans="1:24">
      <c r="A6130" s="334"/>
      <c r="B6130" s="334" t="s">
        <v>315</v>
      </c>
      <c r="C6130" s="334" t="s">
        <v>722</v>
      </c>
      <c r="D6130" s="335" t="s">
        <v>132</v>
      </c>
      <c r="E6130" s="336">
        <v>43746</v>
      </c>
      <c r="F6130" s="336" t="s">
        <v>800</v>
      </c>
      <c r="G6130" s="336">
        <v>43745</v>
      </c>
      <c r="H6130" s="334" t="s">
        <v>12084</v>
      </c>
      <c r="I6130" s="334">
        <v>13701808823</v>
      </c>
      <c r="J6130" s="334" t="s">
        <v>13867</v>
      </c>
      <c r="K6130" s="337"/>
      <c r="L6130" s="338"/>
      <c r="M6130" s="334">
        <v>2803</v>
      </c>
      <c r="N6130" s="362">
        <f t="shared" si="202"/>
        <v>2803</v>
      </c>
      <c r="X6130" s="339"/>
    </row>
    <row r="6131" s="330" customFormat="1" ht="15" customHeight="1" spans="1:24">
      <c r="A6131" s="334"/>
      <c r="B6131" s="334" t="s">
        <v>137</v>
      </c>
      <c r="C6131" s="334" t="s">
        <v>406</v>
      </c>
      <c r="D6131" s="334" t="s">
        <v>443</v>
      </c>
      <c r="E6131" s="336">
        <v>43746</v>
      </c>
      <c r="F6131" s="336" t="s">
        <v>800</v>
      </c>
      <c r="G6131" s="336">
        <v>43746</v>
      </c>
      <c r="H6131" s="334" t="s">
        <v>5536</v>
      </c>
      <c r="I6131" s="356">
        <v>13701759396</v>
      </c>
      <c r="J6131" s="334" t="s">
        <v>13942</v>
      </c>
      <c r="K6131" s="337"/>
      <c r="L6131" s="338"/>
      <c r="M6131" s="334">
        <v>2961</v>
      </c>
      <c r="N6131" s="362">
        <f t="shared" si="202"/>
        <v>2961</v>
      </c>
      <c r="X6131" s="339"/>
    </row>
    <row r="6132" s="330" customFormat="1" ht="15" customHeight="1" spans="1:24">
      <c r="A6132" s="334"/>
      <c r="B6132" s="348" t="s">
        <v>47</v>
      </c>
      <c r="C6132" s="348" t="s">
        <v>80</v>
      </c>
      <c r="D6132" s="352" t="s">
        <v>49</v>
      </c>
      <c r="E6132" s="336">
        <v>43746</v>
      </c>
      <c r="F6132" s="336" t="s">
        <v>800</v>
      </c>
      <c r="G6132" s="336">
        <v>43746</v>
      </c>
      <c r="H6132" s="334" t="s">
        <v>1028</v>
      </c>
      <c r="I6132" s="334">
        <v>1871553442</v>
      </c>
      <c r="J6132" s="334" t="s">
        <v>13943</v>
      </c>
      <c r="K6132" s="337"/>
      <c r="L6132" s="338"/>
      <c r="M6132" s="334">
        <v>900</v>
      </c>
      <c r="N6132" s="362">
        <f t="shared" si="202"/>
        <v>900</v>
      </c>
      <c r="X6132" s="339"/>
    </row>
    <row r="6133" s="330" customFormat="1" ht="15" customHeight="1" spans="1:24">
      <c r="A6133" s="334"/>
      <c r="B6133" s="334" t="s">
        <v>73</v>
      </c>
      <c r="C6133" s="334" t="s">
        <v>178</v>
      </c>
      <c r="D6133" s="334" t="s">
        <v>139</v>
      </c>
      <c r="E6133" s="336">
        <v>43747</v>
      </c>
      <c r="F6133" s="336" t="s">
        <v>800</v>
      </c>
      <c r="G6133" s="336">
        <v>43746</v>
      </c>
      <c r="H6133" s="334" t="s">
        <v>11240</v>
      </c>
      <c r="I6133" s="334">
        <v>15821094982</v>
      </c>
      <c r="J6133" s="334" t="s">
        <v>11241</v>
      </c>
      <c r="K6133" s="337"/>
      <c r="L6133" s="334"/>
      <c r="M6133" s="334">
        <v>4850</v>
      </c>
      <c r="N6133" s="362">
        <f t="shared" si="202"/>
        <v>4850</v>
      </c>
      <c r="X6133" s="339"/>
    </row>
    <row r="6134" s="330" customFormat="1" ht="15" customHeight="1" spans="1:24">
      <c r="A6134" s="334"/>
      <c r="B6134" s="334" t="s">
        <v>281</v>
      </c>
      <c r="C6134" s="334" t="s">
        <v>517</v>
      </c>
      <c r="D6134" s="334" t="s">
        <v>518</v>
      </c>
      <c r="E6134" s="336">
        <v>43747</v>
      </c>
      <c r="F6134" s="336" t="s">
        <v>800</v>
      </c>
      <c r="G6134" s="336">
        <v>43747</v>
      </c>
      <c r="H6134" s="334" t="s">
        <v>13944</v>
      </c>
      <c r="I6134" s="334">
        <v>18964928516</v>
      </c>
      <c r="J6134" s="334" t="s">
        <v>12979</v>
      </c>
      <c r="K6134" s="337"/>
      <c r="L6134" s="334"/>
      <c r="M6134" s="334">
        <v>6864</v>
      </c>
      <c r="N6134" s="362">
        <f t="shared" si="202"/>
        <v>6864</v>
      </c>
      <c r="X6134" s="339"/>
    </row>
    <row r="6135" s="330" customFormat="1" ht="15" customHeight="1" spans="1:24">
      <c r="A6135" s="334"/>
      <c r="B6135" s="348" t="s">
        <v>153</v>
      </c>
      <c r="C6135" s="348" t="s">
        <v>302</v>
      </c>
      <c r="D6135" s="349" t="s">
        <v>155</v>
      </c>
      <c r="E6135" s="336">
        <v>43747</v>
      </c>
      <c r="F6135" s="336" t="s">
        <v>800</v>
      </c>
      <c r="G6135" s="336">
        <v>43746</v>
      </c>
      <c r="H6135" s="334" t="s">
        <v>4413</v>
      </c>
      <c r="I6135" s="334">
        <v>13816105587</v>
      </c>
      <c r="J6135" s="334" t="s">
        <v>13945</v>
      </c>
      <c r="K6135" s="337"/>
      <c r="L6135" s="338"/>
      <c r="M6135" s="334">
        <v>2000</v>
      </c>
      <c r="N6135" s="362">
        <f t="shared" si="202"/>
        <v>2000</v>
      </c>
      <c r="X6135" s="339"/>
    </row>
    <row r="6136" s="330" customFormat="1" ht="15" customHeight="1" spans="1:24">
      <c r="A6136" s="334"/>
      <c r="B6136" s="334" t="s">
        <v>153</v>
      </c>
      <c r="C6136" s="334" t="s">
        <v>302</v>
      </c>
      <c r="D6136" s="334" t="s">
        <v>155</v>
      </c>
      <c r="E6136" s="336">
        <v>43747</v>
      </c>
      <c r="F6136" s="336" t="s">
        <v>800</v>
      </c>
      <c r="G6136" s="336">
        <v>43746</v>
      </c>
      <c r="H6136" s="334" t="s">
        <v>12449</v>
      </c>
      <c r="I6136" s="334">
        <v>17721007276</v>
      </c>
      <c r="J6136" s="334" t="s">
        <v>12450</v>
      </c>
      <c r="K6136" s="337"/>
      <c r="L6136" s="338"/>
      <c r="M6136" s="334">
        <v>-6885</v>
      </c>
      <c r="N6136" s="362">
        <f t="shared" si="202"/>
        <v>-6885</v>
      </c>
      <c r="X6136" s="339"/>
    </row>
    <row r="6137" s="330" customFormat="1" ht="15" customHeight="1" spans="1:24">
      <c r="A6137" s="334"/>
      <c r="B6137" s="348" t="s">
        <v>2625</v>
      </c>
      <c r="C6137" s="348" t="s">
        <v>2626</v>
      </c>
      <c r="D6137" s="334" t="s">
        <v>337</v>
      </c>
      <c r="E6137" s="336">
        <v>43748</v>
      </c>
      <c r="F6137" s="336" t="s">
        <v>800</v>
      </c>
      <c r="G6137" s="336">
        <v>43748</v>
      </c>
      <c r="H6137" s="334" t="s">
        <v>8291</v>
      </c>
      <c r="I6137" s="334">
        <v>13918192447</v>
      </c>
      <c r="J6137" s="334" t="s">
        <v>13946</v>
      </c>
      <c r="K6137" s="337"/>
      <c r="L6137" s="338"/>
      <c r="M6137" s="334">
        <v>319</v>
      </c>
      <c r="N6137" s="362">
        <f t="shared" si="202"/>
        <v>319</v>
      </c>
      <c r="X6137" s="339"/>
    </row>
    <row r="6138" s="330" customFormat="1" ht="15" customHeight="1" spans="1:24">
      <c r="A6138" s="334"/>
      <c r="B6138" s="348" t="s">
        <v>73</v>
      </c>
      <c r="C6138" s="348" t="s">
        <v>74</v>
      </c>
      <c r="D6138" s="334" t="s">
        <v>717</v>
      </c>
      <c r="E6138" s="336">
        <v>43748</v>
      </c>
      <c r="F6138" s="336" t="s">
        <v>800</v>
      </c>
      <c r="G6138" s="336">
        <v>43747</v>
      </c>
      <c r="H6138" s="334" t="s">
        <v>7786</v>
      </c>
      <c r="I6138" s="334">
        <v>13761500857</v>
      </c>
      <c r="J6138" s="334" t="s">
        <v>13947</v>
      </c>
      <c r="K6138" s="337"/>
      <c r="L6138" s="338"/>
      <c r="M6138" s="334">
        <v>1416</v>
      </c>
      <c r="N6138" s="362">
        <f t="shared" si="202"/>
        <v>1416</v>
      </c>
      <c r="X6138" s="339"/>
    </row>
    <row r="6139" s="330" customFormat="1" ht="15" customHeight="1" spans="1:24">
      <c r="A6139" s="334"/>
      <c r="B6139" s="348" t="s">
        <v>73</v>
      </c>
      <c r="C6139" s="348" t="s">
        <v>178</v>
      </c>
      <c r="D6139" s="349" t="s">
        <v>132</v>
      </c>
      <c r="E6139" s="336">
        <v>43748</v>
      </c>
      <c r="F6139" s="336" t="s">
        <v>800</v>
      </c>
      <c r="G6139" s="336">
        <v>43748</v>
      </c>
      <c r="H6139" s="334" t="s">
        <v>735</v>
      </c>
      <c r="I6139" s="334">
        <v>13816828766</v>
      </c>
      <c r="J6139" s="334" t="s">
        <v>13948</v>
      </c>
      <c r="K6139" s="337"/>
      <c r="L6139" s="338"/>
      <c r="M6139" s="338">
        <v>33</v>
      </c>
      <c r="N6139" s="362">
        <f t="shared" si="202"/>
        <v>33</v>
      </c>
      <c r="X6139" s="339"/>
    </row>
    <row r="6140" s="330" customFormat="1" ht="15" customHeight="1" spans="1:24">
      <c r="A6140" s="334"/>
      <c r="B6140" s="348" t="s">
        <v>35</v>
      </c>
      <c r="C6140" s="348" t="s">
        <v>36</v>
      </c>
      <c r="D6140" s="349" t="s">
        <v>37</v>
      </c>
      <c r="E6140" s="336">
        <v>43748</v>
      </c>
      <c r="F6140" s="336" t="s">
        <v>800</v>
      </c>
      <c r="G6140" s="336">
        <v>43748</v>
      </c>
      <c r="H6140" s="334" t="s">
        <v>1265</v>
      </c>
      <c r="I6140" s="426">
        <v>13816700045</v>
      </c>
      <c r="J6140" s="334" t="s">
        <v>5182</v>
      </c>
      <c r="K6140" s="337"/>
      <c r="L6140" s="338"/>
      <c r="M6140" s="334">
        <v>1766</v>
      </c>
      <c r="N6140" s="362">
        <f t="shared" si="202"/>
        <v>1766</v>
      </c>
      <c r="X6140" s="339"/>
    </row>
    <row r="6141" s="330" customFormat="1" ht="15" customHeight="1" spans="1:24">
      <c r="A6141" s="334"/>
      <c r="B6141" s="348" t="s">
        <v>137</v>
      </c>
      <c r="C6141" s="348" t="s">
        <v>411</v>
      </c>
      <c r="D6141" s="349" t="s">
        <v>139</v>
      </c>
      <c r="E6141" s="336">
        <v>43748</v>
      </c>
      <c r="F6141" s="336" t="s">
        <v>800</v>
      </c>
      <c r="G6141" s="336">
        <v>43748</v>
      </c>
      <c r="H6141" s="334" t="s">
        <v>6128</v>
      </c>
      <c r="I6141" s="444">
        <v>18621366729</v>
      </c>
      <c r="J6141" s="348" t="s">
        <v>13949</v>
      </c>
      <c r="K6141" s="337"/>
      <c r="L6141" s="338"/>
      <c r="M6141" s="334">
        <v>215</v>
      </c>
      <c r="N6141" s="362">
        <f t="shared" si="202"/>
        <v>215</v>
      </c>
      <c r="X6141" s="339"/>
    </row>
    <row r="6142" s="330" customFormat="1" ht="15" customHeight="1" spans="1:24">
      <c r="A6142" s="334"/>
      <c r="B6142" s="334" t="s">
        <v>169</v>
      </c>
      <c r="C6142" s="334" t="s">
        <v>634</v>
      </c>
      <c r="D6142" s="335" t="s">
        <v>635</v>
      </c>
      <c r="E6142" s="336">
        <v>43748</v>
      </c>
      <c r="F6142" s="336" t="s">
        <v>800</v>
      </c>
      <c r="G6142" s="336">
        <v>43748</v>
      </c>
      <c r="H6142" s="334" t="s">
        <v>11728</v>
      </c>
      <c r="I6142" s="334">
        <v>13901926865</v>
      </c>
      <c r="J6142" s="334" t="s">
        <v>11729</v>
      </c>
      <c r="K6142" s="337"/>
      <c r="L6142" s="338"/>
      <c r="M6142" s="334">
        <v>5649</v>
      </c>
      <c r="N6142" s="362">
        <f t="shared" si="202"/>
        <v>5649</v>
      </c>
      <c r="X6142" s="339"/>
    </row>
    <row r="6143" s="330" customFormat="1" ht="15" customHeight="1" spans="1:24">
      <c r="A6143" s="334"/>
      <c r="B6143" s="348" t="s">
        <v>137</v>
      </c>
      <c r="C6143" s="348" t="s">
        <v>138</v>
      </c>
      <c r="D6143" s="349" t="s">
        <v>717</v>
      </c>
      <c r="E6143" s="336">
        <v>43748</v>
      </c>
      <c r="F6143" s="336" t="s">
        <v>800</v>
      </c>
      <c r="G6143" s="336">
        <v>43748</v>
      </c>
      <c r="H6143" s="334" t="s">
        <v>6257</v>
      </c>
      <c r="I6143" s="334">
        <v>15921365741</v>
      </c>
      <c r="J6143" s="348" t="s">
        <v>6258</v>
      </c>
      <c r="K6143" s="337"/>
      <c r="L6143" s="338"/>
      <c r="M6143" s="334">
        <v>1258</v>
      </c>
      <c r="N6143" s="362">
        <f t="shared" si="202"/>
        <v>1258</v>
      </c>
      <c r="X6143" s="339"/>
    </row>
    <row r="6144" s="330" customFormat="1" ht="15" customHeight="1" spans="1:24">
      <c r="A6144" s="334"/>
      <c r="B6144" s="348" t="s">
        <v>335</v>
      </c>
      <c r="C6144" s="348" t="s">
        <v>399</v>
      </c>
      <c r="D6144" s="349" t="s">
        <v>337</v>
      </c>
      <c r="E6144" s="336">
        <v>43748</v>
      </c>
      <c r="F6144" s="336" t="s">
        <v>800</v>
      </c>
      <c r="G6144" s="336">
        <v>43738</v>
      </c>
      <c r="H6144" s="334" t="s">
        <v>4439</v>
      </c>
      <c r="I6144" s="334">
        <v>15921802691</v>
      </c>
      <c r="J6144" s="334" t="s">
        <v>13950</v>
      </c>
      <c r="K6144" s="337"/>
      <c r="L6144" s="338"/>
      <c r="M6144" s="334">
        <v>1303</v>
      </c>
      <c r="N6144" s="362">
        <f t="shared" si="202"/>
        <v>1303</v>
      </c>
      <c r="X6144" s="339"/>
    </row>
    <row r="6145" s="330" customFormat="1" ht="15" customHeight="1" spans="1:24">
      <c r="A6145" s="550" t="s">
        <v>12835</v>
      </c>
      <c r="B6145" s="348" t="s">
        <v>185</v>
      </c>
      <c r="C6145" s="348" t="s">
        <v>186</v>
      </c>
      <c r="D6145" s="335" t="s">
        <v>187</v>
      </c>
      <c r="E6145" s="336">
        <v>43749</v>
      </c>
      <c r="F6145" s="336">
        <v>43748</v>
      </c>
      <c r="G6145" s="399" t="s">
        <v>231</v>
      </c>
      <c r="H6145" s="334" t="s">
        <v>13951</v>
      </c>
      <c r="I6145" s="444">
        <v>15300581181</v>
      </c>
      <c r="J6145" s="348" t="s">
        <v>13952</v>
      </c>
      <c r="K6145" s="452">
        <v>16800</v>
      </c>
      <c r="L6145" s="338"/>
      <c r="M6145" s="338"/>
      <c r="N6145" s="362">
        <f t="shared" ref="N6145:N6175" si="203">L6145+M6145</f>
        <v>0</v>
      </c>
      <c r="X6145" s="339"/>
    </row>
    <row r="6146" s="330" customFormat="1" ht="15" customHeight="1" spans="1:24">
      <c r="A6146" s="348"/>
      <c r="B6146" s="348" t="s">
        <v>66</v>
      </c>
      <c r="C6146" s="348" t="s">
        <v>119</v>
      </c>
      <c r="D6146" s="335" t="s">
        <v>68</v>
      </c>
      <c r="E6146" s="336">
        <v>43749</v>
      </c>
      <c r="F6146" s="336">
        <v>43748</v>
      </c>
      <c r="G6146" s="399"/>
      <c r="H6146" s="334" t="s">
        <v>13953</v>
      </c>
      <c r="I6146" s="444">
        <v>13816327671</v>
      </c>
      <c r="J6146" s="348" t="s">
        <v>13954</v>
      </c>
      <c r="K6146" s="452">
        <v>1000</v>
      </c>
      <c r="L6146" s="338"/>
      <c r="M6146" s="338"/>
      <c r="N6146" s="362">
        <f t="shared" si="203"/>
        <v>0</v>
      </c>
      <c r="U6146" s="330" t="s">
        <v>12</v>
      </c>
      <c r="X6146" s="339"/>
    </row>
    <row r="6147" s="330" customFormat="1" ht="15" customHeight="1" spans="1:24">
      <c r="A6147" s="348"/>
      <c r="B6147" s="348" t="s">
        <v>5336</v>
      </c>
      <c r="C6147" s="348" t="s">
        <v>5336</v>
      </c>
      <c r="D6147" s="335" t="s">
        <v>8334</v>
      </c>
      <c r="E6147" s="336">
        <v>43749</v>
      </c>
      <c r="F6147" s="336">
        <v>43749</v>
      </c>
      <c r="G6147" s="399"/>
      <c r="H6147" s="334" t="s">
        <v>13955</v>
      </c>
      <c r="I6147" s="444">
        <v>13816774792</v>
      </c>
      <c r="J6147" s="348" t="s">
        <v>13956</v>
      </c>
      <c r="K6147" s="452">
        <v>2274</v>
      </c>
      <c r="L6147" s="338"/>
      <c r="M6147" s="338"/>
      <c r="N6147" s="362">
        <f t="shared" si="203"/>
        <v>0</v>
      </c>
      <c r="U6147" s="471">
        <v>43756</v>
      </c>
      <c r="X6147" s="339"/>
    </row>
    <row r="6148" s="330" customFormat="1" ht="15" customHeight="1" spans="1:24">
      <c r="A6148" s="348"/>
      <c r="B6148" s="348" t="s">
        <v>5336</v>
      </c>
      <c r="C6148" s="348" t="s">
        <v>5336</v>
      </c>
      <c r="D6148" s="334" t="s">
        <v>8334</v>
      </c>
      <c r="E6148" s="336">
        <v>43772</v>
      </c>
      <c r="F6148" s="336">
        <v>43749</v>
      </c>
      <c r="G6148" s="336">
        <v>43772</v>
      </c>
      <c r="H6148" s="334" t="s">
        <v>13957</v>
      </c>
      <c r="I6148" s="444">
        <v>18017112297</v>
      </c>
      <c r="J6148" s="348" t="s">
        <v>13958</v>
      </c>
      <c r="K6148" s="452">
        <v>11693</v>
      </c>
      <c r="L6148" s="334">
        <v>14832</v>
      </c>
      <c r="M6148" s="338"/>
      <c r="N6148" s="362">
        <f t="shared" si="203"/>
        <v>14832</v>
      </c>
      <c r="X6148" s="339"/>
    </row>
    <row r="6149" s="330" customFormat="1" ht="15" customHeight="1" spans="1:24">
      <c r="A6149" s="348"/>
      <c r="B6149" s="348" t="s">
        <v>58</v>
      </c>
      <c r="C6149" s="348" t="s">
        <v>59</v>
      </c>
      <c r="D6149" s="335" t="s">
        <v>271</v>
      </c>
      <c r="E6149" s="336">
        <v>43782</v>
      </c>
      <c r="F6149" s="336">
        <v>43748</v>
      </c>
      <c r="G6149" s="336">
        <v>43778</v>
      </c>
      <c r="H6149" s="334" t="s">
        <v>13959</v>
      </c>
      <c r="I6149" s="444">
        <v>18616336310</v>
      </c>
      <c r="J6149" s="348" t="s">
        <v>13960</v>
      </c>
      <c r="K6149" s="452">
        <v>5487</v>
      </c>
      <c r="L6149" s="334">
        <v>10112</v>
      </c>
      <c r="M6149" s="338"/>
      <c r="N6149" s="362">
        <f t="shared" si="203"/>
        <v>10112</v>
      </c>
      <c r="X6149" s="339"/>
    </row>
    <row r="6150" s="330" customFormat="1" ht="15" customHeight="1" spans="1:24">
      <c r="A6150" s="550" t="s">
        <v>12720</v>
      </c>
      <c r="B6150" s="348" t="s">
        <v>185</v>
      </c>
      <c r="C6150" s="348" t="s">
        <v>1620</v>
      </c>
      <c r="D6150" s="335" t="s">
        <v>187</v>
      </c>
      <c r="E6150" s="336">
        <v>43749</v>
      </c>
      <c r="F6150" s="336">
        <v>43746</v>
      </c>
      <c r="G6150" s="399"/>
      <c r="H6150" s="334" t="s">
        <v>13961</v>
      </c>
      <c r="I6150" s="444">
        <v>18916436708</v>
      </c>
      <c r="J6150" s="348" t="s">
        <v>13962</v>
      </c>
      <c r="K6150" s="452">
        <v>1000</v>
      </c>
      <c r="L6150" s="338"/>
      <c r="M6150" s="338"/>
      <c r="N6150" s="362">
        <f t="shared" si="203"/>
        <v>0</v>
      </c>
      <c r="U6150" s="330" t="s">
        <v>12</v>
      </c>
      <c r="X6150" s="339"/>
    </row>
    <row r="6151" s="330" customFormat="1" ht="15" customHeight="1" spans="1:24">
      <c r="A6151" s="348">
        <v>2023280</v>
      </c>
      <c r="B6151" s="348" t="s">
        <v>94</v>
      </c>
      <c r="C6151" s="348" t="s">
        <v>3196</v>
      </c>
      <c r="D6151" s="335" t="s">
        <v>49</v>
      </c>
      <c r="E6151" s="336">
        <v>43753</v>
      </c>
      <c r="F6151" s="336">
        <v>43749</v>
      </c>
      <c r="G6151" s="336">
        <v>43753</v>
      </c>
      <c r="H6151" s="334" t="s">
        <v>13963</v>
      </c>
      <c r="I6151" s="444">
        <v>18116177017</v>
      </c>
      <c r="J6151" s="348" t="s">
        <v>13964</v>
      </c>
      <c r="K6151" s="452">
        <v>5000</v>
      </c>
      <c r="L6151" s="334">
        <v>6067</v>
      </c>
      <c r="M6151" s="338"/>
      <c r="N6151" s="362">
        <f t="shared" si="203"/>
        <v>6067</v>
      </c>
      <c r="X6151" s="339"/>
    </row>
    <row r="6152" s="330" customFormat="1" ht="15" customHeight="1" spans="1:24">
      <c r="A6152" s="550" t="s">
        <v>13965</v>
      </c>
      <c r="B6152" s="348" t="s">
        <v>42</v>
      </c>
      <c r="C6152" s="348" t="s">
        <v>43</v>
      </c>
      <c r="D6152" s="334" t="s">
        <v>207</v>
      </c>
      <c r="E6152" s="336">
        <v>43810</v>
      </c>
      <c r="F6152" s="336">
        <v>43745</v>
      </c>
      <c r="G6152" s="336">
        <v>43810</v>
      </c>
      <c r="H6152" s="334" t="s">
        <v>13826</v>
      </c>
      <c r="I6152" s="444">
        <v>18602129053</v>
      </c>
      <c r="J6152" s="348" t="s">
        <v>13966</v>
      </c>
      <c r="K6152" s="452">
        <v>13547</v>
      </c>
      <c r="L6152" s="334">
        <v>20547</v>
      </c>
      <c r="M6152" s="338"/>
      <c r="N6152" s="362">
        <f t="shared" si="203"/>
        <v>20547</v>
      </c>
      <c r="X6152" s="339"/>
    </row>
    <row r="6153" s="330" customFormat="1" ht="15" customHeight="1" spans="1:24">
      <c r="A6153" s="550" t="s">
        <v>13967</v>
      </c>
      <c r="B6153" s="348" t="s">
        <v>42</v>
      </c>
      <c r="C6153" s="348" t="s">
        <v>43</v>
      </c>
      <c r="D6153" s="335" t="s">
        <v>44</v>
      </c>
      <c r="E6153" s="336">
        <v>43749</v>
      </c>
      <c r="F6153" s="336">
        <v>43745</v>
      </c>
      <c r="G6153" s="399"/>
      <c r="H6153" s="334" t="s">
        <v>13825</v>
      </c>
      <c r="I6153" s="444">
        <v>15026745289</v>
      </c>
      <c r="J6153" s="348" t="s">
        <v>12889</v>
      </c>
      <c r="K6153" s="452">
        <v>18696</v>
      </c>
      <c r="L6153" s="338"/>
      <c r="M6153" s="338"/>
      <c r="N6153" s="362">
        <f t="shared" si="203"/>
        <v>0</v>
      </c>
      <c r="P6153" s="467"/>
      <c r="S6153" s="467" t="s">
        <v>52</v>
      </c>
      <c r="X6153" s="339"/>
    </row>
    <row r="6154" s="330" customFormat="1" ht="15" customHeight="1" spans="1:24">
      <c r="A6154" s="550" t="s">
        <v>13968</v>
      </c>
      <c r="B6154" s="348" t="s">
        <v>42</v>
      </c>
      <c r="C6154" s="348" t="s">
        <v>43</v>
      </c>
      <c r="D6154" s="335" t="s">
        <v>44</v>
      </c>
      <c r="E6154" s="336">
        <v>43749</v>
      </c>
      <c r="F6154" s="336">
        <v>43744</v>
      </c>
      <c r="G6154" s="399">
        <v>43834</v>
      </c>
      <c r="H6154" s="334" t="s">
        <v>13828</v>
      </c>
      <c r="I6154" s="444">
        <v>17721005485</v>
      </c>
      <c r="J6154" s="348" t="s">
        <v>13969</v>
      </c>
      <c r="K6154" s="452">
        <v>10000</v>
      </c>
      <c r="L6154" s="338"/>
      <c r="M6154" s="338"/>
      <c r="N6154" s="362">
        <f t="shared" si="203"/>
        <v>0</v>
      </c>
      <c r="V6154" s="471">
        <v>43825</v>
      </c>
      <c r="X6154" s="339"/>
    </row>
    <row r="6155" s="330" customFormat="1" ht="15" customHeight="1" spans="1:24">
      <c r="A6155" s="348"/>
      <c r="B6155" s="348" t="s">
        <v>5336</v>
      </c>
      <c r="C6155" s="348" t="s">
        <v>5336</v>
      </c>
      <c r="D6155" s="334" t="s">
        <v>271</v>
      </c>
      <c r="E6155" s="336">
        <v>43753</v>
      </c>
      <c r="F6155" s="336">
        <v>43749</v>
      </c>
      <c r="G6155" s="336">
        <v>43753</v>
      </c>
      <c r="H6155" s="334" t="s">
        <v>13970</v>
      </c>
      <c r="I6155" s="444">
        <v>15214301680</v>
      </c>
      <c r="J6155" s="348" t="s">
        <v>13971</v>
      </c>
      <c r="K6155" s="452">
        <v>12084</v>
      </c>
      <c r="L6155" s="334">
        <v>12084</v>
      </c>
      <c r="M6155" s="338"/>
      <c r="N6155" s="362">
        <f t="shared" si="203"/>
        <v>12084</v>
      </c>
      <c r="X6155" s="339"/>
    </row>
    <row r="6156" s="330" customFormat="1" ht="15" customHeight="1" spans="1:24">
      <c r="A6156" s="334"/>
      <c r="B6156" s="334" t="s">
        <v>66</v>
      </c>
      <c r="C6156" s="334" t="s">
        <v>119</v>
      </c>
      <c r="D6156" s="334" t="s">
        <v>68</v>
      </c>
      <c r="E6156" s="336">
        <v>43749</v>
      </c>
      <c r="F6156" s="336"/>
      <c r="G6156" s="336">
        <v>43748</v>
      </c>
      <c r="H6156" s="334" t="s">
        <v>13972</v>
      </c>
      <c r="I6156" s="334">
        <v>13891029675</v>
      </c>
      <c r="J6156" s="334" t="s">
        <v>13973</v>
      </c>
      <c r="K6156" s="337"/>
      <c r="L6156" s="334">
        <v>19000</v>
      </c>
      <c r="M6156" s="338"/>
      <c r="N6156" s="362">
        <f t="shared" si="203"/>
        <v>19000</v>
      </c>
      <c r="X6156" s="339"/>
    </row>
    <row r="6157" s="330" customFormat="1" ht="15" customHeight="1" spans="1:24">
      <c r="A6157" s="334"/>
      <c r="B6157" s="334" t="s">
        <v>147</v>
      </c>
      <c r="C6157" s="334" t="s">
        <v>148</v>
      </c>
      <c r="D6157" s="334" t="s">
        <v>1170</v>
      </c>
      <c r="E6157" s="336">
        <v>43749</v>
      </c>
      <c r="F6157" s="336"/>
      <c r="G6157" s="336">
        <v>43745</v>
      </c>
      <c r="H6157" s="334" t="s">
        <v>13974</v>
      </c>
      <c r="I6157" s="334">
        <v>13651906268</v>
      </c>
      <c r="J6157" s="334" t="s">
        <v>13975</v>
      </c>
      <c r="K6157" s="337"/>
      <c r="L6157" s="334">
        <v>2720</v>
      </c>
      <c r="M6157" s="338"/>
      <c r="N6157" s="362">
        <f t="shared" si="203"/>
        <v>2720</v>
      </c>
      <c r="X6157" s="339"/>
    </row>
    <row r="6158" s="330" customFormat="1" ht="15" customHeight="1" spans="1:24">
      <c r="A6158" s="334"/>
      <c r="B6158" s="334" t="s">
        <v>42</v>
      </c>
      <c r="C6158" s="334" t="s">
        <v>43</v>
      </c>
      <c r="D6158" s="334" t="s">
        <v>207</v>
      </c>
      <c r="E6158" s="336">
        <v>43749</v>
      </c>
      <c r="F6158" s="336"/>
      <c r="G6158" s="336">
        <v>43749</v>
      </c>
      <c r="H6158" s="334" t="s">
        <v>13976</v>
      </c>
      <c r="I6158" s="334">
        <v>18616382195</v>
      </c>
      <c r="J6158" s="334" t="s">
        <v>13977</v>
      </c>
      <c r="K6158" s="337"/>
      <c r="L6158" s="334">
        <v>7932</v>
      </c>
      <c r="M6158" s="338"/>
      <c r="N6158" s="362">
        <f t="shared" si="203"/>
        <v>7932</v>
      </c>
      <c r="X6158" s="339"/>
    </row>
    <row r="6159" s="330" customFormat="1" ht="15" customHeight="1" spans="1:24">
      <c r="A6159" s="334"/>
      <c r="B6159" s="334" t="s">
        <v>94</v>
      </c>
      <c r="C6159" s="334" t="s">
        <v>95</v>
      </c>
      <c r="D6159" s="335" t="s">
        <v>49</v>
      </c>
      <c r="E6159" s="336">
        <v>43749</v>
      </c>
      <c r="F6159" s="336"/>
      <c r="G6159" s="336">
        <v>43749</v>
      </c>
      <c r="H6159" s="334" t="s">
        <v>13978</v>
      </c>
      <c r="I6159" s="334">
        <v>1376407437</v>
      </c>
      <c r="J6159" s="334" t="s">
        <v>13979</v>
      </c>
      <c r="K6159" s="337"/>
      <c r="L6159" s="334">
        <v>1976</v>
      </c>
      <c r="M6159" s="338"/>
      <c r="N6159" s="362">
        <f t="shared" si="203"/>
        <v>1976</v>
      </c>
      <c r="X6159" s="339"/>
    </row>
    <row r="6160" s="330" customFormat="1" ht="15" customHeight="1" spans="1:24">
      <c r="A6160" s="334"/>
      <c r="B6160" s="334" t="s">
        <v>315</v>
      </c>
      <c r="C6160" s="334" t="s">
        <v>161</v>
      </c>
      <c r="D6160" s="334" t="s">
        <v>149</v>
      </c>
      <c r="E6160" s="336">
        <v>43749</v>
      </c>
      <c r="F6160" s="336"/>
      <c r="G6160" s="336">
        <v>43749</v>
      </c>
      <c r="H6160" s="334" t="s">
        <v>13980</v>
      </c>
      <c r="I6160" s="334">
        <v>18621366098</v>
      </c>
      <c r="J6160" s="334" t="s">
        <v>13981</v>
      </c>
      <c r="K6160" s="337"/>
      <c r="L6160" s="334">
        <v>9404</v>
      </c>
      <c r="M6160" s="338"/>
      <c r="N6160" s="362">
        <f t="shared" si="203"/>
        <v>9404</v>
      </c>
      <c r="X6160" s="339"/>
    </row>
    <row r="6161" s="330" customFormat="1" ht="15" customHeight="1" spans="1:24">
      <c r="A6161" s="334"/>
      <c r="B6161" s="348" t="s">
        <v>137</v>
      </c>
      <c r="C6161" s="348" t="s">
        <v>406</v>
      </c>
      <c r="D6161" s="334" t="s">
        <v>139</v>
      </c>
      <c r="E6161" s="336">
        <v>43749</v>
      </c>
      <c r="F6161" s="336" t="s">
        <v>800</v>
      </c>
      <c r="G6161" s="336">
        <v>43748</v>
      </c>
      <c r="H6161" s="334" t="s">
        <v>2143</v>
      </c>
      <c r="I6161" s="334">
        <v>18602191310</v>
      </c>
      <c r="J6161" s="334" t="s">
        <v>13982</v>
      </c>
      <c r="K6161" s="337"/>
      <c r="L6161" s="338"/>
      <c r="M6161" s="334">
        <v>2737</v>
      </c>
      <c r="N6161" s="362">
        <f t="shared" si="203"/>
        <v>2737</v>
      </c>
      <c r="X6161" s="339"/>
    </row>
    <row r="6162" s="330" customFormat="1" ht="15" customHeight="1" spans="1:24">
      <c r="A6162" s="334"/>
      <c r="B6162" s="348" t="s">
        <v>35</v>
      </c>
      <c r="C6162" s="348" t="s">
        <v>392</v>
      </c>
      <c r="D6162" s="352" t="s">
        <v>37</v>
      </c>
      <c r="E6162" s="336">
        <v>43749</v>
      </c>
      <c r="F6162" s="336" t="s">
        <v>800</v>
      </c>
      <c r="G6162" s="336">
        <v>43748</v>
      </c>
      <c r="H6162" s="334" t="s">
        <v>9097</v>
      </c>
      <c r="I6162" s="334">
        <v>13795415802</v>
      </c>
      <c r="J6162" s="334" t="s">
        <v>13983</v>
      </c>
      <c r="K6162" s="337"/>
      <c r="L6162" s="338"/>
      <c r="M6162" s="334">
        <v>1100</v>
      </c>
      <c r="N6162" s="362">
        <f t="shared" si="203"/>
        <v>1100</v>
      </c>
      <c r="X6162" s="339"/>
    </row>
    <row r="6163" s="330" customFormat="1" ht="15" customHeight="1" spans="1:24">
      <c r="A6163" s="334"/>
      <c r="B6163" s="334" t="s">
        <v>281</v>
      </c>
      <c r="C6163" s="334" t="s">
        <v>491</v>
      </c>
      <c r="D6163" s="334" t="s">
        <v>518</v>
      </c>
      <c r="E6163" s="336">
        <v>43749</v>
      </c>
      <c r="F6163" s="336" t="s">
        <v>800</v>
      </c>
      <c r="G6163" s="336">
        <v>43748</v>
      </c>
      <c r="H6163" s="334" t="s">
        <v>4645</v>
      </c>
      <c r="I6163" s="334">
        <v>18232415796</v>
      </c>
      <c r="J6163" s="334" t="s">
        <v>13984</v>
      </c>
      <c r="K6163" s="337"/>
      <c r="L6163" s="338"/>
      <c r="M6163" s="334">
        <v>15849</v>
      </c>
      <c r="N6163" s="362">
        <f t="shared" si="203"/>
        <v>15849</v>
      </c>
      <c r="X6163" s="339"/>
    </row>
    <row r="6164" s="330" customFormat="1" ht="15" customHeight="1" spans="1:24">
      <c r="A6164" s="334"/>
      <c r="B6164" s="348" t="s">
        <v>66</v>
      </c>
      <c r="C6164" s="348" t="s">
        <v>67</v>
      </c>
      <c r="D6164" s="334" t="s">
        <v>2302</v>
      </c>
      <c r="E6164" s="336">
        <v>43749</v>
      </c>
      <c r="F6164" s="336" t="s">
        <v>800</v>
      </c>
      <c r="G6164" s="336">
        <v>43748</v>
      </c>
      <c r="H6164" s="334" t="s">
        <v>7399</v>
      </c>
      <c r="I6164" s="356">
        <v>13816364348</v>
      </c>
      <c r="J6164" s="334" t="s">
        <v>7400</v>
      </c>
      <c r="K6164" s="337"/>
      <c r="L6164" s="338"/>
      <c r="M6164" s="334">
        <v>-357</v>
      </c>
      <c r="N6164" s="362">
        <f t="shared" si="203"/>
        <v>-357</v>
      </c>
      <c r="X6164" s="339"/>
    </row>
    <row r="6165" s="330" customFormat="1" ht="15" customHeight="1" spans="1:24">
      <c r="A6165" s="334"/>
      <c r="B6165" s="348" t="s">
        <v>185</v>
      </c>
      <c r="C6165" s="348" t="s">
        <v>886</v>
      </c>
      <c r="D6165" s="349" t="s">
        <v>187</v>
      </c>
      <c r="E6165" s="336">
        <v>43749</v>
      </c>
      <c r="F6165" s="336" t="s">
        <v>800</v>
      </c>
      <c r="G6165" s="336">
        <v>43749</v>
      </c>
      <c r="H6165" s="334" t="s">
        <v>2427</v>
      </c>
      <c r="I6165" s="334">
        <v>18652896321</v>
      </c>
      <c r="J6165" s="348" t="s">
        <v>2428</v>
      </c>
      <c r="K6165" s="337"/>
      <c r="L6165" s="338"/>
      <c r="M6165" s="334">
        <v>2124</v>
      </c>
      <c r="N6165" s="362">
        <f t="shared" si="203"/>
        <v>2124</v>
      </c>
      <c r="X6165" s="339"/>
    </row>
    <row r="6166" s="330" customFormat="1" ht="15" customHeight="1" spans="1:24">
      <c r="A6166" s="334"/>
      <c r="B6166" s="334" t="s">
        <v>354</v>
      </c>
      <c r="C6166" s="334" t="s">
        <v>355</v>
      </c>
      <c r="D6166" s="334" t="s">
        <v>207</v>
      </c>
      <c r="E6166" s="336">
        <v>43749</v>
      </c>
      <c r="F6166" s="336" t="s">
        <v>800</v>
      </c>
      <c r="G6166" s="336">
        <v>43749</v>
      </c>
      <c r="H6166" s="334" t="s">
        <v>7911</v>
      </c>
      <c r="I6166" s="334">
        <v>13661466393</v>
      </c>
      <c r="J6166" s="348" t="s">
        <v>13817</v>
      </c>
      <c r="K6166" s="337"/>
      <c r="L6166" s="338"/>
      <c r="M6166" s="334">
        <f>1943+89</f>
        <v>2032</v>
      </c>
      <c r="N6166" s="362">
        <f t="shared" si="203"/>
        <v>2032</v>
      </c>
      <c r="X6166" s="339"/>
    </row>
    <row r="6167" s="330" customFormat="1" ht="15" customHeight="1" spans="1:24">
      <c r="A6167" s="334"/>
      <c r="B6167" s="334" t="s">
        <v>315</v>
      </c>
      <c r="C6167" s="334" t="s">
        <v>366</v>
      </c>
      <c r="D6167" s="334" t="s">
        <v>132</v>
      </c>
      <c r="E6167" s="336">
        <v>43749</v>
      </c>
      <c r="F6167" s="336" t="s">
        <v>800</v>
      </c>
      <c r="G6167" s="336">
        <v>43736</v>
      </c>
      <c r="H6167" s="334" t="s">
        <v>12565</v>
      </c>
      <c r="I6167" s="334">
        <v>15721553598</v>
      </c>
      <c r="J6167" s="334" t="s">
        <v>12566</v>
      </c>
      <c r="K6167" s="337"/>
      <c r="L6167" s="338"/>
      <c r="M6167" s="334">
        <v>-3167</v>
      </c>
      <c r="N6167" s="362">
        <f t="shared" si="203"/>
        <v>-3167</v>
      </c>
      <c r="X6167" s="339"/>
    </row>
    <row r="6168" s="330" customFormat="1" ht="15" customHeight="1" spans="1:24">
      <c r="A6168" s="334"/>
      <c r="B6168" s="334" t="s">
        <v>137</v>
      </c>
      <c r="C6168" s="334" t="s">
        <v>2705</v>
      </c>
      <c r="D6168" s="334" t="s">
        <v>139</v>
      </c>
      <c r="E6168" s="336">
        <v>43749</v>
      </c>
      <c r="F6168" s="336" t="s">
        <v>800</v>
      </c>
      <c r="G6168" s="336">
        <v>43749</v>
      </c>
      <c r="H6168" s="334" t="s">
        <v>5305</v>
      </c>
      <c r="I6168" s="334">
        <v>18620979210</v>
      </c>
      <c r="J6168" s="334" t="s">
        <v>11233</v>
      </c>
      <c r="K6168" s="337"/>
      <c r="L6168" s="338"/>
      <c r="M6168" s="334">
        <v>540</v>
      </c>
      <c r="N6168" s="362">
        <f t="shared" si="203"/>
        <v>540</v>
      </c>
      <c r="X6168" s="339"/>
    </row>
    <row r="6169" s="330" customFormat="1" ht="15" customHeight="1" spans="1:24">
      <c r="A6169" s="334"/>
      <c r="B6169" s="334" t="s">
        <v>137</v>
      </c>
      <c r="C6169" s="334" t="s">
        <v>406</v>
      </c>
      <c r="D6169" s="334" t="s">
        <v>139</v>
      </c>
      <c r="E6169" s="336">
        <v>43749</v>
      </c>
      <c r="F6169" s="336" t="s">
        <v>800</v>
      </c>
      <c r="G6169" s="336">
        <v>43749</v>
      </c>
      <c r="H6169" s="334" t="s">
        <v>11517</v>
      </c>
      <c r="I6169" s="334">
        <v>13817935073</v>
      </c>
      <c r="J6169" s="334" t="s">
        <v>11518</v>
      </c>
      <c r="K6169" s="337"/>
      <c r="L6169" s="338"/>
      <c r="M6169" s="334">
        <v>-1432</v>
      </c>
      <c r="N6169" s="362">
        <f t="shared" si="203"/>
        <v>-1432</v>
      </c>
      <c r="X6169" s="339"/>
    </row>
    <row r="6170" s="330" customFormat="1" ht="15" customHeight="1" spans="1:24">
      <c r="A6170" s="334"/>
      <c r="B6170" s="348" t="s">
        <v>73</v>
      </c>
      <c r="C6170" s="348" t="s">
        <v>178</v>
      </c>
      <c r="D6170" s="352" t="s">
        <v>75</v>
      </c>
      <c r="E6170" s="336">
        <v>43749</v>
      </c>
      <c r="F6170" s="336" t="s">
        <v>800</v>
      </c>
      <c r="G6170" s="336">
        <v>43749</v>
      </c>
      <c r="H6170" s="334" t="s">
        <v>9009</v>
      </c>
      <c r="I6170" s="334">
        <v>13761734158</v>
      </c>
      <c r="J6170" s="334" t="s">
        <v>13985</v>
      </c>
      <c r="K6170" s="337"/>
      <c r="L6170" s="338"/>
      <c r="M6170" s="334">
        <v>-1264</v>
      </c>
      <c r="N6170" s="362">
        <f t="shared" si="203"/>
        <v>-1264</v>
      </c>
      <c r="X6170" s="339"/>
    </row>
    <row r="6171" s="330" customFormat="1" ht="15" customHeight="1" spans="1:24">
      <c r="A6171" s="334"/>
      <c r="B6171" s="348" t="s">
        <v>73</v>
      </c>
      <c r="C6171" s="348" t="s">
        <v>74</v>
      </c>
      <c r="D6171" s="352" t="s">
        <v>143</v>
      </c>
      <c r="E6171" s="336">
        <v>43749</v>
      </c>
      <c r="F6171" s="336" t="s">
        <v>800</v>
      </c>
      <c r="G6171" s="336">
        <v>43749</v>
      </c>
      <c r="H6171" s="334" t="s">
        <v>2192</v>
      </c>
      <c r="I6171" s="334">
        <v>18611958334</v>
      </c>
      <c r="J6171" s="348" t="s">
        <v>13986</v>
      </c>
      <c r="K6171" s="337"/>
      <c r="L6171" s="338"/>
      <c r="M6171" s="334">
        <v>410</v>
      </c>
      <c r="N6171" s="362">
        <f t="shared" si="203"/>
        <v>410</v>
      </c>
      <c r="X6171" s="339"/>
    </row>
    <row r="6172" s="330" customFormat="1" ht="15" customHeight="1" spans="1:24">
      <c r="A6172" s="334"/>
      <c r="B6172" s="334" t="s">
        <v>153</v>
      </c>
      <c r="C6172" s="334" t="s">
        <v>154</v>
      </c>
      <c r="D6172" s="335" t="s">
        <v>155</v>
      </c>
      <c r="E6172" s="336">
        <v>43749</v>
      </c>
      <c r="F6172" s="336" t="s">
        <v>800</v>
      </c>
      <c r="G6172" s="336">
        <v>43749</v>
      </c>
      <c r="H6172" s="334" t="s">
        <v>11592</v>
      </c>
      <c r="I6172" s="334">
        <v>13901741632</v>
      </c>
      <c r="J6172" s="334" t="s">
        <v>13987</v>
      </c>
      <c r="K6172" s="337"/>
      <c r="L6172" s="338"/>
      <c r="M6172" s="334">
        <v>128</v>
      </c>
      <c r="N6172" s="362">
        <f t="shared" si="203"/>
        <v>128</v>
      </c>
      <c r="X6172" s="339"/>
    </row>
    <row r="6173" s="330" customFormat="1" ht="15" customHeight="1" spans="1:24">
      <c r="A6173" s="334"/>
      <c r="B6173" s="348" t="s">
        <v>73</v>
      </c>
      <c r="C6173" s="348" t="s">
        <v>74</v>
      </c>
      <c r="D6173" s="334" t="s">
        <v>717</v>
      </c>
      <c r="E6173" s="336">
        <v>43749</v>
      </c>
      <c r="F6173" s="336" t="s">
        <v>800</v>
      </c>
      <c r="G6173" s="336">
        <v>43749</v>
      </c>
      <c r="H6173" s="334" t="s">
        <v>12528</v>
      </c>
      <c r="I6173" s="334">
        <v>17715931999</v>
      </c>
      <c r="J6173" s="334" t="s">
        <v>13988</v>
      </c>
      <c r="K6173" s="337"/>
      <c r="L6173" s="338"/>
      <c r="M6173" s="334">
        <v>-11266</v>
      </c>
      <c r="N6173" s="362">
        <f t="shared" si="203"/>
        <v>-11266</v>
      </c>
      <c r="X6173" s="339"/>
    </row>
    <row r="6174" s="330" customFormat="1" ht="15" customHeight="1" spans="1:24">
      <c r="A6174" s="334"/>
      <c r="B6174" s="348" t="s">
        <v>73</v>
      </c>
      <c r="C6174" s="348" t="s">
        <v>74</v>
      </c>
      <c r="D6174" s="352" t="s">
        <v>717</v>
      </c>
      <c r="E6174" s="336">
        <v>43749</v>
      </c>
      <c r="F6174" s="336" t="s">
        <v>800</v>
      </c>
      <c r="G6174" s="336">
        <v>43749</v>
      </c>
      <c r="H6174" s="334" t="s">
        <v>13863</v>
      </c>
      <c r="I6174" s="356">
        <v>13564663198</v>
      </c>
      <c r="J6174" s="348" t="s">
        <v>2606</v>
      </c>
      <c r="K6174" s="337"/>
      <c r="L6174" s="338"/>
      <c r="M6174" s="334">
        <v>2188</v>
      </c>
      <c r="N6174" s="362">
        <f t="shared" si="203"/>
        <v>2188</v>
      </c>
      <c r="X6174" s="339"/>
    </row>
    <row r="6175" s="330" customFormat="1" ht="15" customHeight="1" spans="1:24">
      <c r="A6175" s="348"/>
      <c r="B6175" s="348" t="s">
        <v>58</v>
      </c>
      <c r="C6175" s="348" t="s">
        <v>794</v>
      </c>
      <c r="D6175" s="335" t="s">
        <v>110</v>
      </c>
      <c r="E6175" s="336">
        <v>43756</v>
      </c>
      <c r="F6175" s="336">
        <v>43749</v>
      </c>
      <c r="G6175" s="336">
        <v>43753</v>
      </c>
      <c r="H6175" s="334" t="s">
        <v>13989</v>
      </c>
      <c r="I6175" s="444">
        <v>13914090102</v>
      </c>
      <c r="J6175" s="348" t="s">
        <v>13990</v>
      </c>
      <c r="K6175" s="452">
        <v>5000</v>
      </c>
      <c r="L6175" s="334">
        <v>22239</v>
      </c>
      <c r="M6175" s="338"/>
      <c r="N6175" s="362">
        <f t="shared" ref="N6175:N6189" si="204">L6175+M6175</f>
        <v>22239</v>
      </c>
      <c r="X6175" s="339"/>
    </row>
    <row r="6176" s="330" customFormat="1" ht="15" customHeight="1" spans="1:24">
      <c r="A6176" s="550" t="s">
        <v>12783</v>
      </c>
      <c r="B6176" s="348" t="s">
        <v>185</v>
      </c>
      <c r="C6176" s="334" t="s">
        <v>886</v>
      </c>
      <c r="D6176" s="335" t="s">
        <v>187</v>
      </c>
      <c r="E6176" s="336">
        <v>43750</v>
      </c>
      <c r="F6176" s="336">
        <v>43748</v>
      </c>
      <c r="G6176" s="399"/>
      <c r="H6176" s="334" t="s">
        <v>13991</v>
      </c>
      <c r="I6176" s="444">
        <v>15901879691</v>
      </c>
      <c r="J6176" s="348" t="s">
        <v>13992</v>
      </c>
      <c r="K6176" s="452">
        <v>999</v>
      </c>
      <c r="L6176" s="338"/>
      <c r="M6176" s="338"/>
      <c r="N6176" s="362">
        <f t="shared" si="204"/>
        <v>0</v>
      </c>
      <c r="O6176" s="467" t="s">
        <v>52</v>
      </c>
      <c r="X6176" s="339"/>
    </row>
    <row r="6177" s="330" customFormat="1" ht="15" customHeight="1" spans="1:24">
      <c r="A6177" s="348"/>
      <c r="B6177" s="348" t="s">
        <v>354</v>
      </c>
      <c r="C6177" s="348" t="s">
        <v>355</v>
      </c>
      <c r="D6177" s="334" t="s">
        <v>343</v>
      </c>
      <c r="E6177" s="336">
        <v>43769</v>
      </c>
      <c r="F6177" s="336">
        <v>43745</v>
      </c>
      <c r="G6177" s="336">
        <v>43769</v>
      </c>
      <c r="H6177" s="334" t="s">
        <v>13993</v>
      </c>
      <c r="I6177" s="444">
        <v>15201817279</v>
      </c>
      <c r="J6177" s="348" t="s">
        <v>13994</v>
      </c>
      <c r="K6177" s="452">
        <v>13000</v>
      </c>
      <c r="L6177" s="334">
        <v>12188</v>
      </c>
      <c r="M6177" s="338"/>
      <c r="N6177" s="362">
        <f t="shared" si="204"/>
        <v>12188</v>
      </c>
      <c r="X6177" s="339"/>
    </row>
    <row r="6178" s="330" customFormat="1" ht="15" customHeight="1" spans="1:24">
      <c r="A6178" s="550" t="s">
        <v>13995</v>
      </c>
      <c r="B6178" s="348" t="s">
        <v>359</v>
      </c>
      <c r="C6178" s="348" t="s">
        <v>5184</v>
      </c>
      <c r="D6178" s="335" t="s">
        <v>361</v>
      </c>
      <c r="E6178" s="336">
        <v>43763</v>
      </c>
      <c r="F6178" s="336">
        <v>43750</v>
      </c>
      <c r="G6178" s="336">
        <v>43762</v>
      </c>
      <c r="H6178" s="334" t="s">
        <v>13996</v>
      </c>
      <c r="I6178" s="444">
        <v>18961000111</v>
      </c>
      <c r="J6178" s="348" t="s">
        <v>13997</v>
      </c>
      <c r="K6178" s="452">
        <v>1000</v>
      </c>
      <c r="L6178" s="334">
        <v>11000</v>
      </c>
      <c r="M6178" s="338"/>
      <c r="N6178" s="362">
        <f t="shared" si="204"/>
        <v>11000</v>
      </c>
      <c r="X6178" s="339"/>
    </row>
    <row r="6179" s="330" customFormat="1" ht="15" customHeight="1" spans="1:24">
      <c r="A6179" s="348"/>
      <c r="B6179" s="348" t="s">
        <v>169</v>
      </c>
      <c r="C6179" s="348" t="s">
        <v>634</v>
      </c>
      <c r="D6179" s="334" t="s">
        <v>635</v>
      </c>
      <c r="E6179" s="336">
        <v>43750</v>
      </c>
      <c r="F6179" s="336">
        <v>43750</v>
      </c>
      <c r="G6179" s="399">
        <v>43750</v>
      </c>
      <c r="H6179" s="334" t="s">
        <v>13998</v>
      </c>
      <c r="I6179" s="444">
        <v>13611882097</v>
      </c>
      <c r="J6179" s="348" t="s">
        <v>13999</v>
      </c>
      <c r="K6179" s="452">
        <v>4080</v>
      </c>
      <c r="L6179" s="334">
        <v>4080</v>
      </c>
      <c r="M6179" s="338"/>
      <c r="N6179" s="362">
        <f t="shared" si="204"/>
        <v>4080</v>
      </c>
      <c r="X6179" s="339"/>
    </row>
    <row r="6180" s="330" customFormat="1" ht="15" customHeight="1" spans="1:24">
      <c r="A6180" s="550" t="s">
        <v>14000</v>
      </c>
      <c r="B6180" s="348" t="s">
        <v>35</v>
      </c>
      <c r="C6180" s="348" t="s">
        <v>36</v>
      </c>
      <c r="D6180" s="335" t="s">
        <v>37</v>
      </c>
      <c r="E6180" s="336">
        <v>43771</v>
      </c>
      <c r="F6180" s="336">
        <v>43750</v>
      </c>
      <c r="G6180" s="336">
        <v>43765</v>
      </c>
      <c r="H6180" s="334" t="s">
        <v>14001</v>
      </c>
      <c r="I6180" s="444">
        <v>13901891289</v>
      </c>
      <c r="J6180" s="348" t="s">
        <v>14002</v>
      </c>
      <c r="K6180" s="452">
        <v>1000</v>
      </c>
      <c r="L6180" s="334">
        <v>16529.65</v>
      </c>
      <c r="M6180" s="338"/>
      <c r="N6180" s="362">
        <f t="shared" si="204"/>
        <v>16529.65</v>
      </c>
      <c r="X6180" s="339"/>
    </row>
    <row r="6181" s="330" customFormat="1" ht="15" customHeight="1" spans="1:24">
      <c r="A6181" s="348"/>
      <c r="B6181" s="348" t="s">
        <v>315</v>
      </c>
      <c r="C6181" s="348" t="s">
        <v>161</v>
      </c>
      <c r="D6181" s="334" t="s">
        <v>149</v>
      </c>
      <c r="E6181" s="336">
        <v>43808</v>
      </c>
      <c r="F6181" s="336">
        <v>43750</v>
      </c>
      <c r="G6181" s="336">
        <v>43807</v>
      </c>
      <c r="H6181" s="334" t="s">
        <v>14003</v>
      </c>
      <c r="I6181" s="444">
        <v>13701876329</v>
      </c>
      <c r="J6181" s="348" t="s">
        <v>14004</v>
      </c>
      <c r="K6181" s="452">
        <v>1000</v>
      </c>
      <c r="L6181" s="334">
        <v>7363</v>
      </c>
      <c r="M6181" s="338"/>
      <c r="N6181" s="362">
        <f t="shared" si="204"/>
        <v>7363</v>
      </c>
      <c r="Q6181" s="330">
        <v>1</v>
      </c>
      <c r="X6181" s="339"/>
    </row>
    <row r="6182" s="330" customFormat="1" ht="15" customHeight="1" spans="1:24">
      <c r="A6182" s="348"/>
      <c r="B6182" s="348" t="s">
        <v>2625</v>
      </c>
      <c r="C6182" s="348" t="s">
        <v>2626</v>
      </c>
      <c r="D6182" s="335" t="s">
        <v>44</v>
      </c>
      <c r="E6182" s="336">
        <v>43777</v>
      </c>
      <c r="F6182" s="336">
        <v>43750</v>
      </c>
      <c r="G6182" s="336">
        <v>43777</v>
      </c>
      <c r="H6182" s="334" t="s">
        <v>14005</v>
      </c>
      <c r="I6182" s="444">
        <v>18048860398</v>
      </c>
      <c r="J6182" s="348" t="s">
        <v>14006</v>
      </c>
      <c r="K6182" s="452">
        <v>2000</v>
      </c>
      <c r="L6182" s="334">
        <v>9400</v>
      </c>
      <c r="M6182" s="338"/>
      <c r="N6182" s="362">
        <f t="shared" si="204"/>
        <v>9400</v>
      </c>
      <c r="X6182" s="339"/>
    </row>
    <row r="6183" s="330" customFormat="1" ht="15" customHeight="1" spans="1:24">
      <c r="A6183" s="348"/>
      <c r="B6183" s="348" t="s">
        <v>2625</v>
      </c>
      <c r="C6183" s="348" t="s">
        <v>2626</v>
      </c>
      <c r="D6183" s="335" t="s">
        <v>44</v>
      </c>
      <c r="E6183" s="336">
        <v>43752</v>
      </c>
      <c r="F6183" s="336">
        <v>43750</v>
      </c>
      <c r="G6183" s="336">
        <v>43752</v>
      </c>
      <c r="H6183" s="334" t="s">
        <v>14007</v>
      </c>
      <c r="I6183" s="444">
        <v>13916947822</v>
      </c>
      <c r="J6183" s="348" t="s">
        <v>14008</v>
      </c>
      <c r="K6183" s="452">
        <v>2000</v>
      </c>
      <c r="L6183" s="334">
        <v>4907</v>
      </c>
      <c r="M6183" s="338"/>
      <c r="N6183" s="362">
        <f t="shared" si="204"/>
        <v>4907</v>
      </c>
      <c r="X6183" s="339"/>
    </row>
    <row r="6184" s="330" customFormat="1" ht="15" customHeight="1" spans="1:24">
      <c r="A6184" s="348"/>
      <c r="B6184" s="348" t="s">
        <v>58</v>
      </c>
      <c r="C6184" s="348" t="s">
        <v>109</v>
      </c>
      <c r="D6184" s="334" t="s">
        <v>271</v>
      </c>
      <c r="E6184" s="336">
        <v>43751</v>
      </c>
      <c r="F6184" s="336">
        <v>43750</v>
      </c>
      <c r="G6184" s="336">
        <v>43750</v>
      </c>
      <c r="H6184" s="334" t="s">
        <v>14009</v>
      </c>
      <c r="I6184" s="444">
        <v>15800817812</v>
      </c>
      <c r="J6184" s="348" t="s">
        <v>14010</v>
      </c>
      <c r="K6184" s="452">
        <v>5798</v>
      </c>
      <c r="L6184" s="334">
        <v>6511</v>
      </c>
      <c r="M6184" s="338"/>
      <c r="N6184" s="362">
        <f t="shared" si="204"/>
        <v>6511</v>
      </c>
      <c r="X6184" s="339"/>
    </row>
    <row r="6185" s="330" customFormat="1" ht="15" customHeight="1" spans="1:24">
      <c r="A6185" s="334"/>
      <c r="B6185" s="334" t="s">
        <v>5435</v>
      </c>
      <c r="C6185" s="334" t="s">
        <v>1728</v>
      </c>
      <c r="D6185" s="334" t="s">
        <v>207</v>
      </c>
      <c r="E6185" s="336">
        <v>43750</v>
      </c>
      <c r="F6185" s="336"/>
      <c r="G6185" s="336">
        <v>43750</v>
      </c>
      <c r="H6185" s="334" t="s">
        <v>14011</v>
      </c>
      <c r="I6185" s="334">
        <v>18601719686</v>
      </c>
      <c r="J6185" s="334" t="s">
        <v>14012</v>
      </c>
      <c r="K6185" s="337"/>
      <c r="L6185" s="334">
        <v>18747</v>
      </c>
      <c r="M6185" s="338"/>
      <c r="N6185" s="362">
        <f t="shared" si="204"/>
        <v>18747</v>
      </c>
      <c r="X6185" s="339"/>
    </row>
    <row r="6186" s="330" customFormat="1" ht="15" customHeight="1" spans="1:24">
      <c r="A6186" s="334"/>
      <c r="B6186" s="334" t="s">
        <v>335</v>
      </c>
      <c r="C6186" s="334" t="s">
        <v>615</v>
      </c>
      <c r="D6186" s="334" t="s">
        <v>337</v>
      </c>
      <c r="E6186" s="336">
        <v>43750</v>
      </c>
      <c r="F6186" s="336"/>
      <c r="G6186" s="336">
        <v>43750</v>
      </c>
      <c r="H6186" s="334" t="s">
        <v>14013</v>
      </c>
      <c r="I6186" s="334">
        <v>13585724993</v>
      </c>
      <c r="J6186" s="334" t="s">
        <v>14014</v>
      </c>
      <c r="K6186" s="337"/>
      <c r="L6186" s="334">
        <v>9860</v>
      </c>
      <c r="M6186" s="338"/>
      <c r="N6186" s="362">
        <f t="shared" si="204"/>
        <v>9860</v>
      </c>
      <c r="X6186" s="339"/>
    </row>
    <row r="6187" s="330" customFormat="1" ht="15" customHeight="1" spans="1:24">
      <c r="A6187" s="334"/>
      <c r="B6187" s="334" t="s">
        <v>87</v>
      </c>
      <c r="C6187" s="334" t="s">
        <v>199</v>
      </c>
      <c r="D6187" s="334" t="s">
        <v>89</v>
      </c>
      <c r="E6187" s="336">
        <v>43750</v>
      </c>
      <c r="F6187" s="336"/>
      <c r="G6187" s="336">
        <v>43749</v>
      </c>
      <c r="H6187" s="334" t="s">
        <v>14015</v>
      </c>
      <c r="I6187" s="334">
        <v>18930903177</v>
      </c>
      <c r="J6187" s="334" t="s">
        <v>14016</v>
      </c>
      <c r="K6187" s="337"/>
      <c r="L6187" s="338"/>
      <c r="M6187" s="334">
        <v>434</v>
      </c>
      <c r="N6187" s="362">
        <f t="shared" si="204"/>
        <v>434</v>
      </c>
      <c r="X6187" s="339"/>
    </row>
    <row r="6188" s="330" customFormat="1" ht="15" customHeight="1" spans="1:24">
      <c r="A6188" s="334"/>
      <c r="B6188" s="334" t="s">
        <v>58</v>
      </c>
      <c r="C6188" s="334" t="s">
        <v>347</v>
      </c>
      <c r="D6188" s="334" t="s">
        <v>343</v>
      </c>
      <c r="E6188" s="336">
        <v>43750</v>
      </c>
      <c r="F6188" s="336"/>
      <c r="G6188" s="336">
        <v>43743</v>
      </c>
      <c r="H6188" s="334" t="s">
        <v>14017</v>
      </c>
      <c r="I6188" s="334">
        <v>13801732144</v>
      </c>
      <c r="J6188" s="334" t="s">
        <v>14018</v>
      </c>
      <c r="K6188" s="337"/>
      <c r="L6188" s="334">
        <v>7962</v>
      </c>
      <c r="M6188" s="334"/>
      <c r="N6188" s="362">
        <f t="shared" si="204"/>
        <v>7962</v>
      </c>
      <c r="X6188" s="339"/>
    </row>
    <row r="6189" s="330" customFormat="1" ht="15" customHeight="1" spans="1:24">
      <c r="A6189" s="334"/>
      <c r="B6189" s="334" t="s">
        <v>73</v>
      </c>
      <c r="C6189" s="334" t="s">
        <v>74</v>
      </c>
      <c r="D6189" s="335" t="s">
        <v>125</v>
      </c>
      <c r="E6189" s="336">
        <v>43750</v>
      </c>
      <c r="F6189" s="336"/>
      <c r="G6189" s="336">
        <v>43750</v>
      </c>
      <c r="H6189" s="334" t="s">
        <v>14019</v>
      </c>
      <c r="I6189" s="334">
        <v>18918687848</v>
      </c>
      <c r="J6189" s="334" t="s">
        <v>14020</v>
      </c>
      <c r="K6189" s="337"/>
      <c r="L6189" s="334">
        <v>14768</v>
      </c>
      <c r="M6189" s="338"/>
      <c r="N6189" s="362">
        <f t="shared" si="204"/>
        <v>14768</v>
      </c>
      <c r="X6189" s="339"/>
    </row>
    <row r="6190" s="330" customFormat="1" ht="15" customHeight="1" spans="1:24">
      <c r="A6190" s="334"/>
      <c r="B6190" s="348" t="s">
        <v>35</v>
      </c>
      <c r="C6190" s="348" t="s">
        <v>392</v>
      </c>
      <c r="D6190" s="349" t="s">
        <v>37</v>
      </c>
      <c r="E6190" s="336">
        <v>43750</v>
      </c>
      <c r="F6190" s="336" t="s">
        <v>800</v>
      </c>
      <c r="G6190" s="336">
        <v>43750</v>
      </c>
      <c r="H6190" s="334" t="s">
        <v>5373</v>
      </c>
      <c r="I6190" s="444">
        <v>13127669657</v>
      </c>
      <c r="J6190" s="348" t="s">
        <v>5374</v>
      </c>
      <c r="K6190" s="337"/>
      <c r="L6190" s="334"/>
      <c r="M6190" s="334">
        <v>1791</v>
      </c>
      <c r="N6190" s="362">
        <f t="shared" ref="N6190:N6203" si="205">L6190+M6190</f>
        <v>1791</v>
      </c>
      <c r="X6190" s="339"/>
    </row>
    <row r="6191" s="330" customFormat="1" ht="15" customHeight="1" spans="1:24">
      <c r="A6191" s="334"/>
      <c r="B6191" s="348" t="s">
        <v>185</v>
      </c>
      <c r="C6191" s="348" t="s">
        <v>1204</v>
      </c>
      <c r="D6191" s="349" t="s">
        <v>44</v>
      </c>
      <c r="E6191" s="336">
        <v>43750</v>
      </c>
      <c r="F6191" s="336" t="s">
        <v>800</v>
      </c>
      <c r="G6191" s="336">
        <v>43750</v>
      </c>
      <c r="H6191" s="334" t="s">
        <v>8029</v>
      </c>
      <c r="I6191" s="334">
        <v>18621076101</v>
      </c>
      <c r="J6191" s="334" t="s">
        <v>14021</v>
      </c>
      <c r="K6191" s="337"/>
      <c r="L6191" s="338"/>
      <c r="M6191" s="334">
        <v>197</v>
      </c>
      <c r="N6191" s="362">
        <f t="shared" si="205"/>
        <v>197</v>
      </c>
      <c r="X6191" s="339"/>
    </row>
    <row r="6192" s="330" customFormat="1" ht="15" customHeight="1" spans="1:24">
      <c r="A6192" s="334"/>
      <c r="B6192" s="334" t="s">
        <v>405</v>
      </c>
      <c r="C6192" s="334" t="s">
        <v>823</v>
      </c>
      <c r="D6192" s="335" t="s">
        <v>407</v>
      </c>
      <c r="E6192" s="336">
        <v>43750</v>
      </c>
      <c r="F6192" s="336" t="s">
        <v>800</v>
      </c>
      <c r="G6192" s="336">
        <v>43745</v>
      </c>
      <c r="H6192" s="334" t="s">
        <v>11548</v>
      </c>
      <c r="I6192" s="334">
        <v>18621908319</v>
      </c>
      <c r="J6192" s="334" t="s">
        <v>14022</v>
      </c>
      <c r="K6192" s="337"/>
      <c r="L6192" s="338"/>
      <c r="M6192" s="334">
        <v>2160</v>
      </c>
      <c r="N6192" s="362">
        <f t="shared" si="205"/>
        <v>2160</v>
      </c>
      <c r="X6192" s="339"/>
    </row>
    <row r="6193" s="330" customFormat="1" ht="15" customHeight="1" spans="1:24">
      <c r="A6193" s="334"/>
      <c r="B6193" s="334" t="s">
        <v>205</v>
      </c>
      <c r="C6193" s="334" t="s">
        <v>1467</v>
      </c>
      <c r="D6193" s="334" t="s">
        <v>407</v>
      </c>
      <c r="E6193" s="336">
        <v>43750</v>
      </c>
      <c r="F6193" s="336" t="s">
        <v>800</v>
      </c>
      <c r="G6193" s="336">
        <v>43750</v>
      </c>
      <c r="H6193" s="334" t="s">
        <v>6707</v>
      </c>
      <c r="I6193" s="356">
        <v>18652290358</v>
      </c>
      <c r="J6193" s="348" t="s">
        <v>14023</v>
      </c>
      <c r="K6193" s="337"/>
      <c r="L6193" s="338"/>
      <c r="M6193" s="334">
        <v>-1361</v>
      </c>
      <c r="N6193" s="362">
        <f t="shared" si="205"/>
        <v>-1361</v>
      </c>
      <c r="X6193" s="339"/>
    </row>
    <row r="6194" s="330" customFormat="1" ht="15" customHeight="1" spans="1:24">
      <c r="A6194" s="334"/>
      <c r="B6194" s="334" t="s">
        <v>354</v>
      </c>
      <c r="C6194" s="334" t="s">
        <v>355</v>
      </c>
      <c r="D6194" s="334" t="s">
        <v>149</v>
      </c>
      <c r="E6194" s="336">
        <v>43750</v>
      </c>
      <c r="F6194" s="336" t="s">
        <v>800</v>
      </c>
      <c r="G6194" s="336">
        <v>43750</v>
      </c>
      <c r="H6194" s="334" t="s">
        <v>14024</v>
      </c>
      <c r="I6194" s="334">
        <v>13391099863</v>
      </c>
      <c r="J6194" s="334" t="s">
        <v>14025</v>
      </c>
      <c r="K6194" s="337"/>
      <c r="L6194" s="338"/>
      <c r="M6194" s="334">
        <v>990</v>
      </c>
      <c r="N6194" s="362">
        <f t="shared" si="205"/>
        <v>990</v>
      </c>
      <c r="X6194" s="339"/>
    </row>
    <row r="6195" s="330" customFormat="1" ht="15" customHeight="1" spans="1:24">
      <c r="A6195" s="334"/>
      <c r="B6195" s="334" t="s">
        <v>205</v>
      </c>
      <c r="C6195" s="334" t="s">
        <v>1467</v>
      </c>
      <c r="D6195" s="334" t="s">
        <v>407</v>
      </c>
      <c r="E6195" s="336">
        <v>43750</v>
      </c>
      <c r="F6195" s="336" t="s">
        <v>800</v>
      </c>
      <c r="G6195" s="336">
        <v>43750</v>
      </c>
      <c r="H6195" s="334" t="s">
        <v>4248</v>
      </c>
      <c r="I6195" s="334">
        <v>15901982013</v>
      </c>
      <c r="J6195" s="348" t="s">
        <v>4249</v>
      </c>
      <c r="K6195" s="337"/>
      <c r="L6195" s="338"/>
      <c r="M6195" s="334">
        <v>1830</v>
      </c>
      <c r="N6195" s="362">
        <f t="shared" si="205"/>
        <v>1830</v>
      </c>
      <c r="X6195" s="339"/>
    </row>
    <row r="6196" s="330" customFormat="1" ht="15" customHeight="1" spans="1:24">
      <c r="A6196" s="334"/>
      <c r="B6196" s="334" t="s">
        <v>31</v>
      </c>
      <c r="C6196" s="334" t="s">
        <v>220</v>
      </c>
      <c r="D6196" s="334" t="s">
        <v>221</v>
      </c>
      <c r="E6196" s="336">
        <v>43750</v>
      </c>
      <c r="F6196" s="336" t="s">
        <v>800</v>
      </c>
      <c r="G6196" s="336">
        <v>43750</v>
      </c>
      <c r="H6196" s="334" t="s">
        <v>6828</v>
      </c>
      <c r="I6196" s="356">
        <v>18930556001</v>
      </c>
      <c r="J6196" s="348" t="s">
        <v>6829</v>
      </c>
      <c r="K6196" s="337"/>
      <c r="L6196" s="338"/>
      <c r="M6196" s="334">
        <v>588</v>
      </c>
      <c r="N6196" s="362">
        <f t="shared" si="205"/>
        <v>588</v>
      </c>
      <c r="X6196" s="339"/>
    </row>
    <row r="6197" s="330" customFormat="1" ht="15" customHeight="1" spans="1:24">
      <c r="A6197" s="334"/>
      <c r="B6197" s="334" t="s">
        <v>87</v>
      </c>
      <c r="C6197" s="334" t="s">
        <v>466</v>
      </c>
      <c r="D6197" s="334" t="s">
        <v>89</v>
      </c>
      <c r="E6197" s="336">
        <v>43750</v>
      </c>
      <c r="F6197" s="336" t="s">
        <v>800</v>
      </c>
      <c r="G6197" s="336">
        <v>43750</v>
      </c>
      <c r="H6197" s="334" t="s">
        <v>13846</v>
      </c>
      <c r="I6197" s="356">
        <v>15221322490</v>
      </c>
      <c r="J6197" s="348" t="s">
        <v>13847</v>
      </c>
      <c r="K6197" s="337"/>
      <c r="L6197" s="338"/>
      <c r="M6197" s="334">
        <v>-14</v>
      </c>
      <c r="N6197" s="362">
        <f t="shared" si="205"/>
        <v>-14</v>
      </c>
      <c r="X6197" s="339"/>
    </row>
    <row r="6198" s="330" customFormat="1" ht="15" customHeight="1" spans="1:24">
      <c r="A6198" s="334"/>
      <c r="B6198" s="334" t="s">
        <v>87</v>
      </c>
      <c r="C6198" s="334" t="s">
        <v>199</v>
      </c>
      <c r="D6198" s="334" t="s">
        <v>89</v>
      </c>
      <c r="E6198" s="336">
        <v>43750</v>
      </c>
      <c r="F6198" s="336" t="s">
        <v>800</v>
      </c>
      <c r="G6198" s="336">
        <v>43747</v>
      </c>
      <c r="H6198" s="334" t="s">
        <v>8474</v>
      </c>
      <c r="I6198" s="334">
        <v>15692113897</v>
      </c>
      <c r="J6198" s="334" t="s">
        <v>14026</v>
      </c>
      <c r="K6198" s="337"/>
      <c r="L6198" s="338"/>
      <c r="M6198" s="334">
        <v>60</v>
      </c>
      <c r="N6198" s="362">
        <f t="shared" si="205"/>
        <v>60</v>
      </c>
      <c r="X6198" s="339"/>
    </row>
    <row r="6199" s="330" customFormat="1" ht="15" customHeight="1" spans="1:24">
      <c r="A6199" s="334"/>
      <c r="B6199" s="334" t="s">
        <v>87</v>
      </c>
      <c r="C6199" s="334" t="s">
        <v>199</v>
      </c>
      <c r="D6199" s="334" t="s">
        <v>89</v>
      </c>
      <c r="E6199" s="336">
        <v>43750</v>
      </c>
      <c r="F6199" s="336" t="s">
        <v>800</v>
      </c>
      <c r="G6199" s="336">
        <v>43749</v>
      </c>
      <c r="H6199" s="334" t="s">
        <v>13726</v>
      </c>
      <c r="I6199" s="334">
        <v>13671871323</v>
      </c>
      <c r="J6199" s="334" t="s">
        <v>13727</v>
      </c>
      <c r="K6199" s="337"/>
      <c r="L6199" s="338"/>
      <c r="M6199" s="334">
        <v>14248</v>
      </c>
      <c r="N6199" s="362">
        <f t="shared" si="205"/>
        <v>14248</v>
      </c>
      <c r="X6199" s="339"/>
    </row>
    <row r="6200" s="330" customFormat="1" ht="15" customHeight="1" spans="1:24">
      <c r="A6200" s="334"/>
      <c r="B6200" s="334" t="s">
        <v>205</v>
      </c>
      <c r="C6200" s="334" t="s">
        <v>1467</v>
      </c>
      <c r="D6200" s="334" t="s">
        <v>207</v>
      </c>
      <c r="E6200" s="336">
        <v>43750</v>
      </c>
      <c r="F6200" s="336" t="s">
        <v>800</v>
      </c>
      <c r="G6200" s="336">
        <v>43750</v>
      </c>
      <c r="H6200" s="334" t="s">
        <v>9038</v>
      </c>
      <c r="I6200" s="334">
        <v>13755716723</v>
      </c>
      <c r="J6200" s="334" t="s">
        <v>14027</v>
      </c>
      <c r="K6200" s="337"/>
      <c r="L6200" s="338"/>
      <c r="M6200" s="334">
        <v>3837</v>
      </c>
      <c r="N6200" s="362">
        <f t="shared" si="205"/>
        <v>3837</v>
      </c>
      <c r="X6200" s="339"/>
    </row>
    <row r="6201" s="330" customFormat="1" ht="15" customHeight="1" spans="1:24">
      <c r="A6201" s="334"/>
      <c r="B6201" s="334" t="s">
        <v>153</v>
      </c>
      <c r="C6201" s="334" t="s">
        <v>154</v>
      </c>
      <c r="D6201" s="334" t="s">
        <v>155</v>
      </c>
      <c r="E6201" s="336">
        <v>43750</v>
      </c>
      <c r="F6201" s="336" t="s">
        <v>800</v>
      </c>
      <c r="G6201" s="336">
        <v>43750</v>
      </c>
      <c r="H6201" s="334" t="s">
        <v>13814</v>
      </c>
      <c r="I6201" s="334">
        <v>13901803461</v>
      </c>
      <c r="J6201" s="348" t="s">
        <v>13815</v>
      </c>
      <c r="K6201" s="337"/>
      <c r="L6201" s="338"/>
      <c r="M6201" s="334">
        <v>50</v>
      </c>
      <c r="N6201" s="362">
        <f t="shared" si="205"/>
        <v>50</v>
      </c>
      <c r="X6201" s="339"/>
    </row>
    <row r="6202" s="330" customFormat="1" ht="15" customHeight="1" spans="1:24">
      <c r="A6202" s="334"/>
      <c r="B6202" s="334" t="s">
        <v>31</v>
      </c>
      <c r="C6202" s="334" t="s">
        <v>2716</v>
      </c>
      <c r="D6202" s="334" t="s">
        <v>33</v>
      </c>
      <c r="E6202" s="336">
        <v>43750</v>
      </c>
      <c r="F6202" s="336" t="s">
        <v>800</v>
      </c>
      <c r="G6202" s="336">
        <v>43750</v>
      </c>
      <c r="H6202" s="334" t="s">
        <v>14028</v>
      </c>
      <c r="I6202" s="334">
        <v>15921631834</v>
      </c>
      <c r="J6202" s="334" t="s">
        <v>14029</v>
      </c>
      <c r="K6202" s="337"/>
      <c r="L6202" s="338"/>
      <c r="M6202" s="334">
        <v>6500</v>
      </c>
      <c r="N6202" s="362">
        <f t="shared" si="205"/>
        <v>6500</v>
      </c>
      <c r="X6202" s="339"/>
    </row>
    <row r="6203" s="330" customFormat="1" ht="15" customHeight="1" spans="1:24">
      <c r="A6203" s="334"/>
      <c r="B6203" s="334" t="s">
        <v>137</v>
      </c>
      <c r="C6203" s="334" t="s">
        <v>406</v>
      </c>
      <c r="D6203" s="334" t="s">
        <v>427</v>
      </c>
      <c r="E6203" s="336">
        <v>43750</v>
      </c>
      <c r="F6203" s="336" t="s">
        <v>800</v>
      </c>
      <c r="G6203" s="336">
        <v>43750</v>
      </c>
      <c r="H6203" s="334" t="s">
        <v>7168</v>
      </c>
      <c r="I6203" s="334">
        <v>13701899261</v>
      </c>
      <c r="J6203" s="348" t="s">
        <v>7169</v>
      </c>
      <c r="K6203" s="337"/>
      <c r="L6203" s="338"/>
      <c r="M6203" s="334">
        <v>14000</v>
      </c>
      <c r="N6203" s="362">
        <f t="shared" si="205"/>
        <v>14000</v>
      </c>
      <c r="X6203" s="339"/>
    </row>
    <row r="6204" s="330" customFormat="1" ht="15" customHeight="1" spans="1:24">
      <c r="A6204" s="550" t="s">
        <v>14030</v>
      </c>
      <c r="B6204" s="348" t="s">
        <v>31</v>
      </c>
      <c r="C6204" s="348" t="s">
        <v>251</v>
      </c>
      <c r="D6204" s="334" t="s">
        <v>954</v>
      </c>
      <c r="E6204" s="336">
        <v>43770</v>
      </c>
      <c r="F6204" s="336">
        <v>43750</v>
      </c>
      <c r="G6204" s="336">
        <v>43769</v>
      </c>
      <c r="H6204" s="334" t="s">
        <v>14031</v>
      </c>
      <c r="I6204" s="444">
        <v>18001779700</v>
      </c>
      <c r="J6204" s="348" t="s">
        <v>14032</v>
      </c>
      <c r="K6204" s="452">
        <v>1000</v>
      </c>
      <c r="L6204" s="334">
        <v>10000</v>
      </c>
      <c r="M6204" s="338"/>
      <c r="N6204" s="362">
        <f t="shared" ref="N6204:N6238" si="206">L6204+M6204</f>
        <v>10000</v>
      </c>
      <c r="X6204" s="339"/>
    </row>
    <row r="6205" s="330" customFormat="1" ht="15" customHeight="1" spans="1:24">
      <c r="A6205" s="550" t="s">
        <v>14033</v>
      </c>
      <c r="B6205" s="348" t="s">
        <v>35</v>
      </c>
      <c r="C6205" s="348" t="s">
        <v>328</v>
      </c>
      <c r="D6205" s="335" t="s">
        <v>37</v>
      </c>
      <c r="E6205" s="336">
        <v>43762</v>
      </c>
      <c r="F6205" s="336">
        <v>43750</v>
      </c>
      <c r="G6205" s="336">
        <v>43761</v>
      </c>
      <c r="H6205" s="334" t="s">
        <v>14034</v>
      </c>
      <c r="I6205" s="444">
        <v>13917281289</v>
      </c>
      <c r="J6205" s="348" t="s">
        <v>14035</v>
      </c>
      <c r="K6205" s="452">
        <v>1000</v>
      </c>
      <c r="L6205" s="334">
        <v>2945</v>
      </c>
      <c r="M6205" s="338"/>
      <c r="N6205" s="362">
        <f t="shared" si="206"/>
        <v>2945</v>
      </c>
      <c r="X6205" s="339"/>
    </row>
    <row r="6206" s="330" customFormat="1" ht="15" customHeight="1" spans="1:24">
      <c r="A6206" s="550" t="s">
        <v>14036</v>
      </c>
      <c r="B6206" s="348" t="s">
        <v>153</v>
      </c>
      <c r="C6206" s="348" t="s">
        <v>302</v>
      </c>
      <c r="D6206" s="335" t="s">
        <v>155</v>
      </c>
      <c r="E6206" s="336">
        <v>43799</v>
      </c>
      <c r="F6206" s="336">
        <v>43750</v>
      </c>
      <c r="G6206" s="336">
        <v>43799</v>
      </c>
      <c r="H6206" s="334" t="s">
        <v>14037</v>
      </c>
      <c r="I6206" s="444">
        <v>13311858663</v>
      </c>
      <c r="J6206" s="348" t="s">
        <v>14038</v>
      </c>
      <c r="K6206" s="452">
        <v>1000</v>
      </c>
      <c r="L6206" s="334">
        <v>11000</v>
      </c>
      <c r="M6206" s="338"/>
      <c r="N6206" s="362">
        <f t="shared" si="206"/>
        <v>11000</v>
      </c>
      <c r="R6206" s="330" t="s">
        <v>52</v>
      </c>
      <c r="X6206" s="339"/>
    </row>
    <row r="6207" s="330" customFormat="1" ht="15" customHeight="1" spans="1:24">
      <c r="A6207" s="348"/>
      <c r="B6207" s="348" t="s">
        <v>58</v>
      </c>
      <c r="C6207" s="348" t="s">
        <v>109</v>
      </c>
      <c r="D6207" s="335" t="s">
        <v>110</v>
      </c>
      <c r="E6207" s="336">
        <v>43775</v>
      </c>
      <c r="F6207" s="336">
        <v>43751</v>
      </c>
      <c r="G6207" s="336">
        <v>43774</v>
      </c>
      <c r="H6207" s="334" t="s">
        <v>14039</v>
      </c>
      <c r="I6207" s="444">
        <v>18217195603</v>
      </c>
      <c r="J6207" s="348" t="s">
        <v>14040</v>
      </c>
      <c r="K6207" s="452">
        <v>1000</v>
      </c>
      <c r="L6207" s="334">
        <v>14558</v>
      </c>
      <c r="M6207" s="338"/>
      <c r="N6207" s="362">
        <f t="shared" si="206"/>
        <v>14558</v>
      </c>
      <c r="X6207" s="339"/>
    </row>
    <row r="6208" s="330" customFormat="1" ht="15" customHeight="1" spans="1:24">
      <c r="A6208" s="348"/>
      <c r="B6208" s="348" t="s">
        <v>137</v>
      </c>
      <c r="C6208" s="348" t="s">
        <v>411</v>
      </c>
      <c r="D6208" s="334" t="s">
        <v>443</v>
      </c>
      <c r="E6208" s="336">
        <v>43752</v>
      </c>
      <c r="F6208" s="336">
        <v>43750</v>
      </c>
      <c r="G6208" s="336">
        <v>43751</v>
      </c>
      <c r="H6208" s="334" t="s">
        <v>14041</v>
      </c>
      <c r="I6208" s="444">
        <v>15001973435</v>
      </c>
      <c r="J6208" s="348" t="s">
        <v>14042</v>
      </c>
      <c r="K6208" s="452">
        <v>1000</v>
      </c>
      <c r="L6208" s="334">
        <v>8214</v>
      </c>
      <c r="M6208" s="338"/>
      <c r="N6208" s="362">
        <f t="shared" si="206"/>
        <v>8214</v>
      </c>
      <c r="X6208" s="339"/>
    </row>
    <row r="6209" s="330" customFormat="1" ht="15" customHeight="1" spans="1:24">
      <c r="A6209" s="348"/>
      <c r="B6209" s="348" t="s">
        <v>2625</v>
      </c>
      <c r="C6209" s="348" t="s">
        <v>2626</v>
      </c>
      <c r="D6209" s="335" t="s">
        <v>44</v>
      </c>
      <c r="E6209" s="336">
        <v>43780</v>
      </c>
      <c r="F6209" s="336">
        <v>43751</v>
      </c>
      <c r="G6209" s="336">
        <v>43779</v>
      </c>
      <c r="H6209" s="334" t="s">
        <v>14043</v>
      </c>
      <c r="I6209" s="444">
        <v>13821769257</v>
      </c>
      <c r="J6209" s="348" t="s">
        <v>14044</v>
      </c>
      <c r="K6209" s="452">
        <v>1000</v>
      </c>
      <c r="L6209" s="334">
        <v>10600</v>
      </c>
      <c r="M6209" s="338"/>
      <c r="N6209" s="362">
        <f t="shared" si="206"/>
        <v>10600</v>
      </c>
      <c r="X6209" s="339"/>
    </row>
    <row r="6210" s="330" customFormat="1" ht="15" customHeight="1" spans="1:24">
      <c r="A6210" s="550" t="s">
        <v>3078</v>
      </c>
      <c r="B6210" s="348" t="s">
        <v>31</v>
      </c>
      <c r="C6210" s="348" t="s">
        <v>220</v>
      </c>
      <c r="D6210" s="335" t="s">
        <v>221</v>
      </c>
      <c r="E6210" s="336">
        <v>43756</v>
      </c>
      <c r="F6210" s="336">
        <v>43751</v>
      </c>
      <c r="G6210" s="336">
        <v>43754</v>
      </c>
      <c r="H6210" s="334" t="s">
        <v>14045</v>
      </c>
      <c r="I6210" s="444">
        <v>13917180535</v>
      </c>
      <c r="J6210" s="348" t="s">
        <v>14046</v>
      </c>
      <c r="K6210" s="452">
        <v>1000</v>
      </c>
      <c r="L6210" s="334">
        <v>2954</v>
      </c>
      <c r="M6210" s="338"/>
      <c r="N6210" s="362">
        <f t="shared" si="206"/>
        <v>2954</v>
      </c>
      <c r="X6210" s="339"/>
    </row>
    <row r="6211" s="330" customFormat="1" ht="15" customHeight="1" spans="1:24">
      <c r="A6211" s="550" t="s">
        <v>14047</v>
      </c>
      <c r="B6211" s="348" t="s">
        <v>137</v>
      </c>
      <c r="C6211" s="348" t="s">
        <v>138</v>
      </c>
      <c r="D6211" s="334" t="s">
        <v>2381</v>
      </c>
      <c r="E6211" s="336">
        <v>43759</v>
      </c>
      <c r="F6211" s="336">
        <v>43751</v>
      </c>
      <c r="G6211" s="336">
        <v>43757</v>
      </c>
      <c r="H6211" s="334" t="s">
        <v>14048</v>
      </c>
      <c r="I6211" s="444">
        <v>17807565136</v>
      </c>
      <c r="J6211" s="348" t="s">
        <v>14049</v>
      </c>
      <c r="K6211" s="452">
        <v>1000</v>
      </c>
      <c r="L6211" s="334">
        <v>25900</v>
      </c>
      <c r="M6211" s="338"/>
      <c r="N6211" s="362">
        <f t="shared" si="206"/>
        <v>25900</v>
      </c>
      <c r="X6211" s="339"/>
    </row>
    <row r="6212" s="330" customFormat="1" ht="15" customHeight="1" spans="1:24">
      <c r="A6212" s="550" t="s">
        <v>3424</v>
      </c>
      <c r="B6212" s="348" t="s">
        <v>35</v>
      </c>
      <c r="C6212" s="348" t="s">
        <v>36</v>
      </c>
      <c r="D6212" s="335" t="s">
        <v>37</v>
      </c>
      <c r="E6212" s="336">
        <v>43769</v>
      </c>
      <c r="F6212" s="336">
        <v>43751</v>
      </c>
      <c r="G6212" s="336">
        <v>43768</v>
      </c>
      <c r="H6212" s="334" t="s">
        <v>14050</v>
      </c>
      <c r="I6212" s="444" t="s">
        <v>14051</v>
      </c>
      <c r="J6212" s="348" t="s">
        <v>14052</v>
      </c>
      <c r="K6212" s="452">
        <v>5030</v>
      </c>
      <c r="L6212" s="334">
        <v>8250</v>
      </c>
      <c r="M6212" s="338"/>
      <c r="N6212" s="362">
        <f t="shared" si="206"/>
        <v>8250</v>
      </c>
      <c r="X6212" s="339"/>
    </row>
    <row r="6213" s="330" customFormat="1" ht="15" customHeight="1" spans="1:24">
      <c r="A6213" s="550" t="s">
        <v>12810</v>
      </c>
      <c r="B6213" s="348" t="s">
        <v>185</v>
      </c>
      <c r="C6213" s="348" t="s">
        <v>186</v>
      </c>
      <c r="D6213" s="335" t="s">
        <v>187</v>
      </c>
      <c r="E6213" s="336">
        <v>43754</v>
      </c>
      <c r="F6213" s="336">
        <v>43751</v>
      </c>
      <c r="G6213" s="336">
        <v>43754</v>
      </c>
      <c r="H6213" s="334" t="s">
        <v>14053</v>
      </c>
      <c r="I6213" s="444">
        <v>18621695297</v>
      </c>
      <c r="J6213" s="348" t="s">
        <v>14054</v>
      </c>
      <c r="K6213" s="452">
        <v>1967</v>
      </c>
      <c r="L6213" s="334">
        <v>2327</v>
      </c>
      <c r="M6213" s="338"/>
      <c r="N6213" s="362">
        <f t="shared" si="206"/>
        <v>2327</v>
      </c>
      <c r="X6213" s="339"/>
    </row>
    <row r="6214" s="330" customFormat="1" ht="15" customHeight="1" spans="1:24">
      <c r="A6214" s="550" t="s">
        <v>14055</v>
      </c>
      <c r="B6214" s="348" t="s">
        <v>66</v>
      </c>
      <c r="C6214" s="348" t="s">
        <v>67</v>
      </c>
      <c r="D6214" s="334" t="s">
        <v>2302</v>
      </c>
      <c r="E6214" s="336">
        <v>43773</v>
      </c>
      <c r="F6214" s="336">
        <v>43751</v>
      </c>
      <c r="G6214" s="336">
        <v>43772</v>
      </c>
      <c r="H6214" s="334" t="s">
        <v>14056</v>
      </c>
      <c r="I6214" s="444">
        <v>13917365968</v>
      </c>
      <c r="J6214" s="348" t="s">
        <v>14057</v>
      </c>
      <c r="K6214" s="452">
        <v>1198</v>
      </c>
      <c r="L6214" s="334">
        <v>21284</v>
      </c>
      <c r="M6214" s="338"/>
      <c r="N6214" s="362">
        <f t="shared" si="206"/>
        <v>21284</v>
      </c>
      <c r="X6214" s="339"/>
    </row>
    <row r="6215" s="330" customFormat="1" ht="15" customHeight="1" spans="1:24">
      <c r="A6215" s="550" t="s">
        <v>14058</v>
      </c>
      <c r="B6215" s="348" t="s">
        <v>66</v>
      </c>
      <c r="C6215" s="348" t="s">
        <v>67</v>
      </c>
      <c r="D6215" s="334" t="s">
        <v>68</v>
      </c>
      <c r="E6215" s="336">
        <v>43762</v>
      </c>
      <c r="F6215" s="336">
        <v>43751</v>
      </c>
      <c r="G6215" s="336">
        <v>43759</v>
      </c>
      <c r="H6215" s="334" t="s">
        <v>14059</v>
      </c>
      <c r="I6215" s="444">
        <v>15026625661</v>
      </c>
      <c r="J6215" s="348" t="s">
        <v>14060</v>
      </c>
      <c r="K6215" s="452">
        <v>1000</v>
      </c>
      <c r="L6215" s="334">
        <v>2856</v>
      </c>
      <c r="M6215" s="338"/>
      <c r="N6215" s="362">
        <f t="shared" si="206"/>
        <v>2856</v>
      </c>
      <c r="X6215" s="339"/>
    </row>
    <row r="6216" s="330" customFormat="1" ht="15" customHeight="1" spans="1:24">
      <c r="A6216" s="550" t="s">
        <v>1793</v>
      </c>
      <c r="B6216" s="348" t="s">
        <v>35</v>
      </c>
      <c r="C6216" s="348" t="s">
        <v>328</v>
      </c>
      <c r="D6216" s="335" t="s">
        <v>37</v>
      </c>
      <c r="E6216" s="336">
        <v>43803</v>
      </c>
      <c r="F6216" s="336">
        <v>43751</v>
      </c>
      <c r="G6216" s="336">
        <v>43801</v>
      </c>
      <c r="H6216" s="334" t="s">
        <v>14061</v>
      </c>
      <c r="I6216" s="444">
        <v>13671929949</v>
      </c>
      <c r="J6216" s="348" t="s">
        <v>14062</v>
      </c>
      <c r="K6216" s="452">
        <v>1000</v>
      </c>
      <c r="L6216" s="334">
        <v>10763</v>
      </c>
      <c r="M6216" s="338"/>
      <c r="N6216" s="362">
        <f t="shared" si="206"/>
        <v>10763</v>
      </c>
      <c r="Q6216" s="356" t="s">
        <v>52</v>
      </c>
      <c r="X6216" s="339"/>
    </row>
    <row r="6217" s="330" customFormat="1" ht="15" customHeight="1" spans="1:24">
      <c r="A6217" s="550" t="s">
        <v>14063</v>
      </c>
      <c r="B6217" s="348" t="s">
        <v>31</v>
      </c>
      <c r="C6217" s="348" t="s">
        <v>377</v>
      </c>
      <c r="D6217" s="334" t="s">
        <v>33</v>
      </c>
      <c r="E6217" s="336">
        <v>43759</v>
      </c>
      <c r="F6217" s="336">
        <v>43751</v>
      </c>
      <c r="G6217" s="336">
        <v>43758</v>
      </c>
      <c r="H6217" s="334" t="s">
        <v>14064</v>
      </c>
      <c r="I6217" s="444">
        <v>15000636296</v>
      </c>
      <c r="J6217" s="348" t="s">
        <v>14065</v>
      </c>
      <c r="K6217" s="452">
        <v>1000</v>
      </c>
      <c r="L6217" s="334">
        <v>12709</v>
      </c>
      <c r="M6217" s="338"/>
      <c r="N6217" s="362">
        <f t="shared" si="206"/>
        <v>12709</v>
      </c>
      <c r="X6217" s="339"/>
    </row>
    <row r="6218" s="330" customFormat="1" ht="15" customHeight="1" spans="1:24">
      <c r="A6218" s="348"/>
      <c r="B6218" s="348" t="s">
        <v>726</v>
      </c>
      <c r="C6218" s="348" t="s">
        <v>12699</v>
      </c>
      <c r="D6218" s="335" t="s">
        <v>149</v>
      </c>
      <c r="E6218" s="336">
        <v>43751</v>
      </c>
      <c r="F6218" s="336">
        <v>43751</v>
      </c>
      <c r="G6218" s="353" t="s">
        <v>14066</v>
      </c>
      <c r="H6218" s="334" t="s">
        <v>14067</v>
      </c>
      <c r="I6218" s="444">
        <v>13716858355</v>
      </c>
      <c r="J6218" s="348" t="s">
        <v>14068</v>
      </c>
      <c r="K6218" s="452">
        <v>8963</v>
      </c>
      <c r="L6218" s="338"/>
      <c r="M6218" s="338"/>
      <c r="N6218" s="362">
        <f t="shared" si="206"/>
        <v>0</v>
      </c>
      <c r="X6218" s="339"/>
    </row>
    <row r="6219" s="330" customFormat="1" ht="15" customHeight="1" spans="1:24">
      <c r="A6219" s="550" t="s">
        <v>14069</v>
      </c>
      <c r="B6219" s="348" t="s">
        <v>405</v>
      </c>
      <c r="C6219" s="348" t="s">
        <v>14070</v>
      </c>
      <c r="D6219" s="335" t="s">
        <v>407</v>
      </c>
      <c r="E6219" s="336">
        <v>43763</v>
      </c>
      <c r="F6219" s="336">
        <v>43751</v>
      </c>
      <c r="G6219" s="336">
        <v>43760</v>
      </c>
      <c r="H6219" s="334" t="s">
        <v>14071</v>
      </c>
      <c r="I6219" s="444">
        <v>15021382815</v>
      </c>
      <c r="J6219" s="348" t="s">
        <v>14072</v>
      </c>
      <c r="K6219" s="452">
        <v>1000</v>
      </c>
      <c r="L6219" s="334">
        <v>5798</v>
      </c>
      <c r="M6219" s="338"/>
      <c r="N6219" s="362">
        <f t="shared" si="206"/>
        <v>5798</v>
      </c>
      <c r="X6219" s="339"/>
    </row>
    <row r="6220" s="330" customFormat="1" ht="15" customHeight="1" spans="1:24">
      <c r="A6220" s="550" t="s">
        <v>14073</v>
      </c>
      <c r="B6220" s="348" t="s">
        <v>73</v>
      </c>
      <c r="C6220" s="348" t="s">
        <v>74</v>
      </c>
      <c r="D6220" s="334" t="s">
        <v>187</v>
      </c>
      <c r="E6220" s="336">
        <v>43791</v>
      </c>
      <c r="F6220" s="336">
        <v>43750</v>
      </c>
      <c r="G6220" s="336">
        <v>43791</v>
      </c>
      <c r="H6220" s="334" t="s">
        <v>1858</v>
      </c>
      <c r="I6220" s="444">
        <v>18116264551</v>
      </c>
      <c r="J6220" s="348" t="s">
        <v>14074</v>
      </c>
      <c r="K6220" s="452">
        <v>1000</v>
      </c>
      <c r="L6220" s="334">
        <v>21938</v>
      </c>
      <c r="M6220" s="338"/>
      <c r="N6220" s="362">
        <f t="shared" si="206"/>
        <v>21938</v>
      </c>
      <c r="Q6220" s="366" t="s">
        <v>52</v>
      </c>
      <c r="X6220" s="339"/>
    </row>
    <row r="6221" s="330" customFormat="1" ht="15" customHeight="1" spans="1:24">
      <c r="A6221" s="550" t="s">
        <v>10182</v>
      </c>
      <c r="B6221" s="348" t="s">
        <v>73</v>
      </c>
      <c r="C6221" s="348" t="s">
        <v>74</v>
      </c>
      <c r="D6221" s="335" t="s">
        <v>75</v>
      </c>
      <c r="E6221" s="336">
        <v>43751</v>
      </c>
      <c r="F6221" s="336">
        <v>43751</v>
      </c>
      <c r="G6221" s="399" t="s">
        <v>69</v>
      </c>
      <c r="H6221" s="334" t="s">
        <v>3843</v>
      </c>
      <c r="I6221" s="444">
        <v>19921679498</v>
      </c>
      <c r="J6221" s="348" t="s">
        <v>14075</v>
      </c>
      <c r="K6221" s="452">
        <v>1000</v>
      </c>
      <c r="L6221" s="338"/>
      <c r="M6221" s="338"/>
      <c r="N6221" s="362">
        <f t="shared" si="206"/>
        <v>0</v>
      </c>
      <c r="Q6221" s="366" t="s">
        <v>52</v>
      </c>
      <c r="X6221" s="339"/>
    </row>
    <row r="6222" s="330" customFormat="1" ht="15" customHeight="1" spans="1:24">
      <c r="A6222" s="550" t="s">
        <v>14076</v>
      </c>
      <c r="B6222" s="348" t="s">
        <v>73</v>
      </c>
      <c r="C6222" s="348" t="s">
        <v>74</v>
      </c>
      <c r="D6222" s="334" t="s">
        <v>717</v>
      </c>
      <c r="E6222" s="336">
        <v>43782</v>
      </c>
      <c r="F6222" s="336">
        <v>43751</v>
      </c>
      <c r="G6222" s="336">
        <v>43782</v>
      </c>
      <c r="H6222" s="334" t="s">
        <v>14077</v>
      </c>
      <c r="I6222" s="444">
        <v>13611989703</v>
      </c>
      <c r="J6222" s="348" t="s">
        <v>14078</v>
      </c>
      <c r="K6222" s="452">
        <v>1000</v>
      </c>
      <c r="L6222" s="334">
        <v>14957</v>
      </c>
      <c r="M6222" s="338"/>
      <c r="N6222" s="362">
        <f t="shared" si="206"/>
        <v>14957</v>
      </c>
      <c r="X6222" s="339"/>
    </row>
    <row r="6223" s="330" customFormat="1" ht="15" customHeight="1" spans="1:24">
      <c r="A6223" s="550" t="s">
        <v>9421</v>
      </c>
      <c r="B6223" s="348" t="s">
        <v>73</v>
      </c>
      <c r="C6223" s="348" t="s">
        <v>74</v>
      </c>
      <c r="D6223" s="334" t="s">
        <v>132</v>
      </c>
      <c r="E6223" s="336">
        <v>43769</v>
      </c>
      <c r="F6223" s="336">
        <v>43751</v>
      </c>
      <c r="G6223" s="336">
        <v>43769</v>
      </c>
      <c r="H6223" s="334" t="s">
        <v>14079</v>
      </c>
      <c r="I6223" s="444">
        <v>15902127041</v>
      </c>
      <c r="J6223" s="348" t="s">
        <v>14080</v>
      </c>
      <c r="K6223" s="452">
        <v>1000</v>
      </c>
      <c r="L6223" s="334">
        <v>25633</v>
      </c>
      <c r="M6223" s="338"/>
      <c r="N6223" s="362">
        <f t="shared" si="206"/>
        <v>25633</v>
      </c>
      <c r="X6223" s="339"/>
    </row>
    <row r="6224" s="330" customFormat="1" ht="15" customHeight="1" spans="1:24">
      <c r="A6224" s="550" t="s">
        <v>14081</v>
      </c>
      <c r="B6224" s="348" t="s">
        <v>73</v>
      </c>
      <c r="C6224" s="348" t="s">
        <v>74</v>
      </c>
      <c r="D6224" s="352" t="s">
        <v>75</v>
      </c>
      <c r="E6224" s="336">
        <v>43751</v>
      </c>
      <c r="F6224" s="336">
        <v>43751</v>
      </c>
      <c r="G6224" s="399"/>
      <c r="H6224" s="334" t="s">
        <v>14082</v>
      </c>
      <c r="I6224" s="444">
        <v>13611871943</v>
      </c>
      <c r="J6224" s="348" t="s">
        <v>14083</v>
      </c>
      <c r="K6224" s="452">
        <v>1000</v>
      </c>
      <c r="L6224" s="338"/>
      <c r="M6224" s="338"/>
      <c r="N6224" s="362">
        <f t="shared" si="206"/>
        <v>0</v>
      </c>
      <c r="Q6224" s="366" t="s">
        <v>52</v>
      </c>
      <c r="X6224" s="339"/>
    </row>
    <row r="6225" s="330" customFormat="1" ht="15" customHeight="1" spans="1:24">
      <c r="A6225" s="550" t="s">
        <v>14084</v>
      </c>
      <c r="B6225" s="348" t="s">
        <v>73</v>
      </c>
      <c r="C6225" s="348" t="s">
        <v>74</v>
      </c>
      <c r="D6225" s="334" t="s">
        <v>132</v>
      </c>
      <c r="E6225" s="336">
        <v>43777</v>
      </c>
      <c r="F6225" s="336">
        <v>43751</v>
      </c>
      <c r="G6225" s="336">
        <v>43778</v>
      </c>
      <c r="H6225" s="334" t="s">
        <v>14085</v>
      </c>
      <c r="I6225" s="444">
        <v>18121146629</v>
      </c>
      <c r="J6225" s="348" t="s">
        <v>14086</v>
      </c>
      <c r="K6225" s="452">
        <v>1000</v>
      </c>
      <c r="L6225" s="334">
        <v>24780</v>
      </c>
      <c r="M6225" s="338"/>
      <c r="N6225" s="362">
        <f t="shared" si="206"/>
        <v>24780</v>
      </c>
      <c r="X6225" s="339"/>
    </row>
    <row r="6226" s="330" customFormat="1" ht="15" customHeight="1" spans="1:24">
      <c r="A6226" s="550" t="s">
        <v>1095</v>
      </c>
      <c r="B6226" s="348" t="s">
        <v>66</v>
      </c>
      <c r="C6226" s="348" t="s">
        <v>7029</v>
      </c>
      <c r="D6226" s="335" t="s">
        <v>1436</v>
      </c>
      <c r="E6226" s="336">
        <v>43789</v>
      </c>
      <c r="F6226" s="336">
        <v>43751</v>
      </c>
      <c r="G6226" s="336">
        <v>43785</v>
      </c>
      <c r="H6226" s="334" t="s">
        <v>14087</v>
      </c>
      <c r="I6226" s="444">
        <v>18915581280</v>
      </c>
      <c r="J6226" s="348" t="s">
        <v>14088</v>
      </c>
      <c r="K6226" s="452">
        <v>1000</v>
      </c>
      <c r="L6226" s="334">
        <v>6044</v>
      </c>
      <c r="M6226" s="338"/>
      <c r="N6226" s="362">
        <f t="shared" si="206"/>
        <v>6044</v>
      </c>
      <c r="X6226" s="339"/>
    </row>
    <row r="6227" s="330" customFormat="1" ht="15" customHeight="1" spans="1:24">
      <c r="A6227" s="550" t="s">
        <v>14089</v>
      </c>
      <c r="B6227" s="348" t="s">
        <v>31</v>
      </c>
      <c r="C6227" s="348" t="s">
        <v>419</v>
      </c>
      <c r="D6227" s="334" t="s">
        <v>954</v>
      </c>
      <c r="E6227" s="336">
        <v>43752</v>
      </c>
      <c r="F6227" s="336">
        <v>43751</v>
      </c>
      <c r="G6227" s="336">
        <v>43752</v>
      </c>
      <c r="H6227" s="334" t="s">
        <v>14090</v>
      </c>
      <c r="I6227" s="444">
        <v>18017006877</v>
      </c>
      <c r="J6227" s="348" t="s">
        <v>14091</v>
      </c>
      <c r="K6227" s="452">
        <v>1000</v>
      </c>
      <c r="L6227" s="334">
        <v>8323</v>
      </c>
      <c r="M6227" s="338"/>
      <c r="N6227" s="362">
        <f t="shared" si="206"/>
        <v>8323</v>
      </c>
      <c r="X6227" s="339"/>
    </row>
    <row r="6228" s="330" customFormat="1" ht="15" customHeight="1" spans="1:24">
      <c r="A6228" s="550" t="s">
        <v>1069</v>
      </c>
      <c r="B6228" s="348" t="s">
        <v>66</v>
      </c>
      <c r="C6228" s="348" t="s">
        <v>505</v>
      </c>
      <c r="D6228" s="334" t="s">
        <v>2302</v>
      </c>
      <c r="E6228" s="336">
        <v>43759</v>
      </c>
      <c r="F6228" s="336">
        <v>43751</v>
      </c>
      <c r="G6228" s="336">
        <v>43758</v>
      </c>
      <c r="H6228" s="334" t="s">
        <v>14092</v>
      </c>
      <c r="I6228" s="444">
        <v>17821758165</v>
      </c>
      <c r="J6228" s="348" t="s">
        <v>14093</v>
      </c>
      <c r="K6228" s="452">
        <v>2741</v>
      </c>
      <c r="L6228" s="334">
        <v>2741</v>
      </c>
      <c r="M6228" s="338"/>
      <c r="N6228" s="362">
        <f t="shared" si="206"/>
        <v>2741</v>
      </c>
      <c r="X6228" s="339"/>
    </row>
    <row r="6229" s="330" customFormat="1" ht="15" customHeight="1" spans="1:24">
      <c r="A6229" s="550" t="s">
        <v>225</v>
      </c>
      <c r="B6229" s="348" t="s">
        <v>73</v>
      </c>
      <c r="C6229" s="348" t="s">
        <v>74</v>
      </c>
      <c r="D6229" s="352" t="s">
        <v>75</v>
      </c>
      <c r="E6229" s="336">
        <v>43751</v>
      </c>
      <c r="F6229" s="336">
        <v>43751</v>
      </c>
      <c r="G6229" s="399"/>
      <c r="H6229" s="334" t="s">
        <v>14094</v>
      </c>
      <c r="I6229" s="444">
        <v>13761960858</v>
      </c>
      <c r="J6229" s="348" t="s">
        <v>14095</v>
      </c>
      <c r="K6229" s="452">
        <v>1000</v>
      </c>
      <c r="L6229" s="338"/>
      <c r="M6229" s="338"/>
      <c r="N6229" s="362">
        <f t="shared" si="206"/>
        <v>0</v>
      </c>
      <c r="Q6229" s="366"/>
      <c r="R6229" s="366" t="s">
        <v>52</v>
      </c>
      <c r="X6229" s="339"/>
    </row>
    <row r="6230" s="330" customFormat="1" ht="15" customHeight="1" spans="1:24">
      <c r="A6230" s="550" t="s">
        <v>14096</v>
      </c>
      <c r="B6230" s="348" t="s">
        <v>73</v>
      </c>
      <c r="C6230" s="348" t="s">
        <v>178</v>
      </c>
      <c r="D6230" s="334" t="s">
        <v>44</v>
      </c>
      <c r="E6230" s="336">
        <v>43769</v>
      </c>
      <c r="F6230" s="336">
        <v>43751</v>
      </c>
      <c r="G6230" s="336">
        <v>43769</v>
      </c>
      <c r="H6230" s="334" t="s">
        <v>14097</v>
      </c>
      <c r="I6230" s="444">
        <v>13817505322</v>
      </c>
      <c r="J6230" s="348" t="s">
        <v>14098</v>
      </c>
      <c r="K6230" s="452">
        <v>1000</v>
      </c>
      <c r="L6230" s="334">
        <v>17654</v>
      </c>
      <c r="M6230" s="338"/>
      <c r="N6230" s="362">
        <f t="shared" si="206"/>
        <v>17654</v>
      </c>
      <c r="X6230" s="339"/>
    </row>
    <row r="6231" s="330" customFormat="1" ht="15" customHeight="1" spans="1:24">
      <c r="A6231" s="550" t="s">
        <v>14099</v>
      </c>
      <c r="B6231" s="348" t="s">
        <v>73</v>
      </c>
      <c r="C6231" s="348" t="s">
        <v>178</v>
      </c>
      <c r="D6231" s="335" t="s">
        <v>125</v>
      </c>
      <c r="E6231" s="336">
        <v>43794</v>
      </c>
      <c r="F6231" s="336">
        <v>43751</v>
      </c>
      <c r="G6231" s="336">
        <v>43793</v>
      </c>
      <c r="H6231" s="334" t="s">
        <v>2549</v>
      </c>
      <c r="I6231" s="444">
        <v>13818472034</v>
      </c>
      <c r="J6231" s="348" t="s">
        <v>14100</v>
      </c>
      <c r="K6231" s="452">
        <v>1000</v>
      </c>
      <c r="L6231" s="334">
        <v>12535</v>
      </c>
      <c r="M6231" s="338"/>
      <c r="N6231" s="362">
        <f t="shared" si="206"/>
        <v>12535</v>
      </c>
      <c r="Q6231" s="366" t="s">
        <v>52</v>
      </c>
      <c r="X6231" s="339"/>
    </row>
    <row r="6232" s="330" customFormat="1" ht="15" customHeight="1" spans="1:24">
      <c r="A6232" s="550" t="s">
        <v>14101</v>
      </c>
      <c r="B6232" s="334" t="s">
        <v>73</v>
      </c>
      <c r="C6232" s="348" t="s">
        <v>178</v>
      </c>
      <c r="D6232" s="352" t="s">
        <v>75</v>
      </c>
      <c r="E6232" s="336">
        <v>43759</v>
      </c>
      <c r="F6232" s="336">
        <v>43758</v>
      </c>
      <c r="G6232" s="399"/>
      <c r="H6232" s="334" t="s">
        <v>14102</v>
      </c>
      <c r="I6232" s="444">
        <v>18916189722</v>
      </c>
      <c r="J6232" s="348" t="s">
        <v>14103</v>
      </c>
      <c r="K6232" s="452">
        <v>1000</v>
      </c>
      <c r="L6232" s="338"/>
      <c r="M6232" s="338"/>
      <c r="N6232" s="362">
        <f t="shared" si="206"/>
        <v>0</v>
      </c>
      <c r="Q6232" s="366" t="s">
        <v>52</v>
      </c>
      <c r="X6232" s="339"/>
    </row>
    <row r="6233" s="330" customFormat="1" ht="15" customHeight="1" spans="1:24">
      <c r="A6233" s="348"/>
      <c r="B6233" s="348" t="s">
        <v>153</v>
      </c>
      <c r="C6233" s="348" t="s">
        <v>195</v>
      </c>
      <c r="D6233" s="335" t="s">
        <v>155</v>
      </c>
      <c r="E6233" s="336">
        <v>43753</v>
      </c>
      <c r="F6233" s="336">
        <v>43751</v>
      </c>
      <c r="G6233" s="336">
        <v>43752</v>
      </c>
      <c r="H6233" s="334" t="s">
        <v>14104</v>
      </c>
      <c r="I6233" s="444">
        <v>13817343127</v>
      </c>
      <c r="J6233" s="348" t="s">
        <v>14105</v>
      </c>
      <c r="K6233" s="452">
        <v>3500</v>
      </c>
      <c r="L6233" s="334">
        <v>3695</v>
      </c>
      <c r="M6233" s="338"/>
      <c r="N6233" s="362">
        <f t="shared" si="206"/>
        <v>3695</v>
      </c>
      <c r="X6233" s="339"/>
    </row>
    <row r="6234" s="330" customFormat="1" ht="15" customHeight="1" spans="1:24">
      <c r="A6234" s="348"/>
      <c r="B6234" s="348" t="s">
        <v>137</v>
      </c>
      <c r="C6234" s="348" t="s">
        <v>406</v>
      </c>
      <c r="D6234" s="335" t="s">
        <v>443</v>
      </c>
      <c r="E6234" s="336">
        <v>43751</v>
      </c>
      <c r="F6234" s="336">
        <v>43751</v>
      </c>
      <c r="G6234" s="399"/>
      <c r="H6234" s="334" t="s">
        <v>14106</v>
      </c>
      <c r="I6234" s="444">
        <v>13916192810</v>
      </c>
      <c r="J6234" s="348" t="s">
        <v>14107</v>
      </c>
      <c r="K6234" s="452">
        <v>1000</v>
      </c>
      <c r="L6234" s="338"/>
      <c r="M6234" s="338"/>
      <c r="N6234" s="362">
        <f t="shared" si="206"/>
        <v>0</v>
      </c>
      <c r="U6234" s="393" t="s">
        <v>40</v>
      </c>
      <c r="X6234" s="339"/>
    </row>
    <row r="6235" s="330" customFormat="1" ht="15" customHeight="1" spans="1:24">
      <c r="A6235" s="348"/>
      <c r="B6235" s="348" t="s">
        <v>137</v>
      </c>
      <c r="C6235" s="348" t="s">
        <v>406</v>
      </c>
      <c r="D6235" s="334" t="s">
        <v>2381</v>
      </c>
      <c r="E6235" s="336">
        <v>43772</v>
      </c>
      <c r="F6235" s="336">
        <v>43751</v>
      </c>
      <c r="G6235" s="336">
        <v>43771</v>
      </c>
      <c r="H6235" s="334" t="s">
        <v>14108</v>
      </c>
      <c r="I6235" s="444">
        <v>18521004011</v>
      </c>
      <c r="J6235" s="348" t="s">
        <v>14109</v>
      </c>
      <c r="K6235" s="452">
        <v>1000</v>
      </c>
      <c r="L6235" s="334">
        <v>8316</v>
      </c>
      <c r="M6235" s="338"/>
      <c r="N6235" s="362">
        <f t="shared" si="206"/>
        <v>8316</v>
      </c>
      <c r="X6235" s="339"/>
    </row>
    <row r="6236" s="330" customFormat="1" ht="15" customHeight="1" spans="1:24">
      <c r="A6236" s="550" t="s">
        <v>12829</v>
      </c>
      <c r="B6236" s="348" t="s">
        <v>66</v>
      </c>
      <c r="C6236" s="348" t="s">
        <v>7029</v>
      </c>
      <c r="D6236" s="334" t="s">
        <v>2302</v>
      </c>
      <c r="E6236" s="336">
        <v>43780</v>
      </c>
      <c r="F6236" s="336">
        <v>43751</v>
      </c>
      <c r="G6236" s="336">
        <v>43770</v>
      </c>
      <c r="H6236" s="336" t="s">
        <v>14110</v>
      </c>
      <c r="I6236" s="444">
        <v>13585908524</v>
      </c>
      <c r="J6236" s="348" t="s">
        <v>14111</v>
      </c>
      <c r="K6236" s="452">
        <v>6294</v>
      </c>
      <c r="L6236" s="334">
        <v>12796</v>
      </c>
      <c r="M6236" s="338"/>
      <c r="N6236" s="362">
        <f t="shared" si="206"/>
        <v>12796</v>
      </c>
      <c r="X6236" s="339"/>
    </row>
    <row r="6237" s="330" customFormat="1" ht="15" customHeight="1" spans="1:24">
      <c r="A6237" s="334"/>
      <c r="B6237" s="334" t="s">
        <v>236</v>
      </c>
      <c r="C6237" s="334" t="s">
        <v>195</v>
      </c>
      <c r="D6237" s="334" t="s">
        <v>149</v>
      </c>
      <c r="E6237" s="336">
        <v>43751</v>
      </c>
      <c r="F6237" s="336"/>
      <c r="G6237" s="336">
        <v>43748</v>
      </c>
      <c r="H6237" s="334" t="s">
        <v>14112</v>
      </c>
      <c r="I6237" s="334">
        <v>13816886884</v>
      </c>
      <c r="J6237" s="334" t="s">
        <v>14113</v>
      </c>
      <c r="K6237" s="337"/>
      <c r="L6237" s="334">
        <v>1667</v>
      </c>
      <c r="M6237" s="338"/>
      <c r="N6237" s="362">
        <f t="shared" si="206"/>
        <v>1667</v>
      </c>
      <c r="X6237" s="339"/>
    </row>
    <row r="6238" s="330" customFormat="1" ht="15" customHeight="1" spans="1:24">
      <c r="A6238" s="334"/>
      <c r="B6238" s="334" t="s">
        <v>281</v>
      </c>
      <c r="C6238" s="334" t="s">
        <v>517</v>
      </c>
      <c r="D6238" s="334" t="s">
        <v>518</v>
      </c>
      <c r="E6238" s="336">
        <v>43751</v>
      </c>
      <c r="F6238" s="336"/>
      <c r="G6238" s="336">
        <v>43751</v>
      </c>
      <c r="H6238" s="334" t="s">
        <v>14114</v>
      </c>
      <c r="I6238" s="334">
        <v>13817406268</v>
      </c>
      <c r="J6238" s="334" t="s">
        <v>14115</v>
      </c>
      <c r="K6238" s="337"/>
      <c r="L6238" s="334">
        <v>12997</v>
      </c>
      <c r="M6238" s="338"/>
      <c r="N6238" s="362">
        <f t="shared" si="206"/>
        <v>12997</v>
      </c>
      <c r="X6238" s="339"/>
    </row>
    <row r="6239" s="330" customFormat="1" ht="15" customHeight="1" spans="1:24">
      <c r="A6239" s="334"/>
      <c r="B6239" s="334" t="s">
        <v>5435</v>
      </c>
      <c r="C6239" s="334" t="s">
        <v>1728</v>
      </c>
      <c r="D6239" s="334" t="s">
        <v>149</v>
      </c>
      <c r="E6239" s="336">
        <v>43751</v>
      </c>
      <c r="F6239" s="336" t="s">
        <v>800</v>
      </c>
      <c r="G6239" s="336">
        <v>43751</v>
      </c>
      <c r="H6239" s="334" t="s">
        <v>9297</v>
      </c>
      <c r="I6239" s="334">
        <v>18505815472</v>
      </c>
      <c r="J6239" s="334" t="s">
        <v>14116</v>
      </c>
      <c r="K6239" s="337"/>
      <c r="L6239" s="338"/>
      <c r="M6239" s="334">
        <v>1700</v>
      </c>
      <c r="N6239" s="362">
        <f t="shared" ref="N6239:N6268" si="207">L6239+M6239</f>
        <v>1700</v>
      </c>
      <c r="X6239" s="339"/>
    </row>
    <row r="6240" s="330" customFormat="1" ht="15" customHeight="1" spans="1:24">
      <c r="A6240" s="334"/>
      <c r="B6240" s="334" t="s">
        <v>315</v>
      </c>
      <c r="C6240" s="334" t="s">
        <v>230</v>
      </c>
      <c r="D6240" s="334" t="s">
        <v>182</v>
      </c>
      <c r="E6240" s="336">
        <v>43751</v>
      </c>
      <c r="F6240" s="336" t="s">
        <v>800</v>
      </c>
      <c r="G6240" s="336">
        <v>43750</v>
      </c>
      <c r="H6240" s="334" t="s">
        <v>9248</v>
      </c>
      <c r="I6240" s="334">
        <v>15821029962</v>
      </c>
      <c r="J6240" s="334" t="s">
        <v>14117</v>
      </c>
      <c r="K6240" s="337"/>
      <c r="L6240" s="338"/>
      <c r="M6240" s="334">
        <v>2857</v>
      </c>
      <c r="N6240" s="362">
        <f t="shared" si="207"/>
        <v>2857</v>
      </c>
      <c r="X6240" s="339"/>
    </row>
    <row r="6241" s="330" customFormat="1" ht="15" customHeight="1" spans="1:24">
      <c r="A6241" s="334"/>
      <c r="B6241" s="334" t="s">
        <v>335</v>
      </c>
      <c r="C6241" s="334" t="s">
        <v>615</v>
      </c>
      <c r="D6241" s="334" t="s">
        <v>337</v>
      </c>
      <c r="E6241" s="336">
        <v>43751</v>
      </c>
      <c r="F6241" s="336" t="s">
        <v>800</v>
      </c>
      <c r="G6241" s="336">
        <v>43750</v>
      </c>
      <c r="H6241" s="334" t="s">
        <v>12447</v>
      </c>
      <c r="I6241" s="334">
        <v>15000551852</v>
      </c>
      <c r="J6241" s="334" t="s">
        <v>12448</v>
      </c>
      <c r="K6241" s="337"/>
      <c r="L6241" s="338"/>
      <c r="M6241" s="334">
        <v>990</v>
      </c>
      <c r="N6241" s="362">
        <f t="shared" si="207"/>
        <v>990</v>
      </c>
      <c r="X6241" s="339"/>
    </row>
    <row r="6242" s="330" customFormat="1" ht="15" customHeight="1" spans="1:24">
      <c r="A6242" s="334"/>
      <c r="B6242" s="334" t="s">
        <v>58</v>
      </c>
      <c r="C6242" s="334" t="s">
        <v>342</v>
      </c>
      <c r="D6242" s="334" t="s">
        <v>343</v>
      </c>
      <c r="E6242" s="336">
        <v>43751</v>
      </c>
      <c r="F6242" s="336" t="s">
        <v>800</v>
      </c>
      <c r="G6242" s="336">
        <v>43750</v>
      </c>
      <c r="H6242" s="334" t="s">
        <v>8909</v>
      </c>
      <c r="I6242" s="334">
        <v>13764163870</v>
      </c>
      <c r="J6242" s="334" t="s">
        <v>8910</v>
      </c>
      <c r="K6242" s="337"/>
      <c r="L6242" s="338"/>
      <c r="M6242" s="334">
        <v>13595</v>
      </c>
      <c r="N6242" s="362">
        <f t="shared" si="207"/>
        <v>13595</v>
      </c>
      <c r="X6242" s="339"/>
    </row>
    <row r="6243" s="330" customFormat="1" ht="15" customHeight="1" spans="1:24">
      <c r="A6243" s="334"/>
      <c r="B6243" s="334" t="s">
        <v>354</v>
      </c>
      <c r="C6243" s="334" t="s">
        <v>355</v>
      </c>
      <c r="D6243" s="334" t="s">
        <v>237</v>
      </c>
      <c r="E6243" s="336">
        <v>43751</v>
      </c>
      <c r="F6243" s="336" t="s">
        <v>800</v>
      </c>
      <c r="G6243" s="336">
        <v>43751</v>
      </c>
      <c r="H6243" s="334" t="s">
        <v>7637</v>
      </c>
      <c r="I6243" s="334">
        <v>15201922567</v>
      </c>
      <c r="J6243" s="334" t="s">
        <v>7638</v>
      </c>
      <c r="K6243" s="337"/>
      <c r="L6243" s="338"/>
      <c r="M6243" s="334">
        <v>2008</v>
      </c>
      <c r="N6243" s="362">
        <f t="shared" si="207"/>
        <v>2008</v>
      </c>
      <c r="X6243" s="339"/>
    </row>
    <row r="6244" s="330" customFormat="1" ht="15" customHeight="1" spans="1:24">
      <c r="A6244" s="334"/>
      <c r="B6244" s="334" t="s">
        <v>185</v>
      </c>
      <c r="C6244" s="334" t="s">
        <v>1133</v>
      </c>
      <c r="D6244" s="334" t="s">
        <v>44</v>
      </c>
      <c r="E6244" s="336">
        <v>43751</v>
      </c>
      <c r="F6244" s="336" t="s">
        <v>800</v>
      </c>
      <c r="G6244" s="336">
        <v>43751</v>
      </c>
      <c r="H6244" s="334" t="s">
        <v>6007</v>
      </c>
      <c r="I6244" s="334">
        <v>18918178666</v>
      </c>
      <c r="J6244" s="334" t="s">
        <v>6008</v>
      </c>
      <c r="K6244" s="337"/>
      <c r="L6244" s="338"/>
      <c r="M6244" s="334">
        <v>1131</v>
      </c>
      <c r="N6244" s="362">
        <f t="shared" si="207"/>
        <v>1131</v>
      </c>
      <c r="X6244" s="339"/>
    </row>
    <row r="6245" s="330" customFormat="1" ht="15" customHeight="1" spans="1:24">
      <c r="A6245" s="334"/>
      <c r="B6245" s="334" t="s">
        <v>137</v>
      </c>
      <c r="C6245" s="334" t="s">
        <v>406</v>
      </c>
      <c r="D6245" s="334" t="s">
        <v>2381</v>
      </c>
      <c r="E6245" s="336">
        <v>43751</v>
      </c>
      <c r="F6245" s="336" t="s">
        <v>800</v>
      </c>
      <c r="G6245" s="336">
        <v>43751</v>
      </c>
      <c r="H6245" s="334" t="s">
        <v>10709</v>
      </c>
      <c r="I6245" s="334">
        <v>15802190688</v>
      </c>
      <c r="J6245" s="334" t="s">
        <v>14118</v>
      </c>
      <c r="K6245" s="337"/>
      <c r="L6245" s="338"/>
      <c r="M6245" s="334">
        <v>-789</v>
      </c>
      <c r="N6245" s="362">
        <f t="shared" si="207"/>
        <v>-789</v>
      </c>
      <c r="X6245" s="339"/>
    </row>
    <row r="6246" s="330" customFormat="1" ht="15" customHeight="1" spans="1:24">
      <c r="A6246" s="334"/>
      <c r="B6246" s="334" t="s">
        <v>137</v>
      </c>
      <c r="C6246" s="334" t="s">
        <v>2705</v>
      </c>
      <c r="D6246" s="334" t="s">
        <v>191</v>
      </c>
      <c r="E6246" s="336">
        <v>43751</v>
      </c>
      <c r="F6246" s="336" t="s">
        <v>800</v>
      </c>
      <c r="G6246" s="336">
        <v>43751</v>
      </c>
      <c r="H6246" s="334" t="s">
        <v>8495</v>
      </c>
      <c r="I6246" s="334">
        <v>13651910258</v>
      </c>
      <c r="J6246" s="334" t="s">
        <v>8497</v>
      </c>
      <c r="K6246" s="337"/>
      <c r="L6246" s="338"/>
      <c r="M6246" s="334">
        <v>2034</v>
      </c>
      <c r="N6246" s="362">
        <f t="shared" si="207"/>
        <v>2034</v>
      </c>
      <c r="X6246" s="339"/>
    </row>
    <row r="6247" s="330" customFormat="1" ht="15" customHeight="1" spans="1:24">
      <c r="A6247" s="334"/>
      <c r="B6247" s="334" t="s">
        <v>185</v>
      </c>
      <c r="C6247" s="334" t="s">
        <v>1204</v>
      </c>
      <c r="D6247" s="334" t="s">
        <v>44</v>
      </c>
      <c r="E6247" s="336">
        <v>43751</v>
      </c>
      <c r="F6247" s="336" t="s">
        <v>800</v>
      </c>
      <c r="G6247" s="336">
        <v>43751</v>
      </c>
      <c r="H6247" s="334" t="s">
        <v>8357</v>
      </c>
      <c r="I6247" s="334">
        <v>13012813570</v>
      </c>
      <c r="J6247" s="334" t="s">
        <v>14119</v>
      </c>
      <c r="K6247" s="337"/>
      <c r="L6247" s="338"/>
      <c r="M6247" s="334">
        <v>6558</v>
      </c>
      <c r="N6247" s="362">
        <f t="shared" si="207"/>
        <v>6558</v>
      </c>
      <c r="X6247" s="339"/>
    </row>
    <row r="6248" s="330" customFormat="1" ht="15" customHeight="1" spans="1:24">
      <c r="A6248" s="334"/>
      <c r="B6248" s="334" t="s">
        <v>47</v>
      </c>
      <c r="C6248" s="334" t="s">
        <v>80</v>
      </c>
      <c r="D6248" s="334" t="s">
        <v>49</v>
      </c>
      <c r="E6248" s="336">
        <v>43751</v>
      </c>
      <c r="F6248" s="336" t="s">
        <v>800</v>
      </c>
      <c r="G6248" s="336">
        <v>43751</v>
      </c>
      <c r="H6248" s="334" t="s">
        <v>4354</v>
      </c>
      <c r="I6248" s="334">
        <v>18621396555</v>
      </c>
      <c r="J6248" s="334" t="s">
        <v>14120</v>
      </c>
      <c r="K6248" s="337"/>
      <c r="L6248" s="338"/>
      <c r="M6248" s="334">
        <v>3666</v>
      </c>
      <c r="N6248" s="362">
        <f t="shared" si="207"/>
        <v>3666</v>
      </c>
      <c r="X6248" s="339"/>
    </row>
    <row r="6249" s="330" customFormat="1" ht="15" customHeight="1" spans="1:24">
      <c r="A6249" s="334"/>
      <c r="B6249" s="334" t="s">
        <v>185</v>
      </c>
      <c r="C6249" s="334" t="s">
        <v>4146</v>
      </c>
      <c r="D6249" s="334" t="s">
        <v>187</v>
      </c>
      <c r="E6249" s="336">
        <v>43751</v>
      </c>
      <c r="F6249" s="336" t="s">
        <v>800</v>
      </c>
      <c r="G6249" s="336">
        <v>43751</v>
      </c>
      <c r="H6249" s="334" t="s">
        <v>8283</v>
      </c>
      <c r="I6249" s="334">
        <v>13661513020</v>
      </c>
      <c r="J6249" s="334" t="s">
        <v>14121</v>
      </c>
      <c r="K6249" s="337"/>
      <c r="L6249" s="338"/>
      <c r="M6249" s="334">
        <v>-3345</v>
      </c>
      <c r="N6249" s="362">
        <f t="shared" si="207"/>
        <v>-3345</v>
      </c>
      <c r="X6249" s="339"/>
    </row>
    <row r="6250" s="330" customFormat="1" ht="15" customHeight="1" spans="1:24">
      <c r="A6250" s="334"/>
      <c r="B6250" s="334" t="s">
        <v>73</v>
      </c>
      <c r="C6250" s="334" t="s">
        <v>74</v>
      </c>
      <c r="D6250" s="334" t="s">
        <v>132</v>
      </c>
      <c r="E6250" s="336">
        <v>43751</v>
      </c>
      <c r="F6250" s="336" t="s">
        <v>800</v>
      </c>
      <c r="G6250" s="336">
        <v>43751</v>
      </c>
      <c r="H6250" s="334" t="s">
        <v>10499</v>
      </c>
      <c r="I6250" s="334">
        <v>13816678899</v>
      </c>
      <c r="J6250" s="334" t="s">
        <v>10500</v>
      </c>
      <c r="K6250" s="337"/>
      <c r="L6250" s="338"/>
      <c r="M6250" s="334">
        <v>1317</v>
      </c>
      <c r="N6250" s="362">
        <f t="shared" si="207"/>
        <v>1317</v>
      </c>
      <c r="X6250" s="339"/>
    </row>
    <row r="6251" s="330" customFormat="1" ht="15" customHeight="1" spans="1:24">
      <c r="A6251" s="334"/>
      <c r="B6251" s="334" t="s">
        <v>58</v>
      </c>
      <c r="C6251" s="334" t="s">
        <v>59</v>
      </c>
      <c r="D6251" s="334" t="s">
        <v>271</v>
      </c>
      <c r="E6251" s="336">
        <v>43751</v>
      </c>
      <c r="F6251" s="336" t="s">
        <v>800</v>
      </c>
      <c r="G6251" s="336">
        <v>43750</v>
      </c>
      <c r="H6251" s="334" t="s">
        <v>14122</v>
      </c>
      <c r="I6251" s="334">
        <v>13601996392</v>
      </c>
      <c r="J6251" s="334" t="s">
        <v>12266</v>
      </c>
      <c r="K6251" s="337"/>
      <c r="L6251" s="338"/>
      <c r="M6251" s="334">
        <v>802</v>
      </c>
      <c r="N6251" s="362">
        <f t="shared" si="207"/>
        <v>802</v>
      </c>
      <c r="X6251" s="339"/>
    </row>
    <row r="6252" s="330" customFormat="1" ht="15" customHeight="1" spans="1:24">
      <c r="A6252" s="334"/>
      <c r="B6252" s="334" t="s">
        <v>137</v>
      </c>
      <c r="C6252" s="334" t="s">
        <v>406</v>
      </c>
      <c r="D6252" s="334" t="s">
        <v>427</v>
      </c>
      <c r="E6252" s="336">
        <v>43751</v>
      </c>
      <c r="F6252" s="336" t="s">
        <v>800</v>
      </c>
      <c r="G6252" s="336">
        <v>43751</v>
      </c>
      <c r="H6252" s="334" t="s">
        <v>986</v>
      </c>
      <c r="I6252" s="334">
        <v>13661878975</v>
      </c>
      <c r="J6252" s="334" t="s">
        <v>14123</v>
      </c>
      <c r="K6252" s="337"/>
      <c r="L6252" s="338"/>
      <c r="M6252" s="334">
        <v>3793</v>
      </c>
      <c r="N6252" s="362">
        <f t="shared" si="207"/>
        <v>3793</v>
      </c>
      <c r="X6252" s="339"/>
    </row>
    <row r="6253" s="330" customFormat="1" ht="15" customHeight="1" spans="1:24">
      <c r="A6253" s="550" t="s">
        <v>14124</v>
      </c>
      <c r="B6253" s="348" t="s">
        <v>31</v>
      </c>
      <c r="C6253" s="348" t="s">
        <v>3186</v>
      </c>
      <c r="D6253" s="334" t="s">
        <v>954</v>
      </c>
      <c r="E6253" s="336">
        <v>43766</v>
      </c>
      <c r="F6253" s="336">
        <v>43751</v>
      </c>
      <c r="G6253" s="336">
        <v>43758</v>
      </c>
      <c r="H6253" s="334" t="s">
        <v>14125</v>
      </c>
      <c r="I6253" s="444">
        <v>18621805251</v>
      </c>
      <c r="J6253" s="348" t="s">
        <v>14126</v>
      </c>
      <c r="K6253" s="452">
        <v>1000</v>
      </c>
      <c r="L6253" s="334">
        <v>6981</v>
      </c>
      <c r="M6253" s="334">
        <v>428</v>
      </c>
      <c r="N6253" s="362">
        <f t="shared" si="207"/>
        <v>7409</v>
      </c>
      <c r="X6253" s="339"/>
    </row>
    <row r="6254" s="330" customFormat="1" ht="15" customHeight="1" spans="1:24">
      <c r="A6254" s="550" t="s">
        <v>14127</v>
      </c>
      <c r="B6254" s="348" t="s">
        <v>805</v>
      </c>
      <c r="C6254" s="348" t="s">
        <v>4935</v>
      </c>
      <c r="D6254" s="334" t="s">
        <v>155</v>
      </c>
      <c r="E6254" s="336">
        <v>43754</v>
      </c>
      <c r="F6254" s="336">
        <v>43751</v>
      </c>
      <c r="G6254" s="336">
        <v>43753</v>
      </c>
      <c r="H6254" s="334" t="s">
        <v>1829</v>
      </c>
      <c r="I6254" s="444">
        <v>18621690783</v>
      </c>
      <c r="J6254" s="348" t="s">
        <v>14128</v>
      </c>
      <c r="K6254" s="452">
        <v>1000</v>
      </c>
      <c r="L6254" s="334">
        <v>11468</v>
      </c>
      <c r="M6254" s="338"/>
      <c r="N6254" s="362">
        <f t="shared" si="207"/>
        <v>11468</v>
      </c>
      <c r="X6254" s="339"/>
    </row>
    <row r="6255" s="330" customFormat="1" ht="15" customHeight="1" spans="1:24">
      <c r="A6255" s="348">
        <v>2066259</v>
      </c>
      <c r="B6255" s="348" t="s">
        <v>94</v>
      </c>
      <c r="C6255" s="348" t="s">
        <v>95</v>
      </c>
      <c r="D6255" s="335" t="s">
        <v>407</v>
      </c>
      <c r="E6255" s="336">
        <v>43789</v>
      </c>
      <c r="F6255" s="336">
        <v>43751</v>
      </c>
      <c r="G6255" s="336">
        <v>43789</v>
      </c>
      <c r="H6255" s="334" t="s">
        <v>14129</v>
      </c>
      <c r="I6255" s="444">
        <v>13764996785</v>
      </c>
      <c r="J6255" s="348" t="s">
        <v>14130</v>
      </c>
      <c r="K6255" s="452">
        <v>5000</v>
      </c>
      <c r="L6255" s="334">
        <v>17910</v>
      </c>
      <c r="M6255" s="338"/>
      <c r="N6255" s="362">
        <f t="shared" si="207"/>
        <v>17910</v>
      </c>
      <c r="X6255" s="339"/>
    </row>
    <row r="6256" s="330" customFormat="1" ht="15" customHeight="1" spans="1:24">
      <c r="A6256" s="348"/>
      <c r="B6256" s="348" t="s">
        <v>153</v>
      </c>
      <c r="C6256" s="348" t="s">
        <v>302</v>
      </c>
      <c r="D6256" s="335" t="s">
        <v>155</v>
      </c>
      <c r="E6256" s="336">
        <v>43757</v>
      </c>
      <c r="F6256" s="336">
        <v>43751</v>
      </c>
      <c r="G6256" s="336">
        <v>43757</v>
      </c>
      <c r="H6256" s="334" t="s">
        <v>14131</v>
      </c>
      <c r="I6256" s="444">
        <v>13621806815</v>
      </c>
      <c r="J6256" s="348" t="s">
        <v>14132</v>
      </c>
      <c r="K6256" s="452">
        <v>13800</v>
      </c>
      <c r="L6256" s="334">
        <v>14295</v>
      </c>
      <c r="M6256" s="338"/>
      <c r="N6256" s="362">
        <f t="shared" si="207"/>
        <v>14295</v>
      </c>
      <c r="X6256" s="339"/>
    </row>
    <row r="6257" s="330" customFormat="1" ht="15" customHeight="1" spans="1:24">
      <c r="A6257" s="348"/>
      <c r="B6257" s="348" t="s">
        <v>58</v>
      </c>
      <c r="C6257" s="348" t="s">
        <v>347</v>
      </c>
      <c r="D6257" s="335" t="s">
        <v>343</v>
      </c>
      <c r="E6257" s="336">
        <v>43752</v>
      </c>
      <c r="F6257" s="336">
        <v>43751</v>
      </c>
      <c r="G6257" s="399"/>
      <c r="H6257" s="334" t="s">
        <v>14133</v>
      </c>
      <c r="I6257" s="444">
        <v>18621576182</v>
      </c>
      <c r="J6257" s="348" t="s">
        <v>14134</v>
      </c>
      <c r="K6257" s="452">
        <v>1000</v>
      </c>
      <c r="L6257" s="338"/>
      <c r="M6257" s="338"/>
      <c r="N6257" s="362">
        <f t="shared" si="207"/>
        <v>0</v>
      </c>
      <c r="R6257" s="365"/>
      <c r="U6257" s="353">
        <v>12.9</v>
      </c>
      <c r="X6257" s="339"/>
    </row>
    <row r="6258" s="330" customFormat="1" ht="15" customHeight="1" spans="1:24">
      <c r="A6258" s="550" t="s">
        <v>14135</v>
      </c>
      <c r="B6258" s="348" t="s">
        <v>58</v>
      </c>
      <c r="C6258" s="348" t="s">
        <v>347</v>
      </c>
      <c r="D6258" s="334" t="s">
        <v>110</v>
      </c>
      <c r="E6258" s="336">
        <v>43775</v>
      </c>
      <c r="F6258" s="336">
        <v>43751</v>
      </c>
      <c r="G6258" s="336">
        <v>43774</v>
      </c>
      <c r="H6258" s="334" t="s">
        <v>14136</v>
      </c>
      <c r="I6258" s="444">
        <v>18918103000</v>
      </c>
      <c r="J6258" s="348" t="s">
        <v>14137</v>
      </c>
      <c r="K6258" s="452">
        <v>1000</v>
      </c>
      <c r="L6258" s="334">
        <v>34000</v>
      </c>
      <c r="M6258" s="338"/>
      <c r="N6258" s="362">
        <f t="shared" si="207"/>
        <v>34000</v>
      </c>
      <c r="X6258" s="339"/>
    </row>
    <row r="6259" s="330" customFormat="1" ht="15" customHeight="1" spans="1:24">
      <c r="A6259" s="348"/>
      <c r="B6259" s="348" t="s">
        <v>169</v>
      </c>
      <c r="C6259" s="348" t="s">
        <v>634</v>
      </c>
      <c r="D6259" s="335" t="s">
        <v>635</v>
      </c>
      <c r="E6259" s="336">
        <v>43760</v>
      </c>
      <c r="F6259" s="336">
        <v>43751</v>
      </c>
      <c r="G6259" s="336">
        <v>43760</v>
      </c>
      <c r="H6259" s="334" t="s">
        <v>14138</v>
      </c>
      <c r="I6259" s="444">
        <v>13122959005</v>
      </c>
      <c r="J6259" s="348" t="s">
        <v>14139</v>
      </c>
      <c r="K6259" s="452">
        <v>1000</v>
      </c>
      <c r="L6259" s="334">
        <v>2629</v>
      </c>
      <c r="M6259" s="338"/>
      <c r="N6259" s="362">
        <f t="shared" si="207"/>
        <v>2629</v>
      </c>
      <c r="X6259" s="339"/>
    </row>
    <row r="6260" s="330" customFormat="1" ht="15" customHeight="1" spans="1:24">
      <c r="A6260" s="550" t="s">
        <v>8341</v>
      </c>
      <c r="B6260" s="348" t="s">
        <v>137</v>
      </c>
      <c r="C6260" s="348" t="s">
        <v>2705</v>
      </c>
      <c r="D6260" s="334" t="s">
        <v>2381</v>
      </c>
      <c r="E6260" s="336">
        <v>43752</v>
      </c>
      <c r="F6260" s="336">
        <v>43751</v>
      </c>
      <c r="G6260" s="399">
        <v>43751</v>
      </c>
      <c r="H6260" s="334" t="s">
        <v>14140</v>
      </c>
      <c r="I6260" s="444">
        <v>13601908891</v>
      </c>
      <c r="J6260" s="348" t="s">
        <v>14141</v>
      </c>
      <c r="K6260" s="452">
        <v>1000</v>
      </c>
      <c r="L6260" s="334">
        <v>5362</v>
      </c>
      <c r="M6260" s="338"/>
      <c r="N6260" s="362">
        <f t="shared" si="207"/>
        <v>5362</v>
      </c>
      <c r="X6260" s="339"/>
    </row>
    <row r="6261" s="330" customFormat="1" ht="15" customHeight="1" spans="1:24">
      <c r="A6261" s="348"/>
      <c r="B6261" s="348" t="s">
        <v>169</v>
      </c>
      <c r="C6261" s="348" t="s">
        <v>542</v>
      </c>
      <c r="D6261" s="335" t="s">
        <v>171</v>
      </c>
      <c r="E6261" s="336">
        <v>43792</v>
      </c>
      <c r="F6261" s="336">
        <v>43751</v>
      </c>
      <c r="G6261" s="336">
        <v>43791</v>
      </c>
      <c r="H6261" s="334" t="s">
        <v>14142</v>
      </c>
      <c r="I6261" s="444">
        <v>13761847561</v>
      </c>
      <c r="J6261" s="348" t="s">
        <v>14143</v>
      </c>
      <c r="K6261" s="452">
        <v>5000</v>
      </c>
      <c r="L6261" s="334">
        <v>5000</v>
      </c>
      <c r="M6261" s="334">
        <v>9427</v>
      </c>
      <c r="N6261" s="362">
        <f t="shared" si="207"/>
        <v>14427</v>
      </c>
      <c r="V6261" s="372" t="s">
        <v>765</v>
      </c>
      <c r="X6261" s="339"/>
    </row>
    <row r="6262" s="330" customFormat="1" ht="15" customHeight="1" spans="1:24">
      <c r="A6262" s="348"/>
      <c r="B6262" s="348" t="s">
        <v>66</v>
      </c>
      <c r="C6262" s="348" t="s">
        <v>119</v>
      </c>
      <c r="D6262" s="335" t="s">
        <v>68</v>
      </c>
      <c r="E6262" s="336">
        <v>43771</v>
      </c>
      <c r="F6262" s="336">
        <v>43751</v>
      </c>
      <c r="G6262" s="336">
        <v>43771</v>
      </c>
      <c r="H6262" s="334" t="s">
        <v>14144</v>
      </c>
      <c r="I6262" s="444">
        <v>1362123479</v>
      </c>
      <c r="J6262" s="348" t="s">
        <v>14145</v>
      </c>
      <c r="K6262" s="452">
        <v>1000</v>
      </c>
      <c r="L6262" s="334">
        <v>33115.58</v>
      </c>
      <c r="M6262" s="338"/>
      <c r="N6262" s="362">
        <f t="shared" si="207"/>
        <v>33115.58</v>
      </c>
      <c r="X6262" s="339"/>
    </row>
    <row r="6263" s="330" customFormat="1" ht="15" customHeight="1" spans="1:24">
      <c r="A6263" s="348"/>
      <c r="B6263" s="348" t="s">
        <v>169</v>
      </c>
      <c r="C6263" s="348" t="s">
        <v>634</v>
      </c>
      <c r="D6263" s="335" t="s">
        <v>635</v>
      </c>
      <c r="E6263" s="336">
        <v>43786</v>
      </c>
      <c r="F6263" s="336">
        <v>43751</v>
      </c>
      <c r="G6263" s="336">
        <v>43785</v>
      </c>
      <c r="H6263" s="334" t="s">
        <v>14146</v>
      </c>
      <c r="I6263" s="444">
        <v>13867494044</v>
      </c>
      <c r="J6263" s="348" t="s">
        <v>14147</v>
      </c>
      <c r="K6263" s="452">
        <v>1000</v>
      </c>
      <c r="L6263" s="334">
        <v>12798</v>
      </c>
      <c r="M6263" s="338"/>
      <c r="N6263" s="362">
        <f t="shared" si="207"/>
        <v>12798</v>
      </c>
      <c r="X6263" s="339"/>
    </row>
    <row r="6264" s="330" customFormat="1" ht="15" customHeight="1" spans="1:24">
      <c r="A6264" s="348">
        <v>2067157</v>
      </c>
      <c r="B6264" s="348" t="s">
        <v>123</v>
      </c>
      <c r="C6264" s="348" t="s">
        <v>32</v>
      </c>
      <c r="D6264" s="335" t="s">
        <v>125</v>
      </c>
      <c r="E6264" s="336">
        <v>43752</v>
      </c>
      <c r="F6264" s="336">
        <v>43751</v>
      </c>
      <c r="G6264" s="399"/>
      <c r="H6264" s="334" t="s">
        <v>14148</v>
      </c>
      <c r="I6264" s="444">
        <v>18801922235</v>
      </c>
      <c r="J6264" s="348" t="s">
        <v>14149</v>
      </c>
      <c r="K6264" s="452">
        <v>1000</v>
      </c>
      <c r="L6264" s="338"/>
      <c r="M6264" s="338"/>
      <c r="N6264" s="362">
        <f t="shared" si="207"/>
        <v>0</v>
      </c>
      <c r="O6264" s="353" t="s">
        <v>1608</v>
      </c>
      <c r="Q6264" s="486"/>
      <c r="X6264" s="339"/>
    </row>
    <row r="6265" s="330" customFormat="1" ht="15" customHeight="1" spans="1:24">
      <c r="A6265" s="550" t="s">
        <v>3365</v>
      </c>
      <c r="B6265" s="348" t="s">
        <v>137</v>
      </c>
      <c r="C6265" s="348" t="s">
        <v>138</v>
      </c>
      <c r="D6265" s="335" t="s">
        <v>139</v>
      </c>
      <c r="E6265" s="336">
        <v>43752</v>
      </c>
      <c r="F6265" s="336">
        <v>43751</v>
      </c>
      <c r="G6265" s="399"/>
      <c r="H6265" s="334" t="s">
        <v>14150</v>
      </c>
      <c r="I6265" s="444">
        <v>13817796404</v>
      </c>
      <c r="J6265" s="348" t="s">
        <v>14151</v>
      </c>
      <c r="K6265" s="452">
        <v>1000</v>
      </c>
      <c r="L6265" s="338"/>
      <c r="M6265" s="338"/>
      <c r="N6265" s="362">
        <f t="shared" si="207"/>
        <v>0</v>
      </c>
      <c r="R6265" s="330">
        <v>1</v>
      </c>
      <c r="X6265" s="339"/>
    </row>
    <row r="6266" s="330" customFormat="1" ht="15" customHeight="1" spans="1:24">
      <c r="A6266" s="550" t="s">
        <v>14152</v>
      </c>
      <c r="B6266" s="348" t="s">
        <v>87</v>
      </c>
      <c r="C6266" s="348" t="s">
        <v>10921</v>
      </c>
      <c r="D6266" s="335" t="s">
        <v>89</v>
      </c>
      <c r="E6266" s="336">
        <v>43752</v>
      </c>
      <c r="F6266" s="336">
        <v>43751</v>
      </c>
      <c r="G6266" s="356"/>
      <c r="H6266" s="334" t="s">
        <v>14153</v>
      </c>
      <c r="I6266" s="444">
        <v>13601659222</v>
      </c>
      <c r="J6266" s="348" t="s">
        <v>14154</v>
      </c>
      <c r="K6266" s="452">
        <v>1000</v>
      </c>
      <c r="L6266" s="338"/>
      <c r="M6266" s="338"/>
      <c r="N6266" s="362">
        <f t="shared" si="207"/>
        <v>0</v>
      </c>
      <c r="S6266" s="411"/>
      <c r="U6266" s="353" t="s">
        <v>14155</v>
      </c>
      <c r="X6266" s="339"/>
    </row>
    <row r="6267" s="330" customFormat="1" ht="15" customHeight="1" spans="1:24">
      <c r="A6267" s="550" t="s">
        <v>2227</v>
      </c>
      <c r="B6267" s="348" t="s">
        <v>87</v>
      </c>
      <c r="C6267" s="348" t="s">
        <v>466</v>
      </c>
      <c r="D6267" s="335" t="s">
        <v>89</v>
      </c>
      <c r="E6267" s="336">
        <v>43753</v>
      </c>
      <c r="F6267" s="336">
        <v>43751</v>
      </c>
      <c r="G6267" s="336">
        <v>43753</v>
      </c>
      <c r="H6267" s="334" t="s">
        <v>14156</v>
      </c>
      <c r="I6267" s="444">
        <v>18101764686</v>
      </c>
      <c r="J6267" s="348" t="s">
        <v>14157</v>
      </c>
      <c r="K6267" s="452">
        <v>10000</v>
      </c>
      <c r="L6267" s="334">
        <v>10797</v>
      </c>
      <c r="M6267" s="338"/>
      <c r="N6267" s="362">
        <f t="shared" si="207"/>
        <v>10797</v>
      </c>
      <c r="X6267" s="339"/>
    </row>
    <row r="6268" s="330" customFormat="1" ht="15" customHeight="1" spans="1:24">
      <c r="A6268" s="550" t="s">
        <v>2135</v>
      </c>
      <c r="B6268" s="348" t="s">
        <v>66</v>
      </c>
      <c r="C6268" s="348" t="s">
        <v>3954</v>
      </c>
      <c r="D6268" s="334" t="s">
        <v>68</v>
      </c>
      <c r="E6268" s="336">
        <v>43801</v>
      </c>
      <c r="F6268" s="336">
        <v>43751</v>
      </c>
      <c r="G6268" s="336">
        <v>43800</v>
      </c>
      <c r="H6268" s="334" t="s">
        <v>14158</v>
      </c>
      <c r="I6268" s="444">
        <v>15618899519</v>
      </c>
      <c r="J6268" s="348" t="s">
        <v>14159</v>
      </c>
      <c r="K6268" s="452">
        <v>1000</v>
      </c>
      <c r="L6268" s="334">
        <v>13823</v>
      </c>
      <c r="M6268" s="338"/>
      <c r="N6268" s="362">
        <f t="shared" si="207"/>
        <v>13823</v>
      </c>
      <c r="Q6268" s="330" t="s">
        <v>21</v>
      </c>
      <c r="X6268" s="339"/>
    </row>
    <row r="6269" s="330" customFormat="1" ht="15" customHeight="1" spans="1:24">
      <c r="A6269" s="550" t="s">
        <v>12400</v>
      </c>
      <c r="B6269" s="348" t="s">
        <v>137</v>
      </c>
      <c r="C6269" s="348" t="s">
        <v>426</v>
      </c>
      <c r="D6269" s="335" t="s">
        <v>443</v>
      </c>
      <c r="E6269" s="336">
        <v>43752</v>
      </c>
      <c r="F6269" s="336">
        <v>43751</v>
      </c>
      <c r="G6269" s="399"/>
      <c r="H6269" s="334" t="s">
        <v>14160</v>
      </c>
      <c r="I6269" s="444">
        <v>18917785188</v>
      </c>
      <c r="J6269" s="348" t="s">
        <v>14161</v>
      </c>
      <c r="K6269" s="452">
        <v>1000</v>
      </c>
      <c r="L6269" s="338"/>
      <c r="M6269" s="338"/>
      <c r="N6269" s="362">
        <f t="shared" ref="N6269:N6287" si="208">L6269+M6269</f>
        <v>0</v>
      </c>
      <c r="Q6269" s="330">
        <v>1</v>
      </c>
      <c r="X6269" s="339"/>
    </row>
    <row r="6270" s="330" customFormat="1" ht="15" customHeight="1" spans="1:24">
      <c r="A6270" s="550" t="s">
        <v>11121</v>
      </c>
      <c r="B6270" s="348" t="s">
        <v>137</v>
      </c>
      <c r="C6270" s="348" t="s">
        <v>498</v>
      </c>
      <c r="D6270" s="335" t="s">
        <v>443</v>
      </c>
      <c r="E6270" s="336">
        <v>43752</v>
      </c>
      <c r="F6270" s="336">
        <v>43751</v>
      </c>
      <c r="G6270" s="399"/>
      <c r="H6270" s="334" t="s">
        <v>14162</v>
      </c>
      <c r="I6270" s="444">
        <v>18964009948</v>
      </c>
      <c r="J6270" s="348" t="s">
        <v>14163</v>
      </c>
      <c r="K6270" s="452">
        <v>1000</v>
      </c>
      <c r="L6270" s="338"/>
      <c r="M6270" s="338"/>
      <c r="N6270" s="362">
        <f t="shared" si="208"/>
        <v>0</v>
      </c>
      <c r="Q6270" s="330">
        <v>1</v>
      </c>
      <c r="X6270" s="339"/>
    </row>
    <row r="6271" s="330" customFormat="1" ht="15" customHeight="1" spans="1:24">
      <c r="A6271" s="550" t="s">
        <v>14164</v>
      </c>
      <c r="B6271" s="348" t="s">
        <v>185</v>
      </c>
      <c r="C6271" s="348" t="s">
        <v>1204</v>
      </c>
      <c r="D6271" s="335" t="s">
        <v>44</v>
      </c>
      <c r="E6271" s="336">
        <v>43756</v>
      </c>
      <c r="F6271" s="336">
        <v>43752</v>
      </c>
      <c r="G6271" s="336">
        <v>43754</v>
      </c>
      <c r="H6271" s="334" t="s">
        <v>12263</v>
      </c>
      <c r="I6271" s="444">
        <v>13918764419</v>
      </c>
      <c r="J6271" s="348" t="s">
        <v>14165</v>
      </c>
      <c r="K6271" s="452">
        <v>1000</v>
      </c>
      <c r="L6271" s="334">
        <v>19200</v>
      </c>
      <c r="M6271" s="338"/>
      <c r="N6271" s="362">
        <f t="shared" si="208"/>
        <v>19200</v>
      </c>
      <c r="X6271" s="339"/>
    </row>
    <row r="6272" s="330" customFormat="1" ht="15" customHeight="1" spans="1:24">
      <c r="A6272" s="348"/>
      <c r="B6272" s="348" t="s">
        <v>315</v>
      </c>
      <c r="C6272" s="348" t="s">
        <v>275</v>
      </c>
      <c r="D6272" s="335" t="s">
        <v>162</v>
      </c>
      <c r="E6272" s="336">
        <v>43754</v>
      </c>
      <c r="F6272" s="336">
        <v>43751</v>
      </c>
      <c r="G6272" s="336">
        <v>43751</v>
      </c>
      <c r="H6272" s="334" t="s">
        <v>14166</v>
      </c>
      <c r="I6272" s="444">
        <v>13916396359</v>
      </c>
      <c r="J6272" s="348" t="s">
        <v>14167</v>
      </c>
      <c r="K6272" s="452">
        <v>11590</v>
      </c>
      <c r="L6272" s="334">
        <v>12438</v>
      </c>
      <c r="M6272" s="338"/>
      <c r="N6272" s="362">
        <f t="shared" si="208"/>
        <v>12438</v>
      </c>
      <c r="X6272" s="339"/>
    </row>
    <row r="6273" s="330" customFormat="1" ht="15" customHeight="1" spans="1:24">
      <c r="A6273" s="348"/>
      <c r="B6273" s="348" t="s">
        <v>5336</v>
      </c>
      <c r="C6273" s="348" t="s">
        <v>5336</v>
      </c>
      <c r="D6273" s="334" t="s">
        <v>68</v>
      </c>
      <c r="E6273" s="336">
        <v>43760</v>
      </c>
      <c r="F6273" s="336">
        <v>43752</v>
      </c>
      <c r="G6273" s="336">
        <v>43760</v>
      </c>
      <c r="H6273" s="334" t="s">
        <v>14168</v>
      </c>
      <c r="I6273" s="444">
        <v>18117522050</v>
      </c>
      <c r="J6273" s="348" t="s">
        <v>14169</v>
      </c>
      <c r="K6273" s="452">
        <v>7154</v>
      </c>
      <c r="L6273" s="334">
        <v>10782</v>
      </c>
      <c r="M6273" s="338"/>
      <c r="N6273" s="362">
        <f t="shared" si="208"/>
        <v>10782</v>
      </c>
      <c r="X6273" s="339"/>
    </row>
    <row r="6274" s="330" customFormat="1" ht="15" customHeight="1" spans="1:24">
      <c r="A6274" s="348"/>
      <c r="B6274" s="348" t="s">
        <v>315</v>
      </c>
      <c r="C6274" s="348" t="s">
        <v>275</v>
      </c>
      <c r="D6274" s="334" t="s">
        <v>1431</v>
      </c>
      <c r="E6274" s="336">
        <v>43794</v>
      </c>
      <c r="F6274" s="336">
        <v>43745</v>
      </c>
      <c r="G6274" s="336">
        <v>43793</v>
      </c>
      <c r="H6274" s="334" t="s">
        <v>14170</v>
      </c>
      <c r="I6274" s="444">
        <v>15000283987</v>
      </c>
      <c r="J6274" s="348" t="s">
        <v>14171</v>
      </c>
      <c r="K6274" s="452">
        <v>1000</v>
      </c>
      <c r="L6274" s="334">
        <v>12332</v>
      </c>
      <c r="M6274" s="338"/>
      <c r="N6274" s="362">
        <f t="shared" si="208"/>
        <v>12332</v>
      </c>
      <c r="X6274" s="339"/>
    </row>
    <row r="6275" s="330" customFormat="1" ht="15" customHeight="1" spans="1:24">
      <c r="A6275" s="348"/>
      <c r="B6275" s="348" t="s">
        <v>315</v>
      </c>
      <c r="C6275" s="348" t="s">
        <v>275</v>
      </c>
      <c r="D6275" s="334" t="s">
        <v>149</v>
      </c>
      <c r="E6275" s="336">
        <v>43773</v>
      </c>
      <c r="F6275" s="336">
        <v>43751</v>
      </c>
      <c r="G6275" s="336">
        <v>43773</v>
      </c>
      <c r="H6275" s="334" t="s">
        <v>14172</v>
      </c>
      <c r="I6275" s="444">
        <v>13816492554</v>
      </c>
      <c r="J6275" s="348" t="s">
        <v>14173</v>
      </c>
      <c r="K6275" s="452">
        <v>2330</v>
      </c>
      <c r="L6275" s="334">
        <v>4074</v>
      </c>
      <c r="M6275" s="338"/>
      <c r="N6275" s="362">
        <f t="shared" si="208"/>
        <v>4074</v>
      </c>
      <c r="X6275" s="339"/>
    </row>
    <row r="6276" s="330" customFormat="1" ht="15" customHeight="1" spans="1:24">
      <c r="A6276" s="550" t="s">
        <v>14174</v>
      </c>
      <c r="B6276" s="348" t="s">
        <v>31</v>
      </c>
      <c r="C6276" s="334" t="s">
        <v>2716</v>
      </c>
      <c r="D6276" s="334" t="s">
        <v>33</v>
      </c>
      <c r="E6276" s="336">
        <v>43799</v>
      </c>
      <c r="F6276" s="336">
        <v>43751</v>
      </c>
      <c r="G6276" s="336">
        <v>43799</v>
      </c>
      <c r="H6276" s="334" t="s">
        <v>14175</v>
      </c>
      <c r="I6276" s="444">
        <v>13013722911</v>
      </c>
      <c r="J6276" s="348" t="s">
        <v>14176</v>
      </c>
      <c r="K6276" s="452">
        <v>600</v>
      </c>
      <c r="L6276" s="334">
        <v>4099</v>
      </c>
      <c r="M6276" s="338"/>
      <c r="N6276" s="362">
        <f t="shared" si="208"/>
        <v>4099</v>
      </c>
      <c r="X6276" s="339"/>
    </row>
    <row r="6277" s="330" customFormat="1" ht="15" customHeight="1" spans="1:24">
      <c r="A6277" s="550" t="s">
        <v>14177</v>
      </c>
      <c r="B6277" s="348" t="s">
        <v>58</v>
      </c>
      <c r="C6277" s="348" t="s">
        <v>347</v>
      </c>
      <c r="D6277" s="335" t="s">
        <v>343</v>
      </c>
      <c r="E6277" s="336">
        <v>43768</v>
      </c>
      <c r="F6277" s="336">
        <v>43751</v>
      </c>
      <c r="G6277" s="336">
        <v>43767</v>
      </c>
      <c r="H6277" s="334" t="s">
        <v>14178</v>
      </c>
      <c r="I6277" s="444">
        <v>13310082316</v>
      </c>
      <c r="J6277" s="348" t="s">
        <v>14179</v>
      </c>
      <c r="K6277" s="452">
        <v>9000</v>
      </c>
      <c r="L6277" s="334">
        <v>9000</v>
      </c>
      <c r="M6277" s="338"/>
      <c r="N6277" s="362">
        <f t="shared" si="208"/>
        <v>9000</v>
      </c>
      <c r="X6277" s="339"/>
    </row>
    <row r="6278" s="330" customFormat="1" ht="15" customHeight="1" spans="1:24">
      <c r="A6278" s="550" t="s">
        <v>14180</v>
      </c>
      <c r="B6278" s="348" t="s">
        <v>58</v>
      </c>
      <c r="C6278" s="348" t="s">
        <v>347</v>
      </c>
      <c r="D6278" s="335" t="s">
        <v>343</v>
      </c>
      <c r="E6278" s="336">
        <v>43759</v>
      </c>
      <c r="F6278" s="336">
        <v>43751</v>
      </c>
      <c r="G6278" s="336">
        <v>43758</v>
      </c>
      <c r="H6278" s="334" t="s">
        <v>14181</v>
      </c>
      <c r="I6278" s="444">
        <v>18917781898</v>
      </c>
      <c r="J6278" s="348" t="s">
        <v>14182</v>
      </c>
      <c r="K6278" s="452">
        <v>20000</v>
      </c>
      <c r="L6278" s="334">
        <v>36000</v>
      </c>
      <c r="M6278" s="338"/>
      <c r="N6278" s="362">
        <f t="shared" si="208"/>
        <v>36000</v>
      </c>
      <c r="X6278" s="339"/>
    </row>
    <row r="6279" s="330" customFormat="1" ht="15" customHeight="1" spans="1:24">
      <c r="A6279" s="348"/>
      <c r="B6279" s="348" t="s">
        <v>2625</v>
      </c>
      <c r="C6279" s="348" t="s">
        <v>2626</v>
      </c>
      <c r="D6279" s="335" t="s">
        <v>44</v>
      </c>
      <c r="E6279" s="336">
        <v>43753</v>
      </c>
      <c r="F6279" s="336">
        <v>43751</v>
      </c>
      <c r="G6279" s="336">
        <v>43753</v>
      </c>
      <c r="H6279" s="334" t="s">
        <v>14183</v>
      </c>
      <c r="I6279" s="444">
        <v>13818484318</v>
      </c>
      <c r="J6279" s="348" t="s">
        <v>14184</v>
      </c>
      <c r="K6279" s="452">
        <v>1000</v>
      </c>
      <c r="L6279" s="334">
        <v>9400</v>
      </c>
      <c r="M6279" s="338"/>
      <c r="N6279" s="362">
        <f t="shared" si="208"/>
        <v>9400</v>
      </c>
      <c r="X6279" s="339"/>
    </row>
    <row r="6280" s="330" customFormat="1" ht="15" customHeight="1" spans="1:24">
      <c r="A6280" s="550" t="s">
        <v>1943</v>
      </c>
      <c r="B6280" s="348" t="s">
        <v>185</v>
      </c>
      <c r="C6280" s="348" t="s">
        <v>14185</v>
      </c>
      <c r="D6280" s="334" t="s">
        <v>44</v>
      </c>
      <c r="E6280" s="336">
        <v>43799</v>
      </c>
      <c r="F6280" s="336">
        <v>43752</v>
      </c>
      <c r="G6280" s="336">
        <v>43797</v>
      </c>
      <c r="H6280" s="334" t="s">
        <v>14186</v>
      </c>
      <c r="I6280" s="444">
        <v>15026784188</v>
      </c>
      <c r="J6280" s="348" t="s">
        <v>14187</v>
      </c>
      <c r="K6280" s="452">
        <v>500000</v>
      </c>
      <c r="L6280" s="334">
        <v>23078</v>
      </c>
      <c r="M6280" s="338"/>
      <c r="N6280" s="362">
        <f t="shared" si="208"/>
        <v>23078</v>
      </c>
      <c r="X6280" s="339"/>
    </row>
    <row r="6281" s="330" customFormat="1" ht="15" customHeight="1" spans="1:24">
      <c r="A6281" s="550" t="s">
        <v>14188</v>
      </c>
      <c r="B6281" s="348" t="s">
        <v>66</v>
      </c>
      <c r="C6281" s="348" t="s">
        <v>505</v>
      </c>
      <c r="D6281" s="334" t="s">
        <v>2302</v>
      </c>
      <c r="E6281" s="336">
        <v>43769</v>
      </c>
      <c r="F6281" s="336">
        <v>43752</v>
      </c>
      <c r="G6281" s="336">
        <v>43768</v>
      </c>
      <c r="H6281" s="334" t="s">
        <v>14189</v>
      </c>
      <c r="I6281" s="444">
        <v>13651910525</v>
      </c>
      <c r="J6281" s="348" t="s">
        <v>14190</v>
      </c>
      <c r="K6281" s="452">
        <v>9079</v>
      </c>
      <c r="L6281" s="334">
        <v>9079</v>
      </c>
      <c r="M6281" s="338"/>
      <c r="N6281" s="362">
        <f t="shared" si="208"/>
        <v>9079</v>
      </c>
      <c r="X6281" s="339"/>
    </row>
    <row r="6282" s="330" customFormat="1" ht="15" customHeight="1" spans="1:24">
      <c r="A6282" s="334"/>
      <c r="B6282" s="334" t="s">
        <v>58</v>
      </c>
      <c r="C6282" s="334" t="s">
        <v>342</v>
      </c>
      <c r="D6282" s="334" t="s">
        <v>343</v>
      </c>
      <c r="E6282" s="336">
        <v>43752</v>
      </c>
      <c r="F6282" s="336" t="s">
        <v>800</v>
      </c>
      <c r="G6282" s="336">
        <v>43750</v>
      </c>
      <c r="H6282" s="334" t="s">
        <v>8909</v>
      </c>
      <c r="I6282" s="334">
        <v>13764163870</v>
      </c>
      <c r="J6282" s="334" t="s">
        <v>8910</v>
      </c>
      <c r="K6282" s="337"/>
      <c r="L6282" s="338"/>
      <c r="M6282" s="334">
        <v>196</v>
      </c>
      <c r="N6282" s="362">
        <f t="shared" si="208"/>
        <v>196</v>
      </c>
      <c r="X6282" s="339"/>
    </row>
    <row r="6283" s="330" customFormat="1" ht="15" customHeight="1" spans="1:24">
      <c r="A6283" s="334"/>
      <c r="B6283" s="334" t="s">
        <v>58</v>
      </c>
      <c r="C6283" s="334" t="s">
        <v>347</v>
      </c>
      <c r="D6283" s="334" t="s">
        <v>343</v>
      </c>
      <c r="E6283" s="336">
        <v>43752</v>
      </c>
      <c r="F6283" s="336"/>
      <c r="G6283" s="336">
        <v>43746</v>
      </c>
      <c r="H6283" s="334" t="s">
        <v>14191</v>
      </c>
      <c r="I6283" s="334">
        <v>18621776772</v>
      </c>
      <c r="J6283" s="334" t="s">
        <v>14192</v>
      </c>
      <c r="K6283" s="337"/>
      <c r="L6283" s="334">
        <v>7277</v>
      </c>
      <c r="M6283" s="338"/>
      <c r="N6283" s="362">
        <f t="shared" si="208"/>
        <v>7277</v>
      </c>
      <c r="X6283" s="339"/>
    </row>
    <row r="6284" s="330" customFormat="1" ht="15" customHeight="1" spans="1:24">
      <c r="A6284" s="334"/>
      <c r="B6284" s="334" t="s">
        <v>58</v>
      </c>
      <c r="C6284" s="334" t="s">
        <v>342</v>
      </c>
      <c r="D6284" s="334" t="s">
        <v>343</v>
      </c>
      <c r="E6284" s="336">
        <v>43752</v>
      </c>
      <c r="F6284" s="336"/>
      <c r="G6284" s="336">
        <v>43751</v>
      </c>
      <c r="H6284" s="334" t="s">
        <v>14193</v>
      </c>
      <c r="I6284" s="334">
        <v>13611873091</v>
      </c>
      <c r="J6284" s="334" t="s">
        <v>14194</v>
      </c>
      <c r="K6284" s="337"/>
      <c r="L6284" s="334">
        <v>8885</v>
      </c>
      <c r="M6284" s="338"/>
      <c r="N6284" s="362">
        <f t="shared" si="208"/>
        <v>8885</v>
      </c>
      <c r="X6284" s="339"/>
    </row>
    <row r="6285" s="330" customFormat="1" ht="15" customHeight="1" spans="1:24">
      <c r="A6285" s="334"/>
      <c r="B6285" s="334" t="s">
        <v>354</v>
      </c>
      <c r="C6285" s="334" t="s">
        <v>355</v>
      </c>
      <c r="D6285" s="334" t="s">
        <v>182</v>
      </c>
      <c r="E6285" s="336">
        <v>43752</v>
      </c>
      <c r="F6285" s="336"/>
      <c r="G6285" s="336">
        <v>43752</v>
      </c>
      <c r="H6285" s="334" t="s">
        <v>14195</v>
      </c>
      <c r="I6285" s="334">
        <v>13601689252</v>
      </c>
      <c r="J6285" s="334" t="s">
        <v>14196</v>
      </c>
      <c r="K6285" s="337"/>
      <c r="L6285" s="334">
        <v>6803</v>
      </c>
      <c r="M6285" s="338"/>
      <c r="N6285" s="362">
        <f t="shared" si="208"/>
        <v>6803</v>
      </c>
      <c r="X6285" s="339"/>
    </row>
    <row r="6286" s="330" customFormat="1" ht="15" customHeight="1" spans="1:24">
      <c r="A6286" s="334"/>
      <c r="B6286" s="348" t="s">
        <v>281</v>
      </c>
      <c r="C6286" s="348" t="s">
        <v>491</v>
      </c>
      <c r="D6286" s="349" t="s">
        <v>143</v>
      </c>
      <c r="E6286" s="336">
        <v>43752</v>
      </c>
      <c r="F6286" s="336" t="s">
        <v>800</v>
      </c>
      <c r="G6286" s="336">
        <v>43749</v>
      </c>
      <c r="H6286" s="334" t="s">
        <v>3412</v>
      </c>
      <c r="I6286" s="334">
        <v>18017113588</v>
      </c>
      <c r="J6286" s="348" t="s">
        <v>14197</v>
      </c>
      <c r="K6286" s="337"/>
      <c r="L6286" s="338"/>
      <c r="M6286" s="334">
        <v>1723</v>
      </c>
      <c r="N6286" s="362">
        <f t="shared" si="208"/>
        <v>1723</v>
      </c>
      <c r="X6286" s="339"/>
    </row>
    <row r="6287" s="330" customFormat="1" ht="15" customHeight="1" spans="1:24">
      <c r="A6287" s="334"/>
      <c r="B6287" s="334" t="s">
        <v>243</v>
      </c>
      <c r="C6287" s="334" t="s">
        <v>304</v>
      </c>
      <c r="D6287" s="334" t="s">
        <v>49</v>
      </c>
      <c r="E6287" s="336">
        <v>43752</v>
      </c>
      <c r="F6287" s="336" t="s">
        <v>800</v>
      </c>
      <c r="G6287" s="336">
        <v>43751</v>
      </c>
      <c r="H6287" s="334" t="s">
        <v>14198</v>
      </c>
      <c r="I6287" s="334">
        <v>13817266978</v>
      </c>
      <c r="J6287" s="334" t="s">
        <v>13855</v>
      </c>
      <c r="K6287" s="337"/>
      <c r="L6287" s="338"/>
      <c r="M6287" s="334">
        <v>-1779</v>
      </c>
      <c r="N6287" s="362">
        <f t="shared" ref="N6287:N6306" si="209">L6287+M6287</f>
        <v>-1779</v>
      </c>
      <c r="X6287" s="339"/>
    </row>
    <row r="6288" s="330" customFormat="1" ht="15" customHeight="1" spans="1:24">
      <c r="A6288" s="334"/>
      <c r="B6288" s="334" t="s">
        <v>35</v>
      </c>
      <c r="C6288" s="334" t="s">
        <v>392</v>
      </c>
      <c r="D6288" s="334" t="s">
        <v>37</v>
      </c>
      <c r="E6288" s="336">
        <v>43752</v>
      </c>
      <c r="F6288" s="336" t="s">
        <v>800</v>
      </c>
      <c r="G6288" s="336">
        <v>43749</v>
      </c>
      <c r="H6288" s="334" t="s">
        <v>12216</v>
      </c>
      <c r="I6288" s="334">
        <v>18930520567</v>
      </c>
      <c r="J6288" s="334" t="s">
        <v>12217</v>
      </c>
      <c r="K6288" s="337"/>
      <c r="L6288" s="338"/>
      <c r="M6288" s="334">
        <v>3111</v>
      </c>
      <c r="N6288" s="362">
        <f t="shared" si="209"/>
        <v>3111</v>
      </c>
      <c r="X6288" s="339"/>
    </row>
    <row r="6289" s="330" customFormat="1" ht="15" customHeight="1" spans="1:24">
      <c r="A6289" s="334"/>
      <c r="B6289" s="334" t="s">
        <v>35</v>
      </c>
      <c r="C6289" s="334" t="s">
        <v>328</v>
      </c>
      <c r="D6289" s="334" t="s">
        <v>37</v>
      </c>
      <c r="E6289" s="336">
        <v>43752</v>
      </c>
      <c r="F6289" s="336" t="s">
        <v>800</v>
      </c>
      <c r="G6289" s="336">
        <v>43751</v>
      </c>
      <c r="H6289" s="334" t="s">
        <v>11768</v>
      </c>
      <c r="I6289" s="334">
        <v>13661540412</v>
      </c>
      <c r="J6289" s="334" t="s">
        <v>14199</v>
      </c>
      <c r="K6289" s="337"/>
      <c r="L6289" s="338"/>
      <c r="M6289" s="334">
        <v>1248</v>
      </c>
      <c r="N6289" s="362">
        <f t="shared" si="209"/>
        <v>1248</v>
      </c>
      <c r="X6289" s="339"/>
    </row>
    <row r="6290" s="330" customFormat="1" ht="15" customHeight="1" spans="1:24">
      <c r="A6290" s="334"/>
      <c r="B6290" s="334" t="s">
        <v>42</v>
      </c>
      <c r="C6290" s="334" t="s">
        <v>12765</v>
      </c>
      <c r="D6290" s="334" t="s">
        <v>207</v>
      </c>
      <c r="E6290" s="336">
        <v>43752</v>
      </c>
      <c r="F6290" s="336" t="s">
        <v>800</v>
      </c>
      <c r="G6290" s="336">
        <v>43742</v>
      </c>
      <c r="H6290" s="334" t="s">
        <v>12766</v>
      </c>
      <c r="I6290" s="334">
        <v>13371896955</v>
      </c>
      <c r="J6290" s="334" t="s">
        <v>14200</v>
      </c>
      <c r="K6290" s="337"/>
      <c r="L6290" s="338"/>
      <c r="M6290" s="334">
        <v>5167</v>
      </c>
      <c r="N6290" s="362">
        <f t="shared" si="209"/>
        <v>5167</v>
      </c>
      <c r="X6290" s="339"/>
    </row>
    <row r="6291" s="330" customFormat="1" ht="15" customHeight="1" spans="1:24">
      <c r="A6291" s="334"/>
      <c r="B6291" s="334" t="s">
        <v>31</v>
      </c>
      <c r="C6291" s="334" t="s">
        <v>251</v>
      </c>
      <c r="D6291" s="334" t="s">
        <v>954</v>
      </c>
      <c r="E6291" s="336">
        <v>43752</v>
      </c>
      <c r="F6291" s="336" t="s">
        <v>800</v>
      </c>
      <c r="G6291" s="336">
        <v>43751</v>
      </c>
      <c r="H6291" s="334" t="s">
        <v>13844</v>
      </c>
      <c r="I6291" s="334">
        <v>13817292987</v>
      </c>
      <c r="J6291" s="348" t="s">
        <v>14201</v>
      </c>
      <c r="K6291" s="337"/>
      <c r="L6291" s="338"/>
      <c r="M6291" s="334">
        <v>7325</v>
      </c>
      <c r="N6291" s="362">
        <f t="shared" si="209"/>
        <v>7325</v>
      </c>
      <c r="X6291" s="339"/>
    </row>
    <row r="6292" s="330" customFormat="1" ht="15" customHeight="1" spans="1:24">
      <c r="A6292" s="334"/>
      <c r="B6292" s="334" t="s">
        <v>73</v>
      </c>
      <c r="C6292" s="334" t="s">
        <v>178</v>
      </c>
      <c r="D6292" s="334" t="s">
        <v>717</v>
      </c>
      <c r="E6292" s="336">
        <v>43752</v>
      </c>
      <c r="F6292" s="336" t="s">
        <v>800</v>
      </c>
      <c r="G6292" s="336">
        <v>43752</v>
      </c>
      <c r="H6292" s="334" t="s">
        <v>5773</v>
      </c>
      <c r="I6292" s="334">
        <v>13361999233</v>
      </c>
      <c r="J6292" s="334" t="s">
        <v>14202</v>
      </c>
      <c r="K6292" s="337"/>
      <c r="L6292" s="338"/>
      <c r="M6292" s="334">
        <v>3765</v>
      </c>
      <c r="N6292" s="362">
        <f t="shared" si="209"/>
        <v>3765</v>
      </c>
      <c r="X6292" s="339"/>
    </row>
    <row r="6293" s="330" customFormat="1" ht="15" customHeight="1" spans="1:24">
      <c r="A6293" s="334"/>
      <c r="B6293" s="334" t="s">
        <v>58</v>
      </c>
      <c r="C6293" s="334" t="s">
        <v>347</v>
      </c>
      <c r="D6293" s="334" t="s">
        <v>110</v>
      </c>
      <c r="E6293" s="336">
        <v>43752</v>
      </c>
      <c r="F6293" s="336" t="s">
        <v>800</v>
      </c>
      <c r="G6293" s="336">
        <v>43752</v>
      </c>
      <c r="H6293" s="334" t="s">
        <v>5291</v>
      </c>
      <c r="I6293" s="356">
        <v>13601992199</v>
      </c>
      <c r="J6293" s="348" t="s">
        <v>5292</v>
      </c>
      <c r="K6293" s="337"/>
      <c r="L6293" s="338"/>
      <c r="M6293" s="334">
        <v>800</v>
      </c>
      <c r="N6293" s="362">
        <f t="shared" si="209"/>
        <v>800</v>
      </c>
      <c r="X6293" s="339"/>
    </row>
    <row r="6294" s="330" customFormat="1" ht="15" customHeight="1" spans="1:24">
      <c r="A6294" s="334"/>
      <c r="B6294" s="334" t="s">
        <v>315</v>
      </c>
      <c r="C6294" s="334" t="s">
        <v>275</v>
      </c>
      <c r="D6294" s="334" t="s">
        <v>162</v>
      </c>
      <c r="E6294" s="336">
        <v>43752</v>
      </c>
      <c r="F6294" s="336" t="s">
        <v>800</v>
      </c>
      <c r="G6294" s="336">
        <v>43751</v>
      </c>
      <c r="H6294" s="334" t="s">
        <v>14203</v>
      </c>
      <c r="I6294" s="334">
        <v>18012188800</v>
      </c>
      <c r="J6294" s="334" t="s">
        <v>14204</v>
      </c>
      <c r="K6294" s="337"/>
      <c r="L6294" s="338"/>
      <c r="M6294" s="334">
        <v>-1061</v>
      </c>
      <c r="N6294" s="362">
        <f t="shared" si="209"/>
        <v>-1061</v>
      </c>
      <c r="X6294" s="339"/>
    </row>
    <row r="6295" s="330" customFormat="1" ht="15" customHeight="1" spans="1:24">
      <c r="A6295" s="334"/>
      <c r="B6295" s="334" t="s">
        <v>169</v>
      </c>
      <c r="C6295" s="334" t="s">
        <v>634</v>
      </c>
      <c r="D6295" s="334" t="s">
        <v>171</v>
      </c>
      <c r="E6295" s="336">
        <v>43752</v>
      </c>
      <c r="F6295" s="336" t="s">
        <v>800</v>
      </c>
      <c r="G6295" s="336">
        <v>43751</v>
      </c>
      <c r="H6295" s="334" t="s">
        <v>14205</v>
      </c>
      <c r="I6295" s="334">
        <v>13456856318</v>
      </c>
      <c r="J6295" s="334" t="s">
        <v>14206</v>
      </c>
      <c r="K6295" s="337"/>
      <c r="L6295" s="338"/>
      <c r="M6295" s="334">
        <v>2504</v>
      </c>
      <c r="N6295" s="362">
        <f t="shared" si="209"/>
        <v>2504</v>
      </c>
      <c r="X6295" s="339"/>
    </row>
    <row r="6296" s="330" customFormat="1" ht="15" customHeight="1" spans="1:24">
      <c r="A6296" s="334"/>
      <c r="B6296" s="334" t="s">
        <v>169</v>
      </c>
      <c r="C6296" s="334" t="s">
        <v>634</v>
      </c>
      <c r="D6296" s="334" t="s">
        <v>635</v>
      </c>
      <c r="E6296" s="336">
        <v>43752</v>
      </c>
      <c r="F6296" s="336" t="s">
        <v>800</v>
      </c>
      <c r="G6296" s="336">
        <v>43750</v>
      </c>
      <c r="H6296" s="334" t="s">
        <v>11581</v>
      </c>
      <c r="I6296" s="334">
        <v>13817602785</v>
      </c>
      <c r="J6296" s="334" t="s">
        <v>14207</v>
      </c>
      <c r="K6296" s="337"/>
      <c r="L6296" s="338"/>
      <c r="M6296" s="334">
        <v>749</v>
      </c>
      <c r="N6296" s="362">
        <f t="shared" si="209"/>
        <v>749</v>
      </c>
      <c r="X6296" s="339"/>
    </row>
    <row r="6297" s="330" customFormat="1" ht="15" customHeight="1" spans="1:24">
      <c r="A6297" s="334"/>
      <c r="B6297" s="334" t="s">
        <v>123</v>
      </c>
      <c r="C6297" s="334" t="s">
        <v>32</v>
      </c>
      <c r="D6297" s="334" t="s">
        <v>125</v>
      </c>
      <c r="E6297" s="336">
        <v>43752</v>
      </c>
      <c r="F6297" s="336" t="s">
        <v>800</v>
      </c>
      <c r="G6297" s="336">
        <v>43752</v>
      </c>
      <c r="H6297" s="334" t="s">
        <v>2846</v>
      </c>
      <c r="I6297" s="444">
        <v>18601630255</v>
      </c>
      <c r="J6297" s="348" t="s">
        <v>14208</v>
      </c>
      <c r="K6297" s="337"/>
      <c r="L6297" s="338"/>
      <c r="M6297" s="334">
        <v>3524</v>
      </c>
      <c r="N6297" s="362">
        <f t="shared" si="209"/>
        <v>3524</v>
      </c>
      <c r="X6297" s="339"/>
    </row>
    <row r="6298" s="330" customFormat="1" ht="15" customHeight="1" spans="1:24">
      <c r="A6298" s="334"/>
      <c r="B6298" s="334" t="s">
        <v>66</v>
      </c>
      <c r="C6298" s="334" t="s">
        <v>1749</v>
      </c>
      <c r="D6298" s="334" t="s">
        <v>68</v>
      </c>
      <c r="E6298" s="336">
        <v>43752</v>
      </c>
      <c r="F6298" s="336" t="s">
        <v>800</v>
      </c>
      <c r="G6298" s="336">
        <v>43752</v>
      </c>
      <c r="H6298" s="334" t="s">
        <v>12786</v>
      </c>
      <c r="I6298" s="426">
        <v>13801705796</v>
      </c>
      <c r="J6298" s="334" t="s">
        <v>12787</v>
      </c>
      <c r="K6298" s="337"/>
      <c r="L6298" s="338"/>
      <c r="M6298" s="334">
        <v>1250</v>
      </c>
      <c r="N6298" s="362">
        <f t="shared" si="209"/>
        <v>1250</v>
      </c>
      <c r="X6298" s="339"/>
    </row>
    <row r="6299" s="330" customFormat="1" ht="15" customHeight="1" spans="1:24">
      <c r="A6299" s="334"/>
      <c r="B6299" s="334" t="s">
        <v>66</v>
      </c>
      <c r="C6299" s="334" t="s">
        <v>119</v>
      </c>
      <c r="D6299" s="334" t="s">
        <v>68</v>
      </c>
      <c r="E6299" s="336">
        <v>43752</v>
      </c>
      <c r="F6299" s="336" t="s">
        <v>800</v>
      </c>
      <c r="G6299" s="336">
        <v>43752</v>
      </c>
      <c r="H6299" s="334" t="s">
        <v>14209</v>
      </c>
      <c r="I6299" s="334">
        <v>13335765316</v>
      </c>
      <c r="J6299" s="334" t="s">
        <v>14210</v>
      </c>
      <c r="K6299" s="337"/>
      <c r="L6299" s="338"/>
      <c r="M6299" s="334">
        <v>1999</v>
      </c>
      <c r="N6299" s="362">
        <f t="shared" si="209"/>
        <v>1999</v>
      </c>
      <c r="X6299" s="339"/>
    </row>
    <row r="6300" s="330" customFormat="1" ht="15" customHeight="1" spans="1:24">
      <c r="A6300" s="334"/>
      <c r="B6300" s="334" t="s">
        <v>58</v>
      </c>
      <c r="C6300" s="334" t="s">
        <v>347</v>
      </c>
      <c r="D6300" s="334" t="s">
        <v>343</v>
      </c>
      <c r="E6300" s="336">
        <v>43752</v>
      </c>
      <c r="F6300" s="336" t="s">
        <v>800</v>
      </c>
      <c r="G6300" s="336">
        <v>43751</v>
      </c>
      <c r="H6300" s="334" t="s">
        <v>12028</v>
      </c>
      <c r="I6300" s="334">
        <v>18121299482</v>
      </c>
      <c r="J6300" s="334" t="s">
        <v>14211</v>
      </c>
      <c r="K6300" s="337"/>
      <c r="L6300" s="338"/>
      <c r="M6300" s="334">
        <v>2800</v>
      </c>
      <c r="N6300" s="362">
        <f t="shared" si="209"/>
        <v>2800</v>
      </c>
      <c r="X6300" s="339"/>
    </row>
    <row r="6301" s="330" customFormat="1" ht="15" customHeight="1" spans="1:24">
      <c r="A6301" s="334"/>
      <c r="B6301" s="334" t="s">
        <v>35</v>
      </c>
      <c r="C6301" s="334" t="s">
        <v>392</v>
      </c>
      <c r="D6301" s="334" t="s">
        <v>37</v>
      </c>
      <c r="E6301" s="336">
        <v>43752</v>
      </c>
      <c r="F6301" s="336" t="s">
        <v>800</v>
      </c>
      <c r="G6301" s="336">
        <v>43751</v>
      </c>
      <c r="H6301" s="334" t="s">
        <v>9124</v>
      </c>
      <c r="I6301" s="334">
        <v>13916704781</v>
      </c>
      <c r="J6301" s="334" t="s">
        <v>14212</v>
      </c>
      <c r="K6301" s="337"/>
      <c r="L6301" s="338"/>
      <c r="M6301" s="334">
        <v>1431</v>
      </c>
      <c r="N6301" s="362">
        <f t="shared" si="209"/>
        <v>1431</v>
      </c>
      <c r="X6301" s="339"/>
    </row>
    <row r="6302" s="330" customFormat="1" ht="15" customHeight="1" spans="1:24">
      <c r="A6302" s="334"/>
      <c r="B6302" s="334" t="s">
        <v>73</v>
      </c>
      <c r="C6302" s="334" t="s">
        <v>74</v>
      </c>
      <c r="D6302" s="334" t="s">
        <v>717</v>
      </c>
      <c r="E6302" s="336">
        <v>43752</v>
      </c>
      <c r="F6302" s="336" t="s">
        <v>800</v>
      </c>
      <c r="G6302" s="336">
        <v>43751</v>
      </c>
      <c r="H6302" s="334" t="s">
        <v>8046</v>
      </c>
      <c r="I6302" s="334">
        <v>13611661633</v>
      </c>
      <c r="J6302" s="334" t="s">
        <v>14213</v>
      </c>
      <c r="K6302" s="337"/>
      <c r="L6302" s="338"/>
      <c r="M6302" s="334">
        <v>1049</v>
      </c>
      <c r="N6302" s="362">
        <f t="shared" si="209"/>
        <v>1049</v>
      </c>
      <c r="X6302" s="339"/>
    </row>
    <row r="6303" s="330" customFormat="1" ht="15" customHeight="1" spans="1:24">
      <c r="A6303" s="334"/>
      <c r="B6303" s="334" t="s">
        <v>73</v>
      </c>
      <c r="C6303" s="334" t="s">
        <v>74</v>
      </c>
      <c r="D6303" s="334" t="s">
        <v>717</v>
      </c>
      <c r="E6303" s="336">
        <v>43752</v>
      </c>
      <c r="F6303" s="336" t="s">
        <v>800</v>
      </c>
      <c r="G6303" s="336">
        <v>43750</v>
      </c>
      <c r="H6303" s="334" t="s">
        <v>1864</v>
      </c>
      <c r="I6303" s="334">
        <v>13817919821</v>
      </c>
      <c r="J6303" s="334" t="s">
        <v>14214</v>
      </c>
      <c r="K6303" s="337"/>
      <c r="L6303" s="338"/>
      <c r="M6303" s="334">
        <v>-2954</v>
      </c>
      <c r="N6303" s="362">
        <f t="shared" si="209"/>
        <v>-2954</v>
      </c>
      <c r="X6303" s="339"/>
    </row>
    <row r="6304" s="330" customFormat="1" ht="15" customHeight="1" spans="1:24">
      <c r="A6304" s="334"/>
      <c r="B6304" s="334" t="s">
        <v>354</v>
      </c>
      <c r="C6304" s="334" t="s">
        <v>355</v>
      </c>
      <c r="D6304" s="334" t="s">
        <v>237</v>
      </c>
      <c r="E6304" s="336">
        <v>43752</v>
      </c>
      <c r="F6304" s="336" t="s">
        <v>800</v>
      </c>
      <c r="G6304" s="336">
        <v>43750</v>
      </c>
      <c r="H6304" s="334" t="s">
        <v>11957</v>
      </c>
      <c r="I6304" s="334">
        <v>13472522408</v>
      </c>
      <c r="J6304" s="334" t="s">
        <v>11958</v>
      </c>
      <c r="K6304" s="337"/>
      <c r="L6304" s="338"/>
      <c r="M6304" s="334">
        <v>173</v>
      </c>
      <c r="N6304" s="362">
        <f t="shared" si="209"/>
        <v>173</v>
      </c>
      <c r="X6304" s="339"/>
    </row>
    <row r="6305" s="330" customFormat="1" ht="15" customHeight="1" spans="1:24">
      <c r="A6305" s="334"/>
      <c r="B6305" s="334" t="s">
        <v>205</v>
      </c>
      <c r="C6305" s="334" t="s">
        <v>1467</v>
      </c>
      <c r="D6305" s="334" t="s">
        <v>89</v>
      </c>
      <c r="E6305" s="336">
        <v>43752</v>
      </c>
      <c r="F6305" s="336" t="s">
        <v>800</v>
      </c>
      <c r="G6305" s="336">
        <v>43745</v>
      </c>
      <c r="H6305" s="334" t="s">
        <v>3949</v>
      </c>
      <c r="I6305" s="334">
        <v>18964798597</v>
      </c>
      <c r="J6305" s="348" t="s">
        <v>3950</v>
      </c>
      <c r="K6305" s="337"/>
      <c r="L6305" s="338"/>
      <c r="M6305" s="334">
        <v>41710</v>
      </c>
      <c r="N6305" s="362">
        <f t="shared" si="209"/>
        <v>41710</v>
      </c>
      <c r="X6305" s="339"/>
    </row>
    <row r="6306" s="330" customFormat="1" ht="15" customHeight="1" spans="1:24">
      <c r="A6306" s="334"/>
      <c r="B6306" s="334" t="s">
        <v>66</v>
      </c>
      <c r="C6306" s="334" t="s">
        <v>67</v>
      </c>
      <c r="D6306" s="334" t="s">
        <v>68</v>
      </c>
      <c r="E6306" s="336">
        <v>43752</v>
      </c>
      <c r="F6306" s="336" t="s">
        <v>800</v>
      </c>
      <c r="G6306" s="336">
        <v>43751</v>
      </c>
      <c r="H6306" s="334" t="s">
        <v>13840</v>
      </c>
      <c r="I6306" s="334">
        <v>18621563215</v>
      </c>
      <c r="J6306" s="334" t="s">
        <v>13841</v>
      </c>
      <c r="K6306" s="337"/>
      <c r="L6306" s="338"/>
      <c r="M6306" s="334">
        <v>13668</v>
      </c>
      <c r="N6306" s="362">
        <f t="shared" si="209"/>
        <v>13668</v>
      </c>
      <c r="X6306" s="339"/>
    </row>
    <row r="6307" s="330" customFormat="1" ht="15" customHeight="1" spans="1:24">
      <c r="A6307" s="550" t="s">
        <v>14215</v>
      </c>
      <c r="B6307" s="348" t="s">
        <v>42</v>
      </c>
      <c r="C6307" s="348" t="s">
        <v>43</v>
      </c>
      <c r="D6307" s="334" t="s">
        <v>207</v>
      </c>
      <c r="E6307" s="336">
        <v>43757</v>
      </c>
      <c r="F6307" s="336">
        <v>43750</v>
      </c>
      <c r="G6307" s="336">
        <v>43757</v>
      </c>
      <c r="H6307" s="334" t="s">
        <v>14216</v>
      </c>
      <c r="I6307" s="444">
        <v>13611771436</v>
      </c>
      <c r="J6307" s="348" t="s">
        <v>14217</v>
      </c>
      <c r="K6307" s="452">
        <v>6898</v>
      </c>
      <c r="L6307" s="334">
        <v>6898</v>
      </c>
      <c r="M6307" s="338"/>
      <c r="N6307" s="362">
        <f t="shared" ref="N6307:N6331" si="210">L6307+M6307</f>
        <v>6898</v>
      </c>
      <c r="X6307" s="339"/>
    </row>
    <row r="6308" s="330" customFormat="1" ht="15" customHeight="1" spans="1:24">
      <c r="A6308" s="550" t="s">
        <v>14218</v>
      </c>
      <c r="B6308" s="348" t="s">
        <v>2625</v>
      </c>
      <c r="C6308" s="348" t="s">
        <v>2626</v>
      </c>
      <c r="D6308" s="334" t="s">
        <v>44</v>
      </c>
      <c r="E6308" s="336">
        <v>43753</v>
      </c>
      <c r="F6308" s="336">
        <v>43753</v>
      </c>
      <c r="G6308" s="399">
        <v>43755</v>
      </c>
      <c r="H6308" s="334" t="s">
        <v>14219</v>
      </c>
      <c r="I6308" s="444">
        <v>13916518397</v>
      </c>
      <c r="J6308" s="348" t="s">
        <v>14220</v>
      </c>
      <c r="K6308" s="452">
        <v>1000</v>
      </c>
      <c r="L6308" s="334">
        <v>11200</v>
      </c>
      <c r="M6308" s="338"/>
      <c r="N6308" s="362">
        <f t="shared" si="210"/>
        <v>11200</v>
      </c>
      <c r="X6308" s="339"/>
    </row>
    <row r="6309" s="330" customFormat="1" ht="15" customHeight="1" spans="1:24">
      <c r="A6309" s="348"/>
      <c r="B6309" s="334" t="s">
        <v>5336</v>
      </c>
      <c r="C6309" s="348" t="s">
        <v>5336</v>
      </c>
      <c r="D6309" s="334" t="s">
        <v>8334</v>
      </c>
      <c r="E6309" s="336">
        <v>43766</v>
      </c>
      <c r="F6309" s="336">
        <v>43753</v>
      </c>
      <c r="G6309" s="336">
        <v>43766</v>
      </c>
      <c r="H6309" s="334" t="s">
        <v>14221</v>
      </c>
      <c r="I6309" s="444">
        <v>13817676038</v>
      </c>
      <c r="J6309" s="348" t="s">
        <v>14222</v>
      </c>
      <c r="K6309" s="452">
        <v>4686</v>
      </c>
      <c r="L6309" s="334">
        <v>4686</v>
      </c>
      <c r="M6309" s="338"/>
      <c r="N6309" s="362">
        <f t="shared" si="210"/>
        <v>4686</v>
      </c>
      <c r="X6309" s="339"/>
    </row>
    <row r="6310" s="330" customFormat="1" ht="15" customHeight="1" spans="1:24">
      <c r="A6310" s="550" t="s">
        <v>14223</v>
      </c>
      <c r="B6310" s="334" t="s">
        <v>58</v>
      </c>
      <c r="C6310" s="348" t="s">
        <v>109</v>
      </c>
      <c r="D6310" s="335" t="s">
        <v>110</v>
      </c>
      <c r="E6310" s="336">
        <v>43782</v>
      </c>
      <c r="F6310" s="336">
        <v>43753</v>
      </c>
      <c r="G6310" s="336">
        <v>43745</v>
      </c>
      <c r="H6310" s="334" t="s">
        <v>9591</v>
      </c>
      <c r="I6310" s="444">
        <v>13774222571</v>
      </c>
      <c r="J6310" s="348" t="s">
        <v>14224</v>
      </c>
      <c r="K6310" s="452">
        <v>1000</v>
      </c>
      <c r="L6310" s="334">
        <v>23230</v>
      </c>
      <c r="M6310" s="338"/>
      <c r="N6310" s="362">
        <f t="shared" si="210"/>
        <v>23230</v>
      </c>
      <c r="X6310" s="339"/>
    </row>
    <row r="6311" s="330" customFormat="1" ht="15" customHeight="1" spans="1:24">
      <c r="A6311" s="348"/>
      <c r="B6311" s="334" t="s">
        <v>31</v>
      </c>
      <c r="C6311" s="334" t="s">
        <v>251</v>
      </c>
      <c r="D6311" s="334" t="s">
        <v>954</v>
      </c>
      <c r="E6311" s="336">
        <v>43753</v>
      </c>
      <c r="F6311" s="336">
        <v>43752</v>
      </c>
      <c r="G6311" s="399">
        <v>43752</v>
      </c>
      <c r="H6311" s="334" t="s">
        <v>14225</v>
      </c>
      <c r="I6311" s="334">
        <v>15921055767</v>
      </c>
      <c r="J6311" s="334" t="s">
        <v>14226</v>
      </c>
      <c r="K6311" s="452">
        <v>1000</v>
      </c>
      <c r="L6311" s="334">
        <v>10520</v>
      </c>
      <c r="M6311" s="338"/>
      <c r="N6311" s="362">
        <f t="shared" si="210"/>
        <v>10520</v>
      </c>
      <c r="X6311" s="339"/>
    </row>
    <row r="6312" s="330" customFormat="1" ht="15" customHeight="1" spans="1:24">
      <c r="A6312" s="550" t="s">
        <v>10147</v>
      </c>
      <c r="B6312" s="334" t="s">
        <v>73</v>
      </c>
      <c r="C6312" s="348" t="s">
        <v>178</v>
      </c>
      <c r="D6312" s="335" t="s">
        <v>75</v>
      </c>
      <c r="E6312" s="336">
        <v>43769</v>
      </c>
      <c r="F6312" s="336">
        <v>43753</v>
      </c>
      <c r="G6312" s="336">
        <v>43769</v>
      </c>
      <c r="H6312" s="334" t="s">
        <v>12973</v>
      </c>
      <c r="I6312" s="444">
        <v>13999249999</v>
      </c>
      <c r="J6312" s="348" t="s">
        <v>14227</v>
      </c>
      <c r="K6312" s="452">
        <v>1000</v>
      </c>
      <c r="L6312" s="334">
        <v>32341</v>
      </c>
      <c r="M6312" s="338"/>
      <c r="N6312" s="362">
        <f t="shared" si="210"/>
        <v>32341</v>
      </c>
      <c r="X6312" s="339"/>
    </row>
    <row r="6313" s="330" customFormat="1" ht="15" customHeight="1" spans="1:24">
      <c r="A6313" s="550" t="s">
        <v>10144</v>
      </c>
      <c r="B6313" s="334" t="s">
        <v>73</v>
      </c>
      <c r="C6313" s="348" t="s">
        <v>74</v>
      </c>
      <c r="D6313" s="334" t="s">
        <v>44</v>
      </c>
      <c r="E6313" s="336">
        <v>43768</v>
      </c>
      <c r="F6313" s="336">
        <v>43752</v>
      </c>
      <c r="G6313" s="336">
        <v>43767</v>
      </c>
      <c r="H6313" s="334" t="s">
        <v>2269</v>
      </c>
      <c r="I6313" s="444">
        <v>13764634727</v>
      </c>
      <c r="J6313" s="348" t="s">
        <v>14228</v>
      </c>
      <c r="K6313" s="452">
        <v>1000</v>
      </c>
      <c r="L6313" s="408">
        <v>8827</v>
      </c>
      <c r="M6313" s="338"/>
      <c r="N6313" s="362">
        <f t="shared" si="210"/>
        <v>8827</v>
      </c>
      <c r="X6313" s="339"/>
    </row>
    <row r="6314" s="330" customFormat="1" ht="15" customHeight="1" spans="1:24">
      <c r="A6314" s="348"/>
      <c r="B6314" s="334" t="s">
        <v>354</v>
      </c>
      <c r="C6314" s="348" t="s">
        <v>13719</v>
      </c>
      <c r="D6314" s="334" t="s">
        <v>237</v>
      </c>
      <c r="E6314" s="336">
        <v>43830</v>
      </c>
      <c r="F6314" s="336">
        <v>43753</v>
      </c>
      <c r="G6314" s="336">
        <v>43828</v>
      </c>
      <c r="H6314" s="334" t="s">
        <v>14229</v>
      </c>
      <c r="I6314" s="444">
        <v>13816804928</v>
      </c>
      <c r="J6314" s="438" t="s">
        <v>14230</v>
      </c>
      <c r="K6314" s="452">
        <v>1000</v>
      </c>
      <c r="L6314" s="334">
        <v>15000</v>
      </c>
      <c r="M6314" s="338"/>
      <c r="N6314" s="362">
        <f t="shared" si="210"/>
        <v>15000</v>
      </c>
      <c r="X6314" s="339"/>
    </row>
    <row r="6315" s="330" customFormat="1" ht="15" customHeight="1" spans="1:24">
      <c r="A6315" s="550" t="s">
        <v>14231</v>
      </c>
      <c r="B6315" s="334" t="s">
        <v>281</v>
      </c>
      <c r="C6315" s="334" t="s">
        <v>517</v>
      </c>
      <c r="D6315" s="334" t="s">
        <v>517</v>
      </c>
      <c r="E6315" s="336">
        <v>43832</v>
      </c>
      <c r="F6315" s="336">
        <v>43753</v>
      </c>
      <c r="G6315" s="336">
        <v>43832</v>
      </c>
      <c r="H6315" s="425" t="s">
        <v>14232</v>
      </c>
      <c r="I6315" s="444">
        <v>13585811662</v>
      </c>
      <c r="J6315" s="348" t="s">
        <v>14233</v>
      </c>
      <c r="K6315" s="452">
        <v>2000</v>
      </c>
      <c r="L6315" s="334">
        <v>33563</v>
      </c>
      <c r="M6315" s="334">
        <v>12869</v>
      </c>
      <c r="N6315" s="362">
        <f t="shared" si="210"/>
        <v>46432</v>
      </c>
      <c r="R6315" s="356" t="s">
        <v>52</v>
      </c>
      <c r="X6315" s="339"/>
    </row>
    <row r="6316" s="330" customFormat="1" ht="15" customHeight="1" spans="1:24">
      <c r="A6316" s="348"/>
      <c r="B6316" s="334" t="s">
        <v>315</v>
      </c>
      <c r="C6316" s="348" t="s">
        <v>275</v>
      </c>
      <c r="D6316" s="335" t="s">
        <v>162</v>
      </c>
      <c r="E6316" s="336">
        <v>43759</v>
      </c>
      <c r="F6316" s="336">
        <v>43753</v>
      </c>
      <c r="G6316" s="336">
        <v>43757</v>
      </c>
      <c r="H6316" s="334" t="s">
        <v>14234</v>
      </c>
      <c r="I6316" s="444">
        <v>15900985098</v>
      </c>
      <c r="J6316" s="348" t="s">
        <v>14235</v>
      </c>
      <c r="K6316" s="452">
        <v>1000</v>
      </c>
      <c r="L6316" s="334">
        <v>21054</v>
      </c>
      <c r="M6316" s="338"/>
      <c r="N6316" s="362">
        <f t="shared" si="210"/>
        <v>21054</v>
      </c>
      <c r="X6316" s="339"/>
    </row>
    <row r="6317" s="330" customFormat="1" ht="15" customHeight="1" spans="1:24">
      <c r="A6317" s="550" t="s">
        <v>6734</v>
      </c>
      <c r="B6317" s="334" t="s">
        <v>137</v>
      </c>
      <c r="C6317" s="348" t="s">
        <v>138</v>
      </c>
      <c r="D6317" s="334" t="s">
        <v>443</v>
      </c>
      <c r="E6317" s="336">
        <v>43798</v>
      </c>
      <c r="F6317" s="336">
        <v>43753</v>
      </c>
      <c r="G6317" s="336">
        <v>43798</v>
      </c>
      <c r="H6317" s="334" t="s">
        <v>14236</v>
      </c>
      <c r="I6317" s="444">
        <v>18501783199</v>
      </c>
      <c r="J6317" s="348" t="s">
        <v>14237</v>
      </c>
      <c r="K6317" s="452">
        <f>14400+1000</f>
        <v>15400</v>
      </c>
      <c r="L6317" s="334">
        <v>15777</v>
      </c>
      <c r="M6317" s="338"/>
      <c r="N6317" s="362">
        <f t="shared" si="210"/>
        <v>15777</v>
      </c>
      <c r="Q6317" s="330">
        <v>1</v>
      </c>
      <c r="X6317" s="339"/>
    </row>
    <row r="6318" s="330" customFormat="1" ht="15" customHeight="1" spans="1:24">
      <c r="A6318" s="348"/>
      <c r="B6318" s="334" t="s">
        <v>5336</v>
      </c>
      <c r="C6318" s="348" t="s">
        <v>5336</v>
      </c>
      <c r="D6318" s="334" t="s">
        <v>110</v>
      </c>
      <c r="E6318" s="336">
        <v>43761</v>
      </c>
      <c r="F6318" s="336">
        <v>43754</v>
      </c>
      <c r="G6318" s="336">
        <v>43760</v>
      </c>
      <c r="H6318" s="334" t="s">
        <v>11160</v>
      </c>
      <c r="I6318" s="444">
        <v>15821680558</v>
      </c>
      <c r="J6318" s="348" t="s">
        <v>14238</v>
      </c>
      <c r="K6318" s="452">
        <v>5021</v>
      </c>
      <c r="L6318" s="334">
        <v>8063</v>
      </c>
      <c r="M6318" s="338"/>
      <c r="N6318" s="362">
        <f t="shared" si="210"/>
        <v>8063</v>
      </c>
      <c r="X6318" s="339"/>
    </row>
    <row r="6319" s="330" customFormat="1" ht="15" customHeight="1" spans="1:24">
      <c r="A6319" s="550" t="s">
        <v>14239</v>
      </c>
      <c r="B6319" s="334" t="s">
        <v>281</v>
      </c>
      <c r="C6319" s="348" t="s">
        <v>13525</v>
      </c>
      <c r="D6319" s="335" t="s">
        <v>49</v>
      </c>
      <c r="E6319" s="336">
        <v>43754</v>
      </c>
      <c r="F6319" s="336">
        <v>43754</v>
      </c>
      <c r="G6319" s="399"/>
      <c r="H6319" s="334" t="s">
        <v>14240</v>
      </c>
      <c r="I6319" s="444">
        <v>13601778230</v>
      </c>
      <c r="J6319" s="348" t="s">
        <v>14241</v>
      </c>
      <c r="K6319" s="452">
        <v>1000</v>
      </c>
      <c r="L6319" s="338"/>
      <c r="M6319" s="338"/>
      <c r="N6319" s="362">
        <f t="shared" si="210"/>
        <v>0</v>
      </c>
      <c r="S6319" s="356" t="s">
        <v>52</v>
      </c>
      <c r="X6319" s="339"/>
    </row>
    <row r="6320" s="330" customFormat="1" ht="15" customHeight="1" spans="1:24">
      <c r="A6320" s="348"/>
      <c r="B6320" s="334" t="s">
        <v>315</v>
      </c>
      <c r="C6320" s="348" t="s">
        <v>722</v>
      </c>
      <c r="D6320" s="334" t="s">
        <v>149</v>
      </c>
      <c r="E6320" s="336">
        <v>43796</v>
      </c>
      <c r="F6320" s="336">
        <v>43754</v>
      </c>
      <c r="G6320" s="336">
        <v>43793</v>
      </c>
      <c r="H6320" s="334" t="s">
        <v>14242</v>
      </c>
      <c r="I6320" s="444">
        <v>18629027750</v>
      </c>
      <c r="J6320" s="348" t="s">
        <v>14243</v>
      </c>
      <c r="K6320" s="452">
        <v>1000</v>
      </c>
      <c r="L6320" s="334">
        <v>21443</v>
      </c>
      <c r="M6320" s="338"/>
      <c r="N6320" s="362">
        <f t="shared" si="210"/>
        <v>21443</v>
      </c>
      <c r="X6320" s="339"/>
    </row>
    <row r="6321" s="330" customFormat="1" ht="15" customHeight="1" spans="1:24">
      <c r="A6321" s="550" t="s">
        <v>14244</v>
      </c>
      <c r="B6321" s="334" t="s">
        <v>281</v>
      </c>
      <c r="C6321" s="348" t="s">
        <v>491</v>
      </c>
      <c r="D6321" s="334" t="s">
        <v>518</v>
      </c>
      <c r="E6321" s="336">
        <v>43762</v>
      </c>
      <c r="F6321" s="336">
        <v>43755</v>
      </c>
      <c r="G6321" s="336">
        <v>43762</v>
      </c>
      <c r="H6321" s="334" t="s">
        <v>14245</v>
      </c>
      <c r="I6321" s="444">
        <v>15026930962</v>
      </c>
      <c r="J6321" s="348" t="s">
        <v>14246</v>
      </c>
      <c r="K6321" s="452">
        <v>3000</v>
      </c>
      <c r="L6321" s="334">
        <v>49415</v>
      </c>
      <c r="M6321" s="338"/>
      <c r="N6321" s="362">
        <f t="shared" si="210"/>
        <v>49415</v>
      </c>
      <c r="X6321" s="339"/>
    </row>
    <row r="6322" s="330" customFormat="1" ht="15" customHeight="1" spans="1:24">
      <c r="A6322" s="550" t="s">
        <v>14247</v>
      </c>
      <c r="B6322" s="334" t="s">
        <v>359</v>
      </c>
      <c r="C6322" s="348" t="s">
        <v>3018</v>
      </c>
      <c r="D6322" s="335" t="s">
        <v>361</v>
      </c>
      <c r="E6322" s="336">
        <v>43761</v>
      </c>
      <c r="F6322" s="336">
        <v>43755</v>
      </c>
      <c r="G6322" s="336">
        <v>43761</v>
      </c>
      <c r="H6322" s="334" t="s">
        <v>14248</v>
      </c>
      <c r="I6322" s="444">
        <v>18136115827</v>
      </c>
      <c r="J6322" s="348" t="s">
        <v>14249</v>
      </c>
      <c r="K6322" s="452">
        <v>1000</v>
      </c>
      <c r="L6322" s="334">
        <v>18488</v>
      </c>
      <c r="M6322" s="338"/>
      <c r="N6322" s="362">
        <f t="shared" si="210"/>
        <v>18488</v>
      </c>
      <c r="X6322" s="339"/>
    </row>
    <row r="6323" s="330" customFormat="1" ht="15" customHeight="1" spans="1:24">
      <c r="A6323" s="550" t="s">
        <v>14250</v>
      </c>
      <c r="B6323" s="334" t="s">
        <v>66</v>
      </c>
      <c r="C6323" s="348" t="s">
        <v>1749</v>
      </c>
      <c r="D6323" s="334" t="s">
        <v>1436</v>
      </c>
      <c r="E6323" s="336">
        <v>43755</v>
      </c>
      <c r="F6323" s="336">
        <v>43755</v>
      </c>
      <c r="G6323" s="399">
        <v>43755</v>
      </c>
      <c r="H6323" s="334" t="s">
        <v>14251</v>
      </c>
      <c r="I6323" s="444">
        <v>13701697338</v>
      </c>
      <c r="J6323" s="348" t="s">
        <v>14252</v>
      </c>
      <c r="K6323" s="452">
        <v>8883</v>
      </c>
      <c r="L6323" s="334">
        <f>8883-1104</f>
        <v>7779</v>
      </c>
      <c r="M6323" s="334">
        <v>1104</v>
      </c>
      <c r="N6323" s="362">
        <f t="shared" si="210"/>
        <v>8883</v>
      </c>
      <c r="X6323" s="339"/>
    </row>
    <row r="6324" s="330" customFormat="1" ht="15" customHeight="1" spans="1:24">
      <c r="A6324" s="348">
        <v>2025283</v>
      </c>
      <c r="B6324" s="348" t="s">
        <v>35</v>
      </c>
      <c r="C6324" s="348" t="s">
        <v>36</v>
      </c>
      <c r="D6324" s="335" t="s">
        <v>37</v>
      </c>
      <c r="E6324" s="336">
        <v>43759</v>
      </c>
      <c r="F6324" s="336">
        <v>43754</v>
      </c>
      <c r="G6324" s="336">
        <v>43758</v>
      </c>
      <c r="H6324" s="334" t="s">
        <v>14253</v>
      </c>
      <c r="I6324" s="444">
        <v>13122082233</v>
      </c>
      <c r="J6324" s="348" t="s">
        <v>14254</v>
      </c>
      <c r="K6324" s="452">
        <v>1000</v>
      </c>
      <c r="L6324" s="334">
        <v>19259</v>
      </c>
      <c r="M6324" s="338"/>
      <c r="N6324" s="362">
        <f t="shared" si="210"/>
        <v>19259</v>
      </c>
      <c r="X6324" s="339"/>
    </row>
    <row r="6325" s="330" customFormat="1" ht="15" customHeight="1" spans="1:24">
      <c r="A6325" s="550" t="s">
        <v>12960</v>
      </c>
      <c r="B6325" s="334" t="s">
        <v>335</v>
      </c>
      <c r="C6325" s="348" t="s">
        <v>615</v>
      </c>
      <c r="D6325" s="335" t="s">
        <v>337</v>
      </c>
      <c r="E6325" s="336">
        <v>43795</v>
      </c>
      <c r="F6325" s="336">
        <v>43755</v>
      </c>
      <c r="G6325" s="336">
        <v>43794</v>
      </c>
      <c r="H6325" s="334" t="s">
        <v>14255</v>
      </c>
      <c r="I6325" s="444">
        <v>15618609086</v>
      </c>
      <c r="J6325" s="348" t="s">
        <v>14256</v>
      </c>
      <c r="K6325" s="452">
        <v>1000</v>
      </c>
      <c r="L6325" s="334">
        <v>17000</v>
      </c>
      <c r="M6325" s="338"/>
      <c r="N6325" s="362">
        <f t="shared" si="210"/>
        <v>17000</v>
      </c>
      <c r="X6325" s="339"/>
    </row>
    <row r="6326" s="330" customFormat="1" ht="15" customHeight="1" spans="1:24">
      <c r="A6326" s="550" t="s">
        <v>1810</v>
      </c>
      <c r="B6326" s="334" t="s">
        <v>66</v>
      </c>
      <c r="C6326" s="348" t="s">
        <v>1749</v>
      </c>
      <c r="D6326" s="334" t="s">
        <v>1436</v>
      </c>
      <c r="E6326" s="336">
        <v>43755</v>
      </c>
      <c r="F6326" s="336">
        <v>43755</v>
      </c>
      <c r="G6326" s="399">
        <v>43755</v>
      </c>
      <c r="H6326" s="334" t="s">
        <v>14257</v>
      </c>
      <c r="I6326" s="444">
        <v>13817813151</v>
      </c>
      <c r="J6326" s="348" t="s">
        <v>14258</v>
      </c>
      <c r="K6326" s="452">
        <v>7849</v>
      </c>
      <c r="L6326" s="334">
        <v>7849</v>
      </c>
      <c r="M6326" s="338"/>
      <c r="N6326" s="362">
        <f t="shared" si="210"/>
        <v>7849</v>
      </c>
      <c r="X6326" s="339"/>
    </row>
    <row r="6327" s="330" customFormat="1" ht="15" customHeight="1" spans="1:24">
      <c r="A6327" s="334"/>
      <c r="B6327" s="334" t="s">
        <v>281</v>
      </c>
      <c r="C6327" s="334" t="s">
        <v>491</v>
      </c>
      <c r="D6327" s="334" t="s">
        <v>518</v>
      </c>
      <c r="E6327" s="336">
        <v>43753</v>
      </c>
      <c r="F6327" s="336"/>
      <c r="G6327" s="336">
        <v>43753</v>
      </c>
      <c r="H6327" s="334" t="s">
        <v>14259</v>
      </c>
      <c r="I6327" s="334">
        <v>13512188555</v>
      </c>
      <c r="J6327" s="334" t="s">
        <v>14260</v>
      </c>
      <c r="K6327" s="337"/>
      <c r="L6327" s="334">
        <v>13972</v>
      </c>
      <c r="M6327" s="338"/>
      <c r="N6327" s="362">
        <f t="shared" si="210"/>
        <v>13972</v>
      </c>
      <c r="X6327" s="339"/>
    </row>
    <row r="6328" s="330" customFormat="1" ht="15" customHeight="1" spans="1:24">
      <c r="A6328" s="334"/>
      <c r="B6328" s="334" t="s">
        <v>94</v>
      </c>
      <c r="C6328" s="334" t="s">
        <v>3196</v>
      </c>
      <c r="D6328" s="335" t="s">
        <v>49</v>
      </c>
      <c r="E6328" s="336">
        <v>43753</v>
      </c>
      <c r="F6328" s="336"/>
      <c r="G6328" s="336">
        <v>43753</v>
      </c>
      <c r="H6328" s="334" t="s">
        <v>14261</v>
      </c>
      <c r="I6328" s="334">
        <v>15221522100</v>
      </c>
      <c r="J6328" s="334" t="s">
        <v>14262</v>
      </c>
      <c r="K6328" s="337"/>
      <c r="L6328" s="334">
        <v>12888</v>
      </c>
      <c r="M6328" s="338"/>
      <c r="N6328" s="362">
        <f t="shared" si="210"/>
        <v>12888</v>
      </c>
      <c r="X6328" s="339"/>
    </row>
    <row r="6329" s="330" customFormat="1" ht="15" customHeight="1" spans="1:24">
      <c r="A6329" s="334"/>
      <c r="B6329" s="334" t="s">
        <v>315</v>
      </c>
      <c r="C6329" s="334" t="s">
        <v>181</v>
      </c>
      <c r="D6329" s="334" t="s">
        <v>1431</v>
      </c>
      <c r="E6329" s="336">
        <v>43754</v>
      </c>
      <c r="F6329" s="336"/>
      <c r="G6329" s="336">
        <v>43753</v>
      </c>
      <c r="H6329" s="334" t="s">
        <v>14263</v>
      </c>
      <c r="I6329" s="334">
        <v>13901735023</v>
      </c>
      <c r="J6329" s="334" t="s">
        <v>14264</v>
      </c>
      <c r="K6329" s="337"/>
      <c r="L6329" s="334">
        <v>2072</v>
      </c>
      <c r="M6329" s="338"/>
      <c r="N6329" s="362">
        <f t="shared" si="210"/>
        <v>2072</v>
      </c>
      <c r="X6329" s="339"/>
    </row>
    <row r="6330" s="330" customFormat="1" ht="15" customHeight="1" spans="1:24">
      <c r="A6330" s="334"/>
      <c r="B6330" s="348" t="s">
        <v>281</v>
      </c>
      <c r="C6330" s="348" t="s">
        <v>491</v>
      </c>
      <c r="D6330" s="349" t="s">
        <v>518</v>
      </c>
      <c r="E6330" s="336">
        <v>43754</v>
      </c>
      <c r="F6330" s="336"/>
      <c r="G6330" s="336">
        <v>43754</v>
      </c>
      <c r="H6330" s="334" t="s">
        <v>2202</v>
      </c>
      <c r="I6330" s="334">
        <v>13564911743</v>
      </c>
      <c r="J6330" s="334" t="s">
        <v>14265</v>
      </c>
      <c r="K6330" s="337"/>
      <c r="L6330" s="334">
        <v>68000</v>
      </c>
      <c r="M6330" s="338"/>
      <c r="N6330" s="362">
        <f t="shared" si="210"/>
        <v>68000</v>
      </c>
      <c r="X6330" s="339"/>
    </row>
    <row r="6331" s="330" customFormat="1" ht="15" customHeight="1" spans="1:24">
      <c r="A6331" s="334"/>
      <c r="B6331" s="334" t="s">
        <v>315</v>
      </c>
      <c r="C6331" s="334" t="s">
        <v>275</v>
      </c>
      <c r="D6331" s="334" t="s">
        <v>1431</v>
      </c>
      <c r="E6331" s="336">
        <v>43754</v>
      </c>
      <c r="F6331" s="336"/>
      <c r="G6331" s="336">
        <v>43752</v>
      </c>
      <c r="H6331" s="334" t="s">
        <v>3267</v>
      </c>
      <c r="I6331" s="334">
        <v>18621892896</v>
      </c>
      <c r="J6331" s="334" t="s">
        <v>14266</v>
      </c>
      <c r="K6331" s="337"/>
      <c r="L6331" s="334">
        <v>2298</v>
      </c>
      <c r="M6331" s="338"/>
      <c r="N6331" s="362">
        <f t="shared" si="210"/>
        <v>2298</v>
      </c>
      <c r="X6331" s="339"/>
    </row>
    <row r="6332" s="330" customFormat="1" ht="15" customHeight="1" spans="1:24">
      <c r="A6332" s="334"/>
      <c r="B6332" s="334" t="s">
        <v>354</v>
      </c>
      <c r="C6332" s="334" t="s">
        <v>355</v>
      </c>
      <c r="D6332" s="334" t="s">
        <v>343</v>
      </c>
      <c r="E6332" s="336">
        <v>43753</v>
      </c>
      <c r="F6332" s="336"/>
      <c r="G6332" s="336">
        <v>43751</v>
      </c>
      <c r="H6332" s="334" t="s">
        <v>5776</v>
      </c>
      <c r="I6332" s="334">
        <v>13590161006</v>
      </c>
      <c r="J6332" s="348" t="s">
        <v>5777</v>
      </c>
      <c r="K6332" s="337"/>
      <c r="L6332" s="338"/>
      <c r="M6332" s="334">
        <v>22500</v>
      </c>
      <c r="N6332" s="362">
        <f t="shared" ref="N6332:N6337" si="211">L6332+M6332</f>
        <v>22500</v>
      </c>
      <c r="X6332" s="339"/>
    </row>
    <row r="6333" s="330" customFormat="1" ht="15" customHeight="1" spans="1:24">
      <c r="A6333" s="334"/>
      <c r="B6333" s="334" t="s">
        <v>31</v>
      </c>
      <c r="C6333" s="334" t="s">
        <v>251</v>
      </c>
      <c r="D6333" s="334" t="s">
        <v>954</v>
      </c>
      <c r="E6333" s="336">
        <v>43753</v>
      </c>
      <c r="F6333" s="336"/>
      <c r="G6333" s="336">
        <v>43751</v>
      </c>
      <c r="H6333" s="334" t="s">
        <v>12201</v>
      </c>
      <c r="I6333" s="334">
        <v>18221799204</v>
      </c>
      <c r="J6333" s="334" t="s">
        <v>14267</v>
      </c>
      <c r="K6333" s="337"/>
      <c r="L6333" s="338"/>
      <c r="M6333" s="334">
        <v>2336</v>
      </c>
      <c r="N6333" s="362">
        <f t="shared" si="211"/>
        <v>2336</v>
      </c>
      <c r="X6333" s="339"/>
    </row>
    <row r="6334" s="330" customFormat="1" ht="15" customHeight="1" spans="1:24">
      <c r="A6334" s="334"/>
      <c r="B6334" s="334" t="s">
        <v>315</v>
      </c>
      <c r="C6334" s="334" t="s">
        <v>181</v>
      </c>
      <c r="D6334" s="334" t="s">
        <v>162</v>
      </c>
      <c r="E6334" s="336">
        <v>43753</v>
      </c>
      <c r="F6334" s="336"/>
      <c r="G6334" s="336">
        <v>43752</v>
      </c>
      <c r="H6334" s="334" t="s">
        <v>7780</v>
      </c>
      <c r="I6334" s="334">
        <v>18917028928</v>
      </c>
      <c r="J6334" s="334" t="s">
        <v>14268</v>
      </c>
      <c r="K6334" s="337"/>
      <c r="L6334" s="338"/>
      <c r="M6334" s="334">
        <v>-4605</v>
      </c>
      <c r="N6334" s="362">
        <f t="shared" si="211"/>
        <v>-4605</v>
      </c>
      <c r="X6334" s="339"/>
    </row>
    <row r="6335" s="330" customFormat="1" ht="15" customHeight="1" spans="1:24">
      <c r="A6335" s="334"/>
      <c r="B6335" s="334" t="s">
        <v>354</v>
      </c>
      <c r="C6335" s="334" t="s">
        <v>355</v>
      </c>
      <c r="D6335" s="334" t="s">
        <v>162</v>
      </c>
      <c r="E6335" s="336">
        <v>43753</v>
      </c>
      <c r="F6335" s="336"/>
      <c r="G6335" s="336">
        <v>43753</v>
      </c>
      <c r="H6335" s="334" t="s">
        <v>13160</v>
      </c>
      <c r="I6335" s="334">
        <v>13391152098</v>
      </c>
      <c r="J6335" s="334" t="s">
        <v>13161</v>
      </c>
      <c r="K6335" s="337"/>
      <c r="L6335" s="338"/>
      <c r="M6335" s="334">
        <v>2640</v>
      </c>
      <c r="N6335" s="362">
        <f t="shared" si="211"/>
        <v>2640</v>
      </c>
      <c r="X6335" s="339"/>
    </row>
    <row r="6336" s="330" customFormat="1" ht="15" customHeight="1" spans="1:24">
      <c r="A6336" s="334"/>
      <c r="B6336" s="334" t="s">
        <v>73</v>
      </c>
      <c r="C6336" s="334" t="s">
        <v>74</v>
      </c>
      <c r="D6336" s="334" t="s">
        <v>132</v>
      </c>
      <c r="E6336" s="336">
        <v>43753</v>
      </c>
      <c r="F6336" s="336"/>
      <c r="G6336" s="336">
        <v>43753</v>
      </c>
      <c r="H6336" s="334" t="s">
        <v>5440</v>
      </c>
      <c r="I6336" s="334">
        <v>18964962065</v>
      </c>
      <c r="J6336" s="348" t="s">
        <v>5441</v>
      </c>
      <c r="K6336" s="337"/>
      <c r="L6336" s="338"/>
      <c r="M6336" s="334">
        <v>2485</v>
      </c>
      <c r="N6336" s="362">
        <f t="shared" si="211"/>
        <v>2485</v>
      </c>
      <c r="X6336" s="339"/>
    </row>
    <row r="6337" s="330" customFormat="1" ht="15" customHeight="1" spans="1:24">
      <c r="A6337" s="334"/>
      <c r="B6337" s="334" t="s">
        <v>354</v>
      </c>
      <c r="C6337" s="334" t="s">
        <v>355</v>
      </c>
      <c r="D6337" s="334" t="s">
        <v>207</v>
      </c>
      <c r="E6337" s="336">
        <v>43753</v>
      </c>
      <c r="F6337" s="336"/>
      <c r="G6337" s="336">
        <v>43753</v>
      </c>
      <c r="H6337" s="334" t="s">
        <v>11200</v>
      </c>
      <c r="I6337" s="334">
        <v>13764823040</v>
      </c>
      <c r="J6337" s="334" t="s">
        <v>14269</v>
      </c>
      <c r="K6337" s="337"/>
      <c r="L6337" s="338"/>
      <c r="M6337" s="334">
        <v>2291</v>
      </c>
      <c r="N6337" s="362">
        <f t="shared" si="211"/>
        <v>2291</v>
      </c>
      <c r="X6337" s="339"/>
    </row>
    <row r="6338" s="330" customFormat="1" ht="15" customHeight="1" spans="1:24">
      <c r="A6338" s="334"/>
      <c r="B6338" s="334" t="s">
        <v>169</v>
      </c>
      <c r="C6338" s="334" t="s">
        <v>634</v>
      </c>
      <c r="D6338" s="334" t="s">
        <v>635</v>
      </c>
      <c r="E6338" s="336">
        <v>43753</v>
      </c>
      <c r="F6338" s="336"/>
      <c r="G6338" s="336">
        <v>43749</v>
      </c>
      <c r="H6338" s="334" t="s">
        <v>12530</v>
      </c>
      <c r="I6338" s="334">
        <v>17317308529</v>
      </c>
      <c r="J6338" s="334" t="s">
        <v>12531</v>
      </c>
      <c r="K6338" s="337"/>
      <c r="L6338" s="338"/>
      <c r="M6338" s="334">
        <v>1288</v>
      </c>
      <c r="N6338" s="362">
        <f t="shared" ref="N6338:N6354" si="212">L6338+M6338</f>
        <v>1288</v>
      </c>
      <c r="X6338" s="339"/>
    </row>
    <row r="6339" s="330" customFormat="1" ht="15" customHeight="1" spans="1:24">
      <c r="A6339" s="334"/>
      <c r="B6339" s="334" t="s">
        <v>315</v>
      </c>
      <c r="C6339" s="334" t="s">
        <v>181</v>
      </c>
      <c r="D6339" s="334" t="s">
        <v>132</v>
      </c>
      <c r="E6339" s="336">
        <v>43753</v>
      </c>
      <c r="F6339" s="336"/>
      <c r="G6339" s="336">
        <v>43753</v>
      </c>
      <c r="H6339" s="334" t="s">
        <v>12340</v>
      </c>
      <c r="I6339" s="334">
        <v>13901651553</v>
      </c>
      <c r="J6339" s="334" t="s">
        <v>12341</v>
      </c>
      <c r="K6339" s="337"/>
      <c r="L6339" s="338"/>
      <c r="M6339" s="334">
        <v>949</v>
      </c>
      <c r="N6339" s="362">
        <f t="shared" si="212"/>
        <v>949</v>
      </c>
      <c r="X6339" s="339"/>
    </row>
    <row r="6340" s="330" customFormat="1" ht="15" customHeight="1" spans="1:24">
      <c r="A6340" s="334"/>
      <c r="B6340" s="334" t="s">
        <v>137</v>
      </c>
      <c r="C6340" s="334" t="s">
        <v>480</v>
      </c>
      <c r="D6340" s="334" t="s">
        <v>443</v>
      </c>
      <c r="E6340" s="336">
        <v>43753</v>
      </c>
      <c r="F6340" s="336"/>
      <c r="G6340" s="336">
        <v>43753</v>
      </c>
      <c r="H6340" s="334" t="s">
        <v>11831</v>
      </c>
      <c r="I6340" s="334">
        <v>18801970316</v>
      </c>
      <c r="J6340" s="334" t="s">
        <v>14270</v>
      </c>
      <c r="K6340" s="337"/>
      <c r="L6340" s="338"/>
      <c r="M6340" s="334">
        <v>1230</v>
      </c>
      <c r="N6340" s="362">
        <f t="shared" si="212"/>
        <v>1230</v>
      </c>
      <c r="X6340" s="339"/>
    </row>
    <row r="6341" s="330" customFormat="1" ht="15" customHeight="1" spans="1:24">
      <c r="A6341" s="334"/>
      <c r="B6341" s="334" t="s">
        <v>315</v>
      </c>
      <c r="C6341" s="334" t="s">
        <v>722</v>
      </c>
      <c r="D6341" s="334" t="s">
        <v>132</v>
      </c>
      <c r="E6341" s="336">
        <v>43753</v>
      </c>
      <c r="F6341" s="336"/>
      <c r="G6341" s="336">
        <v>43752</v>
      </c>
      <c r="H6341" s="334" t="s">
        <v>7536</v>
      </c>
      <c r="I6341" s="334">
        <v>18918887621</v>
      </c>
      <c r="J6341" s="334" t="s">
        <v>14271</v>
      </c>
      <c r="K6341" s="337"/>
      <c r="L6341" s="338"/>
      <c r="M6341" s="334">
        <v>11888</v>
      </c>
      <c r="N6341" s="362">
        <f t="shared" si="212"/>
        <v>11888</v>
      </c>
      <c r="X6341" s="339"/>
    </row>
    <row r="6342" s="330" customFormat="1" ht="15" customHeight="1" spans="1:24">
      <c r="A6342" s="334"/>
      <c r="B6342" s="334" t="s">
        <v>315</v>
      </c>
      <c r="C6342" s="334" t="s">
        <v>722</v>
      </c>
      <c r="D6342" s="334" t="s">
        <v>132</v>
      </c>
      <c r="E6342" s="336">
        <v>43753</v>
      </c>
      <c r="F6342" s="336"/>
      <c r="G6342" s="336">
        <v>43752</v>
      </c>
      <c r="H6342" s="334" t="s">
        <v>11513</v>
      </c>
      <c r="I6342" s="334">
        <v>13918253097</v>
      </c>
      <c r="J6342" s="334" t="s">
        <v>14272</v>
      </c>
      <c r="K6342" s="337"/>
      <c r="L6342" s="338"/>
      <c r="M6342" s="334">
        <v>4546</v>
      </c>
      <c r="N6342" s="362">
        <f t="shared" si="212"/>
        <v>4546</v>
      </c>
      <c r="X6342" s="339"/>
    </row>
    <row r="6343" s="330" customFormat="1" ht="15" customHeight="1" spans="1:24">
      <c r="A6343" s="334"/>
      <c r="B6343" s="334" t="s">
        <v>205</v>
      </c>
      <c r="C6343" s="334" t="s">
        <v>1467</v>
      </c>
      <c r="D6343" s="334" t="s">
        <v>89</v>
      </c>
      <c r="E6343" s="336">
        <v>43754</v>
      </c>
      <c r="F6343" s="336"/>
      <c r="G6343" s="336">
        <v>43753</v>
      </c>
      <c r="H6343" s="334" t="s">
        <v>7944</v>
      </c>
      <c r="I6343" s="334">
        <v>18939715851</v>
      </c>
      <c r="J6343" s="334" t="s">
        <v>7945</v>
      </c>
      <c r="K6343" s="337"/>
      <c r="L6343" s="338"/>
      <c r="M6343" s="334">
        <v>896</v>
      </c>
      <c r="N6343" s="362">
        <f t="shared" si="212"/>
        <v>896</v>
      </c>
      <c r="X6343" s="339"/>
    </row>
    <row r="6344" s="330" customFormat="1" ht="15" customHeight="1" spans="1:24">
      <c r="A6344" s="334"/>
      <c r="B6344" s="334" t="s">
        <v>66</v>
      </c>
      <c r="C6344" s="334" t="s">
        <v>1749</v>
      </c>
      <c r="D6344" s="334" t="s">
        <v>68</v>
      </c>
      <c r="E6344" s="336">
        <v>43754</v>
      </c>
      <c r="F6344" s="336"/>
      <c r="G6344" s="336">
        <v>43753</v>
      </c>
      <c r="H6344" s="334" t="s">
        <v>2990</v>
      </c>
      <c r="I6344" s="334">
        <v>13916680531</v>
      </c>
      <c r="J6344" s="334" t="s">
        <v>11265</v>
      </c>
      <c r="K6344" s="337"/>
      <c r="L6344" s="338"/>
      <c r="M6344" s="334">
        <v>4535</v>
      </c>
      <c r="N6344" s="362">
        <f t="shared" si="212"/>
        <v>4535</v>
      </c>
      <c r="X6344" s="339"/>
    </row>
    <row r="6345" s="330" customFormat="1" ht="15" customHeight="1" spans="1:24">
      <c r="A6345" s="334"/>
      <c r="B6345" s="334" t="s">
        <v>153</v>
      </c>
      <c r="C6345" s="334" t="s">
        <v>154</v>
      </c>
      <c r="D6345" s="334" t="s">
        <v>155</v>
      </c>
      <c r="E6345" s="336">
        <v>43754</v>
      </c>
      <c r="F6345" s="336"/>
      <c r="G6345" s="336">
        <v>43753</v>
      </c>
      <c r="H6345" s="334" t="s">
        <v>7171</v>
      </c>
      <c r="I6345" s="356">
        <v>15901658639</v>
      </c>
      <c r="J6345" s="348" t="s">
        <v>14273</v>
      </c>
      <c r="K6345" s="337"/>
      <c r="L6345" s="338"/>
      <c r="M6345" s="334">
        <v>6983</v>
      </c>
      <c r="N6345" s="362">
        <f t="shared" si="212"/>
        <v>6983</v>
      </c>
      <c r="X6345" s="339"/>
    </row>
    <row r="6346" s="330" customFormat="1" ht="15" customHeight="1" spans="1:24">
      <c r="A6346" s="334"/>
      <c r="B6346" s="334" t="s">
        <v>42</v>
      </c>
      <c r="C6346" s="334" t="s">
        <v>43</v>
      </c>
      <c r="D6346" s="334" t="s">
        <v>207</v>
      </c>
      <c r="E6346" s="336">
        <v>43754</v>
      </c>
      <c r="F6346" s="336"/>
      <c r="G6346" s="336">
        <v>43749</v>
      </c>
      <c r="H6346" s="334" t="s">
        <v>12482</v>
      </c>
      <c r="I6346" s="334">
        <v>13524157041</v>
      </c>
      <c r="J6346" s="334" t="s">
        <v>12483</v>
      </c>
      <c r="K6346" s="337"/>
      <c r="L6346" s="338"/>
      <c r="M6346" s="334">
        <v>1131</v>
      </c>
      <c r="N6346" s="362">
        <f t="shared" si="212"/>
        <v>1131</v>
      </c>
      <c r="X6346" s="339"/>
    </row>
    <row r="6347" s="330" customFormat="1" ht="15" customHeight="1" spans="1:24">
      <c r="A6347" s="334"/>
      <c r="B6347" s="334" t="s">
        <v>31</v>
      </c>
      <c r="C6347" s="334" t="s">
        <v>251</v>
      </c>
      <c r="D6347" s="334" t="s">
        <v>221</v>
      </c>
      <c r="E6347" s="336">
        <v>43754</v>
      </c>
      <c r="F6347" s="336"/>
      <c r="G6347" s="336">
        <v>43753</v>
      </c>
      <c r="H6347" s="334" t="s">
        <v>2516</v>
      </c>
      <c r="I6347" s="334">
        <v>18621839582</v>
      </c>
      <c r="J6347" s="334" t="s">
        <v>14274</v>
      </c>
      <c r="K6347" s="337"/>
      <c r="L6347" s="338"/>
      <c r="M6347" s="334">
        <v>20</v>
      </c>
      <c r="N6347" s="362">
        <f t="shared" si="212"/>
        <v>20</v>
      </c>
      <c r="X6347" s="339"/>
    </row>
    <row r="6348" s="330" customFormat="1" ht="15" customHeight="1" spans="1:24">
      <c r="A6348" s="334"/>
      <c r="B6348" s="334" t="s">
        <v>42</v>
      </c>
      <c r="C6348" s="334" t="s">
        <v>1728</v>
      </c>
      <c r="D6348" s="334" t="s">
        <v>207</v>
      </c>
      <c r="E6348" s="336">
        <v>43754</v>
      </c>
      <c r="F6348" s="336"/>
      <c r="G6348" s="336">
        <v>43738</v>
      </c>
      <c r="H6348" s="334" t="s">
        <v>6771</v>
      </c>
      <c r="I6348" s="334">
        <v>18516555228</v>
      </c>
      <c r="J6348" s="334" t="s">
        <v>13040</v>
      </c>
      <c r="K6348" s="337"/>
      <c r="L6348" s="338"/>
      <c r="M6348" s="334">
        <v>-100</v>
      </c>
      <c r="N6348" s="362">
        <f t="shared" si="212"/>
        <v>-100</v>
      </c>
      <c r="X6348" s="339"/>
    </row>
    <row r="6349" s="330" customFormat="1" ht="15" customHeight="1" spans="1:24">
      <c r="A6349" s="334"/>
      <c r="B6349" s="334" t="s">
        <v>185</v>
      </c>
      <c r="C6349" s="334" t="s">
        <v>886</v>
      </c>
      <c r="D6349" s="334" t="s">
        <v>187</v>
      </c>
      <c r="E6349" s="336">
        <v>43754</v>
      </c>
      <c r="F6349" s="336"/>
      <c r="G6349" s="336">
        <v>43752</v>
      </c>
      <c r="H6349" s="334" t="s">
        <v>11400</v>
      </c>
      <c r="I6349" s="334">
        <v>15800395951</v>
      </c>
      <c r="J6349" s="334" t="s">
        <v>14275</v>
      </c>
      <c r="K6349" s="337"/>
      <c r="L6349" s="338"/>
      <c r="M6349" s="334">
        <v>4131</v>
      </c>
      <c r="N6349" s="362">
        <f t="shared" si="212"/>
        <v>4131</v>
      </c>
      <c r="X6349" s="339"/>
    </row>
    <row r="6350" s="330" customFormat="1" ht="15" customHeight="1" spans="1:24">
      <c r="A6350" s="334"/>
      <c r="B6350" s="334" t="s">
        <v>31</v>
      </c>
      <c r="C6350" s="334" t="s">
        <v>2716</v>
      </c>
      <c r="D6350" s="334" t="s">
        <v>33</v>
      </c>
      <c r="E6350" s="336">
        <v>43754</v>
      </c>
      <c r="F6350" s="336"/>
      <c r="G6350" s="336">
        <v>43754</v>
      </c>
      <c r="H6350" s="334" t="s">
        <v>1428</v>
      </c>
      <c r="I6350" s="356">
        <v>15950817568</v>
      </c>
      <c r="J6350" s="348" t="s">
        <v>14276</v>
      </c>
      <c r="K6350" s="337"/>
      <c r="L6350" s="338"/>
      <c r="M6350" s="334">
        <v>205</v>
      </c>
      <c r="N6350" s="362">
        <f t="shared" si="212"/>
        <v>205</v>
      </c>
      <c r="X6350" s="339"/>
    </row>
    <row r="6351" s="330" customFormat="1" ht="15" customHeight="1" spans="1:24">
      <c r="A6351" s="334"/>
      <c r="B6351" s="334" t="s">
        <v>137</v>
      </c>
      <c r="C6351" s="334" t="s">
        <v>411</v>
      </c>
      <c r="D6351" s="334" t="s">
        <v>427</v>
      </c>
      <c r="E6351" s="336">
        <v>43754</v>
      </c>
      <c r="F6351" s="336"/>
      <c r="G6351" s="336">
        <v>43754</v>
      </c>
      <c r="H6351" s="334" t="s">
        <v>6027</v>
      </c>
      <c r="I6351" s="334">
        <v>18616898664</v>
      </c>
      <c r="J6351" s="348" t="s">
        <v>14277</v>
      </c>
      <c r="K6351" s="337"/>
      <c r="L6351" s="338"/>
      <c r="M6351" s="334">
        <v>1860</v>
      </c>
      <c r="N6351" s="362">
        <f t="shared" si="212"/>
        <v>1860</v>
      </c>
      <c r="X6351" s="339"/>
    </row>
    <row r="6352" s="330" customFormat="1" ht="15" customHeight="1" spans="1:24">
      <c r="A6352" s="334"/>
      <c r="B6352" s="334" t="s">
        <v>281</v>
      </c>
      <c r="C6352" s="334" t="s">
        <v>491</v>
      </c>
      <c r="D6352" s="334" t="s">
        <v>518</v>
      </c>
      <c r="E6352" s="336">
        <v>43754</v>
      </c>
      <c r="F6352" s="336"/>
      <c r="G6352" s="336">
        <v>43754</v>
      </c>
      <c r="H6352" s="334" t="s">
        <v>7593</v>
      </c>
      <c r="I6352" s="334">
        <v>15000377727</v>
      </c>
      <c r="J6352" s="334" t="s">
        <v>14278</v>
      </c>
      <c r="K6352" s="337"/>
      <c r="L6352" s="338"/>
      <c r="M6352" s="334">
        <v>1824</v>
      </c>
      <c r="N6352" s="362">
        <f t="shared" si="212"/>
        <v>1824</v>
      </c>
      <c r="X6352" s="339"/>
    </row>
    <row r="6353" s="330" customFormat="1" ht="15" customHeight="1" spans="1:24">
      <c r="A6353" s="334"/>
      <c r="B6353" s="334" t="s">
        <v>405</v>
      </c>
      <c r="C6353" s="334" t="s">
        <v>1234</v>
      </c>
      <c r="D6353" s="334" t="s">
        <v>407</v>
      </c>
      <c r="E6353" s="336">
        <v>43754</v>
      </c>
      <c r="F6353" s="336"/>
      <c r="G6353" s="336">
        <v>43753</v>
      </c>
      <c r="H6353" s="334" t="s">
        <v>12102</v>
      </c>
      <c r="I6353" s="334">
        <v>13003234825</v>
      </c>
      <c r="J6353" s="334" t="s">
        <v>14279</v>
      </c>
      <c r="K6353" s="337"/>
      <c r="L6353" s="338"/>
      <c r="M6353" s="334">
        <v>3534</v>
      </c>
      <c r="N6353" s="362">
        <f t="shared" si="212"/>
        <v>3534</v>
      </c>
      <c r="X6353" s="339"/>
    </row>
    <row r="6354" s="330" customFormat="1" ht="15" customHeight="1" spans="1:24">
      <c r="A6354" s="334"/>
      <c r="B6354" s="334" t="s">
        <v>359</v>
      </c>
      <c r="C6354" s="334" t="s">
        <v>3018</v>
      </c>
      <c r="D6354" s="334" t="s">
        <v>361</v>
      </c>
      <c r="E6354" s="336">
        <v>43755</v>
      </c>
      <c r="F6354" s="336"/>
      <c r="G6354" s="336">
        <v>43755</v>
      </c>
      <c r="H6354" s="334" t="s">
        <v>14280</v>
      </c>
      <c r="I6354" s="334">
        <v>13816063578</v>
      </c>
      <c r="J6354" s="334" t="s">
        <v>4710</v>
      </c>
      <c r="K6354" s="337"/>
      <c r="L6354" s="338"/>
      <c r="M6354" s="334">
        <v>3782</v>
      </c>
      <c r="N6354" s="362">
        <f t="shared" si="212"/>
        <v>3782</v>
      </c>
      <c r="X6354" s="339"/>
    </row>
    <row r="6355" s="330" customFormat="1" ht="15" customHeight="1" spans="1:24">
      <c r="A6355" s="550" t="s">
        <v>14281</v>
      </c>
      <c r="B6355" s="334" t="s">
        <v>185</v>
      </c>
      <c r="C6355" s="348" t="s">
        <v>186</v>
      </c>
      <c r="D6355" s="335" t="s">
        <v>187</v>
      </c>
      <c r="E6355" s="336">
        <v>43761</v>
      </c>
      <c r="F6355" s="336">
        <v>43756</v>
      </c>
      <c r="G6355" s="336">
        <v>43759</v>
      </c>
      <c r="H6355" s="334" t="s">
        <v>14282</v>
      </c>
      <c r="I6355" s="444">
        <v>13917898932</v>
      </c>
      <c r="J6355" s="348" t="s">
        <v>14283</v>
      </c>
      <c r="K6355" s="452">
        <v>3360</v>
      </c>
      <c r="L6355" s="334">
        <v>7319</v>
      </c>
      <c r="M6355" s="338"/>
      <c r="N6355" s="362">
        <f t="shared" ref="N6355:N6375" si="213">L6355+M6355</f>
        <v>7319</v>
      </c>
      <c r="X6355" s="339"/>
    </row>
    <row r="6356" s="330" customFormat="1" ht="15" customHeight="1" spans="1:24">
      <c r="A6356" s="550" t="s">
        <v>14284</v>
      </c>
      <c r="B6356" s="334" t="s">
        <v>58</v>
      </c>
      <c r="C6356" s="348" t="s">
        <v>347</v>
      </c>
      <c r="D6356" s="335" t="s">
        <v>343</v>
      </c>
      <c r="E6356" s="336">
        <v>43756</v>
      </c>
      <c r="F6356" s="336">
        <v>43756</v>
      </c>
      <c r="G6356" s="399"/>
      <c r="H6356" s="334" t="s">
        <v>14285</v>
      </c>
      <c r="I6356" s="444">
        <v>15000264403</v>
      </c>
      <c r="J6356" s="348" t="s">
        <v>14286</v>
      </c>
      <c r="K6356" s="452">
        <v>1000</v>
      </c>
      <c r="L6356" s="338"/>
      <c r="M6356" s="338"/>
      <c r="N6356" s="362">
        <f t="shared" si="213"/>
        <v>0</v>
      </c>
      <c r="O6356" s="365" t="s">
        <v>52</v>
      </c>
      <c r="X6356" s="339"/>
    </row>
    <row r="6357" s="330" customFormat="1" ht="15" customHeight="1" spans="1:24">
      <c r="A6357" s="550" t="s">
        <v>14287</v>
      </c>
      <c r="B6357" s="334" t="s">
        <v>58</v>
      </c>
      <c r="C6357" s="348" t="s">
        <v>347</v>
      </c>
      <c r="D6357" s="335" t="s">
        <v>343</v>
      </c>
      <c r="E6357" s="336">
        <v>43768</v>
      </c>
      <c r="F6357" s="336">
        <v>43756</v>
      </c>
      <c r="G6357" s="336">
        <v>43767</v>
      </c>
      <c r="H6357" s="334" t="s">
        <v>14288</v>
      </c>
      <c r="I6357" s="444">
        <v>18001771113</v>
      </c>
      <c r="J6357" s="348" t="s">
        <v>14289</v>
      </c>
      <c r="K6357" s="452">
        <v>10000</v>
      </c>
      <c r="L6357" s="334">
        <v>10000</v>
      </c>
      <c r="M6357" s="338"/>
      <c r="N6357" s="362">
        <f t="shared" si="213"/>
        <v>10000</v>
      </c>
      <c r="X6357" s="339"/>
    </row>
    <row r="6358" s="330" customFormat="1" ht="15" customHeight="1" spans="1:24">
      <c r="A6358" s="550" t="s">
        <v>10141</v>
      </c>
      <c r="B6358" s="334" t="s">
        <v>73</v>
      </c>
      <c r="C6358" s="348" t="s">
        <v>74</v>
      </c>
      <c r="D6358" s="334" t="s">
        <v>44</v>
      </c>
      <c r="E6358" s="336">
        <v>43756</v>
      </c>
      <c r="F6358" s="336">
        <v>43756</v>
      </c>
      <c r="G6358" s="399">
        <v>43756</v>
      </c>
      <c r="H6358" s="334" t="s">
        <v>14290</v>
      </c>
      <c r="I6358" s="444">
        <v>13331831111</v>
      </c>
      <c r="J6358" s="348" t="s">
        <v>14291</v>
      </c>
      <c r="K6358" s="452">
        <v>1000</v>
      </c>
      <c r="L6358" s="334">
        <v>36750</v>
      </c>
      <c r="M6358" s="338"/>
      <c r="N6358" s="362">
        <f t="shared" si="213"/>
        <v>36750</v>
      </c>
      <c r="X6358" s="339"/>
    </row>
    <row r="6359" s="330" customFormat="1" ht="15" customHeight="1" spans="1:24">
      <c r="A6359" s="550" t="s">
        <v>14292</v>
      </c>
      <c r="B6359" s="334" t="s">
        <v>31</v>
      </c>
      <c r="C6359" s="348" t="s">
        <v>220</v>
      </c>
      <c r="D6359" s="335" t="s">
        <v>221</v>
      </c>
      <c r="E6359" s="336">
        <v>43791</v>
      </c>
      <c r="F6359" s="336">
        <v>43756</v>
      </c>
      <c r="G6359" s="336">
        <v>43791</v>
      </c>
      <c r="H6359" s="334" t="s">
        <v>14293</v>
      </c>
      <c r="I6359" s="444">
        <v>13701839115</v>
      </c>
      <c r="J6359" s="348" t="s">
        <v>14294</v>
      </c>
      <c r="K6359" s="452">
        <v>1000</v>
      </c>
      <c r="L6359" s="334">
        <v>9000</v>
      </c>
      <c r="M6359" s="338"/>
      <c r="N6359" s="362">
        <f t="shared" si="213"/>
        <v>9000</v>
      </c>
      <c r="X6359" s="339"/>
    </row>
    <row r="6360" s="330" customFormat="1" ht="15" customHeight="1" spans="1:24">
      <c r="A6360" s="550" t="s">
        <v>14295</v>
      </c>
      <c r="B6360" s="334" t="s">
        <v>31</v>
      </c>
      <c r="C6360" s="348" t="s">
        <v>220</v>
      </c>
      <c r="D6360" s="335" t="s">
        <v>221</v>
      </c>
      <c r="E6360" s="336">
        <v>43756</v>
      </c>
      <c r="F6360" s="336">
        <v>43756</v>
      </c>
      <c r="G6360" s="399"/>
      <c r="H6360" s="334" t="s">
        <v>14293</v>
      </c>
      <c r="I6360" s="444">
        <v>13701839115</v>
      </c>
      <c r="J6360" s="348" t="s">
        <v>14296</v>
      </c>
      <c r="K6360" s="452">
        <v>1000</v>
      </c>
      <c r="L6360" s="338"/>
      <c r="M6360" s="338"/>
      <c r="N6360" s="362">
        <f t="shared" si="213"/>
        <v>0</v>
      </c>
      <c r="Q6360" s="366" t="s">
        <v>52</v>
      </c>
      <c r="X6360" s="339"/>
    </row>
    <row r="6361" s="330" customFormat="1" ht="15" customHeight="1" spans="1:24">
      <c r="A6361" s="550" t="s">
        <v>14297</v>
      </c>
      <c r="B6361" s="334" t="s">
        <v>236</v>
      </c>
      <c r="C6361" s="348" t="s">
        <v>195</v>
      </c>
      <c r="D6361" s="334" t="s">
        <v>207</v>
      </c>
      <c r="E6361" s="336">
        <v>43756</v>
      </c>
      <c r="F6361" s="336">
        <v>43753</v>
      </c>
      <c r="G6361" s="399">
        <v>43753</v>
      </c>
      <c r="H6361" s="334" t="s">
        <v>1241</v>
      </c>
      <c r="I6361" s="444">
        <v>15618578590</v>
      </c>
      <c r="J6361" s="348" t="s">
        <v>14298</v>
      </c>
      <c r="K6361" s="452">
        <v>3934</v>
      </c>
      <c r="L6361" s="334">
        <v>3934</v>
      </c>
      <c r="M6361" s="338"/>
      <c r="N6361" s="362">
        <f t="shared" si="213"/>
        <v>3934</v>
      </c>
      <c r="X6361" s="339"/>
    </row>
    <row r="6362" s="330" customFormat="1" ht="15" customHeight="1" spans="1:24">
      <c r="A6362" s="550" t="s">
        <v>14299</v>
      </c>
      <c r="B6362" s="334" t="s">
        <v>236</v>
      </c>
      <c r="C6362" s="348" t="s">
        <v>195</v>
      </c>
      <c r="D6362" s="334" t="s">
        <v>33</v>
      </c>
      <c r="E6362" s="336">
        <v>43770</v>
      </c>
      <c r="F6362" s="336">
        <v>43751</v>
      </c>
      <c r="G6362" s="336">
        <v>43766</v>
      </c>
      <c r="H6362" s="334" t="s">
        <v>14300</v>
      </c>
      <c r="I6362" s="444">
        <v>18001932259</v>
      </c>
      <c r="J6362" s="348" t="s">
        <v>14301</v>
      </c>
      <c r="K6362" s="452">
        <v>5000</v>
      </c>
      <c r="L6362" s="408">
        <v>11254</v>
      </c>
      <c r="M6362" s="338"/>
      <c r="N6362" s="362">
        <f t="shared" si="213"/>
        <v>11254</v>
      </c>
      <c r="X6362" s="339"/>
    </row>
    <row r="6363" s="330" customFormat="1" ht="15" customHeight="1" spans="1:24">
      <c r="A6363" s="550" t="s">
        <v>14302</v>
      </c>
      <c r="B6363" s="334" t="s">
        <v>123</v>
      </c>
      <c r="C6363" s="348" t="s">
        <v>902</v>
      </c>
      <c r="D6363" s="334" t="s">
        <v>2302</v>
      </c>
      <c r="E6363" s="336">
        <v>43756</v>
      </c>
      <c r="F6363" s="336">
        <v>43750</v>
      </c>
      <c r="G6363" s="399">
        <v>43754</v>
      </c>
      <c r="H6363" s="334" t="s">
        <v>14303</v>
      </c>
      <c r="I6363" s="444">
        <v>13916213936</v>
      </c>
      <c r="J6363" s="348" t="s">
        <v>14304</v>
      </c>
      <c r="K6363" s="452">
        <v>1000</v>
      </c>
      <c r="L6363" s="334">
        <v>9873</v>
      </c>
      <c r="M6363" s="338"/>
      <c r="N6363" s="362">
        <f t="shared" si="213"/>
        <v>9873</v>
      </c>
      <c r="X6363" s="339"/>
    </row>
    <row r="6364" s="330" customFormat="1" ht="15" customHeight="1" spans="1:24">
      <c r="A6364" s="550" t="s">
        <v>14305</v>
      </c>
      <c r="B6364" s="334" t="s">
        <v>66</v>
      </c>
      <c r="C6364" s="348" t="s">
        <v>505</v>
      </c>
      <c r="D6364" s="334" t="s">
        <v>2302</v>
      </c>
      <c r="E6364" s="336">
        <v>43761</v>
      </c>
      <c r="F6364" s="336">
        <v>43756</v>
      </c>
      <c r="G6364" s="336">
        <v>43761</v>
      </c>
      <c r="H6364" s="334" t="s">
        <v>14306</v>
      </c>
      <c r="I6364" s="444">
        <v>13761685283</v>
      </c>
      <c r="J6364" s="348" t="s">
        <v>14307</v>
      </c>
      <c r="K6364" s="452">
        <v>1767</v>
      </c>
      <c r="L6364" s="334">
        <v>1867</v>
      </c>
      <c r="M6364" s="338"/>
      <c r="N6364" s="362">
        <f t="shared" si="213"/>
        <v>1867</v>
      </c>
      <c r="X6364" s="339"/>
    </row>
    <row r="6365" s="330" customFormat="1" ht="15" customHeight="1" spans="1:24">
      <c r="A6365" s="348"/>
      <c r="B6365" s="334" t="s">
        <v>153</v>
      </c>
      <c r="C6365" s="348" t="s">
        <v>302</v>
      </c>
      <c r="D6365" s="335" t="s">
        <v>155</v>
      </c>
      <c r="E6365" s="336">
        <v>43784</v>
      </c>
      <c r="F6365" s="336">
        <v>43756</v>
      </c>
      <c r="G6365" s="336">
        <v>43783</v>
      </c>
      <c r="H6365" s="334" t="s">
        <v>14308</v>
      </c>
      <c r="I6365" s="444">
        <v>13601702750</v>
      </c>
      <c r="J6365" s="348" t="s">
        <v>14309</v>
      </c>
      <c r="K6365" s="452">
        <v>1680</v>
      </c>
      <c r="L6365" s="334">
        <v>6719</v>
      </c>
      <c r="M6365" s="338"/>
      <c r="N6365" s="362">
        <f t="shared" si="213"/>
        <v>6719</v>
      </c>
      <c r="X6365" s="339"/>
    </row>
    <row r="6366" s="330" customFormat="1" ht="15" customHeight="1" spans="1:24">
      <c r="A6366" s="334"/>
      <c r="B6366" s="334" t="s">
        <v>243</v>
      </c>
      <c r="C6366" s="334" t="s">
        <v>309</v>
      </c>
      <c r="D6366" s="335" t="s">
        <v>49</v>
      </c>
      <c r="E6366" s="336">
        <v>43756</v>
      </c>
      <c r="F6366" s="336"/>
      <c r="G6366" s="336">
        <v>43756</v>
      </c>
      <c r="H6366" s="334" t="s">
        <v>14310</v>
      </c>
      <c r="I6366" s="334">
        <v>15000186553</v>
      </c>
      <c r="J6366" s="334" t="s">
        <v>14311</v>
      </c>
      <c r="K6366" s="337"/>
      <c r="L6366" s="334">
        <v>24177</v>
      </c>
      <c r="M6366" s="338"/>
      <c r="N6366" s="362">
        <f t="shared" si="213"/>
        <v>24177</v>
      </c>
      <c r="X6366" s="339"/>
    </row>
    <row r="6367" s="330" customFormat="1" ht="15" customHeight="1" spans="1:24">
      <c r="A6367" s="334"/>
      <c r="B6367" s="334" t="s">
        <v>243</v>
      </c>
      <c r="C6367" s="334" t="s">
        <v>304</v>
      </c>
      <c r="D6367" s="335" t="s">
        <v>49</v>
      </c>
      <c r="E6367" s="336">
        <v>43756</v>
      </c>
      <c r="F6367" s="336"/>
      <c r="G6367" s="336">
        <v>43753</v>
      </c>
      <c r="H6367" s="334" t="s">
        <v>14312</v>
      </c>
      <c r="I6367" s="334">
        <v>18917583649</v>
      </c>
      <c r="J6367" s="334" t="s">
        <v>14313</v>
      </c>
      <c r="K6367" s="337"/>
      <c r="L6367" s="334">
        <v>4780</v>
      </c>
      <c r="M6367" s="338"/>
      <c r="N6367" s="362">
        <f t="shared" si="213"/>
        <v>4780</v>
      </c>
      <c r="X6367" s="339"/>
    </row>
    <row r="6368" s="330" customFormat="1" ht="15" customHeight="1" spans="1:24">
      <c r="A6368" s="334"/>
      <c r="B6368" s="334" t="s">
        <v>31</v>
      </c>
      <c r="C6368" s="334" t="s">
        <v>220</v>
      </c>
      <c r="D6368" s="334" t="s">
        <v>954</v>
      </c>
      <c r="E6368" s="336">
        <v>43756</v>
      </c>
      <c r="F6368" s="336"/>
      <c r="G6368" s="336">
        <v>43751</v>
      </c>
      <c r="H6368" s="334" t="s">
        <v>7815</v>
      </c>
      <c r="I6368" s="334">
        <v>18621869707</v>
      </c>
      <c r="J6368" s="334" t="s">
        <v>14314</v>
      </c>
      <c r="K6368" s="337"/>
      <c r="L6368" s="334">
        <v>6026</v>
      </c>
      <c r="M6368" s="338"/>
      <c r="N6368" s="362">
        <f t="shared" si="213"/>
        <v>6026</v>
      </c>
      <c r="X6368" s="339"/>
    </row>
    <row r="6369" s="330" customFormat="1" ht="15" customHeight="1" spans="1:24">
      <c r="A6369" s="334"/>
      <c r="B6369" s="334" t="s">
        <v>315</v>
      </c>
      <c r="C6369" s="334" t="s">
        <v>181</v>
      </c>
      <c r="D6369" s="334" t="s">
        <v>207</v>
      </c>
      <c r="E6369" s="336">
        <v>43756</v>
      </c>
      <c r="F6369" s="336"/>
      <c r="G6369" s="336">
        <v>43756</v>
      </c>
      <c r="H6369" s="334" t="s">
        <v>14315</v>
      </c>
      <c r="I6369" s="334">
        <v>13671573316</v>
      </c>
      <c r="J6369" s="334" t="s">
        <v>13332</v>
      </c>
      <c r="K6369" s="337"/>
      <c r="L6369" s="334">
        <v>8707</v>
      </c>
      <c r="M6369" s="338"/>
      <c r="N6369" s="362">
        <f t="shared" si="213"/>
        <v>8707</v>
      </c>
      <c r="X6369" s="339"/>
    </row>
    <row r="6370" s="330" customFormat="1" ht="15" customHeight="1" spans="1:24">
      <c r="A6370" s="334"/>
      <c r="B6370" s="334" t="s">
        <v>137</v>
      </c>
      <c r="C6370" s="334" t="s">
        <v>480</v>
      </c>
      <c r="D6370" s="334" t="s">
        <v>139</v>
      </c>
      <c r="E6370" s="336">
        <v>43756</v>
      </c>
      <c r="F6370" s="336"/>
      <c r="G6370" s="336">
        <v>43756</v>
      </c>
      <c r="H6370" s="334" t="s">
        <v>14316</v>
      </c>
      <c r="I6370" s="334">
        <v>15921291353</v>
      </c>
      <c r="J6370" s="334" t="s">
        <v>14317</v>
      </c>
      <c r="K6370" s="337"/>
      <c r="L6370" s="334">
        <v>13989</v>
      </c>
      <c r="M6370" s="338"/>
      <c r="N6370" s="362">
        <f t="shared" si="213"/>
        <v>13989</v>
      </c>
      <c r="X6370" s="339"/>
    </row>
    <row r="6371" s="330" customFormat="1" ht="15" customHeight="1" spans="1:24">
      <c r="A6371" s="334"/>
      <c r="B6371" s="334" t="s">
        <v>66</v>
      </c>
      <c r="C6371" s="334" t="s">
        <v>67</v>
      </c>
      <c r="D6371" s="334" t="s">
        <v>2302</v>
      </c>
      <c r="E6371" s="336">
        <v>43756</v>
      </c>
      <c r="F6371" s="336"/>
      <c r="G6371" s="336">
        <v>43754</v>
      </c>
      <c r="H6371" s="334" t="s">
        <v>14318</v>
      </c>
      <c r="I6371" s="334">
        <v>13764282595</v>
      </c>
      <c r="J6371" s="334" t="s">
        <v>14319</v>
      </c>
      <c r="K6371" s="337"/>
      <c r="L6371" s="334">
        <v>3353</v>
      </c>
      <c r="M6371" s="338"/>
      <c r="N6371" s="362">
        <f t="shared" si="213"/>
        <v>3353</v>
      </c>
      <c r="X6371" s="339"/>
    </row>
    <row r="6372" s="330" customFormat="1" ht="15" customHeight="1" spans="1:24">
      <c r="A6372" s="334"/>
      <c r="B6372" s="334" t="s">
        <v>73</v>
      </c>
      <c r="C6372" s="334" t="s">
        <v>74</v>
      </c>
      <c r="D6372" s="334" t="s">
        <v>75</v>
      </c>
      <c r="E6372" s="336">
        <v>43756</v>
      </c>
      <c r="F6372" s="336"/>
      <c r="G6372" s="336">
        <v>43756</v>
      </c>
      <c r="H6372" s="334" t="s">
        <v>5204</v>
      </c>
      <c r="I6372" s="334">
        <v>15921080858</v>
      </c>
      <c r="J6372" s="334" t="s">
        <v>5205</v>
      </c>
      <c r="K6372" s="337"/>
      <c r="L6372" s="338"/>
      <c r="M6372" s="334">
        <v>-2992</v>
      </c>
      <c r="N6372" s="362">
        <f t="shared" si="213"/>
        <v>-2992</v>
      </c>
      <c r="X6372" s="339"/>
    </row>
    <row r="6373" s="330" customFormat="1" ht="15" customHeight="1" spans="1:24">
      <c r="A6373" s="334"/>
      <c r="B6373" s="334" t="s">
        <v>243</v>
      </c>
      <c r="C6373" s="334" t="s">
        <v>304</v>
      </c>
      <c r="D6373" s="334" t="s">
        <v>49</v>
      </c>
      <c r="E6373" s="336">
        <v>43756</v>
      </c>
      <c r="F6373" s="336"/>
      <c r="G6373" s="336">
        <v>43756</v>
      </c>
      <c r="H6373" s="334" t="s">
        <v>14320</v>
      </c>
      <c r="I6373" s="356">
        <v>18918363207</v>
      </c>
      <c r="J6373" s="348" t="s">
        <v>14321</v>
      </c>
      <c r="K6373" s="337"/>
      <c r="L6373" s="338"/>
      <c r="M6373" s="334">
        <v>1409</v>
      </c>
      <c r="N6373" s="362">
        <f t="shared" si="213"/>
        <v>1409</v>
      </c>
      <c r="X6373" s="339"/>
    </row>
    <row r="6374" s="330" customFormat="1" ht="15" customHeight="1" spans="1:24">
      <c r="A6374" s="334"/>
      <c r="B6374" s="334" t="s">
        <v>123</v>
      </c>
      <c r="C6374" s="334" t="s">
        <v>32</v>
      </c>
      <c r="D6374" s="334" t="s">
        <v>125</v>
      </c>
      <c r="E6374" s="336">
        <v>43756</v>
      </c>
      <c r="F6374" s="336"/>
      <c r="G6374" s="336">
        <v>43756</v>
      </c>
      <c r="H6374" s="334" t="s">
        <v>13026</v>
      </c>
      <c r="I6374" s="334">
        <v>13701915578</v>
      </c>
      <c r="J6374" s="348" t="s">
        <v>13027</v>
      </c>
      <c r="K6374" s="337"/>
      <c r="L6374" s="338"/>
      <c r="M6374" s="334">
        <v>527</v>
      </c>
      <c r="N6374" s="362">
        <f t="shared" si="213"/>
        <v>527</v>
      </c>
      <c r="X6374" s="339"/>
    </row>
    <row r="6375" s="330" customFormat="1" ht="15" customHeight="1" spans="1:24">
      <c r="A6375" s="334"/>
      <c r="B6375" s="334" t="s">
        <v>123</v>
      </c>
      <c r="C6375" s="334" t="s">
        <v>32</v>
      </c>
      <c r="D6375" s="334" t="s">
        <v>125</v>
      </c>
      <c r="E6375" s="336">
        <v>43756</v>
      </c>
      <c r="F6375" s="336"/>
      <c r="G6375" s="336">
        <v>43756</v>
      </c>
      <c r="H6375" s="334" t="s">
        <v>12290</v>
      </c>
      <c r="I6375" s="334">
        <v>18621299166</v>
      </c>
      <c r="J6375" s="334" t="s">
        <v>14322</v>
      </c>
      <c r="K6375" s="337"/>
      <c r="L6375" s="338"/>
      <c r="M6375" s="334">
        <v>12438</v>
      </c>
      <c r="N6375" s="362">
        <f t="shared" si="213"/>
        <v>12438</v>
      </c>
      <c r="X6375" s="339"/>
    </row>
    <row r="6376" s="330" customFormat="1" ht="15" customHeight="1" spans="1:24">
      <c r="A6376" s="334"/>
      <c r="B6376" s="334" t="s">
        <v>169</v>
      </c>
      <c r="C6376" s="334" t="s">
        <v>542</v>
      </c>
      <c r="D6376" s="334" t="s">
        <v>171</v>
      </c>
      <c r="E6376" s="336">
        <v>43756</v>
      </c>
      <c r="F6376" s="336"/>
      <c r="G6376" s="336">
        <v>43756</v>
      </c>
      <c r="H6376" s="334" t="s">
        <v>8458</v>
      </c>
      <c r="I6376" s="334">
        <v>18516171707</v>
      </c>
      <c r="J6376" s="334" t="s">
        <v>14323</v>
      </c>
      <c r="K6376" s="337"/>
      <c r="L6376" s="338"/>
      <c r="M6376" s="334">
        <v>454</v>
      </c>
      <c r="N6376" s="362">
        <f t="shared" ref="N6376:N6382" si="214">L6376+M6376</f>
        <v>454</v>
      </c>
      <c r="X6376" s="339"/>
    </row>
    <row r="6377" s="330" customFormat="1" ht="15" customHeight="1" spans="1:24">
      <c r="A6377" s="334"/>
      <c r="B6377" s="334" t="s">
        <v>243</v>
      </c>
      <c r="C6377" s="334" t="s">
        <v>309</v>
      </c>
      <c r="D6377" s="334" t="s">
        <v>49</v>
      </c>
      <c r="E6377" s="336">
        <v>43756</v>
      </c>
      <c r="F6377" s="336"/>
      <c r="G6377" s="336">
        <v>43756</v>
      </c>
      <c r="H6377" s="334" t="s">
        <v>6335</v>
      </c>
      <c r="I6377" s="334">
        <v>13818535742</v>
      </c>
      <c r="J6377" s="334" t="s">
        <v>10819</v>
      </c>
      <c r="K6377" s="337"/>
      <c r="L6377" s="338"/>
      <c r="M6377" s="334">
        <v>1896</v>
      </c>
      <c r="N6377" s="362">
        <f t="shared" si="214"/>
        <v>1896</v>
      </c>
      <c r="X6377" s="339"/>
    </row>
    <row r="6378" s="330" customFormat="1" ht="15" customHeight="1" spans="1:24">
      <c r="A6378" s="334"/>
      <c r="B6378" s="334" t="s">
        <v>123</v>
      </c>
      <c r="C6378" s="334" t="s">
        <v>498</v>
      </c>
      <c r="D6378" s="334" t="s">
        <v>125</v>
      </c>
      <c r="E6378" s="336">
        <v>43756</v>
      </c>
      <c r="F6378" s="336"/>
      <c r="G6378" s="336">
        <v>43756</v>
      </c>
      <c r="H6378" s="334" t="s">
        <v>1003</v>
      </c>
      <c r="I6378" s="334">
        <v>13701653241</v>
      </c>
      <c r="J6378" s="334" t="s">
        <v>14324</v>
      </c>
      <c r="K6378" s="337"/>
      <c r="L6378" s="338"/>
      <c r="M6378" s="334">
        <v>3800</v>
      </c>
      <c r="N6378" s="362">
        <f t="shared" si="214"/>
        <v>3800</v>
      </c>
      <c r="X6378" s="339"/>
    </row>
    <row r="6379" s="330" customFormat="1" ht="15" customHeight="1" spans="1:24">
      <c r="A6379" s="334"/>
      <c r="B6379" s="334" t="s">
        <v>87</v>
      </c>
      <c r="C6379" s="334" t="s">
        <v>199</v>
      </c>
      <c r="D6379" s="334" t="s">
        <v>75</v>
      </c>
      <c r="E6379" s="336">
        <v>43756</v>
      </c>
      <c r="F6379" s="336"/>
      <c r="G6379" s="336">
        <v>43756</v>
      </c>
      <c r="H6379" s="334" t="s">
        <v>4987</v>
      </c>
      <c r="I6379" s="334">
        <v>18049822789</v>
      </c>
      <c r="J6379" s="334" t="s">
        <v>14325</v>
      </c>
      <c r="K6379" s="337"/>
      <c r="L6379" s="338"/>
      <c r="M6379" s="334">
        <v>15536</v>
      </c>
      <c r="N6379" s="362">
        <f t="shared" si="214"/>
        <v>15536</v>
      </c>
      <c r="X6379" s="339"/>
    </row>
    <row r="6380" s="330" customFormat="1" ht="15" customHeight="1" spans="1:24">
      <c r="A6380" s="334"/>
      <c r="B6380" s="334" t="s">
        <v>58</v>
      </c>
      <c r="C6380" s="334" t="s">
        <v>347</v>
      </c>
      <c r="D6380" s="334" t="s">
        <v>343</v>
      </c>
      <c r="E6380" s="336">
        <v>43756</v>
      </c>
      <c r="F6380" s="336"/>
      <c r="G6380" s="336">
        <v>43756</v>
      </c>
      <c r="H6380" s="334" t="s">
        <v>12678</v>
      </c>
      <c r="I6380" s="356">
        <v>13681746812</v>
      </c>
      <c r="J6380" s="348" t="s">
        <v>14326</v>
      </c>
      <c r="K6380" s="337"/>
      <c r="L6380" s="338"/>
      <c r="M6380" s="334">
        <v>-15699</v>
      </c>
      <c r="N6380" s="362">
        <f t="shared" si="214"/>
        <v>-15699</v>
      </c>
      <c r="X6380" s="339"/>
    </row>
    <row r="6381" s="330" customFormat="1" ht="15" customHeight="1" spans="1:24">
      <c r="A6381" s="334"/>
      <c r="B6381" s="334" t="s">
        <v>73</v>
      </c>
      <c r="C6381" s="334" t="s">
        <v>178</v>
      </c>
      <c r="D6381" s="334" t="s">
        <v>75</v>
      </c>
      <c r="E6381" s="336">
        <v>43756</v>
      </c>
      <c r="F6381" s="336"/>
      <c r="G6381" s="336">
        <v>43754</v>
      </c>
      <c r="H6381" s="334" t="s">
        <v>8376</v>
      </c>
      <c r="I6381" s="334">
        <v>13714669625</v>
      </c>
      <c r="J6381" s="334" t="s">
        <v>14327</v>
      </c>
      <c r="K6381" s="337"/>
      <c r="L6381" s="338"/>
      <c r="M6381" s="334">
        <f>3256+351</f>
        <v>3607</v>
      </c>
      <c r="N6381" s="362">
        <f t="shared" si="214"/>
        <v>3607</v>
      </c>
      <c r="X6381" s="339"/>
    </row>
    <row r="6382" s="330" customFormat="1" ht="15" customHeight="1" spans="1:24">
      <c r="A6382" s="334"/>
      <c r="B6382" s="348" t="s">
        <v>169</v>
      </c>
      <c r="C6382" s="348" t="s">
        <v>1265</v>
      </c>
      <c r="D6382" s="334" t="s">
        <v>635</v>
      </c>
      <c r="E6382" s="336">
        <v>43756</v>
      </c>
      <c r="F6382" s="336"/>
      <c r="G6382" s="336">
        <v>43756</v>
      </c>
      <c r="H6382" s="334" t="s">
        <v>10777</v>
      </c>
      <c r="I6382" s="356">
        <v>13501770510</v>
      </c>
      <c r="J6382" s="348" t="s">
        <v>10778</v>
      </c>
      <c r="K6382" s="337"/>
      <c r="L6382" s="338"/>
      <c r="M6382" s="334">
        <v>-3000</v>
      </c>
      <c r="N6382" s="362">
        <f t="shared" si="214"/>
        <v>-3000</v>
      </c>
      <c r="X6382" s="339"/>
    </row>
    <row r="6383" s="330" customFormat="1" ht="15" customHeight="1" spans="1:24">
      <c r="A6383" s="348" t="s">
        <v>13074</v>
      </c>
      <c r="B6383" s="334" t="s">
        <v>137</v>
      </c>
      <c r="C6383" s="348" t="s">
        <v>2705</v>
      </c>
      <c r="D6383" s="334" t="s">
        <v>427</v>
      </c>
      <c r="E6383" s="336">
        <v>43762</v>
      </c>
      <c r="F6383" s="336">
        <v>43756</v>
      </c>
      <c r="G6383" s="336">
        <v>43758</v>
      </c>
      <c r="H6383" s="334" t="s">
        <v>14328</v>
      </c>
      <c r="I6383" s="444">
        <v>18317118448</v>
      </c>
      <c r="J6383" s="348" t="s">
        <v>14329</v>
      </c>
      <c r="K6383" s="452">
        <v>4398</v>
      </c>
      <c r="L6383" s="334">
        <v>5668</v>
      </c>
      <c r="M6383" s="338"/>
      <c r="N6383" s="362">
        <f t="shared" ref="N6383:N6394" si="215">L6383+M6383</f>
        <v>5668</v>
      </c>
      <c r="X6383" s="339"/>
    </row>
    <row r="6384" s="330" customFormat="1" ht="15" customHeight="1" spans="1:24">
      <c r="A6384" s="348"/>
      <c r="B6384" s="334" t="s">
        <v>137</v>
      </c>
      <c r="C6384" s="348" t="s">
        <v>2705</v>
      </c>
      <c r="D6384" s="334" t="s">
        <v>427</v>
      </c>
      <c r="E6384" s="336">
        <v>43768</v>
      </c>
      <c r="F6384" s="336">
        <v>43756</v>
      </c>
      <c r="G6384" s="336">
        <v>43765</v>
      </c>
      <c r="H6384" s="334" t="s">
        <v>14330</v>
      </c>
      <c r="I6384" s="444">
        <v>13777771126</v>
      </c>
      <c r="J6384" s="348" t="s">
        <v>14331</v>
      </c>
      <c r="K6384" s="452">
        <v>1000</v>
      </c>
      <c r="L6384" s="334">
        <v>9422</v>
      </c>
      <c r="M6384" s="338"/>
      <c r="N6384" s="362">
        <f t="shared" si="215"/>
        <v>9422</v>
      </c>
      <c r="X6384" s="339"/>
    </row>
    <row r="6385" s="330" customFormat="1" ht="15" customHeight="1" spans="1:24">
      <c r="A6385" s="348"/>
      <c r="B6385" s="334" t="s">
        <v>5336</v>
      </c>
      <c r="C6385" s="348" t="s">
        <v>5336</v>
      </c>
      <c r="D6385" s="334" t="s">
        <v>8334</v>
      </c>
      <c r="E6385" s="336">
        <v>43761</v>
      </c>
      <c r="F6385" s="336">
        <v>43757</v>
      </c>
      <c r="G6385" s="336">
        <v>43760</v>
      </c>
      <c r="H6385" s="334" t="s">
        <v>14332</v>
      </c>
      <c r="I6385" s="444">
        <v>15888137013</v>
      </c>
      <c r="J6385" s="348" t="s">
        <v>14333</v>
      </c>
      <c r="K6385" s="452">
        <v>11383</v>
      </c>
      <c r="L6385" s="334">
        <v>14374</v>
      </c>
      <c r="M6385" s="338"/>
      <c r="N6385" s="362">
        <f t="shared" si="215"/>
        <v>14374</v>
      </c>
      <c r="X6385" s="339"/>
    </row>
    <row r="6386" s="330" customFormat="1" ht="15" customHeight="1" spans="1:24">
      <c r="A6386" s="550" t="s">
        <v>14334</v>
      </c>
      <c r="B6386" s="334" t="s">
        <v>31</v>
      </c>
      <c r="C6386" s="334" t="s">
        <v>377</v>
      </c>
      <c r="D6386" s="334" t="s">
        <v>33</v>
      </c>
      <c r="E6386" s="336">
        <v>43759</v>
      </c>
      <c r="F6386" s="336">
        <v>43756</v>
      </c>
      <c r="G6386" s="336">
        <v>43757</v>
      </c>
      <c r="H6386" s="334" t="s">
        <v>14335</v>
      </c>
      <c r="I6386" s="334">
        <v>13919379857</v>
      </c>
      <c r="J6386" s="334" t="s">
        <v>14336</v>
      </c>
      <c r="K6386" s="452">
        <v>1000</v>
      </c>
      <c r="L6386" s="334">
        <v>9426</v>
      </c>
      <c r="M6386" s="334">
        <v>804</v>
      </c>
      <c r="N6386" s="362">
        <f t="shared" si="215"/>
        <v>10230</v>
      </c>
      <c r="X6386" s="339"/>
    </row>
    <row r="6387" s="330" customFormat="1" ht="15" customHeight="1" spans="1:24">
      <c r="A6387" s="550" t="s">
        <v>14337</v>
      </c>
      <c r="B6387" s="334" t="s">
        <v>66</v>
      </c>
      <c r="C6387" s="348" t="s">
        <v>1749</v>
      </c>
      <c r="D6387" s="335" t="s">
        <v>68</v>
      </c>
      <c r="E6387" s="336">
        <v>43760</v>
      </c>
      <c r="F6387" s="336">
        <v>43757</v>
      </c>
      <c r="G6387" s="336">
        <v>43758</v>
      </c>
      <c r="H6387" s="334" t="s">
        <v>14338</v>
      </c>
      <c r="I6387" s="444">
        <v>18516507113</v>
      </c>
      <c r="J6387" s="348" t="s">
        <v>14339</v>
      </c>
      <c r="K6387" s="452">
        <v>6577</v>
      </c>
      <c r="L6387" s="334">
        <v>6577</v>
      </c>
      <c r="M6387" s="338"/>
      <c r="N6387" s="362">
        <f t="shared" si="215"/>
        <v>6577</v>
      </c>
      <c r="X6387" s="339"/>
    </row>
    <row r="6388" s="330" customFormat="1" ht="15" customHeight="1" spans="1:24">
      <c r="A6388" s="550" t="s">
        <v>14340</v>
      </c>
      <c r="B6388" s="334" t="s">
        <v>35</v>
      </c>
      <c r="C6388" s="348" t="s">
        <v>392</v>
      </c>
      <c r="D6388" s="335" t="s">
        <v>37</v>
      </c>
      <c r="E6388" s="336">
        <v>43768</v>
      </c>
      <c r="F6388" s="336">
        <v>43757</v>
      </c>
      <c r="G6388" s="336">
        <v>43768</v>
      </c>
      <c r="H6388" s="334" t="s">
        <v>14341</v>
      </c>
      <c r="I6388" s="444">
        <v>18930982731</v>
      </c>
      <c r="J6388" s="348" t="s">
        <v>14342</v>
      </c>
      <c r="K6388" s="452">
        <v>1000</v>
      </c>
      <c r="L6388" s="334">
        <v>33390</v>
      </c>
      <c r="M6388" s="338"/>
      <c r="N6388" s="362">
        <f t="shared" si="215"/>
        <v>33390</v>
      </c>
      <c r="X6388" s="339"/>
    </row>
    <row r="6389" s="330" customFormat="1" ht="15" customHeight="1" spans="1:24">
      <c r="A6389" s="550" t="s">
        <v>14343</v>
      </c>
      <c r="B6389" s="334" t="s">
        <v>405</v>
      </c>
      <c r="C6389" s="348" t="s">
        <v>1234</v>
      </c>
      <c r="D6389" s="335" t="s">
        <v>407</v>
      </c>
      <c r="E6389" s="336">
        <v>43785</v>
      </c>
      <c r="F6389" s="336">
        <v>43757</v>
      </c>
      <c r="G6389" s="336">
        <v>43782</v>
      </c>
      <c r="H6389" s="334" t="s">
        <v>14344</v>
      </c>
      <c r="I6389" s="444">
        <v>13917875939</v>
      </c>
      <c r="J6389" s="348" t="s">
        <v>14345</v>
      </c>
      <c r="K6389" s="452">
        <v>10000</v>
      </c>
      <c r="L6389" s="334">
        <v>29900</v>
      </c>
      <c r="M6389" s="338"/>
      <c r="N6389" s="362">
        <f t="shared" si="215"/>
        <v>29900</v>
      </c>
      <c r="X6389" s="339"/>
    </row>
    <row r="6390" s="330" customFormat="1" ht="15" customHeight="1" spans="1:24">
      <c r="A6390" s="550" t="s">
        <v>10162</v>
      </c>
      <c r="B6390" s="334" t="s">
        <v>73</v>
      </c>
      <c r="C6390" s="334" t="s">
        <v>74</v>
      </c>
      <c r="D6390" s="334" t="s">
        <v>132</v>
      </c>
      <c r="E6390" s="336">
        <v>43761</v>
      </c>
      <c r="F6390" s="336">
        <v>43757</v>
      </c>
      <c r="G6390" s="336">
        <v>43758</v>
      </c>
      <c r="H6390" s="334" t="s">
        <v>14346</v>
      </c>
      <c r="I6390" s="444">
        <v>18017679727</v>
      </c>
      <c r="J6390" s="348" t="s">
        <v>14347</v>
      </c>
      <c r="K6390" s="452">
        <v>1000</v>
      </c>
      <c r="L6390" s="334">
        <v>17056</v>
      </c>
      <c r="M6390" s="338"/>
      <c r="N6390" s="362">
        <f t="shared" si="215"/>
        <v>17056</v>
      </c>
      <c r="X6390" s="339"/>
    </row>
    <row r="6391" s="330" customFormat="1" ht="15" customHeight="1" spans="1:24">
      <c r="A6391" s="550" t="s">
        <v>10058</v>
      </c>
      <c r="B6391" s="334" t="s">
        <v>73</v>
      </c>
      <c r="C6391" s="348" t="s">
        <v>74</v>
      </c>
      <c r="D6391" s="334" t="s">
        <v>427</v>
      </c>
      <c r="E6391" s="336">
        <v>43784</v>
      </c>
      <c r="F6391" s="336">
        <v>43757</v>
      </c>
      <c r="G6391" s="336">
        <v>43783</v>
      </c>
      <c r="H6391" s="334" t="s">
        <v>12028</v>
      </c>
      <c r="I6391" s="444">
        <v>13524861308</v>
      </c>
      <c r="J6391" s="348" t="s">
        <v>14348</v>
      </c>
      <c r="K6391" s="452">
        <v>1000</v>
      </c>
      <c r="L6391" s="334">
        <v>19523</v>
      </c>
      <c r="M6391" s="338"/>
      <c r="N6391" s="362">
        <f t="shared" si="215"/>
        <v>19523</v>
      </c>
      <c r="X6391" s="339"/>
    </row>
    <row r="6392" s="330" customFormat="1" ht="15" customHeight="1" spans="1:24">
      <c r="A6392" s="348"/>
      <c r="B6392" s="334" t="s">
        <v>185</v>
      </c>
      <c r="C6392" s="348" t="s">
        <v>186</v>
      </c>
      <c r="D6392" s="335" t="s">
        <v>187</v>
      </c>
      <c r="E6392" s="336">
        <v>43786</v>
      </c>
      <c r="F6392" s="336">
        <v>43757</v>
      </c>
      <c r="G6392" s="336">
        <v>43785</v>
      </c>
      <c r="H6392" s="334" t="s">
        <v>14349</v>
      </c>
      <c r="I6392" s="444">
        <v>13911717191</v>
      </c>
      <c r="J6392" s="348" t="s">
        <v>14350</v>
      </c>
      <c r="K6392" s="452">
        <v>1000</v>
      </c>
      <c r="L6392" s="334">
        <v>11445</v>
      </c>
      <c r="M6392" s="338"/>
      <c r="N6392" s="362">
        <f t="shared" si="215"/>
        <v>11445</v>
      </c>
      <c r="X6392" s="339"/>
    </row>
    <row r="6393" s="330" customFormat="1" ht="15" customHeight="1" spans="1:24">
      <c r="A6393" s="348">
        <v>2066260</v>
      </c>
      <c r="B6393" s="334" t="s">
        <v>94</v>
      </c>
      <c r="C6393" s="348" t="s">
        <v>3196</v>
      </c>
      <c r="D6393" s="335" t="s">
        <v>49</v>
      </c>
      <c r="E6393" s="336">
        <v>43757</v>
      </c>
      <c r="F6393" s="336">
        <v>43757</v>
      </c>
      <c r="G6393" s="399"/>
      <c r="H6393" s="334" t="s">
        <v>14351</v>
      </c>
      <c r="I6393" s="444">
        <v>13962256870</v>
      </c>
      <c r="J6393" s="348" t="s">
        <v>14352</v>
      </c>
      <c r="K6393" s="452">
        <v>1000</v>
      </c>
      <c r="L6393" s="338"/>
      <c r="M6393" s="338"/>
      <c r="N6393" s="362">
        <f t="shared" si="215"/>
        <v>0</v>
      </c>
      <c r="O6393" s="467" t="s">
        <v>52</v>
      </c>
      <c r="X6393" s="339"/>
    </row>
    <row r="6394" s="330" customFormat="1" ht="15" customHeight="1" spans="1:24">
      <c r="A6394" s="348">
        <v>2066262</v>
      </c>
      <c r="B6394" s="334" t="s">
        <v>94</v>
      </c>
      <c r="C6394" s="348" t="s">
        <v>101</v>
      </c>
      <c r="D6394" s="335" t="s">
        <v>49</v>
      </c>
      <c r="E6394" s="336">
        <v>43757</v>
      </c>
      <c r="F6394" s="336">
        <v>43757</v>
      </c>
      <c r="G6394" s="336">
        <v>43757</v>
      </c>
      <c r="H6394" s="334" t="s">
        <v>14353</v>
      </c>
      <c r="I6394" s="334">
        <v>18201882878</v>
      </c>
      <c r="J6394" s="334" t="s">
        <v>14354</v>
      </c>
      <c r="K6394" s="452">
        <v>24500</v>
      </c>
      <c r="L6394" s="334">
        <v>23834</v>
      </c>
      <c r="M6394" s="338"/>
      <c r="N6394" s="362">
        <f t="shared" si="215"/>
        <v>23834</v>
      </c>
      <c r="X6394" s="339"/>
    </row>
    <row r="6395" s="330" customFormat="1" ht="15" customHeight="1" spans="1:24">
      <c r="A6395" s="334"/>
      <c r="B6395" s="334" t="s">
        <v>4009</v>
      </c>
      <c r="C6395" s="334" t="s">
        <v>6401</v>
      </c>
      <c r="D6395" s="334" t="s">
        <v>1170</v>
      </c>
      <c r="E6395" s="336">
        <v>43757</v>
      </c>
      <c r="F6395" s="336"/>
      <c r="G6395" s="336">
        <v>43753</v>
      </c>
      <c r="H6395" s="334" t="s">
        <v>14355</v>
      </c>
      <c r="I6395" s="334">
        <v>15921211150</v>
      </c>
      <c r="J6395" s="334" t="s">
        <v>14356</v>
      </c>
      <c r="K6395" s="337"/>
      <c r="L6395" s="334">
        <v>8919</v>
      </c>
      <c r="M6395" s="338"/>
      <c r="N6395" s="362">
        <f t="shared" ref="N6395:N6403" si="216">L6395+M6395</f>
        <v>8919</v>
      </c>
      <c r="X6395" s="339"/>
    </row>
    <row r="6396" s="330" customFormat="1" ht="15" customHeight="1" spans="1:24">
      <c r="A6396" s="334"/>
      <c r="B6396" s="334" t="s">
        <v>4009</v>
      </c>
      <c r="C6396" s="334" t="s">
        <v>6401</v>
      </c>
      <c r="D6396" s="334" t="s">
        <v>1170</v>
      </c>
      <c r="E6396" s="336">
        <v>43757</v>
      </c>
      <c r="F6396" s="336"/>
      <c r="G6396" s="336">
        <v>43753</v>
      </c>
      <c r="H6396" s="334" t="s">
        <v>7612</v>
      </c>
      <c r="I6396" s="334">
        <v>13701989951</v>
      </c>
      <c r="J6396" s="334" t="s">
        <v>14357</v>
      </c>
      <c r="K6396" s="337"/>
      <c r="L6396" s="334">
        <v>7019</v>
      </c>
      <c r="M6396" s="338"/>
      <c r="N6396" s="362">
        <f t="shared" si="216"/>
        <v>7019</v>
      </c>
      <c r="X6396" s="339"/>
    </row>
    <row r="6397" s="330" customFormat="1" ht="15" customHeight="1" spans="1:24">
      <c r="A6397" s="334"/>
      <c r="B6397" s="334" t="s">
        <v>805</v>
      </c>
      <c r="C6397" s="334" t="s">
        <v>4935</v>
      </c>
      <c r="D6397" s="334" t="s">
        <v>171</v>
      </c>
      <c r="E6397" s="336">
        <v>43757</v>
      </c>
      <c r="F6397" s="336"/>
      <c r="G6397" s="336">
        <v>43756</v>
      </c>
      <c r="H6397" s="334" t="s">
        <v>14358</v>
      </c>
      <c r="I6397" s="334">
        <v>13331810176</v>
      </c>
      <c r="J6397" s="334" t="s">
        <v>14359</v>
      </c>
      <c r="K6397" s="337"/>
      <c r="L6397" s="334">
        <v>6500</v>
      </c>
      <c r="M6397" s="338"/>
      <c r="N6397" s="362">
        <f t="shared" si="216"/>
        <v>6500</v>
      </c>
      <c r="X6397" s="339"/>
    </row>
    <row r="6398" s="330" customFormat="1" ht="15" customHeight="1" spans="1:24">
      <c r="A6398" s="334"/>
      <c r="B6398" s="334" t="s">
        <v>805</v>
      </c>
      <c r="C6398" s="334" t="s">
        <v>806</v>
      </c>
      <c r="D6398" s="334" t="s">
        <v>171</v>
      </c>
      <c r="E6398" s="336">
        <v>43757</v>
      </c>
      <c r="F6398" s="336"/>
      <c r="G6398" s="336">
        <v>43757</v>
      </c>
      <c r="H6398" s="334" t="s">
        <v>14360</v>
      </c>
      <c r="I6398" s="334">
        <v>15221205946</v>
      </c>
      <c r="J6398" s="334" t="s">
        <v>14361</v>
      </c>
      <c r="K6398" s="337"/>
      <c r="L6398" s="334">
        <v>12833</v>
      </c>
      <c r="M6398" s="338"/>
      <c r="N6398" s="362">
        <f t="shared" si="216"/>
        <v>12833</v>
      </c>
      <c r="X6398" s="339"/>
    </row>
    <row r="6399" s="330" customFormat="1" ht="15" customHeight="1" spans="1:24">
      <c r="A6399" s="334"/>
      <c r="B6399" s="334" t="s">
        <v>147</v>
      </c>
      <c r="C6399" s="334" t="s">
        <v>148</v>
      </c>
      <c r="D6399" s="334" t="s">
        <v>1170</v>
      </c>
      <c r="E6399" s="336">
        <v>43757</v>
      </c>
      <c r="F6399" s="336"/>
      <c r="G6399" s="336">
        <v>43757</v>
      </c>
      <c r="H6399" s="334" t="s">
        <v>14362</v>
      </c>
      <c r="I6399" s="334">
        <v>13761305718</v>
      </c>
      <c r="J6399" s="334" t="s">
        <v>14363</v>
      </c>
      <c r="K6399" s="337"/>
      <c r="L6399" s="334">
        <v>12299</v>
      </c>
      <c r="M6399" s="338"/>
      <c r="N6399" s="362">
        <f t="shared" si="216"/>
        <v>12299</v>
      </c>
      <c r="X6399" s="339"/>
    </row>
    <row r="6400" s="330" customFormat="1" ht="15" customHeight="1" spans="1:24">
      <c r="A6400" s="334"/>
      <c r="B6400" s="334" t="s">
        <v>147</v>
      </c>
      <c r="C6400" s="334" t="s">
        <v>148</v>
      </c>
      <c r="D6400" s="334" t="s">
        <v>1170</v>
      </c>
      <c r="E6400" s="336">
        <v>43757</v>
      </c>
      <c r="F6400" s="336"/>
      <c r="G6400" s="336">
        <v>43757</v>
      </c>
      <c r="H6400" s="334" t="s">
        <v>8867</v>
      </c>
      <c r="I6400" s="334">
        <v>15618905032</v>
      </c>
      <c r="J6400" s="334" t="s">
        <v>14364</v>
      </c>
      <c r="K6400" s="337"/>
      <c r="L6400" s="334">
        <v>5756</v>
      </c>
      <c r="M6400" s="338"/>
      <c r="N6400" s="362">
        <f t="shared" si="216"/>
        <v>5756</v>
      </c>
      <c r="X6400" s="339"/>
    </row>
    <row r="6401" s="330" customFormat="1" ht="15" customHeight="1" spans="1:24">
      <c r="A6401" s="334"/>
      <c r="B6401" s="334" t="s">
        <v>47</v>
      </c>
      <c r="C6401" s="334" t="s">
        <v>53</v>
      </c>
      <c r="D6401" s="335" t="s">
        <v>49</v>
      </c>
      <c r="E6401" s="336">
        <v>43757</v>
      </c>
      <c r="F6401" s="336"/>
      <c r="G6401" s="336">
        <v>43757</v>
      </c>
      <c r="H6401" s="334" t="s">
        <v>14365</v>
      </c>
      <c r="I6401" s="334">
        <v>18018502880</v>
      </c>
      <c r="J6401" s="334" t="s">
        <v>14366</v>
      </c>
      <c r="K6401" s="337"/>
      <c r="L6401" s="334">
        <v>35600</v>
      </c>
      <c r="M6401" s="334">
        <v>7200</v>
      </c>
      <c r="N6401" s="362">
        <f t="shared" si="216"/>
        <v>42800</v>
      </c>
      <c r="X6401" s="339"/>
    </row>
    <row r="6402" s="330" customFormat="1" ht="15" customHeight="1" spans="1:24">
      <c r="A6402" s="334"/>
      <c r="B6402" s="334" t="s">
        <v>726</v>
      </c>
      <c r="C6402" s="334" t="s">
        <v>727</v>
      </c>
      <c r="D6402" s="334" t="s">
        <v>271</v>
      </c>
      <c r="E6402" s="336">
        <v>43757</v>
      </c>
      <c r="F6402" s="336"/>
      <c r="G6402" s="336">
        <v>43756</v>
      </c>
      <c r="H6402" s="334" t="s">
        <v>10811</v>
      </c>
      <c r="I6402" s="334">
        <v>13901787710</v>
      </c>
      <c r="J6402" s="334" t="s">
        <v>10812</v>
      </c>
      <c r="K6402" s="337"/>
      <c r="L6402" s="338"/>
      <c r="M6402" s="334">
        <v>5100</v>
      </c>
      <c r="N6402" s="362">
        <f t="shared" si="216"/>
        <v>5100</v>
      </c>
      <c r="X6402" s="339"/>
    </row>
    <row r="6403" s="330" customFormat="1" ht="15" customHeight="1" spans="1:24">
      <c r="A6403" s="334"/>
      <c r="B6403" s="334" t="s">
        <v>66</v>
      </c>
      <c r="C6403" s="334" t="s">
        <v>67</v>
      </c>
      <c r="D6403" s="334" t="s">
        <v>68</v>
      </c>
      <c r="E6403" s="336">
        <v>43757</v>
      </c>
      <c r="F6403" s="336"/>
      <c r="G6403" s="336">
        <v>43756</v>
      </c>
      <c r="H6403" s="334" t="s">
        <v>13840</v>
      </c>
      <c r="I6403" s="334">
        <v>18621563215</v>
      </c>
      <c r="J6403" s="334" t="s">
        <v>13841</v>
      </c>
      <c r="K6403" s="337"/>
      <c r="L6403" s="338"/>
      <c r="M6403" s="334">
        <v>-7112</v>
      </c>
      <c r="N6403" s="362">
        <f t="shared" si="216"/>
        <v>-7112</v>
      </c>
      <c r="X6403" s="339"/>
    </row>
    <row r="6404" s="330" customFormat="1" ht="15" customHeight="1" spans="1:24">
      <c r="A6404" s="334"/>
      <c r="B6404" s="334" t="s">
        <v>185</v>
      </c>
      <c r="C6404" s="334" t="s">
        <v>1620</v>
      </c>
      <c r="D6404" s="334" t="s">
        <v>44</v>
      </c>
      <c r="E6404" s="336">
        <v>43757</v>
      </c>
      <c r="F6404" s="336"/>
      <c r="G6404" s="336">
        <v>43756</v>
      </c>
      <c r="H6404" s="334" t="s">
        <v>8534</v>
      </c>
      <c r="I6404" s="334">
        <v>18655498812</v>
      </c>
      <c r="J6404" s="334" t="s">
        <v>11977</v>
      </c>
      <c r="K6404" s="337"/>
      <c r="L6404" s="338"/>
      <c r="M6404" s="334">
        <v>1671</v>
      </c>
      <c r="N6404" s="362">
        <f t="shared" ref="N6404:N6410" si="217">L6404+M6404</f>
        <v>1671</v>
      </c>
      <c r="X6404" s="339"/>
    </row>
    <row r="6405" s="330" customFormat="1" ht="15" customHeight="1" spans="1:24">
      <c r="A6405" s="334"/>
      <c r="B6405" s="334" t="s">
        <v>281</v>
      </c>
      <c r="C6405" s="334" t="s">
        <v>517</v>
      </c>
      <c r="D6405" s="334" t="s">
        <v>518</v>
      </c>
      <c r="E6405" s="336">
        <v>43757</v>
      </c>
      <c r="F6405" s="336"/>
      <c r="G6405" s="336">
        <v>43757</v>
      </c>
      <c r="H6405" s="334" t="s">
        <v>7708</v>
      </c>
      <c r="I6405" s="334">
        <v>18019194206</v>
      </c>
      <c r="J6405" s="348" t="s">
        <v>7709</v>
      </c>
      <c r="K6405" s="337"/>
      <c r="L6405" s="338"/>
      <c r="M6405" s="334">
        <v>940</v>
      </c>
      <c r="N6405" s="362">
        <f t="shared" si="217"/>
        <v>940</v>
      </c>
      <c r="X6405" s="339"/>
    </row>
    <row r="6406" s="330" customFormat="1" ht="15" customHeight="1" spans="1:24">
      <c r="A6406" s="334"/>
      <c r="B6406" s="334" t="s">
        <v>66</v>
      </c>
      <c r="C6406" s="334" t="s">
        <v>1749</v>
      </c>
      <c r="D6406" s="334" t="s">
        <v>68</v>
      </c>
      <c r="E6406" s="336">
        <v>43757</v>
      </c>
      <c r="F6406" s="336"/>
      <c r="G6406" s="336">
        <v>43756</v>
      </c>
      <c r="H6406" s="334" t="s">
        <v>14367</v>
      </c>
      <c r="I6406" s="444">
        <v>13501899847</v>
      </c>
      <c r="J6406" s="348" t="s">
        <v>14368</v>
      </c>
      <c r="K6406" s="337"/>
      <c r="L6406" s="338"/>
      <c r="M6406" s="334">
        <v>240</v>
      </c>
      <c r="N6406" s="362">
        <f t="shared" si="217"/>
        <v>240</v>
      </c>
      <c r="X6406" s="339"/>
    </row>
    <row r="6407" s="330" customFormat="1" ht="15" customHeight="1" spans="1:24">
      <c r="A6407" s="334"/>
      <c r="B6407" s="334" t="s">
        <v>169</v>
      </c>
      <c r="C6407" s="334" t="s">
        <v>634</v>
      </c>
      <c r="D6407" s="334" t="s">
        <v>635</v>
      </c>
      <c r="E6407" s="336">
        <v>43757</v>
      </c>
      <c r="F6407" s="336"/>
      <c r="G6407" s="336">
        <v>43754</v>
      </c>
      <c r="H6407" s="334" t="s">
        <v>9077</v>
      </c>
      <c r="I6407" s="334">
        <v>13918337078</v>
      </c>
      <c r="J6407" s="334" t="s">
        <v>14369</v>
      </c>
      <c r="K6407" s="337"/>
      <c r="L6407" s="338"/>
      <c r="M6407" s="334">
        <v>1302</v>
      </c>
      <c r="N6407" s="362">
        <f t="shared" si="217"/>
        <v>1302</v>
      </c>
      <c r="X6407" s="339"/>
    </row>
    <row r="6408" s="330" customFormat="1" ht="15" customHeight="1" spans="1:24">
      <c r="A6408" s="334"/>
      <c r="B6408" s="334" t="s">
        <v>42</v>
      </c>
      <c r="C6408" s="334" t="s">
        <v>43</v>
      </c>
      <c r="D6408" s="334" t="s">
        <v>207</v>
      </c>
      <c r="E6408" s="336">
        <v>43757</v>
      </c>
      <c r="F6408" s="336"/>
      <c r="G6408" s="336">
        <v>43753</v>
      </c>
      <c r="H6408" s="334" t="s">
        <v>2892</v>
      </c>
      <c r="I6408" s="356">
        <v>13371919529</v>
      </c>
      <c r="J6408" s="348" t="s">
        <v>2893</v>
      </c>
      <c r="K6408" s="337"/>
      <c r="L6408" s="338"/>
      <c r="M6408" s="334">
        <v>1288</v>
      </c>
      <c r="N6408" s="362">
        <f t="shared" si="217"/>
        <v>1288</v>
      </c>
      <c r="X6408" s="339"/>
    </row>
    <row r="6409" s="330" customFormat="1" ht="15" customHeight="1" spans="1:24">
      <c r="A6409" s="334"/>
      <c r="B6409" s="334" t="s">
        <v>58</v>
      </c>
      <c r="C6409" s="334" t="s">
        <v>347</v>
      </c>
      <c r="D6409" s="334" t="s">
        <v>343</v>
      </c>
      <c r="E6409" s="336">
        <v>43757</v>
      </c>
      <c r="F6409" s="336"/>
      <c r="G6409" s="336">
        <v>43757</v>
      </c>
      <c r="H6409" s="334" t="s">
        <v>9058</v>
      </c>
      <c r="I6409" s="334">
        <v>18621580455</v>
      </c>
      <c r="J6409" s="334" t="s">
        <v>14370</v>
      </c>
      <c r="K6409" s="337"/>
      <c r="L6409" s="338"/>
      <c r="M6409" s="334">
        <v>6175</v>
      </c>
      <c r="N6409" s="362">
        <f t="shared" si="217"/>
        <v>6175</v>
      </c>
      <c r="X6409" s="339"/>
    </row>
    <row r="6410" s="330" customFormat="1" ht="15" customHeight="1" spans="1:24">
      <c r="A6410" s="334"/>
      <c r="B6410" s="334" t="s">
        <v>73</v>
      </c>
      <c r="C6410" s="334" t="s">
        <v>74</v>
      </c>
      <c r="D6410" s="334" t="s">
        <v>717</v>
      </c>
      <c r="E6410" s="336">
        <v>43757</v>
      </c>
      <c r="F6410" s="336"/>
      <c r="G6410" s="336">
        <v>43757</v>
      </c>
      <c r="H6410" s="334" t="s">
        <v>5804</v>
      </c>
      <c r="I6410" s="444">
        <v>15800311416</v>
      </c>
      <c r="J6410" s="348" t="s">
        <v>5805</v>
      </c>
      <c r="K6410" s="337"/>
      <c r="L6410" s="338"/>
      <c r="M6410" s="334">
        <v>537</v>
      </c>
      <c r="N6410" s="362">
        <f t="shared" si="217"/>
        <v>537</v>
      </c>
      <c r="X6410" s="339"/>
    </row>
    <row r="6411" s="330" customFormat="1" ht="15" customHeight="1" spans="1:24">
      <c r="A6411" s="334"/>
      <c r="B6411" s="334" t="s">
        <v>137</v>
      </c>
      <c r="C6411" s="334" t="s">
        <v>14371</v>
      </c>
      <c r="D6411" s="334" t="s">
        <v>139</v>
      </c>
      <c r="E6411" s="336">
        <v>43757</v>
      </c>
      <c r="F6411" s="336"/>
      <c r="G6411" s="336">
        <v>43757</v>
      </c>
      <c r="H6411" s="334" t="s">
        <v>7524</v>
      </c>
      <c r="I6411" s="334">
        <v>15967916208</v>
      </c>
      <c r="J6411" s="334" t="s">
        <v>14372</v>
      </c>
      <c r="K6411" s="337"/>
      <c r="L6411" s="338"/>
      <c r="M6411" s="334">
        <v>1859</v>
      </c>
      <c r="N6411" s="362">
        <f t="shared" ref="N6411:N6427" si="218">L6411+M6411</f>
        <v>1859</v>
      </c>
      <c r="X6411" s="339"/>
    </row>
    <row r="6412" s="330" customFormat="1" ht="15" customHeight="1" spans="1:24">
      <c r="A6412" s="334"/>
      <c r="B6412" s="334" t="s">
        <v>405</v>
      </c>
      <c r="C6412" s="334" t="s">
        <v>823</v>
      </c>
      <c r="D6412" s="334" t="s">
        <v>407</v>
      </c>
      <c r="E6412" s="336">
        <v>43757</v>
      </c>
      <c r="F6412" s="336"/>
      <c r="G6412" s="336">
        <v>43757</v>
      </c>
      <c r="H6412" s="334" t="s">
        <v>13856</v>
      </c>
      <c r="I6412" s="444">
        <v>15221643568</v>
      </c>
      <c r="J6412" s="348" t="s">
        <v>13857</v>
      </c>
      <c r="K6412" s="337"/>
      <c r="L6412" s="338"/>
      <c r="M6412" s="334">
        <v>88</v>
      </c>
      <c r="N6412" s="362">
        <f t="shared" si="218"/>
        <v>88</v>
      </c>
      <c r="X6412" s="339"/>
    </row>
    <row r="6413" s="330" customFormat="1" ht="15" customHeight="1" spans="1:24">
      <c r="A6413" s="334"/>
      <c r="B6413" s="334" t="s">
        <v>66</v>
      </c>
      <c r="C6413" s="334" t="s">
        <v>3954</v>
      </c>
      <c r="D6413" s="334" t="s">
        <v>68</v>
      </c>
      <c r="E6413" s="336">
        <v>43757</v>
      </c>
      <c r="F6413" s="336"/>
      <c r="G6413" s="336">
        <v>43756</v>
      </c>
      <c r="H6413" s="334" t="s">
        <v>10458</v>
      </c>
      <c r="I6413" s="356">
        <v>13636517006</v>
      </c>
      <c r="J6413" s="348" t="s">
        <v>10459</v>
      </c>
      <c r="K6413" s="337"/>
      <c r="L6413" s="338"/>
      <c r="M6413" s="334">
        <v>1436</v>
      </c>
      <c r="N6413" s="362">
        <f t="shared" si="218"/>
        <v>1436</v>
      </c>
      <c r="X6413" s="339"/>
    </row>
    <row r="6414" s="330" customFormat="1" ht="15" customHeight="1" spans="1:24">
      <c r="A6414" s="334"/>
      <c r="B6414" s="334" t="s">
        <v>726</v>
      </c>
      <c r="C6414" s="334" t="s">
        <v>727</v>
      </c>
      <c r="D6414" s="334" t="s">
        <v>271</v>
      </c>
      <c r="E6414" s="336">
        <v>43757</v>
      </c>
      <c r="F6414" s="336"/>
      <c r="G6414" s="336">
        <v>43753</v>
      </c>
      <c r="H6414" s="334" t="s">
        <v>11503</v>
      </c>
      <c r="I6414" s="426">
        <v>13901824081</v>
      </c>
      <c r="J6414" s="334" t="s">
        <v>11504</v>
      </c>
      <c r="K6414" s="337"/>
      <c r="L6414" s="338"/>
      <c r="M6414" s="334">
        <v>7944</v>
      </c>
      <c r="N6414" s="362">
        <f t="shared" si="218"/>
        <v>7944</v>
      </c>
      <c r="X6414" s="339"/>
    </row>
    <row r="6415" s="330" customFormat="1" ht="15" customHeight="1" spans="1:24">
      <c r="A6415" s="334"/>
      <c r="B6415" s="334" t="s">
        <v>315</v>
      </c>
      <c r="C6415" s="334" t="s">
        <v>161</v>
      </c>
      <c r="D6415" s="334" t="s">
        <v>149</v>
      </c>
      <c r="E6415" s="336">
        <v>43757</v>
      </c>
      <c r="F6415" s="336"/>
      <c r="G6415" s="336">
        <v>43757</v>
      </c>
      <c r="H6415" s="334" t="s">
        <v>5530</v>
      </c>
      <c r="I6415" s="444">
        <v>13386067612</v>
      </c>
      <c r="J6415" s="348" t="s">
        <v>5531</v>
      </c>
      <c r="K6415" s="337"/>
      <c r="L6415" s="338"/>
      <c r="M6415" s="334">
        <v>8736</v>
      </c>
      <c r="N6415" s="362">
        <f t="shared" si="218"/>
        <v>8736</v>
      </c>
      <c r="X6415" s="339"/>
    </row>
    <row r="6416" s="330" customFormat="1" ht="15" customHeight="1" spans="1:24">
      <c r="A6416" s="334"/>
      <c r="B6416" s="334" t="s">
        <v>137</v>
      </c>
      <c r="C6416" s="334" t="s">
        <v>480</v>
      </c>
      <c r="D6416" s="334" t="s">
        <v>427</v>
      </c>
      <c r="E6416" s="336">
        <v>43757</v>
      </c>
      <c r="F6416" s="336"/>
      <c r="G6416" s="336">
        <v>43757</v>
      </c>
      <c r="H6416" s="334" t="s">
        <v>6088</v>
      </c>
      <c r="I6416" s="334">
        <v>13651929285</v>
      </c>
      <c r="J6416" s="348" t="s">
        <v>14373</v>
      </c>
      <c r="K6416" s="337"/>
      <c r="L6416" s="338"/>
      <c r="M6416" s="334">
        <v>5258</v>
      </c>
      <c r="N6416" s="362">
        <f t="shared" si="218"/>
        <v>5258</v>
      </c>
      <c r="X6416" s="339"/>
    </row>
    <row r="6417" s="330" customFormat="1" ht="15" customHeight="1" spans="1:24">
      <c r="A6417" s="334"/>
      <c r="B6417" s="334" t="s">
        <v>315</v>
      </c>
      <c r="C6417" s="334" t="s">
        <v>161</v>
      </c>
      <c r="D6417" s="334" t="s">
        <v>162</v>
      </c>
      <c r="E6417" s="336">
        <v>43757</v>
      </c>
      <c r="F6417" s="336"/>
      <c r="G6417" s="336">
        <v>43756</v>
      </c>
      <c r="H6417" s="334" t="s">
        <v>9868</v>
      </c>
      <c r="I6417" s="334">
        <v>13636439068</v>
      </c>
      <c r="J6417" s="334" t="s">
        <v>14374</v>
      </c>
      <c r="K6417" s="337"/>
      <c r="L6417" s="338"/>
      <c r="M6417" s="334">
        <v>9200</v>
      </c>
      <c r="N6417" s="362">
        <f t="shared" si="218"/>
        <v>9200</v>
      </c>
      <c r="X6417" s="339"/>
    </row>
    <row r="6418" s="330" customFormat="1" ht="15" customHeight="1" spans="1:24">
      <c r="A6418" s="334"/>
      <c r="B6418" s="334" t="s">
        <v>315</v>
      </c>
      <c r="C6418" s="334" t="s">
        <v>498</v>
      </c>
      <c r="D6418" s="334" t="s">
        <v>162</v>
      </c>
      <c r="E6418" s="336">
        <v>43757</v>
      </c>
      <c r="F6418" s="336"/>
      <c r="G6418" s="336">
        <v>43757</v>
      </c>
      <c r="H6418" s="334" t="s">
        <v>5063</v>
      </c>
      <c r="I6418" s="356">
        <v>13818556369</v>
      </c>
      <c r="J6418" s="348" t="s">
        <v>7570</v>
      </c>
      <c r="K6418" s="337"/>
      <c r="L6418" s="338"/>
      <c r="M6418" s="334">
        <v>293</v>
      </c>
      <c r="N6418" s="362">
        <f t="shared" si="218"/>
        <v>293</v>
      </c>
      <c r="X6418" s="339"/>
    </row>
    <row r="6419" s="330" customFormat="1" ht="15" customHeight="1" spans="1:24">
      <c r="A6419" s="334"/>
      <c r="B6419" s="334" t="s">
        <v>2625</v>
      </c>
      <c r="C6419" s="334" t="s">
        <v>2626</v>
      </c>
      <c r="D6419" s="334" t="s">
        <v>44</v>
      </c>
      <c r="E6419" s="336">
        <v>43757</v>
      </c>
      <c r="F6419" s="336"/>
      <c r="G6419" s="336">
        <v>43757</v>
      </c>
      <c r="H6419" s="334" t="s">
        <v>14219</v>
      </c>
      <c r="I6419" s="334">
        <v>13916518397</v>
      </c>
      <c r="J6419" s="334" t="s">
        <v>14375</v>
      </c>
      <c r="K6419" s="337"/>
      <c r="L6419" s="338"/>
      <c r="M6419" s="334">
        <v>-200</v>
      </c>
      <c r="N6419" s="362">
        <f t="shared" si="218"/>
        <v>-200</v>
      </c>
      <c r="X6419" s="339"/>
    </row>
    <row r="6420" s="330" customFormat="1" ht="15" customHeight="1" spans="1:24">
      <c r="A6420" s="550" t="s">
        <v>14376</v>
      </c>
      <c r="B6420" s="334" t="s">
        <v>31</v>
      </c>
      <c r="C6420" s="348" t="s">
        <v>220</v>
      </c>
      <c r="D6420" s="335" t="s">
        <v>221</v>
      </c>
      <c r="E6420" s="336">
        <v>43765</v>
      </c>
      <c r="F6420" s="336">
        <v>43757</v>
      </c>
      <c r="G6420" s="336">
        <v>43765</v>
      </c>
      <c r="H6420" s="334" t="s">
        <v>14377</v>
      </c>
      <c r="I6420" s="444">
        <v>13916155567</v>
      </c>
      <c r="J6420" s="348" t="s">
        <v>14378</v>
      </c>
      <c r="K6420" s="452">
        <v>11000</v>
      </c>
      <c r="L6420" s="334">
        <v>16600</v>
      </c>
      <c r="M6420" s="338"/>
      <c r="N6420" s="362">
        <f t="shared" si="218"/>
        <v>16600</v>
      </c>
      <c r="X6420" s="339"/>
    </row>
    <row r="6421" s="330" customFormat="1" ht="15" customHeight="1" spans="1:24">
      <c r="A6421" s="550" t="s">
        <v>14379</v>
      </c>
      <c r="B6421" s="334" t="s">
        <v>185</v>
      </c>
      <c r="C6421" s="348" t="s">
        <v>1204</v>
      </c>
      <c r="D6421" s="335" t="s">
        <v>44</v>
      </c>
      <c r="E6421" s="336">
        <v>43765</v>
      </c>
      <c r="F6421" s="336">
        <v>43757</v>
      </c>
      <c r="G6421" s="336">
        <v>43761</v>
      </c>
      <c r="H6421" s="334" t="s">
        <v>14380</v>
      </c>
      <c r="I6421" s="444">
        <v>17898873789</v>
      </c>
      <c r="J6421" s="348" t="s">
        <v>14381</v>
      </c>
      <c r="K6421" s="452">
        <v>1680</v>
      </c>
      <c r="L6421" s="334">
        <v>10004</v>
      </c>
      <c r="M6421" s="338"/>
      <c r="N6421" s="362">
        <f t="shared" si="218"/>
        <v>10004</v>
      </c>
      <c r="X6421" s="339"/>
    </row>
    <row r="6422" s="330" customFormat="1" ht="15" customHeight="1" spans="1:24">
      <c r="A6422" s="348"/>
      <c r="B6422" s="334" t="s">
        <v>169</v>
      </c>
      <c r="C6422" s="334" t="s">
        <v>634</v>
      </c>
      <c r="D6422" s="334" t="s">
        <v>635</v>
      </c>
      <c r="E6422" s="336">
        <v>43759</v>
      </c>
      <c r="F6422" s="336">
        <v>43757</v>
      </c>
      <c r="G6422" s="399">
        <v>43757</v>
      </c>
      <c r="H6422" s="334" t="s">
        <v>14382</v>
      </c>
      <c r="I6422" s="444">
        <v>15102181960</v>
      </c>
      <c r="J6422" s="348" t="s">
        <v>14383</v>
      </c>
      <c r="K6422" s="452">
        <v>33884</v>
      </c>
      <c r="L6422" s="334">
        <v>33884</v>
      </c>
      <c r="M6422" s="338"/>
      <c r="N6422" s="362">
        <f t="shared" si="218"/>
        <v>33884</v>
      </c>
      <c r="X6422" s="339"/>
    </row>
    <row r="6423" s="330" customFormat="1" ht="15" customHeight="1" spans="1:24">
      <c r="A6423" s="348"/>
      <c r="B6423" s="334" t="s">
        <v>147</v>
      </c>
      <c r="C6423" s="348" t="s">
        <v>148</v>
      </c>
      <c r="D6423" s="334" t="s">
        <v>207</v>
      </c>
      <c r="E6423" s="336">
        <v>43763</v>
      </c>
      <c r="F6423" s="336">
        <v>43757</v>
      </c>
      <c r="G6423" s="336">
        <v>43762</v>
      </c>
      <c r="H6423" s="334" t="s">
        <v>14384</v>
      </c>
      <c r="I6423" s="444">
        <v>13918717781</v>
      </c>
      <c r="J6423" s="348" t="s">
        <v>14385</v>
      </c>
      <c r="K6423" s="452">
        <v>1000</v>
      </c>
      <c r="L6423" s="334">
        <f>4880-856</f>
        <v>4024</v>
      </c>
      <c r="M6423" s="334">
        <f>736+120</f>
        <v>856</v>
      </c>
      <c r="N6423" s="362">
        <f t="shared" si="218"/>
        <v>4880</v>
      </c>
      <c r="X6423" s="339"/>
    </row>
    <row r="6424" s="330" customFormat="1" ht="15" customHeight="1" spans="1:24">
      <c r="A6424" s="348"/>
      <c r="B6424" s="334" t="s">
        <v>315</v>
      </c>
      <c r="C6424" s="348" t="s">
        <v>275</v>
      </c>
      <c r="D6424" s="334" t="s">
        <v>1431</v>
      </c>
      <c r="E6424" s="336">
        <v>43766</v>
      </c>
      <c r="F6424" s="336">
        <v>43757</v>
      </c>
      <c r="G6424" s="336">
        <v>43759</v>
      </c>
      <c r="H6424" s="334" t="s">
        <v>14386</v>
      </c>
      <c r="I6424" s="444">
        <v>18502106661</v>
      </c>
      <c r="J6424" s="348" t="s">
        <v>14387</v>
      </c>
      <c r="K6424" s="452">
        <v>1000</v>
      </c>
      <c r="L6424" s="334">
        <v>18242</v>
      </c>
      <c r="M6424" s="338"/>
      <c r="N6424" s="362">
        <f t="shared" si="218"/>
        <v>18242</v>
      </c>
      <c r="X6424" s="339"/>
    </row>
    <row r="6425" s="330" customFormat="1" ht="15" customHeight="1" spans="1:24">
      <c r="A6425" s="550" t="s">
        <v>14388</v>
      </c>
      <c r="B6425" s="334" t="s">
        <v>87</v>
      </c>
      <c r="C6425" s="348" t="s">
        <v>14185</v>
      </c>
      <c r="D6425" s="334" t="s">
        <v>187</v>
      </c>
      <c r="E6425" s="336">
        <v>43764</v>
      </c>
      <c r="F6425" s="336">
        <v>43757</v>
      </c>
      <c r="G6425" s="336">
        <v>43764</v>
      </c>
      <c r="H6425" s="334" t="s">
        <v>14389</v>
      </c>
      <c r="I6425" s="444">
        <v>13341698603</v>
      </c>
      <c r="J6425" s="348" t="s">
        <v>14390</v>
      </c>
      <c r="K6425" s="452">
        <v>61700</v>
      </c>
      <c r="L6425" s="334">
        <v>61700</v>
      </c>
      <c r="M6425" s="338"/>
      <c r="N6425" s="362">
        <f t="shared" si="218"/>
        <v>61700</v>
      </c>
      <c r="X6425" s="339"/>
    </row>
    <row r="6426" s="330" customFormat="1" ht="15" customHeight="1" spans="1:24">
      <c r="A6426" s="550" t="s">
        <v>14391</v>
      </c>
      <c r="B6426" s="334" t="s">
        <v>66</v>
      </c>
      <c r="C6426" s="348" t="s">
        <v>951</v>
      </c>
      <c r="D6426" s="334" t="s">
        <v>2302</v>
      </c>
      <c r="E6426" s="336">
        <v>43759</v>
      </c>
      <c r="F6426" s="336">
        <v>43757</v>
      </c>
      <c r="G6426" s="399">
        <v>43759</v>
      </c>
      <c r="H6426" s="334" t="s">
        <v>5827</v>
      </c>
      <c r="I6426" s="444">
        <v>13817056727</v>
      </c>
      <c r="J6426" s="348" t="s">
        <v>14392</v>
      </c>
      <c r="K6426" s="452">
        <v>2000</v>
      </c>
      <c r="L6426" s="334">
        <v>11884</v>
      </c>
      <c r="M6426" s="338"/>
      <c r="N6426" s="362">
        <f t="shared" si="218"/>
        <v>11884</v>
      </c>
      <c r="X6426" s="339"/>
    </row>
    <row r="6427" s="330" customFormat="1" ht="15" customHeight="1" spans="1:24">
      <c r="A6427" s="550" t="s">
        <v>14393</v>
      </c>
      <c r="B6427" s="334" t="s">
        <v>58</v>
      </c>
      <c r="C6427" s="348" t="s">
        <v>347</v>
      </c>
      <c r="D6427" s="335" t="s">
        <v>343</v>
      </c>
      <c r="E6427" s="336">
        <v>43759</v>
      </c>
      <c r="F6427" s="336">
        <v>43756</v>
      </c>
      <c r="G6427" s="399"/>
      <c r="H6427" s="334" t="s">
        <v>14394</v>
      </c>
      <c r="I6427" s="444">
        <v>15618926218</v>
      </c>
      <c r="J6427" s="348" t="s">
        <v>14395</v>
      </c>
      <c r="K6427" s="452">
        <v>1000</v>
      </c>
      <c r="L6427" s="338"/>
      <c r="M6427" s="338"/>
      <c r="N6427" s="362">
        <f t="shared" si="218"/>
        <v>0</v>
      </c>
      <c r="O6427" s="365" t="s">
        <v>52</v>
      </c>
      <c r="U6427" s="330" t="s">
        <v>12</v>
      </c>
      <c r="X6427" s="339"/>
    </row>
    <row r="6428" s="330" customFormat="1" ht="15" customHeight="1" spans="1:24">
      <c r="A6428" s="348"/>
      <c r="B6428" s="334" t="s">
        <v>147</v>
      </c>
      <c r="C6428" s="348" t="s">
        <v>148</v>
      </c>
      <c r="D6428" s="334" t="s">
        <v>33</v>
      </c>
      <c r="E6428" s="336">
        <v>43762</v>
      </c>
      <c r="F6428" s="336">
        <v>43757</v>
      </c>
      <c r="G6428" s="336">
        <v>43761</v>
      </c>
      <c r="H6428" s="334" t="s">
        <v>14396</v>
      </c>
      <c r="I6428" s="444">
        <v>13774490226</v>
      </c>
      <c r="J6428" s="348" t="s">
        <v>14397</v>
      </c>
      <c r="K6428" s="452">
        <v>1000</v>
      </c>
      <c r="L6428" s="334">
        <v>9177</v>
      </c>
      <c r="M6428" s="338"/>
      <c r="N6428" s="362">
        <f t="shared" ref="N6428:N6450" si="219">L6428+M6428</f>
        <v>9177</v>
      </c>
      <c r="X6428" s="339"/>
    </row>
    <row r="6429" s="330" customFormat="1" ht="15" customHeight="1" spans="1:24">
      <c r="A6429" s="550" t="s">
        <v>2125</v>
      </c>
      <c r="B6429" s="334" t="s">
        <v>66</v>
      </c>
      <c r="C6429" s="348" t="s">
        <v>505</v>
      </c>
      <c r="D6429" s="334" t="s">
        <v>2302</v>
      </c>
      <c r="E6429" s="336">
        <v>43769</v>
      </c>
      <c r="F6429" s="336">
        <v>43757</v>
      </c>
      <c r="G6429" s="336">
        <v>43769</v>
      </c>
      <c r="H6429" s="334" t="s">
        <v>14398</v>
      </c>
      <c r="I6429" s="444">
        <v>18016385880</v>
      </c>
      <c r="J6429" s="348" t="s">
        <v>14399</v>
      </c>
      <c r="K6429" s="452">
        <v>5000</v>
      </c>
      <c r="L6429" s="334">
        <v>8000</v>
      </c>
      <c r="M6429" s="338"/>
      <c r="N6429" s="362">
        <f t="shared" si="219"/>
        <v>8000</v>
      </c>
      <c r="X6429" s="339"/>
    </row>
    <row r="6430" s="330" customFormat="1" ht="15" customHeight="1" spans="1:24">
      <c r="A6430" s="550" t="s">
        <v>14400</v>
      </c>
      <c r="B6430" s="334" t="s">
        <v>31</v>
      </c>
      <c r="C6430" s="348" t="s">
        <v>3186</v>
      </c>
      <c r="D6430" s="334" t="s">
        <v>954</v>
      </c>
      <c r="E6430" s="336">
        <v>43762</v>
      </c>
      <c r="F6430" s="336">
        <v>43757</v>
      </c>
      <c r="G6430" s="336">
        <v>43761</v>
      </c>
      <c r="H6430" s="334" t="s">
        <v>13723</v>
      </c>
      <c r="I6430" s="444">
        <v>13817675718</v>
      </c>
      <c r="J6430" s="348" t="s">
        <v>14401</v>
      </c>
      <c r="K6430" s="452">
        <v>1000</v>
      </c>
      <c r="L6430" s="334">
        <v>11000</v>
      </c>
      <c r="M6430" s="338"/>
      <c r="N6430" s="362">
        <f t="shared" si="219"/>
        <v>11000</v>
      </c>
      <c r="X6430" s="339"/>
    </row>
    <row r="6431" s="330" customFormat="1" ht="15" customHeight="1" spans="1:24">
      <c r="A6431" s="550" t="s">
        <v>14402</v>
      </c>
      <c r="B6431" s="334" t="s">
        <v>58</v>
      </c>
      <c r="C6431" s="348" t="s">
        <v>109</v>
      </c>
      <c r="D6431" s="334" t="s">
        <v>110</v>
      </c>
      <c r="E6431" s="336">
        <v>43759</v>
      </c>
      <c r="F6431" s="336">
        <v>43757</v>
      </c>
      <c r="G6431" s="399">
        <v>43757</v>
      </c>
      <c r="H6431" s="334" t="s">
        <v>14403</v>
      </c>
      <c r="I6431" s="444">
        <v>13661828972</v>
      </c>
      <c r="J6431" s="348" t="s">
        <v>14404</v>
      </c>
      <c r="K6431" s="452">
        <v>14302</v>
      </c>
      <c r="L6431" s="334">
        <v>14302</v>
      </c>
      <c r="M6431" s="338"/>
      <c r="N6431" s="362">
        <f t="shared" si="219"/>
        <v>14302</v>
      </c>
      <c r="X6431" s="339"/>
    </row>
    <row r="6432" s="330" customFormat="1" ht="15" customHeight="1" spans="1:24">
      <c r="A6432" s="550" t="s">
        <v>14405</v>
      </c>
      <c r="B6432" s="334" t="s">
        <v>31</v>
      </c>
      <c r="C6432" s="348" t="s">
        <v>3186</v>
      </c>
      <c r="D6432" s="335" t="s">
        <v>221</v>
      </c>
      <c r="E6432" s="336">
        <v>43759</v>
      </c>
      <c r="F6432" s="336">
        <v>43757</v>
      </c>
      <c r="G6432" s="399"/>
      <c r="H6432" s="334" t="s">
        <v>14288</v>
      </c>
      <c r="I6432" s="444">
        <v>13651991307</v>
      </c>
      <c r="J6432" s="348" t="s">
        <v>14406</v>
      </c>
      <c r="K6432" s="452">
        <v>1000</v>
      </c>
      <c r="L6432" s="338"/>
      <c r="M6432" s="338"/>
      <c r="N6432" s="362">
        <f t="shared" si="219"/>
        <v>0</v>
      </c>
      <c r="U6432" s="330" t="s">
        <v>12</v>
      </c>
      <c r="X6432" s="339"/>
    </row>
    <row r="6433" s="330" customFormat="1" ht="15" customHeight="1" spans="1:24">
      <c r="A6433" s="550" t="s">
        <v>14407</v>
      </c>
      <c r="B6433" s="334" t="s">
        <v>31</v>
      </c>
      <c r="C6433" s="348" t="s">
        <v>3186</v>
      </c>
      <c r="D6433" s="334" t="s">
        <v>33</v>
      </c>
      <c r="E6433" s="336">
        <v>43782</v>
      </c>
      <c r="F6433" s="336">
        <v>43757</v>
      </c>
      <c r="G6433" s="336">
        <v>43781</v>
      </c>
      <c r="H6433" s="334" t="s">
        <v>14408</v>
      </c>
      <c r="I6433" s="555" t="s">
        <v>14409</v>
      </c>
      <c r="J6433" s="348" t="s">
        <v>14410</v>
      </c>
      <c r="K6433" s="452">
        <v>2129</v>
      </c>
      <c r="L6433" s="334">
        <v>2228</v>
      </c>
      <c r="M6433" s="338"/>
      <c r="N6433" s="362">
        <f t="shared" si="219"/>
        <v>2228</v>
      </c>
      <c r="X6433" s="339"/>
    </row>
    <row r="6434" s="330" customFormat="1" ht="15" customHeight="1" spans="1:24">
      <c r="A6434" s="550" t="s">
        <v>14411</v>
      </c>
      <c r="B6434" s="334" t="s">
        <v>58</v>
      </c>
      <c r="C6434" s="348" t="s">
        <v>59</v>
      </c>
      <c r="D6434" s="335" t="s">
        <v>271</v>
      </c>
      <c r="E6434" s="336">
        <v>43769</v>
      </c>
      <c r="F6434" s="336">
        <v>43757</v>
      </c>
      <c r="G6434" s="336">
        <v>43769</v>
      </c>
      <c r="H6434" s="334" t="s">
        <v>14412</v>
      </c>
      <c r="I6434" s="444">
        <v>13506846171</v>
      </c>
      <c r="J6434" s="348" t="s">
        <v>14413</v>
      </c>
      <c r="K6434" s="452">
        <v>10000</v>
      </c>
      <c r="L6434" s="334">
        <v>44191</v>
      </c>
      <c r="M6434" s="338"/>
      <c r="N6434" s="362">
        <f t="shared" si="219"/>
        <v>44191</v>
      </c>
      <c r="X6434" s="339"/>
    </row>
    <row r="6435" s="330" customFormat="1" ht="15" customHeight="1" spans="1:24">
      <c r="A6435" s="550" t="s">
        <v>14414</v>
      </c>
      <c r="B6435" s="334" t="s">
        <v>335</v>
      </c>
      <c r="C6435" s="348" t="s">
        <v>615</v>
      </c>
      <c r="D6435" s="335" t="s">
        <v>337</v>
      </c>
      <c r="E6435" s="336">
        <v>43784</v>
      </c>
      <c r="F6435" s="336">
        <v>43757</v>
      </c>
      <c r="G6435" s="336">
        <v>43782</v>
      </c>
      <c r="H6435" s="334" t="s">
        <v>14415</v>
      </c>
      <c r="I6435" s="444">
        <v>18939921623</v>
      </c>
      <c r="J6435" s="348" t="s">
        <v>14416</v>
      </c>
      <c r="K6435" s="452">
        <v>1000</v>
      </c>
      <c r="L6435" s="334">
        <v>31345</v>
      </c>
      <c r="M6435" s="338"/>
      <c r="N6435" s="362">
        <f t="shared" si="219"/>
        <v>31345</v>
      </c>
      <c r="X6435" s="339"/>
    </row>
    <row r="6436" s="330" customFormat="1" ht="15" customHeight="1" spans="1:24">
      <c r="A6436" s="550" t="s">
        <v>2051</v>
      </c>
      <c r="B6436" s="334" t="s">
        <v>185</v>
      </c>
      <c r="C6436" s="348" t="s">
        <v>886</v>
      </c>
      <c r="D6436" s="335" t="s">
        <v>187</v>
      </c>
      <c r="E6436" s="336">
        <v>43773</v>
      </c>
      <c r="F6436" s="336">
        <v>43758</v>
      </c>
      <c r="G6436" s="336">
        <v>43773</v>
      </c>
      <c r="H6436" s="334" t="s">
        <v>14417</v>
      </c>
      <c r="I6436" s="444">
        <v>13636521770</v>
      </c>
      <c r="J6436" s="348" t="s">
        <v>14418</v>
      </c>
      <c r="K6436" s="452">
        <v>8895</v>
      </c>
      <c r="L6436" s="334">
        <v>9015</v>
      </c>
      <c r="M6436" s="338"/>
      <c r="N6436" s="362">
        <f t="shared" si="219"/>
        <v>9015</v>
      </c>
      <c r="X6436" s="339"/>
    </row>
    <row r="6437" s="330" customFormat="1" ht="15" customHeight="1" spans="1:24">
      <c r="A6437" s="550" t="s">
        <v>14419</v>
      </c>
      <c r="B6437" s="334" t="s">
        <v>58</v>
      </c>
      <c r="C6437" s="348" t="s">
        <v>342</v>
      </c>
      <c r="D6437" s="335" t="s">
        <v>343</v>
      </c>
      <c r="E6437" s="336">
        <v>43769</v>
      </c>
      <c r="F6437" s="336">
        <v>43758</v>
      </c>
      <c r="G6437" s="336">
        <v>43767</v>
      </c>
      <c r="H6437" s="334" t="s">
        <v>14420</v>
      </c>
      <c r="I6437" s="444">
        <v>13641690812</v>
      </c>
      <c r="J6437" s="348" t="s">
        <v>14421</v>
      </c>
      <c r="K6437" s="452">
        <v>10000</v>
      </c>
      <c r="L6437" s="334">
        <v>9699</v>
      </c>
      <c r="M6437" s="338"/>
      <c r="N6437" s="362">
        <f t="shared" si="219"/>
        <v>9699</v>
      </c>
      <c r="X6437" s="339"/>
    </row>
    <row r="6438" s="330" customFormat="1" ht="15" customHeight="1" spans="1:24">
      <c r="A6438" s="550" t="s">
        <v>14422</v>
      </c>
      <c r="B6438" s="334" t="s">
        <v>73</v>
      </c>
      <c r="C6438" s="348" t="s">
        <v>74</v>
      </c>
      <c r="D6438" s="334" t="s">
        <v>132</v>
      </c>
      <c r="E6438" s="336">
        <v>43772</v>
      </c>
      <c r="F6438" s="336">
        <v>43758</v>
      </c>
      <c r="G6438" s="336">
        <v>43770</v>
      </c>
      <c r="H6438" s="334" t="s">
        <v>5571</v>
      </c>
      <c r="I6438" s="444">
        <v>13371922525</v>
      </c>
      <c r="J6438" s="348" t="s">
        <v>14423</v>
      </c>
      <c r="K6438" s="452">
        <v>1000</v>
      </c>
      <c r="L6438" s="334">
        <v>31002</v>
      </c>
      <c r="M6438" s="338"/>
      <c r="N6438" s="362">
        <f t="shared" si="219"/>
        <v>31002</v>
      </c>
      <c r="X6438" s="339"/>
    </row>
    <row r="6439" s="330" customFormat="1" ht="15" customHeight="1" spans="1:24">
      <c r="A6439" s="550" t="s">
        <v>14424</v>
      </c>
      <c r="B6439" s="334" t="s">
        <v>58</v>
      </c>
      <c r="C6439" s="348" t="s">
        <v>342</v>
      </c>
      <c r="D6439" s="335" t="s">
        <v>343</v>
      </c>
      <c r="E6439" s="336">
        <v>43764</v>
      </c>
      <c r="F6439" s="336">
        <v>43757</v>
      </c>
      <c r="G6439" s="336">
        <v>43764</v>
      </c>
      <c r="H6439" s="334" t="s">
        <v>14425</v>
      </c>
      <c r="I6439" s="444">
        <v>18516268639</v>
      </c>
      <c r="J6439" s="348" t="s">
        <v>14426</v>
      </c>
      <c r="K6439" s="452">
        <v>10000</v>
      </c>
      <c r="L6439" s="334">
        <v>11488</v>
      </c>
      <c r="M6439" s="338"/>
      <c r="N6439" s="362">
        <f t="shared" si="219"/>
        <v>11488</v>
      </c>
      <c r="X6439" s="339"/>
    </row>
    <row r="6440" s="330" customFormat="1" ht="15" customHeight="1" spans="1:24">
      <c r="A6440" s="550" t="s">
        <v>10836</v>
      </c>
      <c r="B6440" s="334" t="s">
        <v>5435</v>
      </c>
      <c r="C6440" s="348" t="s">
        <v>1728</v>
      </c>
      <c r="D6440" s="334" t="s">
        <v>237</v>
      </c>
      <c r="E6440" s="336">
        <v>43764</v>
      </c>
      <c r="F6440" s="336">
        <v>43758</v>
      </c>
      <c r="G6440" s="336">
        <v>43764</v>
      </c>
      <c r="H6440" s="334" t="s">
        <v>14427</v>
      </c>
      <c r="I6440" s="444">
        <v>18621688669</v>
      </c>
      <c r="J6440" s="348" t="s">
        <v>14428</v>
      </c>
      <c r="K6440" s="452">
        <v>1000</v>
      </c>
      <c r="L6440" s="334">
        <v>6364</v>
      </c>
      <c r="M6440" s="338"/>
      <c r="N6440" s="362">
        <f t="shared" si="219"/>
        <v>6364</v>
      </c>
      <c r="X6440" s="339"/>
    </row>
    <row r="6441" s="330" customFormat="1" ht="15" customHeight="1" spans="1:24">
      <c r="A6441" s="550" t="s">
        <v>14429</v>
      </c>
      <c r="B6441" s="334" t="s">
        <v>31</v>
      </c>
      <c r="C6441" s="348" t="s">
        <v>419</v>
      </c>
      <c r="D6441" s="334" t="s">
        <v>33</v>
      </c>
      <c r="E6441" s="336">
        <v>43765</v>
      </c>
      <c r="F6441" s="336">
        <v>43758</v>
      </c>
      <c r="G6441" s="336">
        <v>43765</v>
      </c>
      <c r="H6441" s="334" t="s">
        <v>14430</v>
      </c>
      <c r="I6441" s="444">
        <v>13003131572</v>
      </c>
      <c r="J6441" s="348" t="s">
        <v>14431</v>
      </c>
      <c r="K6441" s="452">
        <v>1000</v>
      </c>
      <c r="L6441" s="334">
        <v>7359</v>
      </c>
      <c r="M6441" s="338"/>
      <c r="N6441" s="362">
        <f t="shared" si="219"/>
        <v>7359</v>
      </c>
      <c r="X6441" s="339"/>
    </row>
    <row r="6442" s="330" customFormat="1" ht="15" customHeight="1" spans="1:24">
      <c r="A6442" s="550" t="s">
        <v>14432</v>
      </c>
      <c r="B6442" s="334" t="s">
        <v>185</v>
      </c>
      <c r="C6442" s="348" t="s">
        <v>186</v>
      </c>
      <c r="D6442" s="335" t="s">
        <v>187</v>
      </c>
      <c r="E6442" s="336">
        <v>43797</v>
      </c>
      <c r="F6442" s="336">
        <v>43758</v>
      </c>
      <c r="G6442" s="336">
        <v>43795</v>
      </c>
      <c r="H6442" s="334" t="s">
        <v>14433</v>
      </c>
      <c r="I6442" s="444">
        <v>18817313452</v>
      </c>
      <c r="J6442" s="348" t="s">
        <v>14434</v>
      </c>
      <c r="K6442" s="452">
        <v>1000</v>
      </c>
      <c r="L6442" s="334">
        <v>14603</v>
      </c>
      <c r="M6442" s="338"/>
      <c r="N6442" s="362">
        <f t="shared" si="219"/>
        <v>14603</v>
      </c>
      <c r="X6442" s="339"/>
    </row>
    <row r="6443" s="330" customFormat="1" ht="15" customHeight="1" spans="1:24">
      <c r="A6443" s="348" t="s">
        <v>13074</v>
      </c>
      <c r="B6443" s="334" t="s">
        <v>335</v>
      </c>
      <c r="C6443" s="348" t="s">
        <v>399</v>
      </c>
      <c r="D6443" s="334" t="s">
        <v>635</v>
      </c>
      <c r="E6443" s="336">
        <v>43794</v>
      </c>
      <c r="F6443" s="336">
        <v>43758</v>
      </c>
      <c r="G6443" s="336">
        <v>43793</v>
      </c>
      <c r="H6443" s="334" t="s">
        <v>14435</v>
      </c>
      <c r="I6443" s="444">
        <v>18121251357</v>
      </c>
      <c r="J6443" s="348" t="s">
        <v>14436</v>
      </c>
      <c r="K6443" s="452">
        <v>1000</v>
      </c>
      <c r="L6443" s="334">
        <v>20440</v>
      </c>
      <c r="M6443" s="338"/>
      <c r="N6443" s="362">
        <f t="shared" si="219"/>
        <v>20440</v>
      </c>
      <c r="X6443" s="339"/>
    </row>
    <row r="6444" s="330" customFormat="1" ht="15" customHeight="1" spans="1:24">
      <c r="A6444" s="550" t="s">
        <v>9988</v>
      </c>
      <c r="B6444" s="334" t="s">
        <v>73</v>
      </c>
      <c r="C6444" s="348" t="s">
        <v>74</v>
      </c>
      <c r="D6444" s="352" t="s">
        <v>75</v>
      </c>
      <c r="E6444" s="336">
        <v>43763</v>
      </c>
      <c r="F6444" s="336">
        <v>43763</v>
      </c>
      <c r="G6444" s="399"/>
      <c r="H6444" s="334" t="s">
        <v>14437</v>
      </c>
      <c r="I6444" s="444">
        <v>13524095058</v>
      </c>
      <c r="J6444" s="348" t="s">
        <v>14438</v>
      </c>
      <c r="K6444" s="452">
        <v>1000</v>
      </c>
      <c r="L6444" s="338"/>
      <c r="M6444" s="338"/>
      <c r="N6444" s="362">
        <f t="shared" si="219"/>
        <v>0</v>
      </c>
      <c r="Q6444" s="366" t="s">
        <v>52</v>
      </c>
      <c r="X6444" s="339"/>
    </row>
    <row r="6445" s="330" customFormat="1" ht="15" customHeight="1" spans="1:24">
      <c r="A6445" s="348" t="s">
        <v>13074</v>
      </c>
      <c r="B6445" s="334" t="s">
        <v>185</v>
      </c>
      <c r="C6445" s="348" t="s">
        <v>186</v>
      </c>
      <c r="D6445" s="334" t="s">
        <v>44</v>
      </c>
      <c r="E6445" s="336">
        <v>43759</v>
      </c>
      <c r="F6445" s="336">
        <v>43757</v>
      </c>
      <c r="G6445" s="336">
        <v>43758</v>
      </c>
      <c r="H6445" s="334" t="s">
        <v>14439</v>
      </c>
      <c r="I6445" s="444">
        <v>13761976574</v>
      </c>
      <c r="J6445" s="348" t="s">
        <v>14440</v>
      </c>
      <c r="K6445" s="452">
        <v>3507</v>
      </c>
      <c r="L6445" s="334">
        <v>3139</v>
      </c>
      <c r="M6445" s="334">
        <f>1530+38</f>
        <v>1568</v>
      </c>
      <c r="N6445" s="362">
        <f t="shared" si="219"/>
        <v>4707</v>
      </c>
      <c r="X6445" s="339"/>
    </row>
    <row r="6446" s="330" customFormat="1" ht="15" customHeight="1" spans="1:24">
      <c r="A6446" s="550" t="s">
        <v>7996</v>
      </c>
      <c r="B6446" s="334" t="s">
        <v>66</v>
      </c>
      <c r="C6446" s="348" t="s">
        <v>119</v>
      </c>
      <c r="D6446" s="334" t="s">
        <v>1436</v>
      </c>
      <c r="E6446" s="336">
        <v>43773</v>
      </c>
      <c r="F6446" s="336">
        <v>43758</v>
      </c>
      <c r="G6446" s="336">
        <v>43772</v>
      </c>
      <c r="H6446" s="334" t="s">
        <v>14441</v>
      </c>
      <c r="I6446" s="444">
        <v>13482102869</v>
      </c>
      <c r="J6446" s="348" t="s">
        <v>14442</v>
      </c>
      <c r="K6446" s="452">
        <v>1000</v>
      </c>
      <c r="L6446" s="334">
        <v>6501</v>
      </c>
      <c r="M6446" s="338"/>
      <c r="N6446" s="362">
        <f t="shared" si="219"/>
        <v>6501</v>
      </c>
      <c r="X6446" s="339"/>
    </row>
    <row r="6447" s="330" customFormat="1" ht="15" customHeight="1" spans="1:24">
      <c r="A6447" s="550" t="s">
        <v>10420</v>
      </c>
      <c r="B6447" s="334" t="s">
        <v>137</v>
      </c>
      <c r="C6447" s="348" t="s">
        <v>406</v>
      </c>
      <c r="D6447" s="334" t="s">
        <v>139</v>
      </c>
      <c r="E6447" s="336">
        <v>43792</v>
      </c>
      <c r="F6447" s="336">
        <v>43758</v>
      </c>
      <c r="G6447" s="336">
        <v>43789</v>
      </c>
      <c r="H6447" s="334" t="s">
        <v>14443</v>
      </c>
      <c r="I6447" s="444">
        <v>15801890360</v>
      </c>
      <c r="J6447" s="348" t="s">
        <v>14444</v>
      </c>
      <c r="K6447" s="452">
        <v>1000</v>
      </c>
      <c r="L6447" s="334">
        <v>13157</v>
      </c>
      <c r="M6447" s="338"/>
      <c r="N6447" s="362">
        <f t="shared" si="219"/>
        <v>13157</v>
      </c>
      <c r="S6447" s="330">
        <v>1</v>
      </c>
      <c r="X6447" s="339"/>
    </row>
    <row r="6448" s="330" customFormat="1" ht="15" customHeight="1" spans="1:24">
      <c r="A6448" s="348"/>
      <c r="B6448" s="334" t="s">
        <v>87</v>
      </c>
      <c r="C6448" s="348" t="s">
        <v>466</v>
      </c>
      <c r="D6448" s="335" t="s">
        <v>89</v>
      </c>
      <c r="E6448" s="336">
        <v>43769</v>
      </c>
      <c r="F6448" s="336">
        <v>43758</v>
      </c>
      <c r="G6448" s="336">
        <v>43769</v>
      </c>
      <c r="H6448" s="334" t="s">
        <v>14445</v>
      </c>
      <c r="I6448" s="444">
        <v>13764511236</v>
      </c>
      <c r="J6448" s="348" t="s">
        <v>14446</v>
      </c>
      <c r="K6448" s="452">
        <v>9999</v>
      </c>
      <c r="L6448" s="334">
        <v>22580</v>
      </c>
      <c r="M6448" s="338"/>
      <c r="N6448" s="362">
        <f t="shared" si="219"/>
        <v>22580</v>
      </c>
      <c r="X6448" s="339"/>
    </row>
    <row r="6449" s="330" customFormat="1" ht="15" customHeight="1" spans="1:24">
      <c r="A6449" s="348"/>
      <c r="B6449" s="334" t="s">
        <v>87</v>
      </c>
      <c r="C6449" s="348" t="s">
        <v>199</v>
      </c>
      <c r="D6449" s="335" t="s">
        <v>89</v>
      </c>
      <c r="E6449" s="336">
        <v>43773</v>
      </c>
      <c r="F6449" s="336">
        <v>43758</v>
      </c>
      <c r="G6449" s="336">
        <v>43773</v>
      </c>
      <c r="H6449" s="334" t="s">
        <v>14447</v>
      </c>
      <c r="I6449" s="444">
        <v>18686635905</v>
      </c>
      <c r="J6449" s="348" t="s">
        <v>14448</v>
      </c>
      <c r="K6449" s="452">
        <v>1099</v>
      </c>
      <c r="L6449" s="334">
        <v>13798</v>
      </c>
      <c r="M6449" s="338"/>
      <c r="N6449" s="362">
        <f t="shared" si="219"/>
        <v>13798</v>
      </c>
      <c r="X6449" s="339"/>
    </row>
    <row r="6450" s="330" customFormat="1" ht="15" customHeight="1" spans="1:24">
      <c r="A6450" s="550" t="s">
        <v>9155</v>
      </c>
      <c r="B6450" s="334" t="s">
        <v>153</v>
      </c>
      <c r="C6450" s="348" t="s">
        <v>302</v>
      </c>
      <c r="D6450" s="335" t="s">
        <v>155</v>
      </c>
      <c r="E6450" s="336">
        <v>43759</v>
      </c>
      <c r="F6450" s="336">
        <v>43758</v>
      </c>
      <c r="G6450" s="399"/>
      <c r="H6450" s="334" t="s">
        <v>14449</v>
      </c>
      <c r="I6450" s="444">
        <v>13816699740</v>
      </c>
      <c r="J6450" s="348" t="s">
        <v>14450</v>
      </c>
      <c r="K6450" s="452">
        <v>2734</v>
      </c>
      <c r="L6450" s="338"/>
      <c r="M6450" s="338"/>
      <c r="N6450" s="362">
        <f t="shared" ref="N6450:N6489" si="220">L6450+M6450</f>
        <v>0</v>
      </c>
      <c r="U6450" s="330" t="s">
        <v>12</v>
      </c>
      <c r="X6450" s="339"/>
    </row>
    <row r="6451" s="330" customFormat="1" ht="15" customHeight="1" spans="1:24">
      <c r="A6451" s="348" t="s">
        <v>13074</v>
      </c>
      <c r="B6451" s="334" t="s">
        <v>354</v>
      </c>
      <c r="C6451" s="348" t="s">
        <v>13719</v>
      </c>
      <c r="D6451" s="334" t="s">
        <v>237</v>
      </c>
      <c r="E6451" s="336">
        <v>43786</v>
      </c>
      <c r="F6451" s="336">
        <v>43758</v>
      </c>
      <c r="G6451" s="336">
        <v>43786</v>
      </c>
      <c r="H6451" s="334" t="s">
        <v>14451</v>
      </c>
      <c r="I6451" s="444">
        <v>13901729990</v>
      </c>
      <c r="J6451" s="348" t="s">
        <v>14452</v>
      </c>
      <c r="K6451" s="452">
        <v>3000</v>
      </c>
      <c r="L6451" s="334">
        <v>15702</v>
      </c>
      <c r="M6451" s="338"/>
      <c r="N6451" s="362">
        <f t="shared" si="220"/>
        <v>15702</v>
      </c>
      <c r="X6451" s="339"/>
    </row>
    <row r="6452" s="330" customFormat="1" ht="15" customHeight="1" spans="1:24">
      <c r="A6452" s="550" t="s">
        <v>14453</v>
      </c>
      <c r="B6452" s="334" t="s">
        <v>66</v>
      </c>
      <c r="C6452" s="334" t="s">
        <v>119</v>
      </c>
      <c r="D6452" s="334" t="s">
        <v>68</v>
      </c>
      <c r="E6452" s="336">
        <v>43759</v>
      </c>
      <c r="F6452" s="336">
        <v>43757</v>
      </c>
      <c r="G6452" s="399">
        <v>43757</v>
      </c>
      <c r="H6452" s="334" t="s">
        <v>14454</v>
      </c>
      <c r="I6452" s="334">
        <v>18918707593</v>
      </c>
      <c r="J6452" s="334" t="s">
        <v>14455</v>
      </c>
      <c r="K6452" s="452">
        <v>52000</v>
      </c>
      <c r="L6452" s="334">
        <v>52000</v>
      </c>
      <c r="M6452" s="338"/>
      <c r="N6452" s="362">
        <f t="shared" si="220"/>
        <v>52000</v>
      </c>
      <c r="X6452" s="339"/>
    </row>
    <row r="6453" s="330" customFormat="1" ht="15" customHeight="1" spans="1:24">
      <c r="A6453" s="550" t="s">
        <v>1583</v>
      </c>
      <c r="B6453" s="334" t="s">
        <v>66</v>
      </c>
      <c r="C6453" s="334" t="s">
        <v>505</v>
      </c>
      <c r="D6453" s="334" t="s">
        <v>2302</v>
      </c>
      <c r="E6453" s="336">
        <v>43759</v>
      </c>
      <c r="F6453" s="336">
        <v>43758</v>
      </c>
      <c r="G6453" s="399">
        <v>43758</v>
      </c>
      <c r="H6453" s="334" t="s">
        <v>14456</v>
      </c>
      <c r="I6453" s="334">
        <v>1881800436</v>
      </c>
      <c r="J6453" s="334" t="s">
        <v>14457</v>
      </c>
      <c r="K6453" s="452">
        <v>4114</v>
      </c>
      <c r="L6453" s="334">
        <v>4114</v>
      </c>
      <c r="M6453" s="338"/>
      <c r="N6453" s="362">
        <f t="shared" si="220"/>
        <v>4114</v>
      </c>
      <c r="X6453" s="339"/>
    </row>
    <row r="6454" s="330" customFormat="1" ht="15" customHeight="1" spans="1:24">
      <c r="A6454" s="550" t="s">
        <v>10374</v>
      </c>
      <c r="B6454" s="334" t="s">
        <v>31</v>
      </c>
      <c r="C6454" s="334" t="s">
        <v>251</v>
      </c>
      <c r="D6454" s="334" t="s">
        <v>33</v>
      </c>
      <c r="E6454" s="336">
        <v>43759</v>
      </c>
      <c r="F6454" s="336">
        <v>43758</v>
      </c>
      <c r="G6454" s="399">
        <v>43758</v>
      </c>
      <c r="H6454" s="334" t="s">
        <v>14458</v>
      </c>
      <c r="I6454" s="334">
        <v>13601829111</v>
      </c>
      <c r="J6454" s="334" t="s">
        <v>14459</v>
      </c>
      <c r="K6454" s="452">
        <v>21793</v>
      </c>
      <c r="L6454" s="334">
        <v>21793</v>
      </c>
      <c r="M6454" s="338"/>
      <c r="N6454" s="362">
        <f t="shared" si="220"/>
        <v>21793</v>
      </c>
      <c r="X6454" s="339"/>
    </row>
    <row r="6455" s="330" customFormat="1" ht="15" customHeight="1" spans="1:24">
      <c r="A6455" s="550" t="s">
        <v>14460</v>
      </c>
      <c r="B6455" s="334" t="s">
        <v>66</v>
      </c>
      <c r="C6455" s="348" t="s">
        <v>505</v>
      </c>
      <c r="D6455" s="334" t="s">
        <v>2302</v>
      </c>
      <c r="E6455" s="336">
        <v>43794</v>
      </c>
      <c r="F6455" s="336">
        <v>43759</v>
      </c>
      <c r="G6455" s="336">
        <v>43793</v>
      </c>
      <c r="H6455" s="334" t="s">
        <v>14461</v>
      </c>
      <c r="I6455" s="444">
        <v>18221533925</v>
      </c>
      <c r="J6455" s="348" t="s">
        <v>14462</v>
      </c>
      <c r="K6455" s="452">
        <v>2099</v>
      </c>
      <c r="L6455" s="334">
        <v>7754</v>
      </c>
      <c r="M6455" s="338"/>
      <c r="N6455" s="362">
        <f t="shared" si="220"/>
        <v>7754</v>
      </c>
      <c r="V6455" s="330" t="s">
        <v>1328</v>
      </c>
      <c r="X6455" s="339"/>
    </row>
    <row r="6456" s="330" customFormat="1" ht="15" customHeight="1" spans="1:24">
      <c r="A6456" s="348" t="s">
        <v>13074</v>
      </c>
      <c r="B6456" s="334" t="s">
        <v>805</v>
      </c>
      <c r="C6456" s="348" t="s">
        <v>4935</v>
      </c>
      <c r="D6456" s="334" t="s">
        <v>171</v>
      </c>
      <c r="E6456" s="336">
        <v>43767</v>
      </c>
      <c r="F6456" s="336">
        <v>43759</v>
      </c>
      <c r="G6456" s="336">
        <v>43766</v>
      </c>
      <c r="H6456" s="334" t="s">
        <v>4899</v>
      </c>
      <c r="I6456" s="444">
        <v>13818968978</v>
      </c>
      <c r="J6456" s="348" t="s">
        <v>14463</v>
      </c>
      <c r="K6456" s="452">
        <v>1000</v>
      </c>
      <c r="L6456" s="334">
        <v>18110</v>
      </c>
      <c r="M6456" s="338"/>
      <c r="N6456" s="362">
        <f t="shared" si="220"/>
        <v>18110</v>
      </c>
      <c r="X6456" s="339"/>
    </row>
    <row r="6457" s="330" customFormat="1" ht="15" customHeight="1" spans="1:24">
      <c r="A6457" s="550" t="s">
        <v>14464</v>
      </c>
      <c r="B6457" s="334" t="s">
        <v>58</v>
      </c>
      <c r="C6457" s="348" t="s">
        <v>794</v>
      </c>
      <c r="D6457" s="335" t="s">
        <v>110</v>
      </c>
      <c r="E6457" s="336">
        <v>43805</v>
      </c>
      <c r="F6457" s="336">
        <v>43758</v>
      </c>
      <c r="G6457" s="336">
        <v>43805</v>
      </c>
      <c r="H6457" s="334" t="s">
        <v>14465</v>
      </c>
      <c r="I6457" s="444">
        <v>13917321914</v>
      </c>
      <c r="J6457" s="348" t="s">
        <v>14466</v>
      </c>
      <c r="K6457" s="452">
        <v>1000</v>
      </c>
      <c r="L6457" s="334">
        <v>5373</v>
      </c>
      <c r="M6457" s="338"/>
      <c r="N6457" s="362">
        <f t="shared" si="220"/>
        <v>5373</v>
      </c>
      <c r="P6457" s="365" t="s">
        <v>52</v>
      </c>
      <c r="X6457" s="339"/>
    </row>
    <row r="6458" s="330" customFormat="1" ht="15" customHeight="1" spans="1:24">
      <c r="A6458" s="550" t="s">
        <v>14467</v>
      </c>
      <c r="B6458" s="334" t="s">
        <v>58</v>
      </c>
      <c r="C6458" s="348" t="s">
        <v>109</v>
      </c>
      <c r="D6458" s="335" t="s">
        <v>110</v>
      </c>
      <c r="E6458" s="336">
        <v>43795</v>
      </c>
      <c r="F6458" s="336">
        <v>43759</v>
      </c>
      <c r="G6458" s="336">
        <v>43794</v>
      </c>
      <c r="H6458" s="334" t="s">
        <v>14468</v>
      </c>
      <c r="I6458" s="444">
        <v>18839518678</v>
      </c>
      <c r="J6458" s="348" t="s">
        <v>14469</v>
      </c>
      <c r="K6458" s="452">
        <v>1000</v>
      </c>
      <c r="L6458" s="334">
        <v>11014</v>
      </c>
      <c r="M6458" s="338"/>
      <c r="N6458" s="362">
        <f t="shared" si="220"/>
        <v>11014</v>
      </c>
      <c r="Q6458" s="365"/>
      <c r="T6458" s="365" t="s">
        <v>52</v>
      </c>
      <c r="X6458" s="339"/>
    </row>
    <row r="6459" s="330" customFormat="1" ht="15" customHeight="1" spans="1:24">
      <c r="A6459" s="550" t="s">
        <v>14470</v>
      </c>
      <c r="B6459" s="334" t="s">
        <v>58</v>
      </c>
      <c r="C6459" s="348" t="s">
        <v>794</v>
      </c>
      <c r="D6459" s="335" t="s">
        <v>110</v>
      </c>
      <c r="E6459" s="336">
        <v>43796</v>
      </c>
      <c r="F6459" s="336">
        <v>43758</v>
      </c>
      <c r="G6459" s="336">
        <v>43795</v>
      </c>
      <c r="H6459" s="334" t="s">
        <v>14471</v>
      </c>
      <c r="I6459" s="444">
        <v>13512148423</v>
      </c>
      <c r="J6459" s="348" t="s">
        <v>14472</v>
      </c>
      <c r="K6459" s="452">
        <v>5000</v>
      </c>
      <c r="L6459" s="334">
        <v>9072</v>
      </c>
      <c r="M6459" s="338"/>
      <c r="N6459" s="362">
        <f t="shared" si="220"/>
        <v>9072</v>
      </c>
      <c r="Q6459" s="365" t="s">
        <v>52</v>
      </c>
      <c r="X6459" s="339"/>
    </row>
    <row r="6460" s="330" customFormat="1" ht="15" customHeight="1" spans="1:24">
      <c r="A6460" s="550" t="s">
        <v>14473</v>
      </c>
      <c r="B6460" s="334" t="s">
        <v>137</v>
      </c>
      <c r="C6460" s="348" t="s">
        <v>426</v>
      </c>
      <c r="D6460" s="334" t="s">
        <v>139</v>
      </c>
      <c r="E6460" s="336">
        <v>43763</v>
      </c>
      <c r="F6460" s="336">
        <v>43759</v>
      </c>
      <c r="G6460" s="336">
        <v>43760</v>
      </c>
      <c r="H6460" s="334" t="s">
        <v>14474</v>
      </c>
      <c r="I6460" s="444">
        <v>18817518036</v>
      </c>
      <c r="J6460" s="348" t="s">
        <v>14475</v>
      </c>
      <c r="K6460" s="452">
        <v>1000</v>
      </c>
      <c r="L6460" s="334">
        <v>7791</v>
      </c>
      <c r="M6460" s="338"/>
      <c r="N6460" s="362">
        <f t="shared" si="220"/>
        <v>7791</v>
      </c>
      <c r="X6460" s="339"/>
    </row>
    <row r="6461" s="330" customFormat="1" ht="15" customHeight="1" spans="1:24">
      <c r="A6461" s="550" t="s">
        <v>14476</v>
      </c>
      <c r="B6461" s="334" t="s">
        <v>137</v>
      </c>
      <c r="C6461" s="348" t="s">
        <v>426</v>
      </c>
      <c r="D6461" s="335" t="s">
        <v>443</v>
      </c>
      <c r="E6461" s="336">
        <v>43819</v>
      </c>
      <c r="F6461" s="336">
        <v>43759</v>
      </c>
      <c r="G6461" s="336">
        <v>43818</v>
      </c>
      <c r="H6461" s="334" t="s">
        <v>14477</v>
      </c>
      <c r="I6461" s="444">
        <v>13801607616</v>
      </c>
      <c r="J6461" s="348" t="s">
        <v>14478</v>
      </c>
      <c r="K6461" s="452">
        <v>1000</v>
      </c>
      <c r="L6461" s="334">
        <f>-900+10362</f>
        <v>9462</v>
      </c>
      <c r="M6461" s="338"/>
      <c r="N6461" s="362">
        <f t="shared" si="220"/>
        <v>9462</v>
      </c>
      <c r="S6461" s="330">
        <v>1</v>
      </c>
      <c r="X6461" s="339"/>
    </row>
    <row r="6462" s="330" customFormat="1" ht="15" customHeight="1" spans="1:24">
      <c r="A6462" s="550" t="s">
        <v>8804</v>
      </c>
      <c r="B6462" s="334" t="s">
        <v>137</v>
      </c>
      <c r="C6462" s="348" t="s">
        <v>426</v>
      </c>
      <c r="D6462" s="335" t="s">
        <v>443</v>
      </c>
      <c r="E6462" s="336">
        <v>43768</v>
      </c>
      <c r="F6462" s="336">
        <v>43759</v>
      </c>
      <c r="G6462" s="336">
        <v>43766</v>
      </c>
      <c r="H6462" s="334" t="s">
        <v>14479</v>
      </c>
      <c r="I6462" s="444">
        <v>13774317346</v>
      </c>
      <c r="J6462" s="348" t="s">
        <v>14480</v>
      </c>
      <c r="K6462" s="452">
        <v>1000</v>
      </c>
      <c r="L6462" s="334">
        <v>10741</v>
      </c>
      <c r="M6462" s="338"/>
      <c r="N6462" s="362">
        <f t="shared" si="220"/>
        <v>10741</v>
      </c>
      <c r="X6462" s="339"/>
    </row>
    <row r="6463" s="330" customFormat="1" ht="15" customHeight="1" spans="1:24">
      <c r="A6463" s="550" t="s">
        <v>1666</v>
      </c>
      <c r="B6463" s="334" t="s">
        <v>66</v>
      </c>
      <c r="C6463" s="348" t="s">
        <v>1749</v>
      </c>
      <c r="D6463" s="334" t="s">
        <v>1436</v>
      </c>
      <c r="E6463" s="336">
        <v>43759</v>
      </c>
      <c r="F6463" s="336">
        <v>43759</v>
      </c>
      <c r="G6463" s="399">
        <v>43759</v>
      </c>
      <c r="H6463" s="334" t="s">
        <v>14481</v>
      </c>
      <c r="I6463" s="444">
        <v>18550447446</v>
      </c>
      <c r="J6463" s="348" t="s">
        <v>14482</v>
      </c>
      <c r="K6463" s="452">
        <v>10000</v>
      </c>
      <c r="L6463" s="334">
        <v>10000</v>
      </c>
      <c r="M6463" s="338"/>
      <c r="N6463" s="362">
        <f t="shared" si="220"/>
        <v>10000</v>
      </c>
      <c r="X6463" s="339"/>
    </row>
    <row r="6464" s="330" customFormat="1" ht="15" customHeight="1" spans="1:24">
      <c r="A6464" s="550" t="s">
        <v>14483</v>
      </c>
      <c r="B6464" s="334" t="s">
        <v>315</v>
      </c>
      <c r="C6464" s="348" t="s">
        <v>275</v>
      </c>
      <c r="D6464" s="334" t="s">
        <v>1431</v>
      </c>
      <c r="E6464" s="336">
        <v>43799</v>
      </c>
      <c r="F6464" s="336">
        <v>43758</v>
      </c>
      <c r="G6464" s="336">
        <v>43799</v>
      </c>
      <c r="H6464" s="334" t="s">
        <v>14484</v>
      </c>
      <c r="I6464" s="444">
        <v>18201799098</v>
      </c>
      <c r="J6464" s="348" t="s">
        <v>14485</v>
      </c>
      <c r="K6464" s="452">
        <v>1000</v>
      </c>
      <c r="L6464" s="334">
        <v>4712</v>
      </c>
      <c r="M6464" s="338"/>
      <c r="N6464" s="362">
        <f t="shared" si="220"/>
        <v>4712</v>
      </c>
      <c r="S6464" s="330">
        <v>1</v>
      </c>
      <c r="X6464" s="339"/>
    </row>
    <row r="6465" s="330" customFormat="1" ht="15" customHeight="1" spans="1:24">
      <c r="A6465" s="550" t="s">
        <v>14486</v>
      </c>
      <c r="B6465" s="334" t="s">
        <v>315</v>
      </c>
      <c r="C6465" s="348" t="s">
        <v>275</v>
      </c>
      <c r="D6465" s="335" t="s">
        <v>162</v>
      </c>
      <c r="E6465" s="336">
        <v>43768</v>
      </c>
      <c r="F6465" s="336">
        <v>43758</v>
      </c>
      <c r="G6465" s="336">
        <v>43768</v>
      </c>
      <c r="H6465" s="334" t="s">
        <v>14487</v>
      </c>
      <c r="I6465" s="444">
        <v>15921627443</v>
      </c>
      <c r="J6465" s="348" t="s">
        <v>14488</v>
      </c>
      <c r="K6465" s="452">
        <v>5734</v>
      </c>
      <c r="L6465" s="334">
        <v>5734</v>
      </c>
      <c r="M6465" s="338"/>
      <c r="N6465" s="362">
        <f t="shared" si="220"/>
        <v>5734</v>
      </c>
      <c r="X6465" s="339"/>
    </row>
    <row r="6466" s="330" customFormat="1" ht="15" customHeight="1" spans="1:24">
      <c r="A6466" s="550" t="s">
        <v>14489</v>
      </c>
      <c r="B6466" s="334" t="s">
        <v>137</v>
      </c>
      <c r="C6466" s="348" t="s">
        <v>480</v>
      </c>
      <c r="D6466" s="334" t="s">
        <v>427</v>
      </c>
      <c r="E6466" s="336">
        <v>43797</v>
      </c>
      <c r="F6466" s="336">
        <v>43759</v>
      </c>
      <c r="G6466" s="336">
        <v>43797</v>
      </c>
      <c r="H6466" s="334" t="s">
        <v>14490</v>
      </c>
      <c r="I6466" s="444">
        <v>13761137862</v>
      </c>
      <c r="J6466" s="348" t="s">
        <v>14491</v>
      </c>
      <c r="K6466" s="452">
        <v>1000</v>
      </c>
      <c r="L6466" s="334">
        <v>37000</v>
      </c>
      <c r="M6466" s="338"/>
      <c r="N6466" s="362">
        <f t="shared" si="220"/>
        <v>37000</v>
      </c>
      <c r="R6466" s="330">
        <v>1</v>
      </c>
      <c r="X6466" s="339"/>
    </row>
    <row r="6467" s="330" customFormat="1" ht="15" customHeight="1" spans="1:24">
      <c r="A6467" s="550" t="s">
        <v>14492</v>
      </c>
      <c r="B6467" s="334" t="s">
        <v>35</v>
      </c>
      <c r="C6467" s="348" t="s">
        <v>328</v>
      </c>
      <c r="D6467" s="335" t="s">
        <v>37</v>
      </c>
      <c r="E6467" s="336">
        <v>43759</v>
      </c>
      <c r="F6467" s="336">
        <v>43758</v>
      </c>
      <c r="G6467" s="399"/>
      <c r="H6467" s="334" t="s">
        <v>4810</v>
      </c>
      <c r="I6467" s="444">
        <v>13918675704</v>
      </c>
      <c r="J6467" s="348" t="s">
        <v>14493</v>
      </c>
      <c r="K6467" s="452">
        <v>1000</v>
      </c>
      <c r="L6467" s="338"/>
      <c r="M6467" s="338"/>
      <c r="N6467" s="362">
        <f t="shared" si="220"/>
        <v>0</v>
      </c>
      <c r="U6467" s="330" t="s">
        <v>40</v>
      </c>
      <c r="X6467" s="339"/>
    </row>
    <row r="6468" s="330" customFormat="1" ht="15" customHeight="1" spans="1:24">
      <c r="A6468" s="550" t="s">
        <v>14494</v>
      </c>
      <c r="B6468" s="334" t="s">
        <v>58</v>
      </c>
      <c r="C6468" s="348" t="s">
        <v>347</v>
      </c>
      <c r="D6468" s="335" t="s">
        <v>343</v>
      </c>
      <c r="E6468" s="336">
        <v>43759</v>
      </c>
      <c r="F6468" s="336">
        <v>43758</v>
      </c>
      <c r="G6468" s="399"/>
      <c r="H6468" s="334" t="s">
        <v>14495</v>
      </c>
      <c r="I6468" s="444">
        <v>19946151944</v>
      </c>
      <c r="J6468" s="348" t="s">
        <v>14496</v>
      </c>
      <c r="K6468" s="452">
        <v>1000</v>
      </c>
      <c r="L6468" s="338"/>
      <c r="M6468" s="338"/>
      <c r="N6468" s="362">
        <f t="shared" si="220"/>
        <v>0</v>
      </c>
      <c r="P6468" s="365" t="s">
        <v>52</v>
      </c>
      <c r="X6468" s="339"/>
    </row>
    <row r="6469" s="330" customFormat="1" ht="15" customHeight="1" spans="1:24">
      <c r="A6469" s="348"/>
      <c r="B6469" s="334" t="s">
        <v>169</v>
      </c>
      <c r="C6469" s="348" t="s">
        <v>634</v>
      </c>
      <c r="D6469" s="335" t="s">
        <v>635</v>
      </c>
      <c r="E6469" s="336">
        <v>43792</v>
      </c>
      <c r="F6469" s="336">
        <v>43758</v>
      </c>
      <c r="G6469" s="336">
        <v>43792</v>
      </c>
      <c r="H6469" s="334" t="s">
        <v>14497</v>
      </c>
      <c r="I6469" s="444">
        <v>13901915892</v>
      </c>
      <c r="J6469" s="348" t="s">
        <v>14498</v>
      </c>
      <c r="K6469" s="452">
        <v>1000</v>
      </c>
      <c r="L6469" s="334">
        <v>11724</v>
      </c>
      <c r="M6469" s="338"/>
      <c r="N6469" s="362">
        <f t="shared" si="220"/>
        <v>11724</v>
      </c>
      <c r="Q6469" s="353" t="s">
        <v>21</v>
      </c>
      <c r="X6469" s="339"/>
    </row>
    <row r="6470" s="330" customFormat="1" ht="15" customHeight="1" spans="1:24">
      <c r="A6470" s="348"/>
      <c r="B6470" s="334" t="s">
        <v>5336</v>
      </c>
      <c r="C6470" s="348" t="s">
        <v>5336</v>
      </c>
      <c r="D6470" s="334" t="s">
        <v>8334</v>
      </c>
      <c r="E6470" s="336">
        <v>43761</v>
      </c>
      <c r="F6470" s="336">
        <v>43759</v>
      </c>
      <c r="G6470" s="336">
        <v>43760</v>
      </c>
      <c r="H6470" s="334" t="s">
        <v>3637</v>
      </c>
      <c r="I6470" s="444">
        <v>13611962900</v>
      </c>
      <c r="J6470" s="348" t="s">
        <v>14499</v>
      </c>
      <c r="K6470" s="452">
        <v>4338</v>
      </c>
      <c r="L6470" s="334">
        <v>4339</v>
      </c>
      <c r="M6470" s="338"/>
      <c r="N6470" s="362">
        <f t="shared" si="220"/>
        <v>4339</v>
      </c>
      <c r="X6470" s="339"/>
    </row>
    <row r="6471" s="330" customFormat="1" ht="15" customHeight="1" spans="1:24">
      <c r="A6471" s="348"/>
      <c r="B6471" s="334" t="s">
        <v>5336</v>
      </c>
      <c r="C6471" s="348" t="s">
        <v>5336</v>
      </c>
      <c r="D6471" s="335" t="s">
        <v>8334</v>
      </c>
      <c r="E6471" s="336">
        <v>43813</v>
      </c>
      <c r="F6471" s="336">
        <v>43759</v>
      </c>
      <c r="G6471" s="336">
        <v>43813</v>
      </c>
      <c r="H6471" s="334" t="s">
        <v>14500</v>
      </c>
      <c r="I6471" s="444">
        <v>13661762797</v>
      </c>
      <c r="J6471" s="348" t="s">
        <v>14501</v>
      </c>
      <c r="K6471" s="452">
        <v>8918</v>
      </c>
      <c r="L6471" s="334">
        <v>14414</v>
      </c>
      <c r="M6471" s="338"/>
      <c r="N6471" s="362">
        <f t="shared" si="220"/>
        <v>14414</v>
      </c>
      <c r="X6471" s="339"/>
    </row>
    <row r="6472" s="330" customFormat="1" ht="15" customHeight="1" spans="1:24">
      <c r="A6472" s="348"/>
      <c r="B6472" s="334" t="s">
        <v>5336</v>
      </c>
      <c r="C6472" s="348" t="s">
        <v>5336</v>
      </c>
      <c r="D6472" s="334" t="s">
        <v>8334</v>
      </c>
      <c r="E6472" s="336">
        <v>43760</v>
      </c>
      <c r="F6472" s="336">
        <v>43759</v>
      </c>
      <c r="G6472" s="336">
        <v>43760</v>
      </c>
      <c r="H6472" s="334" t="s">
        <v>14502</v>
      </c>
      <c r="I6472" s="444">
        <v>13052471000</v>
      </c>
      <c r="J6472" s="348" t="s">
        <v>14503</v>
      </c>
      <c r="K6472" s="452">
        <v>12170</v>
      </c>
      <c r="L6472" s="334">
        <v>12170</v>
      </c>
      <c r="M6472" s="334">
        <v>5079</v>
      </c>
      <c r="N6472" s="362">
        <f t="shared" si="220"/>
        <v>17249</v>
      </c>
      <c r="X6472" s="339"/>
    </row>
    <row r="6473" s="330" customFormat="1" ht="15" customHeight="1" spans="1:24">
      <c r="A6473" s="348"/>
      <c r="B6473" s="334" t="s">
        <v>147</v>
      </c>
      <c r="C6473" s="334" t="s">
        <v>148</v>
      </c>
      <c r="D6473" s="334" t="s">
        <v>1170</v>
      </c>
      <c r="E6473" s="336">
        <v>43759</v>
      </c>
      <c r="F6473" s="336">
        <v>43758</v>
      </c>
      <c r="G6473" s="399">
        <v>43758</v>
      </c>
      <c r="H6473" s="334" t="s">
        <v>14504</v>
      </c>
      <c r="I6473" s="334">
        <v>15921999430</v>
      </c>
      <c r="J6473" s="334" t="s">
        <v>14505</v>
      </c>
      <c r="K6473" s="452">
        <v>4054</v>
      </c>
      <c r="L6473" s="334">
        <v>4054</v>
      </c>
      <c r="M6473" s="338"/>
      <c r="N6473" s="362">
        <f t="shared" si="220"/>
        <v>4054</v>
      </c>
      <c r="X6473" s="339"/>
    </row>
    <row r="6474" s="330" customFormat="1" ht="15" customHeight="1" spans="1:24">
      <c r="A6474" s="550" t="s">
        <v>14506</v>
      </c>
      <c r="B6474" s="334" t="s">
        <v>805</v>
      </c>
      <c r="C6474" s="348" t="s">
        <v>4935</v>
      </c>
      <c r="D6474" s="335" t="s">
        <v>635</v>
      </c>
      <c r="E6474" s="336">
        <v>43759</v>
      </c>
      <c r="F6474" s="336">
        <v>43759</v>
      </c>
      <c r="G6474" s="399"/>
      <c r="H6474" s="334" t="s">
        <v>14507</v>
      </c>
      <c r="I6474" s="444">
        <v>13916466957</v>
      </c>
      <c r="J6474" s="348" t="s">
        <v>14508</v>
      </c>
      <c r="K6474" s="452">
        <v>1000</v>
      </c>
      <c r="L6474" s="338"/>
      <c r="M6474" s="338"/>
      <c r="N6474" s="362">
        <f t="shared" si="220"/>
        <v>0</v>
      </c>
      <c r="P6474" s="430"/>
      <c r="W6474" s="471">
        <v>43743</v>
      </c>
      <c r="X6474" s="339"/>
    </row>
    <row r="6475" s="330" customFormat="1" ht="15" customHeight="1" spans="1:24">
      <c r="A6475" s="348"/>
      <c r="B6475" s="334" t="s">
        <v>6313</v>
      </c>
      <c r="C6475" s="348" t="s">
        <v>7818</v>
      </c>
      <c r="D6475" s="334" t="s">
        <v>7871</v>
      </c>
      <c r="E6475" s="336">
        <v>43774</v>
      </c>
      <c r="F6475" s="336">
        <v>43758</v>
      </c>
      <c r="G6475" s="336">
        <v>43773</v>
      </c>
      <c r="H6475" s="334" t="s">
        <v>14509</v>
      </c>
      <c r="I6475" s="444">
        <v>15921206013</v>
      </c>
      <c r="J6475" s="348" t="s">
        <v>14510</v>
      </c>
      <c r="K6475" s="452">
        <v>1000</v>
      </c>
      <c r="L6475" s="334">
        <v>7287</v>
      </c>
      <c r="M6475" s="338"/>
      <c r="N6475" s="362">
        <f t="shared" si="220"/>
        <v>7287</v>
      </c>
      <c r="X6475" s="339"/>
    </row>
    <row r="6476" s="330" customFormat="1" ht="15" customHeight="1" spans="1:24">
      <c r="A6476" s="348"/>
      <c r="B6476" s="334" t="s">
        <v>243</v>
      </c>
      <c r="C6476" s="348" t="s">
        <v>304</v>
      </c>
      <c r="D6476" s="335" t="s">
        <v>49</v>
      </c>
      <c r="E6476" s="336">
        <v>43796</v>
      </c>
      <c r="F6476" s="336">
        <v>43758</v>
      </c>
      <c r="G6476" s="336">
        <v>43796</v>
      </c>
      <c r="H6476" s="334" t="s">
        <v>14511</v>
      </c>
      <c r="I6476" s="444">
        <v>18516770517</v>
      </c>
      <c r="J6476" s="348" t="s">
        <v>14512</v>
      </c>
      <c r="K6476" s="452">
        <v>1000</v>
      </c>
      <c r="L6476" s="334">
        <v>30033</v>
      </c>
      <c r="M6476" s="338"/>
      <c r="N6476" s="362">
        <f t="shared" si="220"/>
        <v>30033</v>
      </c>
      <c r="R6476" s="356"/>
      <c r="X6476" s="339"/>
    </row>
    <row r="6477" s="330" customFormat="1" ht="15" customHeight="1" spans="1:24">
      <c r="A6477" s="348">
        <v>2066264</v>
      </c>
      <c r="B6477" s="334" t="s">
        <v>94</v>
      </c>
      <c r="C6477" s="348" t="s">
        <v>95</v>
      </c>
      <c r="D6477" s="334" t="s">
        <v>44</v>
      </c>
      <c r="E6477" s="336">
        <v>43786</v>
      </c>
      <c r="F6477" s="336">
        <v>43758</v>
      </c>
      <c r="G6477" s="336">
        <v>43785</v>
      </c>
      <c r="H6477" s="334" t="s">
        <v>14513</v>
      </c>
      <c r="I6477" s="444">
        <v>13651855395</v>
      </c>
      <c r="J6477" s="348" t="s">
        <v>14514</v>
      </c>
      <c r="K6477" s="452">
        <v>5000</v>
      </c>
      <c r="L6477" s="334">
        <v>15860</v>
      </c>
      <c r="M6477" s="338"/>
      <c r="N6477" s="362">
        <f t="shared" si="220"/>
        <v>15860</v>
      </c>
      <c r="X6477" s="339"/>
    </row>
    <row r="6478" s="330" customFormat="1" ht="15" customHeight="1" spans="1:24">
      <c r="A6478" s="348">
        <v>2023331</v>
      </c>
      <c r="B6478" s="334" t="s">
        <v>243</v>
      </c>
      <c r="C6478" s="348" t="s">
        <v>304</v>
      </c>
      <c r="D6478" s="335" t="s">
        <v>49</v>
      </c>
      <c r="E6478" s="336">
        <v>43759</v>
      </c>
      <c r="F6478" s="336">
        <v>43758</v>
      </c>
      <c r="G6478" s="399"/>
      <c r="H6478" s="334" t="s">
        <v>4544</v>
      </c>
      <c r="I6478" s="444">
        <v>18616378773</v>
      </c>
      <c r="J6478" s="348" t="s">
        <v>14515</v>
      </c>
      <c r="K6478" s="452">
        <v>1000</v>
      </c>
      <c r="L6478" s="338"/>
      <c r="M6478" s="338"/>
      <c r="N6478" s="362">
        <f t="shared" si="220"/>
        <v>0</v>
      </c>
      <c r="Q6478" s="356" t="s">
        <v>52</v>
      </c>
      <c r="X6478" s="339"/>
    </row>
    <row r="6479" s="330" customFormat="1" ht="15" customHeight="1" spans="1:24">
      <c r="A6479" s="550" t="s">
        <v>14516</v>
      </c>
      <c r="B6479" s="334" t="s">
        <v>359</v>
      </c>
      <c r="C6479" s="348" t="s">
        <v>3018</v>
      </c>
      <c r="D6479" s="335" t="s">
        <v>361</v>
      </c>
      <c r="E6479" s="336">
        <v>43763</v>
      </c>
      <c r="F6479" s="336">
        <v>43758</v>
      </c>
      <c r="G6479" s="336">
        <v>43762</v>
      </c>
      <c r="H6479" s="334" t="s">
        <v>14517</v>
      </c>
      <c r="I6479" s="444">
        <v>15020908255</v>
      </c>
      <c r="J6479" s="348" t="s">
        <v>14518</v>
      </c>
      <c r="K6479" s="452">
        <v>1000</v>
      </c>
      <c r="L6479" s="334">
        <v>19095</v>
      </c>
      <c r="M6479" s="338"/>
      <c r="N6479" s="362">
        <f t="shared" si="220"/>
        <v>19095</v>
      </c>
      <c r="X6479" s="339"/>
    </row>
    <row r="6480" s="330" customFormat="1" ht="15" customHeight="1" spans="1:24">
      <c r="A6480" s="550" t="s">
        <v>14519</v>
      </c>
      <c r="B6480" s="334" t="s">
        <v>805</v>
      </c>
      <c r="C6480" s="348" t="s">
        <v>806</v>
      </c>
      <c r="D6480" s="334" t="s">
        <v>427</v>
      </c>
      <c r="E6480" s="336">
        <v>43761</v>
      </c>
      <c r="F6480" s="336">
        <v>43759</v>
      </c>
      <c r="G6480" s="336">
        <v>43759</v>
      </c>
      <c r="H6480" s="334" t="s">
        <v>14520</v>
      </c>
      <c r="I6480" s="444">
        <v>13818626506</v>
      </c>
      <c r="J6480" s="348" t="s">
        <v>14521</v>
      </c>
      <c r="K6480" s="452">
        <v>500</v>
      </c>
      <c r="L6480" s="334">
        <v>13680</v>
      </c>
      <c r="M6480" s="338"/>
      <c r="N6480" s="362">
        <f t="shared" si="220"/>
        <v>13680</v>
      </c>
      <c r="X6480" s="339"/>
    </row>
    <row r="6481" s="330" customFormat="1" ht="15" customHeight="1" spans="1:24">
      <c r="A6481" s="550" t="s">
        <v>14522</v>
      </c>
      <c r="B6481" s="334" t="s">
        <v>805</v>
      </c>
      <c r="C6481" s="348" t="s">
        <v>4935</v>
      </c>
      <c r="D6481" s="335" t="s">
        <v>171</v>
      </c>
      <c r="E6481" s="336">
        <v>43759</v>
      </c>
      <c r="F6481" s="336">
        <v>43759</v>
      </c>
      <c r="G6481" s="399"/>
      <c r="H6481" s="334" t="s">
        <v>14523</v>
      </c>
      <c r="I6481" s="444">
        <v>18801900295</v>
      </c>
      <c r="J6481" s="348" t="s">
        <v>14524</v>
      </c>
      <c r="K6481" s="452">
        <v>1000</v>
      </c>
      <c r="L6481" s="338"/>
      <c r="M6481" s="338"/>
      <c r="N6481" s="362">
        <f t="shared" si="220"/>
        <v>0</v>
      </c>
      <c r="P6481" s="430"/>
      <c r="Q6481" s="430" t="s">
        <v>52</v>
      </c>
      <c r="X6481" s="339"/>
    </row>
    <row r="6482" s="330" customFormat="1" ht="15" customHeight="1" spans="1:24">
      <c r="A6482" s="348"/>
      <c r="B6482" s="334" t="s">
        <v>805</v>
      </c>
      <c r="C6482" s="348" t="s">
        <v>4935</v>
      </c>
      <c r="D6482" s="335" t="s">
        <v>171</v>
      </c>
      <c r="E6482" s="336">
        <v>43795</v>
      </c>
      <c r="F6482" s="336">
        <v>43759</v>
      </c>
      <c r="G6482" s="336">
        <v>43793</v>
      </c>
      <c r="H6482" s="334" t="s">
        <v>2510</v>
      </c>
      <c r="I6482" s="444">
        <v>13501808428</v>
      </c>
      <c r="J6482" s="348" t="s">
        <v>14525</v>
      </c>
      <c r="K6482" s="452">
        <v>3000</v>
      </c>
      <c r="L6482" s="334">
        <v>18535</v>
      </c>
      <c r="M6482" s="338"/>
      <c r="N6482" s="362">
        <f t="shared" si="220"/>
        <v>18535</v>
      </c>
      <c r="X6482" s="339"/>
    </row>
    <row r="6483" s="330" customFormat="1" ht="15" customHeight="1" spans="1:24">
      <c r="A6483" s="348">
        <v>2066263</v>
      </c>
      <c r="B6483" s="334" t="s">
        <v>94</v>
      </c>
      <c r="C6483" s="348" t="s">
        <v>3196</v>
      </c>
      <c r="D6483" s="335" t="s">
        <v>49</v>
      </c>
      <c r="E6483" s="336">
        <v>43784</v>
      </c>
      <c r="F6483" s="336">
        <v>43757</v>
      </c>
      <c r="G6483" s="336">
        <v>43784</v>
      </c>
      <c r="H6483" s="334" t="s">
        <v>14526</v>
      </c>
      <c r="I6483" s="444">
        <v>17317600955</v>
      </c>
      <c r="J6483" s="348" t="s">
        <v>14527</v>
      </c>
      <c r="K6483" s="452">
        <v>5000</v>
      </c>
      <c r="L6483" s="334">
        <v>17729</v>
      </c>
      <c r="M6483" s="338"/>
      <c r="N6483" s="362">
        <f t="shared" si="220"/>
        <v>17729</v>
      </c>
      <c r="X6483" s="339"/>
    </row>
    <row r="6484" s="330" customFormat="1" ht="15" customHeight="1" spans="1:24">
      <c r="A6484" s="348"/>
      <c r="B6484" s="334" t="s">
        <v>6313</v>
      </c>
      <c r="C6484" s="348" t="s">
        <v>7818</v>
      </c>
      <c r="D6484" s="334" t="s">
        <v>7871</v>
      </c>
      <c r="E6484" s="336">
        <v>43794</v>
      </c>
      <c r="F6484" s="336">
        <v>43759</v>
      </c>
      <c r="G6484" s="336">
        <v>43789</v>
      </c>
      <c r="H6484" s="334" t="s">
        <v>14528</v>
      </c>
      <c r="I6484" s="444">
        <v>15902178400</v>
      </c>
      <c r="J6484" s="348" t="s">
        <v>14529</v>
      </c>
      <c r="K6484" s="452">
        <v>2000</v>
      </c>
      <c r="L6484" s="334">
        <v>10200</v>
      </c>
      <c r="M6484" s="338"/>
      <c r="N6484" s="362">
        <f t="shared" si="220"/>
        <v>10200</v>
      </c>
      <c r="X6484" s="339"/>
    </row>
    <row r="6485" s="330" customFormat="1" ht="15" customHeight="1" spans="1:24">
      <c r="A6485" s="348"/>
      <c r="B6485" s="334" t="s">
        <v>2625</v>
      </c>
      <c r="C6485" s="348" t="s">
        <v>2626</v>
      </c>
      <c r="D6485" s="334" t="s">
        <v>337</v>
      </c>
      <c r="E6485" s="336">
        <v>43834</v>
      </c>
      <c r="F6485" s="336">
        <v>43758</v>
      </c>
      <c r="G6485" s="336">
        <v>43834</v>
      </c>
      <c r="H6485" s="334" t="s">
        <v>14530</v>
      </c>
      <c r="I6485" s="444">
        <v>13761723417</v>
      </c>
      <c r="J6485" s="348" t="s">
        <v>14531</v>
      </c>
      <c r="K6485" s="452">
        <v>9000</v>
      </c>
      <c r="L6485" s="334">
        <v>13483</v>
      </c>
      <c r="M6485" s="338"/>
      <c r="N6485" s="362">
        <f t="shared" si="220"/>
        <v>13483</v>
      </c>
      <c r="R6485" s="477" t="s">
        <v>4631</v>
      </c>
      <c r="X6485" s="339"/>
    </row>
    <row r="6486" s="330" customFormat="1" ht="15" customHeight="1" spans="1:24">
      <c r="A6486" s="334"/>
      <c r="B6486" s="334" t="s">
        <v>31</v>
      </c>
      <c r="C6486" s="334" t="s">
        <v>220</v>
      </c>
      <c r="D6486" s="334" t="s">
        <v>33</v>
      </c>
      <c r="E6486" s="336">
        <v>43759</v>
      </c>
      <c r="F6486" s="336"/>
      <c r="G6486" s="336">
        <v>43757</v>
      </c>
      <c r="H6486" s="334" t="s">
        <v>14532</v>
      </c>
      <c r="I6486" s="334">
        <v>13601723426</v>
      </c>
      <c r="J6486" s="334" t="s">
        <v>14533</v>
      </c>
      <c r="K6486" s="337"/>
      <c r="L6486" s="334">
        <v>10877</v>
      </c>
      <c r="M6486" s="338"/>
      <c r="N6486" s="362">
        <f t="shared" si="220"/>
        <v>10877</v>
      </c>
      <c r="X6486" s="339"/>
    </row>
    <row r="6487" s="330" customFormat="1" ht="15" customHeight="1" spans="1:24">
      <c r="A6487" s="334"/>
      <c r="B6487" s="334" t="s">
        <v>153</v>
      </c>
      <c r="C6487" s="334" t="s">
        <v>154</v>
      </c>
      <c r="D6487" s="334" t="s">
        <v>155</v>
      </c>
      <c r="E6487" s="336">
        <v>43759</v>
      </c>
      <c r="F6487" s="336"/>
      <c r="G6487" s="336">
        <v>43757</v>
      </c>
      <c r="H6487" s="334" t="s">
        <v>5340</v>
      </c>
      <c r="I6487" s="334">
        <v>13641699270</v>
      </c>
      <c r="J6487" s="334" t="s">
        <v>14534</v>
      </c>
      <c r="K6487" s="337"/>
      <c r="L6487" s="334">
        <v>7941</v>
      </c>
      <c r="M6487" s="338"/>
      <c r="N6487" s="362">
        <f t="shared" si="220"/>
        <v>7941</v>
      </c>
      <c r="X6487" s="339"/>
    </row>
    <row r="6488" s="330" customFormat="1" ht="15" customHeight="1" spans="1:24">
      <c r="A6488" s="334"/>
      <c r="B6488" s="334" t="s">
        <v>87</v>
      </c>
      <c r="C6488" s="334" t="s">
        <v>466</v>
      </c>
      <c r="D6488" s="334" t="s">
        <v>89</v>
      </c>
      <c r="E6488" s="336">
        <v>43759</v>
      </c>
      <c r="F6488" s="336"/>
      <c r="G6488" s="336">
        <v>43758</v>
      </c>
      <c r="H6488" s="334" t="s">
        <v>14535</v>
      </c>
      <c r="I6488" s="334">
        <v>18917128146</v>
      </c>
      <c r="J6488" s="348" t="s">
        <v>14536</v>
      </c>
      <c r="K6488" s="337"/>
      <c r="L6488" s="334">
        <v>5315</v>
      </c>
      <c r="M6488" s="338"/>
      <c r="N6488" s="362">
        <f t="shared" si="220"/>
        <v>5315</v>
      </c>
      <c r="X6488" s="339"/>
    </row>
    <row r="6489" s="330" customFormat="1" ht="15" customHeight="1" spans="1:24">
      <c r="A6489" s="334"/>
      <c r="B6489" s="334" t="s">
        <v>31</v>
      </c>
      <c r="C6489" s="334" t="s">
        <v>251</v>
      </c>
      <c r="D6489" s="334" t="s">
        <v>954</v>
      </c>
      <c r="E6489" s="336">
        <v>43759</v>
      </c>
      <c r="F6489" s="336"/>
      <c r="G6489" s="336">
        <v>43758</v>
      </c>
      <c r="H6489" s="334" t="s">
        <v>14537</v>
      </c>
      <c r="I6489" s="334">
        <v>15036313617</v>
      </c>
      <c r="J6489" s="334" t="s">
        <v>14538</v>
      </c>
      <c r="K6489" s="337"/>
      <c r="L6489" s="334">
        <v>12134</v>
      </c>
      <c r="M6489" s="338"/>
      <c r="N6489" s="362">
        <f t="shared" si="220"/>
        <v>12134</v>
      </c>
      <c r="X6489" s="339"/>
    </row>
    <row r="6490" s="330" customFormat="1" ht="15" customHeight="1" spans="1:24">
      <c r="A6490" s="334"/>
      <c r="B6490" s="334" t="s">
        <v>73</v>
      </c>
      <c r="C6490" s="334" t="s">
        <v>74</v>
      </c>
      <c r="D6490" s="334" t="s">
        <v>717</v>
      </c>
      <c r="E6490" s="336">
        <v>43759</v>
      </c>
      <c r="F6490" s="336"/>
      <c r="G6490" s="336">
        <v>43759</v>
      </c>
      <c r="H6490" s="334" t="s">
        <v>14539</v>
      </c>
      <c r="I6490" s="334">
        <v>13701831259</v>
      </c>
      <c r="J6490" s="334" t="s">
        <v>14540</v>
      </c>
      <c r="K6490" s="337"/>
      <c r="L6490" s="334">
        <v>25057</v>
      </c>
      <c r="M6490" s="334">
        <v>1104</v>
      </c>
      <c r="N6490" s="362">
        <f t="shared" ref="N6490:N6539" si="221">L6490+M6490</f>
        <v>26161</v>
      </c>
      <c r="X6490" s="339"/>
    </row>
    <row r="6491" s="330" customFormat="1" ht="15" customHeight="1" spans="1:24">
      <c r="A6491" s="334"/>
      <c r="B6491" s="334" t="s">
        <v>47</v>
      </c>
      <c r="C6491" s="334" t="s">
        <v>53</v>
      </c>
      <c r="D6491" s="335" t="s">
        <v>49</v>
      </c>
      <c r="E6491" s="336">
        <v>43759</v>
      </c>
      <c r="F6491" s="336"/>
      <c r="G6491" s="336">
        <v>43759</v>
      </c>
      <c r="H6491" s="334" t="s">
        <v>12049</v>
      </c>
      <c r="I6491" s="334">
        <v>18215697943</v>
      </c>
      <c r="J6491" s="334" t="s">
        <v>14541</v>
      </c>
      <c r="K6491" s="337"/>
      <c r="L6491" s="334">
        <v>14596</v>
      </c>
      <c r="M6491" s="338"/>
      <c r="N6491" s="362">
        <f t="shared" si="221"/>
        <v>14596</v>
      </c>
      <c r="X6491" s="339"/>
    </row>
    <row r="6492" s="330" customFormat="1" ht="15" customHeight="1" spans="1:24">
      <c r="A6492" s="334"/>
      <c r="B6492" s="334" t="s">
        <v>281</v>
      </c>
      <c r="C6492" s="334" t="s">
        <v>517</v>
      </c>
      <c r="D6492" s="334" t="s">
        <v>518</v>
      </c>
      <c r="E6492" s="336">
        <v>43759</v>
      </c>
      <c r="F6492" s="336"/>
      <c r="G6492" s="336">
        <v>43759</v>
      </c>
      <c r="H6492" s="334" t="s">
        <v>12985</v>
      </c>
      <c r="I6492" s="334">
        <v>15921990641</v>
      </c>
      <c r="J6492" s="334" t="s">
        <v>12986</v>
      </c>
      <c r="K6492" s="337"/>
      <c r="L6492" s="334">
        <v>12000</v>
      </c>
      <c r="M6492" s="338"/>
      <c r="N6492" s="362">
        <f t="shared" si="221"/>
        <v>12000</v>
      </c>
      <c r="X6492" s="339"/>
    </row>
    <row r="6493" s="330" customFormat="1" ht="15" customHeight="1" spans="1:24">
      <c r="A6493" s="334"/>
      <c r="B6493" s="334" t="s">
        <v>153</v>
      </c>
      <c r="C6493" s="334" t="s">
        <v>154</v>
      </c>
      <c r="D6493" s="334" t="s">
        <v>155</v>
      </c>
      <c r="E6493" s="336">
        <v>43759</v>
      </c>
      <c r="F6493" s="336"/>
      <c r="G6493" s="336">
        <v>43758</v>
      </c>
      <c r="H6493" s="334" t="s">
        <v>7374</v>
      </c>
      <c r="I6493" s="334">
        <v>13817250805</v>
      </c>
      <c r="J6493" s="334" t="s">
        <v>14542</v>
      </c>
      <c r="K6493" s="337"/>
      <c r="L6493" s="338"/>
      <c r="M6493" s="334">
        <v>1137</v>
      </c>
      <c r="N6493" s="362">
        <f t="shared" si="221"/>
        <v>1137</v>
      </c>
      <c r="X6493" s="339"/>
    </row>
    <row r="6494" s="330" customFormat="1" ht="15" customHeight="1" spans="1:24">
      <c r="A6494" s="334"/>
      <c r="B6494" s="334" t="s">
        <v>137</v>
      </c>
      <c r="C6494" s="334" t="s">
        <v>411</v>
      </c>
      <c r="D6494" s="334" t="s">
        <v>139</v>
      </c>
      <c r="E6494" s="336">
        <v>43759</v>
      </c>
      <c r="F6494" s="336"/>
      <c r="G6494" s="336">
        <v>43757</v>
      </c>
      <c r="H6494" s="334" t="s">
        <v>3105</v>
      </c>
      <c r="I6494" s="334">
        <v>18964025035</v>
      </c>
      <c r="J6494" s="334" t="s">
        <v>14543</v>
      </c>
      <c r="K6494" s="337"/>
      <c r="L6494" s="338"/>
      <c r="M6494" s="334">
        <v>500</v>
      </c>
      <c r="N6494" s="362">
        <f t="shared" si="221"/>
        <v>500</v>
      </c>
      <c r="X6494" s="339"/>
    </row>
    <row r="6495" s="330" customFormat="1" ht="15" customHeight="1" spans="1:24">
      <c r="A6495" s="334"/>
      <c r="B6495" s="334" t="s">
        <v>42</v>
      </c>
      <c r="C6495" s="334" t="s">
        <v>43</v>
      </c>
      <c r="D6495" s="334" t="s">
        <v>237</v>
      </c>
      <c r="E6495" s="336">
        <v>43759</v>
      </c>
      <c r="F6495" s="336"/>
      <c r="G6495" s="336">
        <v>43757</v>
      </c>
      <c r="H6495" s="334" t="s">
        <v>11595</v>
      </c>
      <c r="I6495" s="334">
        <v>13661690096</v>
      </c>
      <c r="J6495" s="334" t="s">
        <v>14544</v>
      </c>
      <c r="K6495" s="337"/>
      <c r="L6495" s="338"/>
      <c r="M6495" s="334">
        <v>1435</v>
      </c>
      <c r="N6495" s="362">
        <f t="shared" si="221"/>
        <v>1435</v>
      </c>
      <c r="X6495" s="339"/>
    </row>
    <row r="6496" s="330" customFormat="1" ht="15" customHeight="1" spans="1:24">
      <c r="A6496" s="334"/>
      <c r="B6496" s="334" t="s">
        <v>66</v>
      </c>
      <c r="C6496" s="334" t="s">
        <v>951</v>
      </c>
      <c r="D6496" s="334" t="s">
        <v>68</v>
      </c>
      <c r="E6496" s="336">
        <v>43759</v>
      </c>
      <c r="F6496" s="336"/>
      <c r="G6496" s="336">
        <v>43757</v>
      </c>
      <c r="H6496" s="334" t="s">
        <v>11887</v>
      </c>
      <c r="I6496" s="334">
        <v>1366182691</v>
      </c>
      <c r="J6496" s="334" t="s">
        <v>14545</v>
      </c>
      <c r="K6496" s="337"/>
      <c r="L6496" s="338"/>
      <c r="M6496" s="334">
        <v>-171</v>
      </c>
      <c r="N6496" s="362">
        <f t="shared" si="221"/>
        <v>-171</v>
      </c>
      <c r="X6496" s="339"/>
    </row>
    <row r="6497" s="330" customFormat="1" ht="15" customHeight="1" spans="1:24">
      <c r="A6497" s="334"/>
      <c r="B6497" s="334" t="s">
        <v>31</v>
      </c>
      <c r="C6497" s="334" t="s">
        <v>220</v>
      </c>
      <c r="D6497" s="334" t="s">
        <v>954</v>
      </c>
      <c r="E6497" s="336">
        <v>43759</v>
      </c>
      <c r="F6497" s="336"/>
      <c r="G6497" s="336">
        <v>43757</v>
      </c>
      <c r="H6497" s="334" t="s">
        <v>11908</v>
      </c>
      <c r="I6497" s="334">
        <v>13235807221</v>
      </c>
      <c r="J6497" s="334" t="s">
        <v>11909</v>
      </c>
      <c r="K6497" s="337"/>
      <c r="L6497" s="338"/>
      <c r="M6497" s="334">
        <v>6539</v>
      </c>
      <c r="N6497" s="362">
        <f t="shared" si="221"/>
        <v>6539</v>
      </c>
      <c r="X6497" s="339"/>
    </row>
    <row r="6498" s="330" customFormat="1" ht="15" customHeight="1" spans="1:24">
      <c r="A6498" s="334"/>
      <c r="B6498" s="334" t="s">
        <v>5435</v>
      </c>
      <c r="C6498" s="334" t="s">
        <v>1728</v>
      </c>
      <c r="D6498" s="334" t="s">
        <v>149</v>
      </c>
      <c r="E6498" s="336">
        <v>43759</v>
      </c>
      <c r="F6498" s="336"/>
      <c r="G6498" s="336">
        <v>43757</v>
      </c>
      <c r="H6498" s="334" t="s">
        <v>11385</v>
      </c>
      <c r="I6498" s="334">
        <v>18616300751</v>
      </c>
      <c r="J6498" s="334" t="s">
        <v>14546</v>
      </c>
      <c r="K6498" s="337"/>
      <c r="L6498" s="338"/>
      <c r="M6498" s="334">
        <v>5778</v>
      </c>
      <c r="N6498" s="362">
        <f t="shared" si="221"/>
        <v>5778</v>
      </c>
      <c r="X6498" s="339"/>
    </row>
    <row r="6499" s="330" customFormat="1" ht="15" customHeight="1" spans="1:24">
      <c r="A6499" s="334"/>
      <c r="B6499" s="334" t="s">
        <v>66</v>
      </c>
      <c r="C6499" s="334" t="s">
        <v>3954</v>
      </c>
      <c r="D6499" s="334" t="s">
        <v>2302</v>
      </c>
      <c r="E6499" s="336">
        <v>43759</v>
      </c>
      <c r="F6499" s="336"/>
      <c r="G6499" s="336">
        <v>43757</v>
      </c>
      <c r="H6499" s="334" t="s">
        <v>13438</v>
      </c>
      <c r="I6499" s="334">
        <v>13611951466</v>
      </c>
      <c r="J6499" s="334" t="s">
        <v>13439</v>
      </c>
      <c r="K6499" s="337"/>
      <c r="L6499" s="338"/>
      <c r="M6499" s="334">
        <v>0</v>
      </c>
      <c r="N6499" s="362">
        <f t="shared" si="221"/>
        <v>0</v>
      </c>
      <c r="X6499" s="339"/>
    </row>
    <row r="6500" s="330" customFormat="1" ht="15" customHeight="1" spans="1:24">
      <c r="A6500" s="334"/>
      <c r="B6500" s="334" t="s">
        <v>73</v>
      </c>
      <c r="C6500" s="334" t="s">
        <v>74</v>
      </c>
      <c r="D6500" s="334" t="s">
        <v>44</v>
      </c>
      <c r="E6500" s="336">
        <v>43759</v>
      </c>
      <c r="F6500" s="336"/>
      <c r="G6500" s="336">
        <v>43757</v>
      </c>
      <c r="H6500" s="334" t="s">
        <v>14290</v>
      </c>
      <c r="I6500" s="334">
        <v>13331831111</v>
      </c>
      <c r="J6500" s="334" t="s">
        <v>14291</v>
      </c>
      <c r="K6500" s="337"/>
      <c r="L6500" s="338"/>
      <c r="M6500" s="334">
        <v>1652</v>
      </c>
      <c r="N6500" s="362">
        <f t="shared" si="221"/>
        <v>1652</v>
      </c>
      <c r="X6500" s="339"/>
    </row>
    <row r="6501" s="330" customFormat="1" ht="15" customHeight="1" spans="1:24">
      <c r="A6501" s="334"/>
      <c r="B6501" s="334" t="s">
        <v>137</v>
      </c>
      <c r="C6501" s="334" t="s">
        <v>411</v>
      </c>
      <c r="D6501" s="334" t="s">
        <v>443</v>
      </c>
      <c r="E6501" s="336">
        <v>43759</v>
      </c>
      <c r="F6501" s="336"/>
      <c r="G6501" s="336">
        <v>43757</v>
      </c>
      <c r="H6501" s="334" t="s">
        <v>6031</v>
      </c>
      <c r="I6501" s="334">
        <v>18817363022</v>
      </c>
      <c r="J6501" s="334" t="s">
        <v>14547</v>
      </c>
      <c r="K6501" s="337"/>
      <c r="L6501" s="338"/>
      <c r="M6501" s="334">
        <v>4732</v>
      </c>
      <c r="N6501" s="362">
        <f t="shared" si="221"/>
        <v>4732</v>
      </c>
      <c r="X6501" s="339"/>
    </row>
    <row r="6502" s="330" customFormat="1" ht="15" customHeight="1" spans="1:24">
      <c r="A6502" s="334"/>
      <c r="B6502" s="334" t="s">
        <v>66</v>
      </c>
      <c r="C6502" s="334" t="s">
        <v>119</v>
      </c>
      <c r="D6502" s="334" t="s">
        <v>68</v>
      </c>
      <c r="E6502" s="336">
        <v>43759</v>
      </c>
      <c r="F6502" s="336"/>
      <c r="G6502" s="336">
        <v>43757</v>
      </c>
      <c r="H6502" s="334" t="s">
        <v>13238</v>
      </c>
      <c r="I6502" s="334">
        <v>18918017793</v>
      </c>
      <c r="J6502" s="334" t="s">
        <v>13239</v>
      </c>
      <c r="K6502" s="337"/>
      <c r="L6502" s="338"/>
      <c r="M6502" s="334">
        <f>12538+3975</f>
        <v>16513</v>
      </c>
      <c r="N6502" s="362">
        <f t="shared" si="221"/>
        <v>16513</v>
      </c>
      <c r="X6502" s="339"/>
    </row>
    <row r="6503" s="330" customFormat="1" ht="15" customHeight="1" spans="1:24">
      <c r="A6503" s="334"/>
      <c r="B6503" s="334" t="s">
        <v>147</v>
      </c>
      <c r="C6503" s="334" t="s">
        <v>148</v>
      </c>
      <c r="D6503" s="334" t="s">
        <v>1170</v>
      </c>
      <c r="E6503" s="336">
        <v>43759</v>
      </c>
      <c r="F6503" s="336"/>
      <c r="G6503" s="336">
        <v>43757</v>
      </c>
      <c r="H6503" s="334" t="s">
        <v>6690</v>
      </c>
      <c r="I6503" s="334">
        <v>13818701683</v>
      </c>
      <c r="J6503" s="334" t="s">
        <v>14548</v>
      </c>
      <c r="K6503" s="337"/>
      <c r="L6503" s="338"/>
      <c r="M6503" s="334">
        <v>-6605</v>
      </c>
      <c r="N6503" s="362">
        <f t="shared" si="221"/>
        <v>-6605</v>
      </c>
      <c r="X6503" s="339"/>
    </row>
    <row r="6504" s="330" customFormat="1" ht="15" customHeight="1" spans="1:24">
      <c r="A6504" s="334"/>
      <c r="B6504" s="334" t="s">
        <v>73</v>
      </c>
      <c r="C6504" s="334" t="s">
        <v>74</v>
      </c>
      <c r="D6504" s="334" t="s">
        <v>75</v>
      </c>
      <c r="E6504" s="336">
        <v>43759</v>
      </c>
      <c r="F6504" s="336"/>
      <c r="G6504" s="336">
        <v>43757</v>
      </c>
      <c r="H6504" s="334" t="s">
        <v>11476</v>
      </c>
      <c r="I6504" s="334">
        <v>15021345732</v>
      </c>
      <c r="J6504" s="334" t="s">
        <v>13003</v>
      </c>
      <c r="K6504" s="337"/>
      <c r="L6504" s="338"/>
      <c r="M6504" s="334">
        <v>-1438</v>
      </c>
      <c r="N6504" s="362">
        <f t="shared" si="221"/>
        <v>-1438</v>
      </c>
      <c r="X6504" s="339"/>
    </row>
    <row r="6505" s="330" customFormat="1" ht="15" customHeight="1" spans="1:24">
      <c r="A6505" s="334"/>
      <c r="B6505" s="334" t="s">
        <v>42</v>
      </c>
      <c r="C6505" s="334" t="s">
        <v>43</v>
      </c>
      <c r="D6505" s="334" t="s">
        <v>125</v>
      </c>
      <c r="E6505" s="336">
        <v>43759</v>
      </c>
      <c r="F6505" s="336"/>
      <c r="G6505" s="336">
        <v>43758</v>
      </c>
      <c r="H6505" s="334" t="s">
        <v>7477</v>
      </c>
      <c r="I6505" s="334">
        <v>13681755090</v>
      </c>
      <c r="J6505" s="348" t="s">
        <v>8826</v>
      </c>
      <c r="K6505" s="337"/>
      <c r="L6505" s="338"/>
      <c r="M6505" s="334">
        <v>7858</v>
      </c>
      <c r="N6505" s="362">
        <f t="shared" si="221"/>
        <v>7858</v>
      </c>
      <c r="X6505" s="339"/>
    </row>
    <row r="6506" s="330" customFormat="1" ht="15" customHeight="1" spans="1:24">
      <c r="A6506" s="334"/>
      <c r="B6506" s="334" t="s">
        <v>58</v>
      </c>
      <c r="C6506" s="334" t="s">
        <v>347</v>
      </c>
      <c r="D6506" s="334" t="s">
        <v>343</v>
      </c>
      <c r="E6506" s="336">
        <v>43759</v>
      </c>
      <c r="F6506" s="336"/>
      <c r="G6506" s="336">
        <v>43757</v>
      </c>
      <c r="H6506" s="334" t="s">
        <v>9989</v>
      </c>
      <c r="I6506" s="334">
        <v>13585590097</v>
      </c>
      <c r="J6506" s="334" t="s">
        <v>14549</v>
      </c>
      <c r="K6506" s="337"/>
      <c r="L6506" s="338"/>
      <c r="M6506" s="334">
        <v>1822</v>
      </c>
      <c r="N6506" s="362">
        <f t="shared" si="221"/>
        <v>1822</v>
      </c>
      <c r="X6506" s="339"/>
    </row>
    <row r="6507" s="330" customFormat="1" ht="15" customHeight="1" spans="1:24">
      <c r="A6507" s="334"/>
      <c r="B6507" s="334" t="s">
        <v>58</v>
      </c>
      <c r="C6507" s="334" t="s">
        <v>347</v>
      </c>
      <c r="D6507" s="334" t="s">
        <v>343</v>
      </c>
      <c r="E6507" s="336">
        <v>43759</v>
      </c>
      <c r="F6507" s="336"/>
      <c r="G6507" s="336">
        <v>43757</v>
      </c>
      <c r="H6507" s="334" t="s">
        <v>12140</v>
      </c>
      <c r="I6507" s="334">
        <v>13621987884</v>
      </c>
      <c r="J6507" s="334" t="s">
        <v>14550</v>
      </c>
      <c r="K6507" s="337"/>
      <c r="L6507" s="338"/>
      <c r="M6507" s="334">
        <v>2329</v>
      </c>
      <c r="N6507" s="362">
        <f t="shared" si="221"/>
        <v>2329</v>
      </c>
      <c r="X6507" s="339"/>
    </row>
    <row r="6508" s="330" customFormat="1" ht="15" customHeight="1" spans="1:24">
      <c r="A6508" s="334"/>
      <c r="B6508" s="334" t="s">
        <v>137</v>
      </c>
      <c r="C6508" s="334" t="s">
        <v>861</v>
      </c>
      <c r="D6508" s="334" t="s">
        <v>443</v>
      </c>
      <c r="E6508" s="336">
        <v>43759</v>
      </c>
      <c r="F6508" s="336"/>
      <c r="G6508" s="336">
        <v>43758</v>
      </c>
      <c r="H6508" s="334" t="s">
        <v>1349</v>
      </c>
      <c r="I6508" s="334">
        <v>18018569346</v>
      </c>
      <c r="J6508" s="334" t="s">
        <v>12294</v>
      </c>
      <c r="K6508" s="337"/>
      <c r="L6508" s="338"/>
      <c r="M6508" s="334">
        <v>998</v>
      </c>
      <c r="N6508" s="362">
        <f t="shared" si="221"/>
        <v>998</v>
      </c>
      <c r="X6508" s="339"/>
    </row>
    <row r="6509" s="330" customFormat="1" ht="15" customHeight="1" spans="1:24">
      <c r="A6509" s="334"/>
      <c r="B6509" s="334" t="s">
        <v>315</v>
      </c>
      <c r="C6509" s="334" t="s">
        <v>275</v>
      </c>
      <c r="D6509" s="334" t="s">
        <v>162</v>
      </c>
      <c r="E6509" s="336">
        <v>43759</v>
      </c>
      <c r="F6509" s="336"/>
      <c r="G6509" s="336">
        <v>43758</v>
      </c>
      <c r="H6509" s="334" t="s">
        <v>14551</v>
      </c>
      <c r="I6509" s="334">
        <v>13816631215</v>
      </c>
      <c r="J6509" s="334" t="s">
        <v>14552</v>
      </c>
      <c r="K6509" s="337"/>
      <c r="L6509" s="338"/>
      <c r="M6509" s="334">
        <v>12745</v>
      </c>
      <c r="N6509" s="362">
        <f t="shared" si="221"/>
        <v>12745</v>
      </c>
      <c r="X6509" s="339"/>
    </row>
    <row r="6510" s="330" customFormat="1" ht="15" customHeight="1" spans="1:24">
      <c r="A6510" s="334"/>
      <c r="B6510" s="334" t="s">
        <v>31</v>
      </c>
      <c r="C6510" s="334" t="s">
        <v>251</v>
      </c>
      <c r="D6510" s="334" t="s">
        <v>954</v>
      </c>
      <c r="E6510" s="336">
        <v>43759</v>
      </c>
      <c r="F6510" s="336"/>
      <c r="G6510" s="336">
        <v>43757</v>
      </c>
      <c r="H6510" s="334" t="s">
        <v>14553</v>
      </c>
      <c r="I6510" s="334">
        <v>13621796161</v>
      </c>
      <c r="J6510" s="348" t="s">
        <v>14554</v>
      </c>
      <c r="K6510" s="337"/>
      <c r="L6510" s="338"/>
      <c r="M6510" s="334">
        <f>-12484+24236</f>
        <v>11752</v>
      </c>
      <c r="N6510" s="362">
        <f t="shared" si="221"/>
        <v>11752</v>
      </c>
      <c r="X6510" s="339"/>
    </row>
    <row r="6511" s="330" customFormat="1" ht="15" customHeight="1" spans="1:24">
      <c r="A6511" s="334"/>
      <c r="B6511" s="334" t="s">
        <v>137</v>
      </c>
      <c r="C6511" s="334" t="s">
        <v>480</v>
      </c>
      <c r="D6511" s="334" t="s">
        <v>443</v>
      </c>
      <c r="E6511" s="336">
        <v>43759</v>
      </c>
      <c r="F6511" s="336"/>
      <c r="G6511" s="336">
        <v>43758</v>
      </c>
      <c r="H6511" s="334" t="s">
        <v>3773</v>
      </c>
      <c r="I6511" s="334">
        <v>13661566929</v>
      </c>
      <c r="J6511" s="348" t="s">
        <v>3774</v>
      </c>
      <c r="K6511" s="337"/>
      <c r="L6511" s="338"/>
      <c r="M6511" s="334">
        <v>-5391</v>
      </c>
      <c r="N6511" s="362">
        <f t="shared" si="221"/>
        <v>-5391</v>
      </c>
      <c r="X6511" s="339"/>
    </row>
    <row r="6512" s="330" customFormat="1" ht="15" customHeight="1" spans="1:24">
      <c r="A6512" s="334"/>
      <c r="B6512" s="334" t="s">
        <v>66</v>
      </c>
      <c r="C6512" s="334" t="s">
        <v>951</v>
      </c>
      <c r="D6512" s="334" t="s">
        <v>1436</v>
      </c>
      <c r="E6512" s="336">
        <v>43759</v>
      </c>
      <c r="F6512" s="336"/>
      <c r="G6512" s="336">
        <v>43758</v>
      </c>
      <c r="H6512" s="334" t="s">
        <v>1384</v>
      </c>
      <c r="I6512" s="334">
        <v>18818261967</v>
      </c>
      <c r="J6512" s="334" t="s">
        <v>14555</v>
      </c>
      <c r="K6512" s="337"/>
      <c r="L6512" s="338"/>
      <c r="M6512" s="334">
        <v>-702</v>
      </c>
      <c r="N6512" s="362">
        <f t="shared" si="221"/>
        <v>-702</v>
      </c>
      <c r="X6512" s="339"/>
    </row>
    <row r="6513" s="330" customFormat="1" ht="15" customHeight="1" spans="1:24">
      <c r="A6513" s="334"/>
      <c r="B6513" s="334" t="s">
        <v>31</v>
      </c>
      <c r="C6513" s="334" t="s">
        <v>251</v>
      </c>
      <c r="D6513" s="334" t="s">
        <v>221</v>
      </c>
      <c r="E6513" s="336">
        <v>43759</v>
      </c>
      <c r="F6513" s="336"/>
      <c r="G6513" s="336">
        <v>43758</v>
      </c>
      <c r="H6513" s="334" t="s">
        <v>11430</v>
      </c>
      <c r="I6513" s="334">
        <v>13801693611</v>
      </c>
      <c r="J6513" s="334" t="s">
        <v>14556</v>
      </c>
      <c r="K6513" s="337"/>
      <c r="L6513" s="338"/>
      <c r="M6513" s="334">
        <v>7098</v>
      </c>
      <c r="N6513" s="362">
        <f t="shared" si="221"/>
        <v>7098</v>
      </c>
      <c r="X6513" s="339"/>
    </row>
    <row r="6514" s="330" customFormat="1" ht="15" customHeight="1" spans="1:24">
      <c r="A6514" s="334"/>
      <c r="B6514" s="334" t="s">
        <v>31</v>
      </c>
      <c r="C6514" s="334" t="s">
        <v>2716</v>
      </c>
      <c r="D6514" s="334" t="s">
        <v>221</v>
      </c>
      <c r="E6514" s="336">
        <v>43759</v>
      </c>
      <c r="F6514" s="336"/>
      <c r="G6514" s="336">
        <v>43758</v>
      </c>
      <c r="H6514" s="334" t="s">
        <v>12550</v>
      </c>
      <c r="I6514" s="334">
        <v>13611766935</v>
      </c>
      <c r="J6514" s="334" t="s">
        <v>12551</v>
      </c>
      <c r="K6514" s="337"/>
      <c r="L6514" s="338"/>
      <c r="M6514" s="334">
        <v>2400</v>
      </c>
      <c r="N6514" s="362">
        <f t="shared" si="221"/>
        <v>2400</v>
      </c>
      <c r="X6514" s="339"/>
    </row>
    <row r="6515" s="330" customFormat="1" ht="15" customHeight="1" spans="1:24">
      <c r="A6515" s="334"/>
      <c r="B6515" s="334" t="s">
        <v>153</v>
      </c>
      <c r="C6515" s="334" t="s">
        <v>302</v>
      </c>
      <c r="D6515" s="334" t="s">
        <v>155</v>
      </c>
      <c r="E6515" s="336">
        <v>43759</v>
      </c>
      <c r="F6515" s="336"/>
      <c r="G6515" s="336">
        <v>43758</v>
      </c>
      <c r="H6515" s="334" t="s">
        <v>13350</v>
      </c>
      <c r="I6515" s="334">
        <v>13916612308</v>
      </c>
      <c r="J6515" s="334" t="s">
        <v>13351</v>
      </c>
      <c r="K6515" s="337"/>
      <c r="L6515" s="338"/>
      <c r="M6515" s="334">
        <v>225</v>
      </c>
      <c r="N6515" s="362">
        <f t="shared" si="221"/>
        <v>225</v>
      </c>
      <c r="X6515" s="339"/>
    </row>
    <row r="6516" s="330" customFormat="1" ht="15" customHeight="1" spans="1:24">
      <c r="A6516" s="334"/>
      <c r="B6516" s="334" t="s">
        <v>185</v>
      </c>
      <c r="C6516" s="334" t="s">
        <v>886</v>
      </c>
      <c r="D6516" s="334" t="s">
        <v>187</v>
      </c>
      <c r="E6516" s="336">
        <v>43759</v>
      </c>
      <c r="F6516" s="336"/>
      <c r="G6516" s="336">
        <v>43758</v>
      </c>
      <c r="H6516" s="334" t="s">
        <v>3320</v>
      </c>
      <c r="I6516" s="334">
        <v>18317050065</v>
      </c>
      <c r="J6516" s="334" t="s">
        <v>14557</v>
      </c>
      <c r="K6516" s="337"/>
      <c r="L6516" s="338"/>
      <c r="M6516" s="334">
        <f>1104+10661</f>
        <v>11765</v>
      </c>
      <c r="N6516" s="362">
        <f t="shared" si="221"/>
        <v>11765</v>
      </c>
      <c r="X6516" s="339"/>
    </row>
    <row r="6517" s="330" customFormat="1" ht="15" customHeight="1" spans="1:24">
      <c r="A6517" s="334"/>
      <c r="B6517" s="334" t="s">
        <v>31</v>
      </c>
      <c r="C6517" s="334" t="s">
        <v>251</v>
      </c>
      <c r="D6517" s="334" t="s">
        <v>221</v>
      </c>
      <c r="E6517" s="336">
        <v>43759</v>
      </c>
      <c r="F6517" s="336"/>
      <c r="G6517" s="336">
        <v>43757</v>
      </c>
      <c r="H6517" s="334" t="s">
        <v>14558</v>
      </c>
      <c r="I6517" s="334">
        <v>13585564911</v>
      </c>
      <c r="J6517" s="334" t="s">
        <v>14559</v>
      </c>
      <c r="K6517" s="337"/>
      <c r="L6517" s="338"/>
      <c r="M6517" s="334">
        <v>21797</v>
      </c>
      <c r="N6517" s="362">
        <f t="shared" si="221"/>
        <v>21797</v>
      </c>
      <c r="X6517" s="339"/>
    </row>
    <row r="6518" s="330" customFormat="1" ht="15" customHeight="1" spans="1:24">
      <c r="A6518" s="334"/>
      <c r="B6518" s="334" t="s">
        <v>73</v>
      </c>
      <c r="C6518" s="334" t="s">
        <v>74</v>
      </c>
      <c r="D6518" s="334" t="s">
        <v>717</v>
      </c>
      <c r="E6518" s="336">
        <v>43759</v>
      </c>
      <c r="F6518" s="336"/>
      <c r="G6518" s="336">
        <v>43759</v>
      </c>
      <c r="H6518" s="334" t="s">
        <v>9436</v>
      </c>
      <c r="I6518" s="334">
        <v>13812756336</v>
      </c>
      <c r="J6518" s="348" t="s">
        <v>9437</v>
      </c>
      <c r="K6518" s="337"/>
      <c r="L6518" s="338"/>
      <c r="M6518" s="334">
        <v>3730</v>
      </c>
      <c r="N6518" s="362">
        <f t="shared" si="221"/>
        <v>3730</v>
      </c>
      <c r="X6518" s="339"/>
    </row>
    <row r="6519" s="330" customFormat="1" ht="15" customHeight="1" spans="1:24">
      <c r="A6519" s="334"/>
      <c r="B6519" s="334" t="s">
        <v>185</v>
      </c>
      <c r="C6519" s="334" t="s">
        <v>186</v>
      </c>
      <c r="D6519" s="334" t="s">
        <v>187</v>
      </c>
      <c r="E6519" s="336">
        <v>43759</v>
      </c>
      <c r="F6519" s="336"/>
      <c r="G6519" s="336">
        <v>43758</v>
      </c>
      <c r="H6519" s="334" t="s">
        <v>7771</v>
      </c>
      <c r="I6519" s="334">
        <v>18516187339</v>
      </c>
      <c r="J6519" s="334" t="s">
        <v>14560</v>
      </c>
      <c r="K6519" s="337"/>
      <c r="L6519" s="338"/>
      <c r="M6519" s="334">
        <v>2146</v>
      </c>
      <c r="N6519" s="362">
        <f t="shared" si="221"/>
        <v>2146</v>
      </c>
      <c r="X6519" s="339"/>
    </row>
    <row r="6520" s="330" customFormat="1" ht="15" customHeight="1" spans="1:24">
      <c r="A6520" s="334"/>
      <c r="B6520" s="348" t="s">
        <v>137</v>
      </c>
      <c r="C6520" s="334" t="s">
        <v>480</v>
      </c>
      <c r="D6520" s="334" t="s">
        <v>75</v>
      </c>
      <c r="E6520" s="336">
        <v>43759</v>
      </c>
      <c r="F6520" s="336"/>
      <c r="G6520" s="336">
        <v>43758</v>
      </c>
      <c r="H6520" s="334" t="s">
        <v>1111</v>
      </c>
      <c r="I6520" s="334">
        <v>13917728517</v>
      </c>
      <c r="J6520" s="348" t="s">
        <v>14561</v>
      </c>
      <c r="K6520" s="337"/>
      <c r="L6520" s="338"/>
      <c r="M6520" s="334">
        <v>6510</v>
      </c>
      <c r="N6520" s="362">
        <f t="shared" si="221"/>
        <v>6510</v>
      </c>
      <c r="X6520" s="339"/>
    </row>
    <row r="6521" s="330" customFormat="1" ht="15" customHeight="1" spans="1:24">
      <c r="A6521" s="334"/>
      <c r="B6521" s="334" t="s">
        <v>58</v>
      </c>
      <c r="C6521" s="334" t="s">
        <v>347</v>
      </c>
      <c r="D6521" s="334" t="s">
        <v>75</v>
      </c>
      <c r="E6521" s="336">
        <v>43759</v>
      </c>
      <c r="F6521" s="336"/>
      <c r="G6521" s="336">
        <v>43757</v>
      </c>
      <c r="H6521" s="334" t="s">
        <v>10633</v>
      </c>
      <c r="I6521" s="334">
        <v>13901747664</v>
      </c>
      <c r="J6521" s="334" t="s">
        <v>14562</v>
      </c>
      <c r="K6521" s="337"/>
      <c r="L6521" s="338"/>
      <c r="M6521" s="334">
        <v>2188</v>
      </c>
      <c r="N6521" s="362">
        <f t="shared" si="221"/>
        <v>2188</v>
      </c>
      <c r="X6521" s="339"/>
    </row>
    <row r="6522" s="330" customFormat="1" ht="15" customHeight="1" spans="1:24">
      <c r="A6522" s="334"/>
      <c r="B6522" s="334" t="s">
        <v>58</v>
      </c>
      <c r="C6522" s="334" t="s">
        <v>59</v>
      </c>
      <c r="D6522" s="334" t="s">
        <v>271</v>
      </c>
      <c r="E6522" s="336">
        <v>43759</v>
      </c>
      <c r="F6522" s="336"/>
      <c r="G6522" s="336">
        <v>43758</v>
      </c>
      <c r="H6522" s="334" t="s">
        <v>5012</v>
      </c>
      <c r="I6522" s="334">
        <v>13916838345</v>
      </c>
      <c r="J6522" s="334" t="s">
        <v>5013</v>
      </c>
      <c r="K6522" s="337"/>
      <c r="L6522" s="338"/>
      <c r="M6522" s="334">
        <v>1401</v>
      </c>
      <c r="N6522" s="362">
        <f t="shared" si="221"/>
        <v>1401</v>
      </c>
      <c r="X6522" s="339"/>
    </row>
    <row r="6523" s="330" customFormat="1" ht="15" customHeight="1" spans="1:24">
      <c r="A6523" s="334"/>
      <c r="B6523" s="334" t="s">
        <v>58</v>
      </c>
      <c r="C6523" s="334" t="s">
        <v>347</v>
      </c>
      <c r="D6523" s="334" t="s">
        <v>343</v>
      </c>
      <c r="E6523" s="336">
        <v>43759</v>
      </c>
      <c r="F6523" s="336"/>
      <c r="G6523" s="336">
        <v>43758</v>
      </c>
      <c r="H6523" s="334" t="s">
        <v>8244</v>
      </c>
      <c r="I6523" s="334">
        <v>18621270410</v>
      </c>
      <c r="J6523" s="334" t="s">
        <v>8245</v>
      </c>
      <c r="K6523" s="337"/>
      <c r="L6523" s="338"/>
      <c r="M6523" s="334">
        <v>8136</v>
      </c>
      <c r="N6523" s="362">
        <f t="shared" si="221"/>
        <v>8136</v>
      </c>
      <c r="X6523" s="339"/>
    </row>
    <row r="6524" s="330" customFormat="1" ht="15" customHeight="1" spans="1:24">
      <c r="A6524" s="334"/>
      <c r="B6524" s="334" t="s">
        <v>805</v>
      </c>
      <c r="C6524" s="334" t="s">
        <v>4935</v>
      </c>
      <c r="D6524" s="334" t="s">
        <v>171</v>
      </c>
      <c r="E6524" s="336">
        <v>43759</v>
      </c>
      <c r="F6524" s="336"/>
      <c r="G6524" s="336">
        <v>43759</v>
      </c>
      <c r="H6524" s="334" t="s">
        <v>4936</v>
      </c>
      <c r="I6524" s="334">
        <v>13301909331</v>
      </c>
      <c r="J6524" s="334" t="s">
        <v>14563</v>
      </c>
      <c r="K6524" s="337"/>
      <c r="L6524" s="338"/>
      <c r="M6524" s="334">
        <v>100</v>
      </c>
      <c r="N6524" s="362">
        <f t="shared" si="221"/>
        <v>100</v>
      </c>
      <c r="X6524" s="339"/>
    </row>
    <row r="6525" s="330" customFormat="1" ht="15" customHeight="1" spans="1:24">
      <c r="A6525" s="334"/>
      <c r="B6525" s="334" t="s">
        <v>2625</v>
      </c>
      <c r="C6525" s="334" t="s">
        <v>2626</v>
      </c>
      <c r="D6525" s="334" t="s">
        <v>44</v>
      </c>
      <c r="E6525" s="336">
        <v>43759</v>
      </c>
      <c r="F6525" s="336"/>
      <c r="G6525" s="336">
        <v>43758</v>
      </c>
      <c r="H6525" s="334" t="s">
        <v>14007</v>
      </c>
      <c r="I6525" s="334">
        <v>13916947822</v>
      </c>
      <c r="J6525" s="334" t="s">
        <v>14564</v>
      </c>
      <c r="K6525" s="337"/>
      <c r="L6525" s="338"/>
      <c r="M6525" s="334">
        <v>3700</v>
      </c>
      <c r="N6525" s="362">
        <f t="shared" si="221"/>
        <v>3700</v>
      </c>
      <c r="X6525" s="339"/>
    </row>
    <row r="6526" s="330" customFormat="1" ht="15" customHeight="1" spans="1:24">
      <c r="A6526" s="334"/>
      <c r="B6526" s="334" t="s">
        <v>73</v>
      </c>
      <c r="C6526" s="334" t="s">
        <v>74</v>
      </c>
      <c r="D6526" s="334" t="s">
        <v>143</v>
      </c>
      <c r="E6526" s="336">
        <v>43759</v>
      </c>
      <c r="F6526" s="336"/>
      <c r="G6526" s="336">
        <v>43759</v>
      </c>
      <c r="H6526" s="334" t="s">
        <v>9772</v>
      </c>
      <c r="I6526" s="334">
        <v>18019787780</v>
      </c>
      <c r="J6526" s="334" t="s">
        <v>9773</v>
      </c>
      <c r="K6526" s="337"/>
      <c r="L6526" s="338"/>
      <c r="M6526" s="334">
        <v>2042</v>
      </c>
      <c r="N6526" s="362">
        <f t="shared" si="221"/>
        <v>2042</v>
      </c>
      <c r="X6526" s="339"/>
    </row>
    <row r="6527" s="330" customFormat="1" ht="15" customHeight="1" spans="1:24">
      <c r="A6527" s="334"/>
      <c r="B6527" s="334" t="s">
        <v>137</v>
      </c>
      <c r="C6527" s="334" t="s">
        <v>138</v>
      </c>
      <c r="D6527" s="334" t="s">
        <v>139</v>
      </c>
      <c r="E6527" s="336">
        <v>43759</v>
      </c>
      <c r="F6527" s="336"/>
      <c r="G6527" s="336">
        <v>43759</v>
      </c>
      <c r="H6527" s="334" t="s">
        <v>7909</v>
      </c>
      <c r="I6527" s="356">
        <v>15821918211</v>
      </c>
      <c r="J6527" s="348" t="s">
        <v>7910</v>
      </c>
      <c r="K6527" s="337"/>
      <c r="L6527" s="338"/>
      <c r="M6527" s="334">
        <v>1613</v>
      </c>
      <c r="N6527" s="362">
        <f t="shared" si="221"/>
        <v>1613</v>
      </c>
      <c r="X6527" s="339"/>
    </row>
    <row r="6528" s="330" customFormat="1" ht="15" customHeight="1" spans="1:24">
      <c r="A6528" s="334"/>
      <c r="B6528" s="334" t="s">
        <v>66</v>
      </c>
      <c r="C6528" s="334" t="s">
        <v>119</v>
      </c>
      <c r="D6528" s="334" t="s">
        <v>2302</v>
      </c>
      <c r="E6528" s="336">
        <v>43759</v>
      </c>
      <c r="F6528" s="336"/>
      <c r="G6528" s="336">
        <v>43759</v>
      </c>
      <c r="H6528" s="334" t="s">
        <v>7533</v>
      </c>
      <c r="I6528" s="334">
        <v>13524358286</v>
      </c>
      <c r="J6528" s="348" t="s">
        <v>9358</v>
      </c>
      <c r="K6528" s="337"/>
      <c r="L6528" s="338"/>
      <c r="M6528" s="334">
        <v>8337</v>
      </c>
      <c r="N6528" s="362">
        <f t="shared" si="221"/>
        <v>8337</v>
      </c>
      <c r="X6528" s="339"/>
    </row>
    <row r="6529" s="330" customFormat="1" ht="15" customHeight="1" spans="1:24">
      <c r="A6529" s="334"/>
      <c r="B6529" s="334" t="s">
        <v>726</v>
      </c>
      <c r="C6529" s="334" t="s">
        <v>498</v>
      </c>
      <c r="D6529" s="334" t="s">
        <v>271</v>
      </c>
      <c r="E6529" s="336">
        <v>43759</v>
      </c>
      <c r="F6529" s="336"/>
      <c r="G6529" s="336">
        <v>43759</v>
      </c>
      <c r="H6529" s="334" t="s">
        <v>12736</v>
      </c>
      <c r="I6529" s="334">
        <v>15821028741</v>
      </c>
      <c r="J6529" s="334" t="s">
        <v>14565</v>
      </c>
      <c r="K6529" s="337"/>
      <c r="L6529" s="338"/>
      <c r="M6529" s="334">
        <v>-1154</v>
      </c>
      <c r="N6529" s="362">
        <f t="shared" si="221"/>
        <v>-1154</v>
      </c>
      <c r="X6529" s="339"/>
    </row>
    <row r="6530" s="330" customFormat="1" ht="15" customHeight="1" spans="1:24">
      <c r="A6530" s="348"/>
      <c r="B6530" s="334" t="s">
        <v>169</v>
      </c>
      <c r="C6530" s="348" t="s">
        <v>542</v>
      </c>
      <c r="D6530" s="335" t="s">
        <v>171</v>
      </c>
      <c r="E6530" s="336">
        <v>43762</v>
      </c>
      <c r="F6530" s="336">
        <v>43759</v>
      </c>
      <c r="G6530" s="336">
        <v>43761</v>
      </c>
      <c r="H6530" s="334" t="s">
        <v>14566</v>
      </c>
      <c r="I6530" s="444">
        <v>13564764791</v>
      </c>
      <c r="J6530" s="348" t="s">
        <v>14567</v>
      </c>
      <c r="K6530" s="452">
        <v>2299</v>
      </c>
      <c r="L6530" s="334">
        <v>3167</v>
      </c>
      <c r="M6530" s="338"/>
      <c r="N6530" s="362">
        <f t="shared" si="221"/>
        <v>3167</v>
      </c>
      <c r="X6530" s="339"/>
    </row>
    <row r="6531" s="330" customFormat="1" ht="15" customHeight="1" spans="1:24">
      <c r="A6531" s="550" t="s">
        <v>14568</v>
      </c>
      <c r="B6531" s="334" t="s">
        <v>236</v>
      </c>
      <c r="C6531" s="348" t="s">
        <v>703</v>
      </c>
      <c r="D6531" s="334" t="s">
        <v>207</v>
      </c>
      <c r="E6531" s="336">
        <v>43783</v>
      </c>
      <c r="F6531" s="336">
        <v>43759</v>
      </c>
      <c r="G6531" s="336">
        <v>43782</v>
      </c>
      <c r="H6531" s="334" t="s">
        <v>14569</v>
      </c>
      <c r="I6531" s="444">
        <v>18117484636</v>
      </c>
      <c r="J6531" s="348" t="s">
        <v>14570</v>
      </c>
      <c r="K6531" s="452">
        <v>4600</v>
      </c>
      <c r="L6531" s="334">
        <v>4600</v>
      </c>
      <c r="M6531" s="338"/>
      <c r="N6531" s="362">
        <f t="shared" si="221"/>
        <v>4600</v>
      </c>
      <c r="X6531" s="339"/>
    </row>
    <row r="6532" s="330" customFormat="1" ht="15" customHeight="1" spans="1:24">
      <c r="A6532" s="550" t="s">
        <v>14571</v>
      </c>
      <c r="B6532" s="334" t="s">
        <v>236</v>
      </c>
      <c r="C6532" s="348" t="s">
        <v>703</v>
      </c>
      <c r="D6532" s="334" t="s">
        <v>207</v>
      </c>
      <c r="E6532" s="336">
        <v>43769</v>
      </c>
      <c r="F6532" s="336">
        <v>43759</v>
      </c>
      <c r="G6532" s="336">
        <v>43768</v>
      </c>
      <c r="H6532" s="334" t="s">
        <v>14572</v>
      </c>
      <c r="I6532" s="444">
        <v>18019039572</v>
      </c>
      <c r="J6532" s="348" t="s">
        <v>14573</v>
      </c>
      <c r="K6532" s="452">
        <v>2500</v>
      </c>
      <c r="L6532" s="334">
        <v>2880</v>
      </c>
      <c r="M6532" s="338"/>
      <c r="N6532" s="362">
        <f t="shared" si="221"/>
        <v>2880</v>
      </c>
      <c r="X6532" s="339"/>
    </row>
    <row r="6533" s="330" customFormat="1" customHeight="1" spans="1:24">
      <c r="A6533" s="550" t="s">
        <v>14574</v>
      </c>
      <c r="B6533" s="334" t="s">
        <v>236</v>
      </c>
      <c r="C6533" s="348" t="s">
        <v>703</v>
      </c>
      <c r="D6533" s="335" t="s">
        <v>237</v>
      </c>
      <c r="E6533" s="336">
        <v>43760</v>
      </c>
      <c r="F6533" s="336">
        <v>43758</v>
      </c>
      <c r="G6533" s="399"/>
      <c r="H6533" s="334" t="s">
        <v>14575</v>
      </c>
      <c r="I6533" s="444">
        <v>13671675753</v>
      </c>
      <c r="J6533" s="348" t="s">
        <v>14576</v>
      </c>
      <c r="K6533" s="452">
        <v>1000</v>
      </c>
      <c r="L6533" s="338"/>
      <c r="M6533" s="338"/>
      <c r="N6533" s="362">
        <f t="shared" si="221"/>
        <v>0</v>
      </c>
      <c r="P6533" s="356" t="s">
        <v>52</v>
      </c>
      <c r="X6533" s="339"/>
    </row>
    <row r="6534" s="330" customFormat="1" ht="15" customHeight="1" spans="1:24">
      <c r="A6534" s="550" t="s">
        <v>1638</v>
      </c>
      <c r="B6534" s="334" t="s">
        <v>66</v>
      </c>
      <c r="C6534" s="348" t="s">
        <v>1749</v>
      </c>
      <c r="D6534" s="334" t="s">
        <v>1436</v>
      </c>
      <c r="E6534" s="336">
        <v>43764</v>
      </c>
      <c r="F6534" s="336">
        <v>43759</v>
      </c>
      <c r="G6534" s="336">
        <v>43762</v>
      </c>
      <c r="H6534" s="334" t="s">
        <v>14577</v>
      </c>
      <c r="I6534" s="444">
        <v>17602158509</v>
      </c>
      <c r="J6534" s="348" t="s">
        <v>14578</v>
      </c>
      <c r="K6534" s="452">
        <v>1000</v>
      </c>
      <c r="L6534" s="334">
        <v>17199</v>
      </c>
      <c r="M6534" s="338"/>
      <c r="N6534" s="362">
        <f t="shared" si="221"/>
        <v>17199</v>
      </c>
      <c r="X6534" s="339"/>
    </row>
    <row r="6535" s="330" customFormat="1" ht="15" customHeight="1" spans="1:24">
      <c r="A6535" s="550" t="s">
        <v>8875</v>
      </c>
      <c r="B6535" s="334" t="s">
        <v>137</v>
      </c>
      <c r="C6535" s="348" t="s">
        <v>480</v>
      </c>
      <c r="D6535" s="335" t="s">
        <v>139</v>
      </c>
      <c r="E6535" s="336">
        <v>43764</v>
      </c>
      <c r="F6535" s="336">
        <v>43759</v>
      </c>
      <c r="G6535" s="336">
        <v>43763</v>
      </c>
      <c r="H6535" s="334" t="s">
        <v>14579</v>
      </c>
      <c r="I6535" s="444">
        <v>13564289133</v>
      </c>
      <c r="J6535" s="348" t="s">
        <v>14580</v>
      </c>
      <c r="K6535" s="452">
        <v>1000</v>
      </c>
      <c r="L6535" s="334">
        <v>16200</v>
      </c>
      <c r="M6535" s="338"/>
      <c r="N6535" s="362">
        <f t="shared" si="221"/>
        <v>16200</v>
      </c>
      <c r="X6535" s="339"/>
    </row>
    <row r="6536" s="330" customFormat="1" ht="15" customHeight="1" spans="1:24">
      <c r="A6536" s="550" t="s">
        <v>14581</v>
      </c>
      <c r="B6536" s="334" t="s">
        <v>66</v>
      </c>
      <c r="C6536" s="348" t="s">
        <v>951</v>
      </c>
      <c r="D6536" s="335" t="s">
        <v>68</v>
      </c>
      <c r="E6536" s="336">
        <v>43760</v>
      </c>
      <c r="F6536" s="336">
        <v>43759</v>
      </c>
      <c r="G6536" s="399"/>
      <c r="H6536" s="334" t="s">
        <v>14582</v>
      </c>
      <c r="I6536" s="444">
        <v>15618861977</v>
      </c>
      <c r="J6536" s="348" t="s">
        <v>14583</v>
      </c>
      <c r="K6536" s="452">
        <v>1999</v>
      </c>
      <c r="L6536" s="338"/>
      <c r="M6536" s="338"/>
      <c r="N6536" s="362">
        <f t="shared" si="221"/>
        <v>0</v>
      </c>
      <c r="X6536" s="339"/>
    </row>
    <row r="6537" s="330" customFormat="1" ht="15" customHeight="1" spans="1:24">
      <c r="A6537" s="348" t="s">
        <v>13074</v>
      </c>
      <c r="B6537" s="334" t="s">
        <v>4009</v>
      </c>
      <c r="C6537" s="348" t="s">
        <v>6401</v>
      </c>
      <c r="D6537" s="335" t="s">
        <v>1170</v>
      </c>
      <c r="E6537" s="336">
        <v>43760</v>
      </c>
      <c r="F6537" s="336">
        <v>43760</v>
      </c>
      <c r="G6537" s="399">
        <v>43753</v>
      </c>
      <c r="H6537" s="334" t="s">
        <v>14584</v>
      </c>
      <c r="I6537" s="444">
        <v>18721425108</v>
      </c>
      <c r="J6537" s="348" t="s">
        <v>14585</v>
      </c>
      <c r="K6537" s="452">
        <v>8399</v>
      </c>
      <c r="L6537" s="338"/>
      <c r="M6537" s="338"/>
      <c r="N6537" s="362">
        <f t="shared" si="221"/>
        <v>0</v>
      </c>
      <c r="X6537" s="339"/>
    </row>
    <row r="6538" s="330" customFormat="1" ht="15" customHeight="1" spans="1:24">
      <c r="A6538" s="348"/>
      <c r="B6538" s="334" t="s">
        <v>137</v>
      </c>
      <c r="C6538" s="348" t="s">
        <v>138</v>
      </c>
      <c r="D6538" s="334" t="s">
        <v>2381</v>
      </c>
      <c r="E6538" s="336">
        <v>43762</v>
      </c>
      <c r="F6538" s="336">
        <v>43759</v>
      </c>
      <c r="G6538" s="336">
        <v>43762</v>
      </c>
      <c r="H6538" s="334" t="s">
        <v>12524</v>
      </c>
      <c r="I6538" s="444">
        <v>13606911007</v>
      </c>
      <c r="J6538" s="348" t="s">
        <v>14586</v>
      </c>
      <c r="K6538" s="452">
        <v>5290</v>
      </c>
      <c r="L6538" s="334">
        <v>8617</v>
      </c>
      <c r="M6538" s="338"/>
      <c r="N6538" s="362">
        <f t="shared" si="221"/>
        <v>8617</v>
      </c>
      <c r="X6538" s="339"/>
    </row>
    <row r="6539" s="330" customFormat="1" ht="15" customHeight="1" spans="1:24">
      <c r="A6539" s="550" t="s">
        <v>14587</v>
      </c>
      <c r="B6539" s="334" t="s">
        <v>31</v>
      </c>
      <c r="C6539" s="348" t="s">
        <v>220</v>
      </c>
      <c r="D6539" s="334" t="s">
        <v>954</v>
      </c>
      <c r="E6539" s="336">
        <v>43765</v>
      </c>
      <c r="F6539" s="336">
        <v>43760</v>
      </c>
      <c r="G6539" s="336">
        <v>43764</v>
      </c>
      <c r="H6539" s="334" t="s">
        <v>14588</v>
      </c>
      <c r="I6539" s="444">
        <v>13601891136</v>
      </c>
      <c r="J6539" s="348" t="s">
        <v>14589</v>
      </c>
      <c r="K6539" s="452">
        <v>1998</v>
      </c>
      <c r="L6539" s="334">
        <v>2958</v>
      </c>
      <c r="M6539" s="338"/>
      <c r="N6539" s="362">
        <f t="shared" si="221"/>
        <v>2958</v>
      </c>
      <c r="X6539" s="339"/>
    </row>
    <row r="6540" s="330" customFormat="1" ht="15" customHeight="1" spans="1:24">
      <c r="A6540" s="348">
        <v>2019332</v>
      </c>
      <c r="B6540" s="334" t="s">
        <v>42</v>
      </c>
      <c r="C6540" s="348" t="s">
        <v>43</v>
      </c>
      <c r="D6540" s="334" t="s">
        <v>207</v>
      </c>
      <c r="E6540" s="336">
        <v>43769</v>
      </c>
      <c r="F6540" s="336">
        <v>43760</v>
      </c>
      <c r="G6540" s="336">
        <v>43769</v>
      </c>
      <c r="H6540" s="334" t="s">
        <v>14590</v>
      </c>
      <c r="I6540" s="444">
        <v>13818675692</v>
      </c>
      <c r="J6540" s="348" t="s">
        <v>14591</v>
      </c>
      <c r="K6540" s="452">
        <v>10918</v>
      </c>
      <c r="L6540" s="452">
        <v>5904</v>
      </c>
      <c r="M6540" s="338"/>
      <c r="N6540" s="362">
        <f t="shared" ref="N6540:N6550" si="222">L6540+M6540</f>
        <v>5904</v>
      </c>
      <c r="X6540" s="339"/>
    </row>
    <row r="6541" s="330" customFormat="1" ht="15" customHeight="1" spans="1:24">
      <c r="A6541" s="550" t="s">
        <v>14592</v>
      </c>
      <c r="B6541" s="334" t="s">
        <v>4009</v>
      </c>
      <c r="C6541" s="348" t="s">
        <v>6401</v>
      </c>
      <c r="D6541" s="335" t="s">
        <v>1170</v>
      </c>
      <c r="E6541" s="336">
        <v>43760</v>
      </c>
      <c r="F6541" s="336">
        <v>43723</v>
      </c>
      <c r="G6541" s="399">
        <v>43723</v>
      </c>
      <c r="H6541" s="334" t="s">
        <v>11856</v>
      </c>
      <c r="I6541" s="444">
        <v>13671558826</v>
      </c>
      <c r="J6541" s="348" t="s">
        <v>14593</v>
      </c>
      <c r="K6541" s="334">
        <v>7869</v>
      </c>
      <c r="L6541" s="338"/>
      <c r="M6541" s="338"/>
      <c r="N6541" s="362">
        <f t="shared" si="222"/>
        <v>0</v>
      </c>
      <c r="X6541" s="339"/>
    </row>
    <row r="6542" s="330" customFormat="1" ht="15" customHeight="1" spans="1:24">
      <c r="A6542" s="550" t="s">
        <v>12512</v>
      </c>
      <c r="B6542" s="334" t="s">
        <v>4009</v>
      </c>
      <c r="C6542" s="348" t="s">
        <v>6401</v>
      </c>
      <c r="D6542" s="335" t="s">
        <v>1170</v>
      </c>
      <c r="E6542" s="336">
        <v>43760</v>
      </c>
      <c r="F6542" s="336">
        <v>43730</v>
      </c>
      <c r="G6542" s="399">
        <v>43730</v>
      </c>
      <c r="H6542" s="334" t="s">
        <v>12171</v>
      </c>
      <c r="I6542" s="444">
        <v>18621360773</v>
      </c>
      <c r="J6542" s="348" t="s">
        <v>14594</v>
      </c>
      <c r="K6542" s="452">
        <v>9120</v>
      </c>
      <c r="L6542" s="338"/>
      <c r="M6542" s="338"/>
      <c r="N6542" s="362">
        <f t="shared" si="222"/>
        <v>0</v>
      </c>
      <c r="X6542" s="339"/>
    </row>
    <row r="6543" s="330" customFormat="1" ht="15" customHeight="1" spans="1:24">
      <c r="A6543" s="550" t="s">
        <v>14595</v>
      </c>
      <c r="B6543" s="334" t="s">
        <v>4009</v>
      </c>
      <c r="C6543" s="348" t="s">
        <v>6401</v>
      </c>
      <c r="D6543" s="335" t="s">
        <v>1170</v>
      </c>
      <c r="E6543" s="336">
        <v>43760</v>
      </c>
      <c r="F6543" s="336">
        <v>43735</v>
      </c>
      <c r="G6543" s="399">
        <v>43735</v>
      </c>
      <c r="H6543" s="334" t="s">
        <v>12981</v>
      </c>
      <c r="I6543" s="334">
        <v>13621905936</v>
      </c>
      <c r="J6543" s="334" t="s">
        <v>12982</v>
      </c>
      <c r="K6543" s="334">
        <v>4490</v>
      </c>
      <c r="L6543" s="338"/>
      <c r="M6543" s="338"/>
      <c r="N6543" s="362">
        <f t="shared" si="222"/>
        <v>0</v>
      </c>
      <c r="X6543" s="339"/>
    </row>
    <row r="6544" s="330" customFormat="1" ht="15" customHeight="1" spans="1:24">
      <c r="A6544" s="550" t="s">
        <v>14596</v>
      </c>
      <c r="B6544" s="334" t="s">
        <v>4009</v>
      </c>
      <c r="C6544" s="348" t="s">
        <v>6401</v>
      </c>
      <c r="D6544" s="335" t="s">
        <v>1170</v>
      </c>
      <c r="E6544" s="336">
        <v>43760</v>
      </c>
      <c r="F6544" s="336">
        <v>43732</v>
      </c>
      <c r="G6544" s="399">
        <v>43732</v>
      </c>
      <c r="H6544" s="334" t="s">
        <v>12214</v>
      </c>
      <c r="I6544" s="334">
        <v>18101959630</v>
      </c>
      <c r="J6544" s="334" t="s">
        <v>12215</v>
      </c>
      <c r="K6544" s="452">
        <v>4490</v>
      </c>
      <c r="L6544" s="338"/>
      <c r="M6544" s="338"/>
      <c r="N6544" s="362">
        <f t="shared" si="222"/>
        <v>0</v>
      </c>
      <c r="X6544" s="339"/>
    </row>
    <row r="6545" s="330" customFormat="1" ht="15" customHeight="1" spans="1:24">
      <c r="A6545" s="550" t="s">
        <v>11774</v>
      </c>
      <c r="B6545" s="334" t="s">
        <v>4009</v>
      </c>
      <c r="C6545" s="348" t="s">
        <v>6401</v>
      </c>
      <c r="D6545" s="335" t="s">
        <v>1170</v>
      </c>
      <c r="E6545" s="336">
        <v>43760</v>
      </c>
      <c r="F6545" s="336">
        <v>43741</v>
      </c>
      <c r="G6545" s="399">
        <v>43742</v>
      </c>
      <c r="H6545" s="334" t="s">
        <v>13383</v>
      </c>
      <c r="I6545" s="334">
        <v>15800617072</v>
      </c>
      <c r="J6545" s="334" t="s">
        <v>13384</v>
      </c>
      <c r="K6545" s="334">
        <v>7545</v>
      </c>
      <c r="L6545" s="338"/>
      <c r="M6545" s="338"/>
      <c r="N6545" s="362">
        <f t="shared" si="222"/>
        <v>0</v>
      </c>
      <c r="X6545" s="339"/>
    </row>
    <row r="6546" s="330" customFormat="1" ht="15" customHeight="1" spans="1:24">
      <c r="A6546" s="550" t="s">
        <v>6770</v>
      </c>
      <c r="B6546" s="334" t="s">
        <v>4009</v>
      </c>
      <c r="C6546" s="348" t="s">
        <v>6401</v>
      </c>
      <c r="D6546" s="335" t="s">
        <v>1170</v>
      </c>
      <c r="E6546" s="336">
        <v>43760</v>
      </c>
      <c r="F6546" s="336">
        <v>43753</v>
      </c>
      <c r="G6546" s="399">
        <v>43753</v>
      </c>
      <c r="H6546" s="334" t="s">
        <v>14355</v>
      </c>
      <c r="I6546" s="334">
        <v>15921211150</v>
      </c>
      <c r="J6546" s="334" t="s">
        <v>14356</v>
      </c>
      <c r="K6546" s="334">
        <v>8919</v>
      </c>
      <c r="L6546" s="338"/>
      <c r="M6546" s="338"/>
      <c r="N6546" s="362">
        <f t="shared" si="222"/>
        <v>0</v>
      </c>
      <c r="X6546" s="339"/>
    </row>
    <row r="6547" s="330" customFormat="1" ht="15" customHeight="1" spans="1:24">
      <c r="A6547" s="550" t="s">
        <v>6773</v>
      </c>
      <c r="B6547" s="334" t="s">
        <v>4009</v>
      </c>
      <c r="C6547" s="348" t="s">
        <v>6401</v>
      </c>
      <c r="D6547" s="335" t="s">
        <v>1170</v>
      </c>
      <c r="E6547" s="336">
        <v>43760</v>
      </c>
      <c r="F6547" s="336">
        <v>43753</v>
      </c>
      <c r="G6547" s="399">
        <v>43753</v>
      </c>
      <c r="H6547" s="334" t="s">
        <v>7612</v>
      </c>
      <c r="I6547" s="334">
        <v>13701989951</v>
      </c>
      <c r="J6547" s="334" t="s">
        <v>14357</v>
      </c>
      <c r="K6547" s="334">
        <v>7019</v>
      </c>
      <c r="L6547" s="338"/>
      <c r="M6547" s="338"/>
      <c r="N6547" s="362">
        <f t="shared" si="222"/>
        <v>0</v>
      </c>
      <c r="X6547" s="339"/>
    </row>
    <row r="6548" s="330" customFormat="1" ht="15" customHeight="1" spans="1:24">
      <c r="A6548" s="550" t="s">
        <v>14597</v>
      </c>
      <c r="B6548" s="334" t="s">
        <v>87</v>
      </c>
      <c r="C6548" s="348" t="s">
        <v>199</v>
      </c>
      <c r="D6548" s="335" t="s">
        <v>89</v>
      </c>
      <c r="E6548" s="336">
        <v>43799</v>
      </c>
      <c r="F6548" s="336">
        <v>43760</v>
      </c>
      <c r="G6548" s="336">
        <v>43799</v>
      </c>
      <c r="H6548" s="334" t="s">
        <v>14598</v>
      </c>
      <c r="I6548" s="444">
        <v>15021231518</v>
      </c>
      <c r="J6548" s="348" t="s">
        <v>14599</v>
      </c>
      <c r="K6548" s="452">
        <v>10000</v>
      </c>
      <c r="L6548" s="334">
        <v>10000</v>
      </c>
      <c r="M6548" s="338"/>
      <c r="N6548" s="362">
        <f t="shared" si="222"/>
        <v>10000</v>
      </c>
      <c r="S6548" s="411" t="s">
        <v>52</v>
      </c>
      <c r="X6548" s="339"/>
    </row>
    <row r="6549" s="330" customFormat="1" ht="15" customHeight="1" spans="1:24">
      <c r="A6549" s="348"/>
      <c r="B6549" s="334" t="s">
        <v>169</v>
      </c>
      <c r="C6549" s="348" t="s">
        <v>634</v>
      </c>
      <c r="D6549" s="335" t="s">
        <v>635</v>
      </c>
      <c r="E6549" s="336">
        <v>43795</v>
      </c>
      <c r="F6549" s="336">
        <v>43760</v>
      </c>
      <c r="G6549" s="336">
        <v>43794</v>
      </c>
      <c r="H6549" s="334" t="s">
        <v>14600</v>
      </c>
      <c r="I6549" s="444">
        <v>13524312850</v>
      </c>
      <c r="J6549" s="348" t="s">
        <v>14601</v>
      </c>
      <c r="K6549" s="452">
        <v>1000</v>
      </c>
      <c r="L6549" s="334">
        <v>7737</v>
      </c>
      <c r="M6549" s="338"/>
      <c r="N6549" s="362">
        <f t="shared" si="222"/>
        <v>7737</v>
      </c>
      <c r="P6549" s="353" t="s">
        <v>13372</v>
      </c>
      <c r="X6549" s="339"/>
    </row>
    <row r="6550" s="330" customFormat="1" ht="15" customHeight="1" spans="1:24">
      <c r="A6550" s="348"/>
      <c r="B6550" s="334" t="s">
        <v>169</v>
      </c>
      <c r="C6550" s="348" t="s">
        <v>634</v>
      </c>
      <c r="D6550" s="335" t="s">
        <v>635</v>
      </c>
      <c r="E6550" s="336">
        <v>43786</v>
      </c>
      <c r="F6550" s="336">
        <v>43760</v>
      </c>
      <c r="G6550" s="336">
        <v>43779</v>
      </c>
      <c r="H6550" s="334" t="s">
        <v>14602</v>
      </c>
      <c r="I6550" s="444">
        <v>18916137765</v>
      </c>
      <c r="J6550" s="348" t="s">
        <v>14603</v>
      </c>
      <c r="K6550" s="452">
        <v>1000</v>
      </c>
      <c r="L6550" s="444">
        <v>17252</v>
      </c>
      <c r="M6550" s="338"/>
      <c r="N6550" s="362">
        <f t="shared" si="222"/>
        <v>17252</v>
      </c>
      <c r="X6550" s="339"/>
    </row>
    <row r="6551" s="330" customFormat="1" ht="15" customHeight="1" spans="1:24">
      <c r="A6551" s="334"/>
      <c r="B6551" s="334" t="s">
        <v>726</v>
      </c>
      <c r="C6551" s="334" t="s">
        <v>12699</v>
      </c>
      <c r="D6551" s="334" t="s">
        <v>271</v>
      </c>
      <c r="E6551" s="336">
        <v>43760</v>
      </c>
      <c r="F6551" s="336"/>
      <c r="G6551" s="336">
        <v>43759</v>
      </c>
      <c r="H6551" s="334" t="s">
        <v>14604</v>
      </c>
      <c r="I6551" s="334">
        <v>13651801333</v>
      </c>
      <c r="J6551" s="334" t="s">
        <v>14605</v>
      </c>
      <c r="K6551" s="337"/>
      <c r="L6551" s="334">
        <v>5857</v>
      </c>
      <c r="M6551" s="338"/>
      <c r="N6551" s="362">
        <f t="shared" ref="N6551:N6575" si="223">L6551+M6551</f>
        <v>5857</v>
      </c>
      <c r="X6551" s="339"/>
    </row>
    <row r="6552" s="330" customFormat="1" ht="15" customHeight="1" spans="1:24">
      <c r="A6552" s="334"/>
      <c r="B6552" s="334" t="s">
        <v>35</v>
      </c>
      <c r="C6552" s="334" t="s">
        <v>328</v>
      </c>
      <c r="D6552" s="334" t="s">
        <v>37</v>
      </c>
      <c r="E6552" s="336">
        <v>43760</v>
      </c>
      <c r="F6552" s="336"/>
      <c r="G6552" s="336">
        <v>43760</v>
      </c>
      <c r="H6552" s="334" t="s">
        <v>14606</v>
      </c>
      <c r="I6552" s="334">
        <v>13681704967</v>
      </c>
      <c r="J6552" s="334" t="s">
        <v>14607</v>
      </c>
      <c r="K6552" s="337"/>
      <c r="L6552" s="334">
        <v>18406</v>
      </c>
      <c r="M6552" s="338"/>
      <c r="N6552" s="362">
        <f t="shared" si="223"/>
        <v>18406</v>
      </c>
      <c r="X6552" s="339"/>
    </row>
    <row r="6553" s="330" customFormat="1" ht="15" customHeight="1" spans="1:24">
      <c r="A6553" s="334"/>
      <c r="B6553" s="334" t="s">
        <v>137</v>
      </c>
      <c r="C6553" s="334" t="s">
        <v>861</v>
      </c>
      <c r="D6553" s="334" t="s">
        <v>443</v>
      </c>
      <c r="E6553" s="336">
        <v>43760</v>
      </c>
      <c r="F6553" s="336"/>
      <c r="G6553" s="336">
        <v>43760</v>
      </c>
      <c r="H6553" s="334" t="s">
        <v>14608</v>
      </c>
      <c r="I6553" s="334">
        <v>18101645756</v>
      </c>
      <c r="J6553" s="334" t="s">
        <v>14609</v>
      </c>
      <c r="K6553" s="337"/>
      <c r="L6553" s="334">
        <v>9692</v>
      </c>
      <c r="M6553" s="338"/>
      <c r="N6553" s="362">
        <f t="shared" si="223"/>
        <v>9692</v>
      </c>
      <c r="X6553" s="339"/>
    </row>
    <row r="6554" s="330" customFormat="1" ht="15" customHeight="1" spans="1:24">
      <c r="A6554" s="334"/>
      <c r="B6554" s="334" t="s">
        <v>58</v>
      </c>
      <c r="C6554" s="334" t="s">
        <v>109</v>
      </c>
      <c r="D6554" s="334" t="s">
        <v>110</v>
      </c>
      <c r="E6554" s="336">
        <v>43760</v>
      </c>
      <c r="F6554" s="336"/>
      <c r="G6554" s="336">
        <v>43759</v>
      </c>
      <c r="H6554" s="334" t="s">
        <v>14610</v>
      </c>
      <c r="I6554" s="334">
        <v>13901757669</v>
      </c>
      <c r="J6554" s="334" t="s">
        <v>14611</v>
      </c>
      <c r="K6554" s="337"/>
      <c r="L6554" s="334">
        <v>3516</v>
      </c>
      <c r="M6554" s="338"/>
      <c r="N6554" s="362">
        <f t="shared" si="223"/>
        <v>3516</v>
      </c>
      <c r="X6554" s="339"/>
    </row>
    <row r="6555" s="330" customFormat="1" ht="15" customHeight="1" spans="1:24">
      <c r="A6555" s="334"/>
      <c r="B6555" s="334" t="s">
        <v>805</v>
      </c>
      <c r="C6555" s="334" t="s">
        <v>806</v>
      </c>
      <c r="D6555" s="334" t="s">
        <v>171</v>
      </c>
      <c r="E6555" s="336">
        <v>43760</v>
      </c>
      <c r="F6555" s="336"/>
      <c r="G6555" s="336">
        <v>43759</v>
      </c>
      <c r="H6555" s="334" t="s">
        <v>1428</v>
      </c>
      <c r="I6555" s="334">
        <v>13916658461</v>
      </c>
      <c r="J6555" s="334" t="s">
        <v>14612</v>
      </c>
      <c r="K6555" s="337"/>
      <c r="L6555" s="338"/>
      <c r="M6555" s="334">
        <v>4223</v>
      </c>
      <c r="N6555" s="362">
        <f t="shared" si="223"/>
        <v>4223</v>
      </c>
      <c r="X6555" s="339"/>
    </row>
    <row r="6556" s="330" customFormat="1" ht="15" customHeight="1" spans="1:24">
      <c r="A6556" s="334"/>
      <c r="B6556" s="334" t="s">
        <v>31</v>
      </c>
      <c r="C6556" s="334" t="s">
        <v>3186</v>
      </c>
      <c r="D6556" s="334" t="s">
        <v>33</v>
      </c>
      <c r="E6556" s="336">
        <v>43760</v>
      </c>
      <c r="F6556" s="336"/>
      <c r="G6556" s="336">
        <v>43752</v>
      </c>
      <c r="H6556" s="334" t="s">
        <v>14613</v>
      </c>
      <c r="I6556" s="334">
        <v>13795253898</v>
      </c>
      <c r="J6556" s="334" t="s">
        <v>12637</v>
      </c>
      <c r="K6556" s="337"/>
      <c r="L6556" s="338"/>
      <c r="M6556" s="334">
        <v>0</v>
      </c>
      <c r="N6556" s="362">
        <f t="shared" si="223"/>
        <v>0</v>
      </c>
      <c r="X6556" s="339"/>
    </row>
    <row r="6557" s="330" customFormat="1" ht="15" customHeight="1" spans="1:24">
      <c r="A6557" s="334"/>
      <c r="B6557" s="334" t="s">
        <v>31</v>
      </c>
      <c r="C6557" s="334" t="s">
        <v>3186</v>
      </c>
      <c r="D6557" s="334" t="s">
        <v>33</v>
      </c>
      <c r="E6557" s="336">
        <v>43760</v>
      </c>
      <c r="F6557" s="336"/>
      <c r="G6557" s="336">
        <v>43759</v>
      </c>
      <c r="H6557" s="334" t="s">
        <v>10652</v>
      </c>
      <c r="I6557" s="334">
        <v>13916868652</v>
      </c>
      <c r="J6557" s="334" t="s">
        <v>14614</v>
      </c>
      <c r="K6557" s="337"/>
      <c r="L6557" s="338"/>
      <c r="M6557" s="334">
        <v>205</v>
      </c>
      <c r="N6557" s="362">
        <f t="shared" si="223"/>
        <v>205</v>
      </c>
      <c r="X6557" s="339"/>
    </row>
    <row r="6558" s="330" customFormat="1" ht="15" customHeight="1" spans="1:24">
      <c r="A6558" s="334"/>
      <c r="B6558" s="334" t="s">
        <v>726</v>
      </c>
      <c r="C6558" s="334" t="s">
        <v>727</v>
      </c>
      <c r="D6558" s="334" t="s">
        <v>271</v>
      </c>
      <c r="E6558" s="336">
        <v>43760</v>
      </c>
      <c r="F6558" s="336"/>
      <c r="G6558" s="336">
        <v>43758</v>
      </c>
      <c r="H6558" s="334" t="s">
        <v>13189</v>
      </c>
      <c r="I6558" s="334">
        <v>13501812789</v>
      </c>
      <c r="J6558" s="334" t="s">
        <v>14615</v>
      </c>
      <c r="K6558" s="337"/>
      <c r="L6558" s="338"/>
      <c r="M6558" s="334">
        <v>355</v>
      </c>
      <c r="N6558" s="362">
        <f t="shared" si="223"/>
        <v>355</v>
      </c>
      <c r="X6558" s="339"/>
    </row>
    <row r="6559" s="330" customFormat="1" ht="15" customHeight="1" spans="1:24">
      <c r="A6559" s="334"/>
      <c r="B6559" s="334" t="s">
        <v>726</v>
      </c>
      <c r="C6559" s="334" t="s">
        <v>727</v>
      </c>
      <c r="D6559" s="334" t="s">
        <v>271</v>
      </c>
      <c r="E6559" s="336">
        <v>43760</v>
      </c>
      <c r="F6559" s="336"/>
      <c r="G6559" s="336">
        <v>43759</v>
      </c>
      <c r="H6559" s="334" t="s">
        <v>2773</v>
      </c>
      <c r="I6559" s="334">
        <v>18017101700</v>
      </c>
      <c r="J6559" s="334" t="s">
        <v>10919</v>
      </c>
      <c r="K6559" s="337"/>
      <c r="L6559" s="338"/>
      <c r="M6559" s="334">
        <v>-4428</v>
      </c>
      <c r="N6559" s="362">
        <f t="shared" si="223"/>
        <v>-4428</v>
      </c>
      <c r="X6559" s="339"/>
    </row>
    <row r="6560" s="330" customFormat="1" ht="15" customHeight="1" spans="1:24">
      <c r="A6560" s="334"/>
      <c r="B6560" s="334" t="s">
        <v>31</v>
      </c>
      <c r="C6560" s="334" t="s">
        <v>3186</v>
      </c>
      <c r="D6560" s="334" t="s">
        <v>954</v>
      </c>
      <c r="E6560" s="336">
        <v>43760</v>
      </c>
      <c r="F6560" s="336"/>
      <c r="G6560" s="336">
        <v>43750</v>
      </c>
      <c r="H6560" s="334" t="s">
        <v>10830</v>
      </c>
      <c r="I6560" s="334">
        <v>18717794587</v>
      </c>
      <c r="J6560" s="334" t="s">
        <v>14616</v>
      </c>
      <c r="K6560" s="337"/>
      <c r="L6560" s="338"/>
      <c r="M6560" s="334">
        <v>2018</v>
      </c>
      <c r="N6560" s="362">
        <f t="shared" si="223"/>
        <v>2018</v>
      </c>
      <c r="X6560" s="339"/>
    </row>
    <row r="6561" s="330" customFormat="1" ht="15" customHeight="1" spans="1:24">
      <c r="A6561" s="334"/>
      <c r="B6561" s="334" t="s">
        <v>185</v>
      </c>
      <c r="C6561" s="334" t="s">
        <v>1620</v>
      </c>
      <c r="D6561" s="334" t="s">
        <v>187</v>
      </c>
      <c r="E6561" s="336">
        <v>43760</v>
      </c>
      <c r="F6561" s="336"/>
      <c r="G6561" s="336">
        <v>43758</v>
      </c>
      <c r="H6561" s="334" t="s">
        <v>11754</v>
      </c>
      <c r="I6561" s="334">
        <v>13901604489</v>
      </c>
      <c r="J6561" s="334" t="s">
        <v>11755</v>
      </c>
      <c r="K6561" s="337"/>
      <c r="L6561" s="338"/>
      <c r="M6561" s="334">
        <v>7387</v>
      </c>
      <c r="N6561" s="362">
        <f t="shared" si="223"/>
        <v>7387</v>
      </c>
      <c r="X6561" s="339"/>
    </row>
    <row r="6562" s="330" customFormat="1" ht="15" customHeight="1" spans="1:24">
      <c r="A6562" s="334"/>
      <c r="B6562" s="334" t="s">
        <v>335</v>
      </c>
      <c r="C6562" s="334" t="s">
        <v>498</v>
      </c>
      <c r="D6562" s="334" t="s">
        <v>33</v>
      </c>
      <c r="E6562" s="336">
        <v>43760</v>
      </c>
      <c r="F6562" s="336"/>
      <c r="G6562" s="336">
        <v>43760</v>
      </c>
      <c r="H6562" s="334" t="s">
        <v>14617</v>
      </c>
      <c r="I6562" s="356">
        <v>13621905766</v>
      </c>
      <c r="J6562" s="348" t="s">
        <v>14618</v>
      </c>
      <c r="K6562" s="337"/>
      <c r="L6562" s="338"/>
      <c r="M6562" s="334">
        <v>1342</v>
      </c>
      <c r="N6562" s="362">
        <f t="shared" si="223"/>
        <v>1342</v>
      </c>
      <c r="X6562" s="339"/>
    </row>
    <row r="6563" s="330" customFormat="1" ht="15" customHeight="1" spans="1:24">
      <c r="A6563" s="334"/>
      <c r="B6563" s="334" t="s">
        <v>35</v>
      </c>
      <c r="C6563" s="334" t="s">
        <v>392</v>
      </c>
      <c r="D6563" s="334" t="s">
        <v>68</v>
      </c>
      <c r="E6563" s="336">
        <v>43760</v>
      </c>
      <c r="F6563" s="336"/>
      <c r="G6563" s="336">
        <v>43760</v>
      </c>
      <c r="H6563" s="334" t="s">
        <v>1691</v>
      </c>
      <c r="I6563" s="334">
        <v>18221385981</v>
      </c>
      <c r="J6563" s="334" t="s">
        <v>1692</v>
      </c>
      <c r="K6563" s="337"/>
      <c r="L6563" s="338"/>
      <c r="M6563" s="334">
        <v>609</v>
      </c>
      <c r="N6563" s="362">
        <f t="shared" si="223"/>
        <v>609</v>
      </c>
      <c r="X6563" s="339"/>
    </row>
    <row r="6564" s="330" customFormat="1" ht="15" customHeight="1" spans="1:24">
      <c r="A6564" s="334"/>
      <c r="B6564" s="334" t="s">
        <v>147</v>
      </c>
      <c r="C6564" s="334" t="s">
        <v>148</v>
      </c>
      <c r="D6564" s="334" t="s">
        <v>1170</v>
      </c>
      <c r="E6564" s="336">
        <v>43760</v>
      </c>
      <c r="F6564" s="336"/>
      <c r="G6564" s="336">
        <v>43759</v>
      </c>
      <c r="H6564" s="334" t="s">
        <v>12480</v>
      </c>
      <c r="I6564" s="334">
        <v>18721506726</v>
      </c>
      <c r="J6564" s="334" t="s">
        <v>12481</v>
      </c>
      <c r="K6564" s="337"/>
      <c r="L6564" s="338"/>
      <c r="M6564" s="334">
        <v>7832</v>
      </c>
      <c r="N6564" s="362">
        <f t="shared" si="223"/>
        <v>7832</v>
      </c>
      <c r="X6564" s="339"/>
    </row>
    <row r="6565" s="330" customFormat="1" ht="15" customHeight="1" spans="1:24">
      <c r="A6565" s="334"/>
      <c r="B6565" s="334" t="s">
        <v>185</v>
      </c>
      <c r="C6565" s="334" t="s">
        <v>4146</v>
      </c>
      <c r="D6565" s="334" t="s">
        <v>187</v>
      </c>
      <c r="E6565" s="336">
        <v>43760</v>
      </c>
      <c r="F6565" s="336"/>
      <c r="G6565" s="336">
        <v>43760</v>
      </c>
      <c r="H6565" s="334" t="s">
        <v>6606</v>
      </c>
      <c r="I6565" s="334">
        <v>18301929379</v>
      </c>
      <c r="J6565" s="334" t="s">
        <v>14619</v>
      </c>
      <c r="K6565" s="337"/>
      <c r="L6565" s="338"/>
      <c r="M6565" s="334">
        <v>1089</v>
      </c>
      <c r="N6565" s="362">
        <f t="shared" si="223"/>
        <v>1089</v>
      </c>
      <c r="X6565" s="339"/>
    </row>
    <row r="6566" s="330" customFormat="1" ht="15" customHeight="1" spans="1:24">
      <c r="A6566" s="334"/>
      <c r="B6566" s="334" t="s">
        <v>169</v>
      </c>
      <c r="C6566" s="334" t="s">
        <v>634</v>
      </c>
      <c r="D6566" s="334" t="s">
        <v>635</v>
      </c>
      <c r="E6566" s="336">
        <v>43760</v>
      </c>
      <c r="F6566" s="336"/>
      <c r="G6566" s="336">
        <v>43759</v>
      </c>
      <c r="H6566" s="334" t="s">
        <v>10659</v>
      </c>
      <c r="I6566" s="334">
        <v>15921164564</v>
      </c>
      <c r="J6566" s="334" t="s">
        <v>14620</v>
      </c>
      <c r="K6566" s="337"/>
      <c r="L6566" s="338"/>
      <c r="M6566" s="334">
        <v>3300</v>
      </c>
      <c r="N6566" s="362">
        <f t="shared" si="223"/>
        <v>3300</v>
      </c>
      <c r="X6566" s="339"/>
    </row>
    <row r="6567" s="330" customFormat="1" ht="15" customHeight="1" spans="1:24">
      <c r="A6567" s="334"/>
      <c r="B6567" s="334" t="s">
        <v>5435</v>
      </c>
      <c r="C6567" s="334" t="s">
        <v>1728</v>
      </c>
      <c r="D6567" s="334" t="s">
        <v>149</v>
      </c>
      <c r="E6567" s="336">
        <v>43760</v>
      </c>
      <c r="F6567" s="336"/>
      <c r="G6567" s="336">
        <v>43760</v>
      </c>
      <c r="H6567" s="334" t="s">
        <v>12563</v>
      </c>
      <c r="I6567" s="334">
        <v>13524970718</v>
      </c>
      <c r="J6567" s="334" t="s">
        <v>12564</v>
      </c>
      <c r="K6567" s="337"/>
      <c r="L6567" s="338"/>
      <c r="M6567" s="334">
        <v>6548</v>
      </c>
      <c r="N6567" s="362">
        <f t="shared" si="223"/>
        <v>6548</v>
      </c>
      <c r="X6567" s="339"/>
    </row>
    <row r="6568" s="330" customFormat="1" ht="15" customHeight="1" spans="1:24">
      <c r="A6568" s="334"/>
      <c r="B6568" s="334" t="s">
        <v>66</v>
      </c>
      <c r="C6568" s="334" t="s">
        <v>119</v>
      </c>
      <c r="D6568" s="334" t="s">
        <v>68</v>
      </c>
      <c r="E6568" s="336">
        <v>43760</v>
      </c>
      <c r="F6568" s="336"/>
      <c r="G6568" s="336">
        <v>43760</v>
      </c>
      <c r="H6568" s="334" t="s">
        <v>9275</v>
      </c>
      <c r="I6568" s="334">
        <v>15221476020</v>
      </c>
      <c r="J6568" s="334" t="s">
        <v>14621</v>
      </c>
      <c r="K6568" s="337"/>
      <c r="L6568" s="338"/>
      <c r="M6568" s="334">
        <v>7204</v>
      </c>
      <c r="N6568" s="362">
        <f t="shared" si="223"/>
        <v>7204</v>
      </c>
      <c r="X6568" s="339"/>
    </row>
    <row r="6569" s="330" customFormat="1" ht="15" customHeight="1" spans="1:24">
      <c r="A6569" s="334"/>
      <c r="B6569" s="334" t="s">
        <v>315</v>
      </c>
      <c r="C6569" s="334" t="s">
        <v>161</v>
      </c>
      <c r="D6569" s="334" t="s">
        <v>162</v>
      </c>
      <c r="E6569" s="336">
        <v>43760</v>
      </c>
      <c r="F6569" s="336"/>
      <c r="G6569" s="336">
        <v>43760</v>
      </c>
      <c r="H6569" s="334" t="s">
        <v>12232</v>
      </c>
      <c r="I6569" s="334">
        <v>17701740369</v>
      </c>
      <c r="J6569" s="334" t="s">
        <v>14622</v>
      </c>
      <c r="K6569" s="337"/>
      <c r="L6569" s="338"/>
      <c r="M6569" s="334">
        <v>2685</v>
      </c>
      <c r="N6569" s="362">
        <f t="shared" si="223"/>
        <v>2685</v>
      </c>
      <c r="X6569" s="339"/>
    </row>
    <row r="6570" s="330" customFormat="1" ht="15" customHeight="1" spans="1:24">
      <c r="A6570" s="334"/>
      <c r="B6570" s="334" t="s">
        <v>153</v>
      </c>
      <c r="C6570" s="334" t="s">
        <v>154</v>
      </c>
      <c r="D6570" s="334" t="s">
        <v>155</v>
      </c>
      <c r="E6570" s="336">
        <v>43760</v>
      </c>
      <c r="F6570" s="336"/>
      <c r="G6570" s="336">
        <v>43760</v>
      </c>
      <c r="H6570" s="334" t="s">
        <v>7171</v>
      </c>
      <c r="I6570" s="356">
        <v>15901658639</v>
      </c>
      <c r="J6570" s="348" t="s">
        <v>14273</v>
      </c>
      <c r="K6570" s="337"/>
      <c r="L6570" s="338"/>
      <c r="M6570" s="334">
        <v>970</v>
      </c>
      <c r="N6570" s="362">
        <f t="shared" si="223"/>
        <v>970</v>
      </c>
      <c r="X6570" s="339"/>
    </row>
    <row r="6571" s="330" customFormat="1" ht="15" customHeight="1" spans="1:24">
      <c r="A6571" s="334"/>
      <c r="B6571" s="334" t="s">
        <v>315</v>
      </c>
      <c r="C6571" s="334" t="s">
        <v>161</v>
      </c>
      <c r="D6571" s="334" t="s">
        <v>162</v>
      </c>
      <c r="E6571" s="336">
        <v>43760</v>
      </c>
      <c r="F6571" s="336"/>
      <c r="G6571" s="336">
        <v>43760</v>
      </c>
      <c r="H6571" s="334" t="s">
        <v>10523</v>
      </c>
      <c r="I6571" s="334">
        <v>13641683640</v>
      </c>
      <c r="J6571" s="334" t="s">
        <v>10524</v>
      </c>
      <c r="K6571" s="337"/>
      <c r="L6571" s="338"/>
      <c r="M6571" s="334">
        <v>1292</v>
      </c>
      <c r="N6571" s="362">
        <f t="shared" si="223"/>
        <v>1292</v>
      </c>
      <c r="X6571" s="339"/>
    </row>
    <row r="6572" s="330" customFormat="1" ht="15" customHeight="1" spans="1:24">
      <c r="A6572" s="334"/>
      <c r="B6572" s="334" t="s">
        <v>169</v>
      </c>
      <c r="C6572" s="334" t="s">
        <v>542</v>
      </c>
      <c r="D6572" s="334" t="s">
        <v>171</v>
      </c>
      <c r="E6572" s="336">
        <v>43760</v>
      </c>
      <c r="F6572" s="336"/>
      <c r="G6572" s="336">
        <v>43760</v>
      </c>
      <c r="H6572" s="334" t="s">
        <v>13191</v>
      </c>
      <c r="I6572" s="426">
        <v>18516523980</v>
      </c>
      <c r="J6572" s="334" t="s">
        <v>13192</v>
      </c>
      <c r="K6572" s="337"/>
      <c r="L6572" s="338"/>
      <c r="M6572" s="334">
        <v>-9502</v>
      </c>
      <c r="N6572" s="362">
        <f t="shared" si="223"/>
        <v>-9502</v>
      </c>
      <c r="X6572" s="339"/>
    </row>
    <row r="6573" s="330" customFormat="1" ht="15" customHeight="1" spans="1:24">
      <c r="A6573" s="334"/>
      <c r="B6573" s="334" t="s">
        <v>73</v>
      </c>
      <c r="C6573" s="334" t="s">
        <v>74</v>
      </c>
      <c r="D6573" s="334" t="s">
        <v>132</v>
      </c>
      <c r="E6573" s="336">
        <v>43760</v>
      </c>
      <c r="F6573" s="336"/>
      <c r="G6573" s="336">
        <v>43760</v>
      </c>
      <c r="H6573" s="334" t="s">
        <v>4435</v>
      </c>
      <c r="I6573" s="444">
        <v>13816063227</v>
      </c>
      <c r="J6573" s="334" t="s">
        <v>11787</v>
      </c>
      <c r="K6573" s="337"/>
      <c r="L6573" s="338"/>
      <c r="M6573" s="334">
        <v>3085</v>
      </c>
      <c r="N6573" s="362">
        <f t="shared" si="223"/>
        <v>3085</v>
      </c>
      <c r="X6573" s="339"/>
    </row>
    <row r="6574" s="330" customFormat="1" ht="15" customHeight="1" spans="1:24">
      <c r="A6574" s="334"/>
      <c r="B6574" s="334" t="s">
        <v>87</v>
      </c>
      <c r="C6574" s="334" t="s">
        <v>199</v>
      </c>
      <c r="D6574" s="334" t="s">
        <v>89</v>
      </c>
      <c r="E6574" s="336">
        <v>43760</v>
      </c>
      <c r="F6574" s="336"/>
      <c r="G6574" s="336">
        <v>43760</v>
      </c>
      <c r="H6574" s="334" t="s">
        <v>10899</v>
      </c>
      <c r="I6574" s="334">
        <v>13636582795</v>
      </c>
      <c r="J6574" s="334" t="s">
        <v>14623</v>
      </c>
      <c r="K6574" s="337"/>
      <c r="L6574" s="338"/>
      <c r="M6574" s="334">
        <v>6418</v>
      </c>
      <c r="N6574" s="362">
        <f t="shared" si="223"/>
        <v>6418</v>
      </c>
      <c r="X6574" s="339"/>
    </row>
    <row r="6575" s="330" customFormat="1" ht="15" customHeight="1" spans="1:24">
      <c r="A6575" s="334"/>
      <c r="B6575" s="334" t="s">
        <v>315</v>
      </c>
      <c r="C6575" s="334" t="s">
        <v>181</v>
      </c>
      <c r="D6575" s="334" t="s">
        <v>182</v>
      </c>
      <c r="E6575" s="336">
        <v>43760</v>
      </c>
      <c r="F6575" s="336"/>
      <c r="G6575" s="336">
        <v>43751</v>
      </c>
      <c r="H6575" s="334" t="s">
        <v>9082</v>
      </c>
      <c r="I6575" s="444">
        <v>1361648519</v>
      </c>
      <c r="J6575" s="348" t="s">
        <v>9083</v>
      </c>
      <c r="K6575" s="337"/>
      <c r="L6575" s="338"/>
      <c r="M6575" s="334">
        <v>10462</v>
      </c>
      <c r="N6575" s="362">
        <f t="shared" si="223"/>
        <v>10462</v>
      </c>
      <c r="X6575" s="339"/>
    </row>
    <row r="6576" s="330" customFormat="1" ht="15" customHeight="1" spans="1:24">
      <c r="A6576" s="348"/>
      <c r="B6576" s="334" t="s">
        <v>315</v>
      </c>
      <c r="C6576" s="348" t="s">
        <v>161</v>
      </c>
      <c r="D6576" s="335" t="s">
        <v>162</v>
      </c>
      <c r="E6576" s="336">
        <v>43761</v>
      </c>
      <c r="F6576" s="336">
        <v>43760</v>
      </c>
      <c r="G6576" s="399"/>
      <c r="H6576" s="334" t="s">
        <v>14624</v>
      </c>
      <c r="I6576" s="444">
        <v>13564327122</v>
      </c>
      <c r="J6576" s="348" t="s">
        <v>14625</v>
      </c>
      <c r="K6576" s="452">
        <v>1000</v>
      </c>
      <c r="L6576" s="338"/>
      <c r="M6576" s="338"/>
      <c r="N6576" s="362">
        <f t="shared" ref="N6576:N6590" si="224">L6576+M6576</f>
        <v>0</v>
      </c>
      <c r="Q6576" s="330">
        <v>1</v>
      </c>
      <c r="X6576" s="339"/>
    </row>
    <row r="6577" s="330" customFormat="1" ht="15" customHeight="1" spans="1:24">
      <c r="A6577" s="348"/>
      <c r="B6577" s="334" t="s">
        <v>354</v>
      </c>
      <c r="C6577" s="348" t="s">
        <v>355</v>
      </c>
      <c r="D6577" s="334" t="s">
        <v>237</v>
      </c>
      <c r="E6577" s="336">
        <v>43771</v>
      </c>
      <c r="F6577" s="336">
        <v>43760</v>
      </c>
      <c r="G6577" s="336">
        <v>43770</v>
      </c>
      <c r="H6577" s="334" t="s">
        <v>14626</v>
      </c>
      <c r="I6577" s="444">
        <v>18918557716</v>
      </c>
      <c r="J6577" s="348" t="s">
        <v>14627</v>
      </c>
      <c r="K6577" s="452">
        <v>19000</v>
      </c>
      <c r="L6577" s="334">
        <v>7359</v>
      </c>
      <c r="M6577" s="338"/>
      <c r="N6577" s="362">
        <f t="shared" si="224"/>
        <v>7359</v>
      </c>
      <c r="X6577" s="339"/>
    </row>
    <row r="6578" s="330" customFormat="1" ht="15" customHeight="1" spans="1:24">
      <c r="A6578" s="348"/>
      <c r="B6578" s="334" t="s">
        <v>315</v>
      </c>
      <c r="C6578" s="348" t="s">
        <v>181</v>
      </c>
      <c r="D6578" s="335" t="s">
        <v>182</v>
      </c>
      <c r="E6578" s="336">
        <v>43761</v>
      </c>
      <c r="F6578" s="336">
        <v>43745</v>
      </c>
      <c r="G6578" s="399"/>
      <c r="H6578" s="334" t="s">
        <v>14628</v>
      </c>
      <c r="I6578" s="444">
        <v>18616867299</v>
      </c>
      <c r="J6578" s="348" t="s">
        <v>14629</v>
      </c>
      <c r="K6578" s="452">
        <v>10000</v>
      </c>
      <c r="L6578" s="338"/>
      <c r="M6578" s="338"/>
      <c r="N6578" s="362">
        <f t="shared" si="224"/>
        <v>0</v>
      </c>
      <c r="U6578" s="330" t="s">
        <v>14630</v>
      </c>
      <c r="X6578" s="339"/>
    </row>
    <row r="6579" s="330" customFormat="1" ht="15" customHeight="1" spans="1:24">
      <c r="A6579" s="550" t="s">
        <v>14631</v>
      </c>
      <c r="B6579" s="334" t="s">
        <v>335</v>
      </c>
      <c r="C6579" s="348" t="s">
        <v>615</v>
      </c>
      <c r="D6579" s="335" t="s">
        <v>337</v>
      </c>
      <c r="E6579" s="336">
        <v>43761</v>
      </c>
      <c r="F6579" s="336">
        <v>43759</v>
      </c>
      <c r="G6579" s="399"/>
      <c r="H6579" s="334" t="s">
        <v>14632</v>
      </c>
      <c r="I6579" s="444">
        <v>18116275378</v>
      </c>
      <c r="J6579" s="348" t="s">
        <v>14633</v>
      </c>
      <c r="K6579" s="452">
        <v>500</v>
      </c>
      <c r="L6579" s="338"/>
      <c r="M6579" s="338"/>
      <c r="N6579" s="362">
        <f t="shared" si="224"/>
        <v>0</v>
      </c>
      <c r="U6579" s="330" t="s">
        <v>12</v>
      </c>
      <c r="X6579" s="339"/>
    </row>
    <row r="6580" s="330" customFormat="1" ht="15" customHeight="1" spans="1:24">
      <c r="A6580" s="550" t="s">
        <v>14634</v>
      </c>
      <c r="B6580" s="334" t="s">
        <v>31</v>
      </c>
      <c r="C6580" s="348" t="s">
        <v>419</v>
      </c>
      <c r="D6580" s="335" t="s">
        <v>221</v>
      </c>
      <c r="E6580" s="336">
        <v>43769</v>
      </c>
      <c r="F6580" s="336">
        <v>43761</v>
      </c>
      <c r="G6580" s="336">
        <v>43769</v>
      </c>
      <c r="H6580" s="334" t="s">
        <v>14635</v>
      </c>
      <c r="I6580" s="444">
        <v>15921028288</v>
      </c>
      <c r="J6580" s="348" t="s">
        <v>14636</v>
      </c>
      <c r="K6580" s="452">
        <v>4798</v>
      </c>
      <c r="L6580" s="334">
        <v>63120</v>
      </c>
      <c r="M6580" s="338"/>
      <c r="N6580" s="362">
        <f t="shared" si="224"/>
        <v>63120</v>
      </c>
      <c r="X6580" s="339"/>
    </row>
    <row r="6581" s="330" customFormat="1" ht="15" customHeight="1" spans="1:24">
      <c r="A6581" s="550" t="s">
        <v>14637</v>
      </c>
      <c r="B6581" s="334" t="s">
        <v>315</v>
      </c>
      <c r="C6581" s="348" t="s">
        <v>14638</v>
      </c>
      <c r="D6581" s="335" t="s">
        <v>162</v>
      </c>
      <c r="E6581" s="336">
        <v>43787</v>
      </c>
      <c r="F6581" s="336">
        <v>43757</v>
      </c>
      <c r="G6581" s="336">
        <v>43785</v>
      </c>
      <c r="H6581" s="334" t="s">
        <v>14639</v>
      </c>
      <c r="I6581" s="444">
        <v>18817395369</v>
      </c>
      <c r="J6581" s="348" t="s">
        <v>14640</v>
      </c>
      <c r="K6581" s="452">
        <v>1000</v>
      </c>
      <c r="L6581" s="334">
        <v>7535</v>
      </c>
      <c r="M6581" s="338"/>
      <c r="N6581" s="362">
        <f t="shared" si="224"/>
        <v>7535</v>
      </c>
      <c r="X6581" s="339"/>
    </row>
    <row r="6582" s="330" customFormat="1" ht="15" customHeight="1" spans="1:24">
      <c r="A6582" s="550" t="s">
        <v>14641</v>
      </c>
      <c r="B6582" s="334" t="s">
        <v>31</v>
      </c>
      <c r="C6582" s="348" t="s">
        <v>419</v>
      </c>
      <c r="D6582" s="335" t="s">
        <v>221</v>
      </c>
      <c r="E6582" s="336">
        <v>43761</v>
      </c>
      <c r="F6582" s="336">
        <v>43761</v>
      </c>
      <c r="G6582" s="353" t="s">
        <v>1140</v>
      </c>
      <c r="H6582" s="334" t="s">
        <v>14642</v>
      </c>
      <c r="I6582" s="444">
        <v>18616338586</v>
      </c>
      <c r="J6582" s="348" t="s">
        <v>14643</v>
      </c>
      <c r="K6582" s="452">
        <v>3360</v>
      </c>
      <c r="L6582" s="338"/>
      <c r="M6582" s="338"/>
      <c r="N6582" s="362">
        <f t="shared" si="224"/>
        <v>0</v>
      </c>
      <c r="X6582" s="339"/>
    </row>
    <row r="6583" s="330" customFormat="1" ht="15" customHeight="1" spans="1:24">
      <c r="A6583" s="550" t="s">
        <v>14644</v>
      </c>
      <c r="B6583" s="334" t="s">
        <v>31</v>
      </c>
      <c r="C6583" s="348" t="s">
        <v>419</v>
      </c>
      <c r="D6583" s="335" t="s">
        <v>221</v>
      </c>
      <c r="E6583" s="336">
        <v>43766</v>
      </c>
      <c r="F6583" s="336">
        <v>43761</v>
      </c>
      <c r="G6583" s="336">
        <v>43766</v>
      </c>
      <c r="H6583" s="334" t="s">
        <v>14645</v>
      </c>
      <c r="I6583" s="444">
        <v>18616308963</v>
      </c>
      <c r="J6583" s="348" t="s">
        <v>14646</v>
      </c>
      <c r="K6583" s="452">
        <v>999</v>
      </c>
      <c r="L6583" s="334">
        <v>2029</v>
      </c>
      <c r="M6583" s="338"/>
      <c r="N6583" s="362">
        <f t="shared" si="224"/>
        <v>2029</v>
      </c>
      <c r="X6583" s="339"/>
    </row>
    <row r="6584" s="330" customFormat="1" ht="15" customHeight="1" spans="1:24">
      <c r="A6584" s="550" t="s">
        <v>10607</v>
      </c>
      <c r="B6584" s="334" t="s">
        <v>137</v>
      </c>
      <c r="C6584" s="348" t="s">
        <v>411</v>
      </c>
      <c r="D6584" s="334" t="s">
        <v>139</v>
      </c>
      <c r="E6584" s="336">
        <v>43768</v>
      </c>
      <c r="F6584" s="336">
        <v>43761</v>
      </c>
      <c r="G6584" s="336">
        <v>43768</v>
      </c>
      <c r="H6584" s="334" t="s">
        <v>14647</v>
      </c>
      <c r="I6584" s="444">
        <v>13918683110</v>
      </c>
      <c r="J6584" s="348" t="s">
        <v>14648</v>
      </c>
      <c r="K6584" s="452">
        <v>1000</v>
      </c>
      <c r="L6584" s="334">
        <v>11614</v>
      </c>
      <c r="M6584" s="338"/>
      <c r="N6584" s="362">
        <f t="shared" si="224"/>
        <v>11614</v>
      </c>
      <c r="X6584" s="339"/>
    </row>
    <row r="6585" s="330" customFormat="1" ht="15" customHeight="1" spans="1:24">
      <c r="A6585" s="550" t="s">
        <v>434</v>
      </c>
      <c r="B6585" s="334" t="s">
        <v>153</v>
      </c>
      <c r="C6585" s="348" t="s">
        <v>154</v>
      </c>
      <c r="D6585" s="334" t="s">
        <v>162</v>
      </c>
      <c r="E6585" s="336">
        <v>43768</v>
      </c>
      <c r="F6585" s="336">
        <v>43761</v>
      </c>
      <c r="G6585" s="336">
        <v>43768</v>
      </c>
      <c r="H6585" s="334" t="s">
        <v>14649</v>
      </c>
      <c r="I6585" s="444">
        <v>13917509840</v>
      </c>
      <c r="J6585" s="348" t="s">
        <v>14650</v>
      </c>
      <c r="K6585" s="452">
        <v>1000</v>
      </c>
      <c r="L6585" s="334">
        <v>2729</v>
      </c>
      <c r="M6585" s="338"/>
      <c r="N6585" s="362">
        <f t="shared" si="224"/>
        <v>2729</v>
      </c>
      <c r="X6585" s="339"/>
    </row>
    <row r="6586" s="330" customFormat="1" ht="15" customHeight="1" spans="1:24">
      <c r="A6586" s="550" t="s">
        <v>13442</v>
      </c>
      <c r="B6586" s="334" t="s">
        <v>335</v>
      </c>
      <c r="C6586" s="348" t="s">
        <v>615</v>
      </c>
      <c r="D6586" s="334" t="s">
        <v>427</v>
      </c>
      <c r="E6586" s="336">
        <v>43766</v>
      </c>
      <c r="F6586" s="336">
        <v>43761</v>
      </c>
      <c r="G6586" s="336">
        <v>43765</v>
      </c>
      <c r="H6586" s="334" t="s">
        <v>14651</v>
      </c>
      <c r="I6586" s="444">
        <v>13818003655</v>
      </c>
      <c r="J6586" s="348" t="s">
        <v>14652</v>
      </c>
      <c r="K6586" s="452">
        <v>1000</v>
      </c>
      <c r="L6586" s="334">
        <v>19990</v>
      </c>
      <c r="M6586" s="338"/>
      <c r="N6586" s="362">
        <f t="shared" si="224"/>
        <v>19990</v>
      </c>
      <c r="X6586" s="339"/>
    </row>
    <row r="6587" s="330" customFormat="1" ht="15" customHeight="1" spans="1:24">
      <c r="A6587" s="550" t="s">
        <v>4999</v>
      </c>
      <c r="B6587" s="334" t="s">
        <v>405</v>
      </c>
      <c r="C6587" s="348" t="s">
        <v>14070</v>
      </c>
      <c r="D6587" s="335" t="s">
        <v>407</v>
      </c>
      <c r="E6587" s="336">
        <v>43761</v>
      </c>
      <c r="F6587" s="336">
        <v>43761</v>
      </c>
      <c r="G6587" s="399"/>
      <c r="H6587" s="334" t="s">
        <v>14653</v>
      </c>
      <c r="I6587" s="444">
        <v>13636325271</v>
      </c>
      <c r="J6587" s="348" t="s">
        <v>14654</v>
      </c>
      <c r="K6587" s="452">
        <v>1998</v>
      </c>
      <c r="L6587" s="338"/>
      <c r="M6587" s="338"/>
      <c r="N6587" s="362">
        <f t="shared" si="224"/>
        <v>0</v>
      </c>
      <c r="P6587" s="356" t="s">
        <v>52</v>
      </c>
      <c r="X6587" s="339"/>
    </row>
    <row r="6588" s="330" customFormat="1" ht="15" customHeight="1" spans="1:24">
      <c r="A6588" s="334"/>
      <c r="B6588" s="334" t="s">
        <v>58</v>
      </c>
      <c r="C6588" s="334" t="s">
        <v>794</v>
      </c>
      <c r="D6588" s="334" t="s">
        <v>271</v>
      </c>
      <c r="E6588" s="336">
        <v>43761</v>
      </c>
      <c r="F6588" s="336"/>
      <c r="G6588" s="336">
        <v>43760</v>
      </c>
      <c r="H6588" s="334" t="s">
        <v>14655</v>
      </c>
      <c r="I6588" s="334">
        <v>13120807263</v>
      </c>
      <c r="J6588" s="334" t="s">
        <v>14656</v>
      </c>
      <c r="K6588" s="337"/>
      <c r="L6588" s="334">
        <v>22500</v>
      </c>
      <c r="M6588" s="338"/>
      <c r="N6588" s="362">
        <f t="shared" si="224"/>
        <v>22500</v>
      </c>
      <c r="X6588" s="339"/>
    </row>
    <row r="6589" s="330" customFormat="1" ht="15" customHeight="1" spans="1:24">
      <c r="A6589" s="334"/>
      <c r="B6589" s="348" t="s">
        <v>66</v>
      </c>
      <c r="C6589" s="334" t="s">
        <v>1749</v>
      </c>
      <c r="D6589" s="334" t="s">
        <v>1436</v>
      </c>
      <c r="E6589" s="336">
        <v>43761</v>
      </c>
      <c r="F6589" s="336"/>
      <c r="G6589" s="336">
        <v>43761</v>
      </c>
      <c r="H6589" s="334" t="s">
        <v>8790</v>
      </c>
      <c r="I6589" s="334">
        <v>13681896198</v>
      </c>
      <c r="J6589" s="334" t="s">
        <v>14657</v>
      </c>
      <c r="K6589" s="337"/>
      <c r="L6589" s="334">
        <v>32435</v>
      </c>
      <c r="M6589" s="338"/>
      <c r="N6589" s="362">
        <f t="shared" si="224"/>
        <v>32435</v>
      </c>
      <c r="X6589" s="339"/>
    </row>
    <row r="6590" s="330" customFormat="1" ht="15" customHeight="1" spans="1:24">
      <c r="A6590" s="334"/>
      <c r="B6590" s="334" t="s">
        <v>137</v>
      </c>
      <c r="C6590" s="334" t="s">
        <v>406</v>
      </c>
      <c r="D6590" s="334" t="s">
        <v>427</v>
      </c>
      <c r="E6590" s="336">
        <v>43761</v>
      </c>
      <c r="F6590" s="336"/>
      <c r="G6590" s="336">
        <v>43758</v>
      </c>
      <c r="H6590" s="334" t="s">
        <v>14658</v>
      </c>
      <c r="I6590" s="334">
        <v>13818213172</v>
      </c>
      <c r="J6590" s="334" t="s">
        <v>14659</v>
      </c>
      <c r="K6590" s="337"/>
      <c r="L6590" s="334">
        <v>27179</v>
      </c>
      <c r="M6590" s="338"/>
      <c r="N6590" s="362">
        <f t="shared" si="224"/>
        <v>27179</v>
      </c>
      <c r="X6590" s="339"/>
    </row>
    <row r="6591" s="330" customFormat="1" ht="15" customHeight="1" spans="1:24">
      <c r="A6591" s="334"/>
      <c r="B6591" s="334" t="s">
        <v>137</v>
      </c>
      <c r="C6591" s="334" t="s">
        <v>480</v>
      </c>
      <c r="D6591" s="334" t="s">
        <v>75</v>
      </c>
      <c r="E6591" s="336">
        <v>43761</v>
      </c>
      <c r="F6591" s="336"/>
      <c r="G6591" s="336">
        <v>43760</v>
      </c>
      <c r="H6591" s="334" t="s">
        <v>1708</v>
      </c>
      <c r="I6591" s="356">
        <v>18516692460</v>
      </c>
      <c r="J6591" s="348" t="s">
        <v>14660</v>
      </c>
      <c r="K6591" s="337"/>
      <c r="L6591" s="338"/>
      <c r="M6591" s="334">
        <v>11000</v>
      </c>
      <c r="N6591" s="362">
        <f t="shared" ref="N6591:N6601" si="225">L6591+M6591</f>
        <v>11000</v>
      </c>
      <c r="X6591" s="339"/>
    </row>
    <row r="6592" s="330" customFormat="1" ht="15" customHeight="1" spans="1:24">
      <c r="A6592" s="334"/>
      <c r="B6592" s="334" t="s">
        <v>2625</v>
      </c>
      <c r="C6592" s="334" t="s">
        <v>2626</v>
      </c>
      <c r="D6592" s="334" t="s">
        <v>44</v>
      </c>
      <c r="E6592" s="336">
        <v>43761</v>
      </c>
      <c r="F6592" s="336"/>
      <c r="G6592" s="336">
        <v>43761</v>
      </c>
      <c r="H6592" s="334" t="s">
        <v>11336</v>
      </c>
      <c r="I6592" s="334">
        <v>13918421421</v>
      </c>
      <c r="J6592" s="334" t="s">
        <v>11337</v>
      </c>
      <c r="K6592" s="337"/>
      <c r="L6592" s="338"/>
      <c r="M6592" s="334">
        <v>1100</v>
      </c>
      <c r="N6592" s="362">
        <f t="shared" si="225"/>
        <v>1100</v>
      </c>
      <c r="X6592" s="339"/>
    </row>
    <row r="6593" s="330" customFormat="1" ht="15" customHeight="1" spans="1:24">
      <c r="A6593" s="334"/>
      <c r="B6593" s="334" t="s">
        <v>335</v>
      </c>
      <c r="C6593" s="334" t="s">
        <v>615</v>
      </c>
      <c r="D6593" s="334" t="s">
        <v>337</v>
      </c>
      <c r="E6593" s="336">
        <v>43761</v>
      </c>
      <c r="F6593" s="336"/>
      <c r="G6593" s="336">
        <v>43761</v>
      </c>
      <c r="H6593" s="334" t="s">
        <v>5347</v>
      </c>
      <c r="I6593" s="334">
        <v>13641699630</v>
      </c>
      <c r="J6593" s="334" t="s">
        <v>8197</v>
      </c>
      <c r="K6593" s="337"/>
      <c r="L6593" s="338"/>
      <c r="M6593" s="334">
        <v>2500</v>
      </c>
      <c r="N6593" s="362">
        <f t="shared" si="225"/>
        <v>2500</v>
      </c>
      <c r="X6593" s="339"/>
    </row>
    <row r="6594" s="330" customFormat="1" ht="15" customHeight="1" spans="1:24">
      <c r="A6594" s="334"/>
      <c r="B6594" s="334" t="s">
        <v>5336</v>
      </c>
      <c r="C6594" s="334" t="s">
        <v>5336</v>
      </c>
      <c r="D6594" s="334" t="s">
        <v>271</v>
      </c>
      <c r="E6594" s="336">
        <v>43761</v>
      </c>
      <c r="F6594" s="336"/>
      <c r="G6594" s="336">
        <v>43760</v>
      </c>
      <c r="H6594" s="334" t="s">
        <v>13970</v>
      </c>
      <c r="I6594" s="334">
        <v>15214301680</v>
      </c>
      <c r="J6594" s="334" t="s">
        <v>14661</v>
      </c>
      <c r="K6594" s="337"/>
      <c r="L6594" s="338"/>
      <c r="M6594" s="334">
        <v>485</v>
      </c>
      <c r="N6594" s="362">
        <f t="shared" si="225"/>
        <v>485</v>
      </c>
      <c r="X6594" s="339"/>
    </row>
    <row r="6595" s="330" customFormat="1" ht="15" customHeight="1" spans="1:24">
      <c r="A6595" s="334"/>
      <c r="B6595" s="334" t="s">
        <v>169</v>
      </c>
      <c r="C6595" s="334" t="s">
        <v>634</v>
      </c>
      <c r="D6595" s="334" t="s">
        <v>635</v>
      </c>
      <c r="E6595" s="336">
        <v>43761</v>
      </c>
      <c r="F6595" s="336"/>
      <c r="G6595" s="336">
        <v>43760</v>
      </c>
      <c r="H6595" s="334" t="s">
        <v>11483</v>
      </c>
      <c r="I6595" s="334">
        <v>15901964396</v>
      </c>
      <c r="J6595" s="334" t="s">
        <v>11484</v>
      </c>
      <c r="K6595" s="337"/>
      <c r="L6595" s="338"/>
      <c r="M6595" s="334">
        <v>-2949</v>
      </c>
      <c r="N6595" s="362">
        <f t="shared" si="225"/>
        <v>-2949</v>
      </c>
      <c r="X6595" s="339"/>
    </row>
    <row r="6596" s="330" customFormat="1" ht="15" customHeight="1" spans="1:24">
      <c r="A6596" s="334"/>
      <c r="B6596" s="334" t="s">
        <v>315</v>
      </c>
      <c r="C6596" s="334" t="s">
        <v>161</v>
      </c>
      <c r="D6596" s="334" t="s">
        <v>162</v>
      </c>
      <c r="E6596" s="336">
        <v>43761</v>
      </c>
      <c r="F6596" s="336"/>
      <c r="G6596" s="336">
        <v>43760</v>
      </c>
      <c r="H6596" s="334" t="s">
        <v>11166</v>
      </c>
      <c r="I6596" s="334">
        <v>13601965072</v>
      </c>
      <c r="J6596" s="334" t="s">
        <v>11167</v>
      </c>
      <c r="K6596" s="337"/>
      <c r="L6596" s="338"/>
      <c r="M6596" s="334">
        <v>1640</v>
      </c>
      <c r="N6596" s="362">
        <f t="shared" si="225"/>
        <v>1640</v>
      </c>
      <c r="X6596" s="339"/>
    </row>
    <row r="6597" s="330" customFormat="1" ht="15" customHeight="1" spans="1:24">
      <c r="A6597" s="334"/>
      <c r="B6597" s="334" t="s">
        <v>726</v>
      </c>
      <c r="C6597" s="334" t="s">
        <v>727</v>
      </c>
      <c r="D6597" s="334" t="s">
        <v>207</v>
      </c>
      <c r="E6597" s="336">
        <v>43761</v>
      </c>
      <c r="F6597" s="336"/>
      <c r="G6597" s="336">
        <v>43758</v>
      </c>
      <c r="H6597" s="334" t="s">
        <v>12086</v>
      </c>
      <c r="I6597" s="334">
        <v>13817500960</v>
      </c>
      <c r="J6597" s="334" t="s">
        <v>14662</v>
      </c>
      <c r="K6597" s="337"/>
      <c r="L6597" s="338"/>
      <c r="M6597" s="334">
        <v>-2607</v>
      </c>
      <c r="N6597" s="362">
        <f t="shared" si="225"/>
        <v>-2607</v>
      </c>
      <c r="X6597" s="339"/>
    </row>
    <row r="6598" s="330" customFormat="1" ht="15" customHeight="1" spans="1:24">
      <c r="A6598" s="334"/>
      <c r="B6598" s="334" t="s">
        <v>169</v>
      </c>
      <c r="C6598" s="334" t="s">
        <v>634</v>
      </c>
      <c r="D6598" s="334" t="s">
        <v>171</v>
      </c>
      <c r="E6598" s="336">
        <v>43761</v>
      </c>
      <c r="F6598" s="336"/>
      <c r="G6598" s="336">
        <v>43760</v>
      </c>
      <c r="H6598" s="334" t="s">
        <v>9278</v>
      </c>
      <c r="I6598" s="334">
        <v>19822767324</v>
      </c>
      <c r="J6598" s="334" t="s">
        <v>14663</v>
      </c>
      <c r="K6598" s="337"/>
      <c r="L6598" s="338"/>
      <c r="M6598" s="334">
        <v>8000</v>
      </c>
      <c r="N6598" s="362">
        <f t="shared" si="225"/>
        <v>8000</v>
      </c>
      <c r="X6598" s="339"/>
    </row>
    <row r="6599" s="330" customFormat="1" ht="15" customHeight="1" spans="1:24">
      <c r="A6599" s="334"/>
      <c r="B6599" s="334" t="s">
        <v>137</v>
      </c>
      <c r="C6599" s="334" t="s">
        <v>634</v>
      </c>
      <c r="D6599" s="334" t="s">
        <v>635</v>
      </c>
      <c r="E6599" s="336">
        <v>43761</v>
      </c>
      <c r="F6599" s="336"/>
      <c r="G6599" s="336">
        <v>43761</v>
      </c>
      <c r="H6599" s="334" t="s">
        <v>5042</v>
      </c>
      <c r="I6599" s="334">
        <v>13816337082</v>
      </c>
      <c r="J6599" s="334" t="s">
        <v>14664</v>
      </c>
      <c r="K6599" s="337"/>
      <c r="L6599" s="338"/>
      <c r="M6599" s="334">
        <v>5404</v>
      </c>
      <c r="N6599" s="362">
        <f t="shared" si="225"/>
        <v>5404</v>
      </c>
      <c r="X6599" s="339"/>
    </row>
    <row r="6600" s="330" customFormat="1" ht="15" customHeight="1" spans="1:24">
      <c r="A6600" s="334"/>
      <c r="B6600" s="334" t="s">
        <v>94</v>
      </c>
      <c r="C6600" s="334" t="s">
        <v>101</v>
      </c>
      <c r="D6600" s="334" t="s">
        <v>49</v>
      </c>
      <c r="E6600" s="336">
        <v>43761</v>
      </c>
      <c r="F6600" s="336"/>
      <c r="G6600" s="336">
        <v>43758</v>
      </c>
      <c r="H6600" s="334" t="s">
        <v>13018</v>
      </c>
      <c r="I6600" s="334">
        <v>13482412568</v>
      </c>
      <c r="J6600" s="334" t="s">
        <v>13019</v>
      </c>
      <c r="K6600" s="337"/>
      <c r="L6600" s="338"/>
      <c r="M6600" s="334">
        <v>1388</v>
      </c>
      <c r="N6600" s="362">
        <f t="shared" si="225"/>
        <v>1388</v>
      </c>
      <c r="X6600" s="339"/>
    </row>
    <row r="6601" s="330" customFormat="1" ht="15" customHeight="1" spans="1:24">
      <c r="A6601" s="334"/>
      <c r="B6601" s="334" t="s">
        <v>31</v>
      </c>
      <c r="C6601" s="334" t="s">
        <v>3186</v>
      </c>
      <c r="D6601" s="334" t="s">
        <v>33</v>
      </c>
      <c r="E6601" s="336">
        <v>43761</v>
      </c>
      <c r="F6601" s="336"/>
      <c r="G6601" s="336">
        <v>43761</v>
      </c>
      <c r="H6601" s="334" t="s">
        <v>3590</v>
      </c>
      <c r="I6601" s="334">
        <v>13761029680</v>
      </c>
      <c r="J6601" s="334" t="s">
        <v>6882</v>
      </c>
      <c r="K6601" s="337"/>
      <c r="L6601" s="338"/>
      <c r="M6601" s="334">
        <v>110</v>
      </c>
      <c r="N6601" s="362">
        <f t="shared" si="225"/>
        <v>110</v>
      </c>
      <c r="X6601" s="339"/>
    </row>
    <row r="6602" s="330" customFormat="1" ht="15" customHeight="1" spans="1:24">
      <c r="A6602" s="348"/>
      <c r="B6602" s="334" t="s">
        <v>805</v>
      </c>
      <c r="C6602" s="348" t="s">
        <v>4935</v>
      </c>
      <c r="D6602" s="334" t="s">
        <v>171</v>
      </c>
      <c r="E6602" s="336">
        <v>43765</v>
      </c>
      <c r="F6602" s="336">
        <v>43761</v>
      </c>
      <c r="G6602" s="336">
        <v>43764</v>
      </c>
      <c r="H6602" s="334" t="s">
        <v>14665</v>
      </c>
      <c r="I6602" s="444">
        <v>18017328529</v>
      </c>
      <c r="J6602" s="348" t="s">
        <v>14666</v>
      </c>
      <c r="K6602" s="452">
        <v>1000</v>
      </c>
      <c r="L6602" s="334">
        <v>4148</v>
      </c>
      <c r="M6602" s="334">
        <v>-414</v>
      </c>
      <c r="N6602" s="362">
        <f t="shared" ref="N6602:N6622" si="226">L6602+M6602</f>
        <v>3734</v>
      </c>
      <c r="X6602" s="339"/>
    </row>
    <row r="6603" s="330" customFormat="1" ht="15" customHeight="1" spans="1:24">
      <c r="A6603" s="550" t="s">
        <v>14667</v>
      </c>
      <c r="B6603" s="334" t="s">
        <v>315</v>
      </c>
      <c r="C6603" s="348" t="s">
        <v>161</v>
      </c>
      <c r="D6603" s="335" t="s">
        <v>162</v>
      </c>
      <c r="E6603" s="336">
        <v>43762</v>
      </c>
      <c r="F6603" s="336">
        <v>43761</v>
      </c>
      <c r="G6603" s="399"/>
      <c r="H6603" s="334" t="s">
        <v>14668</v>
      </c>
      <c r="I6603" s="444"/>
      <c r="J6603" s="348" t="s">
        <v>14669</v>
      </c>
      <c r="K6603" s="452">
        <v>999</v>
      </c>
      <c r="L6603" s="338"/>
      <c r="M6603" s="338"/>
      <c r="N6603" s="362">
        <f t="shared" si="226"/>
        <v>0</v>
      </c>
      <c r="O6603" s="330">
        <v>1</v>
      </c>
      <c r="X6603" s="339"/>
    </row>
    <row r="6604" s="330" customFormat="1" ht="15" customHeight="1" spans="1:24">
      <c r="A6604" s="550" t="s">
        <v>14670</v>
      </c>
      <c r="B6604" s="334" t="s">
        <v>315</v>
      </c>
      <c r="C6604" s="348" t="s">
        <v>161</v>
      </c>
      <c r="D6604" s="335" t="s">
        <v>162</v>
      </c>
      <c r="E6604" s="336">
        <v>43782</v>
      </c>
      <c r="F6604" s="336">
        <v>43761</v>
      </c>
      <c r="G6604" s="336">
        <v>43782</v>
      </c>
      <c r="H6604" s="334" t="s">
        <v>14671</v>
      </c>
      <c r="I6604" s="444">
        <v>13817729129</v>
      </c>
      <c r="J6604" s="348" t="s">
        <v>14672</v>
      </c>
      <c r="K6604" s="452">
        <v>4398</v>
      </c>
      <c r="L6604" s="334">
        <f>-3998+8396</f>
        <v>4398</v>
      </c>
      <c r="M6604" s="338"/>
      <c r="N6604" s="362">
        <f t="shared" si="226"/>
        <v>4398</v>
      </c>
      <c r="X6604" s="339"/>
    </row>
    <row r="6605" s="330" customFormat="1" ht="15" customHeight="1" spans="1:24">
      <c r="A6605" s="348"/>
      <c r="B6605" s="334" t="s">
        <v>137</v>
      </c>
      <c r="C6605" s="348" t="s">
        <v>2705</v>
      </c>
      <c r="D6605" s="334" t="s">
        <v>2381</v>
      </c>
      <c r="E6605" s="336">
        <v>43769</v>
      </c>
      <c r="F6605" s="336">
        <v>43761</v>
      </c>
      <c r="G6605" s="336">
        <v>43768</v>
      </c>
      <c r="H6605" s="334" t="s">
        <v>14673</v>
      </c>
      <c r="I6605" s="444">
        <v>18101647016</v>
      </c>
      <c r="J6605" s="348" t="s">
        <v>14674</v>
      </c>
      <c r="K6605" s="452">
        <v>3099</v>
      </c>
      <c r="L6605" s="334">
        <v>6398</v>
      </c>
      <c r="M6605" s="338"/>
      <c r="N6605" s="362">
        <f t="shared" si="226"/>
        <v>6398</v>
      </c>
      <c r="X6605" s="339"/>
    </row>
    <row r="6606" s="330" customFormat="1" ht="15" customHeight="1" spans="1:24">
      <c r="A6606" s="550" t="s">
        <v>14675</v>
      </c>
      <c r="B6606" s="334" t="s">
        <v>58</v>
      </c>
      <c r="C6606" s="348" t="s">
        <v>342</v>
      </c>
      <c r="D6606" s="334" t="s">
        <v>343</v>
      </c>
      <c r="E6606" s="336">
        <v>43762</v>
      </c>
      <c r="F6606" s="336">
        <v>43761</v>
      </c>
      <c r="G6606" s="399">
        <v>43761</v>
      </c>
      <c r="H6606" s="334" t="s">
        <v>14676</v>
      </c>
      <c r="I6606" s="444">
        <v>13917216552</v>
      </c>
      <c r="J6606" s="348" t="s">
        <v>14677</v>
      </c>
      <c r="K6606" s="452">
        <v>7638</v>
      </c>
      <c r="L6606" s="334">
        <v>7638</v>
      </c>
      <c r="M6606" s="338"/>
      <c r="N6606" s="362">
        <f t="shared" si="226"/>
        <v>7638</v>
      </c>
      <c r="X6606" s="339"/>
    </row>
    <row r="6607" s="330" customFormat="1" ht="15" customHeight="1" spans="1:24">
      <c r="A6607" s="348"/>
      <c r="B6607" s="334" t="s">
        <v>315</v>
      </c>
      <c r="C6607" s="348" t="s">
        <v>161</v>
      </c>
      <c r="D6607" s="335" t="s">
        <v>162</v>
      </c>
      <c r="E6607" s="336">
        <v>43762</v>
      </c>
      <c r="F6607" s="336">
        <v>43749</v>
      </c>
      <c r="G6607" s="350" t="s">
        <v>69</v>
      </c>
      <c r="H6607" s="334" t="s">
        <v>13980</v>
      </c>
      <c r="I6607" s="444">
        <v>18621366098</v>
      </c>
      <c r="J6607" s="348" t="s">
        <v>13981</v>
      </c>
      <c r="K6607" s="452">
        <v>9404</v>
      </c>
      <c r="L6607" s="338"/>
      <c r="M6607" s="338"/>
      <c r="N6607" s="362">
        <f t="shared" si="226"/>
        <v>0</v>
      </c>
      <c r="X6607" s="339"/>
    </row>
    <row r="6608" s="330" customFormat="1" ht="15" customHeight="1" spans="1:24">
      <c r="A6608" s="348"/>
      <c r="B6608" s="334" t="s">
        <v>315</v>
      </c>
      <c r="C6608" s="348" t="s">
        <v>181</v>
      </c>
      <c r="D6608" s="335" t="s">
        <v>182</v>
      </c>
      <c r="E6608" s="336">
        <v>43762</v>
      </c>
      <c r="F6608" s="336">
        <v>43753</v>
      </c>
      <c r="G6608" s="350" t="s">
        <v>69</v>
      </c>
      <c r="H6608" s="334" t="s">
        <v>14263</v>
      </c>
      <c r="I6608" s="334">
        <v>13901735023</v>
      </c>
      <c r="J6608" s="334" t="s">
        <v>14264</v>
      </c>
      <c r="K6608" s="452">
        <v>2072</v>
      </c>
      <c r="L6608" s="338"/>
      <c r="M6608" s="338"/>
      <c r="N6608" s="362">
        <f t="shared" si="226"/>
        <v>0</v>
      </c>
      <c r="X6608" s="339"/>
    </row>
    <row r="6609" s="330" customFormat="1" ht="15" customHeight="1" spans="1:24">
      <c r="A6609" s="550" t="s">
        <v>14678</v>
      </c>
      <c r="B6609" s="334" t="s">
        <v>185</v>
      </c>
      <c r="C6609" s="334" t="s">
        <v>886</v>
      </c>
      <c r="D6609" s="335" t="s">
        <v>187</v>
      </c>
      <c r="E6609" s="336">
        <v>43765</v>
      </c>
      <c r="F6609" s="336">
        <v>43762</v>
      </c>
      <c r="G6609" s="336">
        <v>43764</v>
      </c>
      <c r="H6609" s="334" t="s">
        <v>4832</v>
      </c>
      <c r="I6609" s="444">
        <v>13817237573</v>
      </c>
      <c r="J6609" s="348" t="s">
        <v>14679</v>
      </c>
      <c r="K6609" s="452">
        <v>1000</v>
      </c>
      <c r="L6609" s="334">
        <v>9265</v>
      </c>
      <c r="M6609" s="338"/>
      <c r="N6609" s="362">
        <f t="shared" si="226"/>
        <v>9265</v>
      </c>
      <c r="X6609" s="339"/>
    </row>
    <row r="6610" s="330" customFormat="1" ht="15" customHeight="1" spans="1:24">
      <c r="A6610" s="550" t="s">
        <v>14680</v>
      </c>
      <c r="B6610" s="334" t="s">
        <v>315</v>
      </c>
      <c r="C6610" s="348" t="s">
        <v>230</v>
      </c>
      <c r="D6610" s="335" t="s">
        <v>182</v>
      </c>
      <c r="E6610" s="336">
        <v>43762</v>
      </c>
      <c r="F6610" s="336">
        <v>43739</v>
      </c>
      <c r="G6610" s="399"/>
      <c r="H6610" s="334" t="s">
        <v>14681</v>
      </c>
      <c r="I6610" s="444">
        <v>18016065391</v>
      </c>
      <c r="J6610" s="348" t="s">
        <v>14682</v>
      </c>
      <c r="K6610" s="452">
        <v>7000</v>
      </c>
      <c r="L6610" s="338"/>
      <c r="M6610" s="338"/>
      <c r="N6610" s="362">
        <f t="shared" si="226"/>
        <v>0</v>
      </c>
      <c r="U6610" s="330" t="s">
        <v>12</v>
      </c>
      <c r="X6610" s="339"/>
    </row>
    <row r="6611" s="330" customFormat="1" ht="15" customHeight="1" spans="1:24">
      <c r="A6611" s="550" t="s">
        <v>14683</v>
      </c>
      <c r="B6611" s="334" t="s">
        <v>335</v>
      </c>
      <c r="C6611" s="348" t="s">
        <v>615</v>
      </c>
      <c r="D6611" s="334" t="s">
        <v>44</v>
      </c>
      <c r="E6611" s="336">
        <v>43784</v>
      </c>
      <c r="F6611" s="336">
        <v>43762</v>
      </c>
      <c r="G6611" s="336">
        <v>43784</v>
      </c>
      <c r="H6611" s="334" t="s">
        <v>14684</v>
      </c>
      <c r="I6611" s="444">
        <v>15221216917</v>
      </c>
      <c r="J6611" s="348" t="s">
        <v>14685</v>
      </c>
      <c r="K6611" s="452">
        <v>1000</v>
      </c>
      <c r="L6611" s="334">
        <v>8679</v>
      </c>
      <c r="M6611" s="338"/>
      <c r="N6611" s="362">
        <f t="shared" si="226"/>
        <v>8679</v>
      </c>
      <c r="X6611" s="339"/>
    </row>
    <row r="6612" s="330" customFormat="1" ht="15" customHeight="1" spans="1:24">
      <c r="A6612" s="550" t="s">
        <v>14686</v>
      </c>
      <c r="B6612" s="334" t="s">
        <v>315</v>
      </c>
      <c r="C6612" s="348" t="s">
        <v>275</v>
      </c>
      <c r="D6612" s="335" t="s">
        <v>162</v>
      </c>
      <c r="E6612" s="336">
        <v>43769</v>
      </c>
      <c r="F6612" s="336">
        <v>43762</v>
      </c>
      <c r="G6612" s="336">
        <v>43769</v>
      </c>
      <c r="H6612" s="334" t="s">
        <v>14687</v>
      </c>
      <c r="I6612" s="444">
        <v>13601923262</v>
      </c>
      <c r="J6612" s="348" t="s">
        <v>14688</v>
      </c>
      <c r="K6612" s="452">
        <v>1299</v>
      </c>
      <c r="L6612" s="334">
        <v>4819</v>
      </c>
      <c r="M6612" s="338"/>
      <c r="N6612" s="362">
        <f t="shared" si="226"/>
        <v>4819</v>
      </c>
      <c r="X6612" s="339"/>
    </row>
    <row r="6613" s="330" customFormat="1" ht="15" customHeight="1" spans="1:24">
      <c r="A6613" s="348"/>
      <c r="B6613" s="334" t="s">
        <v>315</v>
      </c>
      <c r="C6613" s="348" t="s">
        <v>275</v>
      </c>
      <c r="D6613" s="334" t="s">
        <v>132</v>
      </c>
      <c r="E6613" s="336">
        <v>43768</v>
      </c>
      <c r="F6613" s="336">
        <v>43762</v>
      </c>
      <c r="G6613" s="336">
        <v>43767</v>
      </c>
      <c r="H6613" s="334" t="s">
        <v>14689</v>
      </c>
      <c r="I6613" s="444">
        <v>13611941337</v>
      </c>
      <c r="J6613" s="348" t="s">
        <v>14690</v>
      </c>
      <c r="K6613" s="452">
        <v>8287</v>
      </c>
      <c r="L6613" s="334">
        <v>17206</v>
      </c>
      <c r="M6613" s="338"/>
      <c r="N6613" s="362">
        <f t="shared" si="226"/>
        <v>17206</v>
      </c>
      <c r="X6613" s="339"/>
    </row>
    <row r="6614" s="330" customFormat="1" ht="15" customHeight="1" spans="1:24">
      <c r="A6614" s="550" t="s">
        <v>2033</v>
      </c>
      <c r="B6614" s="334" t="s">
        <v>137</v>
      </c>
      <c r="C6614" s="348" t="s">
        <v>406</v>
      </c>
      <c r="D6614" s="334" t="s">
        <v>2381</v>
      </c>
      <c r="E6614" s="336">
        <v>43773</v>
      </c>
      <c r="F6614" s="336">
        <v>43762</v>
      </c>
      <c r="G6614" s="336">
        <v>43772</v>
      </c>
      <c r="H6614" s="334" t="s">
        <v>14691</v>
      </c>
      <c r="I6614" s="444">
        <v>13167216941</v>
      </c>
      <c r="J6614" s="348" t="s">
        <v>14692</v>
      </c>
      <c r="K6614" s="452">
        <v>1000</v>
      </c>
      <c r="L6614" s="334">
        <v>7606</v>
      </c>
      <c r="M6614" s="338"/>
      <c r="N6614" s="362">
        <f t="shared" si="226"/>
        <v>7606</v>
      </c>
      <c r="X6614" s="339"/>
    </row>
    <row r="6615" s="330" customFormat="1" ht="15" customHeight="1" spans="1:24">
      <c r="A6615" s="550" t="s">
        <v>11105</v>
      </c>
      <c r="B6615" s="334" t="s">
        <v>137</v>
      </c>
      <c r="C6615" s="348" t="s">
        <v>480</v>
      </c>
      <c r="D6615" s="334" t="s">
        <v>443</v>
      </c>
      <c r="E6615" s="336">
        <v>43791</v>
      </c>
      <c r="F6615" s="336">
        <v>43762</v>
      </c>
      <c r="G6615" s="336">
        <v>43791</v>
      </c>
      <c r="H6615" s="334" t="s">
        <v>14693</v>
      </c>
      <c r="I6615" s="444">
        <v>13801662440</v>
      </c>
      <c r="J6615" s="348" t="s">
        <v>14694</v>
      </c>
      <c r="K6615" s="452">
        <v>1000</v>
      </c>
      <c r="L6615" s="334">
        <v>21195</v>
      </c>
      <c r="M6615" s="338"/>
      <c r="N6615" s="362">
        <f t="shared" si="226"/>
        <v>21195</v>
      </c>
      <c r="R6615" s="330">
        <v>1</v>
      </c>
      <c r="X6615" s="339"/>
    </row>
    <row r="6616" s="330" customFormat="1" ht="15" customHeight="1" spans="1:24">
      <c r="A6616" s="550" t="s">
        <v>14695</v>
      </c>
      <c r="B6616" s="334" t="s">
        <v>58</v>
      </c>
      <c r="C6616" s="348" t="s">
        <v>109</v>
      </c>
      <c r="D6616" s="335" t="s">
        <v>110</v>
      </c>
      <c r="E6616" s="336">
        <v>43794</v>
      </c>
      <c r="F6616" s="336">
        <v>43762</v>
      </c>
      <c r="G6616" s="336">
        <v>43794</v>
      </c>
      <c r="H6616" s="334" t="s">
        <v>14696</v>
      </c>
      <c r="I6616" s="444">
        <v>13817616593</v>
      </c>
      <c r="J6616" s="348" t="s">
        <v>14697</v>
      </c>
      <c r="K6616" s="452">
        <v>15000</v>
      </c>
      <c r="L6616" s="334">
        <v>10711</v>
      </c>
      <c r="M6616" s="338"/>
      <c r="N6616" s="362">
        <f t="shared" si="226"/>
        <v>10711</v>
      </c>
      <c r="S6616" s="365" t="s">
        <v>52</v>
      </c>
      <c r="X6616" s="339"/>
    </row>
    <row r="6617" s="330" customFormat="1" ht="15" customHeight="1" spans="1:24">
      <c r="A6617" s="550" t="s">
        <v>14698</v>
      </c>
      <c r="B6617" s="334" t="s">
        <v>58</v>
      </c>
      <c r="C6617" s="348" t="s">
        <v>109</v>
      </c>
      <c r="D6617" s="335" t="s">
        <v>110</v>
      </c>
      <c r="E6617" s="336">
        <v>43791</v>
      </c>
      <c r="F6617" s="336">
        <v>43762</v>
      </c>
      <c r="G6617" s="336">
        <v>43790</v>
      </c>
      <c r="H6617" s="334" t="s">
        <v>14699</v>
      </c>
      <c r="I6617" s="444">
        <v>17717471788</v>
      </c>
      <c r="J6617" s="348" t="s">
        <v>14700</v>
      </c>
      <c r="K6617" s="452">
        <v>5000</v>
      </c>
      <c r="L6617" s="334">
        <v>18809</v>
      </c>
      <c r="M6617" s="338"/>
      <c r="N6617" s="362">
        <f t="shared" si="226"/>
        <v>18809</v>
      </c>
      <c r="S6617" s="365" t="s">
        <v>52</v>
      </c>
      <c r="X6617" s="339"/>
    </row>
    <row r="6618" s="330" customFormat="1" ht="15" customHeight="1" spans="1:24">
      <c r="A6618" s="348"/>
      <c r="B6618" s="334" t="s">
        <v>169</v>
      </c>
      <c r="C6618" s="348" t="s">
        <v>634</v>
      </c>
      <c r="D6618" s="335" t="s">
        <v>635</v>
      </c>
      <c r="E6618" s="336">
        <v>43762</v>
      </c>
      <c r="F6618" s="336">
        <v>43762</v>
      </c>
      <c r="G6618" s="399"/>
      <c r="H6618" s="334" t="s">
        <v>14701</v>
      </c>
      <c r="I6618" s="444">
        <v>13918169659</v>
      </c>
      <c r="J6618" s="348" t="s">
        <v>14702</v>
      </c>
      <c r="K6618" s="452">
        <v>1000</v>
      </c>
      <c r="L6618" s="338"/>
      <c r="M6618" s="338"/>
      <c r="N6618" s="362">
        <f t="shared" si="226"/>
        <v>0</v>
      </c>
      <c r="P6618" s="353" t="s">
        <v>13372</v>
      </c>
      <c r="V6618" s="353" t="s">
        <v>14703</v>
      </c>
      <c r="X6618" s="339"/>
    </row>
    <row r="6619" s="330" customFormat="1" ht="15" customHeight="1" spans="1:24">
      <c r="A6619" s="550" t="s">
        <v>1430</v>
      </c>
      <c r="B6619" s="334" t="s">
        <v>66</v>
      </c>
      <c r="C6619" s="348" t="s">
        <v>951</v>
      </c>
      <c r="D6619" s="334" t="s">
        <v>2302</v>
      </c>
      <c r="E6619" s="336">
        <v>43766</v>
      </c>
      <c r="F6619" s="336">
        <v>43762</v>
      </c>
      <c r="G6619" s="336">
        <v>43765</v>
      </c>
      <c r="H6619" s="334" t="s">
        <v>14704</v>
      </c>
      <c r="I6619" s="444">
        <v>15901918667</v>
      </c>
      <c r="J6619" s="348" t="s">
        <v>14705</v>
      </c>
      <c r="K6619" s="452">
        <v>368</v>
      </c>
      <c r="L6619" s="334">
        <v>1729</v>
      </c>
      <c r="M6619" s="338"/>
      <c r="N6619" s="362">
        <f t="shared" si="226"/>
        <v>1729</v>
      </c>
      <c r="X6619" s="339"/>
    </row>
    <row r="6620" s="330" customFormat="1" ht="15" customHeight="1" spans="1:24">
      <c r="A6620" s="550" t="s">
        <v>2197</v>
      </c>
      <c r="B6620" s="334" t="s">
        <v>137</v>
      </c>
      <c r="C6620" s="348" t="s">
        <v>406</v>
      </c>
      <c r="D6620" s="335" t="s">
        <v>443</v>
      </c>
      <c r="E6620" s="336">
        <v>43796</v>
      </c>
      <c r="F6620" s="336">
        <v>43762</v>
      </c>
      <c r="G6620" s="336">
        <v>43796</v>
      </c>
      <c r="H6620" s="334" t="s">
        <v>14706</v>
      </c>
      <c r="I6620" s="444">
        <v>13764093201</v>
      </c>
      <c r="J6620" s="348" t="s">
        <v>14707</v>
      </c>
      <c r="K6620" s="452">
        <v>1000</v>
      </c>
      <c r="L6620" s="334">
        <v>18100</v>
      </c>
      <c r="M6620" s="338"/>
      <c r="N6620" s="362">
        <f t="shared" si="226"/>
        <v>18100</v>
      </c>
      <c r="R6620" s="330">
        <v>1</v>
      </c>
      <c r="U6620" s="330" t="s">
        <v>12</v>
      </c>
      <c r="X6620" s="339"/>
    </row>
    <row r="6621" s="330" customFormat="1" ht="15" customHeight="1" spans="1:24">
      <c r="A6621" s="348"/>
      <c r="B6621" s="334" t="s">
        <v>315</v>
      </c>
      <c r="C6621" s="348" t="s">
        <v>230</v>
      </c>
      <c r="D6621" s="334" t="s">
        <v>182</v>
      </c>
      <c r="E6621" s="336">
        <v>43762</v>
      </c>
      <c r="F6621" s="336">
        <v>43762</v>
      </c>
      <c r="G6621" s="399">
        <v>43762</v>
      </c>
      <c r="H6621" s="334" t="s">
        <v>14708</v>
      </c>
      <c r="I6621" s="444">
        <v>18019110017</v>
      </c>
      <c r="J6621" s="348" t="s">
        <v>14709</v>
      </c>
      <c r="K6621" s="452">
        <v>1000</v>
      </c>
      <c r="L6621" s="334">
        <v>12839</v>
      </c>
      <c r="M6621" s="338"/>
      <c r="N6621" s="362">
        <f t="shared" si="226"/>
        <v>12839</v>
      </c>
      <c r="X6621" s="339"/>
    </row>
    <row r="6622" s="330" customFormat="1" ht="15" customHeight="1" spans="1:24">
      <c r="A6622" s="348"/>
      <c r="B6622" s="334" t="s">
        <v>2625</v>
      </c>
      <c r="C6622" s="348" t="s">
        <v>2626</v>
      </c>
      <c r="D6622" s="335" t="s">
        <v>44</v>
      </c>
      <c r="E6622" s="336">
        <v>43762</v>
      </c>
      <c r="F6622" s="336">
        <v>43762</v>
      </c>
      <c r="G6622" s="399"/>
      <c r="H6622" s="334" t="s">
        <v>14710</v>
      </c>
      <c r="I6622" s="444">
        <v>13124854659</v>
      </c>
      <c r="J6622" s="348" t="s">
        <v>14711</v>
      </c>
      <c r="K6622" s="452">
        <v>1000</v>
      </c>
      <c r="L6622" s="338"/>
      <c r="M6622" s="338"/>
      <c r="N6622" s="362">
        <f t="shared" si="226"/>
        <v>0</v>
      </c>
      <c r="U6622" s="475">
        <v>43768</v>
      </c>
      <c r="X6622" s="339"/>
    </row>
    <row r="6623" s="330" customFormat="1" ht="15" customHeight="1" spans="1:24">
      <c r="A6623" s="334"/>
      <c r="B6623" s="334" t="s">
        <v>87</v>
      </c>
      <c r="C6623" s="334" t="s">
        <v>199</v>
      </c>
      <c r="D6623" s="334" t="s">
        <v>89</v>
      </c>
      <c r="E6623" s="336">
        <v>43762</v>
      </c>
      <c r="F6623" s="336"/>
      <c r="G6623" s="336">
        <v>43758</v>
      </c>
      <c r="H6623" s="334" t="s">
        <v>14712</v>
      </c>
      <c r="I6623" s="334">
        <v>18101796970</v>
      </c>
      <c r="J6623" s="334" t="s">
        <v>14713</v>
      </c>
      <c r="K6623" s="337"/>
      <c r="L6623" s="334">
        <v>12636</v>
      </c>
      <c r="M6623" s="338"/>
      <c r="N6623" s="362">
        <f t="shared" ref="N6623:N6649" si="227">L6623+M6623</f>
        <v>12636</v>
      </c>
      <c r="X6623" s="339"/>
    </row>
    <row r="6624" s="330" customFormat="1" ht="15" customHeight="1" spans="1:24">
      <c r="A6624" s="334"/>
      <c r="B6624" s="334" t="s">
        <v>31</v>
      </c>
      <c r="C6624" s="334" t="s">
        <v>419</v>
      </c>
      <c r="D6624" s="334" t="s">
        <v>954</v>
      </c>
      <c r="E6624" s="336">
        <v>43762</v>
      </c>
      <c r="F6624" s="336"/>
      <c r="G6624" s="336">
        <v>43761</v>
      </c>
      <c r="H6624" s="334" t="s">
        <v>14714</v>
      </c>
      <c r="I6624" s="334">
        <v>18621520996</v>
      </c>
      <c r="J6624" s="334" t="s">
        <v>14715</v>
      </c>
      <c r="K6624" s="337"/>
      <c r="L6624" s="334">
        <v>2250</v>
      </c>
      <c r="M6624" s="338"/>
      <c r="N6624" s="362">
        <f t="shared" si="227"/>
        <v>2250</v>
      </c>
      <c r="X6624" s="339"/>
    </row>
    <row r="6625" s="330" customFormat="1" ht="15" customHeight="1" spans="1:24">
      <c r="A6625" s="334"/>
      <c r="B6625" s="334" t="s">
        <v>147</v>
      </c>
      <c r="C6625" s="334" t="s">
        <v>148</v>
      </c>
      <c r="D6625" s="335" t="s">
        <v>125</v>
      </c>
      <c r="E6625" s="336">
        <v>43762</v>
      </c>
      <c r="F6625" s="336"/>
      <c r="G6625" s="336">
        <v>43761</v>
      </c>
      <c r="H6625" s="334" t="s">
        <v>14716</v>
      </c>
      <c r="I6625" s="334">
        <v>18930469781</v>
      </c>
      <c r="J6625" s="334" t="s">
        <v>14717</v>
      </c>
      <c r="K6625" s="337"/>
      <c r="L6625" s="334">
        <v>8100</v>
      </c>
      <c r="M6625" s="338"/>
      <c r="N6625" s="362">
        <f t="shared" si="227"/>
        <v>8100</v>
      </c>
      <c r="X6625" s="339"/>
    </row>
    <row r="6626" s="330" customFormat="1" ht="15" customHeight="1" spans="1:24">
      <c r="A6626" s="334"/>
      <c r="B6626" s="334" t="s">
        <v>281</v>
      </c>
      <c r="C6626" s="334" t="s">
        <v>517</v>
      </c>
      <c r="D6626" s="334" t="s">
        <v>518</v>
      </c>
      <c r="E6626" s="336">
        <v>43762</v>
      </c>
      <c r="F6626" s="336"/>
      <c r="G6626" s="336">
        <v>43762</v>
      </c>
      <c r="H6626" s="334" t="s">
        <v>14718</v>
      </c>
      <c r="I6626" s="334">
        <v>15900582188</v>
      </c>
      <c r="J6626" s="334" t="s">
        <v>14719</v>
      </c>
      <c r="K6626" s="337"/>
      <c r="L6626" s="334">
        <v>16866</v>
      </c>
      <c r="M6626" s="338"/>
      <c r="N6626" s="362">
        <f t="shared" si="227"/>
        <v>16866</v>
      </c>
      <c r="X6626" s="339"/>
    </row>
    <row r="6627" s="330" customFormat="1" ht="15" customHeight="1" spans="1:24">
      <c r="A6627" s="334"/>
      <c r="B6627" s="334" t="s">
        <v>137</v>
      </c>
      <c r="C6627" s="334" t="s">
        <v>861</v>
      </c>
      <c r="D6627" s="334" t="s">
        <v>443</v>
      </c>
      <c r="E6627" s="336">
        <v>43762</v>
      </c>
      <c r="F6627" s="336"/>
      <c r="G6627" s="336">
        <v>43762</v>
      </c>
      <c r="H6627" s="334" t="s">
        <v>14720</v>
      </c>
      <c r="I6627" s="334">
        <v>13916291890</v>
      </c>
      <c r="J6627" s="334" t="s">
        <v>14721</v>
      </c>
      <c r="K6627" s="337"/>
      <c r="L6627" s="334">
        <v>9792</v>
      </c>
      <c r="M6627" s="338"/>
      <c r="N6627" s="362">
        <f t="shared" si="227"/>
        <v>9792</v>
      </c>
      <c r="X6627" s="339"/>
    </row>
    <row r="6628" s="330" customFormat="1" ht="15" customHeight="1" spans="1:24">
      <c r="A6628" s="334"/>
      <c r="B6628" s="334" t="s">
        <v>335</v>
      </c>
      <c r="C6628" s="334" t="s">
        <v>399</v>
      </c>
      <c r="D6628" s="334" t="s">
        <v>337</v>
      </c>
      <c r="E6628" s="336">
        <v>43762</v>
      </c>
      <c r="F6628" s="336"/>
      <c r="G6628" s="336">
        <v>43762</v>
      </c>
      <c r="H6628" s="334" t="s">
        <v>14722</v>
      </c>
      <c r="I6628" s="334">
        <v>13917491966</v>
      </c>
      <c r="J6628" s="334" t="s">
        <v>14723</v>
      </c>
      <c r="K6628" s="337"/>
      <c r="L6628" s="334">
        <v>10899</v>
      </c>
      <c r="M6628" s="338"/>
      <c r="N6628" s="362">
        <f t="shared" si="227"/>
        <v>10899</v>
      </c>
      <c r="X6628" s="339"/>
    </row>
    <row r="6629" s="330" customFormat="1" ht="15" customHeight="1" spans="1:24">
      <c r="A6629" s="334"/>
      <c r="B6629" s="334" t="s">
        <v>354</v>
      </c>
      <c r="C6629" s="334" t="s">
        <v>13719</v>
      </c>
      <c r="D6629" s="334" t="s">
        <v>182</v>
      </c>
      <c r="E6629" s="336">
        <v>43762</v>
      </c>
      <c r="F6629" s="336"/>
      <c r="G6629" s="336">
        <v>43751</v>
      </c>
      <c r="H6629" s="334" t="s">
        <v>13721</v>
      </c>
      <c r="I6629" s="334">
        <v>13764318346</v>
      </c>
      <c r="J6629" s="334" t="s">
        <v>13722</v>
      </c>
      <c r="K6629" s="337"/>
      <c r="L6629" s="338"/>
      <c r="M6629" s="334">
        <v>776</v>
      </c>
      <c r="N6629" s="362">
        <f t="shared" si="227"/>
        <v>776</v>
      </c>
      <c r="X6629" s="339"/>
    </row>
    <row r="6630" s="330" customFormat="1" ht="15" customHeight="1" spans="1:24">
      <c r="A6630" s="334"/>
      <c r="B6630" s="334" t="s">
        <v>169</v>
      </c>
      <c r="C6630" s="334" t="s">
        <v>634</v>
      </c>
      <c r="D6630" s="334" t="s">
        <v>171</v>
      </c>
      <c r="E6630" s="336">
        <v>43762</v>
      </c>
      <c r="F6630" s="336"/>
      <c r="G6630" s="336">
        <v>43751</v>
      </c>
      <c r="H6630" s="334" t="s">
        <v>14205</v>
      </c>
      <c r="I6630" s="334">
        <v>13456856318</v>
      </c>
      <c r="J6630" s="334" t="s">
        <v>14206</v>
      </c>
      <c r="K6630" s="337"/>
      <c r="L6630" s="338"/>
      <c r="M6630" s="334">
        <v>-700</v>
      </c>
      <c r="N6630" s="362">
        <f t="shared" si="227"/>
        <v>-700</v>
      </c>
      <c r="X6630" s="339"/>
    </row>
    <row r="6631" s="330" customFormat="1" ht="15" customHeight="1" spans="1:24">
      <c r="A6631" s="334"/>
      <c r="B6631" s="348" t="s">
        <v>35</v>
      </c>
      <c r="C6631" s="348" t="s">
        <v>328</v>
      </c>
      <c r="D6631" s="352" t="s">
        <v>37</v>
      </c>
      <c r="E6631" s="336">
        <v>43762</v>
      </c>
      <c r="F6631" s="336"/>
      <c r="G6631" s="336">
        <v>43761</v>
      </c>
      <c r="H6631" s="334" t="s">
        <v>7877</v>
      </c>
      <c r="I6631" s="334">
        <v>1801835477</v>
      </c>
      <c r="J6631" s="334" t="s">
        <v>14724</v>
      </c>
      <c r="K6631" s="337"/>
      <c r="L6631" s="338"/>
      <c r="M6631" s="334">
        <v>1854</v>
      </c>
      <c r="N6631" s="362">
        <f t="shared" si="227"/>
        <v>1854</v>
      </c>
      <c r="X6631" s="339"/>
    </row>
    <row r="6632" s="330" customFormat="1" ht="15" customHeight="1" spans="1:24">
      <c r="A6632" s="334"/>
      <c r="B6632" s="334" t="s">
        <v>42</v>
      </c>
      <c r="C6632" s="334" t="s">
        <v>43</v>
      </c>
      <c r="D6632" s="334" t="s">
        <v>125</v>
      </c>
      <c r="E6632" s="336">
        <v>43762</v>
      </c>
      <c r="F6632" s="336"/>
      <c r="G6632" s="336">
        <v>43761</v>
      </c>
      <c r="H6632" s="334" t="s">
        <v>6741</v>
      </c>
      <c r="I6632" s="334">
        <v>13564590801</v>
      </c>
      <c r="J6632" s="348" t="s">
        <v>14725</v>
      </c>
      <c r="K6632" s="337"/>
      <c r="L6632" s="338"/>
      <c r="M6632" s="334">
        <f>2151+21436</f>
        <v>23587</v>
      </c>
      <c r="N6632" s="362">
        <f t="shared" si="227"/>
        <v>23587</v>
      </c>
      <c r="X6632" s="339"/>
    </row>
    <row r="6633" s="330" customFormat="1" ht="15" customHeight="1" spans="1:24">
      <c r="A6633" s="334"/>
      <c r="B6633" s="334" t="s">
        <v>66</v>
      </c>
      <c r="C6633" s="334" t="s">
        <v>1749</v>
      </c>
      <c r="D6633" s="334" t="s">
        <v>68</v>
      </c>
      <c r="E6633" s="336">
        <v>43762</v>
      </c>
      <c r="F6633" s="336"/>
      <c r="G6633" s="336">
        <v>43761</v>
      </c>
      <c r="H6633" s="334" t="s">
        <v>12026</v>
      </c>
      <c r="I6633" s="334">
        <v>13816715809</v>
      </c>
      <c r="J6633" s="334" t="s">
        <v>14726</v>
      </c>
      <c r="K6633" s="337"/>
      <c r="L6633" s="338"/>
      <c r="M6633" s="334">
        <v>7268</v>
      </c>
      <c r="N6633" s="362">
        <f t="shared" si="227"/>
        <v>7268</v>
      </c>
      <c r="X6633" s="339"/>
    </row>
    <row r="6634" s="330" customFormat="1" ht="15" customHeight="1" spans="1:24">
      <c r="A6634" s="334"/>
      <c r="B6634" s="334" t="s">
        <v>315</v>
      </c>
      <c r="C6634" s="334" t="s">
        <v>275</v>
      </c>
      <c r="D6634" s="334" t="s">
        <v>162</v>
      </c>
      <c r="E6634" s="336">
        <v>43762</v>
      </c>
      <c r="F6634" s="336"/>
      <c r="G6634" s="336">
        <v>43761</v>
      </c>
      <c r="H6634" s="334" t="s">
        <v>14551</v>
      </c>
      <c r="I6634" s="334">
        <v>13816631215</v>
      </c>
      <c r="J6634" s="334" t="s">
        <v>14552</v>
      </c>
      <c r="K6634" s="337"/>
      <c r="L6634" s="338"/>
      <c r="M6634" s="334">
        <v>3836</v>
      </c>
      <c r="N6634" s="362">
        <f t="shared" si="227"/>
        <v>3836</v>
      </c>
      <c r="X6634" s="339"/>
    </row>
    <row r="6635" s="330" customFormat="1" ht="15" customHeight="1" spans="1:24">
      <c r="A6635" s="334"/>
      <c r="B6635" s="334" t="s">
        <v>58</v>
      </c>
      <c r="C6635" s="334" t="s">
        <v>342</v>
      </c>
      <c r="D6635" s="334" t="s">
        <v>343</v>
      </c>
      <c r="E6635" s="336">
        <v>43762</v>
      </c>
      <c r="F6635" s="336"/>
      <c r="G6635" s="336">
        <v>43761</v>
      </c>
      <c r="H6635" s="334" t="s">
        <v>1932</v>
      </c>
      <c r="I6635" s="334">
        <v>13816167423</v>
      </c>
      <c r="J6635" s="334" t="s">
        <v>14727</v>
      </c>
      <c r="K6635" s="337"/>
      <c r="L6635" s="338"/>
      <c r="M6635" s="334">
        <v>15760</v>
      </c>
      <c r="N6635" s="362">
        <f t="shared" si="227"/>
        <v>15760</v>
      </c>
      <c r="X6635" s="339"/>
    </row>
    <row r="6636" s="330" customFormat="1" ht="15" customHeight="1" spans="1:24">
      <c r="A6636" s="334"/>
      <c r="B6636" s="334" t="s">
        <v>315</v>
      </c>
      <c r="C6636" s="334" t="s">
        <v>275</v>
      </c>
      <c r="D6636" s="334" t="s">
        <v>162</v>
      </c>
      <c r="E6636" s="336">
        <v>43762</v>
      </c>
      <c r="F6636" s="336"/>
      <c r="G6636" s="336">
        <v>43761</v>
      </c>
      <c r="H6636" s="334" t="s">
        <v>11103</v>
      </c>
      <c r="I6636" s="334">
        <v>17717061512</v>
      </c>
      <c r="J6636" s="334" t="s">
        <v>14728</v>
      </c>
      <c r="K6636" s="337"/>
      <c r="L6636" s="338"/>
      <c r="M6636" s="334">
        <v>2000</v>
      </c>
      <c r="N6636" s="362">
        <f t="shared" si="227"/>
        <v>2000</v>
      </c>
      <c r="X6636" s="339"/>
    </row>
    <row r="6637" s="330" customFormat="1" ht="15" customHeight="1" spans="1:24">
      <c r="A6637" s="334"/>
      <c r="B6637" s="334" t="s">
        <v>58</v>
      </c>
      <c r="C6637" s="334" t="s">
        <v>59</v>
      </c>
      <c r="D6637" s="334" t="s">
        <v>271</v>
      </c>
      <c r="E6637" s="336">
        <v>43762</v>
      </c>
      <c r="F6637" s="336"/>
      <c r="G6637" s="336">
        <v>43759</v>
      </c>
      <c r="H6637" s="334" t="s">
        <v>4972</v>
      </c>
      <c r="I6637" s="334">
        <v>13601956052</v>
      </c>
      <c r="J6637" s="348" t="s">
        <v>4973</v>
      </c>
      <c r="K6637" s="337"/>
      <c r="L6637" s="338"/>
      <c r="M6637" s="334">
        <v>27136</v>
      </c>
      <c r="N6637" s="362">
        <f t="shared" si="227"/>
        <v>27136</v>
      </c>
      <c r="X6637" s="339"/>
    </row>
    <row r="6638" s="330" customFormat="1" ht="15" customHeight="1" spans="1:24">
      <c r="A6638" s="334"/>
      <c r="B6638" s="334" t="s">
        <v>236</v>
      </c>
      <c r="C6638" s="334" t="s">
        <v>195</v>
      </c>
      <c r="D6638" s="334" t="s">
        <v>207</v>
      </c>
      <c r="E6638" s="336">
        <v>43762</v>
      </c>
      <c r="F6638" s="336"/>
      <c r="G6638" s="336">
        <v>43760</v>
      </c>
      <c r="H6638" s="334" t="s">
        <v>9860</v>
      </c>
      <c r="I6638" s="334">
        <v>13818388553</v>
      </c>
      <c r="J6638" s="334" t="s">
        <v>9861</v>
      </c>
      <c r="K6638" s="337"/>
      <c r="L6638" s="338"/>
      <c r="M6638" s="334">
        <v>7031</v>
      </c>
      <c r="N6638" s="362">
        <f t="shared" si="227"/>
        <v>7031</v>
      </c>
      <c r="X6638" s="339"/>
    </row>
    <row r="6639" s="330" customFormat="1" ht="15" customHeight="1" spans="1:24">
      <c r="A6639" s="334"/>
      <c r="B6639" s="334" t="s">
        <v>35</v>
      </c>
      <c r="C6639" s="334" t="s">
        <v>328</v>
      </c>
      <c r="D6639" s="334" t="s">
        <v>37</v>
      </c>
      <c r="E6639" s="336">
        <v>43762</v>
      </c>
      <c r="F6639" s="336"/>
      <c r="G6639" s="336">
        <v>43761</v>
      </c>
      <c r="H6639" s="334" t="s">
        <v>10876</v>
      </c>
      <c r="I6639" s="334">
        <v>15800617426</v>
      </c>
      <c r="J6639" s="334" t="s">
        <v>14729</v>
      </c>
      <c r="K6639" s="337"/>
      <c r="L6639" s="338"/>
      <c r="M6639" s="334">
        <v>7878</v>
      </c>
      <c r="N6639" s="362">
        <f t="shared" si="227"/>
        <v>7878</v>
      </c>
      <c r="X6639" s="339"/>
    </row>
    <row r="6640" s="330" customFormat="1" ht="15" customHeight="1" spans="1:24">
      <c r="A6640" s="334"/>
      <c r="B6640" s="334" t="s">
        <v>58</v>
      </c>
      <c r="C6640" s="334" t="s">
        <v>342</v>
      </c>
      <c r="D6640" s="334" t="s">
        <v>343</v>
      </c>
      <c r="E6640" s="336">
        <v>43762</v>
      </c>
      <c r="F6640" s="336"/>
      <c r="G6640" s="336">
        <v>43761</v>
      </c>
      <c r="H6640" s="334" t="s">
        <v>1932</v>
      </c>
      <c r="I6640" s="334">
        <v>13816167423</v>
      </c>
      <c r="J6640" s="334" t="s">
        <v>14727</v>
      </c>
      <c r="K6640" s="337"/>
      <c r="L6640" s="338"/>
      <c r="M6640" s="334">
        <v>234</v>
      </c>
      <c r="N6640" s="362">
        <f t="shared" si="227"/>
        <v>234</v>
      </c>
      <c r="X6640" s="339"/>
    </row>
    <row r="6641" s="330" customFormat="1" ht="15" customHeight="1" spans="1:24">
      <c r="A6641" s="334"/>
      <c r="B6641" s="334" t="s">
        <v>66</v>
      </c>
      <c r="C6641" s="334" t="s">
        <v>67</v>
      </c>
      <c r="D6641" s="334" t="s">
        <v>1436</v>
      </c>
      <c r="E6641" s="336">
        <v>43762</v>
      </c>
      <c r="F6641" s="336"/>
      <c r="G6641" s="336">
        <v>43762</v>
      </c>
      <c r="H6641" s="334" t="s">
        <v>11529</v>
      </c>
      <c r="I6641" s="334">
        <v>13564566366</v>
      </c>
      <c r="J6641" s="334" t="s">
        <v>14730</v>
      </c>
      <c r="K6641" s="337"/>
      <c r="L6641" s="338"/>
      <c r="M6641" s="334">
        <v>-6685</v>
      </c>
      <c r="N6641" s="362">
        <f t="shared" si="227"/>
        <v>-6685</v>
      </c>
      <c r="X6641" s="339"/>
    </row>
    <row r="6642" s="330" customFormat="1" ht="15" customHeight="1" spans="1:24">
      <c r="A6642" s="334"/>
      <c r="B6642" s="334" t="s">
        <v>66</v>
      </c>
      <c r="C6642" s="334" t="s">
        <v>951</v>
      </c>
      <c r="D6642" s="334" t="s">
        <v>68</v>
      </c>
      <c r="E6642" s="336">
        <v>43762</v>
      </c>
      <c r="F6642" s="336"/>
      <c r="G6642" s="336">
        <v>43762</v>
      </c>
      <c r="H6642" s="334" t="s">
        <v>11679</v>
      </c>
      <c r="I6642" s="334">
        <v>15502198703</v>
      </c>
      <c r="J6642" s="334" t="s">
        <v>14731</v>
      </c>
      <c r="K6642" s="337"/>
      <c r="L6642" s="338"/>
      <c r="M6642" s="334">
        <v>7100</v>
      </c>
      <c r="N6642" s="362">
        <f t="shared" si="227"/>
        <v>7100</v>
      </c>
      <c r="X6642" s="339"/>
    </row>
    <row r="6643" s="330" customFormat="1" ht="15" customHeight="1" spans="1:24">
      <c r="A6643" s="334"/>
      <c r="B6643" s="334" t="s">
        <v>2625</v>
      </c>
      <c r="C6643" s="334" t="s">
        <v>2626</v>
      </c>
      <c r="D6643" s="334" t="s">
        <v>44</v>
      </c>
      <c r="E6643" s="336">
        <v>43762</v>
      </c>
      <c r="F6643" s="336"/>
      <c r="G6643" s="336">
        <v>43762</v>
      </c>
      <c r="H6643" s="334" t="s">
        <v>14219</v>
      </c>
      <c r="I6643" s="334">
        <v>13916518397</v>
      </c>
      <c r="J6643" s="334" t="s">
        <v>14375</v>
      </c>
      <c r="K6643" s="337"/>
      <c r="L6643" s="338"/>
      <c r="M6643" s="334">
        <v>3000</v>
      </c>
      <c r="N6643" s="362">
        <f t="shared" si="227"/>
        <v>3000</v>
      </c>
      <c r="X6643" s="339"/>
    </row>
    <row r="6644" s="330" customFormat="1" ht="15" customHeight="1" spans="1:24">
      <c r="A6644" s="334"/>
      <c r="B6644" s="334" t="s">
        <v>169</v>
      </c>
      <c r="C6644" s="334" t="s">
        <v>542</v>
      </c>
      <c r="D6644" s="334" t="s">
        <v>171</v>
      </c>
      <c r="E6644" s="336">
        <v>43762</v>
      </c>
      <c r="F6644" s="336"/>
      <c r="G6644" s="336">
        <v>43762</v>
      </c>
      <c r="H6644" s="334" t="s">
        <v>11176</v>
      </c>
      <c r="I6644" s="334">
        <v>13918317067</v>
      </c>
      <c r="J6644" s="334" t="s">
        <v>14732</v>
      </c>
      <c r="K6644" s="337"/>
      <c r="L6644" s="338"/>
      <c r="M6644" s="334">
        <v>8749</v>
      </c>
      <c r="N6644" s="362">
        <f t="shared" si="227"/>
        <v>8749</v>
      </c>
      <c r="X6644" s="339"/>
    </row>
    <row r="6645" s="330" customFormat="1" ht="15" customHeight="1" spans="1:24">
      <c r="A6645" s="334"/>
      <c r="B6645" s="334" t="s">
        <v>169</v>
      </c>
      <c r="C6645" s="334" t="s">
        <v>634</v>
      </c>
      <c r="D6645" s="334" t="s">
        <v>635</v>
      </c>
      <c r="E6645" s="336">
        <v>43762</v>
      </c>
      <c r="F6645" s="336"/>
      <c r="G6645" s="336">
        <v>43762</v>
      </c>
      <c r="H6645" s="334" t="s">
        <v>11487</v>
      </c>
      <c r="I6645" s="426">
        <v>13621693211</v>
      </c>
      <c r="J6645" s="334" t="s">
        <v>11488</v>
      </c>
      <c r="K6645" s="337"/>
      <c r="L6645" s="338"/>
      <c r="M6645" s="334">
        <v>555</v>
      </c>
      <c r="N6645" s="362">
        <f t="shared" si="227"/>
        <v>555</v>
      </c>
      <c r="X6645" s="339"/>
    </row>
    <row r="6646" s="330" customFormat="1" ht="15" customHeight="1" spans="1:24">
      <c r="A6646" s="334"/>
      <c r="B6646" s="334" t="s">
        <v>31</v>
      </c>
      <c r="C6646" s="334" t="s">
        <v>419</v>
      </c>
      <c r="D6646" s="334" t="s">
        <v>954</v>
      </c>
      <c r="E6646" s="336">
        <v>43762</v>
      </c>
      <c r="F6646" s="336"/>
      <c r="G6646" s="336">
        <v>43762</v>
      </c>
      <c r="H6646" s="334" t="s">
        <v>8490</v>
      </c>
      <c r="I6646" s="334">
        <v>13795382230</v>
      </c>
      <c r="J6646" s="348" t="s">
        <v>14733</v>
      </c>
      <c r="K6646" s="337"/>
      <c r="L6646" s="338"/>
      <c r="M6646" s="334">
        <v>268</v>
      </c>
      <c r="N6646" s="362">
        <f t="shared" si="227"/>
        <v>268</v>
      </c>
      <c r="X6646" s="339"/>
    </row>
    <row r="6647" s="330" customFormat="1" ht="15" customHeight="1" spans="1:24">
      <c r="A6647" s="334"/>
      <c r="B6647" s="334" t="s">
        <v>335</v>
      </c>
      <c r="C6647" s="334" t="s">
        <v>399</v>
      </c>
      <c r="D6647" s="334" t="s">
        <v>635</v>
      </c>
      <c r="E6647" s="336">
        <v>43762</v>
      </c>
      <c r="F6647" s="336"/>
      <c r="G6647" s="336">
        <v>43762</v>
      </c>
      <c r="H6647" s="334" t="s">
        <v>13848</v>
      </c>
      <c r="I6647" s="356">
        <v>13611967252</v>
      </c>
      <c r="J6647" s="348" t="s">
        <v>13849</v>
      </c>
      <c r="K6647" s="337"/>
      <c r="L6647" s="338"/>
      <c r="M6647" s="334">
        <v>5724</v>
      </c>
      <c r="N6647" s="362">
        <f t="shared" si="227"/>
        <v>5724</v>
      </c>
      <c r="X6647" s="339"/>
    </row>
    <row r="6648" s="330" customFormat="1" ht="15" customHeight="1" spans="1:24">
      <c r="A6648" s="334"/>
      <c r="B6648" s="334" t="s">
        <v>66</v>
      </c>
      <c r="C6648" s="334" t="s">
        <v>505</v>
      </c>
      <c r="D6648" s="334" t="s">
        <v>2302</v>
      </c>
      <c r="E6648" s="336">
        <v>43762</v>
      </c>
      <c r="F6648" s="336"/>
      <c r="G6648" s="336">
        <v>43762</v>
      </c>
      <c r="H6648" s="334" t="s">
        <v>7131</v>
      </c>
      <c r="I6648" s="334" t="s">
        <v>14734</v>
      </c>
      <c r="J6648" s="334" t="s">
        <v>14735</v>
      </c>
      <c r="K6648" s="337"/>
      <c r="L6648" s="338"/>
      <c r="M6648" s="334">
        <v>4993</v>
      </c>
      <c r="N6648" s="362">
        <f t="shared" si="227"/>
        <v>4993</v>
      </c>
      <c r="X6648" s="339"/>
    </row>
    <row r="6649" s="330" customFormat="1" ht="15" customHeight="1" spans="1:24">
      <c r="A6649" s="334"/>
      <c r="B6649" s="334" t="s">
        <v>137</v>
      </c>
      <c r="C6649" s="334" t="s">
        <v>406</v>
      </c>
      <c r="D6649" s="334" t="s">
        <v>139</v>
      </c>
      <c r="E6649" s="336">
        <v>43762</v>
      </c>
      <c r="F6649" s="336"/>
      <c r="G6649" s="336">
        <v>43762</v>
      </c>
      <c r="H6649" s="334" t="s">
        <v>14736</v>
      </c>
      <c r="I6649" s="334">
        <v>13818438228</v>
      </c>
      <c r="J6649" s="425" t="s">
        <v>14737</v>
      </c>
      <c r="K6649" s="337"/>
      <c r="L6649" s="338"/>
      <c r="M6649" s="334">
        <v>7737</v>
      </c>
      <c r="N6649" s="362">
        <f t="shared" si="227"/>
        <v>7737</v>
      </c>
      <c r="X6649" s="339"/>
    </row>
    <row r="6650" s="330" customFormat="1" ht="15" customHeight="1" spans="1:24">
      <c r="A6650" s="550" t="s">
        <v>14738</v>
      </c>
      <c r="B6650" s="334" t="s">
        <v>137</v>
      </c>
      <c r="C6650" s="348" t="s">
        <v>406</v>
      </c>
      <c r="D6650" s="334" t="s">
        <v>2381</v>
      </c>
      <c r="E6650" s="336">
        <v>43764</v>
      </c>
      <c r="F6650" s="336">
        <v>43762</v>
      </c>
      <c r="G6650" s="336">
        <v>43764</v>
      </c>
      <c r="H6650" s="334" t="s">
        <v>14739</v>
      </c>
      <c r="I6650" s="444">
        <v>18918122355</v>
      </c>
      <c r="J6650" s="348" t="s">
        <v>14740</v>
      </c>
      <c r="K6650" s="452">
        <v>17333</v>
      </c>
      <c r="L6650" s="338"/>
      <c r="M6650" s="334">
        <v>3639</v>
      </c>
      <c r="N6650" s="362">
        <f t="shared" ref="N6650:N6667" si="228">L6650+M6650</f>
        <v>3639</v>
      </c>
      <c r="X6650" s="339"/>
    </row>
    <row r="6651" s="330" customFormat="1" ht="15" customHeight="1" spans="1:24">
      <c r="A6651" s="550" t="s">
        <v>6729</v>
      </c>
      <c r="B6651" s="334" t="s">
        <v>169</v>
      </c>
      <c r="C6651" s="348" t="s">
        <v>634</v>
      </c>
      <c r="D6651" s="334" t="s">
        <v>635</v>
      </c>
      <c r="E6651" s="336">
        <v>43763</v>
      </c>
      <c r="F6651" s="336">
        <v>43762</v>
      </c>
      <c r="G6651" s="399">
        <v>43762</v>
      </c>
      <c r="H6651" s="334" t="s">
        <v>14741</v>
      </c>
      <c r="I6651" s="444">
        <v>13817709996</v>
      </c>
      <c r="J6651" s="348" t="s">
        <v>14742</v>
      </c>
      <c r="K6651" s="452">
        <v>5179</v>
      </c>
      <c r="L6651" s="334">
        <v>5179</v>
      </c>
      <c r="M6651" s="338"/>
      <c r="N6651" s="362">
        <f t="shared" si="228"/>
        <v>5179</v>
      </c>
      <c r="X6651" s="339"/>
    </row>
    <row r="6652" s="330" customFormat="1" ht="15" customHeight="1" spans="1:24">
      <c r="A6652" s="348"/>
      <c r="B6652" s="334" t="s">
        <v>153</v>
      </c>
      <c r="C6652" s="348" t="s">
        <v>154</v>
      </c>
      <c r="D6652" s="335" t="s">
        <v>155</v>
      </c>
      <c r="E6652" s="336">
        <v>43765</v>
      </c>
      <c r="F6652" s="336">
        <v>43762</v>
      </c>
      <c r="G6652" s="336">
        <v>43764</v>
      </c>
      <c r="H6652" s="334" t="s">
        <v>14743</v>
      </c>
      <c r="I6652" s="444">
        <v>13651906805</v>
      </c>
      <c r="J6652" s="348" t="s">
        <v>14744</v>
      </c>
      <c r="K6652" s="452">
        <v>3000</v>
      </c>
      <c r="L6652" s="334">
        <v>16560</v>
      </c>
      <c r="M6652" s="338"/>
      <c r="N6652" s="362">
        <f t="shared" si="228"/>
        <v>16560</v>
      </c>
      <c r="X6652" s="339"/>
    </row>
    <row r="6653" s="330" customFormat="1" ht="15" customHeight="1" spans="1:24">
      <c r="A6653" s="550" t="s">
        <v>885</v>
      </c>
      <c r="B6653" s="334" t="s">
        <v>58</v>
      </c>
      <c r="C6653" s="348" t="s">
        <v>347</v>
      </c>
      <c r="D6653" s="334" t="s">
        <v>75</v>
      </c>
      <c r="E6653" s="336">
        <v>43790</v>
      </c>
      <c r="F6653" s="336">
        <v>43763</v>
      </c>
      <c r="G6653" s="336">
        <v>43784</v>
      </c>
      <c r="H6653" s="334" t="s">
        <v>14745</v>
      </c>
      <c r="I6653" s="444">
        <v>18917870055</v>
      </c>
      <c r="J6653" s="348" t="s">
        <v>14746</v>
      </c>
      <c r="K6653" s="452">
        <v>1000</v>
      </c>
      <c r="L6653" s="334">
        <v>9600</v>
      </c>
      <c r="M6653" s="338"/>
      <c r="N6653" s="362">
        <f t="shared" si="228"/>
        <v>9600</v>
      </c>
      <c r="X6653" s="339"/>
    </row>
    <row r="6654" s="330" customFormat="1" ht="15" customHeight="1" spans="1:24">
      <c r="A6654" s="550" t="s">
        <v>9991</v>
      </c>
      <c r="B6654" s="334" t="s">
        <v>73</v>
      </c>
      <c r="C6654" s="348" t="s">
        <v>74</v>
      </c>
      <c r="D6654" s="334" t="s">
        <v>717</v>
      </c>
      <c r="E6654" s="336">
        <v>43769</v>
      </c>
      <c r="F6654" s="336">
        <v>43762</v>
      </c>
      <c r="G6654" s="336">
        <v>43769</v>
      </c>
      <c r="H6654" s="334" t="s">
        <v>14747</v>
      </c>
      <c r="I6654" s="444">
        <v>18964177125</v>
      </c>
      <c r="J6654" s="348" t="s">
        <v>14748</v>
      </c>
      <c r="K6654" s="452">
        <v>1000</v>
      </c>
      <c r="L6654" s="334">
        <v>36812</v>
      </c>
      <c r="M6654" s="338"/>
      <c r="N6654" s="362">
        <f t="shared" si="228"/>
        <v>36812</v>
      </c>
      <c r="X6654" s="339"/>
    </row>
    <row r="6655" s="330" customFormat="1" ht="15" customHeight="1" spans="1:24">
      <c r="A6655" s="550" t="s">
        <v>14749</v>
      </c>
      <c r="B6655" s="334" t="s">
        <v>73</v>
      </c>
      <c r="C6655" s="348" t="s">
        <v>178</v>
      </c>
      <c r="D6655" s="334" t="s">
        <v>75</v>
      </c>
      <c r="E6655" s="336">
        <v>43769</v>
      </c>
      <c r="F6655" s="336">
        <v>43763</v>
      </c>
      <c r="G6655" s="336">
        <v>43768</v>
      </c>
      <c r="H6655" s="334" t="s">
        <v>13882</v>
      </c>
      <c r="I6655" s="444">
        <v>13818598301</v>
      </c>
      <c r="J6655" s="348" t="s">
        <v>14750</v>
      </c>
      <c r="K6655" s="452">
        <v>1000</v>
      </c>
      <c r="L6655" s="334">
        <v>5180</v>
      </c>
      <c r="M6655" s="338"/>
      <c r="N6655" s="362">
        <f t="shared" si="228"/>
        <v>5180</v>
      </c>
      <c r="X6655" s="339"/>
    </row>
    <row r="6656" s="330" customFormat="1" ht="15" customHeight="1" spans="1:24">
      <c r="A6656" s="550" t="s">
        <v>10915</v>
      </c>
      <c r="B6656" s="334" t="s">
        <v>5435</v>
      </c>
      <c r="C6656" s="348" t="s">
        <v>1728</v>
      </c>
      <c r="D6656" s="335" t="s">
        <v>149</v>
      </c>
      <c r="E6656" s="336">
        <v>43769</v>
      </c>
      <c r="F6656" s="336">
        <v>43763</v>
      </c>
      <c r="G6656" s="336">
        <v>43768</v>
      </c>
      <c r="H6656" s="334" t="s">
        <v>14751</v>
      </c>
      <c r="I6656" s="444">
        <v>13764426158</v>
      </c>
      <c r="J6656" s="348" t="s">
        <v>14752</v>
      </c>
      <c r="K6656" s="452">
        <v>8000</v>
      </c>
      <c r="L6656" s="334">
        <v>8299</v>
      </c>
      <c r="M6656" s="338"/>
      <c r="N6656" s="362">
        <f t="shared" si="228"/>
        <v>8299</v>
      </c>
      <c r="X6656" s="339"/>
    </row>
    <row r="6657" s="330" customFormat="1" ht="15" customHeight="1" spans="1:24">
      <c r="A6657" s="550" t="s">
        <v>14753</v>
      </c>
      <c r="B6657" s="334" t="s">
        <v>58</v>
      </c>
      <c r="C6657" s="348" t="s">
        <v>794</v>
      </c>
      <c r="D6657" s="335" t="s">
        <v>110</v>
      </c>
      <c r="E6657" s="336">
        <v>43830</v>
      </c>
      <c r="F6657" s="336">
        <v>43762</v>
      </c>
      <c r="G6657" s="336">
        <v>43830</v>
      </c>
      <c r="H6657" s="334" t="s">
        <v>14754</v>
      </c>
      <c r="I6657" s="444">
        <v>13818729010</v>
      </c>
      <c r="J6657" s="348" t="s">
        <v>14755</v>
      </c>
      <c r="K6657" s="452">
        <v>1000</v>
      </c>
      <c r="L6657" s="334">
        <v>9955</v>
      </c>
      <c r="M6657" s="338"/>
      <c r="N6657" s="362">
        <f t="shared" si="228"/>
        <v>9955</v>
      </c>
      <c r="O6657" s="365" t="s">
        <v>52</v>
      </c>
      <c r="X6657" s="339"/>
    </row>
    <row r="6658" s="330" customFormat="1" ht="15" customHeight="1" spans="1:24">
      <c r="A6658" s="348"/>
      <c r="B6658" s="334" t="s">
        <v>153</v>
      </c>
      <c r="C6658" s="348" t="s">
        <v>302</v>
      </c>
      <c r="D6658" s="335" t="s">
        <v>155</v>
      </c>
      <c r="E6658" s="336">
        <v>43794</v>
      </c>
      <c r="F6658" s="336">
        <v>43763</v>
      </c>
      <c r="G6658" s="336">
        <v>43788</v>
      </c>
      <c r="H6658" s="334" t="s">
        <v>14756</v>
      </c>
      <c r="I6658" s="444">
        <v>13918435711</v>
      </c>
      <c r="J6658" s="348" t="s">
        <v>14757</v>
      </c>
      <c r="K6658" s="452">
        <v>4197</v>
      </c>
      <c r="L6658" s="334">
        <f>4518+8402</f>
        <v>12920</v>
      </c>
      <c r="M6658" s="338"/>
      <c r="N6658" s="362">
        <f t="shared" si="228"/>
        <v>12920</v>
      </c>
      <c r="V6658" s="330" t="s">
        <v>14758</v>
      </c>
      <c r="X6658" s="339"/>
    </row>
    <row r="6659" s="330" customFormat="1" ht="15" customHeight="1" spans="1:24">
      <c r="A6659" s="550" t="s">
        <v>14759</v>
      </c>
      <c r="B6659" s="334" t="s">
        <v>236</v>
      </c>
      <c r="C6659" s="348" t="s">
        <v>195</v>
      </c>
      <c r="D6659" s="334" t="s">
        <v>207</v>
      </c>
      <c r="E6659" s="336">
        <v>43769</v>
      </c>
      <c r="F6659" s="336">
        <v>43758</v>
      </c>
      <c r="G6659" s="336">
        <v>43769</v>
      </c>
      <c r="H6659" s="334" t="s">
        <v>14760</v>
      </c>
      <c r="I6659" s="444">
        <v>18201808828</v>
      </c>
      <c r="J6659" s="348" t="s">
        <v>14761</v>
      </c>
      <c r="K6659" s="452">
        <v>23000</v>
      </c>
      <c r="L6659" s="334">
        <v>23000</v>
      </c>
      <c r="M6659" s="338"/>
      <c r="N6659" s="362">
        <f t="shared" si="228"/>
        <v>23000</v>
      </c>
      <c r="X6659" s="339"/>
    </row>
    <row r="6660" s="330" customFormat="1" ht="15" customHeight="1" spans="1:24">
      <c r="A6660" s="550" t="s">
        <v>14762</v>
      </c>
      <c r="B6660" s="334" t="s">
        <v>236</v>
      </c>
      <c r="C6660" s="348" t="s">
        <v>703</v>
      </c>
      <c r="D6660" s="334" t="s">
        <v>207</v>
      </c>
      <c r="E6660" s="336">
        <v>43784</v>
      </c>
      <c r="F6660" s="336">
        <v>43758</v>
      </c>
      <c r="G6660" s="336">
        <v>43784</v>
      </c>
      <c r="H6660" s="334" t="s">
        <v>9371</v>
      </c>
      <c r="I6660" s="444">
        <v>13818287398</v>
      </c>
      <c r="J6660" s="348" t="s">
        <v>14763</v>
      </c>
      <c r="K6660" s="452">
        <v>5000</v>
      </c>
      <c r="L6660" s="334">
        <v>11272</v>
      </c>
      <c r="M6660" s="338"/>
      <c r="N6660" s="362">
        <f t="shared" si="228"/>
        <v>11272</v>
      </c>
      <c r="X6660" s="339"/>
    </row>
    <row r="6661" s="330" customFormat="1" ht="15" customHeight="1" spans="1:24">
      <c r="A6661" s="550" t="s">
        <v>14764</v>
      </c>
      <c r="B6661" s="334" t="s">
        <v>153</v>
      </c>
      <c r="C6661" s="348" t="s">
        <v>302</v>
      </c>
      <c r="D6661" s="334" t="s">
        <v>155</v>
      </c>
      <c r="E6661" s="336">
        <v>43763</v>
      </c>
      <c r="F6661" s="336">
        <v>43759</v>
      </c>
      <c r="G6661" s="399">
        <v>43763</v>
      </c>
      <c r="H6661" s="334" t="s">
        <v>14765</v>
      </c>
      <c r="I6661" s="444">
        <v>13801797970</v>
      </c>
      <c r="J6661" s="348" t="s">
        <v>14766</v>
      </c>
      <c r="K6661" s="452">
        <v>1000</v>
      </c>
      <c r="L6661" s="334">
        <v>24700</v>
      </c>
      <c r="M6661" s="338"/>
      <c r="N6661" s="362">
        <f t="shared" si="228"/>
        <v>24700</v>
      </c>
      <c r="X6661" s="339"/>
    </row>
    <row r="6662" s="330" customFormat="1" ht="15" customHeight="1" spans="1:24">
      <c r="A6662" s="550" t="s">
        <v>14767</v>
      </c>
      <c r="B6662" s="334" t="s">
        <v>31</v>
      </c>
      <c r="C6662" s="348" t="s">
        <v>377</v>
      </c>
      <c r="D6662" s="334" t="s">
        <v>33</v>
      </c>
      <c r="E6662" s="336">
        <v>43767</v>
      </c>
      <c r="F6662" s="336">
        <v>43763</v>
      </c>
      <c r="G6662" s="336">
        <v>43766</v>
      </c>
      <c r="H6662" s="334" t="s">
        <v>14768</v>
      </c>
      <c r="I6662" s="444">
        <v>13901831142</v>
      </c>
      <c r="J6662" s="348" t="s">
        <v>14769</v>
      </c>
      <c r="K6662" s="452">
        <v>1000</v>
      </c>
      <c r="L6662" s="334">
        <v>24999</v>
      </c>
      <c r="M6662" s="338"/>
      <c r="N6662" s="362">
        <f t="shared" si="228"/>
        <v>24999</v>
      </c>
      <c r="X6662" s="339"/>
    </row>
    <row r="6663" s="330" customFormat="1" ht="15" customHeight="1" spans="1:24">
      <c r="A6663" s="550" t="s">
        <v>14770</v>
      </c>
      <c r="B6663" s="334" t="s">
        <v>4009</v>
      </c>
      <c r="C6663" s="348" t="s">
        <v>14771</v>
      </c>
      <c r="D6663" s="335" t="s">
        <v>1170</v>
      </c>
      <c r="E6663" s="336">
        <v>43808</v>
      </c>
      <c r="F6663" s="336">
        <v>43763</v>
      </c>
      <c r="G6663" s="336">
        <v>43761</v>
      </c>
      <c r="H6663" s="334" t="s">
        <v>14772</v>
      </c>
      <c r="I6663" s="444">
        <v>15190839728</v>
      </c>
      <c r="J6663" s="348" t="s">
        <v>14773</v>
      </c>
      <c r="K6663" s="452">
        <v>9700</v>
      </c>
      <c r="L6663" s="334">
        <v>9700</v>
      </c>
      <c r="M6663" s="338"/>
      <c r="N6663" s="362">
        <f t="shared" si="228"/>
        <v>9700</v>
      </c>
      <c r="X6663" s="339"/>
    </row>
    <row r="6664" s="330" customFormat="1" ht="15" customHeight="1" spans="1:24">
      <c r="A6664" s="550" t="s">
        <v>10153</v>
      </c>
      <c r="B6664" s="334" t="s">
        <v>73</v>
      </c>
      <c r="C6664" s="348" t="s">
        <v>74</v>
      </c>
      <c r="D6664" s="335" t="s">
        <v>75</v>
      </c>
      <c r="E6664" s="336">
        <v>43766</v>
      </c>
      <c r="F6664" s="336">
        <v>43765</v>
      </c>
      <c r="G6664" s="399"/>
      <c r="H6664" s="334" t="s">
        <v>14774</v>
      </c>
      <c r="I6664" s="444">
        <v>13524648325</v>
      </c>
      <c r="J6664" s="348" t="s">
        <v>14775</v>
      </c>
      <c r="K6664" s="452">
        <v>1000</v>
      </c>
      <c r="L6664" s="338"/>
      <c r="M6664" s="338"/>
      <c r="N6664" s="362">
        <f t="shared" si="228"/>
        <v>0</v>
      </c>
      <c r="P6664" s="405" t="s">
        <v>52</v>
      </c>
      <c r="Q6664" s="331"/>
      <c r="X6664" s="339"/>
    </row>
    <row r="6665" s="330" customFormat="1" ht="15" customHeight="1" spans="1:24">
      <c r="A6665" s="348" t="s">
        <v>13074</v>
      </c>
      <c r="B6665" s="334" t="s">
        <v>169</v>
      </c>
      <c r="C6665" s="348" t="s">
        <v>542</v>
      </c>
      <c r="D6665" s="335" t="s">
        <v>171</v>
      </c>
      <c r="E6665" s="336">
        <v>43786</v>
      </c>
      <c r="F6665" s="336">
        <v>43745</v>
      </c>
      <c r="G6665" s="336">
        <v>43786</v>
      </c>
      <c r="H6665" s="334" t="s">
        <v>14776</v>
      </c>
      <c r="I6665" s="444">
        <v>13817889633</v>
      </c>
      <c r="J6665" s="348" t="s">
        <v>14777</v>
      </c>
      <c r="K6665" s="452">
        <v>1000</v>
      </c>
      <c r="L6665" s="334">
        <v>5778</v>
      </c>
      <c r="M6665" s="338"/>
      <c r="N6665" s="362">
        <f t="shared" si="228"/>
        <v>5778</v>
      </c>
      <c r="X6665" s="339"/>
    </row>
    <row r="6666" s="330" customFormat="1" ht="15" customHeight="1" spans="1:24">
      <c r="A6666" s="348"/>
      <c r="B6666" s="334" t="s">
        <v>2625</v>
      </c>
      <c r="C6666" s="348" t="s">
        <v>2626</v>
      </c>
      <c r="D6666" s="335" t="s">
        <v>44</v>
      </c>
      <c r="E6666" s="336">
        <v>43763</v>
      </c>
      <c r="F6666" s="336">
        <v>43763</v>
      </c>
      <c r="G6666" s="399"/>
      <c r="H6666" s="334" t="s">
        <v>14778</v>
      </c>
      <c r="I6666" s="444">
        <v>18970045026</v>
      </c>
      <c r="J6666" s="348" t="s">
        <v>14779</v>
      </c>
      <c r="K6666" s="452">
        <v>1000</v>
      </c>
      <c r="L6666" s="338"/>
      <c r="M6666" s="338"/>
      <c r="N6666" s="362">
        <f t="shared" si="228"/>
        <v>0</v>
      </c>
      <c r="U6666" s="475">
        <v>43772</v>
      </c>
      <c r="X6666" s="339"/>
    </row>
    <row r="6667" s="330" customFormat="1" ht="15" customHeight="1" spans="1:24">
      <c r="A6667" s="550" t="s">
        <v>12921</v>
      </c>
      <c r="B6667" s="334" t="s">
        <v>185</v>
      </c>
      <c r="C6667" s="348" t="s">
        <v>1204</v>
      </c>
      <c r="D6667" s="334" t="s">
        <v>44</v>
      </c>
      <c r="E6667" s="336">
        <v>43763</v>
      </c>
      <c r="F6667" s="336">
        <v>43763</v>
      </c>
      <c r="G6667" s="399">
        <v>43763</v>
      </c>
      <c r="H6667" s="334" t="s">
        <v>14780</v>
      </c>
      <c r="I6667" s="444">
        <v>13816337715</v>
      </c>
      <c r="J6667" s="348" t="s">
        <v>14781</v>
      </c>
      <c r="K6667" s="452">
        <v>5800</v>
      </c>
      <c r="L6667" s="334">
        <v>5800</v>
      </c>
      <c r="M6667" s="338"/>
      <c r="N6667" s="362">
        <f t="shared" si="228"/>
        <v>5800</v>
      </c>
      <c r="X6667" s="339"/>
    </row>
    <row r="6668" s="330" customFormat="1" ht="15" customHeight="1" spans="1:24">
      <c r="A6668" s="334"/>
      <c r="B6668" s="334" t="s">
        <v>236</v>
      </c>
      <c r="C6668" s="334" t="s">
        <v>195</v>
      </c>
      <c r="D6668" s="334" t="s">
        <v>37</v>
      </c>
      <c r="E6668" s="336">
        <v>43763</v>
      </c>
      <c r="F6668" s="336"/>
      <c r="G6668" s="336">
        <v>43762</v>
      </c>
      <c r="H6668" s="334" t="s">
        <v>14782</v>
      </c>
      <c r="I6668" s="334">
        <v>13382778151</v>
      </c>
      <c r="J6668" s="348" t="s">
        <v>14783</v>
      </c>
      <c r="K6668" s="337"/>
      <c r="L6668" s="334">
        <v>4700</v>
      </c>
      <c r="M6668" s="338"/>
      <c r="N6668" s="362">
        <f t="shared" ref="N6668:N6696" si="229">L6668+M6668</f>
        <v>4700</v>
      </c>
      <c r="X6668" s="339"/>
    </row>
    <row r="6669" s="330" customFormat="1" ht="15" customHeight="1" spans="1:24">
      <c r="A6669" s="334"/>
      <c r="B6669" s="334" t="s">
        <v>73</v>
      </c>
      <c r="C6669" s="334" t="s">
        <v>178</v>
      </c>
      <c r="D6669" s="334" t="s">
        <v>44</v>
      </c>
      <c r="E6669" s="336">
        <v>43763</v>
      </c>
      <c r="F6669" s="336"/>
      <c r="G6669" s="336">
        <v>43763</v>
      </c>
      <c r="H6669" s="334" t="s">
        <v>14784</v>
      </c>
      <c r="I6669" s="334">
        <v>13311887075</v>
      </c>
      <c r="J6669" s="348" t="s">
        <v>14785</v>
      </c>
      <c r="K6669" s="337"/>
      <c r="L6669" s="334">
        <v>22992</v>
      </c>
      <c r="M6669" s="338"/>
      <c r="N6669" s="362">
        <f t="shared" si="229"/>
        <v>22992</v>
      </c>
      <c r="X6669" s="339"/>
    </row>
    <row r="6670" s="330" customFormat="1" ht="15" customHeight="1" spans="1:24">
      <c r="A6670" s="334"/>
      <c r="B6670" s="334" t="s">
        <v>315</v>
      </c>
      <c r="C6670" s="334" t="s">
        <v>366</v>
      </c>
      <c r="D6670" s="334" t="s">
        <v>132</v>
      </c>
      <c r="E6670" s="336">
        <v>43763</v>
      </c>
      <c r="F6670" s="336"/>
      <c r="G6670" s="336">
        <v>43758</v>
      </c>
      <c r="H6670" s="334" t="s">
        <v>14786</v>
      </c>
      <c r="I6670" s="334">
        <v>13816111606</v>
      </c>
      <c r="J6670" s="348" t="s">
        <v>14787</v>
      </c>
      <c r="K6670" s="337"/>
      <c r="L6670" s="334">
        <v>28605</v>
      </c>
      <c r="M6670" s="338"/>
      <c r="N6670" s="362">
        <f t="shared" si="229"/>
        <v>28605</v>
      </c>
      <c r="X6670" s="339"/>
    </row>
    <row r="6671" s="330" customFormat="1" ht="15" customHeight="1" spans="1:24">
      <c r="A6671" s="334"/>
      <c r="B6671" s="334" t="s">
        <v>281</v>
      </c>
      <c r="C6671" s="334" t="s">
        <v>517</v>
      </c>
      <c r="D6671" s="334" t="s">
        <v>518</v>
      </c>
      <c r="E6671" s="336">
        <v>43763</v>
      </c>
      <c r="F6671" s="336"/>
      <c r="G6671" s="336">
        <v>43762</v>
      </c>
      <c r="H6671" s="334" t="s">
        <v>9416</v>
      </c>
      <c r="I6671" s="334">
        <v>13816581568</v>
      </c>
      <c r="J6671" s="334" t="s">
        <v>14788</v>
      </c>
      <c r="K6671" s="337"/>
      <c r="L6671" s="338"/>
      <c r="M6671" s="334">
        <v>343</v>
      </c>
      <c r="N6671" s="362">
        <f t="shared" si="229"/>
        <v>343</v>
      </c>
      <c r="X6671" s="339"/>
    </row>
    <row r="6672" s="330" customFormat="1" ht="15" customHeight="1" spans="1:24">
      <c r="A6672" s="334"/>
      <c r="B6672" s="334" t="s">
        <v>169</v>
      </c>
      <c r="C6672" s="334" t="s">
        <v>634</v>
      </c>
      <c r="D6672" s="334" t="s">
        <v>635</v>
      </c>
      <c r="E6672" s="336">
        <v>43763</v>
      </c>
      <c r="F6672" s="336"/>
      <c r="G6672" s="336">
        <v>43760</v>
      </c>
      <c r="H6672" s="334" t="s">
        <v>9077</v>
      </c>
      <c r="I6672" s="334">
        <v>13918337078</v>
      </c>
      <c r="J6672" s="334" t="s">
        <v>14369</v>
      </c>
      <c r="K6672" s="337"/>
      <c r="L6672" s="338"/>
      <c r="M6672" s="334">
        <v>362</v>
      </c>
      <c r="N6672" s="362">
        <f t="shared" si="229"/>
        <v>362</v>
      </c>
      <c r="X6672" s="339"/>
    </row>
    <row r="6673" s="330" customFormat="1" ht="15" customHeight="1" spans="1:24">
      <c r="A6673" s="334"/>
      <c r="B6673" s="334" t="s">
        <v>205</v>
      </c>
      <c r="C6673" s="334" t="s">
        <v>1467</v>
      </c>
      <c r="D6673" s="334" t="s">
        <v>237</v>
      </c>
      <c r="E6673" s="336">
        <v>43763</v>
      </c>
      <c r="F6673" s="336"/>
      <c r="G6673" s="336">
        <v>43762</v>
      </c>
      <c r="H6673" s="334" t="s">
        <v>7948</v>
      </c>
      <c r="I6673" s="334">
        <v>13916739033</v>
      </c>
      <c r="J6673" s="334" t="s">
        <v>7949</v>
      </c>
      <c r="K6673" s="337"/>
      <c r="L6673" s="338"/>
      <c r="M6673" s="334">
        <v>644</v>
      </c>
      <c r="N6673" s="362">
        <f t="shared" si="229"/>
        <v>644</v>
      </c>
      <c r="X6673" s="339"/>
    </row>
    <row r="6674" s="330" customFormat="1" ht="15" customHeight="1" spans="1:24">
      <c r="A6674" s="334"/>
      <c r="B6674" s="334" t="s">
        <v>66</v>
      </c>
      <c r="C6674" s="334" t="s">
        <v>67</v>
      </c>
      <c r="D6674" s="334" t="s">
        <v>2302</v>
      </c>
      <c r="E6674" s="336">
        <v>43763</v>
      </c>
      <c r="F6674" s="336"/>
      <c r="G6674" s="336">
        <v>43762</v>
      </c>
      <c r="H6674" s="334" t="s">
        <v>11782</v>
      </c>
      <c r="I6674" s="334">
        <v>18179421666</v>
      </c>
      <c r="J6674" s="334" t="s">
        <v>11783</v>
      </c>
      <c r="K6674" s="337"/>
      <c r="L6674" s="338"/>
      <c r="M6674" s="334">
        <v>1251</v>
      </c>
      <c r="N6674" s="362">
        <f t="shared" si="229"/>
        <v>1251</v>
      </c>
      <c r="X6674" s="339"/>
    </row>
    <row r="6675" s="330" customFormat="1" ht="15" customHeight="1" spans="1:24">
      <c r="A6675" s="334"/>
      <c r="B6675" s="334" t="s">
        <v>66</v>
      </c>
      <c r="C6675" s="334" t="s">
        <v>67</v>
      </c>
      <c r="D6675" s="334" t="s">
        <v>68</v>
      </c>
      <c r="E6675" s="336">
        <v>43763</v>
      </c>
      <c r="F6675" s="336"/>
      <c r="G6675" s="336">
        <v>43757</v>
      </c>
      <c r="H6675" s="334" t="s">
        <v>13840</v>
      </c>
      <c r="I6675" s="334">
        <v>18621563215</v>
      </c>
      <c r="J6675" s="334" t="s">
        <v>13841</v>
      </c>
      <c r="K6675" s="337"/>
      <c r="L6675" s="338"/>
      <c r="M6675" s="334">
        <v>11172</v>
      </c>
      <c r="N6675" s="362">
        <f t="shared" si="229"/>
        <v>11172</v>
      </c>
      <c r="X6675" s="339"/>
    </row>
    <row r="6676" s="330" customFormat="1" ht="15" customHeight="1" spans="1:24">
      <c r="A6676" s="334"/>
      <c r="B6676" s="334" t="s">
        <v>315</v>
      </c>
      <c r="C6676" s="334" t="s">
        <v>181</v>
      </c>
      <c r="D6676" s="334" t="s">
        <v>132</v>
      </c>
      <c r="E6676" s="336">
        <v>43763</v>
      </c>
      <c r="F6676" s="336"/>
      <c r="G6676" s="336">
        <v>43763</v>
      </c>
      <c r="H6676" s="334" t="s">
        <v>2219</v>
      </c>
      <c r="I6676" s="334">
        <v>13901820879</v>
      </c>
      <c r="J6676" s="348" t="s">
        <v>5641</v>
      </c>
      <c r="K6676" s="337"/>
      <c r="L6676" s="338"/>
      <c r="M6676" s="334">
        <v>2038</v>
      </c>
      <c r="N6676" s="362">
        <f t="shared" si="229"/>
        <v>2038</v>
      </c>
      <c r="X6676" s="339"/>
    </row>
    <row r="6677" s="330" customFormat="1" ht="15" customHeight="1" spans="1:24">
      <c r="A6677" s="334"/>
      <c r="B6677" s="334" t="s">
        <v>405</v>
      </c>
      <c r="C6677" s="334" t="s">
        <v>1234</v>
      </c>
      <c r="D6677" s="334" t="s">
        <v>407</v>
      </c>
      <c r="E6677" s="336">
        <v>43763</v>
      </c>
      <c r="F6677" s="336"/>
      <c r="G6677" s="336">
        <v>43763</v>
      </c>
      <c r="H6677" s="334" t="s">
        <v>3715</v>
      </c>
      <c r="I6677" s="334">
        <v>18321579168</v>
      </c>
      <c r="J6677" s="334" t="s">
        <v>14789</v>
      </c>
      <c r="K6677" s="337"/>
      <c r="L6677" s="338"/>
      <c r="M6677" s="334">
        <v>-11777</v>
      </c>
      <c r="N6677" s="362">
        <f t="shared" si="229"/>
        <v>-11777</v>
      </c>
      <c r="X6677" s="339"/>
    </row>
    <row r="6678" s="330" customFormat="1" ht="15" customHeight="1" spans="1:24">
      <c r="A6678" s="334"/>
      <c r="B6678" s="334" t="s">
        <v>354</v>
      </c>
      <c r="C6678" s="334" t="s">
        <v>355</v>
      </c>
      <c r="D6678" s="334" t="s">
        <v>162</v>
      </c>
      <c r="E6678" s="336">
        <v>43763</v>
      </c>
      <c r="F6678" s="336"/>
      <c r="G6678" s="336">
        <v>43763</v>
      </c>
      <c r="H6678" s="334" t="s">
        <v>9825</v>
      </c>
      <c r="I6678" s="334">
        <v>18168558693</v>
      </c>
      <c r="J6678" s="334" t="s">
        <v>9826</v>
      </c>
      <c r="K6678" s="337"/>
      <c r="L6678" s="338"/>
      <c r="M6678" s="334">
        <v>5900</v>
      </c>
      <c r="N6678" s="362">
        <f t="shared" si="229"/>
        <v>5900</v>
      </c>
      <c r="X6678" s="339"/>
    </row>
    <row r="6679" s="330" customFormat="1" ht="15" customHeight="1" spans="1:24">
      <c r="A6679" s="334"/>
      <c r="B6679" s="334" t="s">
        <v>153</v>
      </c>
      <c r="C6679" s="334" t="s">
        <v>154</v>
      </c>
      <c r="D6679" s="334" t="s">
        <v>155</v>
      </c>
      <c r="E6679" s="336">
        <v>43763</v>
      </c>
      <c r="F6679" s="336"/>
      <c r="G6679" s="336">
        <v>43763</v>
      </c>
      <c r="H6679" s="334" t="s">
        <v>11874</v>
      </c>
      <c r="I6679" s="334">
        <v>13564071268</v>
      </c>
      <c r="J6679" s="334" t="s">
        <v>14790</v>
      </c>
      <c r="K6679" s="337"/>
      <c r="L6679" s="338"/>
      <c r="M6679" s="334">
        <v>1000</v>
      </c>
      <c r="N6679" s="362">
        <f t="shared" si="229"/>
        <v>1000</v>
      </c>
      <c r="X6679" s="339"/>
    </row>
    <row r="6680" s="330" customFormat="1" ht="15" customHeight="1" spans="1:24">
      <c r="A6680" s="334"/>
      <c r="B6680" s="334" t="s">
        <v>153</v>
      </c>
      <c r="C6680" s="334" t="s">
        <v>302</v>
      </c>
      <c r="D6680" s="334" t="s">
        <v>155</v>
      </c>
      <c r="E6680" s="336">
        <v>43763</v>
      </c>
      <c r="F6680" s="336"/>
      <c r="G6680" s="336">
        <v>43763</v>
      </c>
      <c r="H6680" s="334" t="s">
        <v>2899</v>
      </c>
      <c r="I6680" s="334">
        <v>18616954324</v>
      </c>
      <c r="J6680" s="334" t="s">
        <v>10385</v>
      </c>
      <c r="K6680" s="337"/>
      <c r="L6680" s="338"/>
      <c r="M6680" s="334">
        <v>307</v>
      </c>
      <c r="N6680" s="362">
        <f t="shared" si="229"/>
        <v>307</v>
      </c>
      <c r="X6680" s="339"/>
    </row>
    <row r="6681" s="330" customFormat="1" ht="15" customHeight="1" spans="1:24">
      <c r="A6681" s="334"/>
      <c r="B6681" s="334" t="s">
        <v>137</v>
      </c>
      <c r="C6681" s="334" t="s">
        <v>406</v>
      </c>
      <c r="D6681" s="334" t="s">
        <v>427</v>
      </c>
      <c r="E6681" s="336">
        <v>43763</v>
      </c>
      <c r="F6681" s="336"/>
      <c r="G6681" s="336">
        <v>43740</v>
      </c>
      <c r="H6681" s="334" t="s">
        <v>12763</v>
      </c>
      <c r="I6681" s="334">
        <v>13564556926</v>
      </c>
      <c r="J6681" s="334" t="s">
        <v>14791</v>
      </c>
      <c r="K6681" s="337"/>
      <c r="L6681" s="338"/>
      <c r="M6681" s="334">
        <v>5993</v>
      </c>
      <c r="N6681" s="362">
        <f t="shared" si="229"/>
        <v>5993</v>
      </c>
      <c r="X6681" s="339"/>
    </row>
    <row r="6682" s="330" customFormat="1" ht="15" customHeight="1" spans="1:24">
      <c r="A6682" s="334"/>
      <c r="B6682" s="334" t="s">
        <v>315</v>
      </c>
      <c r="C6682" s="334" t="s">
        <v>366</v>
      </c>
      <c r="D6682" s="334" t="s">
        <v>132</v>
      </c>
      <c r="E6682" s="336">
        <v>43763</v>
      </c>
      <c r="F6682" s="336"/>
      <c r="G6682" s="336">
        <v>43751</v>
      </c>
      <c r="H6682" s="334" t="s">
        <v>13006</v>
      </c>
      <c r="I6682" s="334">
        <v>13817895205</v>
      </c>
      <c r="J6682" s="334" t="s">
        <v>13007</v>
      </c>
      <c r="K6682" s="337"/>
      <c r="L6682" s="338"/>
      <c r="M6682" s="334">
        <v>-7066</v>
      </c>
      <c r="N6682" s="362">
        <f t="shared" si="229"/>
        <v>-7066</v>
      </c>
      <c r="X6682" s="339"/>
    </row>
    <row r="6683" s="330" customFormat="1" ht="15" customHeight="1" spans="1:24">
      <c r="A6683" s="334"/>
      <c r="B6683" s="334" t="s">
        <v>185</v>
      </c>
      <c r="C6683" s="334" t="s">
        <v>186</v>
      </c>
      <c r="D6683" s="334" t="s">
        <v>187</v>
      </c>
      <c r="E6683" s="336">
        <v>43763</v>
      </c>
      <c r="F6683" s="336"/>
      <c r="G6683" s="336">
        <v>43763</v>
      </c>
      <c r="H6683" s="334" t="s">
        <v>11967</v>
      </c>
      <c r="I6683" s="334">
        <v>15000863332</v>
      </c>
      <c r="J6683" s="334" t="s">
        <v>14792</v>
      </c>
      <c r="K6683" s="337"/>
      <c r="L6683" s="338"/>
      <c r="M6683" s="334">
        <v>1260</v>
      </c>
      <c r="N6683" s="362">
        <f t="shared" si="229"/>
        <v>1260</v>
      </c>
      <c r="X6683" s="339"/>
    </row>
    <row r="6684" s="330" customFormat="1" ht="15" customHeight="1" spans="1:24">
      <c r="A6684" s="334"/>
      <c r="B6684" s="334" t="s">
        <v>169</v>
      </c>
      <c r="C6684" s="334" t="s">
        <v>542</v>
      </c>
      <c r="D6684" s="334" t="s">
        <v>171</v>
      </c>
      <c r="E6684" s="336">
        <v>43763</v>
      </c>
      <c r="F6684" s="336"/>
      <c r="G6684" s="336">
        <v>43763</v>
      </c>
      <c r="H6684" s="334" t="s">
        <v>13545</v>
      </c>
      <c r="I6684" s="334">
        <v>13564703616</v>
      </c>
      <c r="J6684" s="334" t="s">
        <v>13546</v>
      </c>
      <c r="K6684" s="337"/>
      <c r="L6684" s="338"/>
      <c r="M6684" s="334">
        <v>-3000</v>
      </c>
      <c r="N6684" s="362">
        <f t="shared" si="229"/>
        <v>-3000</v>
      </c>
      <c r="X6684" s="339"/>
    </row>
    <row r="6685" s="330" customFormat="1" ht="15" customHeight="1" spans="1:24">
      <c r="A6685" s="334"/>
      <c r="B6685" s="334" t="s">
        <v>169</v>
      </c>
      <c r="C6685" s="334" t="s">
        <v>542</v>
      </c>
      <c r="D6685" s="334" t="s">
        <v>635</v>
      </c>
      <c r="E6685" s="336">
        <v>43763</v>
      </c>
      <c r="F6685" s="336"/>
      <c r="G6685" s="336">
        <v>43763</v>
      </c>
      <c r="H6685" s="334" t="s">
        <v>10034</v>
      </c>
      <c r="I6685" s="334">
        <v>13701682335</v>
      </c>
      <c r="J6685" s="334" t="s">
        <v>10035</v>
      </c>
      <c r="K6685" s="337"/>
      <c r="L6685" s="338"/>
      <c r="M6685" s="334">
        <v>-9000</v>
      </c>
      <c r="N6685" s="362">
        <f t="shared" si="229"/>
        <v>-9000</v>
      </c>
      <c r="X6685" s="339"/>
    </row>
    <row r="6686" s="330" customFormat="1" ht="15" customHeight="1" spans="1:24">
      <c r="A6686" s="334"/>
      <c r="B6686" s="334" t="s">
        <v>169</v>
      </c>
      <c r="C6686" s="334" t="s">
        <v>542</v>
      </c>
      <c r="D6686" s="334" t="s">
        <v>171</v>
      </c>
      <c r="E6686" s="336">
        <v>43763</v>
      </c>
      <c r="F6686" s="336"/>
      <c r="G6686" s="336">
        <v>43745</v>
      </c>
      <c r="H6686" s="334" t="s">
        <v>2219</v>
      </c>
      <c r="I6686" s="334">
        <v>13917226592</v>
      </c>
      <c r="J6686" s="348" t="s">
        <v>14793</v>
      </c>
      <c r="K6686" s="337"/>
      <c r="L6686" s="338"/>
      <c r="M6686" s="334">
        <v>23000</v>
      </c>
      <c r="N6686" s="362">
        <f t="shared" si="229"/>
        <v>23000</v>
      </c>
      <c r="X6686" s="339"/>
    </row>
    <row r="6687" s="330" customFormat="1" ht="15" customHeight="1" spans="1:24">
      <c r="A6687" s="334"/>
      <c r="B6687" s="334" t="s">
        <v>169</v>
      </c>
      <c r="C6687" s="334" t="s">
        <v>542</v>
      </c>
      <c r="D6687" s="334" t="s">
        <v>171</v>
      </c>
      <c r="E6687" s="336">
        <v>43763</v>
      </c>
      <c r="F6687" s="336"/>
      <c r="G6687" s="336">
        <v>43745</v>
      </c>
      <c r="H6687" s="334" t="s">
        <v>11174</v>
      </c>
      <c r="I6687" s="334">
        <v>18901903030</v>
      </c>
      <c r="J6687" s="334" t="s">
        <v>11175</v>
      </c>
      <c r="K6687" s="337"/>
      <c r="L6687" s="338"/>
      <c r="M6687" s="334">
        <v>684</v>
      </c>
      <c r="N6687" s="362">
        <f t="shared" si="229"/>
        <v>684</v>
      </c>
      <c r="X6687" s="339"/>
    </row>
    <row r="6688" s="330" customFormat="1" ht="15" customHeight="1" spans="1:24">
      <c r="A6688" s="334"/>
      <c r="B6688" s="334" t="s">
        <v>87</v>
      </c>
      <c r="C6688" s="334" t="s">
        <v>466</v>
      </c>
      <c r="D6688" s="334" t="s">
        <v>8334</v>
      </c>
      <c r="E6688" s="336">
        <v>43763</v>
      </c>
      <c r="F6688" s="336"/>
      <c r="G6688" s="336">
        <v>43763</v>
      </c>
      <c r="H6688" s="334" t="s">
        <v>7655</v>
      </c>
      <c r="I6688" s="356">
        <v>19946099086</v>
      </c>
      <c r="J6688" s="348" t="s">
        <v>14794</v>
      </c>
      <c r="K6688" s="337"/>
      <c r="L6688" s="338"/>
      <c r="M6688" s="334">
        <v>5035</v>
      </c>
      <c r="N6688" s="362">
        <f t="shared" si="229"/>
        <v>5035</v>
      </c>
      <c r="X6688" s="339"/>
    </row>
    <row r="6689" s="330" customFormat="1" ht="15" customHeight="1" spans="1:24">
      <c r="A6689" s="348"/>
      <c r="B6689" s="334" t="s">
        <v>315</v>
      </c>
      <c r="C6689" s="334" t="s">
        <v>161</v>
      </c>
      <c r="D6689" s="334" t="s">
        <v>162</v>
      </c>
      <c r="E6689" s="336">
        <v>43764</v>
      </c>
      <c r="F6689" s="336">
        <v>43763</v>
      </c>
      <c r="G6689" s="399">
        <v>43763</v>
      </c>
      <c r="H6689" s="334" t="s">
        <v>14795</v>
      </c>
      <c r="I6689" s="334">
        <v>13701949759</v>
      </c>
      <c r="J6689" s="348" t="s">
        <v>14796</v>
      </c>
      <c r="K6689" s="452">
        <v>1000</v>
      </c>
      <c r="L6689" s="334">
        <v>10279</v>
      </c>
      <c r="M6689" s="338"/>
      <c r="N6689" s="362">
        <f t="shared" si="229"/>
        <v>10279</v>
      </c>
      <c r="X6689" s="339"/>
    </row>
    <row r="6690" s="330" customFormat="1" ht="15" customHeight="1" spans="1:24">
      <c r="A6690" s="550" t="s">
        <v>14797</v>
      </c>
      <c r="B6690" s="334" t="s">
        <v>58</v>
      </c>
      <c r="C6690" s="348" t="s">
        <v>342</v>
      </c>
      <c r="D6690" s="335" t="s">
        <v>343</v>
      </c>
      <c r="E6690" s="336">
        <v>43774</v>
      </c>
      <c r="F6690" s="336">
        <v>43763</v>
      </c>
      <c r="G6690" s="336">
        <v>43771</v>
      </c>
      <c r="H6690" s="334" t="s">
        <v>14798</v>
      </c>
      <c r="I6690" s="444">
        <v>17717898912</v>
      </c>
      <c r="J6690" s="348" t="s">
        <v>14799</v>
      </c>
      <c r="K6690" s="452">
        <v>1000</v>
      </c>
      <c r="L6690" s="334">
        <v>15733</v>
      </c>
      <c r="M6690" s="338"/>
      <c r="N6690" s="362">
        <f t="shared" si="229"/>
        <v>15733</v>
      </c>
      <c r="X6690" s="339"/>
    </row>
    <row r="6691" s="330" customFormat="1" ht="15" customHeight="1" spans="1:24">
      <c r="A6691" s="550" t="s">
        <v>7979</v>
      </c>
      <c r="B6691" s="334" t="s">
        <v>169</v>
      </c>
      <c r="C6691" s="348" t="s">
        <v>12053</v>
      </c>
      <c r="D6691" s="335" t="s">
        <v>171</v>
      </c>
      <c r="E6691" s="336">
        <v>43772</v>
      </c>
      <c r="F6691" s="336">
        <v>43764</v>
      </c>
      <c r="G6691" s="336">
        <v>43771</v>
      </c>
      <c r="H6691" s="334" t="s">
        <v>5776</v>
      </c>
      <c r="I6691" s="444">
        <v>13601884098</v>
      </c>
      <c r="J6691" s="348" t="s">
        <v>14800</v>
      </c>
      <c r="K6691" s="452">
        <v>1000</v>
      </c>
      <c r="L6691" s="334">
        <v>17129</v>
      </c>
      <c r="M6691" s="338"/>
      <c r="N6691" s="362">
        <f t="shared" si="229"/>
        <v>17129</v>
      </c>
      <c r="X6691" s="339"/>
    </row>
    <row r="6692" s="330" customFormat="1" ht="15" customHeight="1" spans="1:24">
      <c r="A6692" s="550" t="s">
        <v>4999</v>
      </c>
      <c r="B6692" s="334" t="s">
        <v>137</v>
      </c>
      <c r="C6692" s="348" t="s">
        <v>480</v>
      </c>
      <c r="D6692" s="335" t="s">
        <v>139</v>
      </c>
      <c r="E6692" s="336">
        <v>43769</v>
      </c>
      <c r="F6692" s="336">
        <v>43763</v>
      </c>
      <c r="G6692" s="336">
        <v>43767</v>
      </c>
      <c r="H6692" s="334" t="s">
        <v>14801</v>
      </c>
      <c r="I6692" s="444">
        <v>18616579081</v>
      </c>
      <c r="J6692" s="348" t="s">
        <v>14802</v>
      </c>
      <c r="K6692" s="452">
        <v>1000</v>
      </c>
      <c r="L6692" s="334">
        <v>54612</v>
      </c>
      <c r="M6692" s="338"/>
      <c r="N6692" s="362">
        <f t="shared" si="229"/>
        <v>54612</v>
      </c>
      <c r="X6692" s="339"/>
    </row>
    <row r="6693" s="330" customFormat="1" ht="15" customHeight="1" spans="1:24">
      <c r="A6693" s="550" t="s">
        <v>14803</v>
      </c>
      <c r="B6693" s="334" t="s">
        <v>35</v>
      </c>
      <c r="C6693" s="348" t="s">
        <v>328</v>
      </c>
      <c r="D6693" s="335" t="s">
        <v>37</v>
      </c>
      <c r="E6693" s="336">
        <v>43799</v>
      </c>
      <c r="F6693" s="336">
        <v>43764</v>
      </c>
      <c r="G6693" s="336">
        <v>43798</v>
      </c>
      <c r="H6693" s="334" t="s">
        <v>14804</v>
      </c>
      <c r="I6693" s="444">
        <v>13918872809</v>
      </c>
      <c r="J6693" s="348" t="s">
        <v>14805</v>
      </c>
      <c r="K6693" s="452">
        <v>2534</v>
      </c>
      <c r="L6693" s="334">
        <v>5068</v>
      </c>
      <c r="M6693" s="338"/>
      <c r="N6693" s="362">
        <f t="shared" si="229"/>
        <v>5068</v>
      </c>
      <c r="O6693" s="356" t="s">
        <v>52</v>
      </c>
      <c r="X6693" s="339"/>
    </row>
    <row r="6694" s="330" customFormat="1" ht="15" customHeight="1" spans="1:24">
      <c r="A6694" s="550" t="s">
        <v>4652</v>
      </c>
      <c r="B6694" s="334" t="s">
        <v>169</v>
      </c>
      <c r="C6694" s="348" t="s">
        <v>542</v>
      </c>
      <c r="D6694" s="335" t="s">
        <v>171</v>
      </c>
      <c r="E6694" s="336">
        <v>43793</v>
      </c>
      <c r="F6694" s="336">
        <v>43764</v>
      </c>
      <c r="G6694" s="336">
        <v>43793</v>
      </c>
      <c r="H6694" s="334" t="s">
        <v>14806</v>
      </c>
      <c r="I6694" s="444">
        <v>13817318533</v>
      </c>
      <c r="J6694" s="348" t="s">
        <v>14807</v>
      </c>
      <c r="K6694" s="452">
        <v>1000</v>
      </c>
      <c r="L6694" s="334">
        <v>14916</v>
      </c>
      <c r="M6694" s="338"/>
      <c r="N6694" s="362">
        <f t="shared" si="229"/>
        <v>14916</v>
      </c>
      <c r="V6694" s="372" t="s">
        <v>765</v>
      </c>
      <c r="X6694" s="339"/>
    </row>
    <row r="6695" s="330" customFormat="1" ht="15" customHeight="1" spans="1:24">
      <c r="A6695" s="550" t="s">
        <v>14808</v>
      </c>
      <c r="B6695" s="334" t="s">
        <v>35</v>
      </c>
      <c r="C6695" s="348" t="s">
        <v>328</v>
      </c>
      <c r="D6695" s="335" t="s">
        <v>37</v>
      </c>
      <c r="E6695" s="336">
        <v>43769</v>
      </c>
      <c r="F6695" s="336">
        <v>43764</v>
      </c>
      <c r="G6695" s="336">
        <v>43766</v>
      </c>
      <c r="H6695" s="334" t="s">
        <v>14809</v>
      </c>
      <c r="I6695" s="444">
        <v>18964827390</v>
      </c>
      <c r="J6695" s="348" t="s">
        <v>14810</v>
      </c>
      <c r="K6695" s="452">
        <v>1000</v>
      </c>
      <c r="L6695" s="334">
        <f>18538-1104</f>
        <v>17434</v>
      </c>
      <c r="M6695" s="334">
        <v>1104</v>
      </c>
      <c r="N6695" s="362">
        <f t="shared" si="229"/>
        <v>18538</v>
      </c>
      <c r="X6695" s="339"/>
    </row>
    <row r="6696" s="330" customFormat="1" ht="15" customHeight="1" spans="1:24">
      <c r="A6696" s="550" t="s">
        <v>1632</v>
      </c>
      <c r="B6696" s="334" t="s">
        <v>31</v>
      </c>
      <c r="C6696" s="348" t="s">
        <v>220</v>
      </c>
      <c r="D6696" s="335" t="s">
        <v>33</v>
      </c>
      <c r="E6696" s="336">
        <v>43765</v>
      </c>
      <c r="F6696" s="336">
        <v>43764</v>
      </c>
      <c r="G6696" s="336">
        <v>43764</v>
      </c>
      <c r="H6696" s="334" t="s">
        <v>3640</v>
      </c>
      <c r="I6696" s="444">
        <v>13916315191</v>
      </c>
      <c r="J6696" s="348" t="s">
        <v>14811</v>
      </c>
      <c r="K6696" s="452">
        <v>1000</v>
      </c>
      <c r="L6696" s="334">
        <v>3350</v>
      </c>
      <c r="M6696" s="338"/>
      <c r="N6696" s="362">
        <f t="shared" si="229"/>
        <v>3350</v>
      </c>
      <c r="X6696" s="339"/>
    </row>
    <row r="6697" s="330" customFormat="1" ht="15" customHeight="1" spans="1:24">
      <c r="A6697" s="348"/>
      <c r="B6697" s="334" t="s">
        <v>66</v>
      </c>
      <c r="C6697" s="334" t="s">
        <v>505</v>
      </c>
      <c r="D6697" s="334" t="s">
        <v>2302</v>
      </c>
      <c r="E6697" s="336">
        <v>43764</v>
      </c>
      <c r="F6697" s="336">
        <v>43764</v>
      </c>
      <c r="G6697" s="336">
        <v>43764</v>
      </c>
      <c r="H6697" s="334" t="s">
        <v>14812</v>
      </c>
      <c r="I6697" s="334">
        <v>18639913966</v>
      </c>
      <c r="J6697" s="348" t="s">
        <v>14813</v>
      </c>
      <c r="K6697" s="334">
        <v>1700</v>
      </c>
      <c r="L6697" s="334">
        <v>1700</v>
      </c>
      <c r="M6697" s="334"/>
      <c r="N6697" s="362">
        <f t="shared" ref="N6697:N6711" si="230">L6697+M6697</f>
        <v>1700</v>
      </c>
      <c r="X6697" s="339"/>
    </row>
    <row r="6698" s="330" customFormat="1" ht="15" customHeight="1" spans="1:24">
      <c r="A6698" s="550" t="s">
        <v>14814</v>
      </c>
      <c r="B6698" s="334" t="s">
        <v>205</v>
      </c>
      <c r="C6698" s="348" t="s">
        <v>1467</v>
      </c>
      <c r="D6698" s="334" t="s">
        <v>8334</v>
      </c>
      <c r="E6698" s="336">
        <v>43796</v>
      </c>
      <c r="F6698" s="336">
        <v>43764</v>
      </c>
      <c r="G6698" s="336">
        <v>43796</v>
      </c>
      <c r="H6698" s="334" t="s">
        <v>14815</v>
      </c>
      <c r="I6698" s="444">
        <v>18964838817</v>
      </c>
      <c r="J6698" s="348" t="s">
        <v>14816</v>
      </c>
      <c r="K6698" s="452">
        <v>2000</v>
      </c>
      <c r="L6698" s="334">
        <v>9935</v>
      </c>
      <c r="M6698" s="338"/>
      <c r="N6698" s="362">
        <f t="shared" si="230"/>
        <v>9935</v>
      </c>
      <c r="X6698" s="339"/>
    </row>
    <row r="6699" s="330" customFormat="1" ht="15" customHeight="1" spans="1:24">
      <c r="A6699" s="550" t="s">
        <v>9152</v>
      </c>
      <c r="B6699" s="334" t="s">
        <v>153</v>
      </c>
      <c r="C6699" s="348" t="s">
        <v>154</v>
      </c>
      <c r="D6699" s="335" t="s">
        <v>155</v>
      </c>
      <c r="E6699" s="336">
        <v>43796</v>
      </c>
      <c r="F6699" s="336">
        <v>43764</v>
      </c>
      <c r="G6699" s="336">
        <v>43796</v>
      </c>
      <c r="H6699" s="334" t="s">
        <v>14817</v>
      </c>
      <c r="I6699" s="444">
        <v>18217682303</v>
      </c>
      <c r="J6699" s="348" t="s">
        <v>14818</v>
      </c>
      <c r="K6699" s="452">
        <v>1000</v>
      </c>
      <c r="L6699" s="334">
        <v>36743</v>
      </c>
      <c r="M6699" s="338"/>
      <c r="N6699" s="362">
        <f t="shared" si="230"/>
        <v>36743</v>
      </c>
      <c r="R6699" s="330" t="s">
        <v>52</v>
      </c>
      <c r="X6699" s="339"/>
    </row>
    <row r="6700" s="330" customFormat="1" ht="15" customHeight="1" spans="1:24">
      <c r="A6700" s="348"/>
      <c r="B6700" s="334" t="s">
        <v>153</v>
      </c>
      <c r="C6700" s="348" t="s">
        <v>154</v>
      </c>
      <c r="D6700" s="335" t="s">
        <v>155</v>
      </c>
      <c r="E6700" s="336">
        <v>43767</v>
      </c>
      <c r="F6700" s="336">
        <v>43764</v>
      </c>
      <c r="G6700" s="336">
        <v>43766</v>
      </c>
      <c r="H6700" s="334" t="s">
        <v>14819</v>
      </c>
      <c r="I6700" s="444">
        <v>13761837670</v>
      </c>
      <c r="J6700" s="348" t="s">
        <v>14820</v>
      </c>
      <c r="K6700" s="452">
        <v>1399</v>
      </c>
      <c r="L6700" s="334">
        <v>10271</v>
      </c>
      <c r="M6700" s="338"/>
      <c r="N6700" s="362">
        <f t="shared" si="230"/>
        <v>10271</v>
      </c>
      <c r="X6700" s="339"/>
    </row>
    <row r="6701" s="330" customFormat="1" ht="15" customHeight="1" spans="1:24">
      <c r="A6701" s="550" t="s">
        <v>12306</v>
      </c>
      <c r="B6701" s="334" t="s">
        <v>66</v>
      </c>
      <c r="C6701" s="348" t="s">
        <v>505</v>
      </c>
      <c r="D6701" s="335" t="s">
        <v>1436</v>
      </c>
      <c r="E6701" s="336">
        <v>43764</v>
      </c>
      <c r="F6701" s="336">
        <v>43764</v>
      </c>
      <c r="G6701" s="399"/>
      <c r="H6701" s="334" t="s">
        <v>14821</v>
      </c>
      <c r="I6701" s="444">
        <v>13162876697</v>
      </c>
      <c r="J6701" s="348" t="s">
        <v>14822</v>
      </c>
      <c r="K6701" s="452">
        <v>1998</v>
      </c>
      <c r="L6701" s="338"/>
      <c r="M6701" s="338"/>
      <c r="N6701" s="362">
        <f t="shared" si="230"/>
        <v>0</v>
      </c>
      <c r="P6701" s="330" t="s">
        <v>52</v>
      </c>
      <c r="X6701" s="339"/>
    </row>
    <row r="6702" s="330" customFormat="1" ht="15" customHeight="1" spans="1:24">
      <c r="A6702" s="550" t="s">
        <v>14823</v>
      </c>
      <c r="B6702" s="334" t="s">
        <v>123</v>
      </c>
      <c r="C6702" s="348" t="s">
        <v>32</v>
      </c>
      <c r="D6702" s="335" t="s">
        <v>125</v>
      </c>
      <c r="E6702" s="336">
        <v>43801</v>
      </c>
      <c r="F6702" s="336">
        <v>43763</v>
      </c>
      <c r="G6702" s="336">
        <v>43801</v>
      </c>
      <c r="H6702" s="334" t="s">
        <v>14824</v>
      </c>
      <c r="I6702" s="444">
        <v>13564388698</v>
      </c>
      <c r="J6702" s="348" t="s">
        <v>14825</v>
      </c>
      <c r="K6702" s="452">
        <v>1000</v>
      </c>
      <c r="L6702" s="334">
        <v>25835</v>
      </c>
      <c r="M6702" s="338"/>
      <c r="N6702" s="362">
        <f t="shared" si="230"/>
        <v>25835</v>
      </c>
      <c r="S6702" s="486" t="s">
        <v>52</v>
      </c>
      <c r="X6702" s="339"/>
    </row>
    <row r="6703" s="330" customFormat="1" ht="15" customHeight="1" spans="1:24">
      <c r="A6703" s="550" t="s">
        <v>14826</v>
      </c>
      <c r="B6703" s="334" t="s">
        <v>123</v>
      </c>
      <c r="C6703" s="348" t="s">
        <v>32</v>
      </c>
      <c r="D6703" s="335" t="s">
        <v>125</v>
      </c>
      <c r="E6703" s="336">
        <v>43768</v>
      </c>
      <c r="F6703" s="336">
        <v>43764</v>
      </c>
      <c r="G6703" s="336">
        <v>43768</v>
      </c>
      <c r="H6703" s="334" t="s">
        <v>14827</v>
      </c>
      <c r="I6703" s="444">
        <v>13234335577</v>
      </c>
      <c r="J6703" s="348" t="s">
        <v>14828</v>
      </c>
      <c r="K6703" s="452">
        <v>1000</v>
      </c>
      <c r="L6703" s="334">
        <v>9900</v>
      </c>
      <c r="M6703" s="338"/>
      <c r="N6703" s="362">
        <f t="shared" si="230"/>
        <v>9900</v>
      </c>
      <c r="X6703" s="339"/>
    </row>
    <row r="6704" s="330" customFormat="1" ht="15" customHeight="1" spans="1:24">
      <c r="A6704" s="550" t="s">
        <v>10914</v>
      </c>
      <c r="B6704" s="334" t="s">
        <v>5435</v>
      </c>
      <c r="C6704" s="348" t="s">
        <v>1728</v>
      </c>
      <c r="D6704" s="334" t="s">
        <v>237</v>
      </c>
      <c r="E6704" s="336">
        <v>43769</v>
      </c>
      <c r="F6704" s="336">
        <v>43764</v>
      </c>
      <c r="G6704" s="336">
        <v>43764</v>
      </c>
      <c r="H6704" s="334" t="s">
        <v>14829</v>
      </c>
      <c r="I6704" s="444">
        <v>13761794707</v>
      </c>
      <c r="J6704" s="348" t="s">
        <v>14830</v>
      </c>
      <c r="K6704" s="452">
        <v>15403</v>
      </c>
      <c r="L6704" s="334">
        <v>15403</v>
      </c>
      <c r="M6704" s="338"/>
      <c r="N6704" s="362">
        <f t="shared" si="230"/>
        <v>15403</v>
      </c>
      <c r="X6704" s="339"/>
    </row>
    <row r="6705" s="330" customFormat="1" ht="15" customHeight="1" spans="1:24">
      <c r="A6705" s="348"/>
      <c r="B6705" s="334" t="s">
        <v>281</v>
      </c>
      <c r="C6705" s="348" t="s">
        <v>13525</v>
      </c>
      <c r="D6705" s="334" t="s">
        <v>518</v>
      </c>
      <c r="E6705" s="336">
        <v>43765</v>
      </c>
      <c r="F6705" s="336">
        <v>43764</v>
      </c>
      <c r="G6705" s="336">
        <v>43765</v>
      </c>
      <c r="H6705" s="334" t="s">
        <v>14831</v>
      </c>
      <c r="I6705" s="444">
        <v>13362379222</v>
      </c>
      <c r="J6705" s="348" t="s">
        <v>14832</v>
      </c>
      <c r="K6705" s="452">
        <v>15800</v>
      </c>
      <c r="L6705" s="334">
        <v>16697</v>
      </c>
      <c r="M6705" s="338"/>
      <c r="N6705" s="362">
        <f t="shared" si="230"/>
        <v>16697</v>
      </c>
      <c r="X6705" s="339"/>
    </row>
    <row r="6706" s="330" customFormat="1" ht="15" customHeight="1" spans="1:24">
      <c r="A6706" s="550" t="s">
        <v>1095</v>
      </c>
      <c r="B6706" s="334" t="s">
        <v>31</v>
      </c>
      <c r="C6706" s="348" t="s">
        <v>251</v>
      </c>
      <c r="D6706" s="334" t="s">
        <v>954</v>
      </c>
      <c r="E6706" s="336">
        <v>43799</v>
      </c>
      <c r="F6706" s="336">
        <v>43764</v>
      </c>
      <c r="G6706" s="336">
        <v>43799</v>
      </c>
      <c r="H6706" s="334" t="s">
        <v>14833</v>
      </c>
      <c r="I6706" s="444">
        <v>18017286650</v>
      </c>
      <c r="J6706" s="348" t="s">
        <v>14834</v>
      </c>
      <c r="K6706" s="452">
        <v>2000</v>
      </c>
      <c r="L6706" s="334">
        <v>5696</v>
      </c>
      <c r="M6706" s="338"/>
      <c r="N6706" s="362">
        <f t="shared" si="230"/>
        <v>5696</v>
      </c>
      <c r="X6706" s="339"/>
    </row>
    <row r="6707" s="330" customFormat="1" ht="15" customHeight="1" spans="1:24">
      <c r="A6707" s="550" t="s">
        <v>524</v>
      </c>
      <c r="B6707" s="334" t="s">
        <v>58</v>
      </c>
      <c r="C6707" s="348" t="s">
        <v>347</v>
      </c>
      <c r="D6707" s="335" t="s">
        <v>343</v>
      </c>
      <c r="E6707" s="336">
        <v>43764</v>
      </c>
      <c r="F6707" s="336">
        <v>43764</v>
      </c>
      <c r="G6707" s="399"/>
      <c r="H6707" s="334" t="s">
        <v>14835</v>
      </c>
      <c r="I6707" s="444">
        <v>18516092190</v>
      </c>
      <c r="J6707" s="348" t="s">
        <v>14836</v>
      </c>
      <c r="K6707" s="452">
        <v>1000</v>
      </c>
      <c r="L6707" s="338"/>
      <c r="M6707" s="338"/>
      <c r="N6707" s="362">
        <f t="shared" si="230"/>
        <v>0</v>
      </c>
      <c r="O6707" s="365" t="s">
        <v>52</v>
      </c>
      <c r="X6707" s="339"/>
    </row>
    <row r="6708" s="330" customFormat="1" ht="15" customHeight="1" spans="1:24">
      <c r="A6708" s="550" t="s">
        <v>10138</v>
      </c>
      <c r="B6708" s="334" t="s">
        <v>73</v>
      </c>
      <c r="C6708" s="348" t="s">
        <v>178</v>
      </c>
      <c r="D6708" s="334" t="s">
        <v>139</v>
      </c>
      <c r="E6708" s="336">
        <v>43818</v>
      </c>
      <c r="F6708" s="336">
        <v>43764</v>
      </c>
      <c r="G6708" s="336">
        <v>43817</v>
      </c>
      <c r="H6708" s="334" t="s">
        <v>14837</v>
      </c>
      <c r="I6708" s="444">
        <v>13701906131</v>
      </c>
      <c r="J6708" s="348" t="s">
        <v>14838</v>
      </c>
      <c r="K6708" s="452">
        <v>1000</v>
      </c>
      <c r="L6708" s="334">
        <v>9919</v>
      </c>
      <c r="M6708" s="338"/>
      <c r="N6708" s="362">
        <f t="shared" si="230"/>
        <v>9919</v>
      </c>
      <c r="Q6708" s="366" t="s">
        <v>52</v>
      </c>
      <c r="X6708" s="339"/>
    </row>
    <row r="6709" s="330" customFormat="1" ht="15" customHeight="1" spans="1:24">
      <c r="A6709" s="550" t="s">
        <v>14839</v>
      </c>
      <c r="B6709" s="334" t="s">
        <v>281</v>
      </c>
      <c r="C6709" s="348" t="s">
        <v>491</v>
      </c>
      <c r="D6709" s="334" t="s">
        <v>518</v>
      </c>
      <c r="E6709" s="336">
        <v>43767</v>
      </c>
      <c r="F6709" s="336">
        <v>43764</v>
      </c>
      <c r="G6709" s="336">
        <v>43765</v>
      </c>
      <c r="H6709" s="334" t="s">
        <v>14840</v>
      </c>
      <c r="I6709" s="444">
        <v>13661555180</v>
      </c>
      <c r="J6709" s="348" t="s">
        <v>14841</v>
      </c>
      <c r="K6709" s="452">
        <v>43500</v>
      </c>
      <c r="L6709" s="334">
        <v>38688</v>
      </c>
      <c r="M6709" s="338"/>
      <c r="N6709" s="362">
        <f t="shared" si="230"/>
        <v>38688</v>
      </c>
      <c r="X6709" s="339"/>
    </row>
    <row r="6710" s="330" customFormat="1" ht="15" customHeight="1" spans="1:24">
      <c r="A6710" s="550" t="s">
        <v>14842</v>
      </c>
      <c r="B6710" s="334" t="s">
        <v>153</v>
      </c>
      <c r="C6710" s="348" t="s">
        <v>302</v>
      </c>
      <c r="D6710" s="335" t="s">
        <v>155</v>
      </c>
      <c r="E6710" s="336">
        <v>43799</v>
      </c>
      <c r="F6710" s="336">
        <v>43764</v>
      </c>
      <c r="G6710" s="336">
        <v>43799</v>
      </c>
      <c r="H6710" s="334" t="s">
        <v>2202</v>
      </c>
      <c r="I6710" s="444">
        <v>13764428851</v>
      </c>
      <c r="J6710" s="348" t="s">
        <v>14843</v>
      </c>
      <c r="K6710" s="452">
        <v>5000</v>
      </c>
      <c r="L6710" s="334">
        <v>4780</v>
      </c>
      <c r="M6710" s="338"/>
      <c r="N6710" s="362">
        <f t="shared" si="230"/>
        <v>4780</v>
      </c>
      <c r="P6710" s="330" t="s">
        <v>1526</v>
      </c>
      <c r="X6710" s="339"/>
    </row>
    <row r="6711" s="330" customFormat="1" ht="15" customHeight="1" spans="1:24">
      <c r="A6711" s="334"/>
      <c r="B6711" s="334" t="s">
        <v>405</v>
      </c>
      <c r="C6711" s="334" t="s">
        <v>823</v>
      </c>
      <c r="D6711" s="334" t="s">
        <v>407</v>
      </c>
      <c r="E6711" s="336">
        <v>43764</v>
      </c>
      <c r="F6711" s="336"/>
      <c r="G6711" s="336">
        <v>43760</v>
      </c>
      <c r="H6711" s="334" t="s">
        <v>12131</v>
      </c>
      <c r="I6711" s="334">
        <v>13817190858</v>
      </c>
      <c r="J6711" s="348" t="s">
        <v>14844</v>
      </c>
      <c r="K6711" s="337"/>
      <c r="L6711" s="334">
        <v>4000</v>
      </c>
      <c r="M6711" s="338"/>
      <c r="N6711" s="362">
        <f t="shared" ref="N6711:N6721" si="231">L6711+M6711</f>
        <v>4000</v>
      </c>
      <c r="X6711" s="339"/>
    </row>
    <row r="6712" s="330" customFormat="1" ht="15" customHeight="1" spans="1:24">
      <c r="A6712" s="334"/>
      <c r="B6712" s="334" t="s">
        <v>315</v>
      </c>
      <c r="C6712" s="334" t="s">
        <v>161</v>
      </c>
      <c r="D6712" s="334" t="s">
        <v>162</v>
      </c>
      <c r="E6712" s="336">
        <v>43764</v>
      </c>
      <c r="F6712" s="336"/>
      <c r="G6712" s="336">
        <v>43762</v>
      </c>
      <c r="H6712" s="334" t="s">
        <v>14845</v>
      </c>
      <c r="I6712" s="334">
        <v>13817006198</v>
      </c>
      <c r="J6712" s="348" t="s">
        <v>14846</v>
      </c>
      <c r="K6712" s="337"/>
      <c r="L6712" s="334">
        <v>3955</v>
      </c>
      <c r="M6712" s="338"/>
      <c r="N6712" s="362">
        <f t="shared" si="231"/>
        <v>3955</v>
      </c>
      <c r="X6712" s="339"/>
    </row>
    <row r="6713" s="330" customFormat="1" ht="15" customHeight="1" spans="1:24">
      <c r="A6713" s="334"/>
      <c r="B6713" s="334" t="s">
        <v>153</v>
      </c>
      <c r="C6713" s="334" t="s">
        <v>154</v>
      </c>
      <c r="D6713" s="334" t="s">
        <v>155</v>
      </c>
      <c r="E6713" s="336">
        <v>43764</v>
      </c>
      <c r="F6713" s="336"/>
      <c r="G6713" s="336">
        <v>43763</v>
      </c>
      <c r="H6713" s="334" t="s">
        <v>14847</v>
      </c>
      <c r="I6713" s="334">
        <v>13386277866</v>
      </c>
      <c r="J6713" s="348" t="s">
        <v>14848</v>
      </c>
      <c r="K6713" s="337"/>
      <c r="L6713" s="334">
        <v>1300</v>
      </c>
      <c r="M6713" s="334"/>
      <c r="N6713" s="362">
        <f t="shared" si="231"/>
        <v>1300</v>
      </c>
      <c r="X6713" s="339"/>
    </row>
    <row r="6714" s="330" customFormat="1" ht="15" customHeight="1" spans="1:24">
      <c r="A6714" s="334"/>
      <c r="B6714" s="334" t="s">
        <v>405</v>
      </c>
      <c r="C6714" s="334" t="s">
        <v>823</v>
      </c>
      <c r="D6714" s="334" t="s">
        <v>407</v>
      </c>
      <c r="E6714" s="336">
        <v>43764</v>
      </c>
      <c r="F6714" s="336"/>
      <c r="G6714" s="336">
        <v>43762</v>
      </c>
      <c r="H6714" s="334" t="s">
        <v>14849</v>
      </c>
      <c r="I6714" s="334">
        <v>18701824874</v>
      </c>
      <c r="J6714" s="334" t="s">
        <v>11844</v>
      </c>
      <c r="K6714" s="337"/>
      <c r="L6714" s="338"/>
      <c r="M6714" s="334">
        <v>-400</v>
      </c>
      <c r="N6714" s="362">
        <f t="shared" si="231"/>
        <v>-400</v>
      </c>
      <c r="X6714" s="339"/>
    </row>
    <row r="6715" s="330" customFormat="1" ht="15" customHeight="1" spans="1:24">
      <c r="A6715" s="334"/>
      <c r="B6715" s="334" t="s">
        <v>185</v>
      </c>
      <c r="C6715" s="334" t="s">
        <v>886</v>
      </c>
      <c r="D6715" s="334" t="s">
        <v>44</v>
      </c>
      <c r="E6715" s="336">
        <v>43764</v>
      </c>
      <c r="F6715" s="336"/>
      <c r="G6715" s="336">
        <v>43762</v>
      </c>
      <c r="H6715" s="334" t="s">
        <v>12208</v>
      </c>
      <c r="I6715" s="334">
        <v>15900629849</v>
      </c>
      <c r="J6715" s="348" t="s">
        <v>14850</v>
      </c>
      <c r="K6715" s="337"/>
      <c r="L6715" s="338"/>
      <c r="M6715" s="334">
        <v>-3111</v>
      </c>
      <c r="N6715" s="362">
        <f t="shared" si="231"/>
        <v>-3111</v>
      </c>
      <c r="X6715" s="339"/>
    </row>
    <row r="6716" s="330" customFormat="1" ht="15" customHeight="1" spans="1:24">
      <c r="A6716" s="334"/>
      <c r="B6716" s="334" t="s">
        <v>335</v>
      </c>
      <c r="C6716" s="334" t="s">
        <v>399</v>
      </c>
      <c r="D6716" s="334" t="s">
        <v>337</v>
      </c>
      <c r="E6716" s="336">
        <v>43764</v>
      </c>
      <c r="F6716" s="336"/>
      <c r="G6716" s="336">
        <v>43763</v>
      </c>
      <c r="H6716" s="334" t="s">
        <v>9612</v>
      </c>
      <c r="I6716" s="334">
        <v>13311832297</v>
      </c>
      <c r="J6716" s="348" t="s">
        <v>14851</v>
      </c>
      <c r="K6716" s="337"/>
      <c r="L6716" s="338"/>
      <c r="M6716" s="334">
        <v>1659</v>
      </c>
      <c r="N6716" s="362">
        <f t="shared" si="231"/>
        <v>1659</v>
      </c>
      <c r="X6716" s="339"/>
    </row>
    <row r="6717" s="330" customFormat="1" ht="15" customHeight="1" spans="1:24">
      <c r="A6717" s="334"/>
      <c r="B6717" s="334" t="s">
        <v>335</v>
      </c>
      <c r="C6717" s="334" t="s">
        <v>399</v>
      </c>
      <c r="D6717" s="334" t="s">
        <v>337</v>
      </c>
      <c r="E6717" s="336">
        <v>43764</v>
      </c>
      <c r="F6717" s="336"/>
      <c r="G6717" s="336">
        <v>43763</v>
      </c>
      <c r="H6717" s="334" t="s">
        <v>11311</v>
      </c>
      <c r="I6717" s="334">
        <v>13661788510</v>
      </c>
      <c r="J6717" s="334" t="s">
        <v>14852</v>
      </c>
      <c r="K6717" s="337"/>
      <c r="L6717" s="338"/>
      <c r="M6717" s="334">
        <v>5500</v>
      </c>
      <c r="N6717" s="362">
        <f t="shared" si="231"/>
        <v>5500</v>
      </c>
      <c r="X6717" s="339"/>
    </row>
    <row r="6718" s="330" customFormat="1" ht="15" customHeight="1" spans="1:24">
      <c r="A6718" s="334"/>
      <c r="B6718" s="334" t="s">
        <v>147</v>
      </c>
      <c r="C6718" s="334" t="s">
        <v>148</v>
      </c>
      <c r="D6718" s="334" t="s">
        <v>717</v>
      </c>
      <c r="E6718" s="336">
        <v>43764</v>
      </c>
      <c r="F6718" s="336"/>
      <c r="G6718" s="336">
        <v>43764</v>
      </c>
      <c r="H6718" s="334" t="s">
        <v>6891</v>
      </c>
      <c r="I6718" s="356">
        <v>19921044999</v>
      </c>
      <c r="J6718" s="348" t="s">
        <v>14853</v>
      </c>
      <c r="K6718" s="337"/>
      <c r="L6718" s="338"/>
      <c r="M6718" s="334">
        <v>300</v>
      </c>
      <c r="N6718" s="362">
        <f t="shared" si="231"/>
        <v>300</v>
      </c>
      <c r="X6718" s="339"/>
    </row>
    <row r="6719" s="330" customFormat="1" ht="15" customHeight="1" spans="1:24">
      <c r="A6719" s="334"/>
      <c r="B6719" s="334" t="s">
        <v>405</v>
      </c>
      <c r="C6719" s="334" t="s">
        <v>823</v>
      </c>
      <c r="D6719" s="334" t="s">
        <v>407</v>
      </c>
      <c r="E6719" s="336">
        <v>43764</v>
      </c>
      <c r="F6719" s="336"/>
      <c r="G6719" s="336">
        <v>43760</v>
      </c>
      <c r="H6719" s="334" t="s">
        <v>11548</v>
      </c>
      <c r="I6719" s="334">
        <v>18621908319</v>
      </c>
      <c r="J6719" s="334" t="s">
        <v>14022</v>
      </c>
      <c r="K6719" s="337"/>
      <c r="L6719" s="338"/>
      <c r="M6719" s="334">
        <v>982</v>
      </c>
      <c r="N6719" s="362">
        <f t="shared" si="231"/>
        <v>982</v>
      </c>
      <c r="X6719" s="339"/>
    </row>
    <row r="6720" s="330" customFormat="1" ht="15" customHeight="1" spans="1:24">
      <c r="A6720" s="334"/>
      <c r="B6720" s="334" t="s">
        <v>315</v>
      </c>
      <c r="C6720" s="334" t="s">
        <v>275</v>
      </c>
      <c r="D6720" s="334" t="s">
        <v>717</v>
      </c>
      <c r="E6720" s="336">
        <v>43764</v>
      </c>
      <c r="F6720" s="336"/>
      <c r="G6720" s="336">
        <v>43759</v>
      </c>
      <c r="H6720" s="334" t="s">
        <v>14854</v>
      </c>
      <c r="I6720" s="334">
        <v>18621144155</v>
      </c>
      <c r="J6720" s="348" t="s">
        <v>14855</v>
      </c>
      <c r="K6720" s="337"/>
      <c r="L6720" s="338"/>
      <c r="M6720" s="334">
        <v>124</v>
      </c>
      <c r="N6720" s="362">
        <f t="shared" si="231"/>
        <v>124</v>
      </c>
      <c r="X6720" s="339"/>
    </row>
    <row r="6721" s="330" customFormat="1" ht="15" customHeight="1" spans="1:24">
      <c r="A6721" s="334"/>
      <c r="B6721" s="334" t="s">
        <v>66</v>
      </c>
      <c r="C6721" s="334" t="s">
        <v>7029</v>
      </c>
      <c r="D6721" s="334" t="s">
        <v>1436</v>
      </c>
      <c r="E6721" s="336">
        <v>43764</v>
      </c>
      <c r="F6721" s="336"/>
      <c r="G6721" s="336">
        <v>43764</v>
      </c>
      <c r="H6721" s="334" t="s">
        <v>12906</v>
      </c>
      <c r="I6721" s="334">
        <v>13816978944</v>
      </c>
      <c r="J6721" s="348" t="s">
        <v>14856</v>
      </c>
      <c r="K6721" s="337"/>
      <c r="L6721" s="338"/>
      <c r="M6721" s="334">
        <v>4136</v>
      </c>
      <c r="N6721" s="362">
        <f t="shared" si="231"/>
        <v>4136</v>
      </c>
      <c r="X6721" s="339"/>
    </row>
    <row r="6722" s="330" customFormat="1" ht="15" customHeight="1" spans="1:24">
      <c r="A6722" s="550" t="s">
        <v>14857</v>
      </c>
      <c r="B6722" s="334" t="s">
        <v>123</v>
      </c>
      <c r="C6722" s="348" t="s">
        <v>32</v>
      </c>
      <c r="D6722" s="335" t="s">
        <v>125</v>
      </c>
      <c r="E6722" s="336">
        <v>43773</v>
      </c>
      <c r="F6722" s="336">
        <v>43765</v>
      </c>
      <c r="G6722" s="336">
        <v>43773</v>
      </c>
      <c r="H6722" s="334" t="s">
        <v>14858</v>
      </c>
      <c r="I6722" s="444">
        <v>18801617066</v>
      </c>
      <c r="J6722" s="348" t="s">
        <v>14859</v>
      </c>
      <c r="K6722" s="452">
        <v>2598</v>
      </c>
      <c r="L6722" s="334">
        <v>10677</v>
      </c>
      <c r="M6722" s="338"/>
      <c r="N6722" s="362">
        <f t="shared" ref="N6722:N6753" si="232">L6722+M6722</f>
        <v>10677</v>
      </c>
      <c r="X6722" s="339"/>
    </row>
    <row r="6723" s="330" customFormat="1" ht="15" customHeight="1" spans="1:24">
      <c r="A6723" s="348"/>
      <c r="B6723" s="334" t="s">
        <v>354</v>
      </c>
      <c r="C6723" s="348" t="s">
        <v>13719</v>
      </c>
      <c r="D6723" s="335" t="s">
        <v>149</v>
      </c>
      <c r="E6723" s="336">
        <v>43771</v>
      </c>
      <c r="F6723" s="336">
        <v>43764</v>
      </c>
      <c r="G6723" s="336">
        <v>43770</v>
      </c>
      <c r="H6723" s="334" t="s">
        <v>14860</v>
      </c>
      <c r="I6723" s="444">
        <v>13621873859</v>
      </c>
      <c r="J6723" s="348" t="s">
        <v>14861</v>
      </c>
      <c r="K6723" s="452">
        <v>500</v>
      </c>
      <c r="L6723" s="334">
        <v>2667</v>
      </c>
      <c r="M6723" s="338"/>
      <c r="N6723" s="362">
        <f t="shared" si="232"/>
        <v>2667</v>
      </c>
      <c r="X6723" s="339"/>
    </row>
    <row r="6724" s="330" customFormat="1" ht="15" customHeight="1" spans="1:24">
      <c r="A6724" s="550" t="s">
        <v>11134</v>
      </c>
      <c r="B6724" s="334" t="s">
        <v>5435</v>
      </c>
      <c r="C6724" s="348" t="s">
        <v>1728</v>
      </c>
      <c r="D6724" s="335" t="s">
        <v>149</v>
      </c>
      <c r="E6724" s="336">
        <v>43769</v>
      </c>
      <c r="F6724" s="336">
        <v>43764</v>
      </c>
      <c r="G6724" s="336">
        <v>43768</v>
      </c>
      <c r="H6724" s="334" t="s">
        <v>14862</v>
      </c>
      <c r="I6724" s="444">
        <v>18121000219</v>
      </c>
      <c r="J6724" s="348" t="s">
        <v>14863</v>
      </c>
      <c r="K6724" s="452">
        <v>11000</v>
      </c>
      <c r="L6724" s="334">
        <v>11000</v>
      </c>
      <c r="M6724" s="338"/>
      <c r="N6724" s="362">
        <f t="shared" si="232"/>
        <v>11000</v>
      </c>
      <c r="X6724" s="339"/>
    </row>
    <row r="6725" s="330" customFormat="1" ht="15" customHeight="1" spans="1:24">
      <c r="A6725" s="550" t="s">
        <v>847</v>
      </c>
      <c r="B6725" s="334" t="s">
        <v>58</v>
      </c>
      <c r="C6725" s="348" t="s">
        <v>342</v>
      </c>
      <c r="D6725" s="335" t="s">
        <v>343</v>
      </c>
      <c r="E6725" s="336">
        <v>43769</v>
      </c>
      <c r="F6725" s="336">
        <v>43764</v>
      </c>
      <c r="G6725" s="336">
        <v>43767</v>
      </c>
      <c r="H6725" s="334" t="s">
        <v>14864</v>
      </c>
      <c r="I6725" s="444">
        <v>13564082425</v>
      </c>
      <c r="J6725" s="348" t="s">
        <v>14865</v>
      </c>
      <c r="K6725" s="452">
        <v>10000</v>
      </c>
      <c r="L6725" s="334">
        <v>9825</v>
      </c>
      <c r="M6725" s="338"/>
      <c r="N6725" s="362">
        <f t="shared" si="232"/>
        <v>9825</v>
      </c>
      <c r="X6725" s="339"/>
    </row>
    <row r="6726" s="330" customFormat="1" ht="15" customHeight="1" spans="1:24">
      <c r="A6726" s="550" t="s">
        <v>14866</v>
      </c>
      <c r="B6726" s="334" t="s">
        <v>58</v>
      </c>
      <c r="C6726" s="348" t="s">
        <v>342</v>
      </c>
      <c r="D6726" s="335" t="s">
        <v>343</v>
      </c>
      <c r="E6726" s="336">
        <v>43769</v>
      </c>
      <c r="F6726" s="336">
        <v>43765</v>
      </c>
      <c r="G6726" s="336">
        <v>43767</v>
      </c>
      <c r="H6726" s="334" t="s">
        <v>14867</v>
      </c>
      <c r="I6726" s="444">
        <v>13816844593</v>
      </c>
      <c r="J6726" s="348" t="s">
        <v>14868</v>
      </c>
      <c r="K6726" s="452">
        <v>1500</v>
      </c>
      <c r="L6726" s="334">
        <v>14765</v>
      </c>
      <c r="M6726" s="338"/>
      <c r="N6726" s="362">
        <f t="shared" si="232"/>
        <v>14765</v>
      </c>
      <c r="X6726" s="339"/>
    </row>
    <row r="6727" s="330" customFormat="1" ht="15" customHeight="1" spans="1:24">
      <c r="A6727" s="550" t="s">
        <v>4680</v>
      </c>
      <c r="B6727" s="334" t="s">
        <v>137</v>
      </c>
      <c r="C6727" s="348" t="s">
        <v>2705</v>
      </c>
      <c r="D6727" s="334" t="s">
        <v>2381</v>
      </c>
      <c r="E6727" s="336">
        <v>43810</v>
      </c>
      <c r="F6727" s="336">
        <v>43765</v>
      </c>
      <c r="G6727" s="336">
        <v>43792</v>
      </c>
      <c r="H6727" s="334" t="s">
        <v>14869</v>
      </c>
      <c r="I6727" s="444">
        <v>13701916050</v>
      </c>
      <c r="J6727" s="348" t="s">
        <v>14870</v>
      </c>
      <c r="K6727" s="452">
        <v>1000</v>
      </c>
      <c r="L6727" s="334">
        <v>18987</v>
      </c>
      <c r="M6727" s="338"/>
      <c r="N6727" s="362">
        <f t="shared" si="232"/>
        <v>18987</v>
      </c>
      <c r="Q6727" s="330">
        <v>1</v>
      </c>
      <c r="X6727" s="339"/>
    </row>
    <row r="6728" s="330" customFormat="1" ht="15" customHeight="1" spans="1:24">
      <c r="A6728" s="550" t="s">
        <v>9746</v>
      </c>
      <c r="B6728" s="334" t="s">
        <v>137</v>
      </c>
      <c r="C6728" s="348" t="s">
        <v>411</v>
      </c>
      <c r="D6728" s="334" t="s">
        <v>2381</v>
      </c>
      <c r="E6728" s="336">
        <v>43812</v>
      </c>
      <c r="F6728" s="336">
        <v>43764</v>
      </c>
      <c r="G6728" s="336">
        <v>43812</v>
      </c>
      <c r="H6728" s="334" t="s">
        <v>14871</v>
      </c>
      <c r="I6728" s="444">
        <v>13611870173</v>
      </c>
      <c r="J6728" s="348" t="s">
        <v>14872</v>
      </c>
      <c r="K6728" s="452">
        <v>1000</v>
      </c>
      <c r="L6728" s="334">
        <v>15250</v>
      </c>
      <c r="M6728" s="338"/>
      <c r="N6728" s="362">
        <f t="shared" si="232"/>
        <v>15250</v>
      </c>
      <c r="R6728" s="330">
        <v>1</v>
      </c>
      <c r="X6728" s="339"/>
    </row>
    <row r="6729" s="330" customFormat="1" ht="15" customHeight="1" spans="1:24">
      <c r="A6729" s="550" t="s">
        <v>14873</v>
      </c>
      <c r="B6729" s="334" t="s">
        <v>137</v>
      </c>
      <c r="C6729" s="348" t="s">
        <v>2705</v>
      </c>
      <c r="D6729" s="334" t="s">
        <v>2381</v>
      </c>
      <c r="E6729" s="336">
        <v>43784</v>
      </c>
      <c r="F6729" s="336">
        <v>43765</v>
      </c>
      <c r="G6729" s="336">
        <v>43770</v>
      </c>
      <c r="H6729" s="334" t="s">
        <v>14874</v>
      </c>
      <c r="I6729" s="444">
        <v>15901835197</v>
      </c>
      <c r="J6729" s="348" t="s">
        <v>14875</v>
      </c>
      <c r="K6729" s="452">
        <v>1000</v>
      </c>
      <c r="L6729" s="334">
        <v>12000</v>
      </c>
      <c r="M6729" s="334">
        <v>1197</v>
      </c>
      <c r="N6729" s="362">
        <f t="shared" si="232"/>
        <v>13197</v>
      </c>
      <c r="X6729" s="339"/>
    </row>
    <row r="6730" s="330" customFormat="1" ht="15" customHeight="1" spans="1:24">
      <c r="A6730" s="550" t="s">
        <v>10748</v>
      </c>
      <c r="B6730" s="334" t="s">
        <v>14876</v>
      </c>
      <c r="C6730" s="348" t="s">
        <v>14876</v>
      </c>
      <c r="D6730" s="335" t="s">
        <v>49</v>
      </c>
      <c r="E6730" s="336">
        <v>43765</v>
      </c>
      <c r="F6730" s="336">
        <v>43765</v>
      </c>
      <c r="G6730" s="399"/>
      <c r="H6730" s="334" t="s">
        <v>14877</v>
      </c>
      <c r="I6730" s="444">
        <v>18601679828</v>
      </c>
      <c r="J6730" s="348" t="s">
        <v>14878</v>
      </c>
      <c r="K6730" s="452">
        <v>1000</v>
      </c>
      <c r="L6730" s="338"/>
      <c r="M6730" s="338"/>
      <c r="N6730" s="362">
        <f t="shared" si="232"/>
        <v>0</v>
      </c>
      <c r="X6730" s="339"/>
    </row>
    <row r="6731" s="330" customFormat="1" ht="15" customHeight="1" spans="1:24">
      <c r="A6731" s="550" t="s">
        <v>9102</v>
      </c>
      <c r="B6731" s="334" t="s">
        <v>66</v>
      </c>
      <c r="C6731" s="334" t="s">
        <v>505</v>
      </c>
      <c r="D6731" s="334" t="s">
        <v>2302</v>
      </c>
      <c r="E6731" s="336">
        <v>43799</v>
      </c>
      <c r="F6731" s="336">
        <v>43764</v>
      </c>
      <c r="G6731" s="336">
        <v>43799</v>
      </c>
      <c r="H6731" s="334" t="s">
        <v>14879</v>
      </c>
      <c r="I6731" s="444">
        <v>18321743562</v>
      </c>
      <c r="J6731" s="348" t="s">
        <v>14880</v>
      </c>
      <c r="K6731" s="452">
        <v>3000</v>
      </c>
      <c r="L6731" s="356">
        <v>3000</v>
      </c>
      <c r="M6731" s="338"/>
      <c r="N6731" s="362">
        <f t="shared" si="232"/>
        <v>3000</v>
      </c>
      <c r="Q6731" s="330" t="s">
        <v>52</v>
      </c>
      <c r="X6731" s="339"/>
    </row>
    <row r="6732" s="330" customFormat="1" ht="15" customHeight="1" spans="1:24">
      <c r="A6732" s="550" t="s">
        <v>14881</v>
      </c>
      <c r="B6732" s="334" t="s">
        <v>137</v>
      </c>
      <c r="C6732" s="348" t="s">
        <v>138</v>
      </c>
      <c r="D6732" s="335" t="s">
        <v>139</v>
      </c>
      <c r="E6732" s="336">
        <v>43765</v>
      </c>
      <c r="F6732" s="336">
        <v>43764</v>
      </c>
      <c r="G6732" s="399"/>
      <c r="H6732" s="334" t="s">
        <v>8711</v>
      </c>
      <c r="I6732" s="444">
        <v>13901949835</v>
      </c>
      <c r="J6732" s="348" t="s">
        <v>14882</v>
      </c>
      <c r="K6732" s="452">
        <v>1000</v>
      </c>
      <c r="L6732" s="338"/>
      <c r="M6732" s="338"/>
      <c r="N6732" s="362">
        <f t="shared" si="232"/>
        <v>0</v>
      </c>
      <c r="Q6732" s="330">
        <v>1</v>
      </c>
      <c r="X6732" s="339"/>
    </row>
    <row r="6733" s="330" customFormat="1" ht="15" customHeight="1" spans="1:24">
      <c r="A6733" s="550" t="s">
        <v>14883</v>
      </c>
      <c r="B6733" s="334" t="s">
        <v>137</v>
      </c>
      <c r="C6733" s="348" t="s">
        <v>138</v>
      </c>
      <c r="D6733" s="334" t="s">
        <v>443</v>
      </c>
      <c r="E6733" s="336">
        <v>43797</v>
      </c>
      <c r="F6733" s="336">
        <v>43764</v>
      </c>
      <c r="G6733" s="336">
        <v>43797</v>
      </c>
      <c r="H6733" s="334" t="s">
        <v>14884</v>
      </c>
      <c r="I6733" s="444">
        <v>13301050926</v>
      </c>
      <c r="J6733" s="348" t="s">
        <v>14885</v>
      </c>
      <c r="K6733" s="452">
        <v>14500</v>
      </c>
      <c r="L6733" s="334">
        <v>14500</v>
      </c>
      <c r="M6733" s="334">
        <v>15000</v>
      </c>
      <c r="N6733" s="362">
        <f t="shared" si="232"/>
        <v>29500</v>
      </c>
      <c r="S6733" s="330">
        <v>1</v>
      </c>
      <c r="X6733" s="339"/>
    </row>
    <row r="6734" s="330" customFormat="1" ht="15" customHeight="1" spans="1:24">
      <c r="A6734" s="550" t="s">
        <v>14886</v>
      </c>
      <c r="B6734" s="334" t="s">
        <v>405</v>
      </c>
      <c r="C6734" s="348" t="s">
        <v>14070</v>
      </c>
      <c r="D6734" s="335" t="s">
        <v>407</v>
      </c>
      <c r="E6734" s="336">
        <v>43765</v>
      </c>
      <c r="F6734" s="336">
        <v>43765</v>
      </c>
      <c r="G6734" s="399"/>
      <c r="H6734" s="334" t="s">
        <v>14887</v>
      </c>
      <c r="I6734" s="444">
        <v>15901714853</v>
      </c>
      <c r="J6734" s="348" t="s">
        <v>14888</v>
      </c>
      <c r="K6734" s="452">
        <v>1000</v>
      </c>
      <c r="L6734" s="338"/>
      <c r="M6734" s="338"/>
      <c r="N6734" s="362">
        <f t="shared" si="232"/>
        <v>0</v>
      </c>
      <c r="S6734" s="356" t="s">
        <v>52</v>
      </c>
      <c r="W6734" s="353" t="s">
        <v>14889</v>
      </c>
      <c r="X6734" s="339"/>
    </row>
    <row r="6735" s="330" customFormat="1" ht="15" customHeight="1" spans="1:24">
      <c r="A6735" s="550" t="s">
        <v>14890</v>
      </c>
      <c r="B6735" s="334" t="s">
        <v>66</v>
      </c>
      <c r="C6735" s="348" t="s">
        <v>1749</v>
      </c>
      <c r="D6735" s="335" t="s">
        <v>68</v>
      </c>
      <c r="E6735" s="336">
        <v>43765</v>
      </c>
      <c r="F6735" s="336">
        <v>43764</v>
      </c>
      <c r="G6735" s="399"/>
      <c r="H6735" s="334" t="s">
        <v>14891</v>
      </c>
      <c r="I6735" s="444">
        <v>13181780901</v>
      </c>
      <c r="J6735" s="348" t="s">
        <v>14892</v>
      </c>
      <c r="K6735" s="452">
        <v>1000</v>
      </c>
      <c r="L6735" s="338"/>
      <c r="M6735" s="338"/>
      <c r="N6735" s="362">
        <f t="shared" si="232"/>
        <v>0</v>
      </c>
      <c r="U6735" s="362" t="s">
        <v>14893</v>
      </c>
      <c r="X6735" s="339"/>
    </row>
    <row r="6736" s="330" customFormat="1" ht="15" customHeight="1" spans="1:24">
      <c r="A6736" s="348"/>
      <c r="B6736" s="334" t="s">
        <v>87</v>
      </c>
      <c r="C6736" s="334" t="s">
        <v>466</v>
      </c>
      <c r="D6736" s="334" t="s">
        <v>89</v>
      </c>
      <c r="E6736" s="336">
        <v>43765</v>
      </c>
      <c r="F6736" s="336">
        <v>43764</v>
      </c>
      <c r="G6736" s="336">
        <v>43764</v>
      </c>
      <c r="H6736" s="334" t="s">
        <v>14894</v>
      </c>
      <c r="I6736" s="334">
        <v>18019763372</v>
      </c>
      <c r="J6736" s="348" t="s">
        <v>14895</v>
      </c>
      <c r="K6736" s="334">
        <v>2599</v>
      </c>
      <c r="L6736" s="334">
        <v>2599</v>
      </c>
      <c r="M6736" s="338"/>
      <c r="N6736" s="362">
        <f t="shared" si="232"/>
        <v>2599</v>
      </c>
      <c r="X6736" s="339"/>
    </row>
    <row r="6737" s="330" customFormat="1" ht="15" customHeight="1" spans="1:24">
      <c r="A6737" s="348"/>
      <c r="B6737" s="334" t="s">
        <v>137</v>
      </c>
      <c r="C6737" s="334" t="s">
        <v>480</v>
      </c>
      <c r="D6737" s="334" t="s">
        <v>139</v>
      </c>
      <c r="E6737" s="336">
        <v>43765</v>
      </c>
      <c r="F6737" s="336">
        <v>43764</v>
      </c>
      <c r="G6737" s="336">
        <v>43764</v>
      </c>
      <c r="H6737" s="334" t="s">
        <v>14896</v>
      </c>
      <c r="I6737" s="334">
        <v>13122778888</v>
      </c>
      <c r="J6737" s="348" t="s">
        <v>14897</v>
      </c>
      <c r="K6737" s="452">
        <v>2500</v>
      </c>
      <c r="L6737" s="334">
        <v>2500</v>
      </c>
      <c r="M6737" s="338"/>
      <c r="N6737" s="362">
        <f t="shared" si="232"/>
        <v>2500</v>
      </c>
      <c r="X6737" s="339"/>
    </row>
    <row r="6738" s="330" customFormat="1" ht="15" customHeight="1" spans="1:24">
      <c r="A6738" s="348">
        <v>2066530</v>
      </c>
      <c r="B6738" s="334" t="s">
        <v>243</v>
      </c>
      <c r="C6738" s="348" t="s">
        <v>309</v>
      </c>
      <c r="D6738" s="335" t="s">
        <v>49</v>
      </c>
      <c r="E6738" s="336">
        <v>43765</v>
      </c>
      <c r="F6738" s="336">
        <v>43765</v>
      </c>
      <c r="G6738" s="399"/>
      <c r="H6738" s="334" t="s">
        <v>14898</v>
      </c>
      <c r="I6738" s="444">
        <v>15821374856</v>
      </c>
      <c r="J6738" s="348" t="s">
        <v>14899</v>
      </c>
      <c r="K6738" s="452">
        <v>1000</v>
      </c>
      <c r="L6738" s="338"/>
      <c r="M6738" s="338"/>
      <c r="N6738" s="362">
        <f t="shared" si="232"/>
        <v>0</v>
      </c>
      <c r="R6738" s="356" t="s">
        <v>52</v>
      </c>
      <c r="X6738" s="339"/>
    </row>
    <row r="6739" s="330" customFormat="1" ht="15" customHeight="1" spans="1:24">
      <c r="A6739" s="550" t="s">
        <v>14900</v>
      </c>
      <c r="B6739" s="334" t="s">
        <v>87</v>
      </c>
      <c r="C6739" s="348" t="s">
        <v>466</v>
      </c>
      <c r="D6739" s="335" t="s">
        <v>89</v>
      </c>
      <c r="E6739" s="336">
        <v>43769</v>
      </c>
      <c r="F6739" s="336">
        <v>43764</v>
      </c>
      <c r="G6739" s="336">
        <v>43769</v>
      </c>
      <c r="H6739" s="334" t="s">
        <v>14901</v>
      </c>
      <c r="I6739" s="444">
        <v>13917074569</v>
      </c>
      <c r="J6739" s="348" t="s">
        <v>14902</v>
      </c>
      <c r="K6739" s="452">
        <v>9800</v>
      </c>
      <c r="L6739" s="334">
        <v>9899</v>
      </c>
      <c r="M6739" s="338"/>
      <c r="N6739" s="362">
        <f t="shared" si="232"/>
        <v>9899</v>
      </c>
      <c r="X6739" s="339"/>
    </row>
    <row r="6740" s="330" customFormat="1" ht="15" customHeight="1" spans="1:24">
      <c r="A6740" s="550" t="s">
        <v>14903</v>
      </c>
      <c r="B6740" s="334" t="s">
        <v>405</v>
      </c>
      <c r="C6740" s="348" t="s">
        <v>1234</v>
      </c>
      <c r="D6740" s="335" t="s">
        <v>407</v>
      </c>
      <c r="E6740" s="336">
        <v>43784</v>
      </c>
      <c r="F6740" s="336">
        <v>43765</v>
      </c>
      <c r="G6740" s="336">
        <v>43779</v>
      </c>
      <c r="H6740" s="334" t="s">
        <v>14904</v>
      </c>
      <c r="I6740" s="444">
        <v>18916783629</v>
      </c>
      <c r="J6740" s="348" t="s">
        <v>14905</v>
      </c>
      <c r="K6740" s="452">
        <v>1000</v>
      </c>
      <c r="L6740" s="334">
        <v>5490</v>
      </c>
      <c r="M6740" s="338"/>
      <c r="N6740" s="362">
        <f t="shared" si="232"/>
        <v>5490</v>
      </c>
      <c r="X6740" s="339"/>
    </row>
    <row r="6741" s="330" customFormat="1" ht="15" customHeight="1" spans="1:24">
      <c r="A6741" s="550" t="s">
        <v>14906</v>
      </c>
      <c r="B6741" s="334" t="s">
        <v>185</v>
      </c>
      <c r="C6741" s="334" t="s">
        <v>886</v>
      </c>
      <c r="D6741" s="335" t="s">
        <v>187</v>
      </c>
      <c r="E6741" s="336">
        <v>43799</v>
      </c>
      <c r="F6741" s="336">
        <v>43764</v>
      </c>
      <c r="G6741" s="336">
        <v>43798</v>
      </c>
      <c r="H6741" s="334" t="s">
        <v>14907</v>
      </c>
      <c r="I6741" s="444">
        <v>18801911357</v>
      </c>
      <c r="J6741" s="348" t="s">
        <v>14908</v>
      </c>
      <c r="K6741" s="452">
        <v>1000</v>
      </c>
      <c r="L6741" s="334">
        <v>8175</v>
      </c>
      <c r="M6741" s="338"/>
      <c r="N6741" s="362">
        <f t="shared" si="232"/>
        <v>8175</v>
      </c>
      <c r="X6741" s="339"/>
    </row>
    <row r="6742" s="330" customFormat="1" ht="15" customHeight="1" spans="1:24">
      <c r="A6742" s="550" t="s">
        <v>14909</v>
      </c>
      <c r="B6742" s="334" t="s">
        <v>359</v>
      </c>
      <c r="C6742" s="348" t="s">
        <v>3018</v>
      </c>
      <c r="D6742" s="335" t="s">
        <v>361</v>
      </c>
      <c r="E6742" s="336">
        <v>43771</v>
      </c>
      <c r="F6742" s="336">
        <v>43764</v>
      </c>
      <c r="G6742" s="336">
        <v>43771</v>
      </c>
      <c r="H6742" s="334" t="s">
        <v>14910</v>
      </c>
      <c r="I6742" s="444">
        <v>13641958085</v>
      </c>
      <c r="J6742" s="348" t="s">
        <v>14911</v>
      </c>
      <c r="K6742" s="452">
        <v>1000</v>
      </c>
      <c r="L6742" s="334">
        <v>13157</v>
      </c>
      <c r="M6742" s="334">
        <v>2522</v>
      </c>
      <c r="N6742" s="362">
        <f t="shared" si="232"/>
        <v>15679</v>
      </c>
      <c r="X6742" s="339"/>
    </row>
    <row r="6743" s="330" customFormat="1" ht="15" customHeight="1" spans="1:24">
      <c r="A6743" s="550" t="s">
        <v>14337</v>
      </c>
      <c r="B6743" s="334" t="s">
        <v>31</v>
      </c>
      <c r="C6743" s="348" t="s">
        <v>3186</v>
      </c>
      <c r="D6743" s="335" t="s">
        <v>221</v>
      </c>
      <c r="E6743" s="336">
        <v>43765</v>
      </c>
      <c r="F6743" s="336">
        <v>43764</v>
      </c>
      <c r="G6743" s="353" t="s">
        <v>1140</v>
      </c>
      <c r="H6743" s="334" t="s">
        <v>14912</v>
      </c>
      <c r="I6743" s="444">
        <v>13657628524</v>
      </c>
      <c r="J6743" s="348" t="s">
        <v>14913</v>
      </c>
      <c r="K6743" s="452">
        <v>1000</v>
      </c>
      <c r="L6743" s="338"/>
      <c r="M6743" s="338"/>
      <c r="N6743" s="362">
        <f t="shared" si="232"/>
        <v>0</v>
      </c>
      <c r="X6743" s="339"/>
    </row>
    <row r="6744" s="330" customFormat="1" ht="15" customHeight="1" spans="1:24">
      <c r="A6744" s="550" t="s">
        <v>8333</v>
      </c>
      <c r="B6744" s="334" t="s">
        <v>31</v>
      </c>
      <c r="C6744" s="348" t="s">
        <v>3186</v>
      </c>
      <c r="D6744" s="335" t="s">
        <v>221</v>
      </c>
      <c r="E6744" s="336">
        <v>43765</v>
      </c>
      <c r="F6744" s="336">
        <v>43765</v>
      </c>
      <c r="G6744" s="353" t="s">
        <v>1140</v>
      </c>
      <c r="H6744" s="334" t="s">
        <v>14914</v>
      </c>
      <c r="I6744" s="444"/>
      <c r="J6744" s="348" t="s">
        <v>14915</v>
      </c>
      <c r="K6744" s="452">
        <v>1000</v>
      </c>
      <c r="L6744" s="338"/>
      <c r="M6744" s="338"/>
      <c r="N6744" s="362">
        <f t="shared" si="232"/>
        <v>0</v>
      </c>
      <c r="X6744" s="339"/>
    </row>
    <row r="6745" s="330" customFormat="1" ht="15" customHeight="1" spans="1:24">
      <c r="A6745" s="550" t="s">
        <v>10793</v>
      </c>
      <c r="B6745" s="334" t="s">
        <v>31</v>
      </c>
      <c r="C6745" s="348" t="s">
        <v>3186</v>
      </c>
      <c r="D6745" s="334" t="s">
        <v>954</v>
      </c>
      <c r="E6745" s="336">
        <v>43799</v>
      </c>
      <c r="F6745" s="336">
        <v>43765</v>
      </c>
      <c r="G6745" s="336">
        <v>43799</v>
      </c>
      <c r="H6745" s="334" t="s">
        <v>14916</v>
      </c>
      <c r="I6745" s="444">
        <v>18321796390</v>
      </c>
      <c r="J6745" s="348" t="s">
        <v>14917</v>
      </c>
      <c r="K6745" s="452">
        <v>1000</v>
      </c>
      <c r="L6745" s="334">
        <v>7536</v>
      </c>
      <c r="M6745" s="338"/>
      <c r="N6745" s="362">
        <f t="shared" si="232"/>
        <v>7536</v>
      </c>
      <c r="X6745" s="339"/>
    </row>
    <row r="6746" s="330" customFormat="1" ht="15" customHeight="1" spans="1:24">
      <c r="A6746" s="348">
        <v>2067158</v>
      </c>
      <c r="B6746" s="334" t="s">
        <v>123</v>
      </c>
      <c r="C6746" s="348" t="s">
        <v>32</v>
      </c>
      <c r="D6746" s="335" t="s">
        <v>125</v>
      </c>
      <c r="E6746" s="336">
        <v>43768</v>
      </c>
      <c r="F6746" s="336">
        <v>43765</v>
      </c>
      <c r="G6746" s="336">
        <v>43768</v>
      </c>
      <c r="H6746" s="334" t="s">
        <v>14918</v>
      </c>
      <c r="I6746" s="444">
        <v>13917389943</v>
      </c>
      <c r="J6746" s="348" t="s">
        <v>14919</v>
      </c>
      <c r="K6746" s="452">
        <v>1000</v>
      </c>
      <c r="L6746" s="334">
        <v>9000</v>
      </c>
      <c r="M6746" s="338"/>
      <c r="N6746" s="362">
        <f t="shared" si="232"/>
        <v>9000</v>
      </c>
      <c r="X6746" s="339"/>
    </row>
    <row r="6747" s="330" customFormat="1" ht="15" customHeight="1" spans="1:24">
      <c r="A6747" s="550" t="s">
        <v>14920</v>
      </c>
      <c r="B6747" s="334" t="s">
        <v>137</v>
      </c>
      <c r="C6747" s="348" t="s">
        <v>411</v>
      </c>
      <c r="D6747" s="334" t="s">
        <v>139</v>
      </c>
      <c r="E6747" s="336">
        <v>43770</v>
      </c>
      <c r="F6747" s="336">
        <v>43765</v>
      </c>
      <c r="G6747" s="336">
        <v>43770</v>
      </c>
      <c r="H6747" s="334" t="s">
        <v>14921</v>
      </c>
      <c r="I6747" s="444">
        <v>13564631326</v>
      </c>
      <c r="J6747" s="348" t="s">
        <v>14922</v>
      </c>
      <c r="K6747" s="452">
        <v>1000</v>
      </c>
      <c r="L6747" s="334">
        <v>10292</v>
      </c>
      <c r="M6747" s="338"/>
      <c r="N6747" s="362">
        <f t="shared" si="232"/>
        <v>10292</v>
      </c>
      <c r="X6747" s="339"/>
    </row>
    <row r="6748" s="330" customFormat="1" ht="15" customHeight="1" spans="1:24">
      <c r="A6748" s="348"/>
      <c r="B6748" s="334" t="s">
        <v>153</v>
      </c>
      <c r="C6748" s="348" t="s">
        <v>302</v>
      </c>
      <c r="D6748" s="335" t="s">
        <v>155</v>
      </c>
      <c r="E6748" s="336">
        <v>43765</v>
      </c>
      <c r="F6748" s="336">
        <v>43764</v>
      </c>
      <c r="G6748" s="399"/>
      <c r="H6748" s="334" t="s">
        <v>14923</v>
      </c>
      <c r="I6748" s="444">
        <v>18939969490</v>
      </c>
      <c r="J6748" s="348" t="s">
        <v>14924</v>
      </c>
      <c r="K6748" s="452">
        <v>5872</v>
      </c>
      <c r="L6748" s="338"/>
      <c r="M6748" s="338"/>
      <c r="N6748" s="362">
        <f t="shared" si="232"/>
        <v>0</v>
      </c>
      <c r="U6748" s="330" t="s">
        <v>12</v>
      </c>
      <c r="X6748" s="339"/>
    </row>
    <row r="6749" s="330" customFormat="1" ht="15" customHeight="1" spans="1:24">
      <c r="A6749" s="550" t="s">
        <v>14925</v>
      </c>
      <c r="B6749" s="334" t="s">
        <v>31</v>
      </c>
      <c r="C6749" s="348" t="s">
        <v>2716</v>
      </c>
      <c r="D6749" s="335" t="s">
        <v>33</v>
      </c>
      <c r="E6749" s="336">
        <v>43769</v>
      </c>
      <c r="F6749" s="336">
        <v>43765</v>
      </c>
      <c r="G6749" s="336">
        <v>43769</v>
      </c>
      <c r="H6749" s="334" t="s">
        <v>14926</v>
      </c>
      <c r="I6749" s="444">
        <v>18817255851</v>
      </c>
      <c r="J6749" s="348" t="s">
        <v>14927</v>
      </c>
      <c r="K6749" s="452">
        <v>10000</v>
      </c>
      <c r="L6749" s="334">
        <v>10000</v>
      </c>
      <c r="M6749" s="338"/>
      <c r="N6749" s="362">
        <f t="shared" si="232"/>
        <v>10000</v>
      </c>
      <c r="X6749" s="339"/>
    </row>
    <row r="6750" s="330" customFormat="1" ht="15" customHeight="1" spans="1:24">
      <c r="A6750" s="348">
        <v>2066268</v>
      </c>
      <c r="B6750" s="334" t="s">
        <v>94</v>
      </c>
      <c r="C6750" s="348" t="s">
        <v>95</v>
      </c>
      <c r="D6750" s="335" t="s">
        <v>49</v>
      </c>
      <c r="E6750" s="336">
        <v>43765</v>
      </c>
      <c r="F6750" s="336">
        <v>43764</v>
      </c>
      <c r="G6750" s="399"/>
      <c r="H6750" s="334" t="s">
        <v>14928</v>
      </c>
      <c r="I6750" s="444">
        <v>13916036997</v>
      </c>
      <c r="J6750" s="348" t="s">
        <v>14929</v>
      </c>
      <c r="K6750" s="452">
        <v>1000</v>
      </c>
      <c r="L6750" s="338"/>
      <c r="M6750" s="338"/>
      <c r="N6750" s="362">
        <f t="shared" si="232"/>
        <v>0</v>
      </c>
      <c r="O6750" s="467"/>
      <c r="R6750" s="467" t="s">
        <v>52</v>
      </c>
      <c r="X6750" s="339"/>
    </row>
    <row r="6751" s="330" customFormat="1" ht="15" customHeight="1" spans="1:24">
      <c r="A6751" s="348">
        <v>2023283</v>
      </c>
      <c r="B6751" s="334" t="s">
        <v>94</v>
      </c>
      <c r="C6751" s="348" t="s">
        <v>101</v>
      </c>
      <c r="D6751" s="335" t="s">
        <v>49</v>
      </c>
      <c r="E6751" s="336">
        <v>43765</v>
      </c>
      <c r="F6751" s="336">
        <v>43765</v>
      </c>
      <c r="G6751" s="399"/>
      <c r="H6751" s="334" t="s">
        <v>14930</v>
      </c>
      <c r="I6751" s="444">
        <v>13916984696</v>
      </c>
      <c r="J6751" s="348" t="s">
        <v>14931</v>
      </c>
      <c r="K6751" s="452">
        <v>2000</v>
      </c>
      <c r="L6751" s="338"/>
      <c r="M6751" s="338"/>
      <c r="N6751" s="362">
        <f t="shared" si="232"/>
        <v>0</v>
      </c>
      <c r="P6751" s="467"/>
      <c r="X6751" s="339"/>
    </row>
    <row r="6752" s="330" customFormat="1" ht="15" customHeight="1" spans="1:24">
      <c r="A6752" s="348">
        <v>2066267</v>
      </c>
      <c r="B6752" s="334" t="s">
        <v>94</v>
      </c>
      <c r="C6752" s="348" t="s">
        <v>101</v>
      </c>
      <c r="D6752" s="335" t="s">
        <v>49</v>
      </c>
      <c r="E6752" s="336">
        <v>43765</v>
      </c>
      <c r="F6752" s="336">
        <v>43764</v>
      </c>
      <c r="G6752" s="399"/>
      <c r="H6752" s="334" t="s">
        <v>14932</v>
      </c>
      <c r="I6752" s="444">
        <v>13917653046</v>
      </c>
      <c r="J6752" s="348" t="s">
        <v>14933</v>
      </c>
      <c r="K6752" s="452">
        <v>2000</v>
      </c>
      <c r="L6752" s="338"/>
      <c r="M6752" s="338"/>
      <c r="N6752" s="362">
        <f t="shared" si="232"/>
        <v>0</v>
      </c>
      <c r="P6752" s="467" t="s">
        <v>52</v>
      </c>
      <c r="X6752" s="339"/>
    </row>
    <row r="6753" s="330" customFormat="1" ht="15" customHeight="1" spans="1:24">
      <c r="A6753" s="348">
        <v>2066243</v>
      </c>
      <c r="B6753" s="334" t="s">
        <v>94</v>
      </c>
      <c r="C6753" s="348" t="s">
        <v>95</v>
      </c>
      <c r="D6753" s="335" t="s">
        <v>49</v>
      </c>
      <c r="E6753" s="336">
        <v>43765</v>
      </c>
      <c r="F6753" s="336">
        <v>43765</v>
      </c>
      <c r="G6753" s="399"/>
      <c r="H6753" s="334" t="s">
        <v>14934</v>
      </c>
      <c r="I6753" s="444">
        <v>13661554246</v>
      </c>
      <c r="J6753" s="348" t="s">
        <v>14935</v>
      </c>
      <c r="K6753" s="452">
        <v>2000</v>
      </c>
      <c r="L6753" s="338"/>
      <c r="M6753" s="338"/>
      <c r="N6753" s="362">
        <f t="shared" si="232"/>
        <v>0</v>
      </c>
      <c r="P6753" s="467"/>
      <c r="X6753" s="339"/>
    </row>
    <row r="6754" s="330" customFormat="1" ht="15" customHeight="1" spans="1:24">
      <c r="A6754" s="348">
        <v>2023282</v>
      </c>
      <c r="B6754" s="334" t="s">
        <v>94</v>
      </c>
      <c r="C6754" s="348" t="s">
        <v>95</v>
      </c>
      <c r="D6754" s="335" t="s">
        <v>49</v>
      </c>
      <c r="E6754" s="336">
        <v>43782</v>
      </c>
      <c r="F6754" s="336">
        <v>43765</v>
      </c>
      <c r="G6754" s="336">
        <v>43781</v>
      </c>
      <c r="H6754" s="334" t="s">
        <v>14936</v>
      </c>
      <c r="I6754" s="444">
        <v>18618124105</v>
      </c>
      <c r="J6754" s="348" t="s">
        <v>14937</v>
      </c>
      <c r="K6754" s="452">
        <v>2000</v>
      </c>
      <c r="L6754" s="334">
        <v>17390</v>
      </c>
      <c r="M6754" s="338"/>
      <c r="N6754" s="362">
        <f t="shared" ref="N6754:N6771" si="233">L6754+M6754</f>
        <v>17390</v>
      </c>
      <c r="X6754" s="339"/>
    </row>
    <row r="6755" s="330" customFormat="1" ht="15" customHeight="1" spans="1:24">
      <c r="A6755" s="348">
        <v>2066269</v>
      </c>
      <c r="B6755" s="334" t="s">
        <v>94</v>
      </c>
      <c r="C6755" s="348" t="s">
        <v>95</v>
      </c>
      <c r="D6755" s="335" t="s">
        <v>49</v>
      </c>
      <c r="E6755" s="336">
        <v>43782</v>
      </c>
      <c r="F6755" s="336">
        <v>43765</v>
      </c>
      <c r="G6755" s="336">
        <v>43779</v>
      </c>
      <c r="H6755" s="334" t="s">
        <v>14938</v>
      </c>
      <c r="I6755" s="444">
        <v>18817302395</v>
      </c>
      <c r="J6755" s="348" t="s">
        <v>14939</v>
      </c>
      <c r="K6755" s="452">
        <v>2000</v>
      </c>
      <c r="L6755" s="334">
        <v>12469</v>
      </c>
      <c r="M6755" s="338"/>
      <c r="N6755" s="362">
        <f t="shared" si="233"/>
        <v>12469</v>
      </c>
      <c r="X6755" s="339"/>
    </row>
    <row r="6756" s="330" customFormat="1" ht="15" customHeight="1" spans="1:24">
      <c r="A6756" s="348">
        <v>2066270</v>
      </c>
      <c r="B6756" s="334" t="s">
        <v>94</v>
      </c>
      <c r="C6756" s="348" t="s">
        <v>95</v>
      </c>
      <c r="D6756" s="335" t="s">
        <v>49</v>
      </c>
      <c r="E6756" s="336">
        <v>43782</v>
      </c>
      <c r="F6756" s="336">
        <v>43765</v>
      </c>
      <c r="G6756" s="336">
        <v>43777</v>
      </c>
      <c r="H6756" s="334" t="s">
        <v>14940</v>
      </c>
      <c r="I6756" s="444">
        <v>18018889693</v>
      </c>
      <c r="J6756" s="348" t="s">
        <v>14941</v>
      </c>
      <c r="K6756" s="452">
        <v>2000</v>
      </c>
      <c r="L6756" s="334">
        <v>23496</v>
      </c>
      <c r="M6756" s="338"/>
      <c r="N6756" s="362">
        <f t="shared" si="233"/>
        <v>23496</v>
      </c>
      <c r="X6756" s="339"/>
    </row>
    <row r="6757" s="330" customFormat="1" ht="15" customHeight="1" spans="1:24">
      <c r="A6757" s="550" t="s">
        <v>14942</v>
      </c>
      <c r="B6757" s="334" t="s">
        <v>58</v>
      </c>
      <c r="C6757" s="348" t="s">
        <v>342</v>
      </c>
      <c r="D6757" s="335" t="s">
        <v>343</v>
      </c>
      <c r="E6757" s="336">
        <v>43766</v>
      </c>
      <c r="F6757" s="336">
        <v>43765</v>
      </c>
      <c r="G6757" s="336">
        <v>43765</v>
      </c>
      <c r="H6757" s="334" t="s">
        <v>14943</v>
      </c>
      <c r="I6757" s="444">
        <v>13916381504</v>
      </c>
      <c r="J6757" s="348" t="s">
        <v>14944</v>
      </c>
      <c r="K6757" s="452">
        <v>13937</v>
      </c>
      <c r="L6757" s="334">
        <v>13937</v>
      </c>
      <c r="M6757" s="338"/>
      <c r="N6757" s="362">
        <f t="shared" si="233"/>
        <v>13937</v>
      </c>
      <c r="X6757" s="339"/>
    </row>
    <row r="6758" s="330" customFormat="1" ht="15" customHeight="1" spans="1:24">
      <c r="A6758" s="550" t="s">
        <v>14945</v>
      </c>
      <c r="B6758" s="334" t="s">
        <v>137</v>
      </c>
      <c r="C6758" s="348" t="s">
        <v>138</v>
      </c>
      <c r="D6758" s="335" t="s">
        <v>139</v>
      </c>
      <c r="E6758" s="336">
        <v>43781</v>
      </c>
      <c r="F6758" s="336">
        <v>43765</v>
      </c>
      <c r="G6758" s="336">
        <v>43780</v>
      </c>
      <c r="H6758" s="334" t="s">
        <v>14946</v>
      </c>
      <c r="I6758" s="444">
        <v>18621359118</v>
      </c>
      <c r="J6758" s="348" t="s">
        <v>14947</v>
      </c>
      <c r="K6758" s="452">
        <v>1000</v>
      </c>
      <c r="L6758" s="334">
        <v>10328</v>
      </c>
      <c r="M6758" s="338"/>
      <c r="N6758" s="362">
        <f t="shared" si="233"/>
        <v>10328</v>
      </c>
      <c r="X6758" s="339"/>
    </row>
    <row r="6759" s="330" customFormat="1" ht="15" customHeight="1" spans="1:24">
      <c r="A6759" s="550" t="s">
        <v>7908</v>
      </c>
      <c r="B6759" s="334" t="s">
        <v>66</v>
      </c>
      <c r="C6759" s="348" t="s">
        <v>1749</v>
      </c>
      <c r="D6759" s="334" t="s">
        <v>2302</v>
      </c>
      <c r="E6759" s="336">
        <v>43786</v>
      </c>
      <c r="F6759" s="336">
        <v>43765</v>
      </c>
      <c r="G6759" s="336">
        <v>43785</v>
      </c>
      <c r="H6759" s="334" t="s">
        <v>14948</v>
      </c>
      <c r="I6759" s="444">
        <v>18817360103</v>
      </c>
      <c r="J6759" s="348" t="s">
        <v>14949</v>
      </c>
      <c r="K6759" s="452">
        <v>2098</v>
      </c>
      <c r="L6759" s="334">
        <v>4634</v>
      </c>
      <c r="M6759" s="338"/>
      <c r="N6759" s="362">
        <f t="shared" si="233"/>
        <v>4634</v>
      </c>
      <c r="X6759" s="339"/>
    </row>
    <row r="6760" s="330" customFormat="1" ht="15" customHeight="1" spans="1:24">
      <c r="A6760" s="550" t="s">
        <v>7908</v>
      </c>
      <c r="B6760" s="334" t="s">
        <v>185</v>
      </c>
      <c r="C6760" s="348" t="s">
        <v>1204</v>
      </c>
      <c r="D6760" s="335" t="s">
        <v>44</v>
      </c>
      <c r="E6760" s="336">
        <v>43789</v>
      </c>
      <c r="F6760" s="336">
        <v>43765</v>
      </c>
      <c r="G6760" s="336">
        <v>43788</v>
      </c>
      <c r="H6760" s="334" t="s">
        <v>14950</v>
      </c>
      <c r="I6760" s="444">
        <v>18101131196</v>
      </c>
      <c r="J6760" s="348" t="s">
        <v>14951</v>
      </c>
      <c r="K6760" s="452">
        <v>1000</v>
      </c>
      <c r="L6760" s="334">
        <v>23000</v>
      </c>
      <c r="M6760" s="338"/>
      <c r="N6760" s="362">
        <f t="shared" si="233"/>
        <v>23000</v>
      </c>
      <c r="X6760" s="339"/>
    </row>
    <row r="6761" s="330" customFormat="1" ht="15" customHeight="1" spans="1:24">
      <c r="A6761" s="348"/>
      <c r="B6761" s="334" t="s">
        <v>243</v>
      </c>
      <c r="C6761" s="348" t="s">
        <v>304</v>
      </c>
      <c r="D6761" s="335" t="s">
        <v>49</v>
      </c>
      <c r="E6761" s="336">
        <v>43768</v>
      </c>
      <c r="F6761" s="336">
        <v>43765</v>
      </c>
      <c r="G6761" s="336">
        <v>43767</v>
      </c>
      <c r="H6761" s="334" t="s">
        <v>14952</v>
      </c>
      <c r="I6761" s="444">
        <v>13918814371</v>
      </c>
      <c r="J6761" s="348" t="s">
        <v>14953</v>
      </c>
      <c r="K6761" s="452">
        <v>3000</v>
      </c>
      <c r="L6761" s="334">
        <v>16247</v>
      </c>
      <c r="M6761" s="338"/>
      <c r="N6761" s="362">
        <f t="shared" si="233"/>
        <v>16247</v>
      </c>
      <c r="X6761" s="339"/>
    </row>
    <row r="6762" s="330" customFormat="1" ht="15" customHeight="1" spans="1:24">
      <c r="A6762" s="550" t="s">
        <v>11310</v>
      </c>
      <c r="B6762" s="334" t="s">
        <v>5435</v>
      </c>
      <c r="C6762" s="348" t="s">
        <v>1728</v>
      </c>
      <c r="D6762" s="334" t="s">
        <v>237</v>
      </c>
      <c r="E6762" s="336">
        <v>43771</v>
      </c>
      <c r="F6762" s="336">
        <v>43765</v>
      </c>
      <c r="G6762" s="336">
        <v>43771</v>
      </c>
      <c r="H6762" s="334" t="s">
        <v>14954</v>
      </c>
      <c r="I6762" s="444">
        <v>13636570833</v>
      </c>
      <c r="J6762" s="348" t="s">
        <v>14955</v>
      </c>
      <c r="K6762" s="452">
        <v>2719</v>
      </c>
      <c r="L6762" s="334">
        <v>2756.5</v>
      </c>
      <c r="M6762" s="338"/>
      <c r="N6762" s="362">
        <f t="shared" si="233"/>
        <v>2756.5</v>
      </c>
      <c r="X6762" s="339"/>
    </row>
    <row r="6763" s="330" customFormat="1" ht="15" customHeight="1" spans="1:24">
      <c r="A6763" s="550" t="s">
        <v>14956</v>
      </c>
      <c r="B6763" s="334" t="s">
        <v>58</v>
      </c>
      <c r="C6763" s="348" t="s">
        <v>109</v>
      </c>
      <c r="D6763" s="335" t="s">
        <v>110</v>
      </c>
      <c r="E6763" s="336">
        <v>43791</v>
      </c>
      <c r="F6763" s="336">
        <v>43764</v>
      </c>
      <c r="G6763" s="336">
        <v>43790</v>
      </c>
      <c r="H6763" s="334" t="s">
        <v>14957</v>
      </c>
      <c r="I6763" s="444">
        <v>15216611289</v>
      </c>
      <c r="J6763" s="348" t="s">
        <v>14958</v>
      </c>
      <c r="K6763" s="452">
        <v>5000</v>
      </c>
      <c r="L6763" s="334">
        <v>8184</v>
      </c>
      <c r="M6763" s="338"/>
      <c r="N6763" s="362">
        <f t="shared" si="233"/>
        <v>8184</v>
      </c>
      <c r="S6763" s="365" t="s">
        <v>52</v>
      </c>
      <c r="X6763" s="339"/>
    </row>
    <row r="6764" s="330" customFormat="1" ht="15" customHeight="1" spans="1:24">
      <c r="A6764" s="550" t="s">
        <v>14959</v>
      </c>
      <c r="B6764" s="334" t="s">
        <v>123</v>
      </c>
      <c r="C6764" s="348" t="s">
        <v>32</v>
      </c>
      <c r="D6764" s="335" t="s">
        <v>125</v>
      </c>
      <c r="E6764" s="336">
        <v>43791</v>
      </c>
      <c r="F6764" s="336">
        <v>43765</v>
      </c>
      <c r="G6764" s="336">
        <v>43791</v>
      </c>
      <c r="H6764" s="334" t="s">
        <v>14960</v>
      </c>
      <c r="I6764" s="444">
        <v>18516123393</v>
      </c>
      <c r="J6764" s="348" t="s">
        <v>14961</v>
      </c>
      <c r="K6764" s="452">
        <f>1000+1000</f>
        <v>2000</v>
      </c>
      <c r="L6764" s="334">
        <v>5322</v>
      </c>
      <c r="M6764" s="334">
        <v>6799</v>
      </c>
      <c r="N6764" s="362">
        <f t="shared" si="233"/>
        <v>12121</v>
      </c>
      <c r="X6764" s="339"/>
    </row>
    <row r="6765" s="330" customFormat="1" ht="15" customHeight="1" spans="1:24">
      <c r="A6765" s="550" t="s">
        <v>5002</v>
      </c>
      <c r="B6765" s="334" t="s">
        <v>137</v>
      </c>
      <c r="C6765" s="348" t="s">
        <v>861</v>
      </c>
      <c r="D6765" s="335" t="s">
        <v>427</v>
      </c>
      <c r="E6765" s="336">
        <v>43765</v>
      </c>
      <c r="F6765" s="336">
        <v>43764</v>
      </c>
      <c r="G6765" s="399"/>
      <c r="H6765" s="334" t="s">
        <v>14962</v>
      </c>
      <c r="I6765" s="444">
        <v>13917209315</v>
      </c>
      <c r="J6765" s="348" t="s">
        <v>14963</v>
      </c>
      <c r="K6765" s="452">
        <v>1000</v>
      </c>
      <c r="L6765" s="338"/>
      <c r="M6765" s="338"/>
      <c r="N6765" s="362">
        <f t="shared" si="233"/>
        <v>0</v>
      </c>
      <c r="O6765" s="330">
        <v>1</v>
      </c>
      <c r="X6765" s="339"/>
    </row>
    <row r="6766" s="330" customFormat="1" ht="15" customHeight="1" spans="1:24">
      <c r="A6766" s="550" t="s">
        <v>14964</v>
      </c>
      <c r="B6766" s="334" t="s">
        <v>66</v>
      </c>
      <c r="C6766" s="348" t="s">
        <v>1749</v>
      </c>
      <c r="D6766" s="335" t="s">
        <v>68</v>
      </c>
      <c r="E6766" s="336">
        <v>43786</v>
      </c>
      <c r="F6766" s="336">
        <v>43765</v>
      </c>
      <c r="G6766" s="336">
        <v>43785</v>
      </c>
      <c r="H6766" s="334" t="s">
        <v>14965</v>
      </c>
      <c r="I6766" s="444">
        <v>13501706312</v>
      </c>
      <c r="J6766" s="348" t="s">
        <v>14966</v>
      </c>
      <c r="K6766" s="452">
        <v>2646</v>
      </c>
      <c r="L6766" s="334">
        <v>30511</v>
      </c>
      <c r="M6766" s="338"/>
      <c r="N6766" s="362">
        <f t="shared" si="233"/>
        <v>30511</v>
      </c>
      <c r="X6766" s="339"/>
    </row>
    <row r="6767" s="330" customFormat="1" ht="15" customHeight="1" spans="1:24">
      <c r="A6767" s="348"/>
      <c r="B6767" s="334" t="s">
        <v>137</v>
      </c>
      <c r="C6767" s="334" t="s">
        <v>861</v>
      </c>
      <c r="D6767" s="334" t="s">
        <v>443</v>
      </c>
      <c r="E6767" s="336">
        <v>43765</v>
      </c>
      <c r="F6767" s="336">
        <v>43762</v>
      </c>
      <c r="G6767" s="336">
        <v>43762</v>
      </c>
      <c r="H6767" s="334" t="s">
        <v>14967</v>
      </c>
      <c r="I6767" s="334">
        <v>13482632515</v>
      </c>
      <c r="J6767" s="348" t="s">
        <v>14968</v>
      </c>
      <c r="K6767" s="452">
        <v>16782</v>
      </c>
      <c r="L6767" s="334">
        <v>16782</v>
      </c>
      <c r="M6767" s="338"/>
      <c r="N6767" s="362">
        <f t="shared" si="233"/>
        <v>16782</v>
      </c>
      <c r="X6767" s="339"/>
    </row>
    <row r="6768" s="330" customFormat="1" ht="15" customHeight="1" spans="1:24">
      <c r="A6768" s="550" t="s">
        <v>14969</v>
      </c>
      <c r="B6768" s="334" t="s">
        <v>73</v>
      </c>
      <c r="C6768" s="348" t="s">
        <v>74</v>
      </c>
      <c r="D6768" s="334" t="s">
        <v>44</v>
      </c>
      <c r="E6768" s="336">
        <v>43765</v>
      </c>
      <c r="F6768" s="336">
        <v>43762</v>
      </c>
      <c r="G6768" s="336">
        <v>43765</v>
      </c>
      <c r="H6768" s="334" t="s">
        <v>14970</v>
      </c>
      <c r="I6768" s="444">
        <v>13918065508</v>
      </c>
      <c r="J6768" s="348" t="s">
        <v>14971</v>
      </c>
      <c r="K6768" s="452">
        <v>22506</v>
      </c>
      <c r="L6768" s="334">
        <v>22506</v>
      </c>
      <c r="M6768" s="338"/>
      <c r="N6768" s="362">
        <f t="shared" si="233"/>
        <v>22506</v>
      </c>
      <c r="X6768" s="339"/>
    </row>
    <row r="6769" s="330" customFormat="1" ht="15" customHeight="1" spans="1:24">
      <c r="A6769" s="550" t="s">
        <v>14972</v>
      </c>
      <c r="B6769" s="334" t="s">
        <v>359</v>
      </c>
      <c r="C6769" s="348" t="s">
        <v>3018</v>
      </c>
      <c r="D6769" s="335" t="s">
        <v>361</v>
      </c>
      <c r="E6769" s="336">
        <v>43782</v>
      </c>
      <c r="F6769" s="336">
        <v>43765</v>
      </c>
      <c r="G6769" s="336">
        <v>43779</v>
      </c>
      <c r="H6769" s="334" t="s">
        <v>14973</v>
      </c>
      <c r="I6769" s="444">
        <v>13916935193</v>
      </c>
      <c r="J6769" s="348" t="s">
        <v>14974</v>
      </c>
      <c r="K6769" s="452">
        <v>1000</v>
      </c>
      <c r="L6769" s="334">
        <v>16130</v>
      </c>
      <c r="M6769" s="338"/>
      <c r="N6769" s="362">
        <f t="shared" si="233"/>
        <v>16130</v>
      </c>
      <c r="X6769" s="339"/>
    </row>
    <row r="6770" s="330" customFormat="1" ht="15" customHeight="1" spans="1:24">
      <c r="A6770" s="550" t="s">
        <v>14975</v>
      </c>
      <c r="B6770" s="334" t="s">
        <v>315</v>
      </c>
      <c r="C6770" s="348" t="s">
        <v>161</v>
      </c>
      <c r="D6770" s="335" t="s">
        <v>162</v>
      </c>
      <c r="E6770" s="336">
        <v>43791</v>
      </c>
      <c r="F6770" s="336">
        <v>43765</v>
      </c>
      <c r="G6770" s="336">
        <v>43791</v>
      </c>
      <c r="H6770" s="334" t="s">
        <v>14976</v>
      </c>
      <c r="I6770" s="444">
        <v>13515811889</v>
      </c>
      <c r="J6770" s="348" t="s">
        <v>14977</v>
      </c>
      <c r="K6770" s="452">
        <v>1000</v>
      </c>
      <c r="L6770" s="334">
        <v>13039</v>
      </c>
      <c r="M6770" s="338"/>
      <c r="N6770" s="362">
        <f t="shared" si="233"/>
        <v>13039</v>
      </c>
      <c r="X6770" s="339"/>
    </row>
    <row r="6771" s="330" customFormat="1" ht="15" customHeight="1" spans="1:24">
      <c r="A6771" s="334"/>
      <c r="B6771" s="334" t="s">
        <v>47</v>
      </c>
      <c r="C6771" s="334" t="s">
        <v>80</v>
      </c>
      <c r="D6771" s="335" t="s">
        <v>49</v>
      </c>
      <c r="E6771" s="336">
        <v>43765</v>
      </c>
      <c r="F6771" s="336"/>
      <c r="G6771" s="336">
        <v>43763</v>
      </c>
      <c r="H6771" s="334" t="s">
        <v>14978</v>
      </c>
      <c r="I6771" s="334">
        <v>13564862381</v>
      </c>
      <c r="J6771" s="348" t="s">
        <v>14979</v>
      </c>
      <c r="K6771" s="337"/>
      <c r="L6771" s="334">
        <v>8178</v>
      </c>
      <c r="M6771" s="338"/>
      <c r="N6771" s="362">
        <f t="shared" ref="N6771:N6793" si="234">L6771+M6771</f>
        <v>8178</v>
      </c>
      <c r="X6771" s="339"/>
    </row>
    <row r="6772" s="330" customFormat="1" ht="15" customHeight="1" spans="1:24">
      <c r="A6772" s="334"/>
      <c r="B6772" s="334" t="s">
        <v>47</v>
      </c>
      <c r="C6772" s="334" t="s">
        <v>80</v>
      </c>
      <c r="D6772" s="335" t="s">
        <v>49</v>
      </c>
      <c r="E6772" s="336">
        <v>43765</v>
      </c>
      <c r="F6772" s="336"/>
      <c r="G6772" s="336">
        <v>43763</v>
      </c>
      <c r="H6772" s="334" t="s">
        <v>14980</v>
      </c>
      <c r="I6772" s="334">
        <v>15618511991</v>
      </c>
      <c r="J6772" s="348" t="s">
        <v>14981</v>
      </c>
      <c r="K6772" s="337"/>
      <c r="L6772" s="334">
        <v>4372</v>
      </c>
      <c r="M6772" s="338"/>
      <c r="N6772" s="362">
        <f t="shared" si="234"/>
        <v>4372</v>
      </c>
      <c r="X6772" s="339"/>
    </row>
    <row r="6773" s="330" customFormat="1" ht="15" customHeight="1" spans="1:24">
      <c r="A6773" s="334"/>
      <c r="B6773" s="334" t="s">
        <v>5435</v>
      </c>
      <c r="C6773" s="334" t="s">
        <v>1728</v>
      </c>
      <c r="D6773" s="334" t="s">
        <v>110</v>
      </c>
      <c r="E6773" s="336">
        <v>43765</v>
      </c>
      <c r="F6773" s="336"/>
      <c r="G6773" s="336">
        <v>43763</v>
      </c>
      <c r="H6773" s="334" t="s">
        <v>14982</v>
      </c>
      <c r="I6773" s="334">
        <v>13609598213</v>
      </c>
      <c r="J6773" s="348" t="s">
        <v>14983</v>
      </c>
      <c r="K6773" s="337"/>
      <c r="L6773" s="334">
        <v>6148</v>
      </c>
      <c r="M6773" s="338"/>
      <c r="N6773" s="362">
        <f t="shared" si="234"/>
        <v>6148</v>
      </c>
      <c r="X6773" s="339"/>
    </row>
    <row r="6774" s="330" customFormat="1" ht="15" customHeight="1" spans="1:24">
      <c r="A6774" s="334"/>
      <c r="B6774" s="334" t="s">
        <v>315</v>
      </c>
      <c r="C6774" s="334" t="s">
        <v>161</v>
      </c>
      <c r="D6774" s="334" t="s">
        <v>207</v>
      </c>
      <c r="E6774" s="336">
        <v>43765</v>
      </c>
      <c r="F6774" s="336"/>
      <c r="G6774" s="336">
        <v>43764</v>
      </c>
      <c r="H6774" s="334" t="s">
        <v>14984</v>
      </c>
      <c r="I6774" s="356">
        <v>13585735676</v>
      </c>
      <c r="J6774" s="348" t="s">
        <v>14985</v>
      </c>
      <c r="K6774" s="337"/>
      <c r="L6774" s="334">
        <v>9015</v>
      </c>
      <c r="M6774" s="338"/>
      <c r="N6774" s="362">
        <f t="shared" si="234"/>
        <v>9015</v>
      </c>
      <c r="X6774" s="339"/>
    </row>
    <row r="6775" s="330" customFormat="1" ht="15" customHeight="1" spans="1:24">
      <c r="A6775" s="334"/>
      <c r="B6775" s="334" t="s">
        <v>31</v>
      </c>
      <c r="C6775" s="334" t="s">
        <v>220</v>
      </c>
      <c r="D6775" s="334" t="s">
        <v>954</v>
      </c>
      <c r="E6775" s="336">
        <v>43765</v>
      </c>
      <c r="F6775" s="336"/>
      <c r="G6775" s="336">
        <v>43765</v>
      </c>
      <c r="H6775" s="334" t="s">
        <v>14986</v>
      </c>
      <c r="I6775" s="334">
        <v>13801693902</v>
      </c>
      <c r="J6775" s="348" t="s">
        <v>14987</v>
      </c>
      <c r="K6775" s="337"/>
      <c r="L6775" s="334">
        <v>2458</v>
      </c>
      <c r="M6775" s="338"/>
      <c r="N6775" s="362">
        <f t="shared" si="234"/>
        <v>2458</v>
      </c>
      <c r="X6775" s="339"/>
    </row>
    <row r="6776" s="330" customFormat="1" ht="15" customHeight="1" spans="1:24">
      <c r="A6776" s="334"/>
      <c r="B6776" s="334" t="s">
        <v>73</v>
      </c>
      <c r="C6776" s="334" t="s">
        <v>178</v>
      </c>
      <c r="D6776" s="334" t="s">
        <v>75</v>
      </c>
      <c r="E6776" s="336">
        <v>43765</v>
      </c>
      <c r="F6776" s="336"/>
      <c r="G6776" s="336">
        <v>43765</v>
      </c>
      <c r="H6776" s="334" t="s">
        <v>14988</v>
      </c>
      <c r="I6776" s="334">
        <v>18930991506</v>
      </c>
      <c r="J6776" s="348" t="s">
        <v>14989</v>
      </c>
      <c r="K6776" s="337"/>
      <c r="L6776" s="334">
        <v>7121</v>
      </c>
      <c r="M6776" s="338"/>
      <c r="N6776" s="362">
        <f t="shared" si="234"/>
        <v>7121</v>
      </c>
      <c r="X6776" s="339"/>
    </row>
    <row r="6777" s="330" customFormat="1" ht="15" customHeight="1" spans="1:24">
      <c r="A6777" s="334"/>
      <c r="B6777" s="348" t="s">
        <v>31</v>
      </c>
      <c r="C6777" s="348" t="s">
        <v>3186</v>
      </c>
      <c r="D6777" s="334" t="s">
        <v>33</v>
      </c>
      <c r="E6777" s="336">
        <v>43765</v>
      </c>
      <c r="F6777" s="336"/>
      <c r="G6777" s="336">
        <v>43764</v>
      </c>
      <c r="H6777" s="334" t="s">
        <v>9537</v>
      </c>
      <c r="I6777" s="334">
        <v>15202145401</v>
      </c>
      <c r="J6777" s="348" t="s">
        <v>14990</v>
      </c>
      <c r="K6777" s="337"/>
      <c r="L6777" s="334">
        <v>19429</v>
      </c>
      <c r="M6777" s="338"/>
      <c r="N6777" s="362">
        <f t="shared" si="234"/>
        <v>19429</v>
      </c>
      <c r="X6777" s="339"/>
    </row>
    <row r="6778" s="330" customFormat="1" ht="15" customHeight="1" spans="1:24">
      <c r="A6778" s="334"/>
      <c r="B6778" s="334" t="s">
        <v>31</v>
      </c>
      <c r="C6778" s="334" t="s">
        <v>220</v>
      </c>
      <c r="D6778" s="334" t="s">
        <v>954</v>
      </c>
      <c r="E6778" s="336">
        <v>43765</v>
      </c>
      <c r="F6778" s="336"/>
      <c r="G6778" s="336">
        <v>43764</v>
      </c>
      <c r="H6778" s="334" t="s">
        <v>12932</v>
      </c>
      <c r="I6778" s="334">
        <v>13535730129</v>
      </c>
      <c r="J6778" s="348" t="s">
        <v>14991</v>
      </c>
      <c r="K6778" s="337"/>
      <c r="L6778" s="338"/>
      <c r="M6778" s="334">
        <v>4041</v>
      </c>
      <c r="N6778" s="362">
        <f t="shared" si="234"/>
        <v>4041</v>
      </c>
      <c r="X6778" s="339"/>
    </row>
    <row r="6779" s="330" customFormat="1" ht="15" customHeight="1" spans="1:24">
      <c r="A6779" s="334"/>
      <c r="B6779" s="334" t="s">
        <v>58</v>
      </c>
      <c r="C6779" s="334" t="s">
        <v>794</v>
      </c>
      <c r="D6779" s="334" t="s">
        <v>75</v>
      </c>
      <c r="E6779" s="336">
        <v>43765</v>
      </c>
      <c r="F6779" s="336"/>
      <c r="G6779" s="336">
        <v>43764</v>
      </c>
      <c r="H6779" s="334" t="s">
        <v>9245</v>
      </c>
      <c r="I6779" s="334">
        <v>13564482649</v>
      </c>
      <c r="J6779" s="334" t="s">
        <v>13044</v>
      </c>
      <c r="K6779" s="337"/>
      <c r="L6779" s="338"/>
      <c r="M6779" s="334">
        <v>-12065</v>
      </c>
      <c r="N6779" s="362">
        <f t="shared" si="234"/>
        <v>-12065</v>
      </c>
      <c r="X6779" s="339"/>
    </row>
    <row r="6780" s="330" customFormat="1" ht="15" customHeight="1" spans="1:24">
      <c r="A6780" s="334"/>
      <c r="B6780" s="334" t="s">
        <v>169</v>
      </c>
      <c r="C6780" s="334" t="s">
        <v>542</v>
      </c>
      <c r="D6780" s="334" t="s">
        <v>171</v>
      </c>
      <c r="E6780" s="336">
        <v>43765</v>
      </c>
      <c r="F6780" s="336"/>
      <c r="G6780" s="336">
        <v>43764</v>
      </c>
      <c r="H6780" s="334" t="s">
        <v>13205</v>
      </c>
      <c r="I6780" s="426">
        <v>15214381615</v>
      </c>
      <c r="J6780" s="334" t="s">
        <v>13206</v>
      </c>
      <c r="K6780" s="337"/>
      <c r="L6780" s="338"/>
      <c r="M6780" s="334">
        <v>7939</v>
      </c>
      <c r="N6780" s="362">
        <f t="shared" si="234"/>
        <v>7939</v>
      </c>
      <c r="X6780" s="339"/>
    </row>
    <row r="6781" s="330" customFormat="1" ht="15" customHeight="1" spans="1:24">
      <c r="A6781" s="334"/>
      <c r="B6781" s="334" t="s">
        <v>137</v>
      </c>
      <c r="C6781" s="334" t="s">
        <v>411</v>
      </c>
      <c r="D6781" s="334" t="s">
        <v>139</v>
      </c>
      <c r="E6781" s="336">
        <v>43765</v>
      </c>
      <c r="F6781" s="336"/>
      <c r="G6781" s="336">
        <v>43764</v>
      </c>
      <c r="H6781" s="334" t="s">
        <v>13261</v>
      </c>
      <c r="I6781" s="334">
        <v>18017311733</v>
      </c>
      <c r="J6781" s="334" t="s">
        <v>13262</v>
      </c>
      <c r="K6781" s="337"/>
      <c r="L6781" s="338"/>
      <c r="M6781" s="334">
        <v>32500</v>
      </c>
      <c r="N6781" s="362">
        <f t="shared" si="234"/>
        <v>32500</v>
      </c>
      <c r="X6781" s="339"/>
    </row>
    <row r="6782" s="330" customFormat="1" ht="15" customHeight="1" spans="1:24">
      <c r="A6782" s="334"/>
      <c r="B6782" s="334" t="s">
        <v>66</v>
      </c>
      <c r="C6782" s="334" t="s">
        <v>951</v>
      </c>
      <c r="D6782" s="334" t="s">
        <v>44</v>
      </c>
      <c r="E6782" s="336">
        <v>43765</v>
      </c>
      <c r="F6782" s="336"/>
      <c r="G6782" s="336">
        <v>43765</v>
      </c>
      <c r="H6782" s="334" t="s">
        <v>6576</v>
      </c>
      <c r="I6782" s="334">
        <v>13916254647</v>
      </c>
      <c r="J6782" s="348" t="s">
        <v>14992</v>
      </c>
      <c r="K6782" s="337"/>
      <c r="L6782" s="338"/>
      <c r="M6782" s="334">
        <v>1054</v>
      </c>
      <c r="N6782" s="362">
        <f t="shared" si="234"/>
        <v>1054</v>
      </c>
      <c r="X6782" s="339"/>
    </row>
    <row r="6783" s="330" customFormat="1" ht="15" customHeight="1" spans="1:24">
      <c r="A6783" s="334"/>
      <c r="B6783" s="334" t="s">
        <v>243</v>
      </c>
      <c r="C6783" s="334" t="s">
        <v>309</v>
      </c>
      <c r="D6783" s="334" t="s">
        <v>49</v>
      </c>
      <c r="E6783" s="336">
        <v>43765</v>
      </c>
      <c r="F6783" s="336"/>
      <c r="G6783" s="336">
        <v>43765</v>
      </c>
      <c r="H6783" s="334" t="s">
        <v>9800</v>
      </c>
      <c r="I6783" s="551" t="s">
        <v>14993</v>
      </c>
      <c r="J6783" s="348" t="s">
        <v>14994</v>
      </c>
      <c r="K6783" s="337"/>
      <c r="L6783" s="338"/>
      <c r="M6783" s="334">
        <v>13280</v>
      </c>
      <c r="N6783" s="362">
        <f t="shared" si="234"/>
        <v>13280</v>
      </c>
      <c r="X6783" s="339"/>
    </row>
    <row r="6784" s="330" customFormat="1" ht="15" customHeight="1" spans="1:24">
      <c r="A6784" s="334"/>
      <c r="B6784" s="334" t="s">
        <v>137</v>
      </c>
      <c r="C6784" s="334" t="s">
        <v>2705</v>
      </c>
      <c r="D6784" s="334" t="s">
        <v>2381</v>
      </c>
      <c r="E6784" s="336">
        <v>43765</v>
      </c>
      <c r="F6784" s="336"/>
      <c r="G6784" s="336">
        <v>43765</v>
      </c>
      <c r="H6784" s="334" t="s">
        <v>12517</v>
      </c>
      <c r="I6784" s="334">
        <v>18601728452</v>
      </c>
      <c r="J6784" s="334" t="s">
        <v>12518</v>
      </c>
      <c r="K6784" s="337"/>
      <c r="L6784" s="338"/>
      <c r="M6784" s="334">
        <v>4342</v>
      </c>
      <c r="N6784" s="362">
        <f t="shared" si="234"/>
        <v>4342</v>
      </c>
      <c r="X6784" s="339"/>
    </row>
    <row r="6785" s="330" customFormat="1" ht="15" customHeight="1" spans="1:24">
      <c r="A6785" s="334"/>
      <c r="B6785" s="334" t="s">
        <v>169</v>
      </c>
      <c r="C6785" s="334" t="s">
        <v>542</v>
      </c>
      <c r="D6785" s="334" t="s">
        <v>171</v>
      </c>
      <c r="E6785" s="336">
        <v>43765</v>
      </c>
      <c r="F6785" s="336"/>
      <c r="G6785" s="336">
        <v>43765</v>
      </c>
      <c r="H6785" s="334" t="s">
        <v>11491</v>
      </c>
      <c r="I6785" s="334">
        <v>13917973483</v>
      </c>
      <c r="J6785" s="334" t="s">
        <v>14995</v>
      </c>
      <c r="K6785" s="337"/>
      <c r="L6785" s="338"/>
      <c r="M6785" s="334">
        <v>218</v>
      </c>
      <c r="N6785" s="362">
        <f t="shared" si="234"/>
        <v>218</v>
      </c>
      <c r="X6785" s="339"/>
    </row>
    <row r="6786" s="330" customFormat="1" ht="15" customHeight="1" spans="1:24">
      <c r="A6786" s="334"/>
      <c r="B6786" s="334" t="s">
        <v>205</v>
      </c>
      <c r="C6786" s="334" t="s">
        <v>1467</v>
      </c>
      <c r="D6786" s="334" t="s">
        <v>207</v>
      </c>
      <c r="E6786" s="336">
        <v>43765</v>
      </c>
      <c r="F6786" s="336"/>
      <c r="G6786" s="336">
        <v>43765</v>
      </c>
      <c r="H6786" s="334" t="s">
        <v>10401</v>
      </c>
      <c r="I6786" s="334">
        <v>15502171283</v>
      </c>
      <c r="J6786" s="348" t="s">
        <v>14996</v>
      </c>
      <c r="K6786" s="337"/>
      <c r="L6786" s="338"/>
      <c r="M6786" s="334">
        <v>1333</v>
      </c>
      <c r="N6786" s="362">
        <f t="shared" si="234"/>
        <v>1333</v>
      </c>
      <c r="X6786" s="339"/>
    </row>
    <row r="6787" s="330" customFormat="1" ht="15" customHeight="1" spans="1:24">
      <c r="A6787" s="334"/>
      <c r="B6787" s="334" t="s">
        <v>6313</v>
      </c>
      <c r="C6787" s="334" t="s">
        <v>7818</v>
      </c>
      <c r="D6787" s="334" t="s">
        <v>7871</v>
      </c>
      <c r="E6787" s="336">
        <v>43765</v>
      </c>
      <c r="F6787" s="336"/>
      <c r="G6787" s="336">
        <v>43764</v>
      </c>
      <c r="H6787" s="334" t="s">
        <v>13748</v>
      </c>
      <c r="I6787" s="334">
        <v>13818366193</v>
      </c>
      <c r="J6787" s="348" t="s">
        <v>14997</v>
      </c>
      <c r="K6787" s="337"/>
      <c r="L6787" s="338"/>
      <c r="M6787" s="334">
        <v>2380</v>
      </c>
      <c r="N6787" s="362">
        <f t="shared" si="234"/>
        <v>2380</v>
      </c>
      <c r="X6787" s="339"/>
    </row>
    <row r="6788" s="330" customFormat="1" ht="15" customHeight="1" spans="1:24">
      <c r="A6788" s="334"/>
      <c r="B6788" s="334" t="s">
        <v>31</v>
      </c>
      <c r="C6788" s="334" t="s">
        <v>3186</v>
      </c>
      <c r="D6788" s="334" t="s">
        <v>33</v>
      </c>
      <c r="E6788" s="336">
        <v>43765</v>
      </c>
      <c r="F6788" s="336"/>
      <c r="G6788" s="336">
        <v>43763</v>
      </c>
      <c r="H6788" s="334" t="s">
        <v>4696</v>
      </c>
      <c r="I6788" s="334">
        <v>13851069332</v>
      </c>
      <c r="J6788" s="334" t="s">
        <v>4697</v>
      </c>
      <c r="K6788" s="337"/>
      <c r="L6788" s="338"/>
      <c r="M6788" s="334">
        <v>39000</v>
      </c>
      <c r="N6788" s="362">
        <f t="shared" si="234"/>
        <v>39000</v>
      </c>
      <c r="X6788" s="339"/>
    </row>
    <row r="6789" s="330" customFormat="1" ht="15" customHeight="1" spans="1:24">
      <c r="A6789" s="334"/>
      <c r="B6789" s="334" t="s">
        <v>805</v>
      </c>
      <c r="C6789" s="334" t="s">
        <v>806</v>
      </c>
      <c r="D6789" s="334" t="s">
        <v>171</v>
      </c>
      <c r="E6789" s="336">
        <v>43765</v>
      </c>
      <c r="F6789" s="336"/>
      <c r="G6789" s="336">
        <v>43759</v>
      </c>
      <c r="H6789" s="334" t="s">
        <v>1428</v>
      </c>
      <c r="I6789" s="334">
        <v>13916658461</v>
      </c>
      <c r="J6789" s="334" t="s">
        <v>14612</v>
      </c>
      <c r="K6789" s="337"/>
      <c r="L6789" s="338"/>
      <c r="M6789" s="334">
        <v>3653</v>
      </c>
      <c r="N6789" s="362">
        <f t="shared" si="234"/>
        <v>3653</v>
      </c>
      <c r="X6789" s="339"/>
    </row>
    <row r="6790" s="330" customFormat="1" ht="15" customHeight="1" spans="1:24">
      <c r="A6790" s="334"/>
      <c r="B6790" s="334" t="s">
        <v>137</v>
      </c>
      <c r="C6790" s="408" t="s">
        <v>861</v>
      </c>
      <c r="D6790" s="335" t="s">
        <v>427</v>
      </c>
      <c r="E6790" s="336">
        <v>43765</v>
      </c>
      <c r="F6790" s="336"/>
      <c r="G6790" s="336">
        <v>43765</v>
      </c>
      <c r="H6790" s="334" t="s">
        <v>13359</v>
      </c>
      <c r="I6790" s="334">
        <v>13916333237</v>
      </c>
      <c r="J6790" s="348" t="s">
        <v>14998</v>
      </c>
      <c r="K6790" s="337"/>
      <c r="L6790" s="338"/>
      <c r="M6790" s="334">
        <v>330</v>
      </c>
      <c r="N6790" s="362">
        <f t="shared" si="234"/>
        <v>330</v>
      </c>
      <c r="X6790" s="339"/>
    </row>
    <row r="6791" s="330" customFormat="1" ht="15" customHeight="1" spans="1:24">
      <c r="A6791" s="334"/>
      <c r="B6791" s="334" t="s">
        <v>169</v>
      </c>
      <c r="C6791" s="334" t="s">
        <v>542</v>
      </c>
      <c r="D6791" s="334" t="s">
        <v>171</v>
      </c>
      <c r="E6791" s="336">
        <v>43765</v>
      </c>
      <c r="F6791" s="336"/>
      <c r="G6791" s="336">
        <v>43765</v>
      </c>
      <c r="H6791" s="334" t="s">
        <v>11495</v>
      </c>
      <c r="I6791" s="334">
        <v>13816689803</v>
      </c>
      <c r="J6791" s="334" t="s">
        <v>14999</v>
      </c>
      <c r="K6791" s="337"/>
      <c r="L6791" s="338"/>
      <c r="M6791" s="334">
        <v>473</v>
      </c>
      <c r="N6791" s="362">
        <f t="shared" si="234"/>
        <v>473</v>
      </c>
      <c r="X6791" s="339"/>
    </row>
    <row r="6792" s="330" customFormat="1" ht="15" customHeight="1" spans="1:24">
      <c r="A6792" s="334"/>
      <c r="B6792" s="334" t="s">
        <v>31</v>
      </c>
      <c r="C6792" s="334" t="s">
        <v>2716</v>
      </c>
      <c r="D6792" s="334" t="s">
        <v>221</v>
      </c>
      <c r="E6792" s="336">
        <v>43765</v>
      </c>
      <c r="F6792" s="336"/>
      <c r="G6792" s="336">
        <v>43765</v>
      </c>
      <c r="H6792" s="334" t="s">
        <v>11676</v>
      </c>
      <c r="I6792" s="334">
        <v>13391324689</v>
      </c>
      <c r="J6792" s="348" t="s">
        <v>15000</v>
      </c>
      <c r="K6792" s="337"/>
      <c r="L6792" s="338"/>
      <c r="M6792" s="334">
        <v>240</v>
      </c>
      <c r="N6792" s="362">
        <f t="shared" si="234"/>
        <v>240</v>
      </c>
      <c r="X6792" s="339"/>
    </row>
    <row r="6793" s="330" customFormat="1" ht="15" customHeight="1" spans="1:24">
      <c r="A6793" s="334"/>
      <c r="B6793" s="334" t="s">
        <v>153</v>
      </c>
      <c r="C6793" s="334" t="s">
        <v>302</v>
      </c>
      <c r="D6793" s="334" t="s">
        <v>155</v>
      </c>
      <c r="E6793" s="336">
        <v>43765</v>
      </c>
      <c r="F6793" s="336"/>
      <c r="G6793" s="336">
        <v>43765</v>
      </c>
      <c r="H6793" s="334" t="s">
        <v>11338</v>
      </c>
      <c r="I6793" s="334">
        <v>13819618127</v>
      </c>
      <c r="J6793" s="348" t="s">
        <v>15001</v>
      </c>
      <c r="K6793" s="337"/>
      <c r="L6793" s="338"/>
      <c r="M6793" s="334">
        <v>2205</v>
      </c>
      <c r="N6793" s="362">
        <f t="shared" si="234"/>
        <v>2205</v>
      </c>
      <c r="X6793" s="339"/>
    </row>
    <row r="6794" s="330" customFormat="1" ht="15" customHeight="1" spans="1:24">
      <c r="A6794" s="348"/>
      <c r="B6794" s="334" t="s">
        <v>243</v>
      </c>
      <c r="C6794" s="348" t="s">
        <v>304</v>
      </c>
      <c r="D6794" s="335" t="s">
        <v>49</v>
      </c>
      <c r="E6794" s="336">
        <v>43769</v>
      </c>
      <c r="F6794" s="336">
        <v>43765</v>
      </c>
      <c r="G6794" s="336">
        <v>43766</v>
      </c>
      <c r="H6794" s="334" t="s">
        <v>15002</v>
      </c>
      <c r="I6794" s="444">
        <v>15900891540</v>
      </c>
      <c r="J6794" s="348" t="s">
        <v>15003</v>
      </c>
      <c r="K6794" s="452">
        <v>2000</v>
      </c>
      <c r="L6794" s="334">
        <v>18519</v>
      </c>
      <c r="M6794" s="338"/>
      <c r="N6794" s="362">
        <f t="shared" ref="N6794:N6838" si="235">L6794+M6794</f>
        <v>18519</v>
      </c>
      <c r="X6794" s="339"/>
    </row>
    <row r="6795" s="330" customFormat="1" ht="15" customHeight="1" spans="1:24">
      <c r="A6795" s="348">
        <v>2023284</v>
      </c>
      <c r="B6795" s="334" t="s">
        <v>66</v>
      </c>
      <c r="C6795" s="334" t="s">
        <v>1749</v>
      </c>
      <c r="D6795" s="334" t="s">
        <v>1436</v>
      </c>
      <c r="E6795" s="336">
        <v>43814</v>
      </c>
      <c r="F6795" s="336">
        <v>43765</v>
      </c>
      <c r="G6795" s="336">
        <v>43814</v>
      </c>
      <c r="H6795" s="334" t="s">
        <v>15004</v>
      </c>
      <c r="I6795" s="444">
        <v>13585946925</v>
      </c>
      <c r="J6795" s="348" t="s">
        <v>15005</v>
      </c>
      <c r="K6795" s="452">
        <v>1000</v>
      </c>
      <c r="L6795" s="334">
        <v>9442</v>
      </c>
      <c r="M6795" s="338"/>
      <c r="N6795" s="362">
        <f t="shared" si="235"/>
        <v>9442</v>
      </c>
      <c r="P6795" s="467" t="s">
        <v>52</v>
      </c>
      <c r="X6795" s="339"/>
    </row>
    <row r="6796" s="330" customFormat="1" ht="15" customHeight="1" spans="1:24">
      <c r="A6796" s="348"/>
      <c r="B6796" s="334" t="s">
        <v>5336</v>
      </c>
      <c r="C6796" s="348" t="s">
        <v>5336</v>
      </c>
      <c r="D6796" s="335" t="s">
        <v>8334</v>
      </c>
      <c r="E6796" s="336">
        <v>43766</v>
      </c>
      <c r="F6796" s="336">
        <v>43766</v>
      </c>
      <c r="G6796" s="399" t="s">
        <v>10292</v>
      </c>
      <c r="H6796" s="334" t="s">
        <v>15006</v>
      </c>
      <c r="I6796" s="444">
        <v>15216772148</v>
      </c>
      <c r="J6796" s="348" t="s">
        <v>15007</v>
      </c>
      <c r="K6796" s="452">
        <v>4640</v>
      </c>
      <c r="L6796" s="338"/>
      <c r="M6796" s="338"/>
      <c r="N6796" s="362">
        <f t="shared" si="235"/>
        <v>0</v>
      </c>
      <c r="X6796" s="339"/>
    </row>
    <row r="6797" s="330" customFormat="1" ht="15" customHeight="1" spans="1:24">
      <c r="A6797" s="348"/>
      <c r="B6797" s="334" t="s">
        <v>5336</v>
      </c>
      <c r="C6797" s="348" t="s">
        <v>5336</v>
      </c>
      <c r="D6797" s="334" t="s">
        <v>8334</v>
      </c>
      <c r="E6797" s="336">
        <v>43790</v>
      </c>
      <c r="F6797" s="336">
        <v>43766</v>
      </c>
      <c r="G6797" s="336">
        <v>43790</v>
      </c>
      <c r="H6797" s="334" t="s">
        <v>15008</v>
      </c>
      <c r="I6797" s="444">
        <v>13701858939</v>
      </c>
      <c r="J6797" s="348" t="s">
        <v>15009</v>
      </c>
      <c r="K6797" s="452">
        <v>7214</v>
      </c>
      <c r="L6797" s="334">
        <v>14241</v>
      </c>
      <c r="M6797" s="338"/>
      <c r="N6797" s="362">
        <f t="shared" si="235"/>
        <v>14241</v>
      </c>
      <c r="X6797" s="339"/>
    </row>
    <row r="6798" s="330" customFormat="1" ht="15" customHeight="1" spans="1:24">
      <c r="A6798" s="348"/>
      <c r="B6798" s="334" t="s">
        <v>5336</v>
      </c>
      <c r="C6798" s="348" t="s">
        <v>5336</v>
      </c>
      <c r="D6798" s="334" t="s">
        <v>8334</v>
      </c>
      <c r="E6798" s="336">
        <v>43787</v>
      </c>
      <c r="F6798" s="336">
        <v>43766</v>
      </c>
      <c r="G6798" s="336">
        <v>43787</v>
      </c>
      <c r="H6798" s="334" t="s">
        <v>15010</v>
      </c>
      <c r="I6798" s="444">
        <v>18101887107</v>
      </c>
      <c r="J6798" s="348" t="s">
        <v>15011</v>
      </c>
      <c r="K6798" s="452">
        <v>7849</v>
      </c>
      <c r="L6798" s="334">
        <v>10843</v>
      </c>
      <c r="M6798" s="338"/>
      <c r="N6798" s="362">
        <f t="shared" si="235"/>
        <v>10843</v>
      </c>
      <c r="X6798" s="339"/>
    </row>
    <row r="6799" s="330" customFormat="1" ht="15" customHeight="1" spans="1:24">
      <c r="A6799" s="348"/>
      <c r="B6799" s="334" t="s">
        <v>5336</v>
      </c>
      <c r="C6799" s="348" t="s">
        <v>5336</v>
      </c>
      <c r="D6799" s="335" t="s">
        <v>8334</v>
      </c>
      <c r="E6799" s="336">
        <v>43802</v>
      </c>
      <c r="F6799" s="336">
        <v>43766</v>
      </c>
      <c r="G6799" s="336">
        <v>43802</v>
      </c>
      <c r="H6799" s="334" t="s">
        <v>15012</v>
      </c>
      <c r="I6799" s="444">
        <v>13373693975</v>
      </c>
      <c r="J6799" s="348" t="s">
        <v>15013</v>
      </c>
      <c r="K6799" s="452">
        <v>9023</v>
      </c>
      <c r="L6799" s="334">
        <v>9023</v>
      </c>
      <c r="M6799" s="338"/>
      <c r="N6799" s="362">
        <f t="shared" si="235"/>
        <v>9023</v>
      </c>
      <c r="X6799" s="339"/>
    </row>
    <row r="6800" s="330" customFormat="1" ht="15" customHeight="1" spans="1:24">
      <c r="A6800" s="348">
        <v>2021921</v>
      </c>
      <c r="B6800" s="334" t="s">
        <v>35</v>
      </c>
      <c r="C6800" s="348" t="s">
        <v>328</v>
      </c>
      <c r="D6800" s="335" t="s">
        <v>37</v>
      </c>
      <c r="E6800" s="336">
        <v>43766</v>
      </c>
      <c r="F6800" s="336">
        <v>43765</v>
      </c>
      <c r="G6800" s="399"/>
      <c r="H6800" s="334" t="s">
        <v>15014</v>
      </c>
      <c r="I6800" s="444">
        <v>15900870669</v>
      </c>
      <c r="J6800" s="348" t="s">
        <v>15015</v>
      </c>
      <c r="K6800" s="452">
        <v>1000</v>
      </c>
      <c r="L6800" s="338"/>
      <c r="M6800" s="338"/>
      <c r="N6800" s="362">
        <f t="shared" si="235"/>
        <v>0</v>
      </c>
      <c r="R6800" s="356" t="s">
        <v>52</v>
      </c>
      <c r="X6800" s="339"/>
    </row>
    <row r="6801" s="330" customFormat="1" ht="15" customHeight="1" spans="1:24">
      <c r="A6801" s="348" t="s">
        <v>13074</v>
      </c>
      <c r="B6801" s="334" t="s">
        <v>137</v>
      </c>
      <c r="C6801" s="348" t="s">
        <v>861</v>
      </c>
      <c r="D6801" s="335" t="s">
        <v>427</v>
      </c>
      <c r="E6801" s="336">
        <v>43766</v>
      </c>
      <c r="F6801" s="336">
        <v>43765</v>
      </c>
      <c r="G6801" s="399" t="s">
        <v>231</v>
      </c>
      <c r="H6801" s="334" t="s">
        <v>14608</v>
      </c>
      <c r="I6801" s="444">
        <v>18101645756</v>
      </c>
      <c r="J6801" s="348" t="s">
        <v>14609</v>
      </c>
      <c r="K6801" s="452">
        <v>9041</v>
      </c>
      <c r="L6801" s="338"/>
      <c r="M6801" s="338"/>
      <c r="N6801" s="362">
        <f t="shared" si="235"/>
        <v>0</v>
      </c>
      <c r="R6801" s="330">
        <v>1</v>
      </c>
      <c r="X6801" s="339"/>
    </row>
    <row r="6802" s="330" customFormat="1" ht="15" customHeight="1" spans="1:24">
      <c r="A6802" s="550" t="s">
        <v>4880</v>
      </c>
      <c r="B6802" s="334" t="s">
        <v>137</v>
      </c>
      <c r="C6802" s="348" t="s">
        <v>861</v>
      </c>
      <c r="D6802" s="334" t="s">
        <v>2381</v>
      </c>
      <c r="E6802" s="336">
        <v>43795</v>
      </c>
      <c r="F6802" s="336">
        <v>43765</v>
      </c>
      <c r="G6802" s="336">
        <v>43794</v>
      </c>
      <c r="H6802" s="334" t="s">
        <v>15016</v>
      </c>
      <c r="I6802" s="444">
        <v>13917492286</v>
      </c>
      <c r="J6802" s="348" t="s">
        <v>15017</v>
      </c>
      <c r="K6802" s="452">
        <v>1000</v>
      </c>
      <c r="L6802" s="334">
        <v>26072</v>
      </c>
      <c r="M6802" s="338"/>
      <c r="N6802" s="362">
        <f t="shared" si="235"/>
        <v>26072</v>
      </c>
      <c r="Q6802" s="330">
        <v>1</v>
      </c>
      <c r="X6802" s="339"/>
    </row>
    <row r="6803" s="330" customFormat="1" ht="15" customHeight="1" spans="1:24">
      <c r="A6803" s="550" t="s">
        <v>15018</v>
      </c>
      <c r="B6803" s="334" t="s">
        <v>137</v>
      </c>
      <c r="C6803" s="348" t="s">
        <v>861</v>
      </c>
      <c r="D6803" s="334" t="s">
        <v>443</v>
      </c>
      <c r="E6803" s="336">
        <v>43787</v>
      </c>
      <c r="F6803" s="336">
        <v>43765</v>
      </c>
      <c r="G6803" s="336">
        <v>43786</v>
      </c>
      <c r="H6803" s="334" t="s">
        <v>15019</v>
      </c>
      <c r="I6803" s="444">
        <v>18637241131</v>
      </c>
      <c r="J6803" s="348" t="s">
        <v>15020</v>
      </c>
      <c r="K6803" s="452">
        <v>1000</v>
      </c>
      <c r="L6803" s="334">
        <v>17174</v>
      </c>
      <c r="M6803" s="338"/>
      <c r="N6803" s="362">
        <f t="shared" si="235"/>
        <v>17174</v>
      </c>
      <c r="X6803" s="339"/>
    </row>
    <row r="6804" s="330" customFormat="1" ht="15" customHeight="1" spans="1:24">
      <c r="A6804" s="550" t="s">
        <v>15021</v>
      </c>
      <c r="B6804" s="334" t="s">
        <v>137</v>
      </c>
      <c r="C6804" s="348" t="s">
        <v>138</v>
      </c>
      <c r="D6804" s="334" t="s">
        <v>443</v>
      </c>
      <c r="E6804" s="336">
        <v>43821</v>
      </c>
      <c r="F6804" s="336">
        <v>43765</v>
      </c>
      <c r="G6804" s="336">
        <v>43820</v>
      </c>
      <c r="H6804" s="334" t="s">
        <v>15022</v>
      </c>
      <c r="I6804" s="444">
        <v>18016065819</v>
      </c>
      <c r="J6804" s="348" t="s">
        <v>15023</v>
      </c>
      <c r="K6804" s="452">
        <v>1000</v>
      </c>
      <c r="L6804" s="334">
        <v>4530</v>
      </c>
      <c r="M6804" s="338"/>
      <c r="N6804" s="362">
        <f t="shared" si="235"/>
        <v>4530</v>
      </c>
      <c r="O6804" s="330">
        <v>1</v>
      </c>
      <c r="X6804" s="339"/>
    </row>
    <row r="6805" s="330" customFormat="1" ht="15" customHeight="1" spans="1:24">
      <c r="A6805" s="550" t="s">
        <v>456</v>
      </c>
      <c r="B6805" s="334" t="s">
        <v>66</v>
      </c>
      <c r="C6805" s="348" t="s">
        <v>951</v>
      </c>
      <c r="D6805" s="335" t="s">
        <v>68</v>
      </c>
      <c r="E6805" s="336">
        <v>43766</v>
      </c>
      <c r="F6805" s="336">
        <v>43765</v>
      </c>
      <c r="G6805" s="399"/>
      <c r="H6805" s="334" t="s">
        <v>15024</v>
      </c>
      <c r="I6805" s="444"/>
      <c r="J6805" s="348" t="s">
        <v>15025</v>
      </c>
      <c r="K6805" s="452">
        <v>1000</v>
      </c>
      <c r="L6805" s="338"/>
      <c r="M6805" s="338"/>
      <c r="N6805" s="362">
        <f t="shared" si="235"/>
        <v>0</v>
      </c>
      <c r="X6805" s="339"/>
    </row>
    <row r="6806" s="330" customFormat="1" ht="15" customHeight="1" spans="1:24">
      <c r="A6806" s="550" t="s">
        <v>15026</v>
      </c>
      <c r="B6806" s="334" t="s">
        <v>66</v>
      </c>
      <c r="C6806" s="348" t="s">
        <v>951</v>
      </c>
      <c r="D6806" s="335" t="s">
        <v>68</v>
      </c>
      <c r="E6806" s="336">
        <v>43766</v>
      </c>
      <c r="F6806" s="336">
        <v>43765</v>
      </c>
      <c r="G6806" s="399"/>
      <c r="H6806" s="334" t="s">
        <v>15027</v>
      </c>
      <c r="I6806" s="444">
        <v>13761553310</v>
      </c>
      <c r="J6806" s="348" t="s">
        <v>15028</v>
      </c>
      <c r="K6806" s="452">
        <v>1000</v>
      </c>
      <c r="L6806" s="338"/>
      <c r="M6806" s="338"/>
      <c r="N6806" s="362">
        <f t="shared" si="235"/>
        <v>0</v>
      </c>
      <c r="X6806" s="339"/>
    </row>
    <row r="6807" s="330" customFormat="1" ht="15" customHeight="1" spans="1:24">
      <c r="A6807" s="550" t="s">
        <v>15029</v>
      </c>
      <c r="B6807" s="334" t="s">
        <v>205</v>
      </c>
      <c r="C6807" s="348" t="s">
        <v>1467</v>
      </c>
      <c r="D6807" s="334" t="s">
        <v>44</v>
      </c>
      <c r="E6807" s="336">
        <v>43785</v>
      </c>
      <c r="F6807" s="336">
        <v>43765</v>
      </c>
      <c r="G6807" s="336">
        <v>43774</v>
      </c>
      <c r="H6807" s="334" t="s">
        <v>15030</v>
      </c>
      <c r="I6807" s="444">
        <v>18616588282</v>
      </c>
      <c r="J6807" s="348" t="s">
        <v>15031</v>
      </c>
      <c r="K6807" s="452">
        <v>14730</v>
      </c>
      <c r="L6807" s="334">
        <v>16927</v>
      </c>
      <c r="M6807" s="338"/>
      <c r="N6807" s="362">
        <f t="shared" si="235"/>
        <v>16927</v>
      </c>
      <c r="X6807" s="339"/>
    </row>
    <row r="6808" s="330" customFormat="1" ht="15" customHeight="1" spans="1:24">
      <c r="A6808" s="550" t="s">
        <v>15032</v>
      </c>
      <c r="B6808" s="334" t="s">
        <v>58</v>
      </c>
      <c r="C6808" s="348" t="s">
        <v>59</v>
      </c>
      <c r="D6808" s="334" t="s">
        <v>271</v>
      </c>
      <c r="E6808" s="336">
        <v>43769</v>
      </c>
      <c r="F6808" s="336">
        <v>43765</v>
      </c>
      <c r="G6808" s="336">
        <v>43769</v>
      </c>
      <c r="H6808" s="334" t="s">
        <v>15033</v>
      </c>
      <c r="I6808" s="444">
        <v>13761309223</v>
      </c>
      <c r="J6808" s="348" t="s">
        <v>15034</v>
      </c>
      <c r="K6808" s="452">
        <v>4140</v>
      </c>
      <c r="L6808" s="334">
        <v>4140</v>
      </c>
      <c r="M6808" s="338"/>
      <c r="N6808" s="362">
        <f t="shared" si="235"/>
        <v>4140</v>
      </c>
      <c r="X6808" s="339"/>
    </row>
    <row r="6809" s="330" customFormat="1" ht="15" customHeight="1" spans="1:24">
      <c r="A6809" s="550" t="s">
        <v>15035</v>
      </c>
      <c r="B6809" s="334" t="s">
        <v>58</v>
      </c>
      <c r="C6809" s="348" t="s">
        <v>59</v>
      </c>
      <c r="D6809" s="335" t="s">
        <v>271</v>
      </c>
      <c r="E6809" s="336">
        <v>43782</v>
      </c>
      <c r="F6809" s="336">
        <v>43765</v>
      </c>
      <c r="G6809" s="336">
        <v>43779</v>
      </c>
      <c r="H6809" s="334" t="s">
        <v>15036</v>
      </c>
      <c r="I6809" s="444">
        <v>18916536603</v>
      </c>
      <c r="J6809" s="348" t="s">
        <v>15037</v>
      </c>
      <c r="K6809" s="452">
        <v>5099</v>
      </c>
      <c r="L6809" s="334">
        <f>-1074+7613</f>
        <v>6539</v>
      </c>
      <c r="M6809" s="334">
        <v>1074</v>
      </c>
      <c r="N6809" s="362">
        <f t="shared" si="235"/>
        <v>7613</v>
      </c>
      <c r="X6809" s="339"/>
    </row>
    <row r="6810" s="330" customFormat="1" ht="15" customHeight="1" spans="1:24">
      <c r="A6810" s="550" t="s">
        <v>15038</v>
      </c>
      <c r="B6810" s="334" t="s">
        <v>58</v>
      </c>
      <c r="C6810" s="348" t="s">
        <v>59</v>
      </c>
      <c r="D6810" s="335" t="s">
        <v>343</v>
      </c>
      <c r="E6810" s="336">
        <v>43766</v>
      </c>
      <c r="F6810" s="336">
        <v>43765</v>
      </c>
      <c r="G6810" s="399"/>
      <c r="H6810" s="334" t="s">
        <v>15039</v>
      </c>
      <c r="I6810" s="444">
        <v>18516098384</v>
      </c>
      <c r="J6810" s="348" t="s">
        <v>15040</v>
      </c>
      <c r="K6810" s="452">
        <v>5000</v>
      </c>
      <c r="L6810" s="338"/>
      <c r="M6810" s="338"/>
      <c r="N6810" s="362">
        <f t="shared" si="235"/>
        <v>0</v>
      </c>
      <c r="Q6810" s="365" t="s">
        <v>52</v>
      </c>
      <c r="X6810" s="339"/>
    </row>
    <row r="6811" s="330" customFormat="1" ht="15" customHeight="1" spans="1:24">
      <c r="A6811" s="550" t="s">
        <v>9720</v>
      </c>
      <c r="B6811" s="334" t="s">
        <v>185</v>
      </c>
      <c r="C6811" s="348" t="s">
        <v>886</v>
      </c>
      <c r="D6811" s="335" t="s">
        <v>187</v>
      </c>
      <c r="E6811" s="336">
        <v>43766</v>
      </c>
      <c r="F6811" s="336">
        <v>43765</v>
      </c>
      <c r="G6811" s="399"/>
      <c r="H6811" s="334" t="s">
        <v>15041</v>
      </c>
      <c r="I6811" s="444">
        <v>18621801322</v>
      </c>
      <c r="J6811" s="348" t="s">
        <v>15042</v>
      </c>
      <c r="K6811" s="452">
        <v>999</v>
      </c>
      <c r="L6811" s="338"/>
      <c r="M6811" s="338"/>
      <c r="N6811" s="362">
        <f t="shared" si="235"/>
        <v>0</v>
      </c>
      <c r="Q6811" s="467" t="s">
        <v>52</v>
      </c>
      <c r="X6811" s="339"/>
    </row>
    <row r="6812" s="330" customFormat="1" ht="15" customHeight="1" spans="1:24">
      <c r="A6812" s="550" t="s">
        <v>15043</v>
      </c>
      <c r="B6812" s="334" t="s">
        <v>137</v>
      </c>
      <c r="C6812" s="348" t="s">
        <v>2705</v>
      </c>
      <c r="D6812" s="335" t="s">
        <v>443</v>
      </c>
      <c r="E6812" s="336">
        <v>43766</v>
      </c>
      <c r="F6812" s="336">
        <v>43765</v>
      </c>
      <c r="G6812" s="399"/>
      <c r="H6812" s="334" t="s">
        <v>15044</v>
      </c>
      <c r="I6812" s="444">
        <v>15195956161</v>
      </c>
      <c r="J6812" s="348" t="s">
        <v>15045</v>
      </c>
      <c r="K6812" s="452">
        <v>1000</v>
      </c>
      <c r="L6812" s="338"/>
      <c r="M6812" s="338"/>
      <c r="N6812" s="362">
        <f t="shared" si="235"/>
        <v>0</v>
      </c>
      <c r="P6812" s="330">
        <v>1</v>
      </c>
      <c r="X6812" s="339"/>
    </row>
    <row r="6813" s="330" customFormat="1" ht="15" customHeight="1" spans="1:24">
      <c r="A6813" s="550" t="s">
        <v>9684</v>
      </c>
      <c r="B6813" s="334" t="s">
        <v>137</v>
      </c>
      <c r="C6813" s="348" t="s">
        <v>138</v>
      </c>
      <c r="D6813" s="334" t="s">
        <v>443</v>
      </c>
      <c r="E6813" s="336">
        <v>43794</v>
      </c>
      <c r="F6813" s="336">
        <v>43765</v>
      </c>
      <c r="G6813" s="336">
        <v>43793</v>
      </c>
      <c r="H6813" s="334" t="s">
        <v>15046</v>
      </c>
      <c r="I6813" s="444">
        <v>18621762315</v>
      </c>
      <c r="J6813" s="348" t="s">
        <v>15047</v>
      </c>
      <c r="K6813" s="452">
        <v>1000</v>
      </c>
      <c r="L6813" s="334">
        <v>9729</v>
      </c>
      <c r="M6813" s="338"/>
      <c r="N6813" s="362">
        <f t="shared" si="235"/>
        <v>9729</v>
      </c>
      <c r="Q6813" s="330">
        <v>1</v>
      </c>
      <c r="X6813" s="339"/>
    </row>
    <row r="6814" s="330" customFormat="1" ht="15" customHeight="1" spans="1:24">
      <c r="A6814" s="550" t="s">
        <v>15048</v>
      </c>
      <c r="B6814" s="334" t="s">
        <v>58</v>
      </c>
      <c r="C6814" s="348" t="s">
        <v>109</v>
      </c>
      <c r="D6814" s="335" t="s">
        <v>110</v>
      </c>
      <c r="E6814" s="336">
        <v>43769</v>
      </c>
      <c r="F6814" s="336">
        <v>43765</v>
      </c>
      <c r="G6814" s="336">
        <v>43769</v>
      </c>
      <c r="H6814" s="334" t="s">
        <v>15049</v>
      </c>
      <c r="I6814" s="444">
        <v>18616810421</v>
      </c>
      <c r="J6814" s="348" t="s">
        <v>15050</v>
      </c>
      <c r="K6814" s="452">
        <v>10000</v>
      </c>
      <c r="L6814" s="334">
        <v>9996</v>
      </c>
      <c r="M6814" s="338"/>
      <c r="N6814" s="362">
        <f t="shared" si="235"/>
        <v>9996</v>
      </c>
      <c r="X6814" s="339"/>
    </row>
    <row r="6815" s="330" customFormat="1" ht="15" customHeight="1" spans="1:24">
      <c r="A6815" s="550" t="s">
        <v>15051</v>
      </c>
      <c r="B6815" s="334" t="s">
        <v>205</v>
      </c>
      <c r="C6815" s="348" t="s">
        <v>1467</v>
      </c>
      <c r="D6815" s="334" t="s">
        <v>207</v>
      </c>
      <c r="E6815" s="336">
        <v>43782</v>
      </c>
      <c r="F6815" s="336">
        <v>43765</v>
      </c>
      <c r="G6815" s="336">
        <v>43782</v>
      </c>
      <c r="H6815" s="334" t="s">
        <v>15052</v>
      </c>
      <c r="I6815" s="444">
        <v>18930132396</v>
      </c>
      <c r="J6815" s="348" t="s">
        <v>15053</v>
      </c>
      <c r="K6815" s="452">
        <v>8978</v>
      </c>
      <c r="L6815" s="334">
        <v>5559</v>
      </c>
      <c r="M6815" s="338"/>
      <c r="N6815" s="362">
        <f t="shared" si="235"/>
        <v>5559</v>
      </c>
      <c r="X6815" s="339"/>
    </row>
    <row r="6816" s="330" customFormat="1" ht="15" customHeight="1" spans="1:24">
      <c r="A6816" s="550" t="s">
        <v>8789</v>
      </c>
      <c r="B6816" s="334" t="s">
        <v>185</v>
      </c>
      <c r="C6816" s="348" t="s">
        <v>1204</v>
      </c>
      <c r="D6816" s="335" t="s">
        <v>44</v>
      </c>
      <c r="E6816" s="336">
        <v>43822</v>
      </c>
      <c r="F6816" s="336">
        <v>43765</v>
      </c>
      <c r="G6816" s="336">
        <v>43820</v>
      </c>
      <c r="H6816" s="334" t="s">
        <v>13804</v>
      </c>
      <c r="I6816" s="444">
        <v>17521711853</v>
      </c>
      <c r="J6816" s="348" t="s">
        <v>15054</v>
      </c>
      <c r="K6816" s="452">
        <v>1000</v>
      </c>
      <c r="L6816" s="334">
        <v>17485</v>
      </c>
      <c r="M6816" s="338"/>
      <c r="N6816" s="362">
        <f t="shared" si="235"/>
        <v>17485</v>
      </c>
      <c r="X6816" s="339"/>
    </row>
    <row r="6817" s="330" customFormat="1" ht="15" customHeight="1" spans="1:24">
      <c r="A6817" s="550" t="s">
        <v>15055</v>
      </c>
      <c r="B6817" s="334" t="s">
        <v>315</v>
      </c>
      <c r="C6817" s="348" t="s">
        <v>275</v>
      </c>
      <c r="D6817" s="335" t="s">
        <v>162</v>
      </c>
      <c r="E6817" s="336">
        <v>43769</v>
      </c>
      <c r="F6817" s="336">
        <v>43765</v>
      </c>
      <c r="G6817" s="336">
        <v>43768</v>
      </c>
      <c r="H6817" s="334" t="s">
        <v>15056</v>
      </c>
      <c r="I6817" s="444">
        <v>18221100627</v>
      </c>
      <c r="J6817" s="348" t="s">
        <v>15057</v>
      </c>
      <c r="K6817" s="452">
        <v>7000</v>
      </c>
      <c r="L6817" s="334">
        <v>7000</v>
      </c>
      <c r="M6817" s="338"/>
      <c r="N6817" s="362">
        <f t="shared" si="235"/>
        <v>7000</v>
      </c>
      <c r="X6817" s="339"/>
    </row>
    <row r="6818" s="330" customFormat="1" ht="15" customHeight="1" spans="1:24">
      <c r="A6818" s="348"/>
      <c r="B6818" s="334" t="s">
        <v>153</v>
      </c>
      <c r="C6818" s="348" t="s">
        <v>154</v>
      </c>
      <c r="D6818" s="335" t="s">
        <v>155</v>
      </c>
      <c r="E6818" s="336">
        <v>43766</v>
      </c>
      <c r="F6818" s="336">
        <v>43765</v>
      </c>
      <c r="G6818" s="353" t="s">
        <v>69</v>
      </c>
      <c r="H6818" s="334" t="s">
        <v>144</v>
      </c>
      <c r="I6818" s="444">
        <v>13671540709</v>
      </c>
      <c r="J6818" s="348" t="s">
        <v>15058</v>
      </c>
      <c r="K6818" s="452">
        <v>999</v>
      </c>
      <c r="L6818" s="338"/>
      <c r="M6818" s="338"/>
      <c r="N6818" s="362">
        <f t="shared" si="235"/>
        <v>0</v>
      </c>
      <c r="X6818" s="339"/>
    </row>
    <row r="6819" s="330" customFormat="1" ht="15" customHeight="1" spans="1:24">
      <c r="A6819" s="550" t="s">
        <v>15059</v>
      </c>
      <c r="B6819" s="334" t="s">
        <v>87</v>
      </c>
      <c r="C6819" s="348" t="s">
        <v>466</v>
      </c>
      <c r="D6819" s="335" t="s">
        <v>89</v>
      </c>
      <c r="E6819" s="336">
        <v>43777</v>
      </c>
      <c r="F6819" s="336">
        <v>43765</v>
      </c>
      <c r="G6819" s="336">
        <v>43775</v>
      </c>
      <c r="H6819" s="334" t="s">
        <v>15060</v>
      </c>
      <c r="I6819" s="444">
        <v>13761690918</v>
      </c>
      <c r="J6819" s="348" t="s">
        <v>15061</v>
      </c>
      <c r="K6819" s="452">
        <v>3000</v>
      </c>
      <c r="L6819" s="334">
        <v>19041</v>
      </c>
      <c r="M6819" s="338"/>
      <c r="N6819" s="362">
        <f t="shared" si="235"/>
        <v>19041</v>
      </c>
      <c r="X6819" s="339"/>
    </row>
    <row r="6820" s="330" customFormat="1" ht="15" customHeight="1" spans="1:24">
      <c r="A6820" s="550" t="s">
        <v>15062</v>
      </c>
      <c r="B6820" s="334" t="s">
        <v>726</v>
      </c>
      <c r="C6820" s="348" t="s">
        <v>727</v>
      </c>
      <c r="D6820" s="334" t="s">
        <v>271</v>
      </c>
      <c r="E6820" s="336">
        <v>43769</v>
      </c>
      <c r="F6820" s="336">
        <v>43765</v>
      </c>
      <c r="G6820" s="336">
        <v>43709</v>
      </c>
      <c r="H6820" s="334" t="s">
        <v>15063</v>
      </c>
      <c r="I6820" s="444">
        <v>18610103372</v>
      </c>
      <c r="J6820" s="348" t="s">
        <v>15064</v>
      </c>
      <c r="K6820" s="452">
        <v>12500</v>
      </c>
      <c r="L6820" s="334">
        <v>12500</v>
      </c>
      <c r="M6820" s="338"/>
      <c r="N6820" s="362">
        <f t="shared" si="235"/>
        <v>12500</v>
      </c>
      <c r="X6820" s="339"/>
    </row>
    <row r="6821" s="330" customFormat="1" ht="15" customHeight="1" spans="1:24">
      <c r="A6821" s="550" t="s">
        <v>15065</v>
      </c>
      <c r="B6821" s="334" t="s">
        <v>726</v>
      </c>
      <c r="C6821" s="348" t="s">
        <v>727</v>
      </c>
      <c r="D6821" s="335" t="s">
        <v>149</v>
      </c>
      <c r="E6821" s="336">
        <v>43766</v>
      </c>
      <c r="F6821" s="336">
        <v>43765</v>
      </c>
      <c r="G6821" s="353" t="s">
        <v>14066</v>
      </c>
      <c r="H6821" s="334" t="s">
        <v>15066</v>
      </c>
      <c r="I6821" s="444"/>
      <c r="J6821" s="348" t="s">
        <v>15067</v>
      </c>
      <c r="K6821" s="452">
        <v>7500</v>
      </c>
      <c r="L6821" s="338"/>
      <c r="M6821" s="338"/>
      <c r="N6821" s="362">
        <f t="shared" si="235"/>
        <v>0</v>
      </c>
      <c r="X6821" s="339"/>
    </row>
    <row r="6822" s="330" customFormat="1" ht="15" customHeight="1" spans="1:24">
      <c r="A6822" s="550" t="s">
        <v>15068</v>
      </c>
      <c r="B6822" s="334" t="s">
        <v>66</v>
      </c>
      <c r="C6822" s="348" t="s">
        <v>7029</v>
      </c>
      <c r="D6822" s="335" t="s">
        <v>68</v>
      </c>
      <c r="E6822" s="336">
        <v>43766</v>
      </c>
      <c r="F6822" s="336">
        <v>43765</v>
      </c>
      <c r="G6822" s="399"/>
      <c r="H6822" s="334" t="s">
        <v>15069</v>
      </c>
      <c r="I6822" s="444">
        <v>18602147850</v>
      </c>
      <c r="J6822" s="348" t="s">
        <v>15070</v>
      </c>
      <c r="K6822" s="452">
        <v>1000</v>
      </c>
      <c r="L6822" s="338"/>
      <c r="M6822" s="338"/>
      <c r="N6822" s="362">
        <f t="shared" si="235"/>
        <v>0</v>
      </c>
      <c r="U6822" s="467" t="s">
        <v>52</v>
      </c>
      <c r="X6822" s="339"/>
    </row>
    <row r="6823" s="330" customFormat="1" ht="15" customHeight="1" spans="1:24">
      <c r="A6823" s="550" t="s">
        <v>12534</v>
      </c>
      <c r="B6823" s="334" t="s">
        <v>66</v>
      </c>
      <c r="C6823" s="348" t="s">
        <v>951</v>
      </c>
      <c r="D6823" s="334" t="s">
        <v>2302</v>
      </c>
      <c r="E6823" s="336">
        <v>43769</v>
      </c>
      <c r="F6823" s="336">
        <v>43765</v>
      </c>
      <c r="G6823" s="336">
        <v>43769</v>
      </c>
      <c r="H6823" s="334" t="s">
        <v>15071</v>
      </c>
      <c r="I6823" s="444">
        <v>18581292405</v>
      </c>
      <c r="J6823" s="348" t="s">
        <v>15072</v>
      </c>
      <c r="K6823" s="452">
        <v>1000</v>
      </c>
      <c r="L6823" s="334">
        <v>12283</v>
      </c>
      <c r="M6823" s="338"/>
      <c r="N6823" s="362">
        <f t="shared" si="235"/>
        <v>12283</v>
      </c>
      <c r="X6823" s="339"/>
    </row>
    <row r="6824" s="330" customFormat="1" ht="15" customHeight="1" spans="1:24">
      <c r="A6824" s="348"/>
      <c r="B6824" s="334" t="s">
        <v>354</v>
      </c>
      <c r="C6824" s="348" t="s">
        <v>355</v>
      </c>
      <c r="D6824" s="335" t="s">
        <v>149</v>
      </c>
      <c r="E6824" s="336">
        <v>43766</v>
      </c>
      <c r="F6824" s="336">
        <v>43764</v>
      </c>
      <c r="G6824" s="399"/>
      <c r="H6824" s="334" t="s">
        <v>15073</v>
      </c>
      <c r="I6824" s="444">
        <v>13671933147</v>
      </c>
      <c r="J6824" s="348" t="s">
        <v>15074</v>
      </c>
      <c r="K6824" s="452">
        <v>1000</v>
      </c>
      <c r="L6824" s="338"/>
      <c r="M6824" s="338"/>
      <c r="N6824" s="362">
        <f t="shared" si="235"/>
        <v>0</v>
      </c>
      <c r="V6824" s="356" t="s">
        <v>52</v>
      </c>
      <c r="X6824" s="339"/>
    </row>
    <row r="6825" s="330" customFormat="1" ht="15" customHeight="1" spans="1:24">
      <c r="A6825" s="550" t="s">
        <v>15075</v>
      </c>
      <c r="B6825" s="334" t="s">
        <v>123</v>
      </c>
      <c r="C6825" s="348" t="s">
        <v>32</v>
      </c>
      <c r="D6825" s="335" t="s">
        <v>125</v>
      </c>
      <c r="E6825" s="336">
        <v>43797</v>
      </c>
      <c r="F6825" s="336">
        <v>43765</v>
      </c>
      <c r="G6825" s="336">
        <v>43773</v>
      </c>
      <c r="H6825" s="334" t="s">
        <v>15076</v>
      </c>
      <c r="I6825" s="444">
        <v>15821483876</v>
      </c>
      <c r="J6825" s="348" t="s">
        <v>15077</v>
      </c>
      <c r="K6825" s="452">
        <v>1000</v>
      </c>
      <c r="L6825" s="334">
        <v>9152</v>
      </c>
      <c r="M6825" s="338"/>
      <c r="N6825" s="362">
        <f t="shared" si="235"/>
        <v>9152</v>
      </c>
      <c r="X6825" s="339"/>
    </row>
    <row r="6826" s="330" customFormat="1" ht="15" customHeight="1" spans="1:24">
      <c r="A6826" s="550" t="s">
        <v>15078</v>
      </c>
      <c r="B6826" s="334" t="s">
        <v>31</v>
      </c>
      <c r="C6826" s="348" t="s">
        <v>419</v>
      </c>
      <c r="D6826" s="334" t="s">
        <v>954</v>
      </c>
      <c r="E6826" s="336">
        <v>43766</v>
      </c>
      <c r="F6826" s="336">
        <v>43765</v>
      </c>
      <c r="G6826" s="399">
        <v>43766</v>
      </c>
      <c r="H6826" s="334" t="s">
        <v>15079</v>
      </c>
      <c r="I6826" s="444">
        <v>13817090026</v>
      </c>
      <c r="J6826" s="348" t="s">
        <v>15080</v>
      </c>
      <c r="K6826" s="452">
        <v>2260</v>
      </c>
      <c r="L6826" s="334">
        <v>2260</v>
      </c>
      <c r="M6826" s="338"/>
      <c r="N6826" s="362">
        <f t="shared" si="235"/>
        <v>2260</v>
      </c>
      <c r="X6826" s="339"/>
    </row>
    <row r="6827" s="330" customFormat="1" ht="15" customHeight="1" spans="1:24">
      <c r="A6827" s="550" t="s">
        <v>11333</v>
      </c>
      <c r="B6827" s="334" t="s">
        <v>5435</v>
      </c>
      <c r="C6827" s="348" t="s">
        <v>1728</v>
      </c>
      <c r="D6827" s="334" t="s">
        <v>8334</v>
      </c>
      <c r="E6827" s="336">
        <v>43771</v>
      </c>
      <c r="F6827" s="336">
        <v>43765</v>
      </c>
      <c r="G6827" s="336">
        <v>43771</v>
      </c>
      <c r="H6827" s="334" t="s">
        <v>15081</v>
      </c>
      <c r="I6827" s="444">
        <v>13764674200</v>
      </c>
      <c r="J6827" s="348" t="s">
        <v>15082</v>
      </c>
      <c r="K6827" s="452">
        <v>1466</v>
      </c>
      <c r="L6827" s="334">
        <v>1666</v>
      </c>
      <c r="M6827" s="338"/>
      <c r="N6827" s="362">
        <f t="shared" si="235"/>
        <v>1666</v>
      </c>
      <c r="X6827" s="339"/>
    </row>
    <row r="6828" s="330" customFormat="1" ht="15" customHeight="1" spans="1:24">
      <c r="A6828" s="550" t="s">
        <v>10066</v>
      </c>
      <c r="B6828" s="334" t="s">
        <v>73</v>
      </c>
      <c r="C6828" s="348" t="s">
        <v>74</v>
      </c>
      <c r="D6828" s="334" t="s">
        <v>139</v>
      </c>
      <c r="E6828" s="336">
        <v>43794</v>
      </c>
      <c r="F6828" s="336">
        <v>43765</v>
      </c>
      <c r="G6828" s="336">
        <v>43793</v>
      </c>
      <c r="H6828" s="334" t="s">
        <v>15083</v>
      </c>
      <c r="I6828" s="444">
        <v>15821197071</v>
      </c>
      <c r="J6828" s="348" t="s">
        <v>15084</v>
      </c>
      <c r="K6828" s="452">
        <v>1000</v>
      </c>
      <c r="L6828" s="334">
        <f>-834.2+12370</f>
        <v>11535.8</v>
      </c>
      <c r="M6828" s="334">
        <f>(736+124)*0.97</f>
        <v>834.2</v>
      </c>
      <c r="N6828" s="362">
        <f t="shared" si="235"/>
        <v>12370</v>
      </c>
      <c r="Q6828" s="366" t="s">
        <v>52</v>
      </c>
      <c r="X6828" s="339"/>
    </row>
    <row r="6829" s="330" customFormat="1" ht="15" customHeight="1" spans="1:24">
      <c r="A6829" s="348"/>
      <c r="B6829" s="334" t="s">
        <v>169</v>
      </c>
      <c r="C6829" s="348" t="s">
        <v>542</v>
      </c>
      <c r="D6829" s="335" t="s">
        <v>171</v>
      </c>
      <c r="E6829" s="336">
        <v>43766</v>
      </c>
      <c r="F6829" s="336">
        <v>43765</v>
      </c>
      <c r="G6829" s="399"/>
      <c r="H6829" s="334" t="s">
        <v>15085</v>
      </c>
      <c r="I6829" s="444">
        <v>13701857165</v>
      </c>
      <c r="J6829" s="348" t="s">
        <v>15086</v>
      </c>
      <c r="K6829" s="452">
        <v>1000</v>
      </c>
      <c r="L6829" s="338"/>
      <c r="M6829" s="338"/>
      <c r="N6829" s="362">
        <f t="shared" si="235"/>
        <v>0</v>
      </c>
      <c r="U6829" s="477" t="s">
        <v>12</v>
      </c>
      <c r="X6829" s="339"/>
    </row>
    <row r="6830" s="330" customFormat="1" ht="15" customHeight="1" spans="1:24">
      <c r="A6830" s="550" t="s">
        <v>8418</v>
      </c>
      <c r="B6830" s="334" t="s">
        <v>73</v>
      </c>
      <c r="C6830" s="348" t="s">
        <v>74</v>
      </c>
      <c r="D6830" s="335" t="s">
        <v>75</v>
      </c>
      <c r="E6830" s="336">
        <v>43766</v>
      </c>
      <c r="F6830" s="336">
        <v>43765</v>
      </c>
      <c r="G6830" s="399"/>
      <c r="H6830" s="334" t="s">
        <v>15087</v>
      </c>
      <c r="I6830" s="444">
        <v>13601834836</v>
      </c>
      <c r="J6830" s="348" t="s">
        <v>15088</v>
      </c>
      <c r="K6830" s="452">
        <v>1000</v>
      </c>
      <c r="L6830" s="338"/>
      <c r="M6830" s="338"/>
      <c r="N6830" s="362">
        <f t="shared" si="235"/>
        <v>0</v>
      </c>
      <c r="P6830" s="366" t="s">
        <v>52</v>
      </c>
      <c r="X6830" s="339"/>
    </row>
    <row r="6831" s="330" customFormat="1" ht="15" customHeight="1" spans="1:24">
      <c r="A6831" s="550" t="s">
        <v>672</v>
      </c>
      <c r="B6831" s="334" t="s">
        <v>73</v>
      </c>
      <c r="C6831" s="348" t="s">
        <v>74</v>
      </c>
      <c r="D6831" s="335" t="s">
        <v>75</v>
      </c>
      <c r="E6831" s="336">
        <v>43766</v>
      </c>
      <c r="F6831" s="336">
        <v>43765</v>
      </c>
      <c r="G6831" s="399"/>
      <c r="H6831" s="334" t="s">
        <v>15089</v>
      </c>
      <c r="I6831" s="444">
        <v>13671543346</v>
      </c>
      <c r="J6831" s="348" t="s">
        <v>15090</v>
      </c>
      <c r="K6831" s="452">
        <v>1000</v>
      </c>
      <c r="L6831" s="338"/>
      <c r="M6831" s="338"/>
      <c r="N6831" s="362">
        <f t="shared" si="235"/>
        <v>0</v>
      </c>
      <c r="P6831" s="366" t="s">
        <v>52</v>
      </c>
      <c r="X6831" s="339"/>
    </row>
    <row r="6832" s="330" customFormat="1" ht="15" customHeight="1" spans="1:24">
      <c r="A6832" s="550" t="s">
        <v>15091</v>
      </c>
      <c r="B6832" s="334" t="s">
        <v>73</v>
      </c>
      <c r="C6832" s="348" t="s">
        <v>74</v>
      </c>
      <c r="D6832" s="334" t="s">
        <v>132</v>
      </c>
      <c r="E6832" s="336">
        <v>43787</v>
      </c>
      <c r="F6832" s="336">
        <v>43765</v>
      </c>
      <c r="G6832" s="336">
        <v>43785</v>
      </c>
      <c r="H6832" s="334" t="s">
        <v>3379</v>
      </c>
      <c r="I6832" s="444">
        <v>13402072801</v>
      </c>
      <c r="J6832" s="348" t="s">
        <v>15092</v>
      </c>
      <c r="K6832" s="452">
        <v>1000</v>
      </c>
      <c r="L6832" s="334">
        <v>8639</v>
      </c>
      <c r="M6832" s="338"/>
      <c r="N6832" s="362">
        <f t="shared" si="235"/>
        <v>8639</v>
      </c>
      <c r="X6832" s="339"/>
    </row>
    <row r="6833" s="330" customFormat="1" ht="15" customHeight="1" spans="1:24">
      <c r="A6833" s="550" t="s">
        <v>8305</v>
      </c>
      <c r="B6833" s="334" t="s">
        <v>73</v>
      </c>
      <c r="C6833" s="348" t="s">
        <v>74</v>
      </c>
      <c r="D6833" s="352" t="s">
        <v>75</v>
      </c>
      <c r="E6833" s="336">
        <v>43766</v>
      </c>
      <c r="F6833" s="336">
        <v>43765</v>
      </c>
      <c r="G6833" s="399"/>
      <c r="H6833" s="334" t="s">
        <v>3643</v>
      </c>
      <c r="I6833" s="444">
        <v>18521703028</v>
      </c>
      <c r="J6833" s="348" t="s">
        <v>15093</v>
      </c>
      <c r="K6833" s="452">
        <v>1000</v>
      </c>
      <c r="L6833" s="338"/>
      <c r="M6833" s="338"/>
      <c r="N6833" s="362">
        <f t="shared" si="235"/>
        <v>0</v>
      </c>
      <c r="P6833" s="366"/>
      <c r="X6833" s="339"/>
    </row>
    <row r="6834" s="330" customFormat="1" ht="15" customHeight="1" spans="1:24">
      <c r="A6834" s="550" t="s">
        <v>9206</v>
      </c>
      <c r="B6834" s="334" t="s">
        <v>73</v>
      </c>
      <c r="C6834" s="348" t="s">
        <v>74</v>
      </c>
      <c r="D6834" s="335" t="s">
        <v>75</v>
      </c>
      <c r="E6834" s="336">
        <v>43773</v>
      </c>
      <c r="F6834" s="336">
        <v>43772</v>
      </c>
      <c r="G6834" s="399"/>
      <c r="H6834" s="334" t="s">
        <v>15094</v>
      </c>
      <c r="I6834" s="444">
        <v>15601652337</v>
      </c>
      <c r="J6834" s="348" t="s">
        <v>15095</v>
      </c>
      <c r="K6834" s="452">
        <v>1000</v>
      </c>
      <c r="L6834" s="338"/>
      <c r="M6834" s="338"/>
      <c r="N6834" s="362">
        <f t="shared" si="235"/>
        <v>0</v>
      </c>
      <c r="P6834" s="331"/>
      <c r="Q6834" s="405" t="s">
        <v>52</v>
      </c>
      <c r="X6834" s="339"/>
    </row>
    <row r="6835" s="330" customFormat="1" ht="15" customHeight="1" spans="1:24">
      <c r="A6835" s="348"/>
      <c r="B6835" s="334" t="s">
        <v>87</v>
      </c>
      <c r="C6835" s="348" t="s">
        <v>199</v>
      </c>
      <c r="D6835" s="335" t="s">
        <v>89</v>
      </c>
      <c r="E6835" s="336">
        <v>43791</v>
      </c>
      <c r="F6835" s="336">
        <v>43765</v>
      </c>
      <c r="G6835" s="336">
        <v>43790</v>
      </c>
      <c r="H6835" s="334" t="s">
        <v>15096</v>
      </c>
      <c r="I6835" s="444">
        <v>18516134348</v>
      </c>
      <c r="J6835" s="348" t="s">
        <v>15097</v>
      </c>
      <c r="K6835" s="452">
        <v>1000</v>
      </c>
      <c r="L6835" s="334">
        <v>8400</v>
      </c>
      <c r="M6835" s="338"/>
      <c r="N6835" s="362">
        <f t="shared" si="235"/>
        <v>8400</v>
      </c>
      <c r="X6835" s="339"/>
    </row>
    <row r="6836" s="330" customFormat="1" ht="15" customHeight="1" spans="1:24">
      <c r="A6836" s="550" t="s">
        <v>1387</v>
      </c>
      <c r="B6836" s="334" t="s">
        <v>31</v>
      </c>
      <c r="C6836" s="348" t="s">
        <v>220</v>
      </c>
      <c r="D6836" s="334" t="s">
        <v>954</v>
      </c>
      <c r="E6836" s="336">
        <v>43772</v>
      </c>
      <c r="F6836" s="336">
        <v>43765</v>
      </c>
      <c r="G6836" s="336">
        <v>43771</v>
      </c>
      <c r="H6836" s="334" t="s">
        <v>15098</v>
      </c>
      <c r="I6836" s="444">
        <v>13061782615</v>
      </c>
      <c r="J6836" s="348" t="s">
        <v>15099</v>
      </c>
      <c r="K6836" s="452">
        <v>1000</v>
      </c>
      <c r="L6836" s="334">
        <v>20120</v>
      </c>
      <c r="M6836" s="338"/>
      <c r="N6836" s="362">
        <f t="shared" si="235"/>
        <v>20120</v>
      </c>
      <c r="X6836" s="339"/>
    </row>
    <row r="6837" s="330" customFormat="1" ht="15" customHeight="1" spans="1:24">
      <c r="A6837" s="550" t="s">
        <v>2324</v>
      </c>
      <c r="B6837" s="334" t="s">
        <v>35</v>
      </c>
      <c r="C6837" s="348" t="s">
        <v>36</v>
      </c>
      <c r="D6837" s="335" t="s">
        <v>37</v>
      </c>
      <c r="E6837" s="336">
        <v>43766</v>
      </c>
      <c r="F6837" s="336">
        <v>43765</v>
      </c>
      <c r="G6837" s="399"/>
      <c r="H6837" s="334" t="s">
        <v>15100</v>
      </c>
      <c r="I6837" s="444">
        <v>13917905031</v>
      </c>
      <c r="J6837" s="348" t="s">
        <v>15101</v>
      </c>
      <c r="K6837" s="452">
        <v>1000</v>
      </c>
      <c r="L6837" s="338"/>
      <c r="M6837" s="338"/>
      <c r="N6837" s="362">
        <f t="shared" si="235"/>
        <v>0</v>
      </c>
      <c r="U6837" s="330" t="s">
        <v>40</v>
      </c>
      <c r="X6837" s="339"/>
    </row>
    <row r="6838" s="330" customFormat="1" ht="15" customHeight="1" spans="1:24">
      <c r="A6838" s="550" t="s">
        <v>15102</v>
      </c>
      <c r="B6838" s="334" t="s">
        <v>315</v>
      </c>
      <c r="C6838" s="348" t="s">
        <v>161</v>
      </c>
      <c r="D6838" s="334" t="s">
        <v>162</v>
      </c>
      <c r="E6838" s="336">
        <v>43768</v>
      </c>
      <c r="F6838" s="336">
        <v>43765</v>
      </c>
      <c r="G6838" s="336">
        <v>43768</v>
      </c>
      <c r="H6838" s="334" t="s">
        <v>15103</v>
      </c>
      <c r="I6838" s="444">
        <v>13916016792</v>
      </c>
      <c r="J6838" s="348" t="s">
        <v>15104</v>
      </c>
      <c r="K6838" s="452">
        <v>4266</v>
      </c>
      <c r="L6838" s="334">
        <v>4266</v>
      </c>
      <c r="M6838" s="338"/>
      <c r="N6838" s="362">
        <f t="shared" ref="N6838:N6863" si="236">L6838+M6838</f>
        <v>4266</v>
      </c>
      <c r="X6838" s="339"/>
    </row>
    <row r="6839" s="330" customFormat="1" ht="15" customHeight="1" spans="1:24">
      <c r="A6839" s="550" t="s">
        <v>15105</v>
      </c>
      <c r="B6839" s="334" t="s">
        <v>2625</v>
      </c>
      <c r="C6839" s="348" t="s">
        <v>2626</v>
      </c>
      <c r="D6839" s="334" t="s">
        <v>337</v>
      </c>
      <c r="E6839" s="336">
        <v>43794</v>
      </c>
      <c r="F6839" s="336">
        <v>43765</v>
      </c>
      <c r="G6839" s="336">
        <v>43794</v>
      </c>
      <c r="H6839" s="334" t="s">
        <v>15106</v>
      </c>
      <c r="I6839" s="444">
        <v>13916941024</v>
      </c>
      <c r="J6839" s="348" t="s">
        <v>15107</v>
      </c>
      <c r="K6839" s="452">
        <v>10000</v>
      </c>
      <c r="L6839" s="334">
        <v>24700</v>
      </c>
      <c r="M6839" s="338"/>
      <c r="N6839" s="362">
        <f t="shared" si="236"/>
        <v>24700</v>
      </c>
      <c r="R6839" s="477" t="s">
        <v>4631</v>
      </c>
      <c r="W6839" s="475">
        <v>43793</v>
      </c>
      <c r="X6839" s="339"/>
    </row>
    <row r="6840" s="330" customFormat="1" ht="15" customHeight="1" spans="1:24">
      <c r="A6840" s="348"/>
      <c r="B6840" s="334" t="s">
        <v>5336</v>
      </c>
      <c r="C6840" s="348" t="s">
        <v>5336</v>
      </c>
      <c r="D6840" s="334" t="s">
        <v>8334</v>
      </c>
      <c r="E6840" s="336">
        <v>43790</v>
      </c>
      <c r="F6840" s="336">
        <v>43766</v>
      </c>
      <c r="G6840" s="336">
        <v>43790</v>
      </c>
      <c r="H6840" s="334" t="s">
        <v>15108</v>
      </c>
      <c r="I6840" s="444">
        <v>13671751513</v>
      </c>
      <c r="J6840" s="348" t="s">
        <v>15109</v>
      </c>
      <c r="K6840" s="452">
        <v>4938</v>
      </c>
      <c r="L6840" s="334">
        <v>10648</v>
      </c>
      <c r="M6840" s="338"/>
      <c r="N6840" s="362">
        <f t="shared" si="236"/>
        <v>10648</v>
      </c>
      <c r="X6840" s="339"/>
    </row>
    <row r="6841" s="330" customFormat="1" ht="15" customHeight="1" spans="1:24">
      <c r="A6841" s="550" t="s">
        <v>1391</v>
      </c>
      <c r="B6841" s="334" t="s">
        <v>31</v>
      </c>
      <c r="C6841" s="348" t="s">
        <v>419</v>
      </c>
      <c r="D6841" s="334" t="s">
        <v>33</v>
      </c>
      <c r="E6841" s="336">
        <v>43768</v>
      </c>
      <c r="F6841" s="336">
        <v>43766</v>
      </c>
      <c r="G6841" s="336">
        <v>43767</v>
      </c>
      <c r="H6841" s="334" t="s">
        <v>15110</v>
      </c>
      <c r="I6841" s="444">
        <v>13636471793</v>
      </c>
      <c r="J6841" s="348" t="s">
        <v>15111</v>
      </c>
      <c r="K6841" s="452">
        <v>5401</v>
      </c>
      <c r="L6841" s="334">
        <v>5401</v>
      </c>
      <c r="M6841" s="338"/>
      <c r="N6841" s="362">
        <f t="shared" si="236"/>
        <v>5401</v>
      </c>
      <c r="X6841" s="339"/>
    </row>
    <row r="6842" s="330" customFormat="1" ht="15" customHeight="1" spans="1:24">
      <c r="A6842" s="348"/>
      <c r="B6842" s="334" t="s">
        <v>169</v>
      </c>
      <c r="C6842" s="348" t="s">
        <v>12053</v>
      </c>
      <c r="D6842" s="334" t="s">
        <v>635</v>
      </c>
      <c r="E6842" s="336">
        <v>43792</v>
      </c>
      <c r="F6842" s="336">
        <v>43765</v>
      </c>
      <c r="G6842" s="336">
        <v>43789</v>
      </c>
      <c r="H6842" s="334" t="s">
        <v>15112</v>
      </c>
      <c r="I6842" s="444">
        <v>18001706900</v>
      </c>
      <c r="J6842" s="348" t="s">
        <v>15113</v>
      </c>
      <c r="K6842" s="452">
        <v>1000</v>
      </c>
      <c r="L6842" s="334">
        <v>16961</v>
      </c>
      <c r="M6842" s="334">
        <v>2299</v>
      </c>
      <c r="N6842" s="362">
        <f t="shared" si="236"/>
        <v>19260</v>
      </c>
      <c r="V6842" s="353" t="s">
        <v>1481</v>
      </c>
      <c r="X6842" s="339"/>
    </row>
    <row r="6843" s="330" customFormat="1" ht="15" customHeight="1" spans="1:24">
      <c r="A6843" s="550" t="s">
        <v>15114</v>
      </c>
      <c r="B6843" s="334" t="s">
        <v>58</v>
      </c>
      <c r="C6843" s="348" t="s">
        <v>347</v>
      </c>
      <c r="D6843" s="335" t="s">
        <v>343</v>
      </c>
      <c r="E6843" s="336">
        <v>43766</v>
      </c>
      <c r="F6843" s="336">
        <v>43765</v>
      </c>
      <c r="G6843" s="463">
        <v>43794</v>
      </c>
      <c r="H6843" s="334" t="s">
        <v>15115</v>
      </c>
      <c r="I6843" s="444">
        <v>15821316596</v>
      </c>
      <c r="J6843" s="348" t="s">
        <v>15116</v>
      </c>
      <c r="K6843" s="452">
        <f>10000+1000</f>
        <v>11000</v>
      </c>
      <c r="L6843" s="338"/>
      <c r="M6843" s="338"/>
      <c r="N6843" s="362">
        <f t="shared" si="236"/>
        <v>0</v>
      </c>
      <c r="R6843" s="365" t="s">
        <v>52</v>
      </c>
      <c r="X6843" s="339"/>
    </row>
    <row r="6844" s="330" customFormat="1" ht="15" customHeight="1" spans="1:24">
      <c r="A6844" s="550" t="s">
        <v>15117</v>
      </c>
      <c r="B6844" s="334" t="s">
        <v>58</v>
      </c>
      <c r="C6844" s="348" t="s">
        <v>347</v>
      </c>
      <c r="D6844" s="335" t="s">
        <v>343</v>
      </c>
      <c r="E6844" s="336">
        <v>43766</v>
      </c>
      <c r="F6844" s="336">
        <v>43765</v>
      </c>
      <c r="G6844" s="399"/>
      <c r="H6844" s="334" t="s">
        <v>15118</v>
      </c>
      <c r="I6844" s="444"/>
      <c r="J6844" s="348" t="s">
        <v>15119</v>
      </c>
      <c r="K6844" s="452">
        <v>1000</v>
      </c>
      <c r="L6844" s="338"/>
      <c r="M6844" s="338"/>
      <c r="N6844" s="362">
        <f t="shared" si="236"/>
        <v>0</v>
      </c>
      <c r="O6844" s="366" t="s">
        <v>52</v>
      </c>
      <c r="X6844" s="339"/>
    </row>
    <row r="6845" s="330" customFormat="1" ht="15" customHeight="1" spans="1:24">
      <c r="A6845" s="550" t="s">
        <v>15120</v>
      </c>
      <c r="B6845" s="334" t="s">
        <v>58</v>
      </c>
      <c r="C6845" s="348" t="s">
        <v>794</v>
      </c>
      <c r="D6845" s="335" t="s">
        <v>110</v>
      </c>
      <c r="E6845" s="336">
        <v>43766</v>
      </c>
      <c r="F6845" s="336">
        <v>43765</v>
      </c>
      <c r="G6845" s="399"/>
      <c r="H6845" s="334" t="s">
        <v>5020</v>
      </c>
      <c r="I6845" s="334">
        <v>18650453775</v>
      </c>
      <c r="J6845" s="348" t="s">
        <v>15121</v>
      </c>
      <c r="K6845" s="452">
        <v>1000</v>
      </c>
      <c r="L6845" s="338"/>
      <c r="M6845" s="338"/>
      <c r="N6845" s="362">
        <f t="shared" si="236"/>
        <v>0</v>
      </c>
      <c r="O6845" s="366" t="s">
        <v>52</v>
      </c>
      <c r="X6845" s="339"/>
    </row>
    <row r="6846" s="330" customFormat="1" ht="15" customHeight="1" spans="1:24">
      <c r="A6846" s="550" t="s">
        <v>15122</v>
      </c>
      <c r="B6846" s="334" t="s">
        <v>58</v>
      </c>
      <c r="C6846" s="348" t="s">
        <v>794</v>
      </c>
      <c r="D6846" s="335" t="s">
        <v>110</v>
      </c>
      <c r="E6846" s="336">
        <v>43766</v>
      </c>
      <c r="F6846" s="336">
        <v>43765</v>
      </c>
      <c r="G6846" s="399"/>
      <c r="H6846" s="334" t="s">
        <v>15123</v>
      </c>
      <c r="I6846" s="444">
        <v>13777817222</v>
      </c>
      <c r="J6846" s="348" t="s">
        <v>15124</v>
      </c>
      <c r="K6846" s="452">
        <v>1000</v>
      </c>
      <c r="L6846" s="338"/>
      <c r="M6846" s="338"/>
      <c r="N6846" s="362">
        <f t="shared" si="236"/>
        <v>0</v>
      </c>
      <c r="O6846" s="366" t="s">
        <v>52</v>
      </c>
      <c r="X6846" s="339"/>
    </row>
    <row r="6847" s="330" customFormat="1" ht="15" customHeight="1" spans="1:24">
      <c r="A6847" s="550" t="s">
        <v>15125</v>
      </c>
      <c r="B6847" s="334" t="s">
        <v>137</v>
      </c>
      <c r="C6847" s="348" t="s">
        <v>480</v>
      </c>
      <c r="D6847" s="335" t="s">
        <v>2381</v>
      </c>
      <c r="E6847" s="336">
        <v>43769</v>
      </c>
      <c r="F6847" s="336">
        <v>43766</v>
      </c>
      <c r="G6847" s="336">
        <v>43769</v>
      </c>
      <c r="H6847" s="334" t="s">
        <v>2904</v>
      </c>
      <c r="I6847" s="444">
        <v>13816851715</v>
      </c>
      <c r="J6847" s="348" t="s">
        <v>15126</v>
      </c>
      <c r="K6847" s="452">
        <v>2000</v>
      </c>
      <c r="L6847" s="334">
        <v>12000</v>
      </c>
      <c r="M6847" s="338"/>
      <c r="N6847" s="362">
        <f t="shared" si="236"/>
        <v>12000</v>
      </c>
      <c r="X6847" s="339"/>
    </row>
    <row r="6848" s="330" customFormat="1" ht="15" customHeight="1" spans="1:24">
      <c r="A6848" s="550" t="s">
        <v>2361</v>
      </c>
      <c r="B6848" s="334" t="s">
        <v>35</v>
      </c>
      <c r="C6848" s="348" t="s">
        <v>36</v>
      </c>
      <c r="D6848" s="335" t="s">
        <v>37</v>
      </c>
      <c r="E6848" s="336">
        <v>43789</v>
      </c>
      <c r="F6848" s="336">
        <v>43765</v>
      </c>
      <c r="G6848" s="336">
        <v>43786</v>
      </c>
      <c r="H6848" s="334" t="s">
        <v>15127</v>
      </c>
      <c r="I6848" s="444">
        <v>13917563732</v>
      </c>
      <c r="J6848" s="348" t="s">
        <v>15128</v>
      </c>
      <c r="K6848" s="452">
        <v>1000</v>
      </c>
      <c r="L6848" s="334">
        <v>9700</v>
      </c>
      <c r="M6848" s="338"/>
      <c r="N6848" s="362">
        <f t="shared" si="236"/>
        <v>9700</v>
      </c>
      <c r="X6848" s="339"/>
    </row>
    <row r="6849" s="330" customFormat="1" ht="15" customHeight="1" spans="1:24">
      <c r="A6849" s="550" t="s">
        <v>4968</v>
      </c>
      <c r="B6849" s="334" t="s">
        <v>137</v>
      </c>
      <c r="C6849" s="348" t="s">
        <v>411</v>
      </c>
      <c r="D6849" s="335" t="s">
        <v>427</v>
      </c>
      <c r="E6849" s="336">
        <v>43797</v>
      </c>
      <c r="F6849" s="336">
        <v>43766</v>
      </c>
      <c r="G6849" s="336">
        <v>43796</v>
      </c>
      <c r="H6849" s="334" t="s">
        <v>15129</v>
      </c>
      <c r="I6849" s="444">
        <v>13918318222</v>
      </c>
      <c r="J6849" s="348" t="s">
        <v>15130</v>
      </c>
      <c r="K6849" s="452">
        <v>1000</v>
      </c>
      <c r="L6849" s="334">
        <v>25300</v>
      </c>
      <c r="M6849" s="338"/>
      <c r="N6849" s="362">
        <f t="shared" si="236"/>
        <v>25300</v>
      </c>
      <c r="R6849" s="330">
        <v>1</v>
      </c>
      <c r="X6849" s="339"/>
    </row>
    <row r="6850" s="330" customFormat="1" ht="15" customHeight="1" spans="1:24">
      <c r="A6850" s="348"/>
      <c r="B6850" s="334" t="s">
        <v>315</v>
      </c>
      <c r="C6850" s="334" t="s">
        <v>275</v>
      </c>
      <c r="D6850" s="334" t="s">
        <v>1431</v>
      </c>
      <c r="E6850" s="336">
        <v>43766</v>
      </c>
      <c r="F6850" s="336">
        <v>43764</v>
      </c>
      <c r="G6850" s="399">
        <v>43764</v>
      </c>
      <c r="H6850" s="334" t="s">
        <v>15131</v>
      </c>
      <c r="I6850" s="334">
        <v>18616751010</v>
      </c>
      <c r="J6850" s="348" t="s">
        <v>15132</v>
      </c>
      <c r="K6850" s="452">
        <v>3221</v>
      </c>
      <c r="L6850" s="334">
        <v>3221</v>
      </c>
      <c r="M6850" s="338"/>
      <c r="N6850" s="362">
        <f t="shared" si="236"/>
        <v>3221</v>
      </c>
      <c r="X6850" s="339"/>
    </row>
    <row r="6851" s="330" customFormat="1" ht="15" customHeight="1" spans="1:24">
      <c r="A6851" s="550" t="s">
        <v>7388</v>
      </c>
      <c r="B6851" s="334" t="s">
        <v>185</v>
      </c>
      <c r="C6851" s="348" t="s">
        <v>1620</v>
      </c>
      <c r="D6851" s="335" t="s">
        <v>44</v>
      </c>
      <c r="E6851" s="336">
        <v>43766</v>
      </c>
      <c r="F6851" s="336">
        <v>43766</v>
      </c>
      <c r="G6851" s="399"/>
      <c r="H6851" s="334" t="s">
        <v>15133</v>
      </c>
      <c r="I6851" s="444">
        <v>13801602078</v>
      </c>
      <c r="J6851" s="348" t="s">
        <v>15134</v>
      </c>
      <c r="K6851" s="452">
        <v>1000</v>
      </c>
      <c r="L6851" s="338"/>
      <c r="M6851" s="338"/>
      <c r="N6851" s="362">
        <f t="shared" si="236"/>
        <v>0</v>
      </c>
      <c r="Q6851" s="467" t="s">
        <v>52</v>
      </c>
      <c r="X6851" s="339"/>
    </row>
    <row r="6852" s="330" customFormat="1" ht="15" customHeight="1" spans="1:24">
      <c r="A6852" s="550" t="s">
        <v>7392</v>
      </c>
      <c r="B6852" s="334" t="s">
        <v>185</v>
      </c>
      <c r="C6852" s="348" t="s">
        <v>4146</v>
      </c>
      <c r="D6852" s="335" t="s">
        <v>187</v>
      </c>
      <c r="E6852" s="336">
        <v>43773</v>
      </c>
      <c r="F6852" s="336">
        <v>43765</v>
      </c>
      <c r="G6852" s="336">
        <v>43771</v>
      </c>
      <c r="H6852" s="334" t="s">
        <v>3201</v>
      </c>
      <c r="I6852" s="444">
        <v>13524763661</v>
      </c>
      <c r="J6852" s="348" t="s">
        <v>15135</v>
      </c>
      <c r="K6852" s="452">
        <v>1000</v>
      </c>
      <c r="L6852" s="334">
        <v>12988</v>
      </c>
      <c r="M6852" s="338"/>
      <c r="N6852" s="362">
        <f t="shared" si="236"/>
        <v>12988</v>
      </c>
      <c r="X6852" s="339"/>
    </row>
    <row r="6853" s="330" customFormat="1" ht="15" customHeight="1" spans="1:24">
      <c r="A6853" s="550" t="s">
        <v>7398</v>
      </c>
      <c r="B6853" s="334" t="s">
        <v>185</v>
      </c>
      <c r="C6853" s="348" t="s">
        <v>1620</v>
      </c>
      <c r="D6853" s="335" t="s">
        <v>44</v>
      </c>
      <c r="E6853" s="336">
        <v>43766</v>
      </c>
      <c r="F6853" s="336">
        <v>43766</v>
      </c>
      <c r="G6853" s="399"/>
      <c r="H6853" s="334" t="s">
        <v>15136</v>
      </c>
      <c r="I6853" s="444">
        <v>18918855737</v>
      </c>
      <c r="J6853" s="348" t="s">
        <v>15137</v>
      </c>
      <c r="K6853" s="452">
        <v>1000</v>
      </c>
      <c r="L6853" s="338"/>
      <c r="M6853" s="338"/>
      <c r="N6853" s="362">
        <f t="shared" si="236"/>
        <v>0</v>
      </c>
      <c r="U6853" s="330" t="s">
        <v>12</v>
      </c>
      <c r="X6853" s="339"/>
    </row>
    <row r="6854" s="330" customFormat="1" ht="15" customHeight="1" spans="1:24">
      <c r="A6854" s="550" t="s">
        <v>15138</v>
      </c>
      <c r="B6854" s="334" t="s">
        <v>153</v>
      </c>
      <c r="C6854" s="348" t="s">
        <v>302</v>
      </c>
      <c r="D6854" s="335" t="s">
        <v>155</v>
      </c>
      <c r="E6854" s="336">
        <v>43766</v>
      </c>
      <c r="F6854" s="336">
        <v>43766</v>
      </c>
      <c r="G6854" s="399"/>
      <c r="H6854" s="334" t="s">
        <v>15139</v>
      </c>
      <c r="I6854" s="444">
        <v>15021293088</v>
      </c>
      <c r="J6854" s="348" t="s">
        <v>15140</v>
      </c>
      <c r="K6854" s="452">
        <v>1000</v>
      </c>
      <c r="L6854" s="338"/>
      <c r="M6854" s="338"/>
      <c r="N6854" s="362">
        <f t="shared" si="236"/>
        <v>0</v>
      </c>
      <c r="U6854" s="330" t="s">
        <v>12</v>
      </c>
      <c r="X6854" s="339"/>
    </row>
    <row r="6855" s="330" customFormat="1" ht="15" customHeight="1" spans="1:24">
      <c r="A6855" s="550" t="s">
        <v>15141</v>
      </c>
      <c r="B6855" s="334" t="s">
        <v>58</v>
      </c>
      <c r="C6855" s="348" t="s">
        <v>794</v>
      </c>
      <c r="D6855" s="335" t="s">
        <v>110</v>
      </c>
      <c r="E6855" s="336">
        <v>43766</v>
      </c>
      <c r="F6855" s="336">
        <v>43765</v>
      </c>
      <c r="G6855" s="399"/>
      <c r="H6855" s="334" t="s">
        <v>15142</v>
      </c>
      <c r="I6855" s="444">
        <v>13801626537</v>
      </c>
      <c r="J6855" s="348" t="s">
        <v>15143</v>
      </c>
      <c r="K6855" s="452">
        <v>1000</v>
      </c>
      <c r="L6855" s="338"/>
      <c r="M6855" s="338"/>
      <c r="N6855" s="362">
        <f t="shared" si="236"/>
        <v>0</v>
      </c>
      <c r="O6855" s="366"/>
      <c r="Q6855" s="366"/>
      <c r="R6855" s="366" t="s">
        <v>52</v>
      </c>
      <c r="X6855" s="339"/>
    </row>
    <row r="6856" s="330" customFormat="1" ht="15" customHeight="1" spans="1:24">
      <c r="A6856" s="550" t="s">
        <v>15144</v>
      </c>
      <c r="B6856" s="334" t="s">
        <v>31</v>
      </c>
      <c r="C6856" s="348" t="s">
        <v>2716</v>
      </c>
      <c r="D6856" s="335" t="s">
        <v>33</v>
      </c>
      <c r="E6856" s="336">
        <v>43769</v>
      </c>
      <c r="F6856" s="336">
        <v>43766</v>
      </c>
      <c r="G6856" s="336">
        <v>43768</v>
      </c>
      <c r="H6856" s="334" t="s">
        <v>15145</v>
      </c>
      <c r="I6856" s="444">
        <v>13801913878</v>
      </c>
      <c r="J6856" s="348" t="s">
        <v>15146</v>
      </c>
      <c r="K6856" s="452">
        <v>1000</v>
      </c>
      <c r="L6856" s="334">
        <v>5479</v>
      </c>
      <c r="M6856" s="338"/>
      <c r="N6856" s="362">
        <f t="shared" si="236"/>
        <v>5479</v>
      </c>
      <c r="X6856" s="339"/>
    </row>
    <row r="6857" s="330" customFormat="1" ht="15" customHeight="1" spans="1:24">
      <c r="A6857" s="550" t="s">
        <v>6845</v>
      </c>
      <c r="B6857" s="334" t="s">
        <v>185</v>
      </c>
      <c r="C6857" s="348" t="s">
        <v>1204</v>
      </c>
      <c r="D6857" s="335" t="s">
        <v>44</v>
      </c>
      <c r="E6857" s="336">
        <v>43799</v>
      </c>
      <c r="F6857" s="336">
        <v>43765</v>
      </c>
      <c r="G6857" s="336">
        <v>43799</v>
      </c>
      <c r="H6857" s="334" t="s">
        <v>15147</v>
      </c>
      <c r="I6857" s="444">
        <v>13370243526</v>
      </c>
      <c r="J6857" s="348" t="s">
        <v>15148</v>
      </c>
      <c r="K6857" s="452">
        <v>1000</v>
      </c>
      <c r="L6857" s="334">
        <v>10785</v>
      </c>
      <c r="M6857" s="338"/>
      <c r="N6857" s="362">
        <f t="shared" si="236"/>
        <v>10785</v>
      </c>
      <c r="X6857" s="339"/>
    </row>
    <row r="6858" s="330" customFormat="1" ht="15" customHeight="1" spans="1:24">
      <c r="A6858" s="348"/>
      <c r="B6858" s="334" t="s">
        <v>5336</v>
      </c>
      <c r="C6858" s="348" t="s">
        <v>5336</v>
      </c>
      <c r="D6858" s="334" t="s">
        <v>8334</v>
      </c>
      <c r="E6858" s="336">
        <v>43775</v>
      </c>
      <c r="F6858" s="336">
        <v>43766</v>
      </c>
      <c r="G6858" s="336">
        <v>43775</v>
      </c>
      <c r="H6858" s="334" t="s">
        <v>15149</v>
      </c>
      <c r="I6858" s="444">
        <v>18602181775</v>
      </c>
      <c r="J6858" s="348" t="s">
        <v>15150</v>
      </c>
      <c r="K6858" s="452">
        <v>4938</v>
      </c>
      <c r="L6858" s="334">
        <v>3526</v>
      </c>
      <c r="M6858" s="338"/>
      <c r="N6858" s="362">
        <f t="shared" si="236"/>
        <v>3526</v>
      </c>
      <c r="X6858" s="339"/>
    </row>
    <row r="6859" s="330" customFormat="1" ht="15" customHeight="1" spans="1:24">
      <c r="A6859" s="550" t="s">
        <v>820</v>
      </c>
      <c r="B6859" s="334" t="s">
        <v>58</v>
      </c>
      <c r="C6859" s="348" t="s">
        <v>109</v>
      </c>
      <c r="D6859" s="334" t="s">
        <v>110</v>
      </c>
      <c r="E6859" s="336">
        <v>43766</v>
      </c>
      <c r="F6859" s="336">
        <v>43766</v>
      </c>
      <c r="G6859" s="399">
        <v>43766</v>
      </c>
      <c r="H6859" s="334" t="s">
        <v>15151</v>
      </c>
      <c r="I6859" s="444">
        <v>13888859868</v>
      </c>
      <c r="J6859" s="348" t="s">
        <v>15152</v>
      </c>
      <c r="K6859" s="452">
        <v>3198</v>
      </c>
      <c r="L6859" s="334">
        <v>4058</v>
      </c>
      <c r="M6859" s="338"/>
      <c r="N6859" s="362">
        <f t="shared" si="236"/>
        <v>4058</v>
      </c>
      <c r="X6859" s="339"/>
    </row>
    <row r="6860" s="330" customFormat="1" ht="15" customHeight="1" spans="1:24">
      <c r="A6860" s="348">
        <v>2023334</v>
      </c>
      <c r="B6860" s="334" t="s">
        <v>243</v>
      </c>
      <c r="C6860" s="348" t="s">
        <v>309</v>
      </c>
      <c r="D6860" s="335" t="s">
        <v>49</v>
      </c>
      <c r="E6860" s="336">
        <v>43766</v>
      </c>
      <c r="F6860" s="336">
        <v>43766</v>
      </c>
      <c r="G6860" s="494" t="s">
        <v>69</v>
      </c>
      <c r="H6860" s="334" t="s">
        <v>15153</v>
      </c>
      <c r="I6860" s="444">
        <v>13601891593</v>
      </c>
      <c r="J6860" s="348" t="s">
        <v>15154</v>
      </c>
      <c r="K6860" s="452">
        <v>1000</v>
      </c>
      <c r="L6860" s="338"/>
      <c r="M6860" s="338"/>
      <c r="N6860" s="362">
        <f t="shared" si="236"/>
        <v>0</v>
      </c>
      <c r="R6860" s="356"/>
      <c r="S6860" s="356" t="s">
        <v>52</v>
      </c>
      <c r="X6860" s="339"/>
    </row>
    <row r="6861" s="330" customFormat="1" ht="15" customHeight="1" spans="1:24">
      <c r="A6861" s="550" t="s">
        <v>15155</v>
      </c>
      <c r="B6861" s="334" t="s">
        <v>31</v>
      </c>
      <c r="C6861" s="348" t="s">
        <v>3186</v>
      </c>
      <c r="D6861" s="335" t="s">
        <v>221</v>
      </c>
      <c r="E6861" s="336">
        <v>43766</v>
      </c>
      <c r="F6861" s="336">
        <v>43760</v>
      </c>
      <c r="G6861" s="399"/>
      <c r="H6861" s="334" t="s">
        <v>15156</v>
      </c>
      <c r="I6861" s="444">
        <v>13585647428</v>
      </c>
      <c r="J6861" s="348" t="s">
        <v>15157</v>
      </c>
      <c r="K6861" s="452">
        <v>1000</v>
      </c>
      <c r="L6861" s="338"/>
      <c r="M6861" s="338"/>
      <c r="N6861" s="362">
        <f t="shared" si="236"/>
        <v>0</v>
      </c>
      <c r="U6861" s="330" t="s">
        <v>12</v>
      </c>
      <c r="X6861" s="339"/>
    </row>
    <row r="6862" s="330" customFormat="1" ht="15" customHeight="1" spans="1:24">
      <c r="A6862" s="550" t="s">
        <v>15158</v>
      </c>
      <c r="B6862" s="334" t="s">
        <v>66</v>
      </c>
      <c r="C6862" s="348" t="s">
        <v>505</v>
      </c>
      <c r="D6862" s="334" t="s">
        <v>2302</v>
      </c>
      <c r="E6862" s="336">
        <v>43770</v>
      </c>
      <c r="F6862" s="336">
        <v>43766</v>
      </c>
      <c r="G6862" s="336">
        <v>43770</v>
      </c>
      <c r="H6862" s="334" t="s">
        <v>15159</v>
      </c>
      <c r="I6862" s="444">
        <v>18616822668</v>
      </c>
      <c r="J6862" s="348" t="s">
        <v>15160</v>
      </c>
      <c r="K6862" s="452">
        <v>1998</v>
      </c>
      <c r="L6862" s="334">
        <v>5846</v>
      </c>
      <c r="M6862" s="338"/>
      <c r="N6862" s="362">
        <f t="shared" si="236"/>
        <v>5846</v>
      </c>
      <c r="X6862" s="339"/>
    </row>
    <row r="6863" s="330" customFormat="1" ht="15" customHeight="1" spans="1:24">
      <c r="A6863" s="550" t="s">
        <v>15161</v>
      </c>
      <c r="B6863" s="334" t="s">
        <v>281</v>
      </c>
      <c r="C6863" s="348" t="s">
        <v>491</v>
      </c>
      <c r="D6863" s="335" t="s">
        <v>49</v>
      </c>
      <c r="E6863" s="336">
        <v>43766</v>
      </c>
      <c r="F6863" s="336">
        <v>43766</v>
      </c>
      <c r="G6863" s="399"/>
      <c r="H6863" s="334" t="s">
        <v>15162</v>
      </c>
      <c r="I6863" s="444">
        <v>13584817812</v>
      </c>
      <c r="J6863" s="348" t="s">
        <v>15163</v>
      </c>
      <c r="K6863" s="452">
        <v>1000</v>
      </c>
      <c r="L6863" s="338"/>
      <c r="M6863" s="338"/>
      <c r="N6863" s="362">
        <f t="shared" si="236"/>
        <v>0</v>
      </c>
      <c r="X6863" s="339"/>
    </row>
    <row r="6864" s="330" customFormat="1" ht="15" customHeight="1" spans="1:24">
      <c r="A6864" s="334"/>
      <c r="B6864" s="334" t="s">
        <v>153</v>
      </c>
      <c r="C6864" s="334" t="s">
        <v>302</v>
      </c>
      <c r="D6864" s="334" t="s">
        <v>155</v>
      </c>
      <c r="E6864" s="336">
        <v>43766</v>
      </c>
      <c r="F6864" s="336"/>
      <c r="G6864" s="336">
        <v>43764</v>
      </c>
      <c r="H6864" s="334" t="s">
        <v>15164</v>
      </c>
      <c r="I6864" s="334">
        <v>13901779833</v>
      </c>
      <c r="J6864" s="348" t="s">
        <v>15165</v>
      </c>
      <c r="K6864" s="337"/>
      <c r="L6864" s="334">
        <v>13847</v>
      </c>
      <c r="M6864" s="334">
        <v>416</v>
      </c>
      <c r="N6864" s="362">
        <f t="shared" ref="N6864:N6882" si="237">L6864+M6864</f>
        <v>14263</v>
      </c>
      <c r="X6864" s="339"/>
    </row>
    <row r="6865" s="330" customFormat="1" ht="15" customHeight="1" spans="1:24">
      <c r="A6865" s="334"/>
      <c r="B6865" s="334" t="s">
        <v>243</v>
      </c>
      <c r="C6865" s="334" t="s">
        <v>304</v>
      </c>
      <c r="D6865" s="335" t="s">
        <v>49</v>
      </c>
      <c r="E6865" s="336">
        <v>43766</v>
      </c>
      <c r="F6865" s="336"/>
      <c r="G6865" s="336">
        <v>43763</v>
      </c>
      <c r="H6865" s="334" t="s">
        <v>15166</v>
      </c>
      <c r="I6865" s="334">
        <v>13818848021</v>
      </c>
      <c r="J6865" s="348" t="s">
        <v>15167</v>
      </c>
      <c r="K6865" s="337"/>
      <c r="L6865" s="334">
        <v>27056</v>
      </c>
      <c r="M6865" s="338"/>
      <c r="N6865" s="362">
        <f t="shared" si="237"/>
        <v>27056</v>
      </c>
      <c r="X6865" s="339"/>
    </row>
    <row r="6866" s="330" customFormat="1" ht="15" customHeight="1" spans="1:24">
      <c r="A6866" s="334"/>
      <c r="B6866" s="334" t="s">
        <v>137</v>
      </c>
      <c r="C6866" s="334" t="s">
        <v>426</v>
      </c>
      <c r="D6866" s="334" t="s">
        <v>2381</v>
      </c>
      <c r="E6866" s="336">
        <v>43766</v>
      </c>
      <c r="F6866" s="336"/>
      <c r="G6866" s="336">
        <v>43760</v>
      </c>
      <c r="H6866" s="334" t="s">
        <v>15168</v>
      </c>
      <c r="I6866" s="334">
        <v>13671877237</v>
      </c>
      <c r="J6866" s="348" t="s">
        <v>15169</v>
      </c>
      <c r="K6866" s="337"/>
      <c r="L6866" s="334">
        <v>6703</v>
      </c>
      <c r="M6866" s="338"/>
      <c r="N6866" s="362">
        <f t="shared" si="237"/>
        <v>6703</v>
      </c>
      <c r="X6866" s="339"/>
    </row>
    <row r="6867" s="330" customFormat="1" ht="15" customHeight="1" spans="1:24">
      <c r="A6867" s="334"/>
      <c r="B6867" s="334" t="s">
        <v>805</v>
      </c>
      <c r="C6867" s="334" t="s">
        <v>4935</v>
      </c>
      <c r="D6867" s="334" t="s">
        <v>171</v>
      </c>
      <c r="E6867" s="336">
        <v>43766</v>
      </c>
      <c r="F6867" s="336"/>
      <c r="G6867" s="336">
        <v>43763</v>
      </c>
      <c r="H6867" s="334" t="s">
        <v>15170</v>
      </c>
      <c r="I6867" s="334">
        <v>13817846201</v>
      </c>
      <c r="J6867" s="348" t="s">
        <v>15171</v>
      </c>
      <c r="K6867" s="337"/>
      <c r="L6867" s="334">
        <v>20500</v>
      </c>
      <c r="M6867" s="334">
        <v>-93</v>
      </c>
      <c r="N6867" s="362">
        <f t="shared" si="237"/>
        <v>20407</v>
      </c>
      <c r="X6867" s="339"/>
    </row>
    <row r="6868" s="330" customFormat="1" ht="15" customHeight="1" spans="1:24">
      <c r="A6868" s="334"/>
      <c r="B6868" s="334" t="s">
        <v>58</v>
      </c>
      <c r="C6868" s="334" t="s">
        <v>109</v>
      </c>
      <c r="D6868" s="334" t="s">
        <v>271</v>
      </c>
      <c r="E6868" s="336">
        <v>43766</v>
      </c>
      <c r="F6868" s="336"/>
      <c r="G6868" s="336">
        <v>43765</v>
      </c>
      <c r="H6868" s="334" t="s">
        <v>15172</v>
      </c>
      <c r="I6868" s="334">
        <v>18321310021</v>
      </c>
      <c r="J6868" s="348" t="s">
        <v>15173</v>
      </c>
      <c r="K6868" s="337"/>
      <c r="L6868" s="334">
        <v>4424</v>
      </c>
      <c r="M6868" s="338"/>
      <c r="N6868" s="362">
        <f t="shared" si="237"/>
        <v>4424</v>
      </c>
      <c r="X6868" s="339"/>
    </row>
    <row r="6869" s="330" customFormat="1" ht="15" customHeight="1" spans="1:24">
      <c r="A6869" s="334"/>
      <c r="B6869" s="334" t="s">
        <v>94</v>
      </c>
      <c r="C6869" s="334" t="s">
        <v>95</v>
      </c>
      <c r="D6869" s="334" t="s">
        <v>44</v>
      </c>
      <c r="E6869" s="336">
        <v>43766</v>
      </c>
      <c r="F6869" s="336"/>
      <c r="G6869" s="336">
        <v>43764</v>
      </c>
      <c r="H6869" s="334" t="s">
        <v>15174</v>
      </c>
      <c r="I6869" s="334">
        <v>18930777313</v>
      </c>
      <c r="J6869" s="348" t="s">
        <v>15175</v>
      </c>
      <c r="K6869" s="337"/>
      <c r="L6869" s="334">
        <v>13476</v>
      </c>
      <c r="M6869" s="338"/>
      <c r="N6869" s="362">
        <f t="shared" si="237"/>
        <v>13476</v>
      </c>
      <c r="X6869" s="339"/>
    </row>
    <row r="6870" s="330" customFormat="1" ht="15" customHeight="1" spans="1:24">
      <c r="A6870" s="334"/>
      <c r="B6870" s="334" t="s">
        <v>281</v>
      </c>
      <c r="C6870" s="334" t="s">
        <v>517</v>
      </c>
      <c r="D6870" s="334" t="s">
        <v>518</v>
      </c>
      <c r="E6870" s="336">
        <v>43766</v>
      </c>
      <c r="F6870" s="336"/>
      <c r="G6870" s="336">
        <v>43765</v>
      </c>
      <c r="H6870" s="334" t="s">
        <v>84</v>
      </c>
      <c r="I6870" s="444">
        <v>15921100333</v>
      </c>
      <c r="J6870" s="348" t="s">
        <v>15176</v>
      </c>
      <c r="K6870" s="337"/>
      <c r="L6870" s="338"/>
      <c r="M6870" s="334">
        <v>1299</v>
      </c>
      <c r="N6870" s="362">
        <f t="shared" si="237"/>
        <v>1299</v>
      </c>
      <c r="X6870" s="339"/>
    </row>
    <row r="6871" s="330" customFormat="1" ht="15" customHeight="1" spans="1:24">
      <c r="A6871" s="334"/>
      <c r="B6871" s="334" t="s">
        <v>87</v>
      </c>
      <c r="C6871" s="334" t="s">
        <v>466</v>
      </c>
      <c r="D6871" s="334" t="s">
        <v>89</v>
      </c>
      <c r="E6871" s="336">
        <v>43766</v>
      </c>
      <c r="F6871" s="336"/>
      <c r="G6871" s="336">
        <v>43765</v>
      </c>
      <c r="H6871" s="334" t="s">
        <v>13151</v>
      </c>
      <c r="I6871" s="356">
        <v>18501664858</v>
      </c>
      <c r="J6871" s="348" t="s">
        <v>15177</v>
      </c>
      <c r="K6871" s="337"/>
      <c r="L6871" s="338"/>
      <c r="M6871" s="334">
        <v>1239</v>
      </c>
      <c r="N6871" s="362">
        <f t="shared" si="237"/>
        <v>1239</v>
      </c>
      <c r="X6871" s="339"/>
    </row>
    <row r="6872" s="330" customFormat="1" ht="15" customHeight="1" spans="1:24">
      <c r="A6872" s="334"/>
      <c r="B6872" s="334" t="s">
        <v>87</v>
      </c>
      <c r="C6872" s="334" t="s">
        <v>466</v>
      </c>
      <c r="D6872" s="334" t="s">
        <v>89</v>
      </c>
      <c r="E6872" s="336">
        <v>43766</v>
      </c>
      <c r="F6872" s="336"/>
      <c r="G6872" s="336">
        <v>43765</v>
      </c>
      <c r="H6872" s="334" t="s">
        <v>15178</v>
      </c>
      <c r="I6872" s="551" t="s">
        <v>15179</v>
      </c>
      <c r="J6872" s="334" t="s">
        <v>15180</v>
      </c>
      <c r="K6872" s="337"/>
      <c r="L6872" s="338"/>
      <c r="M6872" s="334">
        <v>2963</v>
      </c>
      <c r="N6872" s="362">
        <f t="shared" si="237"/>
        <v>2963</v>
      </c>
      <c r="X6872" s="339"/>
    </row>
    <row r="6873" s="330" customFormat="1" ht="15" customHeight="1" spans="1:24">
      <c r="A6873" s="334"/>
      <c r="B6873" s="334" t="s">
        <v>35</v>
      </c>
      <c r="C6873" s="334" t="s">
        <v>328</v>
      </c>
      <c r="D6873" s="334" t="s">
        <v>37</v>
      </c>
      <c r="E6873" s="336">
        <v>43766</v>
      </c>
      <c r="F6873" s="336"/>
      <c r="G6873" s="336">
        <v>43765</v>
      </c>
      <c r="H6873" s="334" t="s">
        <v>1462</v>
      </c>
      <c r="I6873" s="356">
        <v>1591695069</v>
      </c>
      <c r="J6873" s="348" t="s">
        <v>1463</v>
      </c>
      <c r="K6873" s="337"/>
      <c r="L6873" s="338"/>
      <c r="M6873" s="334">
        <v>3546</v>
      </c>
      <c r="N6873" s="362">
        <f t="shared" si="237"/>
        <v>3546</v>
      </c>
      <c r="X6873" s="339"/>
    </row>
    <row r="6874" s="330" customFormat="1" ht="15" customHeight="1" spans="1:24">
      <c r="A6874" s="334"/>
      <c r="B6874" s="334" t="s">
        <v>726</v>
      </c>
      <c r="C6874" s="334" t="s">
        <v>727</v>
      </c>
      <c r="D6874" s="334" t="s">
        <v>271</v>
      </c>
      <c r="E6874" s="336">
        <v>43766</v>
      </c>
      <c r="F6874" s="336"/>
      <c r="G6874" s="336">
        <v>43765</v>
      </c>
      <c r="H6874" s="334" t="s">
        <v>2040</v>
      </c>
      <c r="I6874" s="356">
        <v>18001654798</v>
      </c>
      <c r="J6874" s="348" t="s">
        <v>2041</v>
      </c>
      <c r="K6874" s="337"/>
      <c r="L6874" s="338"/>
      <c r="M6874" s="334">
        <v>2324</v>
      </c>
      <c r="N6874" s="362">
        <f t="shared" si="237"/>
        <v>2324</v>
      </c>
      <c r="X6874" s="339"/>
    </row>
    <row r="6875" s="330" customFormat="1" ht="15" customHeight="1" spans="1:24">
      <c r="A6875" s="334"/>
      <c r="B6875" s="334" t="s">
        <v>42</v>
      </c>
      <c r="C6875" s="334" t="s">
        <v>12765</v>
      </c>
      <c r="D6875" s="334" t="s">
        <v>207</v>
      </c>
      <c r="E6875" s="336">
        <v>43766</v>
      </c>
      <c r="F6875" s="336"/>
      <c r="G6875" s="336">
        <v>43765</v>
      </c>
      <c r="H6875" s="334" t="s">
        <v>12766</v>
      </c>
      <c r="I6875" s="334">
        <v>13371896955</v>
      </c>
      <c r="J6875" s="334" t="s">
        <v>14200</v>
      </c>
      <c r="K6875" s="337"/>
      <c r="L6875" s="338"/>
      <c r="M6875" s="334">
        <v>1154</v>
      </c>
      <c r="N6875" s="362">
        <f t="shared" si="237"/>
        <v>1154</v>
      </c>
      <c r="X6875" s="339"/>
    </row>
    <row r="6876" s="330" customFormat="1" ht="15" customHeight="1" spans="1:24">
      <c r="A6876" s="334"/>
      <c r="B6876" s="334" t="s">
        <v>58</v>
      </c>
      <c r="C6876" s="334" t="s">
        <v>342</v>
      </c>
      <c r="D6876" s="334" t="s">
        <v>343</v>
      </c>
      <c r="E6876" s="336">
        <v>43766</v>
      </c>
      <c r="F6876" s="336"/>
      <c r="G6876" s="336">
        <v>43761</v>
      </c>
      <c r="H6876" s="334" t="s">
        <v>1932</v>
      </c>
      <c r="I6876" s="334">
        <v>13816167423</v>
      </c>
      <c r="J6876" s="334" t="s">
        <v>14727</v>
      </c>
      <c r="K6876" s="337"/>
      <c r="L6876" s="338"/>
      <c r="M6876" s="334">
        <v>745</v>
      </c>
      <c r="N6876" s="362">
        <f t="shared" si="237"/>
        <v>745</v>
      </c>
      <c r="X6876" s="339"/>
    </row>
    <row r="6877" s="330" customFormat="1" ht="15" customHeight="1" spans="1:24">
      <c r="A6877" s="334"/>
      <c r="B6877" s="334" t="s">
        <v>137</v>
      </c>
      <c r="C6877" s="334" t="s">
        <v>411</v>
      </c>
      <c r="D6877" s="334" t="s">
        <v>427</v>
      </c>
      <c r="E6877" s="336">
        <v>43766</v>
      </c>
      <c r="F6877" s="336"/>
      <c r="G6877" s="336">
        <v>43766</v>
      </c>
      <c r="H6877" s="334" t="s">
        <v>6183</v>
      </c>
      <c r="I6877" s="363">
        <v>18616565801</v>
      </c>
      <c r="J6877" s="363" t="s">
        <v>6184</v>
      </c>
      <c r="K6877" s="337"/>
      <c r="L6877" s="338"/>
      <c r="M6877" s="334">
        <v>5316</v>
      </c>
      <c r="N6877" s="362">
        <f t="shared" si="237"/>
        <v>5316</v>
      </c>
      <c r="X6877" s="339"/>
    </row>
    <row r="6878" s="330" customFormat="1" ht="15" customHeight="1" spans="1:24">
      <c r="A6878" s="334"/>
      <c r="B6878" s="334" t="s">
        <v>58</v>
      </c>
      <c r="C6878" s="334" t="s">
        <v>109</v>
      </c>
      <c r="D6878" s="334" t="s">
        <v>110</v>
      </c>
      <c r="E6878" s="336">
        <v>43766</v>
      </c>
      <c r="F6878" s="336"/>
      <c r="G6878" s="336">
        <v>43766</v>
      </c>
      <c r="H6878" s="334" t="s">
        <v>10896</v>
      </c>
      <c r="I6878" s="334">
        <v>18616850339</v>
      </c>
      <c r="J6878" s="334" t="s">
        <v>10897</v>
      </c>
      <c r="K6878" s="337"/>
      <c r="L6878" s="338"/>
      <c r="M6878" s="334">
        <v>400</v>
      </c>
      <c r="N6878" s="362">
        <f t="shared" si="237"/>
        <v>400</v>
      </c>
      <c r="X6878" s="339"/>
    </row>
    <row r="6879" s="330" customFormat="1" ht="15" customHeight="1" spans="1:24">
      <c r="A6879" s="334"/>
      <c r="B6879" s="334" t="s">
        <v>58</v>
      </c>
      <c r="C6879" s="334" t="s">
        <v>342</v>
      </c>
      <c r="D6879" s="334" t="s">
        <v>343</v>
      </c>
      <c r="E6879" s="336">
        <v>43766</v>
      </c>
      <c r="F6879" s="336"/>
      <c r="G6879" s="336">
        <v>43765</v>
      </c>
      <c r="H6879" s="334" t="s">
        <v>12880</v>
      </c>
      <c r="I6879" s="426">
        <v>15374266669</v>
      </c>
      <c r="J6879" s="334" t="s">
        <v>15181</v>
      </c>
      <c r="K6879" s="337"/>
      <c r="L6879" s="338"/>
      <c r="M6879" s="334">
        <v>1691</v>
      </c>
      <c r="N6879" s="362">
        <f t="shared" si="237"/>
        <v>1691</v>
      </c>
      <c r="X6879" s="339"/>
    </row>
    <row r="6880" s="330" customFormat="1" ht="15" customHeight="1" spans="1:24">
      <c r="A6880" s="334"/>
      <c r="B6880" s="334" t="s">
        <v>315</v>
      </c>
      <c r="C6880" s="334" t="s">
        <v>275</v>
      </c>
      <c r="D6880" s="334" t="s">
        <v>132</v>
      </c>
      <c r="E6880" s="336">
        <v>43766</v>
      </c>
      <c r="F6880" s="336"/>
      <c r="G6880" s="336">
        <v>43766</v>
      </c>
      <c r="H6880" s="334" t="s">
        <v>9204</v>
      </c>
      <c r="I6880" s="334">
        <v>15821788860</v>
      </c>
      <c r="J6880" s="334" t="s">
        <v>15182</v>
      </c>
      <c r="K6880" s="337"/>
      <c r="L6880" s="338"/>
      <c r="M6880" s="334">
        <v>1800</v>
      </c>
      <c r="N6880" s="362">
        <f t="shared" si="237"/>
        <v>1800</v>
      </c>
      <c r="X6880" s="339"/>
    </row>
    <row r="6881" s="330" customFormat="1" ht="15" customHeight="1" spans="1:24">
      <c r="A6881" s="334"/>
      <c r="B6881" s="334" t="s">
        <v>73</v>
      </c>
      <c r="C6881" s="334" t="s">
        <v>74</v>
      </c>
      <c r="D6881" s="334" t="s">
        <v>717</v>
      </c>
      <c r="E6881" s="336">
        <v>43766</v>
      </c>
      <c r="F6881" s="336"/>
      <c r="G6881" s="336">
        <v>43766</v>
      </c>
      <c r="H6881" s="334" t="s">
        <v>15183</v>
      </c>
      <c r="I6881" s="356">
        <v>13818582772</v>
      </c>
      <c r="J6881" s="348" t="s">
        <v>2070</v>
      </c>
      <c r="K6881" s="337"/>
      <c r="L6881" s="338"/>
      <c r="M6881" s="334">
        <v>952</v>
      </c>
      <c r="N6881" s="362">
        <f t="shared" si="237"/>
        <v>952</v>
      </c>
      <c r="X6881" s="339"/>
    </row>
    <row r="6882" s="330" customFormat="1" ht="15" customHeight="1" spans="1:24">
      <c r="A6882" s="334"/>
      <c r="B6882" s="334" t="s">
        <v>6313</v>
      </c>
      <c r="C6882" s="334" t="s">
        <v>13918</v>
      </c>
      <c r="D6882" s="334" t="s">
        <v>7871</v>
      </c>
      <c r="E6882" s="336">
        <v>43766</v>
      </c>
      <c r="F6882" s="336"/>
      <c r="G6882" s="336">
        <v>43766</v>
      </c>
      <c r="H6882" s="334" t="s">
        <v>13745</v>
      </c>
      <c r="I6882" s="334">
        <v>13918847225</v>
      </c>
      <c r="J6882" s="334" t="s">
        <v>13746</v>
      </c>
      <c r="K6882" s="337"/>
      <c r="L6882" s="338"/>
      <c r="M6882" s="334">
        <v>3296</v>
      </c>
      <c r="N6882" s="362">
        <f t="shared" si="237"/>
        <v>3296</v>
      </c>
      <c r="X6882" s="339"/>
    </row>
    <row r="6883" s="330" customFormat="1" ht="15" customHeight="1" spans="1:24">
      <c r="A6883" s="550" t="s">
        <v>15184</v>
      </c>
      <c r="B6883" s="334" t="s">
        <v>315</v>
      </c>
      <c r="C6883" s="348" t="s">
        <v>275</v>
      </c>
      <c r="D6883" s="334" t="s">
        <v>149</v>
      </c>
      <c r="E6883" s="336">
        <v>43768</v>
      </c>
      <c r="F6883" s="336">
        <v>43756</v>
      </c>
      <c r="G6883" s="399">
        <v>43767</v>
      </c>
      <c r="H6883" s="334" t="s">
        <v>15185</v>
      </c>
      <c r="I6883" s="444">
        <v>13816767772</v>
      </c>
      <c r="J6883" s="348" t="s">
        <v>15186</v>
      </c>
      <c r="K6883" s="452">
        <v>1000</v>
      </c>
      <c r="L6883" s="334">
        <v>17710</v>
      </c>
      <c r="M6883" s="334">
        <v>3516</v>
      </c>
      <c r="N6883" s="362">
        <f t="shared" ref="N6883:N6914" si="238">L6883+M6883</f>
        <v>21226</v>
      </c>
      <c r="X6883" s="339"/>
    </row>
    <row r="6884" s="330" customFormat="1" ht="15" customHeight="1" spans="1:24">
      <c r="A6884" s="348"/>
      <c r="B6884" s="334" t="s">
        <v>805</v>
      </c>
      <c r="C6884" s="334" t="s">
        <v>4935</v>
      </c>
      <c r="D6884" s="335" t="s">
        <v>171</v>
      </c>
      <c r="E6884" s="336">
        <v>43767</v>
      </c>
      <c r="F6884" s="336">
        <v>43766</v>
      </c>
      <c r="G6884" s="399"/>
      <c r="H6884" s="334" t="s">
        <v>15187</v>
      </c>
      <c r="I6884" s="334">
        <v>15801700430</v>
      </c>
      <c r="J6884" s="348" t="s">
        <v>15188</v>
      </c>
      <c r="K6884" s="452">
        <v>1000</v>
      </c>
      <c r="L6884" s="338"/>
      <c r="M6884" s="338"/>
      <c r="N6884" s="362">
        <f t="shared" si="238"/>
        <v>0</v>
      </c>
      <c r="P6884" s="430" t="s">
        <v>52</v>
      </c>
      <c r="Q6884" s="430"/>
      <c r="X6884" s="339"/>
    </row>
    <row r="6885" s="330" customFormat="1" ht="15" customHeight="1" spans="1:24">
      <c r="A6885" s="348"/>
      <c r="B6885" s="334" t="s">
        <v>315</v>
      </c>
      <c r="C6885" s="348" t="s">
        <v>181</v>
      </c>
      <c r="D6885" s="335" t="s">
        <v>182</v>
      </c>
      <c r="E6885" s="336">
        <v>43786</v>
      </c>
      <c r="F6885" s="336">
        <v>43766</v>
      </c>
      <c r="G6885" s="336">
        <v>43784</v>
      </c>
      <c r="H6885" s="334" t="s">
        <v>15189</v>
      </c>
      <c r="I6885" s="444">
        <v>13918080825</v>
      </c>
      <c r="J6885" s="348" t="s">
        <v>15190</v>
      </c>
      <c r="K6885" s="452">
        <v>1000</v>
      </c>
      <c r="L6885" s="334">
        <v>21000</v>
      </c>
      <c r="M6885" s="338"/>
      <c r="N6885" s="362">
        <f t="shared" si="238"/>
        <v>21000</v>
      </c>
      <c r="X6885" s="339"/>
    </row>
    <row r="6886" s="330" customFormat="1" ht="15" customHeight="1" spans="1:24">
      <c r="A6886" s="348"/>
      <c r="B6886" s="334" t="s">
        <v>315</v>
      </c>
      <c r="C6886" s="348" t="s">
        <v>181</v>
      </c>
      <c r="D6886" s="334" t="s">
        <v>1431</v>
      </c>
      <c r="E6886" s="336">
        <v>43824</v>
      </c>
      <c r="F6886" s="336">
        <v>43766</v>
      </c>
      <c r="G6886" s="336">
        <v>43823</v>
      </c>
      <c r="H6886" s="334" t="s">
        <v>15191</v>
      </c>
      <c r="I6886" s="444">
        <v>13788986023</v>
      </c>
      <c r="J6886" s="348" t="s">
        <v>15192</v>
      </c>
      <c r="K6886" s="452">
        <v>1000</v>
      </c>
      <c r="L6886" s="334">
        <v>32607</v>
      </c>
      <c r="M6886" s="338"/>
      <c r="N6886" s="362">
        <f t="shared" si="238"/>
        <v>32607</v>
      </c>
      <c r="S6886" s="330">
        <v>1</v>
      </c>
      <c r="X6886" s="339"/>
    </row>
    <row r="6887" s="330" customFormat="1" ht="15" customHeight="1" spans="1:24">
      <c r="A6887" s="348"/>
      <c r="B6887" s="334" t="s">
        <v>315</v>
      </c>
      <c r="C6887" s="348" t="s">
        <v>181</v>
      </c>
      <c r="D6887" s="334" t="s">
        <v>1431</v>
      </c>
      <c r="E6887" s="336">
        <v>43774</v>
      </c>
      <c r="F6887" s="336">
        <v>43766</v>
      </c>
      <c r="G6887" s="336">
        <v>43773</v>
      </c>
      <c r="H6887" s="334" t="s">
        <v>15193</v>
      </c>
      <c r="I6887" s="444">
        <v>13918202898</v>
      </c>
      <c r="J6887" s="348" t="s">
        <v>15194</v>
      </c>
      <c r="K6887" s="452">
        <v>1000</v>
      </c>
      <c r="L6887" s="334">
        <v>12721</v>
      </c>
      <c r="M6887" s="338"/>
      <c r="N6887" s="362">
        <f t="shared" si="238"/>
        <v>12721</v>
      </c>
      <c r="X6887" s="339"/>
    </row>
    <row r="6888" s="330" customFormat="1" customHeight="1" spans="1:24">
      <c r="A6888" s="550" t="s">
        <v>13515</v>
      </c>
      <c r="B6888" s="334" t="s">
        <v>236</v>
      </c>
      <c r="C6888" s="348" t="s">
        <v>703</v>
      </c>
      <c r="D6888" s="335" t="s">
        <v>237</v>
      </c>
      <c r="E6888" s="336">
        <v>43767</v>
      </c>
      <c r="F6888" s="336">
        <v>43765</v>
      </c>
      <c r="G6888" s="353" t="s">
        <v>69</v>
      </c>
      <c r="H6888" s="334" t="s">
        <v>15195</v>
      </c>
      <c r="I6888" s="444">
        <v>15001901758</v>
      </c>
      <c r="J6888" s="348" t="s">
        <v>15196</v>
      </c>
      <c r="K6888" s="452">
        <v>1000</v>
      </c>
      <c r="L6888" s="338"/>
      <c r="M6888" s="338"/>
      <c r="N6888" s="362">
        <f t="shared" si="238"/>
        <v>0</v>
      </c>
      <c r="X6888" s="339"/>
    </row>
    <row r="6889" s="330" customFormat="1" ht="15" customHeight="1" spans="1:24">
      <c r="A6889" s="550" t="s">
        <v>15197</v>
      </c>
      <c r="B6889" s="334" t="s">
        <v>236</v>
      </c>
      <c r="C6889" s="348" t="s">
        <v>703</v>
      </c>
      <c r="D6889" s="334" t="s">
        <v>207</v>
      </c>
      <c r="E6889" s="336">
        <v>43773</v>
      </c>
      <c r="F6889" s="336">
        <v>43764</v>
      </c>
      <c r="G6889" s="336">
        <v>43772</v>
      </c>
      <c r="H6889" s="334" t="s">
        <v>15198</v>
      </c>
      <c r="I6889" s="444">
        <v>13816265354</v>
      </c>
      <c r="J6889" s="348" t="s">
        <v>15199</v>
      </c>
      <c r="K6889" s="452">
        <v>2650</v>
      </c>
      <c r="L6889" s="452">
        <v>2650</v>
      </c>
      <c r="M6889" s="338"/>
      <c r="N6889" s="362">
        <f t="shared" si="238"/>
        <v>2650</v>
      </c>
      <c r="X6889" s="339"/>
    </row>
    <row r="6890" s="330" customFormat="1" ht="15" customHeight="1" spans="1:24">
      <c r="A6890" s="550" t="s">
        <v>15200</v>
      </c>
      <c r="B6890" s="334" t="s">
        <v>726</v>
      </c>
      <c r="C6890" s="348" t="s">
        <v>12699</v>
      </c>
      <c r="D6890" s="335" t="s">
        <v>149</v>
      </c>
      <c r="E6890" s="336">
        <v>43767</v>
      </c>
      <c r="F6890" s="336">
        <v>43766</v>
      </c>
      <c r="G6890" s="353" t="s">
        <v>15201</v>
      </c>
      <c r="H6890" s="334" t="s">
        <v>14604</v>
      </c>
      <c r="I6890" s="444">
        <v>13651801333</v>
      </c>
      <c r="J6890" s="348" t="s">
        <v>15202</v>
      </c>
      <c r="K6890" s="452">
        <v>4300</v>
      </c>
      <c r="L6890" s="338"/>
      <c r="M6890" s="338"/>
      <c r="N6890" s="362">
        <f t="shared" si="238"/>
        <v>0</v>
      </c>
      <c r="X6890" s="339"/>
    </row>
    <row r="6891" s="330" customFormat="1" ht="15" customHeight="1" spans="1:24">
      <c r="A6891" s="550" t="s">
        <v>14379</v>
      </c>
      <c r="B6891" s="334" t="s">
        <v>66</v>
      </c>
      <c r="C6891" s="334" t="s">
        <v>505</v>
      </c>
      <c r="D6891" s="334" t="s">
        <v>2302</v>
      </c>
      <c r="E6891" s="336">
        <v>43792</v>
      </c>
      <c r="F6891" s="336">
        <v>43767</v>
      </c>
      <c r="G6891" s="336">
        <v>43792</v>
      </c>
      <c r="H6891" s="334" t="s">
        <v>15203</v>
      </c>
      <c r="I6891" s="444">
        <v>13661629033</v>
      </c>
      <c r="J6891" s="348" t="s">
        <v>15204</v>
      </c>
      <c r="K6891" s="452">
        <v>1000</v>
      </c>
      <c r="L6891" s="334">
        <v>20940</v>
      </c>
      <c r="M6891" s="338"/>
      <c r="N6891" s="362">
        <f t="shared" si="238"/>
        <v>20940</v>
      </c>
      <c r="X6891" s="339"/>
    </row>
    <row r="6892" s="330" customFormat="1" ht="15" customHeight="1" spans="1:24">
      <c r="A6892" s="550" t="s">
        <v>15205</v>
      </c>
      <c r="B6892" s="334" t="s">
        <v>169</v>
      </c>
      <c r="C6892" s="348" t="s">
        <v>634</v>
      </c>
      <c r="D6892" s="334" t="s">
        <v>171</v>
      </c>
      <c r="E6892" s="336">
        <v>43824</v>
      </c>
      <c r="F6892" s="336">
        <v>43767</v>
      </c>
      <c r="G6892" s="336">
        <v>43823</v>
      </c>
      <c r="H6892" s="334" t="s">
        <v>15206</v>
      </c>
      <c r="I6892" s="555" t="s">
        <v>15207</v>
      </c>
      <c r="J6892" s="348" t="s">
        <v>15208</v>
      </c>
      <c r="K6892" s="452">
        <v>1000</v>
      </c>
      <c r="L6892" s="334">
        <v>9963</v>
      </c>
      <c r="M6892" s="338"/>
      <c r="N6892" s="362">
        <f t="shared" si="238"/>
        <v>9963</v>
      </c>
      <c r="O6892" s="353" t="s">
        <v>19</v>
      </c>
      <c r="X6892" s="339"/>
    </row>
    <row r="6893" s="330" customFormat="1" ht="15" customHeight="1" spans="1:24">
      <c r="A6893" s="550" t="s">
        <v>5019</v>
      </c>
      <c r="B6893" s="334" t="s">
        <v>137</v>
      </c>
      <c r="C6893" s="348" t="s">
        <v>406</v>
      </c>
      <c r="D6893" s="335" t="s">
        <v>443</v>
      </c>
      <c r="E6893" s="336">
        <v>43767</v>
      </c>
      <c r="F6893" s="336">
        <v>43766</v>
      </c>
      <c r="G6893" s="399"/>
      <c r="H6893" s="334" t="s">
        <v>15209</v>
      </c>
      <c r="I6893" s="444">
        <v>13817072343</v>
      </c>
      <c r="J6893" s="348" t="s">
        <v>15210</v>
      </c>
      <c r="K6893" s="452">
        <v>1000</v>
      </c>
      <c r="L6893" s="338"/>
      <c r="M6893" s="338"/>
      <c r="N6893" s="362">
        <f t="shared" si="238"/>
        <v>0</v>
      </c>
      <c r="O6893" s="330">
        <v>1</v>
      </c>
      <c r="X6893" s="339"/>
    </row>
    <row r="6894" s="330" customFormat="1" ht="15" customHeight="1" spans="1:24">
      <c r="A6894" s="550" t="s">
        <v>15211</v>
      </c>
      <c r="B6894" s="334" t="s">
        <v>169</v>
      </c>
      <c r="C6894" s="348" t="s">
        <v>634</v>
      </c>
      <c r="D6894" s="335" t="s">
        <v>635</v>
      </c>
      <c r="E6894" s="336">
        <v>43767</v>
      </c>
      <c r="F6894" s="336">
        <v>43767</v>
      </c>
      <c r="G6894" s="399"/>
      <c r="H6894" s="334" t="s">
        <v>15212</v>
      </c>
      <c r="I6894" s="444">
        <v>18121190039</v>
      </c>
      <c r="J6894" s="348" t="s">
        <v>15213</v>
      </c>
      <c r="K6894" s="452">
        <v>1000</v>
      </c>
      <c r="L6894" s="338"/>
      <c r="M6894" s="338"/>
      <c r="N6894" s="362">
        <f t="shared" si="238"/>
        <v>0</v>
      </c>
      <c r="U6894" s="353" t="s">
        <v>12</v>
      </c>
      <c r="V6894" s="353"/>
      <c r="X6894" s="339"/>
    </row>
    <row r="6895" s="330" customFormat="1" ht="15" customHeight="1" spans="1:24">
      <c r="A6895" s="550" t="s">
        <v>7785</v>
      </c>
      <c r="B6895" s="334" t="s">
        <v>169</v>
      </c>
      <c r="C6895" s="348" t="s">
        <v>634</v>
      </c>
      <c r="D6895" s="335" t="s">
        <v>635</v>
      </c>
      <c r="E6895" s="336">
        <v>43776</v>
      </c>
      <c r="F6895" s="336">
        <v>43763</v>
      </c>
      <c r="G6895" s="336">
        <v>43776</v>
      </c>
      <c r="H6895" s="334" t="s">
        <v>15214</v>
      </c>
      <c r="I6895" s="444">
        <v>15800972047</v>
      </c>
      <c r="J6895" s="348" t="s">
        <v>15215</v>
      </c>
      <c r="K6895" s="452">
        <v>1000</v>
      </c>
      <c r="L6895" s="334">
        <v>11853</v>
      </c>
      <c r="M6895" s="338"/>
      <c r="N6895" s="362">
        <f t="shared" si="238"/>
        <v>11853</v>
      </c>
      <c r="X6895" s="339"/>
    </row>
    <row r="6896" s="330" customFormat="1" ht="15" customHeight="1" spans="1:24">
      <c r="A6896" s="550" t="s">
        <v>4702</v>
      </c>
      <c r="B6896" s="334" t="s">
        <v>169</v>
      </c>
      <c r="C6896" s="348" t="s">
        <v>634</v>
      </c>
      <c r="D6896" s="335" t="s">
        <v>635</v>
      </c>
      <c r="E6896" s="336">
        <v>43828</v>
      </c>
      <c r="F6896" s="336">
        <v>43767</v>
      </c>
      <c r="G6896" s="336">
        <v>43828</v>
      </c>
      <c r="H6896" s="334" t="s">
        <v>15216</v>
      </c>
      <c r="I6896" s="444">
        <v>17721187372</v>
      </c>
      <c r="J6896" s="348" t="s">
        <v>15217</v>
      </c>
      <c r="K6896" s="452">
        <v>1000</v>
      </c>
      <c r="L6896" s="334">
        <v>11000</v>
      </c>
      <c r="M6896" s="338"/>
      <c r="N6896" s="362">
        <f t="shared" si="238"/>
        <v>11000</v>
      </c>
      <c r="O6896" s="353" t="s">
        <v>19</v>
      </c>
      <c r="X6896" s="339"/>
    </row>
    <row r="6897" s="330" customFormat="1" ht="15" customHeight="1" spans="1:24">
      <c r="A6897" s="550" t="s">
        <v>4984</v>
      </c>
      <c r="B6897" s="334" t="s">
        <v>169</v>
      </c>
      <c r="C6897" s="348" t="s">
        <v>634</v>
      </c>
      <c r="D6897" s="335" t="s">
        <v>635</v>
      </c>
      <c r="E6897" s="336">
        <v>43786</v>
      </c>
      <c r="F6897" s="336">
        <v>43767</v>
      </c>
      <c r="G6897" s="336">
        <v>43785</v>
      </c>
      <c r="H6897" s="334" t="s">
        <v>15218</v>
      </c>
      <c r="I6897" s="444">
        <v>13917049237</v>
      </c>
      <c r="J6897" s="348" t="s">
        <v>15219</v>
      </c>
      <c r="K6897" s="452">
        <v>15000</v>
      </c>
      <c r="L6897" s="334">
        <v>21933</v>
      </c>
      <c r="M6897" s="338"/>
      <c r="N6897" s="362">
        <f t="shared" si="238"/>
        <v>21933</v>
      </c>
      <c r="X6897" s="339"/>
    </row>
    <row r="6898" s="330" customFormat="1" ht="15" customHeight="1" spans="1:24">
      <c r="A6898" s="348"/>
      <c r="B6898" s="334" t="s">
        <v>169</v>
      </c>
      <c r="C6898" s="348" t="s">
        <v>634</v>
      </c>
      <c r="D6898" s="335" t="s">
        <v>635</v>
      </c>
      <c r="E6898" s="336">
        <v>43817</v>
      </c>
      <c r="F6898" s="336">
        <v>43767</v>
      </c>
      <c r="G6898" s="336">
        <v>43817</v>
      </c>
      <c r="H6898" s="334" t="s">
        <v>15220</v>
      </c>
      <c r="I6898" s="444">
        <v>13501993521</v>
      </c>
      <c r="J6898" s="348" t="s">
        <v>15221</v>
      </c>
      <c r="K6898" s="452">
        <v>2000</v>
      </c>
      <c r="L6898" s="334">
        <v>12830</v>
      </c>
      <c r="M6898" s="338"/>
      <c r="N6898" s="362">
        <f t="shared" si="238"/>
        <v>12830</v>
      </c>
      <c r="O6898" s="353" t="s">
        <v>19</v>
      </c>
      <c r="V6898" s="353"/>
      <c r="X6898" s="339"/>
    </row>
    <row r="6899" s="330" customFormat="1" ht="15" customHeight="1" spans="1:24">
      <c r="A6899" s="550" t="s">
        <v>15222</v>
      </c>
      <c r="B6899" s="334" t="s">
        <v>169</v>
      </c>
      <c r="C6899" s="348" t="s">
        <v>634</v>
      </c>
      <c r="D6899" s="335" t="s">
        <v>635</v>
      </c>
      <c r="E6899" s="336">
        <v>43786</v>
      </c>
      <c r="F6899" s="336">
        <v>43767</v>
      </c>
      <c r="G6899" s="336">
        <v>43786</v>
      </c>
      <c r="H6899" s="334" t="s">
        <v>15223</v>
      </c>
      <c r="I6899" s="444">
        <v>18624393302</v>
      </c>
      <c r="J6899" s="348" t="s">
        <v>15224</v>
      </c>
      <c r="K6899" s="452">
        <v>1000</v>
      </c>
      <c r="L6899" s="334">
        <v>5579</v>
      </c>
      <c r="M6899" s="338"/>
      <c r="N6899" s="362">
        <f t="shared" si="238"/>
        <v>5579</v>
      </c>
      <c r="X6899" s="339"/>
    </row>
    <row r="6900" s="330" customFormat="1" ht="15" customHeight="1" spans="1:24">
      <c r="A6900" s="550" t="s">
        <v>7099</v>
      </c>
      <c r="B6900" s="334" t="s">
        <v>315</v>
      </c>
      <c r="C6900" s="348" t="s">
        <v>230</v>
      </c>
      <c r="D6900" s="335" t="s">
        <v>182</v>
      </c>
      <c r="E6900" s="336">
        <v>43767</v>
      </c>
      <c r="F6900" s="336">
        <v>43767</v>
      </c>
      <c r="G6900" s="399" t="s">
        <v>231</v>
      </c>
      <c r="H6900" s="334" t="s">
        <v>13001</v>
      </c>
      <c r="I6900" s="444">
        <v>18016311877</v>
      </c>
      <c r="J6900" s="348" t="s">
        <v>15225</v>
      </c>
      <c r="K6900" s="452">
        <v>5362</v>
      </c>
      <c r="L6900" s="338"/>
      <c r="M6900" s="338"/>
      <c r="N6900" s="362">
        <f t="shared" si="238"/>
        <v>0</v>
      </c>
      <c r="X6900" s="339"/>
    </row>
    <row r="6901" s="330" customFormat="1" ht="15" customHeight="1" spans="1:24">
      <c r="A6901" s="550" t="s">
        <v>15226</v>
      </c>
      <c r="B6901" s="334" t="s">
        <v>315</v>
      </c>
      <c r="C6901" s="348" t="s">
        <v>722</v>
      </c>
      <c r="D6901" s="334" t="s">
        <v>149</v>
      </c>
      <c r="E6901" s="336">
        <v>43781</v>
      </c>
      <c r="F6901" s="336">
        <v>43767</v>
      </c>
      <c r="G6901" s="336">
        <v>43779</v>
      </c>
      <c r="H6901" s="334" t="s">
        <v>15227</v>
      </c>
      <c r="I6901" s="444">
        <v>13621954326</v>
      </c>
      <c r="J6901" s="348" t="s">
        <v>15228</v>
      </c>
      <c r="K6901" s="452">
        <v>1000</v>
      </c>
      <c r="L6901" s="334">
        <v>1743</v>
      </c>
      <c r="M6901" s="338"/>
      <c r="N6901" s="362">
        <f t="shared" si="238"/>
        <v>1743</v>
      </c>
      <c r="X6901" s="339"/>
    </row>
    <row r="6902" s="330" customFormat="1" ht="15" customHeight="1" spans="1:24">
      <c r="A6902" s="550" t="s">
        <v>12262</v>
      </c>
      <c r="B6902" s="334" t="s">
        <v>169</v>
      </c>
      <c r="C6902" s="348" t="s">
        <v>634</v>
      </c>
      <c r="D6902" s="334" t="s">
        <v>171</v>
      </c>
      <c r="E6902" s="336">
        <v>43767</v>
      </c>
      <c r="F6902" s="336">
        <v>43767</v>
      </c>
      <c r="G6902" s="399">
        <v>43765</v>
      </c>
      <c r="H6902" s="334" t="s">
        <v>15229</v>
      </c>
      <c r="I6902" s="444">
        <v>13916486957</v>
      </c>
      <c r="J6902" s="348" t="s">
        <v>15230</v>
      </c>
      <c r="K6902" s="452">
        <v>800</v>
      </c>
      <c r="L6902" s="334">
        <v>14608</v>
      </c>
      <c r="M6902" s="338"/>
      <c r="N6902" s="362">
        <f t="shared" si="238"/>
        <v>14608</v>
      </c>
      <c r="X6902" s="339"/>
    </row>
    <row r="6903" s="330" customFormat="1" ht="15" customHeight="1" spans="1:24">
      <c r="A6903" s="348"/>
      <c r="B6903" s="334" t="s">
        <v>315</v>
      </c>
      <c r="C6903" s="348" t="s">
        <v>230</v>
      </c>
      <c r="D6903" s="335" t="s">
        <v>182</v>
      </c>
      <c r="E6903" s="336">
        <v>43790</v>
      </c>
      <c r="F6903" s="336">
        <v>43742</v>
      </c>
      <c r="G6903" s="336">
        <v>43788</v>
      </c>
      <c r="H6903" s="334" t="s">
        <v>15231</v>
      </c>
      <c r="I6903" s="444">
        <v>13916784488</v>
      </c>
      <c r="J6903" s="348" t="s">
        <v>15232</v>
      </c>
      <c r="K6903" s="452">
        <v>1000</v>
      </c>
      <c r="L6903" s="334">
        <v>17439</v>
      </c>
      <c r="M6903" s="338"/>
      <c r="N6903" s="362">
        <f t="shared" si="238"/>
        <v>17439</v>
      </c>
      <c r="X6903" s="339"/>
    </row>
    <row r="6904" s="330" customFormat="1" ht="15" customHeight="1" spans="1:24">
      <c r="A6904" s="348"/>
      <c r="B6904" s="334" t="s">
        <v>315</v>
      </c>
      <c r="C6904" s="348" t="s">
        <v>230</v>
      </c>
      <c r="D6904" s="335" t="s">
        <v>182</v>
      </c>
      <c r="E6904" s="336">
        <v>43795</v>
      </c>
      <c r="F6904" s="336">
        <v>43745</v>
      </c>
      <c r="G6904" s="336">
        <v>43794</v>
      </c>
      <c r="H6904" s="334" t="s">
        <v>15233</v>
      </c>
      <c r="I6904" s="444">
        <v>13482002133</v>
      </c>
      <c r="J6904" s="348" t="s">
        <v>15234</v>
      </c>
      <c r="K6904" s="452">
        <v>5000</v>
      </c>
      <c r="L6904" s="334">
        <v>5662</v>
      </c>
      <c r="M6904" s="338"/>
      <c r="N6904" s="362">
        <f t="shared" si="238"/>
        <v>5662</v>
      </c>
      <c r="X6904" s="339"/>
    </row>
    <row r="6905" s="330" customFormat="1" ht="15" customHeight="1" spans="1:24">
      <c r="A6905" s="348"/>
      <c r="B6905" s="334" t="s">
        <v>315</v>
      </c>
      <c r="C6905" s="348" t="s">
        <v>230</v>
      </c>
      <c r="D6905" s="335" t="s">
        <v>182</v>
      </c>
      <c r="E6905" s="336">
        <v>43799</v>
      </c>
      <c r="F6905" s="336">
        <v>43751</v>
      </c>
      <c r="G6905" s="336">
        <v>43797</v>
      </c>
      <c r="H6905" s="334" t="s">
        <v>15235</v>
      </c>
      <c r="I6905" s="444">
        <v>18917606570</v>
      </c>
      <c r="J6905" s="348" t="s">
        <v>15236</v>
      </c>
      <c r="K6905" s="452">
        <v>10000</v>
      </c>
      <c r="L6905" s="334">
        <v>63435</v>
      </c>
      <c r="M6905" s="338"/>
      <c r="N6905" s="362">
        <f t="shared" si="238"/>
        <v>63435</v>
      </c>
      <c r="X6905" s="339"/>
    </row>
    <row r="6906" s="330" customFormat="1" ht="15" customHeight="1" spans="1:24">
      <c r="A6906" s="348">
        <v>2067159</v>
      </c>
      <c r="B6906" s="334" t="s">
        <v>123</v>
      </c>
      <c r="C6906" s="348" t="s">
        <v>32</v>
      </c>
      <c r="D6906" s="335" t="s">
        <v>125</v>
      </c>
      <c r="E6906" s="399">
        <v>43768</v>
      </c>
      <c r="F6906" s="336">
        <v>43767</v>
      </c>
      <c r="G6906" s="399">
        <v>43768</v>
      </c>
      <c r="H6906" s="334" t="s">
        <v>15237</v>
      </c>
      <c r="I6906" s="444">
        <v>13918596600</v>
      </c>
      <c r="J6906" s="348" t="s">
        <v>15238</v>
      </c>
      <c r="K6906" s="452">
        <v>6990</v>
      </c>
      <c r="L6906" s="334">
        <v>6924</v>
      </c>
      <c r="M6906" s="334">
        <v>3585</v>
      </c>
      <c r="N6906" s="362">
        <f t="shared" si="238"/>
        <v>10509</v>
      </c>
      <c r="X6906" s="339"/>
    </row>
    <row r="6907" s="330" customFormat="1" ht="15" customHeight="1" spans="1:24">
      <c r="A6907" s="550" t="s">
        <v>15239</v>
      </c>
      <c r="B6907" s="334" t="s">
        <v>315</v>
      </c>
      <c r="C6907" s="348" t="s">
        <v>14638</v>
      </c>
      <c r="D6907" s="335" t="s">
        <v>182</v>
      </c>
      <c r="E6907" s="336">
        <v>43772</v>
      </c>
      <c r="F6907" s="336">
        <v>43767</v>
      </c>
      <c r="G6907" s="336">
        <v>43771</v>
      </c>
      <c r="H6907" s="334" t="s">
        <v>15240</v>
      </c>
      <c r="I6907" s="444">
        <v>13917387028</v>
      </c>
      <c r="J6907" s="348" t="s">
        <v>15241</v>
      </c>
      <c r="K6907" s="452">
        <v>1000</v>
      </c>
      <c r="L6907" s="334">
        <v>17975</v>
      </c>
      <c r="M6907" s="338"/>
      <c r="N6907" s="362">
        <f t="shared" si="238"/>
        <v>17975</v>
      </c>
      <c r="X6907" s="339"/>
    </row>
    <row r="6908" s="330" customFormat="1" ht="15" customHeight="1" spans="1:24">
      <c r="A6908" s="348">
        <v>2024256</v>
      </c>
      <c r="B6908" s="334" t="s">
        <v>335</v>
      </c>
      <c r="C6908" s="348" t="s">
        <v>615</v>
      </c>
      <c r="D6908" s="335" t="s">
        <v>337</v>
      </c>
      <c r="E6908" s="336">
        <v>43769</v>
      </c>
      <c r="F6908" s="336">
        <v>43765</v>
      </c>
      <c r="G6908" s="336">
        <v>43765</v>
      </c>
      <c r="H6908" s="334" t="s">
        <v>15242</v>
      </c>
      <c r="I6908" s="444">
        <v>13917846252</v>
      </c>
      <c r="J6908" s="348" t="s">
        <v>15243</v>
      </c>
      <c r="K6908" s="452">
        <v>18000</v>
      </c>
      <c r="L6908" s="334">
        <v>18000</v>
      </c>
      <c r="M6908" s="338"/>
      <c r="N6908" s="362">
        <f t="shared" si="238"/>
        <v>18000</v>
      </c>
      <c r="X6908" s="339"/>
    </row>
    <row r="6909" s="330" customFormat="1" ht="15" customHeight="1" spans="1:24">
      <c r="A6909" s="348">
        <v>2024257</v>
      </c>
      <c r="B6909" s="334" t="s">
        <v>335</v>
      </c>
      <c r="C6909" s="348" t="s">
        <v>615</v>
      </c>
      <c r="D6909" s="335" t="s">
        <v>337</v>
      </c>
      <c r="E6909" s="336">
        <v>43767</v>
      </c>
      <c r="F6909" s="336">
        <v>43765</v>
      </c>
      <c r="G6909" s="399"/>
      <c r="H6909" s="334" t="s">
        <v>15244</v>
      </c>
      <c r="I6909" s="444">
        <v>13564671652</v>
      </c>
      <c r="J6909" s="348" t="s">
        <v>15245</v>
      </c>
      <c r="K6909" s="452">
        <v>1000</v>
      </c>
      <c r="L6909" s="338"/>
      <c r="M6909" s="338"/>
      <c r="N6909" s="362">
        <f t="shared" si="238"/>
        <v>0</v>
      </c>
      <c r="X6909" s="339"/>
    </row>
    <row r="6910" s="330" customFormat="1" ht="15" customHeight="1" spans="1:24">
      <c r="A6910" s="550" t="s">
        <v>3180</v>
      </c>
      <c r="B6910" s="334" t="s">
        <v>66</v>
      </c>
      <c r="C6910" s="348" t="s">
        <v>505</v>
      </c>
      <c r="D6910" s="334" t="s">
        <v>2302</v>
      </c>
      <c r="E6910" s="336">
        <v>43769</v>
      </c>
      <c r="F6910" s="336">
        <v>43767</v>
      </c>
      <c r="G6910" s="336">
        <v>43769</v>
      </c>
      <c r="H6910" s="334" t="s">
        <v>15246</v>
      </c>
      <c r="I6910" s="444">
        <v>17898801756</v>
      </c>
      <c r="J6910" s="348" t="s">
        <v>15247</v>
      </c>
      <c r="K6910" s="452">
        <v>10000</v>
      </c>
      <c r="L6910" s="334">
        <v>10000</v>
      </c>
      <c r="M6910" s="338"/>
      <c r="N6910" s="362">
        <f t="shared" si="238"/>
        <v>10000</v>
      </c>
      <c r="X6910" s="339"/>
    </row>
    <row r="6911" s="330" customFormat="1" ht="15" customHeight="1" spans="1:24">
      <c r="A6911" s="550" t="s">
        <v>15248</v>
      </c>
      <c r="B6911" s="334" t="s">
        <v>31</v>
      </c>
      <c r="C6911" s="348" t="s">
        <v>377</v>
      </c>
      <c r="D6911" s="334" t="s">
        <v>954</v>
      </c>
      <c r="E6911" s="336">
        <v>43808</v>
      </c>
      <c r="F6911" s="336">
        <v>43767</v>
      </c>
      <c r="G6911" s="336">
        <v>43807</v>
      </c>
      <c r="H6911" s="334" t="s">
        <v>15249</v>
      </c>
      <c r="I6911" s="444">
        <v>13918557668</v>
      </c>
      <c r="J6911" s="348" t="s">
        <v>15250</v>
      </c>
      <c r="K6911" s="452">
        <v>99</v>
      </c>
      <c r="L6911" s="334">
        <v>11866</v>
      </c>
      <c r="M6911" s="338"/>
      <c r="N6911" s="362">
        <f t="shared" si="238"/>
        <v>11866</v>
      </c>
      <c r="X6911" s="339"/>
    </row>
    <row r="6912" s="330" customFormat="1" ht="15" customHeight="1" spans="1:24">
      <c r="A6912" s="550" t="s">
        <v>15251</v>
      </c>
      <c r="B6912" s="334" t="s">
        <v>73</v>
      </c>
      <c r="C6912" s="348" t="s">
        <v>74</v>
      </c>
      <c r="D6912" s="335" t="s">
        <v>717</v>
      </c>
      <c r="E6912" s="336">
        <v>43767</v>
      </c>
      <c r="F6912" s="336">
        <v>43745</v>
      </c>
      <c r="G6912" s="399">
        <v>43759</v>
      </c>
      <c r="H6912" s="334" t="s">
        <v>14539</v>
      </c>
      <c r="I6912" s="444">
        <v>13701831259</v>
      </c>
      <c r="J6912" s="348" t="s">
        <v>15252</v>
      </c>
      <c r="K6912" s="452">
        <v>1000</v>
      </c>
      <c r="L6912" s="338"/>
      <c r="M6912" s="338"/>
      <c r="N6912" s="362">
        <f t="shared" si="238"/>
        <v>0</v>
      </c>
      <c r="X6912" s="339"/>
    </row>
    <row r="6913" s="330" customFormat="1" ht="15" customHeight="1" spans="1:24">
      <c r="A6913" s="550" t="s">
        <v>2636</v>
      </c>
      <c r="B6913" s="334" t="s">
        <v>4009</v>
      </c>
      <c r="C6913" s="334" t="s">
        <v>727</v>
      </c>
      <c r="D6913" s="334" t="s">
        <v>271</v>
      </c>
      <c r="E6913" s="336">
        <v>43787</v>
      </c>
      <c r="F6913" s="336">
        <v>43767</v>
      </c>
      <c r="G6913" s="336">
        <v>43786</v>
      </c>
      <c r="H6913" s="334" t="s">
        <v>15253</v>
      </c>
      <c r="I6913" s="444">
        <v>13402151042</v>
      </c>
      <c r="J6913" s="348" t="s">
        <v>15254</v>
      </c>
      <c r="K6913" s="452">
        <v>5000</v>
      </c>
      <c r="L6913" s="334">
        <v>12190</v>
      </c>
      <c r="M6913" s="338"/>
      <c r="N6913" s="362">
        <f t="shared" si="238"/>
        <v>12190</v>
      </c>
      <c r="X6913" s="339"/>
    </row>
    <row r="6914" s="330" customFormat="1" ht="15" customHeight="1" spans="1:24">
      <c r="A6914" s="348">
        <v>2023285</v>
      </c>
      <c r="B6914" s="334" t="s">
        <v>94</v>
      </c>
      <c r="C6914" s="348" t="s">
        <v>95</v>
      </c>
      <c r="D6914" s="335" t="s">
        <v>49</v>
      </c>
      <c r="E6914" s="336">
        <v>43769</v>
      </c>
      <c r="F6914" s="336">
        <v>43767</v>
      </c>
      <c r="G6914" s="336">
        <v>43769</v>
      </c>
      <c r="H6914" s="334" t="s">
        <v>15255</v>
      </c>
      <c r="I6914" s="444">
        <v>13044687626</v>
      </c>
      <c r="J6914" s="348" t="s">
        <v>15256</v>
      </c>
      <c r="K6914" s="452">
        <v>5058</v>
      </c>
      <c r="L6914" s="334">
        <v>5058</v>
      </c>
      <c r="M6914" s="338"/>
      <c r="N6914" s="362">
        <f t="shared" si="238"/>
        <v>5058</v>
      </c>
      <c r="X6914" s="339"/>
    </row>
    <row r="6915" s="330" customFormat="1" ht="15" customHeight="1" spans="1:24">
      <c r="A6915" s="550" t="s">
        <v>15257</v>
      </c>
      <c r="B6915" s="334" t="s">
        <v>805</v>
      </c>
      <c r="C6915" s="348" t="s">
        <v>4935</v>
      </c>
      <c r="D6915" s="335" t="s">
        <v>171</v>
      </c>
      <c r="E6915" s="336">
        <v>43767</v>
      </c>
      <c r="F6915" s="336">
        <v>43767</v>
      </c>
      <c r="G6915" s="399"/>
      <c r="H6915" s="334" t="s">
        <v>15258</v>
      </c>
      <c r="I6915" s="444">
        <v>13688219751</v>
      </c>
      <c r="J6915" s="348" t="s">
        <v>15259</v>
      </c>
      <c r="K6915" s="452">
        <v>1000</v>
      </c>
      <c r="L6915" s="338"/>
      <c r="M6915" s="338"/>
      <c r="N6915" s="362">
        <f t="shared" ref="N6915:N6931" si="239">L6915+M6915</f>
        <v>0</v>
      </c>
      <c r="P6915" s="430"/>
      <c r="Q6915" s="430"/>
      <c r="W6915" s="471">
        <v>43804</v>
      </c>
      <c r="X6915" s="339"/>
    </row>
    <row r="6916" s="330" customFormat="1" ht="15" customHeight="1" spans="1:24">
      <c r="A6916" s="348"/>
      <c r="B6916" s="334" t="s">
        <v>47</v>
      </c>
      <c r="C6916" s="348" t="s">
        <v>80</v>
      </c>
      <c r="D6916" s="335" t="s">
        <v>49</v>
      </c>
      <c r="E6916" s="336">
        <v>43773</v>
      </c>
      <c r="F6916" s="336">
        <v>43767</v>
      </c>
      <c r="G6916" s="336">
        <v>43772</v>
      </c>
      <c r="H6916" s="334" t="s">
        <v>15260</v>
      </c>
      <c r="I6916" s="444">
        <v>18516767175</v>
      </c>
      <c r="J6916" s="348" t="s">
        <v>15261</v>
      </c>
      <c r="K6916" s="452">
        <v>1000</v>
      </c>
      <c r="L6916" s="334">
        <v>22373</v>
      </c>
      <c r="M6916" s="338"/>
      <c r="N6916" s="362">
        <f t="shared" si="239"/>
        <v>22373</v>
      </c>
      <c r="X6916" s="339"/>
    </row>
    <row r="6917" s="330" customFormat="1" ht="15" customHeight="1" spans="1:24">
      <c r="A6917" s="348"/>
      <c r="B6917" s="334" t="s">
        <v>47</v>
      </c>
      <c r="C6917" s="348" t="s">
        <v>53</v>
      </c>
      <c r="D6917" s="335" t="s">
        <v>49</v>
      </c>
      <c r="E6917" s="336">
        <v>43769</v>
      </c>
      <c r="F6917" s="336">
        <v>43767</v>
      </c>
      <c r="G6917" s="336">
        <v>43767</v>
      </c>
      <c r="H6917" s="334" t="s">
        <v>15262</v>
      </c>
      <c r="I6917" s="444">
        <v>17732821227</v>
      </c>
      <c r="J6917" s="348" t="s">
        <v>15263</v>
      </c>
      <c r="K6917" s="452">
        <v>1000</v>
      </c>
      <c r="L6917" s="334">
        <v>8000</v>
      </c>
      <c r="M6917" s="338"/>
      <c r="N6917" s="362">
        <f t="shared" si="239"/>
        <v>8000</v>
      </c>
      <c r="X6917" s="339"/>
    </row>
    <row r="6918" s="330" customFormat="1" ht="15" customHeight="1" spans="1:24">
      <c r="A6918" s="550" t="s">
        <v>15264</v>
      </c>
      <c r="B6918" s="334" t="s">
        <v>315</v>
      </c>
      <c r="C6918" s="348" t="s">
        <v>275</v>
      </c>
      <c r="D6918" s="334" t="s">
        <v>162</v>
      </c>
      <c r="E6918" s="336">
        <v>43767</v>
      </c>
      <c r="F6918" s="336">
        <v>43767</v>
      </c>
      <c r="G6918" s="336">
        <v>43766</v>
      </c>
      <c r="H6918" s="334" t="s">
        <v>15265</v>
      </c>
      <c r="I6918" s="444">
        <v>18621682470</v>
      </c>
      <c r="J6918" s="348" t="s">
        <v>15266</v>
      </c>
      <c r="K6918" s="452">
        <v>99</v>
      </c>
      <c r="L6918" s="334">
        <v>6539</v>
      </c>
      <c r="M6918" s="334">
        <v>-312</v>
      </c>
      <c r="N6918" s="362">
        <f t="shared" si="239"/>
        <v>6227</v>
      </c>
      <c r="X6918" s="339"/>
    </row>
    <row r="6919" s="330" customFormat="1" ht="15" customHeight="1" spans="1:24">
      <c r="A6919" s="348">
        <v>2021817</v>
      </c>
      <c r="B6919" s="334" t="s">
        <v>35</v>
      </c>
      <c r="C6919" s="348" t="s">
        <v>36</v>
      </c>
      <c r="D6919" s="334" t="s">
        <v>37</v>
      </c>
      <c r="E6919" s="336">
        <v>43768</v>
      </c>
      <c r="F6919" s="336">
        <v>43767</v>
      </c>
      <c r="G6919" s="399">
        <v>43767</v>
      </c>
      <c r="H6919" s="334" t="s">
        <v>15267</v>
      </c>
      <c r="I6919" s="444">
        <v>18918770581</v>
      </c>
      <c r="J6919" s="348" t="s">
        <v>15268</v>
      </c>
      <c r="K6919" s="452">
        <v>9363</v>
      </c>
      <c r="L6919" s="334">
        <v>8259</v>
      </c>
      <c r="M6919" s="334">
        <v>1104</v>
      </c>
      <c r="N6919" s="362">
        <f t="shared" si="239"/>
        <v>9363</v>
      </c>
      <c r="X6919" s="339"/>
    </row>
    <row r="6920" s="330" customFormat="1" ht="15" customHeight="1" spans="1:24">
      <c r="A6920" s="550" t="s">
        <v>5041</v>
      </c>
      <c r="B6920" s="334" t="s">
        <v>137</v>
      </c>
      <c r="C6920" s="348" t="s">
        <v>406</v>
      </c>
      <c r="D6920" s="334" t="s">
        <v>443</v>
      </c>
      <c r="E6920" s="336">
        <v>43768</v>
      </c>
      <c r="F6920" s="336">
        <v>43767</v>
      </c>
      <c r="G6920" s="399">
        <v>43767</v>
      </c>
      <c r="H6920" s="334" t="s">
        <v>15269</v>
      </c>
      <c r="I6920" s="444">
        <v>18616859851</v>
      </c>
      <c r="J6920" s="348" t="s">
        <v>15270</v>
      </c>
      <c r="K6920" s="452">
        <v>32200</v>
      </c>
      <c r="L6920" s="334">
        <v>32200</v>
      </c>
      <c r="M6920" s="338"/>
      <c r="N6920" s="362">
        <f t="shared" si="239"/>
        <v>32200</v>
      </c>
      <c r="X6920" s="339"/>
    </row>
    <row r="6921" s="330" customFormat="1" ht="15" customHeight="1" spans="1:24">
      <c r="A6921" s="348"/>
      <c r="B6921" s="334" t="s">
        <v>315</v>
      </c>
      <c r="C6921" s="348" t="s">
        <v>275</v>
      </c>
      <c r="D6921" s="335" t="s">
        <v>162</v>
      </c>
      <c r="E6921" s="336">
        <v>43768</v>
      </c>
      <c r="F6921" s="336">
        <v>43767</v>
      </c>
      <c r="G6921" s="350" t="s">
        <v>69</v>
      </c>
      <c r="H6921" s="334" t="s">
        <v>3267</v>
      </c>
      <c r="I6921" s="334">
        <v>18621892896</v>
      </c>
      <c r="J6921" s="334" t="s">
        <v>14266</v>
      </c>
      <c r="K6921" s="450">
        <v>2298</v>
      </c>
      <c r="L6921" s="338"/>
      <c r="M6921" s="338"/>
      <c r="N6921" s="362">
        <f t="shared" si="239"/>
        <v>0</v>
      </c>
      <c r="X6921" s="339"/>
    </row>
    <row r="6922" s="330" customFormat="1" ht="15" customHeight="1" spans="1:24">
      <c r="A6922" s="348"/>
      <c r="B6922" s="334" t="s">
        <v>315</v>
      </c>
      <c r="C6922" s="334" t="s">
        <v>161</v>
      </c>
      <c r="D6922" s="335" t="s">
        <v>162</v>
      </c>
      <c r="E6922" s="336">
        <v>43768</v>
      </c>
      <c r="F6922" s="336">
        <v>43746</v>
      </c>
      <c r="G6922" s="350" t="s">
        <v>69</v>
      </c>
      <c r="H6922" s="334" t="s">
        <v>13927</v>
      </c>
      <c r="I6922" s="334">
        <v>13166069191</v>
      </c>
      <c r="J6922" s="334" t="s">
        <v>13928</v>
      </c>
      <c r="K6922" s="452">
        <v>2105</v>
      </c>
      <c r="L6922" s="338"/>
      <c r="M6922" s="338"/>
      <c r="N6922" s="362">
        <f t="shared" si="239"/>
        <v>0</v>
      </c>
      <c r="X6922" s="339"/>
    </row>
    <row r="6923" s="330" customFormat="1" ht="15" customHeight="1" spans="1:24">
      <c r="A6923" s="348"/>
      <c r="B6923" s="334" t="s">
        <v>354</v>
      </c>
      <c r="C6923" s="348" t="s">
        <v>355</v>
      </c>
      <c r="D6923" s="334" t="s">
        <v>237</v>
      </c>
      <c r="E6923" s="336">
        <v>43768</v>
      </c>
      <c r="F6923" s="336">
        <v>43766</v>
      </c>
      <c r="G6923" s="399">
        <v>43768</v>
      </c>
      <c r="H6923" s="334" t="s">
        <v>15271</v>
      </c>
      <c r="I6923" s="444">
        <v>15557158799</v>
      </c>
      <c r="J6923" s="348" t="s">
        <v>15272</v>
      </c>
      <c r="K6923" s="452">
        <v>3300</v>
      </c>
      <c r="L6923" s="334">
        <v>11161</v>
      </c>
      <c r="M6923" s="338"/>
      <c r="N6923" s="362">
        <f t="shared" si="239"/>
        <v>11161</v>
      </c>
      <c r="X6923" s="339"/>
    </row>
    <row r="6924" s="330" customFormat="1" ht="15" customHeight="1" spans="1:24">
      <c r="A6924" s="348"/>
      <c r="B6924" s="334" t="s">
        <v>315</v>
      </c>
      <c r="C6924" s="348" t="s">
        <v>366</v>
      </c>
      <c r="D6924" s="334" t="s">
        <v>132</v>
      </c>
      <c r="E6924" s="336">
        <v>43768</v>
      </c>
      <c r="F6924" s="336">
        <v>43756</v>
      </c>
      <c r="G6924" s="399">
        <v>43758</v>
      </c>
      <c r="H6924" s="334" t="s">
        <v>15273</v>
      </c>
      <c r="I6924" s="334">
        <v>13817764670</v>
      </c>
      <c r="J6924" s="348" t="s">
        <v>15274</v>
      </c>
      <c r="K6924" s="452">
        <v>1000</v>
      </c>
      <c r="L6924" s="334">
        <v>18122</v>
      </c>
      <c r="M6924" s="338"/>
      <c r="N6924" s="362">
        <f t="shared" si="239"/>
        <v>18122</v>
      </c>
      <c r="X6924" s="339"/>
    </row>
    <row r="6925" s="330" customFormat="1" ht="15" customHeight="1" spans="1:24">
      <c r="A6925" s="550" t="s">
        <v>9480</v>
      </c>
      <c r="B6925" s="334" t="s">
        <v>73</v>
      </c>
      <c r="C6925" s="348" t="s">
        <v>74</v>
      </c>
      <c r="D6925" s="352" t="s">
        <v>75</v>
      </c>
      <c r="E6925" s="336">
        <v>43768</v>
      </c>
      <c r="F6925" s="336">
        <v>43768</v>
      </c>
      <c r="G6925" s="399" t="s">
        <v>69</v>
      </c>
      <c r="H6925" s="334" t="s">
        <v>15275</v>
      </c>
      <c r="I6925" s="444">
        <v>15262448242</v>
      </c>
      <c r="J6925" s="348" t="s">
        <v>15276</v>
      </c>
      <c r="K6925" s="452">
        <v>1000</v>
      </c>
      <c r="L6925" s="338"/>
      <c r="M6925" s="338"/>
      <c r="N6925" s="362">
        <f t="shared" si="239"/>
        <v>0</v>
      </c>
      <c r="O6925" s="366" t="s">
        <v>52</v>
      </c>
      <c r="X6925" s="339"/>
    </row>
    <row r="6926" s="330" customFormat="1" ht="15" customHeight="1" spans="1:24">
      <c r="A6926" s="348"/>
      <c r="B6926" s="334" t="s">
        <v>5336</v>
      </c>
      <c r="C6926" s="348" t="s">
        <v>5336</v>
      </c>
      <c r="D6926" s="334" t="s">
        <v>8334</v>
      </c>
      <c r="E6926" s="336">
        <v>43790</v>
      </c>
      <c r="F6926" s="336">
        <v>43768</v>
      </c>
      <c r="G6926" s="336">
        <v>43790</v>
      </c>
      <c r="H6926" s="334" t="s">
        <v>15277</v>
      </c>
      <c r="I6926" s="444">
        <v>13774217372</v>
      </c>
      <c r="J6926" s="348" t="s">
        <v>15278</v>
      </c>
      <c r="K6926" s="452">
        <v>5078</v>
      </c>
      <c r="L6926" s="334">
        <v>9579</v>
      </c>
      <c r="M6926" s="338"/>
      <c r="N6926" s="362">
        <f t="shared" si="239"/>
        <v>9579</v>
      </c>
      <c r="X6926" s="339"/>
    </row>
    <row r="6927" s="330" customFormat="1" ht="15" customHeight="1" spans="1:24">
      <c r="A6927" s="348"/>
      <c r="B6927" s="334" t="s">
        <v>5336</v>
      </c>
      <c r="C6927" s="348" t="s">
        <v>5336</v>
      </c>
      <c r="D6927" s="334" t="s">
        <v>8334</v>
      </c>
      <c r="E6927" s="336">
        <v>43782</v>
      </c>
      <c r="F6927" s="336">
        <v>43768</v>
      </c>
      <c r="G6927" s="336">
        <v>43781</v>
      </c>
      <c r="H6927" s="334" t="s">
        <v>15279</v>
      </c>
      <c r="I6927" s="444">
        <v>18679428908</v>
      </c>
      <c r="J6927" s="348" t="s">
        <v>15280</v>
      </c>
      <c r="K6927" s="452">
        <v>9987</v>
      </c>
      <c r="L6927" s="334">
        <v>10898</v>
      </c>
      <c r="M6927" s="334">
        <v>9754</v>
      </c>
      <c r="N6927" s="362">
        <f t="shared" si="239"/>
        <v>20652</v>
      </c>
      <c r="X6927" s="339"/>
    </row>
    <row r="6928" s="330" customFormat="1" ht="15" customHeight="1" spans="1:24">
      <c r="A6928" s="348"/>
      <c r="B6928" s="334" t="s">
        <v>5336</v>
      </c>
      <c r="C6928" s="348" t="s">
        <v>5336</v>
      </c>
      <c r="D6928" s="334" t="s">
        <v>8334</v>
      </c>
      <c r="E6928" s="336">
        <v>43782</v>
      </c>
      <c r="F6928" s="336">
        <v>43768</v>
      </c>
      <c r="G6928" s="336">
        <v>43781</v>
      </c>
      <c r="H6928" s="334" t="s">
        <v>15281</v>
      </c>
      <c r="I6928" s="444">
        <v>13501793699</v>
      </c>
      <c r="J6928" s="348" t="s">
        <v>15282</v>
      </c>
      <c r="K6928" s="452">
        <v>6752</v>
      </c>
      <c r="L6928" s="334">
        <v>8838</v>
      </c>
      <c r="M6928" s="338"/>
      <c r="N6928" s="362">
        <f t="shared" si="239"/>
        <v>8838</v>
      </c>
      <c r="X6928" s="339"/>
    </row>
    <row r="6929" s="330" customFormat="1" ht="15" customHeight="1" spans="1:24">
      <c r="A6929" s="348"/>
      <c r="B6929" s="334" t="s">
        <v>153</v>
      </c>
      <c r="C6929" s="348" t="s">
        <v>302</v>
      </c>
      <c r="D6929" s="335" t="s">
        <v>155</v>
      </c>
      <c r="E6929" s="336">
        <v>43795</v>
      </c>
      <c r="F6929" s="336">
        <v>43768</v>
      </c>
      <c r="G6929" s="336">
        <v>43793</v>
      </c>
      <c r="H6929" s="334" t="s">
        <v>15283</v>
      </c>
      <c r="I6929" s="444">
        <v>13585656004</v>
      </c>
      <c r="J6929" s="348" t="s">
        <v>15284</v>
      </c>
      <c r="K6929" s="452">
        <v>5000</v>
      </c>
      <c r="L6929" s="334">
        <v>5927</v>
      </c>
      <c r="M6929" s="338"/>
      <c r="N6929" s="362">
        <f t="shared" si="239"/>
        <v>5927</v>
      </c>
      <c r="Q6929" s="330" t="s">
        <v>52</v>
      </c>
      <c r="X6929" s="339"/>
    </row>
    <row r="6930" s="330" customFormat="1" ht="15" customHeight="1" spans="1:24">
      <c r="A6930" s="550" t="s">
        <v>8415</v>
      </c>
      <c r="B6930" s="334" t="s">
        <v>73</v>
      </c>
      <c r="C6930" s="348" t="s">
        <v>178</v>
      </c>
      <c r="D6930" s="334" t="s">
        <v>44</v>
      </c>
      <c r="E6930" s="336">
        <v>43776</v>
      </c>
      <c r="F6930" s="336">
        <v>43768</v>
      </c>
      <c r="G6930" s="336">
        <v>43770</v>
      </c>
      <c r="H6930" s="334" t="s">
        <v>15285</v>
      </c>
      <c r="I6930" s="444">
        <v>13122233913</v>
      </c>
      <c r="J6930" s="348" t="s">
        <v>15286</v>
      </c>
      <c r="K6930" s="452">
        <v>1000</v>
      </c>
      <c r="L6930" s="334">
        <v>8934</v>
      </c>
      <c r="M6930" s="338"/>
      <c r="N6930" s="362">
        <f t="shared" si="239"/>
        <v>8934</v>
      </c>
      <c r="X6930" s="339"/>
    </row>
    <row r="6931" s="330" customFormat="1" ht="15" customHeight="1" spans="1:24">
      <c r="A6931" s="550" t="s">
        <v>10973</v>
      </c>
      <c r="B6931" s="334" t="s">
        <v>137</v>
      </c>
      <c r="C6931" s="348" t="s">
        <v>480</v>
      </c>
      <c r="D6931" s="334" t="s">
        <v>443</v>
      </c>
      <c r="E6931" s="336">
        <v>43772</v>
      </c>
      <c r="F6931" s="336">
        <v>43768</v>
      </c>
      <c r="G6931" s="336">
        <v>43772</v>
      </c>
      <c r="H6931" s="334" t="s">
        <v>15287</v>
      </c>
      <c r="I6931" s="444">
        <v>13817790673</v>
      </c>
      <c r="J6931" s="348" t="s">
        <v>15288</v>
      </c>
      <c r="K6931" s="452">
        <v>1000</v>
      </c>
      <c r="L6931" s="334">
        <v>10633</v>
      </c>
      <c r="M6931" s="338"/>
      <c r="N6931" s="362">
        <f t="shared" si="239"/>
        <v>10633</v>
      </c>
      <c r="X6931" s="339"/>
    </row>
    <row r="6932" s="330" customFormat="1" ht="15" customHeight="1" spans="1:24">
      <c r="A6932" s="334"/>
      <c r="B6932" s="334" t="s">
        <v>4009</v>
      </c>
      <c r="C6932" s="334" t="s">
        <v>6401</v>
      </c>
      <c r="D6932" s="334" t="s">
        <v>1170</v>
      </c>
      <c r="E6932" s="336">
        <v>43767</v>
      </c>
      <c r="F6932" s="336"/>
      <c r="G6932" s="336">
        <v>43763</v>
      </c>
      <c r="H6932" s="334" t="s">
        <v>15289</v>
      </c>
      <c r="I6932" s="334">
        <v>13917082404</v>
      </c>
      <c r="J6932" s="348" t="s">
        <v>15290</v>
      </c>
      <c r="K6932" s="337"/>
      <c r="L6932" s="334">
        <v>15719</v>
      </c>
      <c r="M6932" s="338"/>
      <c r="N6932" s="362">
        <f t="shared" ref="N6932:N6975" si="240">L6932+M6932</f>
        <v>15719</v>
      </c>
      <c r="X6932" s="339"/>
    </row>
    <row r="6933" s="330" customFormat="1" ht="15" customHeight="1" spans="1:24">
      <c r="A6933" s="334"/>
      <c r="B6933" s="334" t="s">
        <v>236</v>
      </c>
      <c r="C6933" s="334" t="s">
        <v>195</v>
      </c>
      <c r="D6933" s="334" t="s">
        <v>207</v>
      </c>
      <c r="E6933" s="336">
        <v>43767</v>
      </c>
      <c r="F6933" s="336"/>
      <c r="G6933" s="336">
        <v>43764</v>
      </c>
      <c r="H6933" s="334" t="s">
        <v>15291</v>
      </c>
      <c r="I6933" s="334">
        <v>18521562505</v>
      </c>
      <c r="J6933" s="348" t="s">
        <v>15292</v>
      </c>
      <c r="K6933" s="337"/>
      <c r="L6933" s="334">
        <v>7461</v>
      </c>
      <c r="M6933" s="338"/>
      <c r="N6933" s="362">
        <f t="shared" si="240"/>
        <v>7461</v>
      </c>
      <c r="X6933" s="339"/>
    </row>
    <row r="6934" s="330" customFormat="1" ht="15" customHeight="1" spans="1:24">
      <c r="A6934" s="334"/>
      <c r="B6934" s="334" t="s">
        <v>73</v>
      </c>
      <c r="C6934" s="334" t="s">
        <v>74</v>
      </c>
      <c r="D6934" s="334" t="s">
        <v>1170</v>
      </c>
      <c r="E6934" s="336">
        <v>43767</v>
      </c>
      <c r="F6934" s="336"/>
      <c r="G6934" s="336">
        <v>43763</v>
      </c>
      <c r="H6934" s="334" t="s">
        <v>5559</v>
      </c>
      <c r="I6934" s="334">
        <v>15371805280</v>
      </c>
      <c r="J6934" s="348" t="s">
        <v>15293</v>
      </c>
      <c r="K6934" s="337"/>
      <c r="L6934" s="334">
        <v>22219</v>
      </c>
      <c r="M6934" s="338"/>
      <c r="N6934" s="362">
        <f t="shared" si="240"/>
        <v>22219</v>
      </c>
      <c r="X6934" s="339"/>
    </row>
    <row r="6935" s="330" customFormat="1" ht="15" customHeight="1" spans="1:24">
      <c r="A6935" s="334"/>
      <c r="B6935" s="348" t="s">
        <v>160</v>
      </c>
      <c r="C6935" s="348" t="s">
        <v>275</v>
      </c>
      <c r="D6935" s="349" t="s">
        <v>162</v>
      </c>
      <c r="E6935" s="336">
        <v>43768</v>
      </c>
      <c r="F6935" s="336"/>
      <c r="G6935" s="336">
        <v>43768</v>
      </c>
      <c r="H6935" s="334" t="s">
        <v>15294</v>
      </c>
      <c r="I6935" s="334">
        <v>18621589262</v>
      </c>
      <c r="J6935" s="348" t="s">
        <v>15295</v>
      </c>
      <c r="K6935" s="337"/>
      <c r="L6935" s="334">
        <v>15000</v>
      </c>
      <c r="M6935" s="338"/>
      <c r="N6935" s="362">
        <f t="shared" si="240"/>
        <v>15000</v>
      </c>
      <c r="X6935" s="339"/>
    </row>
    <row r="6936" s="330" customFormat="1" ht="15" customHeight="1" spans="1:24">
      <c r="A6936" s="334"/>
      <c r="B6936" s="334" t="s">
        <v>169</v>
      </c>
      <c r="C6936" s="334" t="s">
        <v>634</v>
      </c>
      <c r="D6936" s="334" t="s">
        <v>443</v>
      </c>
      <c r="E6936" s="336">
        <v>43768</v>
      </c>
      <c r="F6936" s="336"/>
      <c r="G6936" s="336">
        <v>43768</v>
      </c>
      <c r="H6936" s="334" t="s">
        <v>15296</v>
      </c>
      <c r="I6936" s="334">
        <v>18601777701</v>
      </c>
      <c r="J6936" s="348" t="s">
        <v>15297</v>
      </c>
      <c r="K6936" s="337"/>
      <c r="L6936" s="334">
        <v>11630</v>
      </c>
      <c r="M6936" s="338"/>
      <c r="N6936" s="362">
        <f t="shared" si="240"/>
        <v>11630</v>
      </c>
      <c r="X6936" s="339"/>
    </row>
    <row r="6937" s="330" customFormat="1" ht="15" customHeight="1" spans="1:24">
      <c r="A6937" s="334"/>
      <c r="B6937" s="334" t="s">
        <v>31</v>
      </c>
      <c r="C6937" s="334" t="s">
        <v>3186</v>
      </c>
      <c r="D6937" s="334" t="s">
        <v>33</v>
      </c>
      <c r="E6937" s="336">
        <v>43768</v>
      </c>
      <c r="F6937" s="336"/>
      <c r="G6937" s="336">
        <v>43748</v>
      </c>
      <c r="H6937" s="334" t="s">
        <v>11644</v>
      </c>
      <c r="I6937" s="426">
        <v>18916216102</v>
      </c>
      <c r="J6937" s="334" t="s">
        <v>15298</v>
      </c>
      <c r="K6937" s="337"/>
      <c r="L6937" s="334">
        <v>11337</v>
      </c>
      <c r="M6937" s="338"/>
      <c r="N6937" s="362">
        <f t="shared" si="240"/>
        <v>11337</v>
      </c>
      <c r="X6937" s="339"/>
    </row>
    <row r="6938" s="330" customFormat="1" ht="15" customHeight="1" spans="1:24">
      <c r="A6938" s="334"/>
      <c r="B6938" s="334" t="s">
        <v>315</v>
      </c>
      <c r="C6938" s="334" t="s">
        <v>161</v>
      </c>
      <c r="D6938" s="334" t="s">
        <v>182</v>
      </c>
      <c r="E6938" s="336">
        <v>43768</v>
      </c>
      <c r="F6938" s="336"/>
      <c r="G6938" s="336">
        <v>43768</v>
      </c>
      <c r="H6938" s="334" t="s">
        <v>15299</v>
      </c>
      <c r="I6938" s="334">
        <v>13701944320</v>
      </c>
      <c r="J6938" s="348" t="s">
        <v>15300</v>
      </c>
      <c r="K6938" s="337"/>
      <c r="L6938" s="334">
        <v>35000</v>
      </c>
      <c r="M6938" s="338"/>
      <c r="N6938" s="362">
        <f t="shared" si="240"/>
        <v>35000</v>
      </c>
      <c r="X6938" s="339"/>
    </row>
    <row r="6939" s="330" customFormat="1" ht="15" customHeight="1" spans="1:24">
      <c r="A6939" s="334"/>
      <c r="B6939" s="334" t="s">
        <v>66</v>
      </c>
      <c r="C6939" s="334" t="s">
        <v>15301</v>
      </c>
      <c r="D6939" s="334" t="s">
        <v>68</v>
      </c>
      <c r="E6939" s="336">
        <v>43768</v>
      </c>
      <c r="F6939" s="336"/>
      <c r="G6939" s="336">
        <v>43768</v>
      </c>
      <c r="H6939" s="334" t="s">
        <v>15302</v>
      </c>
      <c r="I6939" s="334">
        <v>13512139180</v>
      </c>
      <c r="J6939" s="348" t="s">
        <v>15303</v>
      </c>
      <c r="K6939" s="337"/>
      <c r="L6939" s="334">
        <v>3202</v>
      </c>
      <c r="M6939" s="338"/>
      <c r="N6939" s="362">
        <f t="shared" si="240"/>
        <v>3202</v>
      </c>
      <c r="X6939" s="339"/>
    </row>
    <row r="6940" s="330" customFormat="1" ht="15" customHeight="1" spans="1:24">
      <c r="A6940" s="334"/>
      <c r="B6940" s="334" t="s">
        <v>87</v>
      </c>
      <c r="C6940" s="334" t="s">
        <v>466</v>
      </c>
      <c r="D6940" s="335" t="s">
        <v>89</v>
      </c>
      <c r="E6940" s="336">
        <v>43768</v>
      </c>
      <c r="F6940" s="336"/>
      <c r="G6940" s="336">
        <v>43767</v>
      </c>
      <c r="H6940" s="334" t="s">
        <v>15304</v>
      </c>
      <c r="I6940" s="334">
        <v>15921476866</v>
      </c>
      <c r="J6940" s="348" t="s">
        <v>15305</v>
      </c>
      <c r="K6940" s="337"/>
      <c r="L6940" s="334"/>
      <c r="M6940" s="338"/>
      <c r="N6940" s="362">
        <f t="shared" si="240"/>
        <v>0</v>
      </c>
      <c r="X6940" s="339"/>
    </row>
    <row r="6941" s="330" customFormat="1" ht="15" customHeight="1" spans="1:24">
      <c r="A6941" s="334"/>
      <c r="B6941" s="334" t="s">
        <v>5435</v>
      </c>
      <c r="C6941" s="334" t="s">
        <v>1728</v>
      </c>
      <c r="D6941" s="334" t="s">
        <v>207</v>
      </c>
      <c r="E6941" s="336">
        <v>43768</v>
      </c>
      <c r="F6941" s="336"/>
      <c r="G6941" s="336">
        <v>43768</v>
      </c>
      <c r="H6941" s="334" t="s">
        <v>15306</v>
      </c>
      <c r="I6941" s="444">
        <v>15021763569</v>
      </c>
      <c r="J6941" s="348" t="s">
        <v>15307</v>
      </c>
      <c r="K6941" s="337"/>
      <c r="L6941" s="408">
        <v>11298</v>
      </c>
      <c r="M6941" s="338"/>
      <c r="N6941" s="362">
        <f t="shared" si="240"/>
        <v>11298</v>
      </c>
      <c r="X6941" s="339"/>
    </row>
    <row r="6942" s="330" customFormat="1" ht="15" customHeight="1" spans="1:24">
      <c r="A6942" s="334"/>
      <c r="B6942" s="334" t="s">
        <v>315</v>
      </c>
      <c r="C6942" s="334" t="s">
        <v>161</v>
      </c>
      <c r="D6942" s="334" t="s">
        <v>162</v>
      </c>
      <c r="E6942" s="336">
        <v>43768</v>
      </c>
      <c r="F6942" s="336"/>
      <c r="G6942" s="336">
        <v>43768</v>
      </c>
      <c r="H6942" s="334" t="s">
        <v>15308</v>
      </c>
      <c r="I6942" s="334">
        <v>13916221266</v>
      </c>
      <c r="J6942" s="348" t="s">
        <v>15309</v>
      </c>
      <c r="K6942" s="337"/>
      <c r="L6942" s="334">
        <v>18825</v>
      </c>
      <c r="M6942" s="338"/>
      <c r="N6942" s="362">
        <f t="shared" si="240"/>
        <v>18825</v>
      </c>
      <c r="X6942" s="339"/>
    </row>
    <row r="6943" s="330" customFormat="1" ht="15" customHeight="1" spans="1:24">
      <c r="A6943" s="334"/>
      <c r="B6943" s="334" t="s">
        <v>315</v>
      </c>
      <c r="C6943" s="334" t="s">
        <v>181</v>
      </c>
      <c r="D6943" s="334" t="s">
        <v>132</v>
      </c>
      <c r="E6943" s="336">
        <v>43767</v>
      </c>
      <c r="F6943" s="336"/>
      <c r="G6943" s="336">
        <v>43764</v>
      </c>
      <c r="H6943" s="334" t="s">
        <v>15310</v>
      </c>
      <c r="I6943" s="444">
        <v>18917804661</v>
      </c>
      <c r="J6943" s="348" t="s">
        <v>15311</v>
      </c>
      <c r="K6943" s="337"/>
      <c r="L6943" s="338"/>
      <c r="M6943" s="334">
        <v>3304</v>
      </c>
      <c r="N6943" s="362">
        <f t="shared" si="240"/>
        <v>3304</v>
      </c>
      <c r="X6943" s="339"/>
    </row>
    <row r="6944" s="330" customFormat="1" ht="15" customHeight="1" spans="1:24">
      <c r="A6944" s="334"/>
      <c r="B6944" s="334" t="s">
        <v>315</v>
      </c>
      <c r="C6944" s="334" t="s">
        <v>366</v>
      </c>
      <c r="D6944" s="334" t="s">
        <v>132</v>
      </c>
      <c r="E6944" s="336">
        <v>43767</v>
      </c>
      <c r="F6944" s="336"/>
      <c r="G6944" s="336">
        <v>43766</v>
      </c>
      <c r="H6944" s="334" t="s">
        <v>9262</v>
      </c>
      <c r="I6944" s="356">
        <v>15601980512</v>
      </c>
      <c r="J6944" s="348" t="s">
        <v>15312</v>
      </c>
      <c r="K6944" s="337"/>
      <c r="L6944" s="338"/>
      <c r="M6944" s="334">
        <v>197</v>
      </c>
      <c r="N6944" s="362">
        <f t="shared" si="240"/>
        <v>197</v>
      </c>
      <c r="X6944" s="339"/>
    </row>
    <row r="6945" s="330" customFormat="1" ht="15" customHeight="1" spans="1:24">
      <c r="A6945" s="334"/>
      <c r="B6945" s="334" t="s">
        <v>236</v>
      </c>
      <c r="C6945" s="334" t="s">
        <v>703</v>
      </c>
      <c r="D6945" s="334" t="s">
        <v>207</v>
      </c>
      <c r="E6945" s="336">
        <v>43767</v>
      </c>
      <c r="F6945" s="336"/>
      <c r="G6945" s="336">
        <v>43736</v>
      </c>
      <c r="H6945" s="334" t="s">
        <v>11708</v>
      </c>
      <c r="I6945" s="334">
        <v>13774262897</v>
      </c>
      <c r="J6945" s="334" t="s">
        <v>15313</v>
      </c>
      <c r="K6945" s="337"/>
      <c r="L6945" s="338"/>
      <c r="M6945" s="334">
        <v>4843</v>
      </c>
      <c r="N6945" s="362">
        <f t="shared" si="240"/>
        <v>4843</v>
      </c>
      <c r="X6945" s="339"/>
    </row>
    <row r="6946" s="330" customFormat="1" ht="15" customHeight="1" spans="1:24">
      <c r="A6946" s="334"/>
      <c r="B6946" s="334" t="s">
        <v>236</v>
      </c>
      <c r="C6946" s="334" t="s">
        <v>195</v>
      </c>
      <c r="D6946" s="334" t="s">
        <v>207</v>
      </c>
      <c r="E6946" s="336">
        <v>43767</v>
      </c>
      <c r="F6946" s="336"/>
      <c r="G6946" s="336">
        <v>43762</v>
      </c>
      <c r="H6946" s="334" t="s">
        <v>15314</v>
      </c>
      <c r="I6946" s="334">
        <v>13641990575</v>
      </c>
      <c r="J6946" s="348" t="s">
        <v>11047</v>
      </c>
      <c r="K6946" s="337"/>
      <c r="L6946" s="338"/>
      <c r="M6946" s="334">
        <v>8024</v>
      </c>
      <c r="N6946" s="362">
        <f t="shared" si="240"/>
        <v>8024</v>
      </c>
      <c r="X6946" s="339"/>
    </row>
    <row r="6947" s="330" customFormat="1" ht="15" customHeight="1" spans="1:24">
      <c r="A6947" s="334"/>
      <c r="B6947" s="334" t="s">
        <v>47</v>
      </c>
      <c r="C6947" s="334" t="s">
        <v>80</v>
      </c>
      <c r="D6947" s="334" t="s">
        <v>49</v>
      </c>
      <c r="E6947" s="336">
        <v>43767</v>
      </c>
      <c r="F6947" s="336"/>
      <c r="G6947" s="336">
        <v>43765</v>
      </c>
      <c r="H6947" s="334" t="s">
        <v>11901</v>
      </c>
      <c r="I6947" s="334">
        <v>13901843291</v>
      </c>
      <c r="J6947" s="334" t="s">
        <v>15315</v>
      </c>
      <c r="K6947" s="337"/>
      <c r="L6947" s="338"/>
      <c r="M6947" s="334">
        <v>20000</v>
      </c>
      <c r="N6947" s="362">
        <f t="shared" si="240"/>
        <v>20000</v>
      </c>
      <c r="X6947" s="339"/>
    </row>
    <row r="6948" s="330" customFormat="1" ht="15" customHeight="1" spans="1:24">
      <c r="A6948" s="334"/>
      <c r="B6948" s="334" t="s">
        <v>35</v>
      </c>
      <c r="C6948" s="334" t="s">
        <v>36</v>
      </c>
      <c r="D6948" s="334" t="s">
        <v>37</v>
      </c>
      <c r="E6948" s="336">
        <v>43767</v>
      </c>
      <c r="F6948" s="336"/>
      <c r="G6948" s="336">
        <v>43765</v>
      </c>
      <c r="H6948" s="334" t="s">
        <v>11053</v>
      </c>
      <c r="I6948" s="334">
        <v>13801783073</v>
      </c>
      <c r="J6948" s="334" t="s">
        <v>11054</v>
      </c>
      <c r="K6948" s="337"/>
      <c r="L6948" s="338"/>
      <c r="M6948" s="334">
        <v>3110</v>
      </c>
      <c r="N6948" s="362">
        <f t="shared" si="240"/>
        <v>3110</v>
      </c>
      <c r="X6948" s="339"/>
    </row>
    <row r="6949" s="330" customFormat="1" ht="15" customHeight="1" spans="1:24">
      <c r="A6949" s="334"/>
      <c r="B6949" s="334" t="s">
        <v>169</v>
      </c>
      <c r="C6949" s="334" t="s">
        <v>634</v>
      </c>
      <c r="D6949" s="334" t="s">
        <v>635</v>
      </c>
      <c r="E6949" s="336">
        <v>43767</v>
      </c>
      <c r="F6949" s="336"/>
      <c r="G6949" s="336">
        <v>43767</v>
      </c>
      <c r="H6949" s="334" t="s">
        <v>11485</v>
      </c>
      <c r="I6949" s="334">
        <v>13052055880</v>
      </c>
      <c r="J6949" s="334" t="s">
        <v>15316</v>
      </c>
      <c r="K6949" s="337"/>
      <c r="L6949" s="338"/>
      <c r="M6949" s="334">
        <v>-2114</v>
      </c>
      <c r="N6949" s="362">
        <f t="shared" si="240"/>
        <v>-2114</v>
      </c>
      <c r="X6949" s="339"/>
    </row>
    <row r="6950" s="330" customFormat="1" ht="15" customHeight="1" spans="1:24">
      <c r="A6950" s="334"/>
      <c r="B6950" s="334" t="s">
        <v>137</v>
      </c>
      <c r="C6950" s="334" t="s">
        <v>406</v>
      </c>
      <c r="D6950" s="334" t="s">
        <v>139</v>
      </c>
      <c r="E6950" s="336">
        <v>43767</v>
      </c>
      <c r="F6950" s="336"/>
      <c r="G6950" s="336">
        <v>43767</v>
      </c>
      <c r="H6950" s="334" t="s">
        <v>1093</v>
      </c>
      <c r="I6950" s="334">
        <v>13505193777</v>
      </c>
      <c r="J6950" s="336" t="s">
        <v>15317</v>
      </c>
      <c r="K6950" s="337"/>
      <c r="L6950" s="338"/>
      <c r="M6950" s="334">
        <v>1766</v>
      </c>
      <c r="N6950" s="362">
        <f t="shared" si="240"/>
        <v>1766</v>
      </c>
      <c r="X6950" s="339"/>
    </row>
    <row r="6951" s="330" customFormat="1" ht="15" customHeight="1" spans="1:24">
      <c r="A6951" s="334"/>
      <c r="B6951" s="334" t="s">
        <v>58</v>
      </c>
      <c r="C6951" s="334" t="s">
        <v>347</v>
      </c>
      <c r="D6951" s="334" t="s">
        <v>343</v>
      </c>
      <c r="E6951" s="336">
        <v>43767</v>
      </c>
      <c r="F6951" s="336"/>
      <c r="G6951" s="336">
        <v>43764</v>
      </c>
      <c r="H6951" s="334" t="s">
        <v>13134</v>
      </c>
      <c r="I6951" s="426">
        <v>15802190497</v>
      </c>
      <c r="J6951" s="334" t="s">
        <v>15318</v>
      </c>
      <c r="K6951" s="337"/>
      <c r="L6951" s="338"/>
      <c r="M6951" s="334">
        <v>1393</v>
      </c>
      <c r="N6951" s="362">
        <f t="shared" si="240"/>
        <v>1393</v>
      </c>
      <c r="X6951" s="339"/>
    </row>
    <row r="6952" s="330" customFormat="1" ht="15" customHeight="1" spans="1:24">
      <c r="A6952" s="334"/>
      <c r="B6952" s="334" t="s">
        <v>73</v>
      </c>
      <c r="C6952" s="334" t="s">
        <v>74</v>
      </c>
      <c r="D6952" s="334" t="s">
        <v>75</v>
      </c>
      <c r="E6952" s="336">
        <v>43767</v>
      </c>
      <c r="F6952" s="336"/>
      <c r="G6952" s="336">
        <v>43767</v>
      </c>
      <c r="H6952" s="334" t="s">
        <v>12267</v>
      </c>
      <c r="I6952" s="334">
        <v>13901857572</v>
      </c>
      <c r="J6952" s="334" t="s">
        <v>12268</v>
      </c>
      <c r="K6952" s="337"/>
      <c r="L6952" s="338"/>
      <c r="M6952" s="334">
        <v>1440</v>
      </c>
      <c r="N6952" s="362">
        <f t="shared" si="240"/>
        <v>1440</v>
      </c>
      <c r="X6952" s="339"/>
    </row>
    <row r="6953" s="330" customFormat="1" ht="15" customHeight="1" spans="1:24">
      <c r="A6953" s="334"/>
      <c r="B6953" s="334" t="s">
        <v>315</v>
      </c>
      <c r="C6953" s="334" t="s">
        <v>230</v>
      </c>
      <c r="D6953" s="334" t="s">
        <v>182</v>
      </c>
      <c r="E6953" s="336">
        <v>43767</v>
      </c>
      <c r="F6953" s="336"/>
      <c r="G6953" s="336">
        <v>43758</v>
      </c>
      <c r="H6953" s="334" t="s">
        <v>5858</v>
      </c>
      <c r="I6953" s="334">
        <v>15821767479</v>
      </c>
      <c r="J6953" s="334" t="s">
        <v>15319</v>
      </c>
      <c r="K6953" s="337"/>
      <c r="L6953" s="338"/>
      <c r="M6953" s="334">
        <v>792</v>
      </c>
      <c r="N6953" s="362">
        <f t="shared" si="240"/>
        <v>792</v>
      </c>
      <c r="X6953" s="339"/>
    </row>
    <row r="6954" s="330" customFormat="1" ht="15" customHeight="1" spans="1:24">
      <c r="A6954" s="334"/>
      <c r="B6954" s="334" t="s">
        <v>315</v>
      </c>
      <c r="C6954" s="334" t="s">
        <v>230</v>
      </c>
      <c r="D6954" s="334" t="s">
        <v>132</v>
      </c>
      <c r="E6954" s="336">
        <v>43767</v>
      </c>
      <c r="F6954" s="336"/>
      <c r="G6954" s="336">
        <v>43764</v>
      </c>
      <c r="H6954" s="334" t="s">
        <v>10684</v>
      </c>
      <c r="I6954" s="334">
        <v>18821188288</v>
      </c>
      <c r="J6954" s="334" t="s">
        <v>10685</v>
      </c>
      <c r="K6954" s="337"/>
      <c r="L6954" s="338"/>
      <c r="M6954" s="334">
        <v>1267</v>
      </c>
      <c r="N6954" s="362">
        <f t="shared" si="240"/>
        <v>1267</v>
      </c>
      <c r="X6954" s="339"/>
    </row>
    <row r="6955" s="330" customFormat="1" ht="15" customHeight="1" spans="1:24">
      <c r="A6955" s="334"/>
      <c r="B6955" s="334" t="s">
        <v>73</v>
      </c>
      <c r="C6955" s="334" t="s">
        <v>74</v>
      </c>
      <c r="D6955" s="334" t="s">
        <v>132</v>
      </c>
      <c r="E6955" s="336">
        <v>43767</v>
      </c>
      <c r="F6955" s="336"/>
      <c r="G6955" s="336">
        <v>43766</v>
      </c>
      <c r="H6955" s="334" t="s">
        <v>2252</v>
      </c>
      <c r="I6955" s="334">
        <v>13681959696</v>
      </c>
      <c r="J6955" s="334" t="s">
        <v>12345</v>
      </c>
      <c r="K6955" s="337"/>
      <c r="L6955" s="338"/>
      <c r="M6955" s="334">
        <v>990</v>
      </c>
      <c r="N6955" s="362">
        <f t="shared" si="240"/>
        <v>990</v>
      </c>
      <c r="X6955" s="339"/>
    </row>
    <row r="6956" s="330" customFormat="1" ht="15" customHeight="1" spans="1:24">
      <c r="A6956" s="334"/>
      <c r="B6956" s="334" t="s">
        <v>31</v>
      </c>
      <c r="C6956" s="334" t="s">
        <v>419</v>
      </c>
      <c r="D6956" s="334" t="s">
        <v>954</v>
      </c>
      <c r="E6956" s="336">
        <v>43767</v>
      </c>
      <c r="F6956" s="336"/>
      <c r="G6956" s="336">
        <v>43767</v>
      </c>
      <c r="H6956" s="334" t="s">
        <v>11794</v>
      </c>
      <c r="I6956" s="334">
        <v>13916546272</v>
      </c>
      <c r="J6956" s="348" t="s">
        <v>15320</v>
      </c>
      <c r="K6956" s="337"/>
      <c r="L6956" s="338"/>
      <c r="M6956" s="334">
        <v>660</v>
      </c>
      <c r="N6956" s="362">
        <f t="shared" si="240"/>
        <v>660</v>
      </c>
      <c r="X6956" s="339"/>
    </row>
    <row r="6957" s="330" customFormat="1" ht="15" customHeight="1" spans="1:24">
      <c r="A6957" s="334"/>
      <c r="B6957" s="334" t="s">
        <v>87</v>
      </c>
      <c r="C6957" s="334" t="s">
        <v>199</v>
      </c>
      <c r="D6957" s="334" t="s">
        <v>89</v>
      </c>
      <c r="E6957" s="336">
        <v>43767</v>
      </c>
      <c r="F6957" s="336"/>
      <c r="G6957" s="336">
        <v>43767</v>
      </c>
      <c r="H6957" s="334" t="s">
        <v>12662</v>
      </c>
      <c r="I6957" s="426">
        <v>13651790109</v>
      </c>
      <c r="J6957" s="334" t="s">
        <v>12663</v>
      </c>
      <c r="K6957" s="337"/>
      <c r="L6957" s="338"/>
      <c r="M6957" s="334">
        <v>11944</v>
      </c>
      <c r="N6957" s="362">
        <f t="shared" si="240"/>
        <v>11944</v>
      </c>
      <c r="X6957" s="339"/>
    </row>
    <row r="6958" s="330" customFormat="1" ht="15" customHeight="1" spans="1:24">
      <c r="A6958" s="334"/>
      <c r="B6958" s="334" t="s">
        <v>66</v>
      </c>
      <c r="C6958" s="334" t="s">
        <v>119</v>
      </c>
      <c r="D6958" s="334" t="s">
        <v>2302</v>
      </c>
      <c r="E6958" s="336">
        <v>43767</v>
      </c>
      <c r="F6958" s="336"/>
      <c r="G6958" s="336">
        <v>43767</v>
      </c>
      <c r="H6958" s="334" t="s">
        <v>13463</v>
      </c>
      <c r="I6958" s="356">
        <v>13764315807</v>
      </c>
      <c r="J6958" s="348" t="s">
        <v>15321</v>
      </c>
      <c r="K6958" s="337"/>
      <c r="L6958" s="338"/>
      <c r="M6958" s="334">
        <v>2050</v>
      </c>
      <c r="N6958" s="362">
        <f t="shared" si="240"/>
        <v>2050</v>
      </c>
      <c r="X6958" s="339"/>
    </row>
    <row r="6959" s="330" customFormat="1" ht="15" customHeight="1" spans="1:24">
      <c r="A6959" s="334"/>
      <c r="B6959" s="334" t="s">
        <v>185</v>
      </c>
      <c r="C6959" s="334" t="s">
        <v>886</v>
      </c>
      <c r="D6959" s="334" t="s">
        <v>187</v>
      </c>
      <c r="E6959" s="336">
        <v>43768</v>
      </c>
      <c r="F6959" s="336"/>
      <c r="G6959" s="336">
        <v>43764</v>
      </c>
      <c r="H6959" s="334" t="s">
        <v>4832</v>
      </c>
      <c r="I6959" s="334">
        <v>13817237573</v>
      </c>
      <c r="J6959" s="348" t="s">
        <v>15322</v>
      </c>
      <c r="K6959" s="337"/>
      <c r="L6959" s="338"/>
      <c r="M6959" s="334">
        <v>-170</v>
      </c>
      <c r="N6959" s="362">
        <f t="shared" si="240"/>
        <v>-170</v>
      </c>
      <c r="X6959" s="339"/>
    </row>
    <row r="6960" s="330" customFormat="1" ht="15" customHeight="1" spans="1:24">
      <c r="A6960" s="334"/>
      <c r="B6960" s="334" t="s">
        <v>805</v>
      </c>
      <c r="C6960" s="334" t="s">
        <v>4935</v>
      </c>
      <c r="D6960" s="334" t="s">
        <v>171</v>
      </c>
      <c r="E6960" s="336">
        <v>43768</v>
      </c>
      <c r="F6960" s="336"/>
      <c r="G6960" s="336">
        <v>43766</v>
      </c>
      <c r="H6960" s="334" t="s">
        <v>13925</v>
      </c>
      <c r="I6960" s="334">
        <v>18018509739</v>
      </c>
      <c r="J6960" s="334" t="s">
        <v>13926</v>
      </c>
      <c r="K6960" s="337"/>
      <c r="L6960" s="338"/>
      <c r="M6960" s="334">
        <v>-232</v>
      </c>
      <c r="N6960" s="362">
        <f t="shared" si="240"/>
        <v>-232</v>
      </c>
      <c r="X6960" s="339"/>
    </row>
    <row r="6961" s="330" customFormat="1" ht="15" customHeight="1" spans="1:24">
      <c r="A6961" s="334"/>
      <c r="B6961" s="334" t="s">
        <v>42</v>
      </c>
      <c r="C6961" s="334" t="s">
        <v>43</v>
      </c>
      <c r="D6961" s="334" t="s">
        <v>207</v>
      </c>
      <c r="E6961" s="336">
        <v>43768</v>
      </c>
      <c r="F6961" s="336"/>
      <c r="G6961" s="336">
        <v>43767</v>
      </c>
      <c r="H6961" s="334" t="s">
        <v>12814</v>
      </c>
      <c r="I6961" s="334">
        <v>13916268700</v>
      </c>
      <c r="J6961" s="334" t="s">
        <v>15323</v>
      </c>
      <c r="K6961" s="337"/>
      <c r="L6961" s="338"/>
      <c r="M6961" s="334">
        <v>1650</v>
      </c>
      <c r="N6961" s="362">
        <f t="shared" si="240"/>
        <v>1650</v>
      </c>
      <c r="X6961" s="339"/>
    </row>
    <row r="6962" s="330" customFormat="1" ht="15" customHeight="1" spans="1:24">
      <c r="A6962" s="334"/>
      <c r="B6962" s="334" t="s">
        <v>73</v>
      </c>
      <c r="C6962" s="334" t="s">
        <v>74</v>
      </c>
      <c r="D6962" s="334" t="s">
        <v>717</v>
      </c>
      <c r="E6962" s="336">
        <v>43768</v>
      </c>
      <c r="F6962" s="336"/>
      <c r="G6962" s="336">
        <v>43767</v>
      </c>
      <c r="H6962" s="334" t="s">
        <v>9436</v>
      </c>
      <c r="I6962" s="334">
        <v>13812756336</v>
      </c>
      <c r="J6962" s="348" t="s">
        <v>9437</v>
      </c>
      <c r="K6962" s="337"/>
      <c r="L6962" s="338"/>
      <c r="M6962" s="334">
        <v>6229</v>
      </c>
      <c r="N6962" s="362">
        <f t="shared" si="240"/>
        <v>6229</v>
      </c>
      <c r="X6962" s="339"/>
    </row>
    <row r="6963" s="330" customFormat="1" ht="15" customHeight="1" spans="1:24">
      <c r="A6963" s="334"/>
      <c r="B6963" s="334" t="s">
        <v>315</v>
      </c>
      <c r="C6963" s="334" t="s">
        <v>275</v>
      </c>
      <c r="D6963" s="334" t="s">
        <v>162</v>
      </c>
      <c r="E6963" s="336">
        <v>43768</v>
      </c>
      <c r="F6963" s="336"/>
      <c r="G6963" s="336">
        <v>43767</v>
      </c>
      <c r="H6963" s="334" t="s">
        <v>15324</v>
      </c>
      <c r="I6963" s="334">
        <v>18616608590</v>
      </c>
      <c r="J6963" s="348" t="s">
        <v>2728</v>
      </c>
      <c r="K6963" s="337"/>
      <c r="L6963" s="338"/>
      <c r="M6963" s="334">
        <v>1249</v>
      </c>
      <c r="N6963" s="362">
        <f t="shared" si="240"/>
        <v>1249</v>
      </c>
      <c r="X6963" s="339"/>
    </row>
    <row r="6964" s="330" customFormat="1" ht="15" customHeight="1" spans="1:24">
      <c r="A6964" s="334"/>
      <c r="B6964" s="334" t="s">
        <v>66</v>
      </c>
      <c r="C6964" s="334" t="s">
        <v>67</v>
      </c>
      <c r="D6964" s="334" t="s">
        <v>68</v>
      </c>
      <c r="E6964" s="336">
        <v>43768</v>
      </c>
      <c r="F6964" s="336"/>
      <c r="G6964" s="336">
        <v>43767</v>
      </c>
      <c r="H6964" s="334" t="s">
        <v>10423</v>
      </c>
      <c r="I6964" s="334">
        <v>18201736506</v>
      </c>
      <c r="J6964" s="334" t="s">
        <v>10424</v>
      </c>
      <c r="K6964" s="337"/>
      <c r="L6964" s="338"/>
      <c r="M6964" s="334">
        <v>3500</v>
      </c>
      <c r="N6964" s="362">
        <f t="shared" si="240"/>
        <v>3500</v>
      </c>
      <c r="X6964" s="339"/>
    </row>
    <row r="6965" s="330" customFormat="1" ht="15" customHeight="1" spans="1:24">
      <c r="A6965" s="334"/>
      <c r="B6965" s="334" t="s">
        <v>66</v>
      </c>
      <c r="C6965" s="334" t="s">
        <v>67</v>
      </c>
      <c r="D6965" s="334" t="s">
        <v>2302</v>
      </c>
      <c r="E6965" s="336">
        <v>43768</v>
      </c>
      <c r="F6965" s="336"/>
      <c r="G6965" s="336">
        <v>43767</v>
      </c>
      <c r="H6965" s="334" t="s">
        <v>8231</v>
      </c>
      <c r="I6965" s="334">
        <v>13127981132</v>
      </c>
      <c r="J6965" s="334" t="s">
        <v>15325</v>
      </c>
      <c r="K6965" s="337"/>
      <c r="L6965" s="338"/>
      <c r="M6965" s="334">
        <v>1724</v>
      </c>
      <c r="N6965" s="362">
        <f t="shared" si="240"/>
        <v>1724</v>
      </c>
      <c r="X6965" s="339"/>
    </row>
    <row r="6966" s="330" customFormat="1" ht="15" customHeight="1" spans="1:24">
      <c r="A6966" s="334"/>
      <c r="B6966" s="334" t="s">
        <v>315</v>
      </c>
      <c r="C6966" s="334" t="s">
        <v>275</v>
      </c>
      <c r="D6966" s="334" t="s">
        <v>162</v>
      </c>
      <c r="E6966" s="336">
        <v>43768</v>
      </c>
      <c r="F6966" s="336"/>
      <c r="G6966" s="336">
        <v>43763</v>
      </c>
      <c r="H6966" s="334" t="s">
        <v>11454</v>
      </c>
      <c r="I6966" s="425">
        <v>13916044759</v>
      </c>
      <c r="J6966" s="425" t="s">
        <v>15326</v>
      </c>
      <c r="K6966" s="337"/>
      <c r="L6966" s="338"/>
      <c r="M6966" s="334">
        <v>9647</v>
      </c>
      <c r="N6966" s="362">
        <f t="shared" si="240"/>
        <v>9647</v>
      </c>
      <c r="X6966" s="339"/>
    </row>
    <row r="6967" s="330" customFormat="1" ht="15" customHeight="1" spans="1:24">
      <c r="A6967" s="334"/>
      <c r="B6967" s="348" t="s">
        <v>31</v>
      </c>
      <c r="C6967" s="334" t="s">
        <v>2716</v>
      </c>
      <c r="D6967" s="334" t="s">
        <v>33</v>
      </c>
      <c r="E6967" s="336">
        <v>43768</v>
      </c>
      <c r="F6967" s="336"/>
      <c r="G6967" s="336">
        <v>43768</v>
      </c>
      <c r="H6967" s="334" t="s">
        <v>4373</v>
      </c>
      <c r="I6967" s="356">
        <v>13764662221</v>
      </c>
      <c r="J6967" s="348" t="s">
        <v>15327</v>
      </c>
      <c r="K6967" s="337"/>
      <c r="L6967" s="338"/>
      <c r="M6967" s="334">
        <v>1737</v>
      </c>
      <c r="N6967" s="362">
        <f t="shared" si="240"/>
        <v>1737</v>
      </c>
      <c r="X6967" s="339"/>
    </row>
    <row r="6968" s="330" customFormat="1" ht="15" customHeight="1" spans="1:24">
      <c r="A6968" s="334"/>
      <c r="B6968" s="334" t="s">
        <v>31</v>
      </c>
      <c r="C6968" s="334" t="s">
        <v>251</v>
      </c>
      <c r="D6968" s="334" t="s">
        <v>954</v>
      </c>
      <c r="E6968" s="336">
        <v>43768</v>
      </c>
      <c r="F6968" s="336"/>
      <c r="G6968" s="336">
        <v>43757</v>
      </c>
      <c r="H6968" s="334" t="s">
        <v>14553</v>
      </c>
      <c r="I6968" s="334">
        <v>13361939199</v>
      </c>
      <c r="J6968" s="348" t="s">
        <v>14554</v>
      </c>
      <c r="K6968" s="337"/>
      <c r="L6968" s="338"/>
      <c r="M6968" s="334">
        <v>13484</v>
      </c>
      <c r="N6968" s="362">
        <f t="shared" si="240"/>
        <v>13484</v>
      </c>
      <c r="X6968" s="339"/>
    </row>
    <row r="6969" s="330" customFormat="1" ht="15" customHeight="1" spans="1:24">
      <c r="A6969" s="334"/>
      <c r="B6969" s="334" t="s">
        <v>31</v>
      </c>
      <c r="C6969" s="334" t="s">
        <v>251</v>
      </c>
      <c r="D6969" s="334" t="s">
        <v>954</v>
      </c>
      <c r="E6969" s="336">
        <v>43768</v>
      </c>
      <c r="F6969" s="336"/>
      <c r="G6969" s="336">
        <v>43752</v>
      </c>
      <c r="H6969" s="334" t="s">
        <v>14225</v>
      </c>
      <c r="I6969" s="334">
        <v>15921055767</v>
      </c>
      <c r="J6969" s="334" t="s">
        <v>14226</v>
      </c>
      <c r="K6969" s="337"/>
      <c r="L6969" s="338"/>
      <c r="M6969" s="334">
        <v>1099</v>
      </c>
      <c r="N6969" s="362">
        <f t="shared" si="240"/>
        <v>1099</v>
      </c>
      <c r="X6969" s="339"/>
    </row>
    <row r="6970" s="330" customFormat="1" ht="15" customHeight="1" spans="1:24">
      <c r="A6970" s="334"/>
      <c r="B6970" s="334" t="s">
        <v>169</v>
      </c>
      <c r="C6970" s="334" t="s">
        <v>542</v>
      </c>
      <c r="D6970" s="334" t="s">
        <v>171</v>
      </c>
      <c r="E6970" s="336">
        <v>43768</v>
      </c>
      <c r="F6970" s="336"/>
      <c r="G6970" s="336">
        <v>43768</v>
      </c>
      <c r="H6970" s="334" t="s">
        <v>8081</v>
      </c>
      <c r="I6970" s="356">
        <v>18621034337</v>
      </c>
      <c r="J6970" s="348" t="s">
        <v>8082</v>
      </c>
      <c r="K6970" s="337"/>
      <c r="L6970" s="338"/>
      <c r="M6970" s="334">
        <v>717</v>
      </c>
      <c r="N6970" s="362">
        <f t="shared" si="240"/>
        <v>717</v>
      </c>
      <c r="X6970" s="339"/>
    </row>
    <row r="6971" s="330" customFormat="1" ht="15" customHeight="1" spans="1:24">
      <c r="A6971" s="334"/>
      <c r="B6971" s="334" t="s">
        <v>315</v>
      </c>
      <c r="C6971" s="334" t="s">
        <v>722</v>
      </c>
      <c r="D6971" s="334" t="s">
        <v>132</v>
      </c>
      <c r="E6971" s="336">
        <v>43768</v>
      </c>
      <c r="F6971" s="336"/>
      <c r="G6971" s="336">
        <v>43768</v>
      </c>
      <c r="H6971" s="334" t="s">
        <v>11777</v>
      </c>
      <c r="I6971" s="334">
        <v>13501735431</v>
      </c>
      <c r="J6971" s="334" t="s">
        <v>15328</v>
      </c>
      <c r="K6971" s="337"/>
      <c r="L6971" s="338"/>
      <c r="M6971" s="334">
        <v>37072</v>
      </c>
      <c r="N6971" s="362">
        <f t="shared" si="240"/>
        <v>37072</v>
      </c>
      <c r="X6971" s="339"/>
    </row>
    <row r="6972" s="330" customFormat="1" ht="15" customHeight="1" spans="1:24">
      <c r="A6972" s="334"/>
      <c r="B6972" s="334" t="s">
        <v>66</v>
      </c>
      <c r="C6972" s="334" t="s">
        <v>1749</v>
      </c>
      <c r="D6972" s="334" t="s">
        <v>68</v>
      </c>
      <c r="E6972" s="336">
        <v>43768</v>
      </c>
      <c r="F6972" s="336"/>
      <c r="G6972" s="336">
        <v>43766</v>
      </c>
      <c r="H6972" s="334" t="s">
        <v>13475</v>
      </c>
      <c r="I6972" s="334">
        <v>13918367457</v>
      </c>
      <c r="J6972" s="334" t="s">
        <v>13476</v>
      </c>
      <c r="K6972" s="337"/>
      <c r="L6972" s="338"/>
      <c r="M6972" s="334">
        <v>-1710</v>
      </c>
      <c r="N6972" s="362">
        <f t="shared" si="240"/>
        <v>-1710</v>
      </c>
      <c r="X6972" s="339"/>
    </row>
    <row r="6973" s="330" customFormat="1" ht="15" customHeight="1" spans="1:24">
      <c r="A6973" s="334"/>
      <c r="B6973" s="334" t="s">
        <v>66</v>
      </c>
      <c r="C6973" s="334" t="s">
        <v>1749</v>
      </c>
      <c r="D6973" s="334" t="s">
        <v>68</v>
      </c>
      <c r="E6973" s="336">
        <v>43768</v>
      </c>
      <c r="F6973" s="336"/>
      <c r="G6973" s="336">
        <v>43768</v>
      </c>
      <c r="H6973" s="334" t="s">
        <v>12484</v>
      </c>
      <c r="I6973" s="334">
        <v>13973018139</v>
      </c>
      <c r="J6973" s="334" t="s">
        <v>15329</v>
      </c>
      <c r="K6973" s="337"/>
      <c r="L6973" s="338"/>
      <c r="M6973" s="334">
        <v>13651</v>
      </c>
      <c r="N6973" s="362">
        <f t="shared" si="240"/>
        <v>13651</v>
      </c>
      <c r="X6973" s="339"/>
    </row>
    <row r="6974" s="330" customFormat="1" ht="15" customHeight="1" spans="1:24">
      <c r="A6974" s="334"/>
      <c r="B6974" s="334" t="s">
        <v>315</v>
      </c>
      <c r="C6974" s="334" t="s">
        <v>230</v>
      </c>
      <c r="D6974" s="334" t="s">
        <v>182</v>
      </c>
      <c r="E6974" s="336">
        <v>43768</v>
      </c>
      <c r="F6974" s="336"/>
      <c r="G6974" s="336">
        <v>43767</v>
      </c>
      <c r="H6974" s="334" t="s">
        <v>11673</v>
      </c>
      <c r="I6974" s="334">
        <v>13761761500</v>
      </c>
      <c r="J6974" s="334" t="s">
        <v>15330</v>
      </c>
      <c r="K6974" s="337"/>
      <c r="L6974" s="338"/>
      <c r="M6974" s="334">
        <v>4470</v>
      </c>
      <c r="N6974" s="362">
        <f t="shared" si="240"/>
        <v>4470</v>
      </c>
      <c r="X6974" s="339"/>
    </row>
    <row r="6975" s="330" customFormat="1" ht="15" customHeight="1" spans="1:24">
      <c r="A6975" s="334"/>
      <c r="B6975" s="334" t="s">
        <v>87</v>
      </c>
      <c r="C6975" s="334" t="s">
        <v>466</v>
      </c>
      <c r="D6975" s="334" t="s">
        <v>89</v>
      </c>
      <c r="E6975" s="336">
        <v>43768</v>
      </c>
      <c r="F6975" s="336"/>
      <c r="G6975" s="336">
        <v>43768</v>
      </c>
      <c r="H6975" s="334" t="s">
        <v>12548</v>
      </c>
      <c r="I6975" s="334">
        <v>18626056799</v>
      </c>
      <c r="J6975" s="334" t="s">
        <v>12549</v>
      </c>
      <c r="K6975" s="337"/>
      <c r="L6975" s="338"/>
      <c r="M6975" s="334">
        <v>700</v>
      </c>
      <c r="N6975" s="362">
        <f t="shared" si="240"/>
        <v>700</v>
      </c>
      <c r="X6975" s="339"/>
    </row>
    <row r="6976" s="330" customFormat="1" ht="15" customHeight="1" spans="1:24">
      <c r="A6976" s="550" t="s">
        <v>15331</v>
      </c>
      <c r="B6976" s="334" t="s">
        <v>2625</v>
      </c>
      <c r="C6976" s="348" t="s">
        <v>2626</v>
      </c>
      <c r="D6976" s="334" t="s">
        <v>44</v>
      </c>
      <c r="E6976" s="336">
        <v>43771</v>
      </c>
      <c r="F6976" s="336">
        <v>43768</v>
      </c>
      <c r="G6976" s="336">
        <v>43770</v>
      </c>
      <c r="H6976" s="334" t="s">
        <v>15332</v>
      </c>
      <c r="I6976" s="444">
        <v>18616255627</v>
      </c>
      <c r="J6976" s="348" t="s">
        <v>15333</v>
      </c>
      <c r="K6976" s="452">
        <v>1000</v>
      </c>
      <c r="L6976" s="334">
        <v>5500</v>
      </c>
      <c r="M6976" s="338"/>
      <c r="N6976" s="362">
        <f t="shared" ref="N6976:N7007" si="241">L6976+M6976</f>
        <v>5500</v>
      </c>
      <c r="X6976" s="339"/>
    </row>
    <row r="6977" s="330" customFormat="1" ht="15" customHeight="1" spans="1:24">
      <c r="A6977" s="348">
        <v>2067161</v>
      </c>
      <c r="B6977" s="334" t="s">
        <v>123</v>
      </c>
      <c r="C6977" s="348" t="s">
        <v>32</v>
      </c>
      <c r="D6977" s="335" t="s">
        <v>125</v>
      </c>
      <c r="E6977" s="336">
        <v>43794</v>
      </c>
      <c r="F6977" s="336">
        <v>43768</v>
      </c>
      <c r="G6977" s="336">
        <v>43792</v>
      </c>
      <c r="H6977" s="334" t="s">
        <v>15334</v>
      </c>
      <c r="I6977" s="444">
        <v>13816617007</v>
      </c>
      <c r="J6977" s="348" t="s">
        <v>15335</v>
      </c>
      <c r="K6977" s="452">
        <v>1000</v>
      </c>
      <c r="L6977" s="334">
        <v>7076</v>
      </c>
      <c r="M6977" s="338"/>
      <c r="N6977" s="362">
        <f t="shared" si="241"/>
        <v>7076</v>
      </c>
      <c r="X6977" s="339"/>
    </row>
    <row r="6978" s="330" customFormat="1" ht="15" customHeight="1" spans="1:24">
      <c r="A6978" s="348"/>
      <c r="B6978" s="334" t="s">
        <v>147</v>
      </c>
      <c r="C6978" s="348" t="s">
        <v>13719</v>
      </c>
      <c r="D6978" s="334" t="s">
        <v>237</v>
      </c>
      <c r="E6978" s="336">
        <v>43830</v>
      </c>
      <c r="F6978" s="336">
        <v>43768</v>
      </c>
      <c r="G6978" s="336">
        <v>43827</v>
      </c>
      <c r="H6978" s="334" t="s">
        <v>15336</v>
      </c>
      <c r="I6978" s="444">
        <v>13774251560</v>
      </c>
      <c r="J6978" s="348" t="s">
        <v>15337</v>
      </c>
      <c r="K6978" s="452">
        <v>2000</v>
      </c>
      <c r="L6978" s="334">
        <v>10600</v>
      </c>
      <c r="M6978" s="338"/>
      <c r="N6978" s="362">
        <f t="shared" si="241"/>
        <v>10600</v>
      </c>
      <c r="X6978" s="339"/>
    </row>
    <row r="6979" s="330" customFormat="1" ht="15" customHeight="1" spans="1:24">
      <c r="A6979" s="348"/>
      <c r="B6979" s="334" t="s">
        <v>354</v>
      </c>
      <c r="C6979" s="348" t="s">
        <v>355</v>
      </c>
      <c r="D6979" s="334" t="s">
        <v>343</v>
      </c>
      <c r="E6979" s="336">
        <v>43769</v>
      </c>
      <c r="F6979" s="336">
        <v>43768</v>
      </c>
      <c r="G6979" s="336">
        <v>43769</v>
      </c>
      <c r="H6979" s="334" t="s">
        <v>13978</v>
      </c>
      <c r="I6979" s="444">
        <v>13917931289</v>
      </c>
      <c r="J6979" s="348" t="s">
        <v>15338</v>
      </c>
      <c r="K6979" s="452">
        <v>12000</v>
      </c>
      <c r="L6979" s="334">
        <v>15200</v>
      </c>
      <c r="M6979" s="338"/>
      <c r="N6979" s="362">
        <f t="shared" si="241"/>
        <v>15200</v>
      </c>
      <c r="X6979" s="339"/>
    </row>
    <row r="6980" s="330" customFormat="1" ht="15" customHeight="1" spans="1:24">
      <c r="A6980" s="550" t="s">
        <v>15339</v>
      </c>
      <c r="B6980" s="334" t="s">
        <v>315</v>
      </c>
      <c r="C6980" s="348" t="s">
        <v>181</v>
      </c>
      <c r="D6980" s="335" t="s">
        <v>182</v>
      </c>
      <c r="E6980" s="336">
        <v>43803</v>
      </c>
      <c r="F6980" s="336">
        <v>43768</v>
      </c>
      <c r="G6980" s="336">
        <v>43802</v>
      </c>
      <c r="H6980" s="334" t="s">
        <v>15340</v>
      </c>
      <c r="I6980" s="444">
        <v>13601685445</v>
      </c>
      <c r="J6980" s="438" t="s">
        <v>15341</v>
      </c>
      <c r="K6980" s="452">
        <v>1000</v>
      </c>
      <c r="L6980" s="334">
        <v>24965</v>
      </c>
      <c r="M6980" s="338"/>
      <c r="N6980" s="362">
        <f t="shared" si="241"/>
        <v>24965</v>
      </c>
      <c r="S6980" s="330">
        <v>1</v>
      </c>
      <c r="X6980" s="339"/>
    </row>
    <row r="6981" s="330" customFormat="1" ht="15" customHeight="1" spans="1:24">
      <c r="A6981" s="348"/>
      <c r="B6981" s="334" t="s">
        <v>147</v>
      </c>
      <c r="C6981" s="348" t="s">
        <v>13719</v>
      </c>
      <c r="D6981" s="334" t="s">
        <v>237</v>
      </c>
      <c r="E6981" s="336">
        <v>43794</v>
      </c>
      <c r="F6981" s="336">
        <v>43768</v>
      </c>
      <c r="G6981" s="336">
        <v>43793</v>
      </c>
      <c r="H6981" s="334" t="s">
        <v>15342</v>
      </c>
      <c r="I6981" s="444">
        <v>15800635731</v>
      </c>
      <c r="J6981" s="348" t="s">
        <v>15343</v>
      </c>
      <c r="K6981" s="452">
        <v>1000</v>
      </c>
      <c r="L6981" s="334">
        <v>7099</v>
      </c>
      <c r="M6981" s="338"/>
      <c r="N6981" s="362">
        <f t="shared" si="241"/>
        <v>7099</v>
      </c>
      <c r="X6981" s="339"/>
    </row>
    <row r="6982" s="330" customFormat="1" ht="15" customHeight="1" spans="1:24">
      <c r="A6982" s="348">
        <v>2023335</v>
      </c>
      <c r="B6982" s="334" t="s">
        <v>243</v>
      </c>
      <c r="C6982" s="348" t="s">
        <v>309</v>
      </c>
      <c r="D6982" s="335" t="s">
        <v>49</v>
      </c>
      <c r="E6982" s="336">
        <v>43769</v>
      </c>
      <c r="F6982" s="336">
        <v>43768</v>
      </c>
      <c r="G6982" s="399"/>
      <c r="H6982" s="334" t="s">
        <v>15344</v>
      </c>
      <c r="I6982" s="444">
        <v>13918607660</v>
      </c>
      <c r="J6982" s="348" t="s">
        <v>15345</v>
      </c>
      <c r="K6982" s="452">
        <v>1000</v>
      </c>
      <c r="L6982" s="338"/>
      <c r="M6982" s="338"/>
      <c r="N6982" s="362">
        <f t="shared" si="241"/>
        <v>0</v>
      </c>
      <c r="R6982" s="356"/>
      <c r="U6982" s="356" t="s">
        <v>52</v>
      </c>
      <c r="X6982" s="339"/>
    </row>
    <row r="6983" s="330" customFormat="1" ht="15" customHeight="1" spans="1:24">
      <c r="A6983" s="550" t="s">
        <v>15346</v>
      </c>
      <c r="B6983" s="334" t="s">
        <v>73</v>
      </c>
      <c r="C6983" s="348" t="s">
        <v>74</v>
      </c>
      <c r="D6983" s="334" t="s">
        <v>427</v>
      </c>
      <c r="E6983" s="336">
        <v>43797</v>
      </c>
      <c r="F6983" s="336">
        <v>43769</v>
      </c>
      <c r="G6983" s="336">
        <v>43797</v>
      </c>
      <c r="H6983" s="334" t="s">
        <v>15347</v>
      </c>
      <c r="I6983" s="444">
        <v>13661629831</v>
      </c>
      <c r="J6983" s="348" t="s">
        <v>15348</v>
      </c>
      <c r="K6983" s="452">
        <v>1000</v>
      </c>
      <c r="L6983" s="334">
        <v>18229</v>
      </c>
      <c r="M6983" s="338"/>
      <c r="N6983" s="362">
        <f t="shared" si="241"/>
        <v>18229</v>
      </c>
      <c r="O6983" s="366" t="s">
        <v>52</v>
      </c>
      <c r="X6983" s="339"/>
    </row>
    <row r="6984" s="330" customFormat="1" ht="15" customHeight="1" spans="1:24">
      <c r="A6984" s="348"/>
      <c r="B6984" s="334" t="s">
        <v>5336</v>
      </c>
      <c r="C6984" s="348" t="s">
        <v>5336</v>
      </c>
      <c r="D6984" s="334" t="s">
        <v>207</v>
      </c>
      <c r="E6984" s="336">
        <v>43796</v>
      </c>
      <c r="F6984" s="336">
        <v>43769</v>
      </c>
      <c r="G6984" s="336">
        <v>43796</v>
      </c>
      <c r="H6984" s="334" t="s">
        <v>15349</v>
      </c>
      <c r="I6984" s="444">
        <v>15821291623</v>
      </c>
      <c r="J6984" s="348" t="s">
        <v>15350</v>
      </c>
      <c r="K6984" s="452">
        <v>11268</v>
      </c>
      <c r="L6984" s="334">
        <v>11274</v>
      </c>
      <c r="M6984" s="338"/>
      <c r="N6984" s="362">
        <f t="shared" si="241"/>
        <v>11274</v>
      </c>
      <c r="X6984" s="339"/>
    </row>
    <row r="6985" s="330" customFormat="1" ht="15" customHeight="1" spans="1:24">
      <c r="A6985" s="348"/>
      <c r="B6985" s="334" t="s">
        <v>5336</v>
      </c>
      <c r="C6985" s="348" t="s">
        <v>5336</v>
      </c>
      <c r="D6985" s="334" t="s">
        <v>8334</v>
      </c>
      <c r="E6985" s="336">
        <v>43776</v>
      </c>
      <c r="F6985" s="336">
        <v>43769</v>
      </c>
      <c r="G6985" s="336">
        <v>43776</v>
      </c>
      <c r="H6985" s="334" t="s">
        <v>15351</v>
      </c>
      <c r="I6985" s="444">
        <v>13795365165</v>
      </c>
      <c r="J6985" s="348" t="s">
        <v>15352</v>
      </c>
      <c r="K6985" s="452">
        <v>2274</v>
      </c>
      <c r="L6985" s="334">
        <v>8271</v>
      </c>
      <c r="M6985" s="338"/>
      <c r="N6985" s="362">
        <f t="shared" si="241"/>
        <v>8271</v>
      </c>
      <c r="X6985" s="339"/>
    </row>
    <row r="6986" s="330" customFormat="1" ht="15" customHeight="1" spans="1:24">
      <c r="A6986" s="550" t="s">
        <v>15353</v>
      </c>
      <c r="B6986" s="334" t="s">
        <v>66</v>
      </c>
      <c r="C6986" s="348" t="s">
        <v>505</v>
      </c>
      <c r="D6986" s="334" t="s">
        <v>2302</v>
      </c>
      <c r="E6986" s="336">
        <v>43799</v>
      </c>
      <c r="F6986" s="336">
        <v>43768</v>
      </c>
      <c r="G6986" s="336">
        <v>43799</v>
      </c>
      <c r="H6986" s="334" t="s">
        <v>15354</v>
      </c>
      <c r="I6986" s="444">
        <v>15901908717</v>
      </c>
      <c r="J6986" s="348" t="s">
        <v>15355</v>
      </c>
      <c r="K6986" s="452">
        <v>2940</v>
      </c>
      <c r="L6986" s="334">
        <v>4998</v>
      </c>
      <c r="M6986" s="338"/>
      <c r="N6986" s="362">
        <f t="shared" si="241"/>
        <v>4998</v>
      </c>
      <c r="Q6986" s="330" t="s">
        <v>52</v>
      </c>
      <c r="X6986" s="339"/>
    </row>
    <row r="6987" s="330" customFormat="1" ht="15" customHeight="1" spans="1:24">
      <c r="A6987" s="550" t="s">
        <v>15356</v>
      </c>
      <c r="B6987" s="334" t="s">
        <v>58</v>
      </c>
      <c r="C6987" s="348" t="s">
        <v>342</v>
      </c>
      <c r="D6987" s="334" t="s">
        <v>343</v>
      </c>
      <c r="E6987" s="336">
        <v>43769</v>
      </c>
      <c r="F6987" s="336">
        <v>43758</v>
      </c>
      <c r="G6987" s="399">
        <v>43767</v>
      </c>
      <c r="H6987" s="334" t="s">
        <v>596</v>
      </c>
      <c r="I6987" s="334">
        <v>18016366869</v>
      </c>
      <c r="J6987" s="348" t="s">
        <v>15357</v>
      </c>
      <c r="K6987" s="452">
        <v>15000</v>
      </c>
      <c r="L6987" s="334">
        <v>14817</v>
      </c>
      <c r="M6987" s="338"/>
      <c r="N6987" s="362">
        <f t="shared" si="241"/>
        <v>14817</v>
      </c>
      <c r="X6987" s="339"/>
    </row>
    <row r="6988" s="330" customFormat="1" ht="15" customHeight="1" spans="1:24">
      <c r="A6988" s="348"/>
      <c r="B6988" s="348" t="s">
        <v>153</v>
      </c>
      <c r="C6988" s="334" t="s">
        <v>154</v>
      </c>
      <c r="D6988" s="334" t="s">
        <v>155</v>
      </c>
      <c r="E6988" s="350">
        <v>43769</v>
      </c>
      <c r="F6988" s="350">
        <v>43745</v>
      </c>
      <c r="G6988" s="399">
        <v>43768</v>
      </c>
      <c r="H6988" s="334" t="s">
        <v>15358</v>
      </c>
      <c r="I6988" s="444">
        <v>18918213680</v>
      </c>
      <c r="J6988" s="348" t="s">
        <v>15359</v>
      </c>
      <c r="K6988" s="452">
        <v>18329</v>
      </c>
      <c r="L6988" s="334">
        <v>19329</v>
      </c>
      <c r="M6988" s="338"/>
      <c r="N6988" s="362">
        <f t="shared" si="241"/>
        <v>19329</v>
      </c>
      <c r="X6988" s="339"/>
    </row>
    <row r="6989" s="330" customFormat="1" ht="15" customHeight="1" spans="1:24">
      <c r="A6989" s="550" t="s">
        <v>15360</v>
      </c>
      <c r="B6989" s="334" t="s">
        <v>805</v>
      </c>
      <c r="C6989" s="348" t="s">
        <v>806</v>
      </c>
      <c r="D6989" s="335" t="s">
        <v>171</v>
      </c>
      <c r="E6989" s="336">
        <v>43769</v>
      </c>
      <c r="F6989" s="336">
        <v>43652</v>
      </c>
      <c r="G6989" s="339" t="s">
        <v>15361</v>
      </c>
      <c r="H6989" s="334" t="s">
        <v>15362</v>
      </c>
      <c r="I6989" s="444">
        <v>13801648638</v>
      </c>
      <c r="J6989" s="348" t="s">
        <v>15363</v>
      </c>
      <c r="K6989" s="452">
        <v>3000</v>
      </c>
      <c r="L6989" s="338"/>
      <c r="M6989" s="338"/>
      <c r="N6989" s="362">
        <f t="shared" si="241"/>
        <v>0</v>
      </c>
      <c r="O6989" s="430"/>
      <c r="X6989" s="339"/>
    </row>
    <row r="6990" s="330" customFormat="1" ht="15" customHeight="1" spans="1:24">
      <c r="A6990" s="550" t="s">
        <v>2395</v>
      </c>
      <c r="B6990" s="334" t="s">
        <v>153</v>
      </c>
      <c r="C6990" s="348" t="s">
        <v>154</v>
      </c>
      <c r="D6990" s="335" t="s">
        <v>155</v>
      </c>
      <c r="E6990" s="336">
        <v>43769</v>
      </c>
      <c r="F6990" s="336">
        <v>43769</v>
      </c>
      <c r="G6990" s="399"/>
      <c r="H6990" s="334" t="s">
        <v>15364</v>
      </c>
      <c r="I6990" s="444">
        <v>18616632501</v>
      </c>
      <c r="J6990" s="348" t="s">
        <v>15365</v>
      </c>
      <c r="K6990" s="452">
        <v>1000</v>
      </c>
      <c r="L6990" s="338"/>
      <c r="M6990" s="338"/>
      <c r="N6990" s="362">
        <f t="shared" si="241"/>
        <v>0</v>
      </c>
      <c r="Q6990" s="330" t="s">
        <v>52</v>
      </c>
      <c r="U6990" s="330" t="s">
        <v>12</v>
      </c>
      <c r="X6990" s="339"/>
    </row>
    <row r="6991" s="330" customFormat="1" ht="15" customHeight="1" spans="1:24">
      <c r="A6991" s="550" t="s">
        <v>15366</v>
      </c>
      <c r="B6991" s="334" t="s">
        <v>315</v>
      </c>
      <c r="C6991" s="348" t="s">
        <v>275</v>
      </c>
      <c r="D6991" s="334" t="s">
        <v>149</v>
      </c>
      <c r="E6991" s="336">
        <v>43776</v>
      </c>
      <c r="F6991" s="336">
        <v>43769</v>
      </c>
      <c r="G6991" s="336">
        <v>43776</v>
      </c>
      <c r="H6991" s="334" t="s">
        <v>15367</v>
      </c>
      <c r="I6991" s="444">
        <v>13918872679</v>
      </c>
      <c r="J6991" s="348" t="s">
        <v>15368</v>
      </c>
      <c r="K6991" s="452">
        <v>3360</v>
      </c>
      <c r="L6991" s="334">
        <v>4814</v>
      </c>
      <c r="M6991" s="338"/>
      <c r="N6991" s="362">
        <f t="shared" si="241"/>
        <v>4814</v>
      </c>
      <c r="X6991" s="339"/>
    </row>
    <row r="6992" s="330" customFormat="1" ht="15" customHeight="1" spans="1:24">
      <c r="A6992" s="550" t="s">
        <v>1218</v>
      </c>
      <c r="B6992" s="334" t="s">
        <v>137</v>
      </c>
      <c r="C6992" s="348" t="s">
        <v>406</v>
      </c>
      <c r="D6992" s="334" t="s">
        <v>427</v>
      </c>
      <c r="E6992" s="336">
        <v>43769</v>
      </c>
      <c r="F6992" s="336">
        <v>43769</v>
      </c>
      <c r="G6992" s="399">
        <v>43769</v>
      </c>
      <c r="H6992" s="334" t="s">
        <v>15369</v>
      </c>
      <c r="I6992" s="444">
        <v>15618807633</v>
      </c>
      <c r="J6992" s="348" t="s">
        <v>15370</v>
      </c>
      <c r="K6992" s="452">
        <v>1000</v>
      </c>
      <c r="L6992" s="334">
        <v>19144</v>
      </c>
      <c r="M6992" s="338"/>
      <c r="N6992" s="362">
        <f t="shared" si="241"/>
        <v>19144</v>
      </c>
      <c r="X6992" s="339"/>
    </row>
    <row r="6993" s="330" customFormat="1" ht="15" customHeight="1" spans="1:24">
      <c r="A6993" s="550" t="s">
        <v>9337</v>
      </c>
      <c r="B6993" s="334" t="s">
        <v>73</v>
      </c>
      <c r="C6993" s="348" t="s">
        <v>74</v>
      </c>
      <c r="D6993" s="335" t="s">
        <v>125</v>
      </c>
      <c r="E6993" s="336">
        <v>43769</v>
      </c>
      <c r="F6993" s="336">
        <v>43769</v>
      </c>
      <c r="G6993" s="399">
        <v>43769</v>
      </c>
      <c r="H6993" s="334" t="s">
        <v>15371</v>
      </c>
      <c r="I6993" s="444">
        <v>13818970089</v>
      </c>
      <c r="J6993" s="348" t="s">
        <v>15372</v>
      </c>
      <c r="K6993" s="452">
        <v>1000</v>
      </c>
      <c r="L6993" s="334">
        <v>17970</v>
      </c>
      <c r="M6993" s="338"/>
      <c r="N6993" s="362">
        <f t="shared" si="241"/>
        <v>17970</v>
      </c>
      <c r="X6993" s="339"/>
    </row>
    <row r="6994" s="330" customFormat="1" ht="15" customHeight="1" spans="1:24">
      <c r="A6994" s="550" t="s">
        <v>5002</v>
      </c>
      <c r="B6994" s="334" t="s">
        <v>405</v>
      </c>
      <c r="C6994" s="348" t="s">
        <v>823</v>
      </c>
      <c r="D6994" s="335" t="s">
        <v>407</v>
      </c>
      <c r="E6994" s="336">
        <v>43769</v>
      </c>
      <c r="F6994" s="336">
        <v>43768</v>
      </c>
      <c r="G6994" s="399">
        <v>43769</v>
      </c>
      <c r="H6994" s="334" t="s">
        <v>15373</v>
      </c>
      <c r="I6994" s="444">
        <v>18621815020</v>
      </c>
      <c r="J6994" s="348" t="s">
        <v>15374</v>
      </c>
      <c r="K6994" s="452">
        <f>2000+1000</f>
        <v>3000</v>
      </c>
      <c r="L6994" s="334">
        <v>47300</v>
      </c>
      <c r="M6994" s="338"/>
      <c r="N6994" s="362">
        <f t="shared" si="241"/>
        <v>47300</v>
      </c>
      <c r="X6994" s="339"/>
    </row>
    <row r="6995" s="330" customFormat="1" ht="15" customHeight="1" spans="1:24">
      <c r="A6995" s="550" t="s">
        <v>15375</v>
      </c>
      <c r="B6995" s="334" t="s">
        <v>4009</v>
      </c>
      <c r="C6995" s="348" t="s">
        <v>6401</v>
      </c>
      <c r="D6995" s="335" t="s">
        <v>1170</v>
      </c>
      <c r="E6995" s="336">
        <v>43769</v>
      </c>
      <c r="F6995" s="336">
        <v>43763</v>
      </c>
      <c r="G6995" s="399">
        <v>43763</v>
      </c>
      <c r="H6995" s="334" t="s">
        <v>15289</v>
      </c>
      <c r="I6995" s="444">
        <v>13917082404</v>
      </c>
      <c r="J6995" s="348" t="s">
        <v>15290</v>
      </c>
      <c r="K6995" s="452">
        <v>15719</v>
      </c>
      <c r="L6995" s="338"/>
      <c r="M6995" s="338"/>
      <c r="N6995" s="362">
        <f t="shared" si="241"/>
        <v>0</v>
      </c>
      <c r="X6995" s="339"/>
    </row>
    <row r="6996" s="330" customFormat="1" ht="15" customHeight="1" spans="1:24">
      <c r="A6996" s="348"/>
      <c r="B6996" s="334" t="s">
        <v>5336</v>
      </c>
      <c r="C6996" s="348" t="s">
        <v>5336</v>
      </c>
      <c r="D6996" s="335" t="s">
        <v>8334</v>
      </c>
      <c r="E6996" s="336">
        <v>43808</v>
      </c>
      <c r="F6996" s="336">
        <v>43769</v>
      </c>
      <c r="G6996" s="336">
        <v>43808</v>
      </c>
      <c r="H6996" s="334" t="s">
        <v>15376</v>
      </c>
      <c r="I6996" s="444">
        <v>13003205212</v>
      </c>
      <c r="J6996" s="348" t="s">
        <v>15377</v>
      </c>
      <c r="K6996" s="452">
        <v>2360</v>
      </c>
      <c r="L6996" s="334">
        <v>4383</v>
      </c>
      <c r="M6996" s="338"/>
      <c r="N6996" s="362">
        <f t="shared" si="241"/>
        <v>4383</v>
      </c>
      <c r="X6996" s="339"/>
    </row>
    <row r="6997" s="330" customFormat="1" ht="15" customHeight="1" spans="1:24">
      <c r="A6997" s="550" t="s">
        <v>6923</v>
      </c>
      <c r="B6997" s="334" t="s">
        <v>185</v>
      </c>
      <c r="C6997" s="348" t="s">
        <v>4146</v>
      </c>
      <c r="D6997" s="335" t="s">
        <v>187</v>
      </c>
      <c r="E6997" s="336">
        <v>43769</v>
      </c>
      <c r="F6997" s="336">
        <v>43767</v>
      </c>
      <c r="G6997" s="399"/>
      <c r="H6997" s="334" t="s">
        <v>15378</v>
      </c>
      <c r="I6997" s="444">
        <v>13918216389</v>
      </c>
      <c r="J6997" s="348" t="s">
        <v>15379</v>
      </c>
      <c r="K6997" s="452">
        <v>1000</v>
      </c>
      <c r="L6997" s="338"/>
      <c r="M6997" s="338"/>
      <c r="N6997" s="362">
        <f t="shared" si="241"/>
        <v>0</v>
      </c>
      <c r="Q6997" s="467" t="s">
        <v>52</v>
      </c>
      <c r="X6997" s="339"/>
    </row>
    <row r="6998" s="330" customFormat="1" ht="15" customHeight="1" spans="1:24">
      <c r="A6998" s="550" t="s">
        <v>4705</v>
      </c>
      <c r="B6998" s="334" t="s">
        <v>405</v>
      </c>
      <c r="C6998" s="348" t="s">
        <v>1234</v>
      </c>
      <c r="D6998" s="334" t="s">
        <v>407</v>
      </c>
      <c r="E6998" s="336">
        <v>43769</v>
      </c>
      <c r="F6998" s="336">
        <v>43769</v>
      </c>
      <c r="G6998" s="399">
        <v>43765</v>
      </c>
      <c r="H6998" s="334" t="s">
        <v>15380</v>
      </c>
      <c r="I6998" s="444">
        <v>13524536599</v>
      </c>
      <c r="J6998" s="348" t="s">
        <v>15381</v>
      </c>
      <c r="K6998" s="452">
        <v>14448</v>
      </c>
      <c r="L6998" s="334">
        <v>14448</v>
      </c>
      <c r="M6998" s="338"/>
      <c r="N6998" s="362">
        <f t="shared" si="241"/>
        <v>14448</v>
      </c>
      <c r="X6998" s="339"/>
    </row>
    <row r="6999" s="330" customFormat="1" ht="15" customHeight="1" spans="1:24">
      <c r="A6999" s="550" t="s">
        <v>15382</v>
      </c>
      <c r="B6999" s="334" t="s">
        <v>123</v>
      </c>
      <c r="C6999" s="348" t="s">
        <v>32</v>
      </c>
      <c r="D6999" s="335" t="s">
        <v>125</v>
      </c>
      <c r="E6999" s="336">
        <v>43769</v>
      </c>
      <c r="F6999" s="336">
        <v>43769</v>
      </c>
      <c r="G6999" s="399"/>
      <c r="H6999" s="334" t="s">
        <v>3637</v>
      </c>
      <c r="I6999" s="444">
        <v>13564337949</v>
      </c>
      <c r="J6999" s="348" t="s">
        <v>15383</v>
      </c>
      <c r="K6999" s="452">
        <v>1000</v>
      </c>
      <c r="L6999" s="338"/>
      <c r="M6999" s="338"/>
      <c r="N6999" s="362">
        <f t="shared" si="241"/>
        <v>0</v>
      </c>
      <c r="R6999" s="486"/>
      <c r="V6999" s="353" t="s">
        <v>5908</v>
      </c>
      <c r="X6999" s="339"/>
    </row>
    <row r="7000" s="330" customFormat="1" ht="15" customHeight="1" spans="1:24">
      <c r="A7000" s="348"/>
      <c r="B7000" s="334" t="s">
        <v>405</v>
      </c>
      <c r="C7000" s="334" t="s">
        <v>1234</v>
      </c>
      <c r="D7000" s="335" t="s">
        <v>407</v>
      </c>
      <c r="E7000" s="336">
        <v>43769</v>
      </c>
      <c r="F7000" s="336">
        <v>43745</v>
      </c>
      <c r="G7000" s="399" t="s">
        <v>69</v>
      </c>
      <c r="H7000" s="334" t="s">
        <v>3909</v>
      </c>
      <c r="I7000" s="356">
        <v>13671859889</v>
      </c>
      <c r="J7000" s="348" t="s">
        <v>15384</v>
      </c>
      <c r="K7000" s="334">
        <v>24162</v>
      </c>
      <c r="L7000" s="338"/>
      <c r="M7000" s="338"/>
      <c r="N7000" s="362">
        <f t="shared" si="241"/>
        <v>0</v>
      </c>
      <c r="X7000" s="339"/>
    </row>
    <row r="7001" s="330" customFormat="1" ht="15" customHeight="1" spans="1:24">
      <c r="A7001" s="348"/>
      <c r="B7001" s="334" t="s">
        <v>405</v>
      </c>
      <c r="C7001" s="334" t="s">
        <v>823</v>
      </c>
      <c r="D7001" s="335" t="s">
        <v>407</v>
      </c>
      <c r="E7001" s="336">
        <v>43769</v>
      </c>
      <c r="F7001" s="336">
        <v>43745</v>
      </c>
      <c r="G7001" s="399" t="s">
        <v>69</v>
      </c>
      <c r="H7001" s="334" t="s">
        <v>13856</v>
      </c>
      <c r="I7001" s="444">
        <v>15221643568</v>
      </c>
      <c r="J7001" s="348" t="s">
        <v>13857</v>
      </c>
      <c r="K7001" s="452">
        <v>11754</v>
      </c>
      <c r="L7001" s="338"/>
      <c r="M7001" s="338"/>
      <c r="N7001" s="362">
        <f t="shared" si="241"/>
        <v>0</v>
      </c>
      <c r="X7001" s="339"/>
    </row>
    <row r="7002" s="330" customFormat="1" ht="15" customHeight="1" spans="1:24">
      <c r="A7002" s="550" t="s">
        <v>15385</v>
      </c>
      <c r="B7002" s="334" t="s">
        <v>58</v>
      </c>
      <c r="C7002" s="348" t="s">
        <v>794</v>
      </c>
      <c r="D7002" s="334" t="s">
        <v>271</v>
      </c>
      <c r="E7002" s="336">
        <v>43784</v>
      </c>
      <c r="F7002" s="336">
        <v>43763</v>
      </c>
      <c r="G7002" s="336">
        <v>43784</v>
      </c>
      <c r="H7002" s="334" t="s">
        <v>15386</v>
      </c>
      <c r="I7002" s="444">
        <v>13942878253</v>
      </c>
      <c r="J7002" s="348" t="s">
        <v>15387</v>
      </c>
      <c r="K7002" s="452">
        <v>99</v>
      </c>
      <c r="L7002" s="444">
        <v>1802</v>
      </c>
      <c r="M7002" s="338"/>
      <c r="N7002" s="362">
        <f t="shared" si="241"/>
        <v>1802</v>
      </c>
      <c r="X7002" s="339"/>
    </row>
    <row r="7003" s="330" customFormat="1" ht="15" customHeight="1" spans="1:24">
      <c r="A7003" s="550" t="s">
        <v>3931</v>
      </c>
      <c r="B7003" s="334" t="s">
        <v>185</v>
      </c>
      <c r="C7003" s="334" t="s">
        <v>886</v>
      </c>
      <c r="D7003" s="334" t="s">
        <v>187</v>
      </c>
      <c r="E7003" s="336">
        <v>43769</v>
      </c>
      <c r="F7003" s="336">
        <v>43769</v>
      </c>
      <c r="G7003" s="399">
        <v>43769</v>
      </c>
      <c r="H7003" s="334" t="s">
        <v>15388</v>
      </c>
      <c r="I7003" s="444">
        <v>13818687709</v>
      </c>
      <c r="J7003" s="348" t="s">
        <v>15389</v>
      </c>
      <c r="K7003" s="452">
        <v>30000</v>
      </c>
      <c r="L7003" s="334">
        <v>30000</v>
      </c>
      <c r="M7003" s="338"/>
      <c r="N7003" s="362">
        <f t="shared" si="241"/>
        <v>30000</v>
      </c>
      <c r="X7003" s="339"/>
    </row>
    <row r="7004" s="330" customFormat="1" ht="15" customHeight="1" spans="1:24">
      <c r="A7004" s="550" t="s">
        <v>15390</v>
      </c>
      <c r="B7004" s="334" t="s">
        <v>137</v>
      </c>
      <c r="C7004" s="348" t="s">
        <v>2705</v>
      </c>
      <c r="D7004" s="334" t="s">
        <v>2381</v>
      </c>
      <c r="E7004" s="336">
        <v>43769</v>
      </c>
      <c r="F7004" s="336">
        <v>43768</v>
      </c>
      <c r="G7004" s="399">
        <v>43769</v>
      </c>
      <c r="H7004" s="334" t="s">
        <v>15391</v>
      </c>
      <c r="I7004" s="444">
        <v>18016029693</v>
      </c>
      <c r="J7004" s="348" t="s">
        <v>15392</v>
      </c>
      <c r="K7004" s="452">
        <v>4134</v>
      </c>
      <c r="L7004" s="334">
        <v>4143</v>
      </c>
      <c r="M7004" s="338"/>
      <c r="N7004" s="362">
        <f t="shared" si="241"/>
        <v>4143</v>
      </c>
      <c r="X7004" s="339"/>
    </row>
    <row r="7005" s="330" customFormat="1" ht="15" customHeight="1" spans="1:24">
      <c r="A7005" s="550" t="s">
        <v>15393</v>
      </c>
      <c r="B7005" s="334" t="s">
        <v>137</v>
      </c>
      <c r="C7005" s="348" t="s">
        <v>2705</v>
      </c>
      <c r="D7005" s="334" t="s">
        <v>2381</v>
      </c>
      <c r="E7005" s="336">
        <v>43769</v>
      </c>
      <c r="F7005" s="336">
        <v>43768</v>
      </c>
      <c r="G7005" s="399">
        <v>43769</v>
      </c>
      <c r="H7005" s="334" t="s">
        <v>15394</v>
      </c>
      <c r="I7005" s="444">
        <v>13636318860</v>
      </c>
      <c r="J7005" s="348" t="s">
        <v>15395</v>
      </c>
      <c r="K7005" s="452">
        <v>4798</v>
      </c>
      <c r="L7005" s="334">
        <v>5298</v>
      </c>
      <c r="M7005" s="338"/>
      <c r="N7005" s="362">
        <f t="shared" si="241"/>
        <v>5298</v>
      </c>
      <c r="X7005" s="339"/>
    </row>
    <row r="7006" s="330" customFormat="1" ht="15" customHeight="1" spans="1:24">
      <c r="A7006" s="348"/>
      <c r="B7006" s="334" t="s">
        <v>315</v>
      </c>
      <c r="C7006" s="334" t="s">
        <v>161</v>
      </c>
      <c r="D7006" s="335" t="s">
        <v>162</v>
      </c>
      <c r="E7006" s="336">
        <v>43769</v>
      </c>
      <c r="F7006" s="336">
        <v>43768</v>
      </c>
      <c r="G7006" s="399">
        <v>43768</v>
      </c>
      <c r="H7006" s="334" t="s">
        <v>15299</v>
      </c>
      <c r="I7006" s="334">
        <v>13701944320</v>
      </c>
      <c r="J7006" s="348" t="s">
        <v>15300</v>
      </c>
      <c r="K7006" s="452">
        <v>35000</v>
      </c>
      <c r="L7006" s="338"/>
      <c r="M7006" s="338"/>
      <c r="N7006" s="362">
        <f t="shared" si="241"/>
        <v>0</v>
      </c>
      <c r="X7006" s="339"/>
    </row>
    <row r="7007" s="330" customFormat="1" ht="15" customHeight="1" spans="1:24">
      <c r="A7007" s="348"/>
      <c r="B7007" s="334" t="s">
        <v>315</v>
      </c>
      <c r="C7007" s="334" t="s">
        <v>366</v>
      </c>
      <c r="D7007" s="335" t="s">
        <v>132</v>
      </c>
      <c r="E7007" s="336">
        <v>43769</v>
      </c>
      <c r="F7007" s="336">
        <v>43737</v>
      </c>
      <c r="G7007" s="399">
        <v>43737</v>
      </c>
      <c r="H7007" s="334" t="s">
        <v>12569</v>
      </c>
      <c r="I7007" s="334">
        <v>13311250210</v>
      </c>
      <c r="J7007" s="334" t="s">
        <v>12570</v>
      </c>
      <c r="K7007" s="334">
        <v>35000</v>
      </c>
      <c r="L7007" s="338"/>
      <c r="M7007" s="338"/>
      <c r="N7007" s="362">
        <f t="shared" si="241"/>
        <v>0</v>
      </c>
      <c r="X7007" s="339"/>
    </row>
    <row r="7008" s="330" customFormat="1" ht="15" customHeight="1" spans="1:24">
      <c r="A7008" s="348"/>
      <c r="B7008" s="334" t="s">
        <v>315</v>
      </c>
      <c r="C7008" s="334" t="s">
        <v>366</v>
      </c>
      <c r="D7008" s="335" t="s">
        <v>132</v>
      </c>
      <c r="E7008" s="336">
        <v>43769</v>
      </c>
      <c r="F7008" s="336">
        <v>43730</v>
      </c>
      <c r="G7008" s="399">
        <v>43730</v>
      </c>
      <c r="H7008" s="334" t="s">
        <v>12387</v>
      </c>
      <c r="I7008" s="334">
        <v>13661990618</v>
      </c>
      <c r="J7008" s="334" t="s">
        <v>12388</v>
      </c>
      <c r="K7008" s="452">
        <v>18405</v>
      </c>
      <c r="L7008" s="338"/>
      <c r="M7008" s="338"/>
      <c r="N7008" s="362">
        <f t="shared" ref="N7008:N7029" si="242">L7008+M7008</f>
        <v>0</v>
      </c>
      <c r="X7008" s="339"/>
    </row>
    <row r="7009" s="330" customFormat="1" ht="15" customHeight="1" spans="1:24">
      <c r="A7009" s="550" t="s">
        <v>15396</v>
      </c>
      <c r="B7009" s="334" t="s">
        <v>31</v>
      </c>
      <c r="C7009" s="348" t="s">
        <v>419</v>
      </c>
      <c r="D7009" s="334" t="s">
        <v>954</v>
      </c>
      <c r="E7009" s="336">
        <v>43769</v>
      </c>
      <c r="F7009" s="336">
        <v>43768</v>
      </c>
      <c r="G7009" s="399">
        <v>43769</v>
      </c>
      <c r="H7009" s="334" t="s">
        <v>15397</v>
      </c>
      <c r="I7009" s="444">
        <v>18930673138</v>
      </c>
      <c r="J7009" s="348" t="s">
        <v>15398</v>
      </c>
      <c r="K7009" s="452">
        <v>8383</v>
      </c>
      <c r="L7009" s="334">
        <v>8383</v>
      </c>
      <c r="M7009" s="338"/>
      <c r="N7009" s="362">
        <f t="shared" si="242"/>
        <v>8383</v>
      </c>
      <c r="X7009" s="339"/>
    </row>
    <row r="7010" s="330" customFormat="1" ht="15" customHeight="1" spans="1:24">
      <c r="A7010" s="550" t="s">
        <v>15399</v>
      </c>
      <c r="B7010" s="334" t="s">
        <v>66</v>
      </c>
      <c r="C7010" s="348" t="s">
        <v>505</v>
      </c>
      <c r="D7010" s="334" t="s">
        <v>2302</v>
      </c>
      <c r="E7010" s="336">
        <v>43769</v>
      </c>
      <c r="F7010" s="336">
        <v>43769</v>
      </c>
      <c r="G7010" s="399">
        <v>43769</v>
      </c>
      <c r="H7010" s="334" t="s">
        <v>15400</v>
      </c>
      <c r="I7010" s="444">
        <v>13585698822</v>
      </c>
      <c r="J7010" s="348" t="s">
        <v>15401</v>
      </c>
      <c r="K7010" s="452">
        <v>9547</v>
      </c>
      <c r="L7010" s="452">
        <v>9547</v>
      </c>
      <c r="M7010" s="338"/>
      <c r="N7010" s="362">
        <f t="shared" si="242"/>
        <v>9547</v>
      </c>
      <c r="X7010" s="339"/>
    </row>
    <row r="7011" s="330" customFormat="1" ht="15" customHeight="1" spans="1:24">
      <c r="A7011" s="348">
        <v>2022646</v>
      </c>
      <c r="B7011" s="334" t="s">
        <v>66</v>
      </c>
      <c r="C7011" s="348" t="s">
        <v>13102</v>
      </c>
      <c r="D7011" s="334" t="s">
        <v>2302</v>
      </c>
      <c r="E7011" s="336">
        <v>43769</v>
      </c>
      <c r="F7011" s="336">
        <v>43769</v>
      </c>
      <c r="G7011" s="399">
        <v>43769</v>
      </c>
      <c r="H7011" s="334" t="s">
        <v>806</v>
      </c>
      <c r="I7011" s="444">
        <v>13795001804</v>
      </c>
      <c r="J7011" s="348" t="s">
        <v>15402</v>
      </c>
      <c r="K7011" s="452">
        <v>1099</v>
      </c>
      <c r="L7011" s="334">
        <v>24521</v>
      </c>
      <c r="M7011" s="338"/>
      <c r="N7011" s="362">
        <f t="shared" si="242"/>
        <v>24521</v>
      </c>
      <c r="X7011" s="339"/>
    </row>
    <row r="7012" s="330" customFormat="1" ht="15" customHeight="1" spans="1:24">
      <c r="A7012" s="550" t="s">
        <v>10788</v>
      </c>
      <c r="B7012" s="334" t="s">
        <v>31</v>
      </c>
      <c r="C7012" s="348" t="s">
        <v>419</v>
      </c>
      <c r="D7012" s="334" t="s">
        <v>33</v>
      </c>
      <c r="E7012" s="336">
        <v>43769</v>
      </c>
      <c r="F7012" s="336">
        <v>43769</v>
      </c>
      <c r="G7012" s="399">
        <v>43769</v>
      </c>
      <c r="H7012" s="334" t="s">
        <v>2634</v>
      </c>
      <c r="I7012" s="334">
        <v>15221223337</v>
      </c>
      <c r="J7012" s="348" t="s">
        <v>15403</v>
      </c>
      <c r="K7012" s="452">
        <v>12498</v>
      </c>
      <c r="L7012" s="334">
        <v>12498</v>
      </c>
      <c r="M7012" s="338"/>
      <c r="N7012" s="362">
        <f t="shared" si="242"/>
        <v>12498</v>
      </c>
      <c r="X7012" s="339"/>
    </row>
    <row r="7013" s="330" customFormat="1" ht="15" customHeight="1" spans="1:24">
      <c r="A7013" s="550" t="s">
        <v>15404</v>
      </c>
      <c r="B7013" s="334" t="s">
        <v>137</v>
      </c>
      <c r="C7013" s="334" t="s">
        <v>542</v>
      </c>
      <c r="D7013" s="334" t="s">
        <v>171</v>
      </c>
      <c r="E7013" s="336">
        <v>43775</v>
      </c>
      <c r="F7013" s="336">
        <v>43769</v>
      </c>
      <c r="G7013" s="336">
        <v>43775</v>
      </c>
      <c r="H7013" s="334" t="s">
        <v>15405</v>
      </c>
      <c r="I7013" s="444">
        <v>13816206721</v>
      </c>
      <c r="J7013" s="348" t="s">
        <v>15406</v>
      </c>
      <c r="K7013" s="452">
        <v>1000</v>
      </c>
      <c r="L7013" s="334">
        <v>27855</v>
      </c>
      <c r="M7013" s="338"/>
      <c r="N7013" s="362">
        <f t="shared" si="242"/>
        <v>27855</v>
      </c>
      <c r="X7013" s="339"/>
    </row>
    <row r="7014" s="330" customFormat="1" ht="15" customHeight="1" spans="1:24">
      <c r="A7014" s="550" t="s">
        <v>15407</v>
      </c>
      <c r="B7014" s="334" t="s">
        <v>236</v>
      </c>
      <c r="C7014" s="348" t="s">
        <v>195</v>
      </c>
      <c r="D7014" s="334" t="s">
        <v>207</v>
      </c>
      <c r="E7014" s="336">
        <v>43769</v>
      </c>
      <c r="F7014" s="336">
        <v>43768</v>
      </c>
      <c r="G7014" s="336">
        <v>43769</v>
      </c>
      <c r="H7014" s="334" t="s">
        <v>15408</v>
      </c>
      <c r="I7014" s="444">
        <v>13817535826</v>
      </c>
      <c r="J7014" s="348" t="s">
        <v>15409</v>
      </c>
      <c r="K7014" s="452">
        <v>4600</v>
      </c>
      <c r="L7014" s="334">
        <v>4600</v>
      </c>
      <c r="M7014" s="338"/>
      <c r="N7014" s="362">
        <f t="shared" si="242"/>
        <v>4600</v>
      </c>
      <c r="X7014" s="339"/>
    </row>
    <row r="7015" s="330" customFormat="1" ht="15" customHeight="1" spans="1:24">
      <c r="A7015" s="550" t="s">
        <v>1308</v>
      </c>
      <c r="B7015" s="334" t="s">
        <v>137</v>
      </c>
      <c r="C7015" s="348" t="s">
        <v>138</v>
      </c>
      <c r="D7015" s="334" t="s">
        <v>2381</v>
      </c>
      <c r="E7015" s="336">
        <v>43786</v>
      </c>
      <c r="F7015" s="336">
        <v>43769</v>
      </c>
      <c r="G7015" s="336">
        <v>43785</v>
      </c>
      <c r="H7015" s="334" t="s">
        <v>15410</v>
      </c>
      <c r="I7015" s="444">
        <v>13916616898</v>
      </c>
      <c r="J7015" s="348" t="s">
        <v>15411</v>
      </c>
      <c r="K7015" s="452">
        <v>1099</v>
      </c>
      <c r="L7015" s="334">
        <v>1609</v>
      </c>
      <c r="M7015" s="338"/>
      <c r="N7015" s="362">
        <f t="shared" si="242"/>
        <v>1609</v>
      </c>
      <c r="X7015" s="339"/>
    </row>
    <row r="7016" s="330" customFormat="1" ht="15" customHeight="1" spans="1:24">
      <c r="A7016" s="550" t="s">
        <v>13122</v>
      </c>
      <c r="B7016" s="334" t="s">
        <v>66</v>
      </c>
      <c r="C7016" s="334" t="s">
        <v>505</v>
      </c>
      <c r="D7016" s="335" t="s">
        <v>1436</v>
      </c>
      <c r="E7016" s="336">
        <v>43769</v>
      </c>
      <c r="F7016" s="336">
        <v>43769</v>
      </c>
      <c r="G7016" s="399"/>
      <c r="H7016" s="334" t="s">
        <v>15412</v>
      </c>
      <c r="I7016" s="444">
        <v>13816647250</v>
      </c>
      <c r="J7016" s="348" t="s">
        <v>15413</v>
      </c>
      <c r="K7016" s="452">
        <v>1000</v>
      </c>
      <c r="L7016" s="338"/>
      <c r="M7016" s="338"/>
      <c r="N7016" s="362">
        <f t="shared" si="242"/>
        <v>0</v>
      </c>
      <c r="X7016" s="339"/>
    </row>
    <row r="7017" s="330" customFormat="1" ht="15" customHeight="1" spans="1:24">
      <c r="A7017" s="550" t="s">
        <v>1065</v>
      </c>
      <c r="B7017" s="334" t="s">
        <v>66</v>
      </c>
      <c r="C7017" s="348" t="s">
        <v>505</v>
      </c>
      <c r="D7017" s="335" t="s">
        <v>1436</v>
      </c>
      <c r="E7017" s="336">
        <v>43769</v>
      </c>
      <c r="F7017" s="336">
        <v>43769</v>
      </c>
      <c r="G7017" s="399"/>
      <c r="H7017" s="334" t="s">
        <v>8487</v>
      </c>
      <c r="I7017" s="444">
        <v>18521708759</v>
      </c>
      <c r="J7017" s="348" t="s">
        <v>15414</v>
      </c>
      <c r="K7017" s="452">
        <v>1000</v>
      </c>
      <c r="L7017" s="338"/>
      <c r="M7017" s="338"/>
      <c r="N7017" s="362">
        <f t="shared" si="242"/>
        <v>0</v>
      </c>
      <c r="X7017" s="339"/>
    </row>
    <row r="7018" s="330" customFormat="1" ht="15" customHeight="1" spans="1:24">
      <c r="A7018" s="550" t="s">
        <v>15415</v>
      </c>
      <c r="B7018" s="334" t="s">
        <v>58</v>
      </c>
      <c r="C7018" s="348" t="s">
        <v>342</v>
      </c>
      <c r="D7018" s="334" t="s">
        <v>110</v>
      </c>
      <c r="E7018" s="336">
        <v>43798</v>
      </c>
      <c r="F7018" s="336">
        <v>43769</v>
      </c>
      <c r="G7018" s="336">
        <v>43797</v>
      </c>
      <c r="H7018" s="334" t="s">
        <v>15416</v>
      </c>
      <c r="I7018" s="444">
        <v>13801906618</v>
      </c>
      <c r="J7018" s="348" t="s">
        <v>15417</v>
      </c>
      <c r="K7018" s="452">
        <v>15000</v>
      </c>
      <c r="L7018" s="334">
        <v>146589</v>
      </c>
      <c r="M7018" s="338"/>
      <c r="N7018" s="362">
        <f t="shared" si="242"/>
        <v>146589</v>
      </c>
      <c r="S7018" s="366" t="s">
        <v>52</v>
      </c>
      <c r="X7018" s="339"/>
    </row>
    <row r="7019" s="330" customFormat="1" ht="15" customHeight="1" spans="1:24">
      <c r="A7019" s="550" t="s">
        <v>15418</v>
      </c>
      <c r="B7019" s="334" t="s">
        <v>73</v>
      </c>
      <c r="C7019" s="348" t="s">
        <v>178</v>
      </c>
      <c r="D7019" s="334" t="s">
        <v>427</v>
      </c>
      <c r="E7019" s="336">
        <v>43799</v>
      </c>
      <c r="F7019" s="336">
        <v>43769</v>
      </c>
      <c r="G7019" s="336">
        <v>43798</v>
      </c>
      <c r="H7019" s="334" t="s">
        <v>15419</v>
      </c>
      <c r="I7019" s="444">
        <v>18964234528</v>
      </c>
      <c r="J7019" s="348" t="s">
        <v>15420</v>
      </c>
      <c r="K7019" s="452">
        <v>1000</v>
      </c>
      <c r="L7019" s="334">
        <v>27660</v>
      </c>
      <c r="M7019" s="338"/>
      <c r="N7019" s="362">
        <f t="shared" si="242"/>
        <v>27660</v>
      </c>
      <c r="O7019" s="366" t="s">
        <v>52</v>
      </c>
      <c r="X7019" s="339"/>
    </row>
    <row r="7020" s="330" customFormat="1" ht="15" customHeight="1" spans="1:24">
      <c r="A7020" s="348">
        <v>2023286</v>
      </c>
      <c r="B7020" s="334" t="s">
        <v>94</v>
      </c>
      <c r="C7020" s="348" t="s">
        <v>95</v>
      </c>
      <c r="D7020" s="335" t="s">
        <v>49</v>
      </c>
      <c r="E7020" s="336">
        <v>43782</v>
      </c>
      <c r="F7020" s="336">
        <v>43769</v>
      </c>
      <c r="G7020" s="336">
        <v>43780</v>
      </c>
      <c r="H7020" s="334" t="s">
        <v>15421</v>
      </c>
      <c r="I7020" s="444">
        <v>13391279782</v>
      </c>
      <c r="J7020" s="348" t="s">
        <v>15422</v>
      </c>
      <c r="K7020" s="452">
        <v>6000</v>
      </c>
      <c r="L7020" s="334">
        <v>18514</v>
      </c>
      <c r="M7020" s="338"/>
      <c r="N7020" s="362">
        <f t="shared" si="242"/>
        <v>18514</v>
      </c>
      <c r="X7020" s="339"/>
    </row>
    <row r="7021" s="330" customFormat="1" ht="15" customHeight="1" spans="1:24">
      <c r="A7021" s="550" t="s">
        <v>4202</v>
      </c>
      <c r="B7021" s="334" t="s">
        <v>58</v>
      </c>
      <c r="C7021" s="348" t="s">
        <v>794</v>
      </c>
      <c r="D7021" s="335" t="s">
        <v>110</v>
      </c>
      <c r="E7021" s="336">
        <v>43769</v>
      </c>
      <c r="F7021" s="336">
        <v>43760</v>
      </c>
      <c r="G7021" s="399">
        <v>43760</v>
      </c>
      <c r="H7021" s="334" t="s">
        <v>14655</v>
      </c>
      <c r="I7021" s="444">
        <v>13120807263</v>
      </c>
      <c r="J7021" s="348" t="s">
        <v>15423</v>
      </c>
      <c r="K7021" s="452">
        <v>22500</v>
      </c>
      <c r="L7021" s="338"/>
      <c r="M7021" s="338"/>
      <c r="N7021" s="362">
        <f t="shared" si="242"/>
        <v>0</v>
      </c>
      <c r="X7021" s="339"/>
    </row>
    <row r="7022" s="330" customFormat="1" ht="15" customHeight="1" spans="1:24">
      <c r="A7022" s="550" t="s">
        <v>15424</v>
      </c>
      <c r="B7022" s="348" t="s">
        <v>58</v>
      </c>
      <c r="C7022" s="348" t="s">
        <v>59</v>
      </c>
      <c r="D7022" s="335" t="s">
        <v>271</v>
      </c>
      <c r="E7022" s="336">
        <v>43769</v>
      </c>
      <c r="F7022" s="336">
        <v>43763</v>
      </c>
      <c r="G7022" s="399"/>
      <c r="H7022" s="334" t="s">
        <v>15425</v>
      </c>
      <c r="I7022" s="444">
        <v>13601842924</v>
      </c>
      <c r="J7022" s="348" t="s">
        <v>15426</v>
      </c>
      <c r="K7022" s="452">
        <v>99</v>
      </c>
      <c r="L7022" s="338"/>
      <c r="M7022" s="338"/>
      <c r="N7022" s="362">
        <f t="shared" si="242"/>
        <v>0</v>
      </c>
      <c r="O7022" s="366" t="s">
        <v>52</v>
      </c>
      <c r="U7022" s="413">
        <v>43739</v>
      </c>
      <c r="X7022" s="339"/>
    </row>
    <row r="7023" s="330" customFormat="1" ht="15" customHeight="1" spans="1:24">
      <c r="A7023" s="348">
        <v>2024260</v>
      </c>
      <c r="B7023" s="334" t="s">
        <v>335</v>
      </c>
      <c r="C7023" s="348" t="s">
        <v>399</v>
      </c>
      <c r="D7023" s="334" t="s">
        <v>337</v>
      </c>
      <c r="E7023" s="336">
        <v>43769</v>
      </c>
      <c r="F7023" s="336">
        <v>43768</v>
      </c>
      <c r="G7023" s="399">
        <v>43769</v>
      </c>
      <c r="H7023" s="334" t="s">
        <v>15427</v>
      </c>
      <c r="I7023" s="334">
        <v>15901736276</v>
      </c>
      <c r="J7023" s="348" t="s">
        <v>15428</v>
      </c>
      <c r="K7023" s="334">
        <v>8783</v>
      </c>
      <c r="L7023" s="334">
        <v>10241</v>
      </c>
      <c r="M7023" s="338"/>
      <c r="N7023" s="362">
        <f t="shared" si="242"/>
        <v>10241</v>
      </c>
      <c r="X7023" s="339"/>
    </row>
    <row r="7024" s="330" customFormat="1" ht="15" customHeight="1" spans="1:24">
      <c r="A7024" s="550" t="s">
        <v>15429</v>
      </c>
      <c r="B7024" s="334" t="s">
        <v>153</v>
      </c>
      <c r="C7024" s="334" t="s">
        <v>302</v>
      </c>
      <c r="D7024" s="334" t="s">
        <v>155</v>
      </c>
      <c r="E7024" s="336">
        <v>43769</v>
      </c>
      <c r="F7024" s="336">
        <v>43769</v>
      </c>
      <c r="G7024" s="399">
        <v>43769</v>
      </c>
      <c r="H7024" s="334" t="s">
        <v>15430</v>
      </c>
      <c r="I7024" s="334">
        <v>18817357977</v>
      </c>
      <c r="J7024" s="348" t="s">
        <v>15431</v>
      </c>
      <c r="K7024" s="452">
        <v>9499</v>
      </c>
      <c r="L7024" s="334">
        <v>9499</v>
      </c>
      <c r="M7024" s="338"/>
      <c r="N7024" s="362">
        <f t="shared" si="242"/>
        <v>9499</v>
      </c>
      <c r="X7024" s="339"/>
    </row>
    <row r="7025" s="330" customFormat="1" ht="15" customHeight="1" spans="1:24">
      <c r="A7025" s="550" t="s">
        <v>867</v>
      </c>
      <c r="B7025" s="334" t="s">
        <v>31</v>
      </c>
      <c r="C7025" s="348" t="s">
        <v>251</v>
      </c>
      <c r="D7025" s="335" t="s">
        <v>33</v>
      </c>
      <c r="E7025" s="336">
        <v>43790</v>
      </c>
      <c r="F7025" s="336">
        <v>43769</v>
      </c>
      <c r="G7025" s="336">
        <v>43790</v>
      </c>
      <c r="H7025" s="334" t="s">
        <v>15432</v>
      </c>
      <c r="I7025" s="444">
        <v>13817185075</v>
      </c>
      <c r="J7025" s="348" t="s">
        <v>15433</v>
      </c>
      <c r="K7025" s="452">
        <v>1000</v>
      </c>
      <c r="L7025" s="334">
        <v>7114</v>
      </c>
      <c r="M7025" s="334">
        <v>1000</v>
      </c>
      <c r="N7025" s="362">
        <f t="shared" si="242"/>
        <v>8114</v>
      </c>
      <c r="X7025" s="339"/>
    </row>
    <row r="7026" s="330" customFormat="1" ht="15" customHeight="1" spans="1:24">
      <c r="A7026" s="550" t="s">
        <v>4689</v>
      </c>
      <c r="B7026" s="334" t="s">
        <v>169</v>
      </c>
      <c r="C7026" s="348" t="s">
        <v>634</v>
      </c>
      <c r="D7026" s="335" t="s">
        <v>635</v>
      </c>
      <c r="E7026" s="336">
        <v>43786</v>
      </c>
      <c r="F7026" s="336">
        <v>43765</v>
      </c>
      <c r="G7026" s="336">
        <v>43786</v>
      </c>
      <c r="H7026" s="334" t="s">
        <v>15434</v>
      </c>
      <c r="I7026" s="444">
        <v>15721559626</v>
      </c>
      <c r="J7026" s="348" t="s">
        <v>15435</v>
      </c>
      <c r="K7026" s="452">
        <v>1000</v>
      </c>
      <c r="L7026" s="334">
        <v>3999</v>
      </c>
      <c r="M7026" s="338"/>
      <c r="N7026" s="362">
        <f t="shared" si="242"/>
        <v>3999</v>
      </c>
      <c r="X7026" s="339"/>
    </row>
    <row r="7027" s="330" customFormat="1" ht="15" customHeight="1" spans="1:24">
      <c r="A7027" s="550" t="s">
        <v>4925</v>
      </c>
      <c r="B7027" s="334" t="s">
        <v>169</v>
      </c>
      <c r="C7027" s="348" t="s">
        <v>634</v>
      </c>
      <c r="D7027" s="335" t="s">
        <v>635</v>
      </c>
      <c r="E7027" s="336">
        <v>43769</v>
      </c>
      <c r="F7027" s="336">
        <v>43765</v>
      </c>
      <c r="G7027" s="356" t="s">
        <v>69</v>
      </c>
      <c r="H7027" s="334" t="s">
        <v>15296</v>
      </c>
      <c r="I7027" s="444">
        <v>18601777701</v>
      </c>
      <c r="J7027" s="348" t="s">
        <v>15297</v>
      </c>
      <c r="K7027" s="452">
        <v>200</v>
      </c>
      <c r="L7027" s="338"/>
      <c r="M7027" s="338"/>
      <c r="N7027" s="362">
        <f t="shared" si="242"/>
        <v>0</v>
      </c>
      <c r="O7027" s="353" t="s">
        <v>19</v>
      </c>
      <c r="X7027" s="339"/>
    </row>
    <row r="7028" s="330" customFormat="1" ht="15" customHeight="1" spans="1:24">
      <c r="A7028" s="334"/>
      <c r="B7028" s="334" t="s">
        <v>335</v>
      </c>
      <c r="C7028" s="334" t="s">
        <v>615</v>
      </c>
      <c r="D7028" s="334" t="s">
        <v>337</v>
      </c>
      <c r="E7028" s="336">
        <v>43769</v>
      </c>
      <c r="F7028" s="336"/>
      <c r="G7028" s="336">
        <v>43765</v>
      </c>
      <c r="H7028" s="334" t="s">
        <v>15436</v>
      </c>
      <c r="I7028" s="334">
        <v>13331926523</v>
      </c>
      <c r="J7028" s="348" t="s">
        <v>15437</v>
      </c>
      <c r="K7028" s="337"/>
      <c r="L7028" s="334">
        <v>25369</v>
      </c>
      <c r="M7028" s="338"/>
      <c r="N7028" s="362">
        <f t="shared" ref="N7028:N7078" si="243">L7028+M7028</f>
        <v>25369</v>
      </c>
      <c r="X7028" s="339"/>
    </row>
    <row r="7029" s="330" customFormat="1" ht="15" customHeight="1" spans="1:24">
      <c r="A7029" s="334"/>
      <c r="B7029" s="334" t="s">
        <v>73</v>
      </c>
      <c r="C7029" s="334" t="s">
        <v>74</v>
      </c>
      <c r="D7029" s="334" t="s">
        <v>132</v>
      </c>
      <c r="E7029" s="336">
        <v>43769</v>
      </c>
      <c r="F7029" s="336"/>
      <c r="G7029" s="336">
        <v>43768</v>
      </c>
      <c r="H7029" s="334" t="s">
        <v>15438</v>
      </c>
      <c r="I7029" s="334">
        <v>13371920525</v>
      </c>
      <c r="J7029" s="348" t="s">
        <v>15439</v>
      </c>
      <c r="K7029" s="337"/>
      <c r="L7029" s="334">
        <v>33825</v>
      </c>
      <c r="M7029" s="338"/>
      <c r="N7029" s="362">
        <f t="shared" si="243"/>
        <v>33825</v>
      </c>
      <c r="X7029" s="339"/>
    </row>
    <row r="7030" s="330" customFormat="1" ht="15" customHeight="1" spans="1:24">
      <c r="A7030" s="334"/>
      <c r="B7030" s="334" t="s">
        <v>5435</v>
      </c>
      <c r="C7030" s="334" t="s">
        <v>1728</v>
      </c>
      <c r="D7030" s="334" t="s">
        <v>149</v>
      </c>
      <c r="E7030" s="336">
        <v>43769</v>
      </c>
      <c r="F7030" s="336"/>
      <c r="G7030" s="336">
        <v>43768</v>
      </c>
      <c r="H7030" s="334" t="s">
        <v>15440</v>
      </c>
      <c r="I7030" s="444">
        <v>13701361853</v>
      </c>
      <c r="J7030" s="348" t="s">
        <v>15441</v>
      </c>
      <c r="K7030" s="337"/>
      <c r="L7030" s="334">
        <v>20661</v>
      </c>
      <c r="M7030" s="338"/>
      <c r="N7030" s="362">
        <f t="shared" si="243"/>
        <v>20661</v>
      </c>
      <c r="X7030" s="339"/>
    </row>
    <row r="7031" s="330" customFormat="1" ht="15" customHeight="1" spans="1:24">
      <c r="A7031" s="334"/>
      <c r="B7031" s="334" t="s">
        <v>2625</v>
      </c>
      <c r="C7031" s="334" t="s">
        <v>2626</v>
      </c>
      <c r="D7031" s="334" t="s">
        <v>337</v>
      </c>
      <c r="E7031" s="336">
        <v>43769</v>
      </c>
      <c r="F7031" s="336"/>
      <c r="G7031" s="336">
        <v>43769</v>
      </c>
      <c r="H7031" s="334" t="s">
        <v>15442</v>
      </c>
      <c r="I7031" s="334">
        <v>13311825575</v>
      </c>
      <c r="J7031" s="348" t="s">
        <v>15443</v>
      </c>
      <c r="K7031" s="337"/>
      <c r="L7031" s="334">
        <v>5683</v>
      </c>
      <c r="M7031" s="338"/>
      <c r="N7031" s="362">
        <f t="shared" si="243"/>
        <v>5683</v>
      </c>
      <c r="X7031" s="339"/>
    </row>
    <row r="7032" s="330" customFormat="1" ht="15" customHeight="1" spans="1:24">
      <c r="A7032" s="334"/>
      <c r="B7032" s="334" t="s">
        <v>137</v>
      </c>
      <c r="C7032" s="334" t="s">
        <v>406</v>
      </c>
      <c r="D7032" s="334" t="s">
        <v>443</v>
      </c>
      <c r="E7032" s="336">
        <v>43769</v>
      </c>
      <c r="F7032" s="336"/>
      <c r="G7032" s="336">
        <v>43768</v>
      </c>
      <c r="H7032" s="334" t="s">
        <v>15444</v>
      </c>
      <c r="I7032" s="334">
        <v>18818251814</v>
      </c>
      <c r="J7032" s="348" t="s">
        <v>15445</v>
      </c>
      <c r="K7032" s="337"/>
      <c r="L7032" s="334">
        <v>10746</v>
      </c>
      <c r="M7032" s="338"/>
      <c r="N7032" s="362">
        <f t="shared" si="243"/>
        <v>10746</v>
      </c>
      <c r="X7032" s="339"/>
    </row>
    <row r="7033" s="330" customFormat="1" ht="15" customHeight="1" spans="1:24">
      <c r="A7033" s="334"/>
      <c r="B7033" s="334" t="s">
        <v>169</v>
      </c>
      <c r="C7033" s="334" t="s">
        <v>634</v>
      </c>
      <c r="D7033" s="334" t="s">
        <v>635</v>
      </c>
      <c r="E7033" s="336">
        <v>43769</v>
      </c>
      <c r="F7033" s="336"/>
      <c r="G7033" s="336">
        <v>43768</v>
      </c>
      <c r="H7033" s="334" t="s">
        <v>15446</v>
      </c>
      <c r="I7033" s="334">
        <v>13501884003</v>
      </c>
      <c r="J7033" s="348" t="s">
        <v>15447</v>
      </c>
      <c r="K7033" s="337"/>
      <c r="L7033" s="334">
        <v>3558</v>
      </c>
      <c r="M7033" s="338"/>
      <c r="N7033" s="362">
        <f t="shared" si="243"/>
        <v>3558</v>
      </c>
      <c r="X7033" s="339"/>
    </row>
    <row r="7034" s="330" customFormat="1" ht="15" customHeight="1" spans="1:24">
      <c r="A7034" s="334"/>
      <c r="B7034" s="334" t="s">
        <v>58</v>
      </c>
      <c r="C7034" s="334" t="s">
        <v>347</v>
      </c>
      <c r="D7034" s="334" t="s">
        <v>343</v>
      </c>
      <c r="E7034" s="336">
        <v>43769</v>
      </c>
      <c r="F7034" s="336"/>
      <c r="G7034" s="336">
        <v>43765</v>
      </c>
      <c r="H7034" s="334" t="s">
        <v>15448</v>
      </c>
      <c r="I7034" s="334">
        <v>13661672006</v>
      </c>
      <c r="J7034" s="348" t="s">
        <v>15449</v>
      </c>
      <c r="K7034" s="337"/>
      <c r="L7034" s="334">
        <v>14500</v>
      </c>
      <c r="M7034" s="338"/>
      <c r="N7034" s="362">
        <f t="shared" si="243"/>
        <v>14500</v>
      </c>
      <c r="X7034" s="339"/>
    </row>
    <row r="7035" s="330" customFormat="1" ht="15" customHeight="1" spans="1:24">
      <c r="A7035" s="334"/>
      <c r="B7035" s="334" t="s">
        <v>94</v>
      </c>
      <c r="C7035" s="334" t="s">
        <v>101</v>
      </c>
      <c r="D7035" s="335" t="s">
        <v>49</v>
      </c>
      <c r="E7035" s="336">
        <v>43769</v>
      </c>
      <c r="F7035" s="336"/>
      <c r="G7035" s="336">
        <v>43768</v>
      </c>
      <c r="H7035" s="334" t="s">
        <v>15450</v>
      </c>
      <c r="I7035" s="334">
        <v>15921085067</v>
      </c>
      <c r="J7035" s="348" t="s">
        <v>15451</v>
      </c>
      <c r="K7035" s="337"/>
      <c r="L7035" s="334">
        <v>41390</v>
      </c>
      <c r="M7035" s="338"/>
      <c r="N7035" s="362">
        <f t="shared" si="243"/>
        <v>41390</v>
      </c>
      <c r="X7035" s="339"/>
    </row>
    <row r="7036" s="330" customFormat="1" ht="15" customHeight="1" spans="1:24">
      <c r="A7036" s="334"/>
      <c r="B7036" s="334" t="s">
        <v>236</v>
      </c>
      <c r="C7036" s="334" t="s">
        <v>195</v>
      </c>
      <c r="D7036" s="334" t="s">
        <v>207</v>
      </c>
      <c r="E7036" s="336">
        <v>43769</v>
      </c>
      <c r="F7036" s="336"/>
      <c r="G7036" s="336">
        <v>43769</v>
      </c>
      <c r="H7036" s="334" t="s">
        <v>15452</v>
      </c>
      <c r="I7036" s="334">
        <v>13918703834</v>
      </c>
      <c r="J7036" s="348" t="s">
        <v>15453</v>
      </c>
      <c r="K7036" s="337"/>
      <c r="L7036" s="334">
        <v>8580</v>
      </c>
      <c r="M7036" s="338"/>
      <c r="N7036" s="362">
        <f t="shared" si="243"/>
        <v>8580</v>
      </c>
      <c r="X7036" s="339"/>
    </row>
    <row r="7037" s="330" customFormat="1" ht="15" customHeight="1" spans="1:24">
      <c r="A7037" s="334"/>
      <c r="B7037" s="334" t="s">
        <v>66</v>
      </c>
      <c r="C7037" s="334" t="s">
        <v>951</v>
      </c>
      <c r="D7037" s="335" t="s">
        <v>2302</v>
      </c>
      <c r="E7037" s="336">
        <v>43769</v>
      </c>
      <c r="F7037" s="336"/>
      <c r="G7037" s="336">
        <v>43769</v>
      </c>
      <c r="H7037" s="334" t="s">
        <v>13794</v>
      </c>
      <c r="I7037" s="426">
        <v>13371888521</v>
      </c>
      <c r="J7037" s="334" t="s">
        <v>13795</v>
      </c>
      <c r="K7037" s="337"/>
      <c r="L7037" s="334">
        <v>9674</v>
      </c>
      <c r="M7037" s="338"/>
      <c r="N7037" s="362">
        <f t="shared" si="243"/>
        <v>9674</v>
      </c>
      <c r="X7037" s="339"/>
    </row>
    <row r="7038" s="330" customFormat="1" ht="15" customHeight="1" spans="1:24">
      <c r="A7038" s="334"/>
      <c r="B7038" s="334" t="s">
        <v>31</v>
      </c>
      <c r="C7038" s="334" t="s">
        <v>220</v>
      </c>
      <c r="D7038" s="334" t="s">
        <v>954</v>
      </c>
      <c r="E7038" s="336">
        <v>43769</v>
      </c>
      <c r="F7038" s="336"/>
      <c r="G7038" s="336">
        <v>43769</v>
      </c>
      <c r="H7038" s="334" t="s">
        <v>15454</v>
      </c>
      <c r="I7038" s="334">
        <v>18501777355</v>
      </c>
      <c r="J7038" s="348" t="s">
        <v>12878</v>
      </c>
      <c r="K7038" s="337"/>
      <c r="L7038" s="334">
        <v>9445</v>
      </c>
      <c r="M7038" s="338"/>
      <c r="N7038" s="362">
        <f t="shared" si="243"/>
        <v>9445</v>
      </c>
      <c r="X7038" s="339"/>
    </row>
    <row r="7039" s="330" customFormat="1" ht="15" customHeight="1" spans="1:24">
      <c r="A7039" s="334"/>
      <c r="B7039" s="334" t="s">
        <v>31</v>
      </c>
      <c r="C7039" s="334" t="s">
        <v>377</v>
      </c>
      <c r="D7039" s="334" t="s">
        <v>221</v>
      </c>
      <c r="E7039" s="336">
        <v>43769</v>
      </c>
      <c r="F7039" s="336"/>
      <c r="G7039" s="336">
        <v>43769</v>
      </c>
      <c r="H7039" s="334" t="s">
        <v>15455</v>
      </c>
      <c r="I7039" s="444">
        <v>13651707651</v>
      </c>
      <c r="J7039" s="348" t="s">
        <v>15456</v>
      </c>
      <c r="K7039" s="337"/>
      <c r="L7039" s="334">
        <v>17750</v>
      </c>
      <c r="M7039" s="338"/>
      <c r="N7039" s="362">
        <f t="shared" si="243"/>
        <v>17750</v>
      </c>
      <c r="X7039" s="339"/>
    </row>
    <row r="7040" s="330" customFormat="1" ht="15" customHeight="1" spans="1:24">
      <c r="A7040" s="334"/>
      <c r="B7040" s="334" t="s">
        <v>87</v>
      </c>
      <c r="C7040" s="334" t="s">
        <v>466</v>
      </c>
      <c r="D7040" s="334" t="s">
        <v>89</v>
      </c>
      <c r="E7040" s="336">
        <v>43769</v>
      </c>
      <c r="F7040" s="336"/>
      <c r="G7040" s="336">
        <v>43769</v>
      </c>
      <c r="H7040" s="334" t="s">
        <v>13012</v>
      </c>
      <c r="I7040" s="334">
        <v>18017751660</v>
      </c>
      <c r="J7040" s="334" t="s">
        <v>15457</v>
      </c>
      <c r="K7040" s="337"/>
      <c r="L7040" s="334">
        <v>31868</v>
      </c>
      <c r="M7040" s="338"/>
      <c r="N7040" s="362">
        <f t="shared" si="243"/>
        <v>31868</v>
      </c>
      <c r="X7040" s="339"/>
    </row>
    <row r="7041" s="330" customFormat="1" ht="15" customHeight="1" spans="1:24">
      <c r="A7041" s="334"/>
      <c r="B7041" s="334" t="s">
        <v>335</v>
      </c>
      <c r="C7041" s="334" t="s">
        <v>399</v>
      </c>
      <c r="D7041" s="334" t="s">
        <v>635</v>
      </c>
      <c r="E7041" s="336">
        <v>43769</v>
      </c>
      <c r="F7041" s="336"/>
      <c r="G7041" s="336">
        <v>43769</v>
      </c>
      <c r="H7041" s="334" t="s">
        <v>15458</v>
      </c>
      <c r="I7041" s="334">
        <v>13918957285</v>
      </c>
      <c r="J7041" s="334" t="s">
        <v>12708</v>
      </c>
      <c r="K7041" s="337"/>
      <c r="L7041" s="334">
        <v>65421</v>
      </c>
      <c r="M7041" s="338"/>
      <c r="N7041" s="362">
        <f t="shared" si="243"/>
        <v>65421</v>
      </c>
      <c r="X7041" s="339"/>
    </row>
    <row r="7042" s="330" customFormat="1" ht="15" customHeight="1" spans="1:24">
      <c r="A7042" s="334"/>
      <c r="B7042" s="334" t="s">
        <v>73</v>
      </c>
      <c r="C7042" s="334" t="s">
        <v>74</v>
      </c>
      <c r="D7042" s="334" t="s">
        <v>187</v>
      </c>
      <c r="E7042" s="336">
        <v>43769</v>
      </c>
      <c r="F7042" s="336"/>
      <c r="G7042" s="336">
        <v>43769</v>
      </c>
      <c r="H7042" s="334" t="s">
        <v>15459</v>
      </c>
      <c r="I7042" s="334">
        <v>13764461381</v>
      </c>
      <c r="J7042" s="348" t="s">
        <v>13580</v>
      </c>
      <c r="K7042" s="337"/>
      <c r="L7042" s="334">
        <v>22446</v>
      </c>
      <c r="M7042" s="338"/>
      <c r="N7042" s="362">
        <f t="shared" si="243"/>
        <v>22446</v>
      </c>
      <c r="X7042" s="339"/>
    </row>
    <row r="7043" s="330" customFormat="1" ht="15" customHeight="1" spans="1:24">
      <c r="A7043" s="334"/>
      <c r="B7043" s="334" t="s">
        <v>147</v>
      </c>
      <c r="C7043" s="334" t="s">
        <v>148</v>
      </c>
      <c r="D7043" s="334" t="s">
        <v>207</v>
      </c>
      <c r="E7043" s="336">
        <v>43769</v>
      </c>
      <c r="F7043" s="336"/>
      <c r="G7043" s="336">
        <v>43769</v>
      </c>
      <c r="H7043" s="334" t="s">
        <v>15454</v>
      </c>
      <c r="I7043" s="334">
        <v>18621575850</v>
      </c>
      <c r="J7043" s="348" t="s">
        <v>15460</v>
      </c>
      <c r="K7043" s="337"/>
      <c r="L7043" s="334">
        <v>17430</v>
      </c>
      <c r="M7043" s="338"/>
      <c r="N7043" s="362">
        <f t="shared" si="243"/>
        <v>17430</v>
      </c>
      <c r="X7043" s="339"/>
    </row>
    <row r="7044" s="330" customFormat="1" ht="15" customHeight="1" spans="1:24">
      <c r="A7044" s="334"/>
      <c r="B7044" s="334" t="s">
        <v>58</v>
      </c>
      <c r="C7044" s="334" t="s">
        <v>342</v>
      </c>
      <c r="D7044" s="334" t="s">
        <v>343</v>
      </c>
      <c r="E7044" s="336">
        <v>43769</v>
      </c>
      <c r="F7044" s="336"/>
      <c r="G7044" s="336">
        <v>43769</v>
      </c>
      <c r="H7044" s="334" t="s">
        <v>15461</v>
      </c>
      <c r="I7044" s="334">
        <v>15026782807</v>
      </c>
      <c r="J7044" s="348" t="s">
        <v>15462</v>
      </c>
      <c r="K7044" s="337"/>
      <c r="L7044" s="334">
        <v>13198</v>
      </c>
      <c r="M7044" s="338"/>
      <c r="N7044" s="362">
        <f t="shared" si="243"/>
        <v>13198</v>
      </c>
      <c r="X7044" s="339"/>
    </row>
    <row r="7045" s="330" customFormat="1" ht="15" customHeight="1" spans="1:24">
      <c r="A7045" s="334"/>
      <c r="B7045" s="334" t="s">
        <v>281</v>
      </c>
      <c r="C7045" s="334" t="s">
        <v>491</v>
      </c>
      <c r="D7045" s="334" t="s">
        <v>518</v>
      </c>
      <c r="E7045" s="336">
        <v>43769</v>
      </c>
      <c r="F7045" s="336"/>
      <c r="G7045" s="336">
        <v>43769</v>
      </c>
      <c r="H7045" s="334" t="s">
        <v>15463</v>
      </c>
      <c r="I7045" s="334">
        <v>18101643365</v>
      </c>
      <c r="J7045" s="348" t="s">
        <v>15464</v>
      </c>
      <c r="K7045" s="337"/>
      <c r="L7045" s="334">
        <v>13388</v>
      </c>
      <c r="M7045" s="338"/>
      <c r="N7045" s="362">
        <f t="shared" si="243"/>
        <v>13388</v>
      </c>
      <c r="X7045" s="339"/>
    </row>
    <row r="7046" s="330" customFormat="1" ht="15" customHeight="1" spans="1:24">
      <c r="A7046" s="334"/>
      <c r="B7046" s="334" t="s">
        <v>35</v>
      </c>
      <c r="C7046" s="334" t="s">
        <v>392</v>
      </c>
      <c r="D7046" s="334" t="s">
        <v>187</v>
      </c>
      <c r="E7046" s="336">
        <v>43769</v>
      </c>
      <c r="F7046" s="336"/>
      <c r="G7046" s="336">
        <v>43769</v>
      </c>
      <c r="H7046" s="334" t="s">
        <v>15465</v>
      </c>
      <c r="I7046" s="334">
        <v>18930362177</v>
      </c>
      <c r="J7046" s="348" t="s">
        <v>15466</v>
      </c>
      <c r="K7046" s="337"/>
      <c r="L7046" s="334">
        <v>27000</v>
      </c>
      <c r="M7046" s="338"/>
      <c r="N7046" s="362">
        <f t="shared" si="243"/>
        <v>27000</v>
      </c>
      <c r="X7046" s="339"/>
    </row>
    <row r="7047" s="330" customFormat="1" ht="15" customHeight="1" spans="1:24">
      <c r="A7047" s="334"/>
      <c r="B7047" s="334" t="s">
        <v>281</v>
      </c>
      <c r="C7047" s="334" t="s">
        <v>517</v>
      </c>
      <c r="D7047" s="334" t="s">
        <v>518</v>
      </c>
      <c r="E7047" s="336">
        <v>43769</v>
      </c>
      <c r="F7047" s="336"/>
      <c r="G7047" s="336">
        <v>43769</v>
      </c>
      <c r="H7047" s="334" t="s">
        <v>15467</v>
      </c>
      <c r="I7047" s="334">
        <v>13585845899</v>
      </c>
      <c r="J7047" s="348" t="s">
        <v>15468</v>
      </c>
      <c r="K7047" s="337"/>
      <c r="L7047" s="334">
        <v>13648</v>
      </c>
      <c r="M7047" s="338"/>
      <c r="N7047" s="362">
        <f t="shared" si="243"/>
        <v>13648</v>
      </c>
      <c r="X7047" s="339"/>
    </row>
    <row r="7048" s="330" customFormat="1" ht="15" customHeight="1" spans="1:24">
      <c r="A7048" s="334"/>
      <c r="B7048" s="334" t="s">
        <v>185</v>
      </c>
      <c r="C7048" s="334" t="s">
        <v>886</v>
      </c>
      <c r="D7048" s="334" t="s">
        <v>187</v>
      </c>
      <c r="E7048" s="336">
        <v>43769</v>
      </c>
      <c r="F7048" s="336"/>
      <c r="G7048" s="336">
        <v>43769</v>
      </c>
      <c r="H7048" s="334" t="s">
        <v>15469</v>
      </c>
      <c r="I7048" s="334">
        <v>13162281760</v>
      </c>
      <c r="J7048" s="348" t="s">
        <v>15470</v>
      </c>
      <c r="K7048" s="337"/>
      <c r="L7048" s="334">
        <v>4100</v>
      </c>
      <c r="M7048" s="338"/>
      <c r="N7048" s="362">
        <f t="shared" si="243"/>
        <v>4100</v>
      </c>
      <c r="X7048" s="339"/>
    </row>
    <row r="7049" s="330" customFormat="1" ht="15" customHeight="1" spans="1:24">
      <c r="A7049" s="334"/>
      <c r="B7049" s="334" t="s">
        <v>35</v>
      </c>
      <c r="C7049" s="334" t="s">
        <v>392</v>
      </c>
      <c r="D7049" s="334" t="s">
        <v>37</v>
      </c>
      <c r="E7049" s="336">
        <v>43769</v>
      </c>
      <c r="F7049" s="336"/>
      <c r="G7049" s="336">
        <v>43769</v>
      </c>
      <c r="H7049" s="334" t="s">
        <v>15471</v>
      </c>
      <c r="I7049" s="334">
        <v>13817019091</v>
      </c>
      <c r="J7049" s="348" t="s">
        <v>15472</v>
      </c>
      <c r="K7049" s="337"/>
      <c r="L7049" s="334">
        <v>26506</v>
      </c>
      <c r="M7049" s="338"/>
      <c r="N7049" s="362">
        <f t="shared" si="243"/>
        <v>26506</v>
      </c>
      <c r="X7049" s="339"/>
    </row>
    <row r="7050" s="330" customFormat="1" ht="15" customHeight="1" spans="1:24">
      <c r="A7050" s="334"/>
      <c r="B7050" s="334" t="s">
        <v>169</v>
      </c>
      <c r="C7050" s="334" t="s">
        <v>634</v>
      </c>
      <c r="D7050" s="334" t="s">
        <v>635</v>
      </c>
      <c r="E7050" s="336">
        <v>43769</v>
      </c>
      <c r="F7050" s="336"/>
      <c r="G7050" s="336">
        <v>43768</v>
      </c>
      <c r="H7050" s="334" t="s">
        <v>10659</v>
      </c>
      <c r="I7050" s="334">
        <v>15921164564</v>
      </c>
      <c r="J7050" s="334" t="s">
        <v>14620</v>
      </c>
      <c r="K7050" s="337"/>
      <c r="L7050" s="338"/>
      <c r="M7050" s="334">
        <v>2094</v>
      </c>
      <c r="N7050" s="362">
        <f t="shared" si="243"/>
        <v>2094</v>
      </c>
      <c r="X7050" s="339"/>
    </row>
    <row r="7051" s="330" customFormat="1" ht="15" customHeight="1" spans="1:24">
      <c r="A7051" s="334"/>
      <c r="B7051" s="334" t="s">
        <v>58</v>
      </c>
      <c r="C7051" s="334" t="s">
        <v>109</v>
      </c>
      <c r="D7051" s="334" t="s">
        <v>271</v>
      </c>
      <c r="E7051" s="336">
        <v>43769</v>
      </c>
      <c r="F7051" s="336"/>
      <c r="G7051" s="336">
        <v>43768</v>
      </c>
      <c r="H7051" s="334" t="s">
        <v>15473</v>
      </c>
      <c r="I7051" s="334">
        <v>18918581588</v>
      </c>
      <c r="J7051" s="334" t="s">
        <v>15474</v>
      </c>
      <c r="K7051" s="337"/>
      <c r="L7051" s="338"/>
      <c r="M7051" s="334">
        <v>1199</v>
      </c>
      <c r="N7051" s="362">
        <f t="shared" si="243"/>
        <v>1199</v>
      </c>
      <c r="X7051" s="339"/>
    </row>
    <row r="7052" s="330" customFormat="1" ht="15" customHeight="1" spans="1:24">
      <c r="A7052" s="334"/>
      <c r="B7052" s="334" t="s">
        <v>123</v>
      </c>
      <c r="C7052" s="334" t="s">
        <v>125</v>
      </c>
      <c r="D7052" s="334" t="s">
        <v>125</v>
      </c>
      <c r="E7052" s="336">
        <v>43769</v>
      </c>
      <c r="F7052" s="336"/>
      <c r="G7052" s="336">
        <v>43756</v>
      </c>
      <c r="H7052" s="334" t="s">
        <v>1003</v>
      </c>
      <c r="I7052" s="334">
        <v>13701653241</v>
      </c>
      <c r="J7052" s="334" t="s">
        <v>14324</v>
      </c>
      <c r="K7052" s="337"/>
      <c r="L7052" s="338"/>
      <c r="M7052" s="334">
        <v>100</v>
      </c>
      <c r="N7052" s="362">
        <f t="shared" si="243"/>
        <v>100</v>
      </c>
      <c r="X7052" s="339"/>
    </row>
    <row r="7053" s="330" customFormat="1" ht="15" customHeight="1" spans="1:24">
      <c r="A7053" s="334"/>
      <c r="B7053" s="334" t="s">
        <v>123</v>
      </c>
      <c r="C7053" s="334" t="s">
        <v>32</v>
      </c>
      <c r="D7053" s="334" t="s">
        <v>125</v>
      </c>
      <c r="E7053" s="336">
        <v>43769</v>
      </c>
      <c r="F7053" s="336"/>
      <c r="G7053" s="336">
        <v>43756</v>
      </c>
      <c r="H7053" s="334" t="s">
        <v>12290</v>
      </c>
      <c r="I7053" s="334">
        <v>18621299166</v>
      </c>
      <c r="J7053" s="334" t="s">
        <v>14322</v>
      </c>
      <c r="K7053" s="337"/>
      <c r="L7053" s="338"/>
      <c r="M7053" s="334">
        <v>113</v>
      </c>
      <c r="N7053" s="362">
        <f t="shared" si="243"/>
        <v>113</v>
      </c>
      <c r="X7053" s="339"/>
    </row>
    <row r="7054" s="330" customFormat="1" ht="15" customHeight="1" spans="1:24">
      <c r="A7054" s="334"/>
      <c r="B7054" s="334" t="s">
        <v>73</v>
      </c>
      <c r="C7054" s="334" t="s">
        <v>74</v>
      </c>
      <c r="D7054" s="334" t="s">
        <v>75</v>
      </c>
      <c r="E7054" s="336">
        <v>43769</v>
      </c>
      <c r="F7054" s="336"/>
      <c r="G7054" s="336">
        <v>43768</v>
      </c>
      <c r="H7054" s="334" t="s">
        <v>8004</v>
      </c>
      <c r="I7054" s="356">
        <v>18930703073</v>
      </c>
      <c r="J7054" s="348" t="s">
        <v>8005</v>
      </c>
      <c r="K7054" s="337"/>
      <c r="L7054" s="338"/>
      <c r="M7054" s="334">
        <v>12479</v>
      </c>
      <c r="N7054" s="362">
        <f t="shared" si="243"/>
        <v>12479</v>
      </c>
      <c r="X7054" s="339"/>
    </row>
    <row r="7055" s="330" customFormat="1" ht="15" customHeight="1" spans="1:24">
      <c r="A7055" s="334"/>
      <c r="B7055" s="334" t="s">
        <v>726</v>
      </c>
      <c r="C7055" s="334" t="s">
        <v>727</v>
      </c>
      <c r="D7055" s="334" t="s">
        <v>271</v>
      </c>
      <c r="E7055" s="336">
        <v>43769</v>
      </c>
      <c r="F7055" s="336"/>
      <c r="G7055" s="336">
        <v>43768</v>
      </c>
      <c r="H7055" s="334" t="s">
        <v>9235</v>
      </c>
      <c r="I7055" s="334">
        <v>13901848227</v>
      </c>
      <c r="J7055" s="334" t="s">
        <v>9236</v>
      </c>
      <c r="K7055" s="337"/>
      <c r="L7055" s="338"/>
      <c r="M7055" s="334">
        <v>12822</v>
      </c>
      <c r="N7055" s="362">
        <f t="shared" si="243"/>
        <v>12822</v>
      </c>
      <c r="X7055" s="339"/>
    </row>
    <row r="7056" s="330" customFormat="1" ht="15" customHeight="1" spans="1:24">
      <c r="A7056" s="334"/>
      <c r="B7056" s="334" t="s">
        <v>315</v>
      </c>
      <c r="C7056" s="334" t="s">
        <v>275</v>
      </c>
      <c r="D7056" s="334" t="s">
        <v>162</v>
      </c>
      <c r="E7056" s="336">
        <v>43769</v>
      </c>
      <c r="F7056" s="336"/>
      <c r="G7056" s="336">
        <v>43768</v>
      </c>
      <c r="H7056" s="334" t="s">
        <v>937</v>
      </c>
      <c r="I7056" s="444">
        <v>13301763703</v>
      </c>
      <c r="J7056" s="348" t="s">
        <v>938</v>
      </c>
      <c r="K7056" s="337"/>
      <c r="L7056" s="338"/>
      <c r="M7056" s="334">
        <v>97</v>
      </c>
      <c r="N7056" s="362">
        <f t="shared" si="243"/>
        <v>97</v>
      </c>
      <c r="X7056" s="339"/>
    </row>
    <row r="7057" s="330" customFormat="1" ht="15" customHeight="1" spans="1:24">
      <c r="A7057" s="334"/>
      <c r="B7057" s="334" t="s">
        <v>153</v>
      </c>
      <c r="C7057" s="334" t="s">
        <v>302</v>
      </c>
      <c r="D7057" s="334" t="s">
        <v>155</v>
      </c>
      <c r="E7057" s="336">
        <v>43769</v>
      </c>
      <c r="F7057" s="336"/>
      <c r="G7057" s="336">
        <v>43769</v>
      </c>
      <c r="H7057" s="334" t="s">
        <v>8672</v>
      </c>
      <c r="I7057" s="356">
        <v>13661658026</v>
      </c>
      <c r="J7057" s="348" t="s">
        <v>15475</v>
      </c>
      <c r="K7057" s="337"/>
      <c r="L7057" s="338"/>
      <c r="M7057" s="334">
        <v>2635</v>
      </c>
      <c r="N7057" s="362">
        <f t="shared" si="243"/>
        <v>2635</v>
      </c>
      <c r="X7057" s="339"/>
    </row>
    <row r="7058" s="330" customFormat="1" ht="15" customHeight="1" spans="1:24">
      <c r="A7058" s="334"/>
      <c r="B7058" s="334" t="s">
        <v>31</v>
      </c>
      <c r="C7058" s="334" t="s">
        <v>2716</v>
      </c>
      <c r="D7058" s="334" t="s">
        <v>33</v>
      </c>
      <c r="E7058" s="336">
        <v>43769</v>
      </c>
      <c r="F7058" s="336"/>
      <c r="G7058" s="336">
        <v>43769</v>
      </c>
      <c r="H7058" s="334" t="s">
        <v>15476</v>
      </c>
      <c r="I7058" s="356">
        <v>15300568713</v>
      </c>
      <c r="J7058" s="348" t="s">
        <v>15477</v>
      </c>
      <c r="K7058" s="337"/>
      <c r="L7058" s="338"/>
      <c r="M7058" s="334">
        <v>935</v>
      </c>
      <c r="N7058" s="362">
        <f t="shared" si="243"/>
        <v>935</v>
      </c>
      <c r="X7058" s="339"/>
    </row>
    <row r="7059" s="330" customFormat="1" ht="15" customHeight="1" spans="1:24">
      <c r="A7059" s="334"/>
      <c r="B7059" s="334" t="s">
        <v>66</v>
      </c>
      <c r="C7059" s="334" t="s">
        <v>1749</v>
      </c>
      <c r="D7059" s="334" t="s">
        <v>2302</v>
      </c>
      <c r="E7059" s="336">
        <v>43769</v>
      </c>
      <c r="F7059" s="336"/>
      <c r="G7059" s="336">
        <v>43769</v>
      </c>
      <c r="H7059" s="334" t="s">
        <v>13533</v>
      </c>
      <c r="I7059" s="334">
        <v>17301853186</v>
      </c>
      <c r="J7059" s="334" t="s">
        <v>13534</v>
      </c>
      <c r="K7059" s="337"/>
      <c r="L7059" s="338"/>
      <c r="M7059" s="334">
        <v>-627</v>
      </c>
      <c r="N7059" s="362">
        <f t="shared" si="243"/>
        <v>-627</v>
      </c>
      <c r="X7059" s="339"/>
    </row>
    <row r="7060" s="330" customFormat="1" ht="15" customHeight="1" spans="1:24">
      <c r="A7060" s="334"/>
      <c r="B7060" s="334" t="s">
        <v>66</v>
      </c>
      <c r="C7060" s="334" t="s">
        <v>1749</v>
      </c>
      <c r="D7060" s="334" t="s">
        <v>2302</v>
      </c>
      <c r="E7060" s="336">
        <v>43769</v>
      </c>
      <c r="F7060" s="336"/>
      <c r="G7060" s="336">
        <v>43769</v>
      </c>
      <c r="H7060" s="334" t="s">
        <v>13836</v>
      </c>
      <c r="I7060" s="334" t="s">
        <v>13837</v>
      </c>
      <c r="J7060" s="334" t="s">
        <v>13838</v>
      </c>
      <c r="K7060" s="337"/>
      <c r="L7060" s="338"/>
      <c r="M7060" s="334">
        <v>10000</v>
      </c>
      <c r="N7060" s="362">
        <f t="shared" si="243"/>
        <v>10000</v>
      </c>
      <c r="X7060" s="339"/>
    </row>
    <row r="7061" s="330" customFormat="1" ht="15" customHeight="1" spans="1:24">
      <c r="A7061" s="334"/>
      <c r="B7061" s="334" t="s">
        <v>47</v>
      </c>
      <c r="C7061" s="334" t="s">
        <v>53</v>
      </c>
      <c r="D7061" s="334" t="s">
        <v>49</v>
      </c>
      <c r="E7061" s="336">
        <v>43769</v>
      </c>
      <c r="F7061" s="336"/>
      <c r="G7061" s="336">
        <v>43769</v>
      </c>
      <c r="H7061" s="334" t="s">
        <v>12049</v>
      </c>
      <c r="I7061" s="334">
        <v>18215697943</v>
      </c>
      <c r="J7061" s="334" t="s">
        <v>14541</v>
      </c>
      <c r="K7061" s="337"/>
      <c r="L7061" s="338"/>
      <c r="M7061" s="334">
        <v>1329</v>
      </c>
      <c r="N7061" s="362">
        <f t="shared" si="243"/>
        <v>1329</v>
      </c>
      <c r="X7061" s="339"/>
    </row>
    <row r="7062" s="330" customFormat="1" ht="15" customHeight="1" spans="1:24">
      <c r="A7062" s="334"/>
      <c r="B7062" s="334" t="s">
        <v>147</v>
      </c>
      <c r="C7062" s="334" t="s">
        <v>148</v>
      </c>
      <c r="D7062" s="334" t="s">
        <v>207</v>
      </c>
      <c r="E7062" s="336">
        <v>43769</v>
      </c>
      <c r="F7062" s="336"/>
      <c r="G7062" s="336">
        <v>43741</v>
      </c>
      <c r="H7062" s="334" t="s">
        <v>6798</v>
      </c>
      <c r="I7062" s="334">
        <v>13917202353</v>
      </c>
      <c r="J7062" s="348" t="s">
        <v>15478</v>
      </c>
      <c r="K7062" s="337"/>
      <c r="L7062" s="338"/>
      <c r="M7062" s="334">
        <v>2303</v>
      </c>
      <c r="N7062" s="362">
        <f t="shared" si="243"/>
        <v>2303</v>
      </c>
      <c r="X7062" s="339"/>
    </row>
    <row r="7063" s="330" customFormat="1" ht="15" customHeight="1" spans="1:24">
      <c r="A7063" s="334"/>
      <c r="B7063" s="334" t="s">
        <v>42</v>
      </c>
      <c r="C7063" s="334" t="s">
        <v>43</v>
      </c>
      <c r="D7063" s="334" t="s">
        <v>207</v>
      </c>
      <c r="E7063" s="336">
        <v>43769</v>
      </c>
      <c r="F7063" s="336"/>
      <c r="G7063" s="336">
        <v>43769</v>
      </c>
      <c r="H7063" s="334" t="s">
        <v>13605</v>
      </c>
      <c r="I7063" s="334">
        <v>13817982082</v>
      </c>
      <c r="J7063" s="348" t="s">
        <v>15479</v>
      </c>
      <c r="K7063" s="337"/>
      <c r="L7063" s="338"/>
      <c r="M7063" s="334">
        <v>-164</v>
      </c>
      <c r="N7063" s="362">
        <f t="shared" si="243"/>
        <v>-164</v>
      </c>
      <c r="X7063" s="339"/>
    </row>
    <row r="7064" s="330" customFormat="1" ht="15" customHeight="1" spans="1:24">
      <c r="A7064" s="334"/>
      <c r="B7064" s="334" t="s">
        <v>137</v>
      </c>
      <c r="C7064" s="334" t="s">
        <v>411</v>
      </c>
      <c r="D7064" s="334" t="s">
        <v>139</v>
      </c>
      <c r="E7064" s="336">
        <v>43769</v>
      </c>
      <c r="F7064" s="336"/>
      <c r="G7064" s="336">
        <v>43769</v>
      </c>
      <c r="H7064" s="334" t="s">
        <v>3793</v>
      </c>
      <c r="I7064" s="334">
        <v>13913249152</v>
      </c>
      <c r="J7064" s="334" t="s">
        <v>11255</v>
      </c>
      <c r="K7064" s="337"/>
      <c r="L7064" s="338"/>
      <c r="M7064" s="334">
        <v>1850</v>
      </c>
      <c r="N7064" s="362">
        <f t="shared" si="243"/>
        <v>1850</v>
      </c>
      <c r="X7064" s="339"/>
    </row>
    <row r="7065" s="330" customFormat="1" ht="15" customHeight="1" spans="1:24">
      <c r="A7065" s="334"/>
      <c r="B7065" s="334" t="s">
        <v>35</v>
      </c>
      <c r="C7065" s="334" t="s">
        <v>392</v>
      </c>
      <c r="D7065" s="334" t="s">
        <v>132</v>
      </c>
      <c r="E7065" s="336">
        <v>43769</v>
      </c>
      <c r="F7065" s="336"/>
      <c r="G7065" s="336">
        <v>43769</v>
      </c>
      <c r="H7065" s="334" t="s">
        <v>3289</v>
      </c>
      <c r="I7065" s="334">
        <v>13818133781</v>
      </c>
      <c r="J7065" s="334" t="s">
        <v>3290</v>
      </c>
      <c r="K7065" s="337"/>
      <c r="L7065" s="338"/>
      <c r="M7065" s="334">
        <v>2648</v>
      </c>
      <c r="N7065" s="362">
        <f t="shared" si="243"/>
        <v>2648</v>
      </c>
      <c r="X7065" s="339"/>
    </row>
    <row r="7066" s="330" customFormat="1" ht="15" customHeight="1" spans="1:24">
      <c r="A7066" s="334"/>
      <c r="B7066" s="334" t="s">
        <v>315</v>
      </c>
      <c r="C7066" s="334" t="s">
        <v>392</v>
      </c>
      <c r="D7066" s="334" t="s">
        <v>162</v>
      </c>
      <c r="E7066" s="336">
        <v>43769</v>
      </c>
      <c r="F7066" s="336"/>
      <c r="G7066" s="336">
        <v>43769</v>
      </c>
      <c r="H7066" s="334" t="s">
        <v>13638</v>
      </c>
      <c r="I7066" s="426">
        <v>18116337066</v>
      </c>
      <c r="J7066" s="334" t="s">
        <v>15480</v>
      </c>
      <c r="K7066" s="337"/>
      <c r="L7066" s="338"/>
      <c r="M7066" s="334">
        <v>18100</v>
      </c>
      <c r="N7066" s="362">
        <f t="shared" si="243"/>
        <v>18100</v>
      </c>
      <c r="X7066" s="339"/>
    </row>
    <row r="7067" s="330" customFormat="1" ht="15" customHeight="1" spans="1:24">
      <c r="A7067" s="334"/>
      <c r="B7067" s="334" t="s">
        <v>35</v>
      </c>
      <c r="C7067" s="334" t="s">
        <v>392</v>
      </c>
      <c r="D7067" s="334" t="s">
        <v>37</v>
      </c>
      <c r="E7067" s="336">
        <v>43769</v>
      </c>
      <c r="F7067" s="336"/>
      <c r="G7067" s="336">
        <v>43769</v>
      </c>
      <c r="H7067" s="334" t="s">
        <v>15481</v>
      </c>
      <c r="I7067" s="334">
        <v>18817878114</v>
      </c>
      <c r="J7067" s="348" t="s">
        <v>15482</v>
      </c>
      <c r="K7067" s="337"/>
      <c r="L7067" s="338"/>
      <c r="M7067" s="334">
        <v>22780</v>
      </c>
      <c r="N7067" s="362">
        <f t="shared" si="243"/>
        <v>22780</v>
      </c>
      <c r="X7067" s="339"/>
    </row>
    <row r="7068" s="330" customFormat="1" ht="15" customHeight="1" spans="1:24">
      <c r="A7068" s="334"/>
      <c r="B7068" s="334" t="s">
        <v>35</v>
      </c>
      <c r="C7068" s="334" t="s">
        <v>392</v>
      </c>
      <c r="D7068" s="334" t="s">
        <v>37</v>
      </c>
      <c r="E7068" s="336">
        <v>43769</v>
      </c>
      <c r="F7068" s="336"/>
      <c r="G7068" s="336">
        <v>43769</v>
      </c>
      <c r="H7068" s="334" t="s">
        <v>13308</v>
      </c>
      <c r="I7068" s="426">
        <v>13917061328</v>
      </c>
      <c r="J7068" s="334" t="s">
        <v>13309</v>
      </c>
      <c r="K7068" s="337"/>
      <c r="L7068" s="338"/>
      <c r="M7068" s="334">
        <v>1392</v>
      </c>
      <c r="N7068" s="362">
        <f t="shared" si="243"/>
        <v>1392</v>
      </c>
      <c r="X7068" s="339"/>
    </row>
    <row r="7069" s="330" customFormat="1" ht="15" customHeight="1" spans="1:24">
      <c r="A7069" s="334"/>
      <c r="B7069" s="334" t="s">
        <v>35</v>
      </c>
      <c r="C7069" s="334" t="s">
        <v>392</v>
      </c>
      <c r="D7069" s="334" t="s">
        <v>37</v>
      </c>
      <c r="E7069" s="336">
        <v>43769</v>
      </c>
      <c r="F7069" s="336"/>
      <c r="G7069" s="336">
        <v>43769</v>
      </c>
      <c r="H7069" s="334" t="s">
        <v>12216</v>
      </c>
      <c r="I7069" s="334">
        <v>18930520567</v>
      </c>
      <c r="J7069" s="334" t="s">
        <v>12217</v>
      </c>
      <c r="K7069" s="337"/>
      <c r="L7069" s="338"/>
      <c r="M7069" s="334">
        <v>1500</v>
      </c>
      <c r="N7069" s="362">
        <f t="shared" si="243"/>
        <v>1500</v>
      </c>
      <c r="X7069" s="339"/>
    </row>
    <row r="7070" s="330" customFormat="1" ht="15" customHeight="1" spans="1:24">
      <c r="A7070" s="334"/>
      <c r="B7070" s="334" t="s">
        <v>31</v>
      </c>
      <c r="C7070" s="334" t="s">
        <v>251</v>
      </c>
      <c r="D7070" s="334" t="s">
        <v>954</v>
      </c>
      <c r="E7070" s="336">
        <v>43745</v>
      </c>
      <c r="F7070" s="336"/>
      <c r="G7070" s="336">
        <v>43745</v>
      </c>
      <c r="H7070" s="334" t="s">
        <v>14553</v>
      </c>
      <c r="I7070" s="334">
        <v>13361939199</v>
      </c>
      <c r="J7070" s="348" t="s">
        <v>14554</v>
      </c>
      <c r="K7070" s="337"/>
      <c r="L7070" s="334">
        <v>10000</v>
      </c>
      <c r="M7070" s="338"/>
      <c r="N7070" s="362">
        <f t="shared" si="243"/>
        <v>10000</v>
      </c>
      <c r="X7070" s="339"/>
    </row>
    <row r="7071" s="330" customFormat="1" ht="15" customHeight="1" spans="1:24">
      <c r="A7071" s="334"/>
      <c r="B7071" s="334" t="s">
        <v>5435</v>
      </c>
      <c r="C7071" s="334" t="s">
        <v>1728</v>
      </c>
      <c r="D7071" s="334" t="s">
        <v>237</v>
      </c>
      <c r="E7071" s="336">
        <v>43745</v>
      </c>
      <c r="F7071" s="336"/>
      <c r="G7071" s="336">
        <v>43744</v>
      </c>
      <c r="H7071" s="334" t="s">
        <v>15483</v>
      </c>
      <c r="I7071" s="334">
        <v>13916351751</v>
      </c>
      <c r="J7071" s="334" t="s">
        <v>15484</v>
      </c>
      <c r="K7071" s="337"/>
      <c r="L7071" s="334">
        <v>11156</v>
      </c>
      <c r="M7071" s="338"/>
      <c r="N7071" s="362">
        <f t="shared" si="243"/>
        <v>11156</v>
      </c>
      <c r="X7071" s="339"/>
    </row>
    <row r="7072" s="330" customFormat="1" ht="15" customHeight="1" spans="1:24">
      <c r="A7072" s="334"/>
      <c r="B7072" s="334" t="s">
        <v>5435</v>
      </c>
      <c r="C7072" s="334" t="s">
        <v>1728</v>
      </c>
      <c r="D7072" s="334" t="s">
        <v>237</v>
      </c>
      <c r="E7072" s="336">
        <v>43745</v>
      </c>
      <c r="F7072" s="336"/>
      <c r="G7072" s="336">
        <v>43745</v>
      </c>
      <c r="H7072" s="334" t="s">
        <v>15485</v>
      </c>
      <c r="I7072" s="334">
        <v>13601903893</v>
      </c>
      <c r="J7072" s="334" t="s">
        <v>15486</v>
      </c>
      <c r="K7072" s="337"/>
      <c r="L7072" s="334">
        <v>11000</v>
      </c>
      <c r="M7072" s="338"/>
      <c r="N7072" s="362">
        <f t="shared" si="243"/>
        <v>11000</v>
      </c>
      <c r="X7072" s="339"/>
    </row>
    <row r="7073" s="330" customFormat="1" ht="15" customHeight="1" spans="1:24">
      <c r="A7073" s="334"/>
      <c r="B7073" s="334" t="s">
        <v>58</v>
      </c>
      <c r="C7073" s="334" t="s">
        <v>347</v>
      </c>
      <c r="D7073" s="334" t="s">
        <v>343</v>
      </c>
      <c r="E7073" s="336">
        <v>43745</v>
      </c>
      <c r="F7073" s="336"/>
      <c r="G7073" s="336">
        <v>43745</v>
      </c>
      <c r="H7073" s="334" t="s">
        <v>15487</v>
      </c>
      <c r="I7073" s="334">
        <v>18601774468</v>
      </c>
      <c r="J7073" s="334" t="s">
        <v>15488</v>
      </c>
      <c r="K7073" s="337"/>
      <c r="L7073" s="334">
        <v>7335</v>
      </c>
      <c r="M7073" s="338"/>
      <c r="N7073" s="362">
        <f t="shared" si="243"/>
        <v>7335</v>
      </c>
      <c r="X7073" s="339"/>
    </row>
    <row r="7074" s="330" customFormat="1" ht="15" customHeight="1" spans="1:24">
      <c r="A7074" s="334"/>
      <c r="B7074" s="334" t="s">
        <v>123</v>
      </c>
      <c r="C7074" s="334" t="s">
        <v>902</v>
      </c>
      <c r="D7074" s="335" t="s">
        <v>125</v>
      </c>
      <c r="E7074" s="336">
        <v>43745</v>
      </c>
      <c r="F7074" s="336"/>
      <c r="G7074" s="336">
        <v>43745</v>
      </c>
      <c r="H7074" s="334" t="s">
        <v>11536</v>
      </c>
      <c r="I7074" s="334">
        <v>13816002635</v>
      </c>
      <c r="J7074" s="334" t="s">
        <v>15489</v>
      </c>
      <c r="K7074" s="337"/>
      <c r="L7074" s="334">
        <v>11637</v>
      </c>
      <c r="M7074" s="338"/>
      <c r="N7074" s="362">
        <f t="shared" si="243"/>
        <v>11637</v>
      </c>
      <c r="X7074" s="339"/>
    </row>
    <row r="7075" s="330" customFormat="1" ht="15" customHeight="1" spans="1:24">
      <c r="A7075" s="334"/>
      <c r="B7075" s="334" t="s">
        <v>726</v>
      </c>
      <c r="C7075" s="334" t="s">
        <v>12699</v>
      </c>
      <c r="D7075" s="334" t="s">
        <v>271</v>
      </c>
      <c r="E7075" s="336">
        <v>43745</v>
      </c>
      <c r="F7075" s="336"/>
      <c r="G7075" s="336">
        <v>43745</v>
      </c>
      <c r="H7075" s="334" t="s">
        <v>13563</v>
      </c>
      <c r="I7075" s="334">
        <v>13641839675</v>
      </c>
      <c r="J7075" s="334" t="s">
        <v>15490</v>
      </c>
      <c r="K7075" s="337"/>
      <c r="L7075" s="334">
        <v>8300</v>
      </c>
      <c r="M7075" s="338"/>
      <c r="N7075" s="362">
        <f t="shared" si="243"/>
        <v>8300</v>
      </c>
      <c r="X7075" s="339"/>
    </row>
    <row r="7076" s="330" customFormat="1" ht="15" customHeight="1" spans="1:24">
      <c r="A7076" s="334"/>
      <c r="B7076" s="334" t="s">
        <v>31</v>
      </c>
      <c r="C7076" s="334" t="s">
        <v>419</v>
      </c>
      <c r="D7076" s="335" t="s">
        <v>221</v>
      </c>
      <c r="E7076" s="336">
        <v>43745</v>
      </c>
      <c r="F7076" s="336"/>
      <c r="G7076" s="336">
        <v>43745</v>
      </c>
      <c r="H7076" s="334" t="s">
        <v>13665</v>
      </c>
      <c r="I7076" s="334">
        <v>18621902583</v>
      </c>
      <c r="J7076" s="334" t="s">
        <v>15491</v>
      </c>
      <c r="K7076" s="337"/>
      <c r="L7076" s="334">
        <v>21000</v>
      </c>
      <c r="M7076" s="338"/>
      <c r="N7076" s="362">
        <f t="shared" si="243"/>
        <v>21000</v>
      </c>
      <c r="X7076" s="339"/>
    </row>
    <row r="7077" s="330" customFormat="1" ht="15" customHeight="1" spans="1:24">
      <c r="A7077" s="334"/>
      <c r="B7077" s="334" t="s">
        <v>185</v>
      </c>
      <c r="C7077" s="334" t="s">
        <v>186</v>
      </c>
      <c r="D7077" s="335" t="s">
        <v>187</v>
      </c>
      <c r="E7077" s="336">
        <v>43745</v>
      </c>
      <c r="F7077" s="336"/>
      <c r="G7077" s="336">
        <v>43744</v>
      </c>
      <c r="H7077" s="334" t="s">
        <v>12064</v>
      </c>
      <c r="I7077" s="334">
        <v>13905265933</v>
      </c>
      <c r="J7077" s="334" t="s">
        <v>10314</v>
      </c>
      <c r="K7077" s="337"/>
      <c r="L7077" s="334">
        <v>16600</v>
      </c>
      <c r="M7077" s="338"/>
      <c r="N7077" s="362">
        <f t="shared" si="243"/>
        <v>16600</v>
      </c>
      <c r="X7077" s="339"/>
    </row>
    <row r="7078" s="330" customFormat="1" ht="15" customHeight="1" spans="1:24">
      <c r="A7078" s="334"/>
      <c r="B7078" s="334" t="s">
        <v>31</v>
      </c>
      <c r="C7078" s="334" t="s">
        <v>377</v>
      </c>
      <c r="D7078" s="334" t="s">
        <v>954</v>
      </c>
      <c r="E7078" s="336">
        <v>43745</v>
      </c>
      <c r="F7078" s="336" t="s">
        <v>800</v>
      </c>
      <c r="G7078" s="336">
        <v>43738</v>
      </c>
      <c r="H7078" s="492" t="s">
        <v>15492</v>
      </c>
      <c r="I7078" s="356">
        <v>18001666212</v>
      </c>
      <c r="J7078" s="334" t="s">
        <v>1908</v>
      </c>
      <c r="K7078" s="337"/>
      <c r="L7078" s="338"/>
      <c r="M7078" s="334">
        <v>100000</v>
      </c>
      <c r="N7078" s="362">
        <f t="shared" si="243"/>
        <v>100000</v>
      </c>
      <c r="X7078" s="339"/>
    </row>
    <row r="7079" s="330" customFormat="1" ht="15" customHeight="1" spans="1:24">
      <c r="A7079" s="550" t="s">
        <v>15493</v>
      </c>
      <c r="B7079" s="334" t="s">
        <v>58</v>
      </c>
      <c r="C7079" s="348" t="s">
        <v>109</v>
      </c>
      <c r="D7079" s="335" t="s">
        <v>110</v>
      </c>
      <c r="E7079" s="336">
        <v>43826</v>
      </c>
      <c r="F7079" s="336">
        <v>43770</v>
      </c>
      <c r="G7079" s="336">
        <v>43825</v>
      </c>
      <c r="H7079" s="334" t="s">
        <v>15494</v>
      </c>
      <c r="I7079" s="444">
        <v>13761085440</v>
      </c>
      <c r="J7079" s="348" t="s">
        <v>15495</v>
      </c>
      <c r="K7079" s="452">
        <v>10000</v>
      </c>
      <c r="L7079" s="334">
        <v>23165</v>
      </c>
      <c r="M7079" s="338"/>
      <c r="N7079" s="362">
        <f t="shared" ref="N7079:N7084" si="244">L7079+M7079</f>
        <v>23165</v>
      </c>
      <c r="O7079" s="365"/>
      <c r="W7079" s="471">
        <v>43824</v>
      </c>
      <c r="X7079" s="339"/>
    </row>
    <row r="7080" s="330" customFormat="1" ht="15" customHeight="1" spans="1:24">
      <c r="A7080" s="348"/>
      <c r="B7080" s="334" t="s">
        <v>354</v>
      </c>
      <c r="C7080" s="348" t="s">
        <v>13719</v>
      </c>
      <c r="D7080" s="335" t="s">
        <v>149</v>
      </c>
      <c r="E7080" s="336">
        <v>43770</v>
      </c>
      <c r="F7080" s="336">
        <v>43769</v>
      </c>
      <c r="G7080" s="399"/>
      <c r="H7080" s="334" t="s">
        <v>15496</v>
      </c>
      <c r="I7080" s="444">
        <v>13918552384</v>
      </c>
      <c r="J7080" s="348" t="s">
        <v>15497</v>
      </c>
      <c r="K7080" s="452">
        <v>20000</v>
      </c>
      <c r="L7080" s="338"/>
      <c r="M7080" s="338"/>
      <c r="N7080" s="362">
        <f t="shared" si="244"/>
        <v>0</v>
      </c>
      <c r="X7080" s="339"/>
    </row>
    <row r="7081" s="330" customFormat="1" ht="15" customHeight="1" spans="1:24">
      <c r="A7081" s="348">
        <v>2067162</v>
      </c>
      <c r="B7081" s="334" t="s">
        <v>123</v>
      </c>
      <c r="C7081" s="348" t="s">
        <v>32</v>
      </c>
      <c r="D7081" s="335" t="s">
        <v>125</v>
      </c>
      <c r="E7081" s="336">
        <v>43774</v>
      </c>
      <c r="F7081" s="336">
        <v>43770</v>
      </c>
      <c r="G7081" s="336">
        <v>43774</v>
      </c>
      <c r="H7081" s="334" t="s">
        <v>7233</v>
      </c>
      <c r="I7081" s="444">
        <v>13917635830</v>
      </c>
      <c r="J7081" s="348" t="s">
        <v>15498</v>
      </c>
      <c r="K7081" s="452">
        <v>3797</v>
      </c>
      <c r="L7081" s="334">
        <v>10118</v>
      </c>
      <c r="M7081" s="338"/>
      <c r="N7081" s="362">
        <f t="shared" si="244"/>
        <v>10118</v>
      </c>
      <c r="X7081" s="339"/>
    </row>
    <row r="7082" s="330" customFormat="1" ht="15" customHeight="1" spans="1:24">
      <c r="A7082" s="348">
        <v>2019335</v>
      </c>
      <c r="B7082" s="334" t="s">
        <v>42</v>
      </c>
      <c r="C7082" s="348" t="s">
        <v>12765</v>
      </c>
      <c r="D7082" s="334" t="s">
        <v>207</v>
      </c>
      <c r="E7082" s="336">
        <v>43798</v>
      </c>
      <c r="F7082" s="336">
        <v>43764</v>
      </c>
      <c r="G7082" s="336">
        <v>43798</v>
      </c>
      <c r="H7082" s="334" t="s">
        <v>15499</v>
      </c>
      <c r="I7082" s="444">
        <v>1301978365</v>
      </c>
      <c r="J7082" s="348" t="s">
        <v>15500</v>
      </c>
      <c r="K7082" s="452">
        <v>10553</v>
      </c>
      <c r="L7082" s="334">
        <v>10553</v>
      </c>
      <c r="M7082" s="338"/>
      <c r="N7082" s="362">
        <f t="shared" si="244"/>
        <v>10553</v>
      </c>
      <c r="X7082" s="339"/>
    </row>
    <row r="7083" s="330" customFormat="1" ht="15" customHeight="1" spans="1:24">
      <c r="A7083" s="348"/>
      <c r="B7083" s="334" t="s">
        <v>5336</v>
      </c>
      <c r="C7083" s="348" t="s">
        <v>5336</v>
      </c>
      <c r="D7083" s="334" t="s">
        <v>8334</v>
      </c>
      <c r="E7083" s="336">
        <v>43794</v>
      </c>
      <c r="F7083" s="336">
        <v>43770</v>
      </c>
      <c r="G7083" s="336">
        <v>43770</v>
      </c>
      <c r="H7083" s="334" t="s">
        <v>15501</v>
      </c>
      <c r="I7083" s="444">
        <v>18039555761</v>
      </c>
      <c r="J7083" s="348" t="s">
        <v>15502</v>
      </c>
      <c r="K7083" s="452">
        <v>2342</v>
      </c>
      <c r="L7083" s="334">
        <v>2542</v>
      </c>
      <c r="M7083" s="338"/>
      <c r="N7083" s="362">
        <f t="shared" si="244"/>
        <v>2542</v>
      </c>
      <c r="X7083" s="339"/>
    </row>
    <row r="7084" s="330" customFormat="1" ht="15" customHeight="1" spans="1:24">
      <c r="A7084" s="550" t="s">
        <v>15503</v>
      </c>
      <c r="B7084" s="334" t="s">
        <v>58</v>
      </c>
      <c r="C7084" s="348" t="s">
        <v>109</v>
      </c>
      <c r="D7084" s="334" t="s">
        <v>110</v>
      </c>
      <c r="E7084" s="336">
        <v>43782</v>
      </c>
      <c r="F7084" s="336">
        <v>43770</v>
      </c>
      <c r="G7084" s="336">
        <v>43780</v>
      </c>
      <c r="H7084" s="334" t="s">
        <v>15504</v>
      </c>
      <c r="I7084" s="444">
        <v>13917027378</v>
      </c>
      <c r="J7084" s="348" t="s">
        <v>15505</v>
      </c>
      <c r="K7084" s="452">
        <v>1000</v>
      </c>
      <c r="L7084" s="334">
        <v>16000</v>
      </c>
      <c r="M7084" s="338"/>
      <c r="N7084" s="362">
        <f t="shared" si="244"/>
        <v>16000</v>
      </c>
      <c r="X7084" s="339"/>
    </row>
    <row r="7085" s="330" customFormat="1" ht="15" customHeight="1" spans="1:24">
      <c r="A7085" s="334"/>
      <c r="B7085" s="348" t="s">
        <v>58</v>
      </c>
      <c r="C7085" s="334" t="s">
        <v>347</v>
      </c>
      <c r="D7085" s="334" t="s">
        <v>60</v>
      </c>
      <c r="E7085" s="393">
        <v>43708</v>
      </c>
      <c r="F7085" s="336"/>
      <c r="G7085" s="336" t="s">
        <v>40</v>
      </c>
      <c r="H7085" s="334" t="s">
        <v>8662</v>
      </c>
      <c r="I7085" s="356">
        <v>13482891495</v>
      </c>
      <c r="J7085" s="363" t="s">
        <v>8663</v>
      </c>
      <c r="K7085" s="337"/>
      <c r="L7085" s="334">
        <v>-247</v>
      </c>
      <c r="M7085" s="338"/>
      <c r="N7085" s="362">
        <f t="shared" ref="N7085:N7148" si="245">L7085+M7085</f>
        <v>-247</v>
      </c>
      <c r="X7085" s="339"/>
    </row>
    <row r="7086" s="330" customFormat="1" ht="15" customHeight="1" spans="1:24">
      <c r="A7086" s="334"/>
      <c r="B7086" s="348" t="s">
        <v>58</v>
      </c>
      <c r="C7086" s="348" t="s">
        <v>109</v>
      </c>
      <c r="D7086" s="334" t="s">
        <v>110</v>
      </c>
      <c r="E7086" s="393">
        <v>43708</v>
      </c>
      <c r="F7086" s="336"/>
      <c r="G7086" s="336" t="s">
        <v>40</v>
      </c>
      <c r="H7086" s="334" t="s">
        <v>15506</v>
      </c>
      <c r="I7086" s="356">
        <v>13162521809</v>
      </c>
      <c r="J7086" s="348" t="s">
        <v>15507</v>
      </c>
      <c r="K7086" s="337"/>
      <c r="L7086" s="334">
        <v>-255</v>
      </c>
      <c r="M7086" s="338"/>
      <c r="N7086" s="362">
        <f t="shared" si="245"/>
        <v>-255</v>
      </c>
      <c r="X7086" s="339"/>
    </row>
    <row r="7087" s="330" customFormat="1" ht="15" customHeight="1" spans="1:24">
      <c r="A7087" s="334"/>
      <c r="B7087" s="348" t="s">
        <v>58</v>
      </c>
      <c r="C7087" s="348" t="s">
        <v>109</v>
      </c>
      <c r="D7087" s="334" t="s">
        <v>75</v>
      </c>
      <c r="E7087" s="393">
        <v>43708</v>
      </c>
      <c r="F7087" s="336"/>
      <c r="G7087" s="336" t="s">
        <v>40</v>
      </c>
      <c r="H7087" s="334" t="s">
        <v>7678</v>
      </c>
      <c r="I7087" s="334">
        <v>13681909498</v>
      </c>
      <c r="J7087" s="334" t="s">
        <v>7679</v>
      </c>
      <c r="K7087" s="337"/>
      <c r="L7087" s="334">
        <v>-904</v>
      </c>
      <c r="M7087" s="338"/>
      <c r="N7087" s="362">
        <f t="shared" si="245"/>
        <v>-904</v>
      </c>
      <c r="X7087" s="339"/>
    </row>
    <row r="7088" s="330" customFormat="1" ht="15" customHeight="1" spans="1:24">
      <c r="A7088" s="334"/>
      <c r="B7088" s="348" t="s">
        <v>58</v>
      </c>
      <c r="C7088" s="348" t="s">
        <v>342</v>
      </c>
      <c r="D7088" s="334" t="s">
        <v>110</v>
      </c>
      <c r="E7088" s="393">
        <v>43708</v>
      </c>
      <c r="F7088" s="336"/>
      <c r="G7088" s="336" t="s">
        <v>40</v>
      </c>
      <c r="H7088" s="334" t="s">
        <v>15508</v>
      </c>
      <c r="I7088" s="356">
        <v>13901631848</v>
      </c>
      <c r="J7088" s="348" t="s">
        <v>15509</v>
      </c>
      <c r="K7088" s="337"/>
      <c r="L7088" s="334">
        <v>-304</v>
      </c>
      <c r="M7088" s="338"/>
      <c r="N7088" s="362">
        <f t="shared" si="245"/>
        <v>-304</v>
      </c>
      <c r="X7088" s="339"/>
    </row>
    <row r="7089" s="330" customFormat="1" ht="15" customHeight="1" spans="1:24">
      <c r="A7089" s="334"/>
      <c r="B7089" s="348" t="s">
        <v>58</v>
      </c>
      <c r="C7089" s="348" t="s">
        <v>347</v>
      </c>
      <c r="D7089" s="334" t="s">
        <v>75</v>
      </c>
      <c r="E7089" s="393">
        <v>43708</v>
      </c>
      <c r="F7089" s="336"/>
      <c r="G7089" s="336" t="s">
        <v>40</v>
      </c>
      <c r="H7089" s="334" t="s">
        <v>15510</v>
      </c>
      <c r="I7089" s="356">
        <v>13585883801</v>
      </c>
      <c r="J7089" s="348" t="s">
        <v>15511</v>
      </c>
      <c r="K7089" s="337"/>
      <c r="L7089" s="334">
        <v>-6055</v>
      </c>
      <c r="M7089" s="338"/>
      <c r="N7089" s="362">
        <f t="shared" si="245"/>
        <v>-6055</v>
      </c>
      <c r="X7089" s="339"/>
    </row>
    <row r="7090" s="330" customFormat="1" ht="15" customHeight="1" spans="1:24">
      <c r="A7090" s="334"/>
      <c r="B7090" s="348" t="s">
        <v>58</v>
      </c>
      <c r="C7090" s="348" t="s">
        <v>347</v>
      </c>
      <c r="D7090" s="334" t="s">
        <v>75</v>
      </c>
      <c r="E7090" s="393">
        <v>43708</v>
      </c>
      <c r="F7090" s="336"/>
      <c r="G7090" s="336" t="s">
        <v>40</v>
      </c>
      <c r="H7090" s="334" t="s">
        <v>15512</v>
      </c>
      <c r="I7090" s="348">
        <v>13671600924</v>
      </c>
      <c r="J7090" s="348" t="s">
        <v>15513</v>
      </c>
      <c r="K7090" s="337"/>
      <c r="L7090" s="334">
        <v>-349</v>
      </c>
      <c r="M7090" s="338"/>
      <c r="N7090" s="362">
        <f t="shared" si="245"/>
        <v>-349</v>
      </c>
      <c r="X7090" s="339"/>
    </row>
    <row r="7091" s="330" customFormat="1" ht="15" customHeight="1" spans="1:24">
      <c r="A7091" s="334"/>
      <c r="B7091" s="348" t="s">
        <v>58</v>
      </c>
      <c r="C7091" s="334" t="s">
        <v>347</v>
      </c>
      <c r="D7091" s="334" t="s">
        <v>75</v>
      </c>
      <c r="E7091" s="393">
        <v>43708</v>
      </c>
      <c r="F7091" s="336"/>
      <c r="G7091" s="336" t="s">
        <v>40</v>
      </c>
      <c r="H7091" s="334" t="s">
        <v>15514</v>
      </c>
      <c r="I7091" s="356">
        <v>13482821584</v>
      </c>
      <c r="J7091" s="348" t="s">
        <v>15515</v>
      </c>
      <c r="K7091" s="337"/>
      <c r="L7091" s="334">
        <v>-940</v>
      </c>
      <c r="M7091" s="338"/>
      <c r="N7091" s="362">
        <f t="shared" si="245"/>
        <v>-940</v>
      </c>
      <c r="X7091" s="339"/>
    </row>
    <row r="7092" s="330" customFormat="1" ht="15" customHeight="1" spans="1:24">
      <c r="A7092" s="334"/>
      <c r="B7092" s="348" t="s">
        <v>58</v>
      </c>
      <c r="C7092" s="348" t="s">
        <v>59</v>
      </c>
      <c r="D7092" s="334" t="s">
        <v>139</v>
      </c>
      <c r="E7092" s="393">
        <v>43708</v>
      </c>
      <c r="F7092" s="336"/>
      <c r="G7092" s="336" t="s">
        <v>40</v>
      </c>
      <c r="H7092" s="351" t="s">
        <v>15516</v>
      </c>
      <c r="I7092" s="356">
        <v>17521524456</v>
      </c>
      <c r="J7092" s="348" t="s">
        <v>15517</v>
      </c>
      <c r="K7092" s="337"/>
      <c r="L7092" s="334">
        <v>-200</v>
      </c>
      <c r="M7092" s="338"/>
      <c r="N7092" s="362">
        <f t="shared" si="245"/>
        <v>-200</v>
      </c>
      <c r="X7092" s="339"/>
    </row>
    <row r="7093" s="330" customFormat="1" ht="15" customHeight="1" spans="1:24">
      <c r="A7093" s="334"/>
      <c r="B7093" s="348" t="s">
        <v>58</v>
      </c>
      <c r="C7093" s="334" t="s">
        <v>109</v>
      </c>
      <c r="D7093" s="334" t="s">
        <v>343</v>
      </c>
      <c r="E7093" s="393">
        <v>43708</v>
      </c>
      <c r="F7093" s="336"/>
      <c r="G7093" s="336" t="s">
        <v>40</v>
      </c>
      <c r="H7093" s="334" t="s">
        <v>15518</v>
      </c>
      <c r="I7093" s="356">
        <v>18621562593</v>
      </c>
      <c r="J7093" s="348" t="s">
        <v>15519</v>
      </c>
      <c r="K7093" s="337"/>
      <c r="L7093" s="334">
        <v>-100</v>
      </c>
      <c r="M7093" s="338"/>
      <c r="N7093" s="362">
        <f t="shared" si="245"/>
        <v>-100</v>
      </c>
      <c r="X7093" s="339"/>
    </row>
    <row r="7094" s="330" customFormat="1" ht="15" customHeight="1" spans="1:24">
      <c r="A7094" s="334"/>
      <c r="B7094" s="348" t="s">
        <v>58</v>
      </c>
      <c r="C7094" s="348" t="s">
        <v>109</v>
      </c>
      <c r="D7094" s="334" t="s">
        <v>110</v>
      </c>
      <c r="E7094" s="393">
        <v>43708</v>
      </c>
      <c r="F7094" s="336"/>
      <c r="G7094" s="336" t="s">
        <v>40</v>
      </c>
      <c r="H7094" s="334" t="s">
        <v>6793</v>
      </c>
      <c r="I7094" s="356" t="s">
        <v>15520</v>
      </c>
      <c r="J7094" s="348" t="s">
        <v>15521</v>
      </c>
      <c r="K7094" s="337"/>
      <c r="L7094" s="334">
        <v>-100</v>
      </c>
      <c r="M7094" s="338"/>
      <c r="N7094" s="362">
        <f t="shared" si="245"/>
        <v>-100</v>
      </c>
      <c r="X7094" s="339"/>
    </row>
    <row r="7095" s="330" customFormat="1" ht="15" customHeight="1" spans="1:24">
      <c r="A7095" s="334"/>
      <c r="B7095" s="348" t="s">
        <v>58</v>
      </c>
      <c r="C7095" s="348" t="s">
        <v>342</v>
      </c>
      <c r="D7095" s="334" t="s">
        <v>110</v>
      </c>
      <c r="E7095" s="393">
        <v>43708</v>
      </c>
      <c r="F7095" s="336"/>
      <c r="G7095" s="336" t="s">
        <v>40</v>
      </c>
      <c r="H7095" s="334" t="s">
        <v>2418</v>
      </c>
      <c r="I7095" s="356">
        <v>13788989838</v>
      </c>
      <c r="J7095" s="348" t="s">
        <v>15522</v>
      </c>
      <c r="K7095" s="337"/>
      <c r="L7095" s="334">
        <v>-200</v>
      </c>
      <c r="M7095" s="338"/>
      <c r="N7095" s="362">
        <f t="shared" si="245"/>
        <v>-200</v>
      </c>
      <c r="X7095" s="339"/>
    </row>
    <row r="7096" s="330" customFormat="1" ht="15" customHeight="1" spans="1:24">
      <c r="A7096" s="334"/>
      <c r="B7096" s="334" t="s">
        <v>315</v>
      </c>
      <c r="C7096" s="334" t="s">
        <v>366</v>
      </c>
      <c r="D7096" s="334" t="s">
        <v>132</v>
      </c>
      <c r="E7096" s="393">
        <v>43708</v>
      </c>
      <c r="F7096" s="336"/>
      <c r="G7096" s="336" t="s">
        <v>40</v>
      </c>
      <c r="H7096" s="334" t="s">
        <v>15523</v>
      </c>
      <c r="I7096" s="334">
        <v>15702152696</v>
      </c>
      <c r="J7096" s="334" t="s">
        <v>15524</v>
      </c>
      <c r="K7096" s="337"/>
      <c r="L7096" s="334">
        <v>-358</v>
      </c>
      <c r="M7096" s="338"/>
      <c r="N7096" s="362">
        <f t="shared" si="245"/>
        <v>-358</v>
      </c>
      <c r="X7096" s="339"/>
    </row>
    <row r="7097" s="330" customFormat="1" ht="15" customHeight="1" spans="1:24">
      <c r="A7097" s="334"/>
      <c r="B7097" s="348" t="s">
        <v>160</v>
      </c>
      <c r="C7097" s="348" t="s">
        <v>258</v>
      </c>
      <c r="D7097" s="334" t="s">
        <v>149</v>
      </c>
      <c r="E7097" s="393">
        <v>43708</v>
      </c>
      <c r="F7097" s="336"/>
      <c r="G7097" s="336" t="s">
        <v>40</v>
      </c>
      <c r="H7097" s="334" t="s">
        <v>15525</v>
      </c>
      <c r="I7097" s="356">
        <v>13061769193</v>
      </c>
      <c r="J7097" s="348" t="s">
        <v>15526</v>
      </c>
      <c r="K7097" s="337"/>
      <c r="L7097" s="334">
        <v>-1829</v>
      </c>
      <c r="M7097" s="338"/>
      <c r="N7097" s="362">
        <f t="shared" si="245"/>
        <v>-1829</v>
      </c>
      <c r="X7097" s="339"/>
    </row>
    <row r="7098" s="330" customFormat="1" ht="15" customHeight="1" spans="1:24">
      <c r="A7098" s="334"/>
      <c r="B7098" s="348" t="s">
        <v>315</v>
      </c>
      <c r="C7098" s="348" t="s">
        <v>181</v>
      </c>
      <c r="D7098" s="334" t="s">
        <v>149</v>
      </c>
      <c r="E7098" s="393">
        <v>43708</v>
      </c>
      <c r="F7098" s="336"/>
      <c r="G7098" s="336" t="s">
        <v>40</v>
      </c>
      <c r="H7098" s="334" t="s">
        <v>15527</v>
      </c>
      <c r="I7098" s="356">
        <v>18016293165</v>
      </c>
      <c r="J7098" s="348" t="s">
        <v>15528</v>
      </c>
      <c r="K7098" s="337"/>
      <c r="L7098" s="334">
        <v>-351</v>
      </c>
      <c r="M7098" s="338"/>
      <c r="N7098" s="362">
        <f t="shared" si="245"/>
        <v>-351</v>
      </c>
      <c r="X7098" s="339"/>
    </row>
    <row r="7099" s="330" customFormat="1" ht="15" customHeight="1" spans="1:24">
      <c r="A7099" s="334"/>
      <c r="B7099" s="348" t="s">
        <v>130</v>
      </c>
      <c r="C7099" s="348" t="s">
        <v>230</v>
      </c>
      <c r="D7099" s="334" t="s">
        <v>182</v>
      </c>
      <c r="E7099" s="393">
        <v>43708</v>
      </c>
      <c r="F7099" s="336"/>
      <c r="G7099" s="336" t="s">
        <v>40</v>
      </c>
      <c r="H7099" s="334" t="s">
        <v>15529</v>
      </c>
      <c r="I7099" s="356">
        <v>13901849623</v>
      </c>
      <c r="J7099" s="348" t="s">
        <v>15530</v>
      </c>
      <c r="K7099" s="337"/>
      <c r="L7099" s="334">
        <v>-100</v>
      </c>
      <c r="M7099" s="338"/>
      <c r="N7099" s="362">
        <f t="shared" si="245"/>
        <v>-100</v>
      </c>
      <c r="X7099" s="339"/>
    </row>
    <row r="7100" s="330" customFormat="1" ht="15" customHeight="1" spans="1:24">
      <c r="A7100" s="334"/>
      <c r="B7100" s="348" t="s">
        <v>31</v>
      </c>
      <c r="C7100" s="348" t="s">
        <v>419</v>
      </c>
      <c r="D7100" s="334" t="s">
        <v>33</v>
      </c>
      <c r="E7100" s="393">
        <v>43708</v>
      </c>
      <c r="F7100" s="336"/>
      <c r="G7100" s="336" t="s">
        <v>40</v>
      </c>
      <c r="H7100" s="334" t="s">
        <v>15531</v>
      </c>
      <c r="I7100" s="356">
        <v>13651822518</v>
      </c>
      <c r="J7100" s="348" t="s">
        <v>15532</v>
      </c>
      <c r="K7100" s="337"/>
      <c r="L7100" s="334">
        <v>-235</v>
      </c>
      <c r="M7100" s="338"/>
      <c r="N7100" s="362">
        <f t="shared" si="245"/>
        <v>-235</v>
      </c>
      <c r="X7100" s="339"/>
    </row>
    <row r="7101" s="330" customFormat="1" ht="15" customHeight="1" spans="1:24">
      <c r="A7101" s="334"/>
      <c r="B7101" s="348" t="s">
        <v>31</v>
      </c>
      <c r="C7101" s="348" t="s">
        <v>419</v>
      </c>
      <c r="D7101" s="334" t="s">
        <v>33</v>
      </c>
      <c r="E7101" s="393">
        <v>43708</v>
      </c>
      <c r="F7101" s="336"/>
      <c r="G7101" s="336" t="s">
        <v>40</v>
      </c>
      <c r="H7101" s="334" t="s">
        <v>15533</v>
      </c>
      <c r="I7101" s="356">
        <v>13501808472</v>
      </c>
      <c r="J7101" s="348" t="s">
        <v>15534</v>
      </c>
      <c r="K7101" s="337"/>
      <c r="L7101" s="334">
        <v>-274</v>
      </c>
      <c r="M7101" s="338"/>
      <c r="N7101" s="362">
        <f t="shared" si="245"/>
        <v>-274</v>
      </c>
      <c r="X7101" s="339"/>
    </row>
    <row r="7102" s="330" customFormat="1" ht="15" customHeight="1" spans="1:24">
      <c r="A7102" s="334"/>
      <c r="B7102" s="348" t="s">
        <v>31</v>
      </c>
      <c r="C7102" s="348" t="s">
        <v>220</v>
      </c>
      <c r="D7102" s="334" t="s">
        <v>33</v>
      </c>
      <c r="E7102" s="393">
        <v>43708</v>
      </c>
      <c r="F7102" s="336"/>
      <c r="G7102" s="336" t="s">
        <v>40</v>
      </c>
      <c r="H7102" s="334" t="s">
        <v>5509</v>
      </c>
      <c r="I7102" s="444">
        <v>15921252157</v>
      </c>
      <c r="J7102" s="348" t="s">
        <v>15535</v>
      </c>
      <c r="K7102" s="337"/>
      <c r="L7102" s="334">
        <v>-439</v>
      </c>
      <c r="M7102" s="338"/>
      <c r="N7102" s="362">
        <f t="shared" si="245"/>
        <v>-439</v>
      </c>
      <c r="X7102" s="339"/>
    </row>
    <row r="7103" s="330" customFormat="1" ht="15" customHeight="1" spans="1:24">
      <c r="A7103" s="334"/>
      <c r="B7103" s="348" t="s">
        <v>31</v>
      </c>
      <c r="C7103" s="348" t="s">
        <v>220</v>
      </c>
      <c r="D7103" s="334" t="s">
        <v>33</v>
      </c>
      <c r="E7103" s="393">
        <v>43708</v>
      </c>
      <c r="F7103" s="336"/>
      <c r="G7103" s="336" t="s">
        <v>40</v>
      </c>
      <c r="H7103" s="334" t="s">
        <v>15536</v>
      </c>
      <c r="I7103" s="356">
        <v>18621787729</v>
      </c>
      <c r="J7103" s="348" t="s">
        <v>15537</v>
      </c>
      <c r="K7103" s="337"/>
      <c r="L7103" s="334">
        <v>-235</v>
      </c>
      <c r="M7103" s="338"/>
      <c r="N7103" s="362">
        <f t="shared" si="245"/>
        <v>-235</v>
      </c>
      <c r="X7103" s="339"/>
    </row>
    <row r="7104" s="330" customFormat="1" ht="15" customHeight="1" spans="1:24">
      <c r="A7104" s="334"/>
      <c r="B7104" s="348" t="s">
        <v>31</v>
      </c>
      <c r="C7104" s="348" t="s">
        <v>32</v>
      </c>
      <c r="D7104" s="334" t="s">
        <v>44</v>
      </c>
      <c r="E7104" s="393">
        <v>43708</v>
      </c>
      <c r="F7104" s="336"/>
      <c r="G7104" s="336" t="s">
        <v>40</v>
      </c>
      <c r="H7104" s="334" t="s">
        <v>15538</v>
      </c>
      <c r="I7104" s="356">
        <v>13901793815</v>
      </c>
      <c r="J7104" s="348" t="s">
        <v>15539</v>
      </c>
      <c r="K7104" s="337"/>
      <c r="L7104" s="334">
        <v>-527</v>
      </c>
      <c r="M7104" s="338"/>
      <c r="N7104" s="362">
        <f t="shared" si="245"/>
        <v>-527</v>
      </c>
      <c r="X7104" s="339"/>
    </row>
    <row r="7105" s="330" customFormat="1" ht="15" customHeight="1" spans="1:24">
      <c r="A7105" s="334"/>
      <c r="B7105" s="348" t="s">
        <v>31</v>
      </c>
      <c r="C7105" s="348" t="s">
        <v>251</v>
      </c>
      <c r="D7105" s="334" t="s">
        <v>221</v>
      </c>
      <c r="E7105" s="393">
        <v>43708</v>
      </c>
      <c r="F7105" s="336"/>
      <c r="G7105" s="336" t="s">
        <v>40</v>
      </c>
      <c r="H7105" s="334" t="s">
        <v>15540</v>
      </c>
      <c r="I7105" s="356" t="s">
        <v>5669</v>
      </c>
      <c r="J7105" s="348" t="s">
        <v>5670</v>
      </c>
      <c r="K7105" s="337"/>
      <c r="L7105" s="334">
        <v>-263</v>
      </c>
      <c r="M7105" s="338"/>
      <c r="N7105" s="362">
        <f t="shared" si="245"/>
        <v>-263</v>
      </c>
      <c r="X7105" s="339"/>
    </row>
    <row r="7106" s="330" customFormat="1" ht="15" customHeight="1" spans="1:24">
      <c r="A7106" s="334"/>
      <c r="B7106" s="348" t="s">
        <v>35</v>
      </c>
      <c r="C7106" s="348" t="s">
        <v>392</v>
      </c>
      <c r="D7106" s="334" t="s">
        <v>37</v>
      </c>
      <c r="E7106" s="393">
        <v>43708</v>
      </c>
      <c r="F7106" s="336"/>
      <c r="G7106" s="336" t="s">
        <v>40</v>
      </c>
      <c r="H7106" s="334" t="s">
        <v>15541</v>
      </c>
      <c r="I7106" s="356">
        <v>15061543258</v>
      </c>
      <c r="J7106" s="348" t="s">
        <v>6189</v>
      </c>
      <c r="K7106" s="337"/>
      <c r="L7106" s="334">
        <v>-878</v>
      </c>
      <c r="M7106" s="338"/>
      <c r="N7106" s="362">
        <f t="shared" si="245"/>
        <v>-878</v>
      </c>
      <c r="X7106" s="339"/>
    </row>
    <row r="7107" s="330" customFormat="1" ht="15" customHeight="1" spans="1:24">
      <c r="A7107" s="334"/>
      <c r="B7107" s="348" t="s">
        <v>31</v>
      </c>
      <c r="C7107" s="348" t="s">
        <v>419</v>
      </c>
      <c r="D7107" s="334" t="s">
        <v>162</v>
      </c>
      <c r="E7107" s="393">
        <v>43708</v>
      </c>
      <c r="F7107" s="336"/>
      <c r="G7107" s="336" t="s">
        <v>40</v>
      </c>
      <c r="H7107" s="334" t="s">
        <v>12028</v>
      </c>
      <c r="I7107" s="356">
        <v>13645995706</v>
      </c>
      <c r="J7107" s="348" t="s">
        <v>15542</v>
      </c>
      <c r="K7107" s="337"/>
      <c r="L7107" s="334">
        <v>-172</v>
      </c>
      <c r="M7107" s="338"/>
      <c r="N7107" s="362">
        <f t="shared" si="245"/>
        <v>-172</v>
      </c>
      <c r="X7107" s="339"/>
    </row>
    <row r="7108" s="330" customFormat="1" ht="15" customHeight="1" spans="1:24">
      <c r="A7108" s="334"/>
      <c r="B7108" s="348" t="s">
        <v>31</v>
      </c>
      <c r="C7108" s="334" t="s">
        <v>419</v>
      </c>
      <c r="D7108" s="334" t="s">
        <v>33</v>
      </c>
      <c r="E7108" s="393">
        <v>43708</v>
      </c>
      <c r="F7108" s="336"/>
      <c r="G7108" s="336" t="s">
        <v>40</v>
      </c>
      <c r="H7108" s="334" t="s">
        <v>15543</v>
      </c>
      <c r="I7108" s="356">
        <v>13524328612</v>
      </c>
      <c r="J7108" s="348" t="s">
        <v>15544</v>
      </c>
      <c r="K7108" s="337"/>
      <c r="L7108" s="334">
        <v>-742</v>
      </c>
      <c r="M7108" s="338"/>
      <c r="N7108" s="362">
        <f t="shared" si="245"/>
        <v>-742</v>
      </c>
      <c r="X7108" s="339"/>
    </row>
    <row r="7109" s="330" customFormat="1" ht="15" customHeight="1" spans="1:24">
      <c r="A7109" s="334"/>
      <c r="B7109" s="348" t="s">
        <v>31</v>
      </c>
      <c r="C7109" s="348" t="s">
        <v>251</v>
      </c>
      <c r="D7109" s="334" t="s">
        <v>162</v>
      </c>
      <c r="E7109" s="393">
        <v>43708</v>
      </c>
      <c r="F7109" s="336"/>
      <c r="G7109" s="336" t="s">
        <v>40</v>
      </c>
      <c r="H7109" s="334" t="s">
        <v>15545</v>
      </c>
      <c r="I7109" s="356">
        <v>13482528578</v>
      </c>
      <c r="J7109" s="348" t="s">
        <v>15546</v>
      </c>
      <c r="K7109" s="337"/>
      <c r="L7109" s="334">
        <v>-260</v>
      </c>
      <c r="M7109" s="338"/>
      <c r="N7109" s="362">
        <f t="shared" si="245"/>
        <v>-260</v>
      </c>
      <c r="X7109" s="339"/>
    </row>
    <row r="7110" s="330" customFormat="1" ht="15" customHeight="1" spans="1:24">
      <c r="A7110" s="334"/>
      <c r="B7110" s="348" t="s">
        <v>169</v>
      </c>
      <c r="C7110" s="348" t="s">
        <v>542</v>
      </c>
      <c r="D7110" s="334" t="s">
        <v>171</v>
      </c>
      <c r="E7110" s="393">
        <v>43708</v>
      </c>
      <c r="F7110" s="336"/>
      <c r="G7110" s="336" t="s">
        <v>40</v>
      </c>
      <c r="H7110" s="334" t="s">
        <v>15547</v>
      </c>
      <c r="I7110" s="356" t="s">
        <v>15548</v>
      </c>
      <c r="J7110" s="348" t="s">
        <v>15549</v>
      </c>
      <c r="K7110" s="337"/>
      <c r="L7110" s="334">
        <v>-240</v>
      </c>
      <c r="M7110" s="338"/>
      <c r="N7110" s="362">
        <f t="shared" si="245"/>
        <v>-240</v>
      </c>
      <c r="X7110" s="339"/>
    </row>
    <row r="7111" s="330" customFormat="1" ht="15" customHeight="1" spans="1:24">
      <c r="A7111" s="334"/>
      <c r="B7111" s="348" t="s">
        <v>169</v>
      </c>
      <c r="C7111" s="348" t="s">
        <v>634</v>
      </c>
      <c r="D7111" s="334" t="s">
        <v>635</v>
      </c>
      <c r="E7111" s="393">
        <v>43708</v>
      </c>
      <c r="F7111" s="336"/>
      <c r="G7111" s="336" t="s">
        <v>40</v>
      </c>
      <c r="H7111" s="334" t="s">
        <v>5712</v>
      </c>
      <c r="I7111" s="356">
        <v>15924347158</v>
      </c>
      <c r="J7111" s="348" t="s">
        <v>5713</v>
      </c>
      <c r="K7111" s="337"/>
      <c r="L7111" s="334">
        <v>-75</v>
      </c>
      <c r="M7111" s="338"/>
      <c r="N7111" s="362">
        <f t="shared" si="245"/>
        <v>-75</v>
      </c>
      <c r="X7111" s="339"/>
    </row>
    <row r="7112" s="330" customFormat="1" ht="15" customHeight="1" spans="1:24">
      <c r="A7112" s="334"/>
      <c r="B7112" s="348" t="s">
        <v>169</v>
      </c>
      <c r="C7112" s="348" t="s">
        <v>542</v>
      </c>
      <c r="D7112" s="334" t="s">
        <v>171</v>
      </c>
      <c r="E7112" s="393">
        <v>43708</v>
      </c>
      <c r="F7112" s="336"/>
      <c r="G7112" s="336" t="s">
        <v>40</v>
      </c>
      <c r="H7112" s="334" t="s">
        <v>15550</v>
      </c>
      <c r="I7112" s="356">
        <v>13601754212</v>
      </c>
      <c r="J7112" s="348" t="s">
        <v>15551</v>
      </c>
      <c r="K7112" s="337"/>
      <c r="L7112" s="334">
        <v>-100</v>
      </c>
      <c r="M7112" s="338"/>
      <c r="N7112" s="362">
        <f t="shared" si="245"/>
        <v>-100</v>
      </c>
      <c r="X7112" s="339"/>
    </row>
    <row r="7113" s="330" customFormat="1" ht="15" customHeight="1" spans="1:24">
      <c r="A7113" s="334"/>
      <c r="B7113" s="334" t="s">
        <v>66</v>
      </c>
      <c r="C7113" s="334" t="s">
        <v>119</v>
      </c>
      <c r="D7113" s="334" t="s">
        <v>143</v>
      </c>
      <c r="E7113" s="393">
        <v>43708</v>
      </c>
      <c r="F7113" s="336"/>
      <c r="G7113" s="336" t="s">
        <v>40</v>
      </c>
      <c r="H7113" s="334" t="s">
        <v>15552</v>
      </c>
      <c r="I7113" s="356">
        <v>13601904610</v>
      </c>
      <c r="J7113" s="348" t="s">
        <v>15553</v>
      </c>
      <c r="K7113" s="337"/>
      <c r="L7113" s="334">
        <v>-424</v>
      </c>
      <c r="M7113" s="338"/>
      <c r="N7113" s="362">
        <f t="shared" si="245"/>
        <v>-424</v>
      </c>
      <c r="X7113" s="339"/>
    </row>
    <row r="7114" s="330" customFormat="1" ht="15" customHeight="1" spans="1:24">
      <c r="A7114" s="334"/>
      <c r="B7114" s="348" t="s">
        <v>66</v>
      </c>
      <c r="C7114" s="348" t="s">
        <v>67</v>
      </c>
      <c r="D7114" s="334" t="s">
        <v>68</v>
      </c>
      <c r="E7114" s="393">
        <v>43708</v>
      </c>
      <c r="F7114" s="336"/>
      <c r="G7114" s="336" t="s">
        <v>40</v>
      </c>
      <c r="H7114" s="334" t="s">
        <v>15554</v>
      </c>
      <c r="I7114" s="356">
        <v>13641726190</v>
      </c>
      <c r="J7114" s="348" t="s">
        <v>15555</v>
      </c>
      <c r="K7114" s="337"/>
      <c r="L7114" s="334">
        <v>-402</v>
      </c>
      <c r="M7114" s="338"/>
      <c r="N7114" s="362">
        <f t="shared" si="245"/>
        <v>-402</v>
      </c>
      <c r="X7114" s="339"/>
    </row>
    <row r="7115" s="330" customFormat="1" ht="15" customHeight="1" spans="1:24">
      <c r="A7115" s="334"/>
      <c r="B7115" s="348" t="s">
        <v>66</v>
      </c>
      <c r="C7115" s="348" t="s">
        <v>505</v>
      </c>
      <c r="D7115" s="334" t="s">
        <v>68</v>
      </c>
      <c r="E7115" s="393">
        <v>43708</v>
      </c>
      <c r="F7115" s="336"/>
      <c r="G7115" s="336" t="s">
        <v>40</v>
      </c>
      <c r="H7115" s="334" t="s">
        <v>15556</v>
      </c>
      <c r="I7115" s="356">
        <v>13564843025</v>
      </c>
      <c r="J7115" s="348" t="s">
        <v>15557</v>
      </c>
      <c r="K7115" s="337"/>
      <c r="L7115" s="334">
        <v>-176</v>
      </c>
      <c r="M7115" s="338"/>
      <c r="N7115" s="362">
        <f t="shared" si="245"/>
        <v>-176</v>
      </c>
      <c r="X7115" s="339"/>
    </row>
    <row r="7116" s="330" customFormat="1" ht="15" customHeight="1" spans="1:24">
      <c r="A7116" s="334"/>
      <c r="B7116" s="348" t="s">
        <v>66</v>
      </c>
      <c r="C7116" s="348" t="s">
        <v>67</v>
      </c>
      <c r="D7116" s="334" t="s">
        <v>68</v>
      </c>
      <c r="E7116" s="393">
        <v>43708</v>
      </c>
      <c r="F7116" s="336"/>
      <c r="G7116" s="336" t="s">
        <v>40</v>
      </c>
      <c r="H7116" s="334" t="s">
        <v>2181</v>
      </c>
      <c r="I7116" s="444">
        <v>18017756168</v>
      </c>
      <c r="J7116" s="348" t="s">
        <v>2182</v>
      </c>
      <c r="K7116" s="337"/>
      <c r="L7116" s="334">
        <v>-254</v>
      </c>
      <c r="M7116" s="338"/>
      <c r="N7116" s="362">
        <f t="shared" si="245"/>
        <v>-254</v>
      </c>
      <c r="X7116" s="339"/>
    </row>
    <row r="7117" s="330" customFormat="1" ht="15" customHeight="1" spans="1:24">
      <c r="A7117" s="334"/>
      <c r="B7117" s="348" t="s">
        <v>66</v>
      </c>
      <c r="C7117" s="348" t="s">
        <v>119</v>
      </c>
      <c r="D7117" s="334" t="s">
        <v>68</v>
      </c>
      <c r="E7117" s="393">
        <v>43708</v>
      </c>
      <c r="F7117" s="336"/>
      <c r="G7117" s="336" t="s">
        <v>40</v>
      </c>
      <c r="H7117" s="334" t="s">
        <v>15558</v>
      </c>
      <c r="I7117" s="356">
        <v>17321353367</v>
      </c>
      <c r="J7117" s="348" t="s">
        <v>15559</v>
      </c>
      <c r="K7117" s="337"/>
      <c r="L7117" s="334">
        <v>-119</v>
      </c>
      <c r="M7117" s="338"/>
      <c r="N7117" s="362">
        <f t="shared" si="245"/>
        <v>-119</v>
      </c>
      <c r="X7117" s="339"/>
    </row>
    <row r="7118" s="330" customFormat="1" ht="15" customHeight="1" spans="1:24">
      <c r="A7118" s="334"/>
      <c r="B7118" s="425" t="s">
        <v>185</v>
      </c>
      <c r="C7118" s="425" t="s">
        <v>319</v>
      </c>
      <c r="D7118" s="334" t="s">
        <v>187</v>
      </c>
      <c r="E7118" s="393">
        <v>43708</v>
      </c>
      <c r="F7118" s="336"/>
      <c r="G7118" s="336" t="s">
        <v>40</v>
      </c>
      <c r="H7118" s="334" t="s">
        <v>7328</v>
      </c>
      <c r="I7118" s="356">
        <v>18321607707</v>
      </c>
      <c r="J7118" s="348" t="s">
        <v>8003</v>
      </c>
      <c r="K7118" s="337"/>
      <c r="L7118" s="334">
        <v>-3870</v>
      </c>
      <c r="M7118" s="338"/>
      <c r="N7118" s="362">
        <f t="shared" si="245"/>
        <v>-3870</v>
      </c>
      <c r="X7118" s="339"/>
    </row>
    <row r="7119" s="330" customFormat="1" ht="15" customHeight="1" spans="1:24">
      <c r="A7119" s="334"/>
      <c r="B7119" s="425" t="s">
        <v>185</v>
      </c>
      <c r="C7119" s="425" t="s">
        <v>886</v>
      </c>
      <c r="D7119" s="334" t="s">
        <v>44</v>
      </c>
      <c r="E7119" s="393">
        <v>43708</v>
      </c>
      <c r="F7119" s="336"/>
      <c r="G7119" s="336" t="s">
        <v>40</v>
      </c>
      <c r="H7119" s="334" t="s">
        <v>15560</v>
      </c>
      <c r="I7119" s="496">
        <v>13761230145</v>
      </c>
      <c r="J7119" s="496" t="s">
        <v>15561</v>
      </c>
      <c r="K7119" s="337"/>
      <c r="L7119" s="334">
        <v>-197</v>
      </c>
      <c r="M7119" s="338"/>
      <c r="N7119" s="362">
        <f t="shared" si="245"/>
        <v>-197</v>
      </c>
      <c r="X7119" s="339"/>
    </row>
    <row r="7120" s="330" customFormat="1" ht="15" customHeight="1" spans="1:24">
      <c r="A7120" s="334"/>
      <c r="B7120" s="348" t="s">
        <v>185</v>
      </c>
      <c r="C7120" s="334" t="s">
        <v>1204</v>
      </c>
      <c r="D7120" s="334" t="s">
        <v>44</v>
      </c>
      <c r="E7120" s="393">
        <v>43708</v>
      </c>
      <c r="F7120" s="336"/>
      <c r="G7120" s="336" t="s">
        <v>40</v>
      </c>
      <c r="H7120" s="334" t="s">
        <v>6267</v>
      </c>
      <c r="I7120" s="356">
        <v>13885123718</v>
      </c>
      <c r="J7120" s="348" t="s">
        <v>6268</v>
      </c>
      <c r="K7120" s="337"/>
      <c r="L7120" s="334">
        <v>-360</v>
      </c>
      <c r="M7120" s="338"/>
      <c r="N7120" s="362">
        <f t="shared" si="245"/>
        <v>-360</v>
      </c>
      <c r="X7120" s="339"/>
    </row>
    <row r="7121" s="330" customFormat="1" ht="15" customHeight="1" spans="1:24">
      <c r="A7121" s="334"/>
      <c r="B7121" s="425" t="s">
        <v>185</v>
      </c>
      <c r="C7121" s="425" t="s">
        <v>186</v>
      </c>
      <c r="D7121" s="334" t="s">
        <v>44</v>
      </c>
      <c r="E7121" s="393">
        <v>43708</v>
      </c>
      <c r="F7121" s="336"/>
      <c r="G7121" s="336" t="s">
        <v>40</v>
      </c>
      <c r="H7121" s="495" t="s">
        <v>15562</v>
      </c>
      <c r="I7121" s="496">
        <v>15221354046</v>
      </c>
      <c r="J7121" s="496" t="s">
        <v>15563</v>
      </c>
      <c r="K7121" s="337"/>
      <c r="L7121" s="334">
        <v>-700</v>
      </c>
      <c r="M7121" s="338"/>
      <c r="N7121" s="362">
        <f t="shared" si="245"/>
        <v>-700</v>
      </c>
      <c r="X7121" s="339"/>
    </row>
    <row r="7122" s="330" customFormat="1" ht="15" customHeight="1" spans="1:24">
      <c r="A7122" s="334"/>
      <c r="B7122" s="348" t="s">
        <v>185</v>
      </c>
      <c r="C7122" s="348" t="s">
        <v>186</v>
      </c>
      <c r="D7122" s="334" t="s">
        <v>187</v>
      </c>
      <c r="E7122" s="393">
        <v>43708</v>
      </c>
      <c r="F7122" s="336"/>
      <c r="G7122" s="336" t="s">
        <v>40</v>
      </c>
      <c r="H7122" s="334" t="s">
        <v>15564</v>
      </c>
      <c r="I7122" s="356">
        <v>13801859005</v>
      </c>
      <c r="J7122" s="348" t="s">
        <v>15565</v>
      </c>
      <c r="K7122" s="337"/>
      <c r="L7122" s="334">
        <v>-1146</v>
      </c>
      <c r="M7122" s="338"/>
      <c r="N7122" s="362">
        <f t="shared" si="245"/>
        <v>-1146</v>
      </c>
      <c r="X7122" s="339"/>
    </row>
    <row r="7123" s="330" customFormat="1" ht="15" customHeight="1" spans="1:24">
      <c r="A7123" s="334"/>
      <c r="B7123" s="348" t="s">
        <v>185</v>
      </c>
      <c r="C7123" s="348" t="s">
        <v>1204</v>
      </c>
      <c r="D7123" s="334" t="s">
        <v>187</v>
      </c>
      <c r="E7123" s="393">
        <v>43708</v>
      </c>
      <c r="F7123" s="336"/>
      <c r="G7123" s="336" t="s">
        <v>40</v>
      </c>
      <c r="H7123" s="334" t="s">
        <v>15566</v>
      </c>
      <c r="I7123" s="356">
        <v>15800877388</v>
      </c>
      <c r="J7123" s="348" t="s">
        <v>15567</v>
      </c>
      <c r="K7123" s="337"/>
      <c r="L7123" s="334">
        <v>-693</v>
      </c>
      <c r="M7123" s="338"/>
      <c r="N7123" s="362">
        <f t="shared" si="245"/>
        <v>-693</v>
      </c>
      <c r="X7123" s="339"/>
    </row>
    <row r="7124" s="330" customFormat="1" ht="15" customHeight="1" spans="1:24">
      <c r="A7124" s="334"/>
      <c r="B7124" s="348" t="s">
        <v>185</v>
      </c>
      <c r="C7124" s="348" t="s">
        <v>886</v>
      </c>
      <c r="D7124" s="334" t="s">
        <v>187</v>
      </c>
      <c r="E7124" s="393">
        <v>43708</v>
      </c>
      <c r="F7124" s="336"/>
      <c r="G7124" s="336" t="s">
        <v>40</v>
      </c>
      <c r="H7124" s="334" t="s">
        <v>5386</v>
      </c>
      <c r="I7124" s="444">
        <v>15692182976</v>
      </c>
      <c r="J7124" s="348" t="s">
        <v>5387</v>
      </c>
      <c r="K7124" s="337"/>
      <c r="L7124" s="334">
        <v>-1630</v>
      </c>
      <c r="M7124" s="338"/>
      <c r="N7124" s="362">
        <f t="shared" si="245"/>
        <v>-1630</v>
      </c>
      <c r="X7124" s="339"/>
    </row>
    <row r="7125" s="330" customFormat="1" ht="15" customHeight="1" spans="1:24">
      <c r="A7125" s="334"/>
      <c r="B7125" s="348" t="s">
        <v>185</v>
      </c>
      <c r="C7125" s="348" t="s">
        <v>1133</v>
      </c>
      <c r="D7125" s="334" t="s">
        <v>44</v>
      </c>
      <c r="E7125" s="393">
        <v>43708</v>
      </c>
      <c r="F7125" s="336"/>
      <c r="G7125" s="336" t="s">
        <v>40</v>
      </c>
      <c r="H7125" s="334" t="s">
        <v>15568</v>
      </c>
      <c r="I7125" s="356">
        <v>17717477636</v>
      </c>
      <c r="J7125" s="348" t="s">
        <v>15569</v>
      </c>
      <c r="K7125" s="337"/>
      <c r="L7125" s="334">
        <v>-702</v>
      </c>
      <c r="M7125" s="338"/>
      <c r="N7125" s="362">
        <f t="shared" si="245"/>
        <v>-702</v>
      </c>
      <c r="X7125" s="339"/>
    </row>
    <row r="7126" s="330" customFormat="1" ht="15" customHeight="1" spans="1:24">
      <c r="A7126" s="334"/>
      <c r="B7126" s="348" t="s">
        <v>185</v>
      </c>
      <c r="C7126" s="348" t="s">
        <v>1204</v>
      </c>
      <c r="D7126" s="334" t="s">
        <v>44</v>
      </c>
      <c r="E7126" s="393">
        <v>43708</v>
      </c>
      <c r="F7126" s="336"/>
      <c r="G7126" s="336" t="s">
        <v>40</v>
      </c>
      <c r="H7126" s="334" t="s">
        <v>15570</v>
      </c>
      <c r="I7126" s="444">
        <v>18221409818</v>
      </c>
      <c r="J7126" s="348" t="s">
        <v>15571</v>
      </c>
      <c r="K7126" s="337"/>
      <c r="L7126" s="334">
        <v>-850</v>
      </c>
      <c r="M7126" s="338"/>
      <c r="N7126" s="362">
        <f t="shared" si="245"/>
        <v>-850</v>
      </c>
      <c r="X7126" s="339"/>
    </row>
    <row r="7127" s="330" customFormat="1" ht="15" customHeight="1" spans="1:24">
      <c r="A7127" s="334"/>
      <c r="B7127" s="334" t="s">
        <v>35</v>
      </c>
      <c r="C7127" s="334" t="s">
        <v>15572</v>
      </c>
      <c r="D7127" s="334" t="s">
        <v>187</v>
      </c>
      <c r="E7127" s="393">
        <v>43708</v>
      </c>
      <c r="F7127" s="336"/>
      <c r="G7127" s="336" t="s">
        <v>40</v>
      </c>
      <c r="H7127" s="334" t="s">
        <v>5427</v>
      </c>
      <c r="I7127" s="496">
        <v>13636631500</v>
      </c>
      <c r="J7127" s="496" t="s">
        <v>5428</v>
      </c>
      <c r="K7127" s="337"/>
      <c r="L7127" s="338"/>
      <c r="M7127" s="334">
        <v>-3235</v>
      </c>
      <c r="N7127" s="362">
        <f t="shared" si="245"/>
        <v>-3235</v>
      </c>
      <c r="X7127" s="339"/>
    </row>
    <row r="7128" s="330" customFormat="1" ht="15" customHeight="1" spans="1:24">
      <c r="A7128" s="334"/>
      <c r="B7128" s="348" t="s">
        <v>185</v>
      </c>
      <c r="C7128" s="348" t="s">
        <v>1530</v>
      </c>
      <c r="D7128" s="334" t="s">
        <v>44</v>
      </c>
      <c r="E7128" s="393">
        <v>43708</v>
      </c>
      <c r="F7128" s="336"/>
      <c r="G7128" s="336" t="s">
        <v>40</v>
      </c>
      <c r="H7128" s="334" t="s">
        <v>15573</v>
      </c>
      <c r="I7128" s="356">
        <v>13916661631</v>
      </c>
      <c r="J7128" s="348" t="s">
        <v>15574</v>
      </c>
      <c r="K7128" s="337"/>
      <c r="L7128" s="334">
        <v>-201</v>
      </c>
      <c r="M7128" s="338"/>
      <c r="N7128" s="362">
        <f t="shared" si="245"/>
        <v>-201</v>
      </c>
      <c r="X7128" s="339"/>
    </row>
    <row r="7129" s="330" customFormat="1" ht="15" customHeight="1" spans="1:24">
      <c r="A7129" s="334"/>
      <c r="B7129" s="334" t="s">
        <v>185</v>
      </c>
      <c r="C7129" s="334" t="s">
        <v>1530</v>
      </c>
      <c r="D7129" s="334" t="s">
        <v>44</v>
      </c>
      <c r="E7129" s="393">
        <v>43708</v>
      </c>
      <c r="F7129" s="336"/>
      <c r="G7129" s="336" t="s">
        <v>40</v>
      </c>
      <c r="H7129" s="334" t="s">
        <v>15575</v>
      </c>
      <c r="I7129" s="363">
        <v>13817134246</v>
      </c>
      <c r="J7129" s="363" t="s">
        <v>15576</v>
      </c>
      <c r="K7129" s="337"/>
      <c r="L7129" s="334">
        <v>-888</v>
      </c>
      <c r="M7129" s="338"/>
      <c r="N7129" s="362">
        <f t="shared" si="245"/>
        <v>-888</v>
      </c>
      <c r="X7129" s="339"/>
    </row>
    <row r="7130" s="330" customFormat="1" ht="15" customHeight="1" spans="1:24">
      <c r="A7130" s="334"/>
      <c r="B7130" s="348" t="s">
        <v>35</v>
      </c>
      <c r="C7130" s="348" t="s">
        <v>392</v>
      </c>
      <c r="D7130" s="334" t="s">
        <v>37</v>
      </c>
      <c r="E7130" s="393">
        <v>43708</v>
      </c>
      <c r="F7130" s="336"/>
      <c r="G7130" s="336" t="s">
        <v>40</v>
      </c>
      <c r="H7130" s="334" t="s">
        <v>6188</v>
      </c>
      <c r="I7130" s="356">
        <v>15061543258</v>
      </c>
      <c r="J7130" s="348" t="s">
        <v>6189</v>
      </c>
      <c r="K7130" s="337"/>
      <c r="L7130" s="334">
        <v>-200</v>
      </c>
      <c r="M7130" s="338"/>
      <c r="N7130" s="362">
        <f t="shared" si="245"/>
        <v>-200</v>
      </c>
      <c r="X7130" s="339"/>
    </row>
    <row r="7131" s="330" customFormat="1" ht="15" customHeight="1" spans="1:24">
      <c r="A7131" s="334"/>
      <c r="B7131" s="425" t="s">
        <v>87</v>
      </c>
      <c r="C7131" s="425" t="s">
        <v>88</v>
      </c>
      <c r="D7131" s="334" t="s">
        <v>143</v>
      </c>
      <c r="E7131" s="393">
        <v>43708</v>
      </c>
      <c r="F7131" s="336"/>
      <c r="G7131" s="336" t="s">
        <v>40</v>
      </c>
      <c r="H7131" s="334" t="s">
        <v>3725</v>
      </c>
      <c r="I7131" s="496">
        <v>13611742296</v>
      </c>
      <c r="J7131" s="496" t="s">
        <v>15577</v>
      </c>
      <c r="K7131" s="337"/>
      <c r="L7131" s="334">
        <v>-320</v>
      </c>
      <c r="M7131" s="338"/>
      <c r="N7131" s="362">
        <f t="shared" si="245"/>
        <v>-320</v>
      </c>
      <c r="X7131" s="339"/>
    </row>
    <row r="7132" s="330" customFormat="1" ht="15" customHeight="1" spans="1:24">
      <c r="A7132" s="334"/>
      <c r="B7132" s="348" t="s">
        <v>87</v>
      </c>
      <c r="C7132" s="348" t="s">
        <v>88</v>
      </c>
      <c r="D7132" s="334" t="s">
        <v>75</v>
      </c>
      <c r="E7132" s="393">
        <v>43708</v>
      </c>
      <c r="F7132" s="336"/>
      <c r="G7132" s="336" t="s">
        <v>40</v>
      </c>
      <c r="H7132" s="334" t="s">
        <v>12839</v>
      </c>
      <c r="I7132" s="356">
        <v>1348288884</v>
      </c>
      <c r="J7132" s="348" t="s">
        <v>15578</v>
      </c>
      <c r="K7132" s="337"/>
      <c r="L7132" s="334">
        <v>-618</v>
      </c>
      <c r="M7132" s="338"/>
      <c r="N7132" s="362">
        <f t="shared" si="245"/>
        <v>-618</v>
      </c>
      <c r="X7132" s="339"/>
    </row>
    <row r="7133" s="330" customFormat="1" ht="15" customHeight="1" spans="1:24">
      <c r="A7133" s="334"/>
      <c r="B7133" s="348" t="s">
        <v>87</v>
      </c>
      <c r="C7133" s="348" t="s">
        <v>466</v>
      </c>
      <c r="D7133" s="334" t="s">
        <v>1170</v>
      </c>
      <c r="E7133" s="393">
        <v>43708</v>
      </c>
      <c r="F7133" s="336"/>
      <c r="G7133" s="336" t="s">
        <v>40</v>
      </c>
      <c r="H7133" s="334" t="s">
        <v>15579</v>
      </c>
      <c r="I7133" s="356">
        <v>18016459395</v>
      </c>
      <c r="J7133" s="348" t="s">
        <v>15580</v>
      </c>
      <c r="K7133" s="337"/>
      <c r="L7133" s="334">
        <v>-242</v>
      </c>
      <c r="M7133" s="338"/>
      <c r="N7133" s="362">
        <f t="shared" si="245"/>
        <v>-242</v>
      </c>
      <c r="X7133" s="339"/>
    </row>
    <row r="7134" s="330" customFormat="1" ht="15" customHeight="1" spans="1:24">
      <c r="A7134" s="334"/>
      <c r="B7134" s="348" t="s">
        <v>87</v>
      </c>
      <c r="C7134" s="334" t="s">
        <v>199</v>
      </c>
      <c r="D7134" s="334" t="s">
        <v>89</v>
      </c>
      <c r="E7134" s="393">
        <v>43708</v>
      </c>
      <c r="F7134" s="336"/>
      <c r="G7134" s="336" t="s">
        <v>40</v>
      </c>
      <c r="H7134" s="334" t="s">
        <v>2907</v>
      </c>
      <c r="I7134" s="356">
        <v>13817498368</v>
      </c>
      <c r="J7134" s="348" t="s">
        <v>2908</v>
      </c>
      <c r="K7134" s="337"/>
      <c r="L7134" s="334">
        <v>-1853</v>
      </c>
      <c r="M7134" s="338"/>
      <c r="N7134" s="362">
        <f t="shared" si="245"/>
        <v>-1853</v>
      </c>
      <c r="X7134" s="339"/>
    </row>
    <row r="7135" s="330" customFormat="1" ht="15" customHeight="1" spans="1:24">
      <c r="A7135" s="334"/>
      <c r="B7135" s="348" t="s">
        <v>87</v>
      </c>
      <c r="C7135" s="334" t="s">
        <v>1757</v>
      </c>
      <c r="D7135" s="334" t="s">
        <v>171</v>
      </c>
      <c r="E7135" s="393">
        <v>43708</v>
      </c>
      <c r="F7135" s="336"/>
      <c r="G7135" s="336" t="s">
        <v>40</v>
      </c>
      <c r="H7135" s="334" t="s">
        <v>3068</v>
      </c>
      <c r="I7135" s="356">
        <v>18901881862</v>
      </c>
      <c r="J7135" s="348" t="s">
        <v>3069</v>
      </c>
      <c r="K7135" s="337"/>
      <c r="L7135" s="334">
        <v>-3359</v>
      </c>
      <c r="M7135" s="338"/>
      <c r="N7135" s="362">
        <f t="shared" si="245"/>
        <v>-3359</v>
      </c>
      <c r="X7135" s="339"/>
    </row>
    <row r="7136" s="330" customFormat="1" ht="15" customHeight="1" spans="1:24">
      <c r="A7136" s="334"/>
      <c r="B7136" s="348" t="s">
        <v>87</v>
      </c>
      <c r="C7136" s="334" t="s">
        <v>199</v>
      </c>
      <c r="D7136" s="334" t="s">
        <v>143</v>
      </c>
      <c r="E7136" s="393">
        <v>43708</v>
      </c>
      <c r="F7136" s="336"/>
      <c r="G7136" s="336" t="s">
        <v>40</v>
      </c>
      <c r="H7136" s="334" t="s">
        <v>15581</v>
      </c>
      <c r="I7136" s="334">
        <v>13801710823</v>
      </c>
      <c r="J7136" s="334" t="s">
        <v>15582</v>
      </c>
      <c r="K7136" s="337"/>
      <c r="L7136" s="334">
        <v>-320</v>
      </c>
      <c r="M7136" s="338"/>
      <c r="N7136" s="362">
        <f t="shared" si="245"/>
        <v>-320</v>
      </c>
      <c r="X7136" s="339"/>
    </row>
    <row r="7137" s="330" customFormat="1" ht="15" customHeight="1" spans="1:24">
      <c r="A7137" s="334"/>
      <c r="B7137" s="348" t="s">
        <v>87</v>
      </c>
      <c r="C7137" s="348" t="s">
        <v>199</v>
      </c>
      <c r="D7137" s="334" t="s">
        <v>1170</v>
      </c>
      <c r="E7137" s="393">
        <v>43708</v>
      </c>
      <c r="F7137" s="336"/>
      <c r="G7137" s="336" t="s">
        <v>40</v>
      </c>
      <c r="H7137" s="334" t="s">
        <v>15583</v>
      </c>
      <c r="I7137" s="356">
        <v>13585888633</v>
      </c>
      <c r="J7137" s="348" t="s">
        <v>15584</v>
      </c>
      <c r="K7137" s="337"/>
      <c r="L7137" s="334">
        <v>-138</v>
      </c>
      <c r="M7137" s="338"/>
      <c r="N7137" s="362">
        <f t="shared" si="245"/>
        <v>-138</v>
      </c>
      <c r="X7137" s="339"/>
    </row>
    <row r="7138" s="330" customFormat="1" ht="15" customHeight="1" spans="1:24">
      <c r="A7138" s="334"/>
      <c r="B7138" s="348" t="s">
        <v>87</v>
      </c>
      <c r="C7138" s="348" t="s">
        <v>199</v>
      </c>
      <c r="D7138" s="334" t="s">
        <v>1170</v>
      </c>
      <c r="E7138" s="393">
        <v>43708</v>
      </c>
      <c r="F7138" s="336"/>
      <c r="G7138" s="336" t="s">
        <v>40</v>
      </c>
      <c r="H7138" s="334" t="s">
        <v>6068</v>
      </c>
      <c r="I7138" s="356">
        <v>13761752345</v>
      </c>
      <c r="J7138" s="348" t="s">
        <v>6069</v>
      </c>
      <c r="K7138" s="337"/>
      <c r="L7138" s="334">
        <v>-495</v>
      </c>
      <c r="M7138" s="338"/>
      <c r="N7138" s="362">
        <f t="shared" si="245"/>
        <v>-495</v>
      </c>
      <c r="X7138" s="339"/>
    </row>
    <row r="7139" s="330" customFormat="1" ht="15" customHeight="1" spans="1:24">
      <c r="A7139" s="334"/>
      <c r="B7139" s="348" t="s">
        <v>73</v>
      </c>
      <c r="C7139" s="348" t="s">
        <v>74</v>
      </c>
      <c r="D7139" s="334" t="s">
        <v>139</v>
      </c>
      <c r="E7139" s="393">
        <v>43708</v>
      </c>
      <c r="F7139" s="336"/>
      <c r="G7139" s="336" t="s">
        <v>40</v>
      </c>
      <c r="H7139" s="334" t="s">
        <v>15585</v>
      </c>
      <c r="I7139" s="356">
        <v>13795459339</v>
      </c>
      <c r="J7139" s="348" t="s">
        <v>15586</v>
      </c>
      <c r="K7139" s="337"/>
      <c r="L7139" s="334">
        <v>-56</v>
      </c>
      <c r="M7139" s="338"/>
      <c r="N7139" s="362">
        <f t="shared" si="245"/>
        <v>-56</v>
      </c>
      <c r="X7139" s="339"/>
    </row>
    <row r="7140" s="330" customFormat="1" ht="15" customHeight="1" spans="1:24">
      <c r="A7140" s="334"/>
      <c r="B7140" s="334" t="s">
        <v>147</v>
      </c>
      <c r="C7140" s="334" t="s">
        <v>148</v>
      </c>
      <c r="D7140" s="334" t="s">
        <v>337</v>
      </c>
      <c r="E7140" s="393">
        <v>43708</v>
      </c>
      <c r="F7140" s="336"/>
      <c r="G7140" s="336" t="s">
        <v>40</v>
      </c>
      <c r="H7140" s="334" t="s">
        <v>15587</v>
      </c>
      <c r="I7140" s="334">
        <v>13636679859</v>
      </c>
      <c r="J7140" s="334" t="s">
        <v>15588</v>
      </c>
      <c r="K7140" s="337"/>
      <c r="L7140" s="334">
        <v>-949</v>
      </c>
      <c r="M7140" s="338"/>
      <c r="N7140" s="362">
        <f t="shared" si="245"/>
        <v>-949</v>
      </c>
      <c r="X7140" s="339"/>
    </row>
    <row r="7141" s="330" customFormat="1" ht="15" customHeight="1" spans="1:24">
      <c r="A7141" s="334"/>
      <c r="B7141" s="348" t="s">
        <v>335</v>
      </c>
      <c r="C7141" s="348" t="s">
        <v>399</v>
      </c>
      <c r="D7141" s="334" t="s">
        <v>337</v>
      </c>
      <c r="E7141" s="393">
        <v>43708</v>
      </c>
      <c r="F7141" s="336"/>
      <c r="G7141" s="336" t="s">
        <v>40</v>
      </c>
      <c r="H7141" s="334" t="s">
        <v>15589</v>
      </c>
      <c r="I7141" s="356">
        <v>13020133629</v>
      </c>
      <c r="J7141" s="348" t="s">
        <v>15590</v>
      </c>
      <c r="K7141" s="337"/>
      <c r="L7141" s="334">
        <v>-354</v>
      </c>
      <c r="M7141" s="338"/>
      <c r="N7141" s="362">
        <f t="shared" si="245"/>
        <v>-354</v>
      </c>
      <c r="X7141" s="339"/>
    </row>
    <row r="7142" s="330" customFormat="1" ht="15" customHeight="1" spans="1:24">
      <c r="A7142" s="334"/>
      <c r="B7142" s="348" t="s">
        <v>335</v>
      </c>
      <c r="C7142" s="348" t="s">
        <v>615</v>
      </c>
      <c r="D7142" s="334" t="s">
        <v>337</v>
      </c>
      <c r="E7142" s="393">
        <v>43708</v>
      </c>
      <c r="F7142" s="336"/>
      <c r="G7142" s="336" t="s">
        <v>40</v>
      </c>
      <c r="H7142" s="334" t="s">
        <v>15591</v>
      </c>
      <c r="I7142" s="356">
        <v>13916093817</v>
      </c>
      <c r="J7142" s="348" t="s">
        <v>15592</v>
      </c>
      <c r="K7142" s="337"/>
      <c r="L7142" s="334">
        <v>-632</v>
      </c>
      <c r="M7142" s="338"/>
      <c r="N7142" s="362">
        <f t="shared" si="245"/>
        <v>-632</v>
      </c>
      <c r="X7142" s="339"/>
    </row>
    <row r="7143" s="330" customFormat="1" ht="15" customHeight="1" spans="1:24">
      <c r="A7143" s="334"/>
      <c r="B7143" s="348" t="s">
        <v>335</v>
      </c>
      <c r="C7143" s="348" t="s">
        <v>615</v>
      </c>
      <c r="D7143" s="334" t="s">
        <v>337</v>
      </c>
      <c r="E7143" s="393">
        <v>43708</v>
      </c>
      <c r="F7143" s="336"/>
      <c r="G7143" s="336" t="s">
        <v>40</v>
      </c>
      <c r="H7143" s="334" t="s">
        <v>15593</v>
      </c>
      <c r="I7143" s="444">
        <v>18621685095</v>
      </c>
      <c r="J7143" s="348" t="s">
        <v>15594</v>
      </c>
      <c r="K7143" s="337"/>
      <c r="L7143" s="334">
        <v>-267</v>
      </c>
      <c r="M7143" s="338"/>
      <c r="N7143" s="362">
        <f t="shared" si="245"/>
        <v>-267</v>
      </c>
      <c r="X7143" s="339"/>
    </row>
    <row r="7144" s="330" customFormat="1" ht="15" customHeight="1" spans="1:24">
      <c r="A7144" s="334"/>
      <c r="B7144" s="348" t="s">
        <v>335</v>
      </c>
      <c r="C7144" s="348" t="s">
        <v>336</v>
      </c>
      <c r="D7144" s="334" t="s">
        <v>337</v>
      </c>
      <c r="E7144" s="393">
        <v>43708</v>
      </c>
      <c r="F7144" s="336"/>
      <c r="G7144" s="336" t="s">
        <v>40</v>
      </c>
      <c r="H7144" s="334" t="s">
        <v>15595</v>
      </c>
      <c r="I7144" s="356">
        <v>13381995788</v>
      </c>
      <c r="J7144" s="348" t="s">
        <v>15596</v>
      </c>
      <c r="K7144" s="337"/>
      <c r="L7144" s="334">
        <v>-1412</v>
      </c>
      <c r="M7144" s="338"/>
      <c r="N7144" s="362">
        <f t="shared" si="245"/>
        <v>-1412</v>
      </c>
      <c r="X7144" s="339"/>
    </row>
    <row r="7145" s="330" customFormat="1" ht="15" customHeight="1" spans="1:24">
      <c r="A7145" s="334"/>
      <c r="B7145" s="348" t="s">
        <v>153</v>
      </c>
      <c r="C7145" s="334" t="s">
        <v>154</v>
      </c>
      <c r="D7145" s="334" t="s">
        <v>155</v>
      </c>
      <c r="E7145" s="393">
        <v>43708</v>
      </c>
      <c r="F7145" s="336"/>
      <c r="G7145" s="336" t="s">
        <v>40</v>
      </c>
      <c r="H7145" s="334" t="s">
        <v>8802</v>
      </c>
      <c r="I7145" s="356">
        <v>18049731026</v>
      </c>
      <c r="J7145" s="348" t="s">
        <v>15597</v>
      </c>
      <c r="K7145" s="337"/>
      <c r="L7145" s="334">
        <v>-200</v>
      </c>
      <c r="M7145" s="338"/>
      <c r="N7145" s="362">
        <f t="shared" si="245"/>
        <v>-200</v>
      </c>
      <c r="X7145" s="339"/>
    </row>
    <row r="7146" s="330" customFormat="1" ht="15" customHeight="1" spans="1:24">
      <c r="A7146" s="334"/>
      <c r="B7146" s="348" t="s">
        <v>123</v>
      </c>
      <c r="C7146" s="334" t="s">
        <v>124</v>
      </c>
      <c r="D7146" s="334" t="s">
        <v>125</v>
      </c>
      <c r="E7146" s="393">
        <v>43708</v>
      </c>
      <c r="F7146" s="336"/>
      <c r="G7146" s="336" t="s">
        <v>40</v>
      </c>
      <c r="H7146" s="334" t="s">
        <v>1244</v>
      </c>
      <c r="I7146" s="356">
        <v>13761081028</v>
      </c>
      <c r="J7146" s="348" t="s">
        <v>15598</v>
      </c>
      <c r="K7146" s="337"/>
      <c r="L7146" s="334">
        <v>-390</v>
      </c>
      <c r="M7146" s="338"/>
      <c r="N7146" s="362">
        <f t="shared" si="245"/>
        <v>-390</v>
      </c>
      <c r="X7146" s="339"/>
    </row>
    <row r="7147" s="330" customFormat="1" ht="15" customHeight="1" spans="1:24">
      <c r="A7147" s="334"/>
      <c r="B7147" s="348" t="s">
        <v>123</v>
      </c>
      <c r="C7147" s="348" t="s">
        <v>124</v>
      </c>
      <c r="D7147" s="334" t="s">
        <v>125</v>
      </c>
      <c r="E7147" s="393">
        <v>43708</v>
      </c>
      <c r="F7147" s="336"/>
      <c r="G7147" s="336" t="s">
        <v>40</v>
      </c>
      <c r="H7147" s="334" t="s">
        <v>15599</v>
      </c>
      <c r="I7147" s="356">
        <v>13002148871</v>
      </c>
      <c r="J7147" s="348" t="s">
        <v>15600</v>
      </c>
      <c r="K7147" s="337"/>
      <c r="L7147" s="334">
        <v>-1571</v>
      </c>
      <c r="M7147" s="338"/>
      <c r="N7147" s="362">
        <f t="shared" si="245"/>
        <v>-1571</v>
      </c>
      <c r="X7147" s="339"/>
    </row>
    <row r="7148" s="330" customFormat="1" ht="15" customHeight="1" spans="1:24">
      <c r="A7148" s="334"/>
      <c r="B7148" s="348" t="s">
        <v>123</v>
      </c>
      <c r="C7148" s="348" t="s">
        <v>124</v>
      </c>
      <c r="D7148" s="334" t="s">
        <v>125</v>
      </c>
      <c r="E7148" s="393">
        <v>43708</v>
      </c>
      <c r="F7148" s="336"/>
      <c r="G7148" s="336" t="s">
        <v>40</v>
      </c>
      <c r="H7148" s="334" t="s">
        <v>15601</v>
      </c>
      <c r="I7148" s="356">
        <v>13817091806</v>
      </c>
      <c r="J7148" s="348" t="s">
        <v>15602</v>
      </c>
      <c r="K7148" s="337"/>
      <c r="L7148" s="334">
        <v>-910</v>
      </c>
      <c r="M7148" s="338"/>
      <c r="N7148" s="362">
        <f t="shared" si="245"/>
        <v>-910</v>
      </c>
      <c r="X7148" s="339"/>
    </row>
    <row r="7149" s="330" customFormat="1" ht="15" customHeight="1" spans="1:24">
      <c r="A7149" s="334"/>
      <c r="B7149" s="348" t="s">
        <v>123</v>
      </c>
      <c r="C7149" s="348" t="s">
        <v>124</v>
      </c>
      <c r="D7149" s="334" t="s">
        <v>1170</v>
      </c>
      <c r="E7149" s="393">
        <v>43708</v>
      </c>
      <c r="F7149" s="336"/>
      <c r="G7149" s="336" t="s">
        <v>40</v>
      </c>
      <c r="H7149" s="334" t="s">
        <v>15603</v>
      </c>
      <c r="I7149" s="356" t="s">
        <v>15604</v>
      </c>
      <c r="J7149" s="348" t="s">
        <v>15605</v>
      </c>
      <c r="K7149" s="337"/>
      <c r="L7149" s="334">
        <v>-304</v>
      </c>
      <c r="M7149" s="338"/>
      <c r="N7149" s="362">
        <f t="shared" ref="N7149:N7212" si="246">L7149+M7149</f>
        <v>-304</v>
      </c>
      <c r="X7149" s="339"/>
    </row>
    <row r="7150" s="330" customFormat="1" ht="15" customHeight="1" spans="1:24">
      <c r="A7150" s="334"/>
      <c r="B7150" s="348" t="s">
        <v>123</v>
      </c>
      <c r="C7150" s="348" t="s">
        <v>124</v>
      </c>
      <c r="D7150" s="334" t="s">
        <v>125</v>
      </c>
      <c r="E7150" s="393">
        <v>43708</v>
      </c>
      <c r="F7150" s="336"/>
      <c r="G7150" s="336" t="s">
        <v>40</v>
      </c>
      <c r="H7150" s="334" t="s">
        <v>15606</v>
      </c>
      <c r="I7150" s="356">
        <v>13524640070</v>
      </c>
      <c r="J7150" s="348" t="s">
        <v>15607</v>
      </c>
      <c r="K7150" s="337"/>
      <c r="L7150" s="334">
        <v>-1670</v>
      </c>
      <c r="M7150" s="338"/>
      <c r="N7150" s="362">
        <f t="shared" si="246"/>
        <v>-1670</v>
      </c>
      <c r="X7150" s="339"/>
    </row>
    <row r="7151" s="330" customFormat="1" ht="15" customHeight="1" spans="1:24">
      <c r="A7151" s="334"/>
      <c r="B7151" s="348" t="s">
        <v>405</v>
      </c>
      <c r="C7151" s="348" t="s">
        <v>15608</v>
      </c>
      <c r="D7151" s="334" t="s">
        <v>110</v>
      </c>
      <c r="E7151" s="393">
        <v>43708</v>
      </c>
      <c r="F7151" s="336"/>
      <c r="G7151" s="336" t="s">
        <v>40</v>
      </c>
      <c r="H7151" s="334" t="s">
        <v>15609</v>
      </c>
      <c r="I7151" s="356">
        <v>18121121257</v>
      </c>
      <c r="J7151" s="348" t="s">
        <v>15610</v>
      </c>
      <c r="K7151" s="337"/>
      <c r="L7151" s="334">
        <v>-973</v>
      </c>
      <c r="M7151" s="338"/>
      <c r="N7151" s="362">
        <f t="shared" si="246"/>
        <v>-973</v>
      </c>
      <c r="X7151" s="339"/>
    </row>
    <row r="7152" s="330" customFormat="1" ht="15" customHeight="1" spans="1:24">
      <c r="A7152" s="334"/>
      <c r="B7152" s="348" t="s">
        <v>405</v>
      </c>
      <c r="C7152" s="348" t="s">
        <v>1234</v>
      </c>
      <c r="D7152" s="334" t="s">
        <v>407</v>
      </c>
      <c r="E7152" s="393">
        <v>43708</v>
      </c>
      <c r="F7152" s="336"/>
      <c r="G7152" s="336" t="s">
        <v>40</v>
      </c>
      <c r="H7152" s="334" t="s">
        <v>15611</v>
      </c>
      <c r="I7152" s="444">
        <v>15151631665</v>
      </c>
      <c r="J7152" s="348" t="s">
        <v>7297</v>
      </c>
      <c r="K7152" s="337"/>
      <c r="L7152" s="334">
        <v>-900</v>
      </c>
      <c r="M7152" s="338"/>
      <c r="N7152" s="362">
        <f t="shared" si="246"/>
        <v>-900</v>
      </c>
      <c r="X7152" s="339"/>
    </row>
    <row r="7153" s="330" customFormat="1" ht="15" customHeight="1" spans="1:24">
      <c r="A7153" s="334"/>
      <c r="B7153" s="348" t="s">
        <v>137</v>
      </c>
      <c r="C7153" s="348" t="s">
        <v>138</v>
      </c>
      <c r="D7153" s="334" t="s">
        <v>139</v>
      </c>
      <c r="E7153" s="393">
        <v>43708</v>
      </c>
      <c r="F7153" s="336"/>
      <c r="G7153" s="336" t="s">
        <v>40</v>
      </c>
      <c r="H7153" s="334" t="s">
        <v>15612</v>
      </c>
      <c r="I7153" s="444">
        <v>13501811551</v>
      </c>
      <c r="J7153" s="348" t="s">
        <v>15613</v>
      </c>
      <c r="K7153" s="337"/>
      <c r="L7153" s="334">
        <v>-247</v>
      </c>
      <c r="M7153" s="338"/>
      <c r="N7153" s="362">
        <f t="shared" si="246"/>
        <v>-247</v>
      </c>
      <c r="X7153" s="339"/>
    </row>
    <row r="7154" s="330" customFormat="1" ht="15" customHeight="1" spans="1:24">
      <c r="A7154" s="334"/>
      <c r="B7154" s="348" t="s">
        <v>137</v>
      </c>
      <c r="C7154" s="348" t="s">
        <v>480</v>
      </c>
      <c r="D7154" s="334" t="s">
        <v>139</v>
      </c>
      <c r="E7154" s="393">
        <v>43708</v>
      </c>
      <c r="F7154" s="336"/>
      <c r="G7154" s="336" t="s">
        <v>40</v>
      </c>
      <c r="H7154" s="334" t="s">
        <v>5546</v>
      </c>
      <c r="I7154" s="356">
        <v>15201926635</v>
      </c>
      <c r="J7154" s="348" t="s">
        <v>5547</v>
      </c>
      <c r="K7154" s="337"/>
      <c r="L7154" s="334">
        <v>-87</v>
      </c>
      <c r="M7154" s="338"/>
      <c r="N7154" s="362">
        <f t="shared" si="246"/>
        <v>-87</v>
      </c>
      <c r="X7154" s="339"/>
    </row>
    <row r="7155" s="330" customFormat="1" ht="15" customHeight="1" spans="1:24">
      <c r="A7155" s="334"/>
      <c r="B7155" s="334" t="s">
        <v>137</v>
      </c>
      <c r="C7155" s="334" t="s">
        <v>411</v>
      </c>
      <c r="D7155" s="334" t="s">
        <v>139</v>
      </c>
      <c r="E7155" s="393">
        <v>43708</v>
      </c>
      <c r="F7155" s="336"/>
      <c r="G7155" s="336" t="s">
        <v>40</v>
      </c>
      <c r="H7155" s="334" t="s">
        <v>15614</v>
      </c>
      <c r="I7155" s="363">
        <v>13701815513</v>
      </c>
      <c r="J7155" s="363" t="s">
        <v>15615</v>
      </c>
      <c r="K7155" s="337"/>
      <c r="L7155" s="334">
        <v>-442</v>
      </c>
      <c r="M7155" s="338"/>
      <c r="N7155" s="362">
        <f t="shared" si="246"/>
        <v>-442</v>
      </c>
      <c r="X7155" s="339"/>
    </row>
    <row r="7156" s="330" customFormat="1" ht="15" customHeight="1" spans="1:24">
      <c r="A7156" s="334"/>
      <c r="B7156" s="348" t="s">
        <v>137</v>
      </c>
      <c r="C7156" s="348" t="s">
        <v>426</v>
      </c>
      <c r="D7156" s="334" t="s">
        <v>717</v>
      </c>
      <c r="E7156" s="393">
        <v>43708</v>
      </c>
      <c r="F7156" s="336"/>
      <c r="G7156" s="336" t="s">
        <v>40</v>
      </c>
      <c r="H7156" s="334" t="s">
        <v>15616</v>
      </c>
      <c r="I7156" s="356">
        <v>18721471382</v>
      </c>
      <c r="J7156" s="348" t="s">
        <v>15617</v>
      </c>
      <c r="K7156" s="337"/>
      <c r="L7156" s="334">
        <v>-686</v>
      </c>
      <c r="M7156" s="338"/>
      <c r="N7156" s="362">
        <f t="shared" si="246"/>
        <v>-686</v>
      </c>
      <c r="X7156" s="339"/>
    </row>
    <row r="7157" s="330" customFormat="1" ht="15" customHeight="1" spans="1:24">
      <c r="A7157" s="334"/>
      <c r="B7157" s="348" t="s">
        <v>137</v>
      </c>
      <c r="C7157" s="348" t="s">
        <v>138</v>
      </c>
      <c r="D7157" s="334" t="s">
        <v>427</v>
      </c>
      <c r="E7157" s="393">
        <v>43708</v>
      </c>
      <c r="F7157" s="336"/>
      <c r="G7157" s="336" t="s">
        <v>40</v>
      </c>
      <c r="H7157" s="334" t="s">
        <v>2219</v>
      </c>
      <c r="I7157" s="356">
        <v>13315168180</v>
      </c>
      <c r="J7157" s="348" t="s">
        <v>6058</v>
      </c>
      <c r="K7157" s="337"/>
      <c r="L7157" s="334">
        <v>-4071</v>
      </c>
      <c r="M7157" s="338"/>
      <c r="N7157" s="362">
        <f t="shared" si="246"/>
        <v>-4071</v>
      </c>
      <c r="X7157" s="339"/>
    </row>
    <row r="7158" s="330" customFormat="1" ht="15" customHeight="1" spans="1:24">
      <c r="A7158" s="334"/>
      <c r="B7158" s="348" t="s">
        <v>87</v>
      </c>
      <c r="C7158" s="348" t="s">
        <v>199</v>
      </c>
      <c r="D7158" s="334" t="s">
        <v>1170</v>
      </c>
      <c r="E7158" s="393">
        <v>43708</v>
      </c>
      <c r="F7158" s="336"/>
      <c r="G7158" s="336" t="s">
        <v>40</v>
      </c>
      <c r="H7158" s="334" t="s">
        <v>15618</v>
      </c>
      <c r="I7158" s="356">
        <v>13701961182</v>
      </c>
      <c r="J7158" s="348" t="s">
        <v>15619</v>
      </c>
      <c r="K7158" s="337"/>
      <c r="L7158" s="334">
        <v>-207</v>
      </c>
      <c r="M7158" s="338"/>
      <c r="N7158" s="362">
        <f t="shared" si="246"/>
        <v>-207</v>
      </c>
      <c r="X7158" s="339"/>
    </row>
    <row r="7159" s="330" customFormat="1" ht="15" customHeight="1" spans="1:24">
      <c r="A7159" s="334"/>
      <c r="B7159" s="348" t="s">
        <v>58</v>
      </c>
      <c r="C7159" s="348" t="s">
        <v>347</v>
      </c>
      <c r="D7159" s="334" t="s">
        <v>60</v>
      </c>
      <c r="E7159" s="393">
        <v>43708</v>
      </c>
      <c r="F7159" s="336"/>
      <c r="G7159" s="336" t="s">
        <v>40</v>
      </c>
      <c r="H7159" s="334" t="s">
        <v>8662</v>
      </c>
      <c r="I7159" s="356">
        <v>13482891495</v>
      </c>
      <c r="J7159" s="363" t="s">
        <v>8663</v>
      </c>
      <c r="K7159" s="337"/>
      <c r="L7159" s="334">
        <v>-50</v>
      </c>
      <c r="M7159" s="338"/>
      <c r="N7159" s="362">
        <f t="shared" si="246"/>
        <v>-50</v>
      </c>
      <c r="X7159" s="339"/>
    </row>
    <row r="7160" s="330" customFormat="1" ht="15" customHeight="1" spans="1:24">
      <c r="A7160" s="334"/>
      <c r="B7160" s="348" t="s">
        <v>58</v>
      </c>
      <c r="C7160" s="334" t="s">
        <v>271</v>
      </c>
      <c r="D7160" s="334" t="s">
        <v>271</v>
      </c>
      <c r="E7160" s="393">
        <v>43708</v>
      </c>
      <c r="F7160" s="336"/>
      <c r="G7160" s="336" t="s">
        <v>40</v>
      </c>
      <c r="H7160" s="334" t="s">
        <v>15620</v>
      </c>
      <c r="I7160" s="356">
        <v>13524999322</v>
      </c>
      <c r="J7160" s="348" t="s">
        <v>15621</v>
      </c>
      <c r="K7160" s="337"/>
      <c r="L7160" s="334">
        <v>-50</v>
      </c>
      <c r="M7160" s="338"/>
      <c r="N7160" s="362">
        <f t="shared" si="246"/>
        <v>-50</v>
      </c>
      <c r="X7160" s="339"/>
    </row>
    <row r="7161" s="330" customFormat="1" ht="15" customHeight="1" spans="1:24">
      <c r="A7161" s="334"/>
      <c r="B7161" s="348" t="s">
        <v>58</v>
      </c>
      <c r="C7161" s="348" t="s">
        <v>109</v>
      </c>
      <c r="D7161" s="334" t="s">
        <v>44</v>
      </c>
      <c r="E7161" s="393">
        <v>43708</v>
      </c>
      <c r="F7161" s="336"/>
      <c r="G7161" s="336" t="s">
        <v>40</v>
      </c>
      <c r="H7161" s="334" t="s">
        <v>15622</v>
      </c>
      <c r="I7161" s="356">
        <v>18701786408</v>
      </c>
      <c r="J7161" s="348" t="s">
        <v>15623</v>
      </c>
      <c r="K7161" s="337"/>
      <c r="L7161" s="334">
        <v>-50</v>
      </c>
      <c r="M7161" s="338"/>
      <c r="N7161" s="362">
        <f t="shared" si="246"/>
        <v>-50</v>
      </c>
      <c r="X7161" s="339"/>
    </row>
    <row r="7162" s="330" customFormat="1" ht="15" customHeight="1" spans="1:24">
      <c r="A7162" s="334"/>
      <c r="B7162" s="348" t="s">
        <v>58</v>
      </c>
      <c r="C7162" s="348" t="s">
        <v>347</v>
      </c>
      <c r="D7162" s="334" t="s">
        <v>89</v>
      </c>
      <c r="E7162" s="393">
        <v>43708</v>
      </c>
      <c r="F7162" s="336"/>
      <c r="G7162" s="336" t="s">
        <v>40</v>
      </c>
      <c r="H7162" s="334" t="s">
        <v>15624</v>
      </c>
      <c r="I7162" s="356">
        <v>18117237828</v>
      </c>
      <c r="J7162" s="348" t="s">
        <v>15625</v>
      </c>
      <c r="K7162" s="337"/>
      <c r="L7162" s="334">
        <v>-100</v>
      </c>
      <c r="M7162" s="338"/>
      <c r="N7162" s="362">
        <f t="shared" si="246"/>
        <v>-100</v>
      </c>
      <c r="X7162" s="339"/>
    </row>
    <row r="7163" s="330" customFormat="1" ht="15" customHeight="1" spans="1:24">
      <c r="A7163" s="334"/>
      <c r="B7163" s="348" t="s">
        <v>315</v>
      </c>
      <c r="C7163" s="348" t="s">
        <v>366</v>
      </c>
      <c r="D7163" s="334" t="s">
        <v>132</v>
      </c>
      <c r="E7163" s="393">
        <v>43708</v>
      </c>
      <c r="F7163" s="336"/>
      <c r="G7163" s="336" t="s">
        <v>40</v>
      </c>
      <c r="H7163" s="334" t="s">
        <v>15626</v>
      </c>
      <c r="I7163" s="356">
        <v>18616522650</v>
      </c>
      <c r="J7163" s="348" t="s">
        <v>15627</v>
      </c>
      <c r="K7163" s="337"/>
      <c r="L7163" s="334">
        <v>-100</v>
      </c>
      <c r="M7163" s="338"/>
      <c r="N7163" s="362">
        <f t="shared" si="246"/>
        <v>-100</v>
      </c>
      <c r="X7163" s="339"/>
    </row>
    <row r="7164" s="330" customFormat="1" ht="15" customHeight="1" spans="1:24">
      <c r="A7164" s="334"/>
      <c r="B7164" s="348" t="s">
        <v>160</v>
      </c>
      <c r="C7164" s="348" t="s">
        <v>258</v>
      </c>
      <c r="D7164" s="334" t="s">
        <v>5695</v>
      </c>
      <c r="E7164" s="393">
        <v>43708</v>
      </c>
      <c r="F7164" s="336"/>
      <c r="G7164" s="336" t="s">
        <v>40</v>
      </c>
      <c r="H7164" s="334" t="s">
        <v>15628</v>
      </c>
      <c r="I7164" s="356">
        <v>15000435093</v>
      </c>
      <c r="J7164" s="348" t="s">
        <v>6270</v>
      </c>
      <c r="K7164" s="337"/>
      <c r="L7164" s="334">
        <v>-186</v>
      </c>
      <c r="M7164" s="338"/>
      <c r="N7164" s="362">
        <f t="shared" si="246"/>
        <v>-186</v>
      </c>
      <c r="X7164" s="339"/>
    </row>
    <row r="7165" s="330" customFormat="1" ht="15" customHeight="1" spans="1:24">
      <c r="A7165" s="334"/>
      <c r="B7165" s="348" t="s">
        <v>31</v>
      </c>
      <c r="C7165" s="348" t="s">
        <v>251</v>
      </c>
      <c r="D7165" s="334" t="s">
        <v>221</v>
      </c>
      <c r="E7165" s="393">
        <v>43708</v>
      </c>
      <c r="F7165" s="336"/>
      <c r="G7165" s="336" t="s">
        <v>40</v>
      </c>
      <c r="H7165" s="334" t="s">
        <v>15629</v>
      </c>
      <c r="I7165" s="337">
        <v>18918520527</v>
      </c>
      <c r="J7165" s="334" t="s">
        <v>15630</v>
      </c>
      <c r="K7165" s="337"/>
      <c r="L7165" s="334">
        <v>-56</v>
      </c>
      <c r="M7165" s="338"/>
      <c r="N7165" s="362">
        <f t="shared" si="246"/>
        <v>-56</v>
      </c>
      <c r="X7165" s="339"/>
    </row>
    <row r="7166" s="330" customFormat="1" ht="15" customHeight="1" spans="1:24">
      <c r="A7166" s="334"/>
      <c r="B7166" s="348" t="s">
        <v>31</v>
      </c>
      <c r="C7166" s="348" t="s">
        <v>220</v>
      </c>
      <c r="D7166" s="334" t="s">
        <v>221</v>
      </c>
      <c r="E7166" s="393">
        <v>43708</v>
      </c>
      <c r="F7166" s="336"/>
      <c r="G7166" s="336" t="s">
        <v>40</v>
      </c>
      <c r="H7166" s="334" t="s">
        <v>732</v>
      </c>
      <c r="I7166" s="356">
        <v>18616392020</v>
      </c>
      <c r="J7166" s="348" t="s">
        <v>15631</v>
      </c>
      <c r="K7166" s="337"/>
      <c r="L7166" s="334">
        <v>-33</v>
      </c>
      <c r="M7166" s="338"/>
      <c r="N7166" s="362">
        <f t="shared" si="246"/>
        <v>-33</v>
      </c>
      <c r="X7166" s="339"/>
    </row>
    <row r="7167" s="330" customFormat="1" ht="15" customHeight="1" spans="1:24">
      <c r="A7167" s="334"/>
      <c r="B7167" s="348" t="s">
        <v>31</v>
      </c>
      <c r="C7167" s="348" t="s">
        <v>220</v>
      </c>
      <c r="D7167" s="334" t="s">
        <v>5695</v>
      </c>
      <c r="E7167" s="393">
        <v>43708</v>
      </c>
      <c r="F7167" s="336"/>
      <c r="G7167" s="336" t="s">
        <v>40</v>
      </c>
      <c r="H7167" s="334" t="s">
        <v>5706</v>
      </c>
      <c r="I7167" s="444">
        <v>13574255040</v>
      </c>
      <c r="J7167" s="348" t="s">
        <v>5707</v>
      </c>
      <c r="K7167" s="337"/>
      <c r="L7167" s="338"/>
      <c r="M7167" s="334">
        <v>-833</v>
      </c>
      <c r="N7167" s="362">
        <f t="shared" si="246"/>
        <v>-833</v>
      </c>
      <c r="X7167" s="339"/>
    </row>
    <row r="7168" s="330" customFormat="1" ht="15" customHeight="1" spans="1:24">
      <c r="A7168" s="334"/>
      <c r="B7168" s="348" t="s">
        <v>66</v>
      </c>
      <c r="C7168" s="348" t="s">
        <v>119</v>
      </c>
      <c r="D7168" s="334" t="s">
        <v>68</v>
      </c>
      <c r="E7168" s="393">
        <v>43708</v>
      </c>
      <c r="F7168" s="336"/>
      <c r="G7168" s="336" t="s">
        <v>40</v>
      </c>
      <c r="H7168" s="334" t="s">
        <v>15632</v>
      </c>
      <c r="I7168" s="356">
        <v>13482849179</v>
      </c>
      <c r="J7168" s="348" t="s">
        <v>15633</v>
      </c>
      <c r="K7168" s="337"/>
      <c r="L7168" s="334">
        <v>-60</v>
      </c>
      <c r="M7168" s="338"/>
      <c r="N7168" s="362">
        <f t="shared" si="246"/>
        <v>-60</v>
      </c>
      <c r="X7168" s="339"/>
    </row>
    <row r="7169" s="330" customFormat="1" ht="15" customHeight="1" spans="1:24">
      <c r="A7169" s="334"/>
      <c r="B7169" s="348" t="s">
        <v>185</v>
      </c>
      <c r="C7169" s="348" t="s">
        <v>1204</v>
      </c>
      <c r="D7169" s="334" t="s">
        <v>187</v>
      </c>
      <c r="E7169" s="393">
        <v>43708</v>
      </c>
      <c r="F7169" s="336"/>
      <c r="G7169" s="336" t="s">
        <v>40</v>
      </c>
      <c r="H7169" s="334" t="s">
        <v>15634</v>
      </c>
      <c r="I7169" s="356">
        <v>13564153477</v>
      </c>
      <c r="J7169" s="348" t="s">
        <v>15635</v>
      </c>
      <c r="K7169" s="337"/>
      <c r="L7169" s="334">
        <v>-139</v>
      </c>
      <c r="M7169" s="338"/>
      <c r="N7169" s="362">
        <f t="shared" si="246"/>
        <v>-139</v>
      </c>
      <c r="X7169" s="339"/>
    </row>
    <row r="7170" s="330" customFormat="1" ht="15" customHeight="1" spans="1:24">
      <c r="A7170" s="334"/>
      <c r="B7170" s="348" t="s">
        <v>185</v>
      </c>
      <c r="C7170" s="348" t="s">
        <v>186</v>
      </c>
      <c r="D7170" s="334" t="s">
        <v>187</v>
      </c>
      <c r="E7170" s="393">
        <v>43708</v>
      </c>
      <c r="F7170" s="336"/>
      <c r="G7170" s="336" t="s">
        <v>40</v>
      </c>
      <c r="H7170" s="334" t="s">
        <v>15564</v>
      </c>
      <c r="I7170" s="356">
        <v>13801859005</v>
      </c>
      <c r="J7170" s="348" t="s">
        <v>15565</v>
      </c>
      <c r="K7170" s="337"/>
      <c r="L7170" s="334">
        <v>-134</v>
      </c>
      <c r="M7170" s="338"/>
      <c r="N7170" s="362">
        <f t="shared" si="246"/>
        <v>-134</v>
      </c>
      <c r="X7170" s="339"/>
    </row>
    <row r="7171" s="330" customFormat="1" ht="15" customHeight="1" spans="1:24">
      <c r="A7171" s="334"/>
      <c r="B7171" s="348" t="s">
        <v>185</v>
      </c>
      <c r="C7171" s="348" t="s">
        <v>186</v>
      </c>
      <c r="D7171" s="334" t="s">
        <v>44</v>
      </c>
      <c r="E7171" s="393">
        <v>43708</v>
      </c>
      <c r="F7171" s="336"/>
      <c r="G7171" s="336" t="s">
        <v>40</v>
      </c>
      <c r="H7171" s="334" t="s">
        <v>15636</v>
      </c>
      <c r="I7171" s="356">
        <v>13636312425</v>
      </c>
      <c r="J7171" s="348" t="s">
        <v>15637</v>
      </c>
      <c r="K7171" s="337"/>
      <c r="L7171" s="334">
        <v>-100</v>
      </c>
      <c r="M7171" s="338"/>
      <c r="N7171" s="362">
        <f t="shared" si="246"/>
        <v>-100</v>
      </c>
      <c r="X7171" s="339"/>
    </row>
    <row r="7172" s="330" customFormat="1" ht="15" customHeight="1" spans="1:24">
      <c r="A7172" s="334"/>
      <c r="B7172" s="425" t="s">
        <v>87</v>
      </c>
      <c r="C7172" s="425" t="s">
        <v>466</v>
      </c>
      <c r="D7172" s="334" t="s">
        <v>139</v>
      </c>
      <c r="E7172" s="393">
        <v>43708</v>
      </c>
      <c r="F7172" s="336"/>
      <c r="G7172" s="336" t="s">
        <v>40</v>
      </c>
      <c r="H7172" s="334" t="s">
        <v>15638</v>
      </c>
      <c r="I7172" s="496">
        <v>13816311817</v>
      </c>
      <c r="J7172" s="496" t="s">
        <v>15639</v>
      </c>
      <c r="K7172" s="337"/>
      <c r="L7172" s="334">
        <v>-100</v>
      </c>
      <c r="M7172" s="338"/>
      <c r="N7172" s="362">
        <f t="shared" si="246"/>
        <v>-100</v>
      </c>
      <c r="X7172" s="339"/>
    </row>
    <row r="7173" s="330" customFormat="1" ht="15" customHeight="1" spans="1:24">
      <c r="A7173" s="334"/>
      <c r="B7173" s="348" t="s">
        <v>335</v>
      </c>
      <c r="C7173" s="334" t="s">
        <v>399</v>
      </c>
      <c r="D7173" s="334" t="s">
        <v>717</v>
      </c>
      <c r="E7173" s="393">
        <v>43708</v>
      </c>
      <c r="F7173" s="336"/>
      <c r="G7173" s="336" t="s">
        <v>40</v>
      </c>
      <c r="H7173" s="334" t="s">
        <v>15640</v>
      </c>
      <c r="I7173" s="356">
        <v>13801725626</v>
      </c>
      <c r="J7173" s="348" t="s">
        <v>15641</v>
      </c>
      <c r="K7173" s="337"/>
      <c r="L7173" s="334">
        <v>-50</v>
      </c>
      <c r="M7173" s="338"/>
      <c r="N7173" s="362">
        <f t="shared" si="246"/>
        <v>-50</v>
      </c>
      <c r="X7173" s="339"/>
    </row>
    <row r="7174" s="330" customFormat="1" ht="15" customHeight="1" spans="1:24">
      <c r="A7174" s="334"/>
      <c r="B7174" s="348" t="s">
        <v>335</v>
      </c>
      <c r="C7174" s="348" t="s">
        <v>399</v>
      </c>
      <c r="D7174" s="334" t="s">
        <v>337</v>
      </c>
      <c r="E7174" s="393">
        <v>43708</v>
      </c>
      <c r="F7174" s="336"/>
      <c r="G7174" s="336" t="s">
        <v>40</v>
      </c>
      <c r="H7174" s="334" t="s">
        <v>15642</v>
      </c>
      <c r="I7174" s="444">
        <v>18621837702</v>
      </c>
      <c r="J7174" s="348" t="s">
        <v>15643</v>
      </c>
      <c r="K7174" s="337"/>
      <c r="L7174" s="334">
        <v>-168</v>
      </c>
      <c r="M7174" s="338"/>
      <c r="N7174" s="362">
        <f t="shared" si="246"/>
        <v>-168</v>
      </c>
      <c r="X7174" s="339"/>
    </row>
    <row r="7175" s="330" customFormat="1" ht="15" customHeight="1" spans="1:24">
      <c r="A7175" s="334"/>
      <c r="B7175" s="348" t="s">
        <v>153</v>
      </c>
      <c r="C7175" s="348" t="s">
        <v>302</v>
      </c>
      <c r="D7175" s="334" t="s">
        <v>155</v>
      </c>
      <c r="E7175" s="393">
        <v>43708</v>
      </c>
      <c r="F7175" s="336"/>
      <c r="G7175" s="336" t="s">
        <v>40</v>
      </c>
      <c r="H7175" s="334" t="s">
        <v>15644</v>
      </c>
      <c r="I7175" s="356">
        <v>18117286317</v>
      </c>
      <c r="J7175" s="348" t="s">
        <v>15645</v>
      </c>
      <c r="K7175" s="337"/>
      <c r="L7175" s="334">
        <v>-120</v>
      </c>
      <c r="M7175" s="338"/>
      <c r="N7175" s="362">
        <f t="shared" si="246"/>
        <v>-120</v>
      </c>
      <c r="X7175" s="339"/>
    </row>
    <row r="7176" s="330" customFormat="1" ht="15" customHeight="1" spans="1:24">
      <c r="A7176" s="334"/>
      <c r="B7176" s="348" t="s">
        <v>153</v>
      </c>
      <c r="C7176" s="348" t="s">
        <v>302</v>
      </c>
      <c r="D7176" s="334" t="s">
        <v>427</v>
      </c>
      <c r="E7176" s="393">
        <v>43708</v>
      </c>
      <c r="F7176" s="336"/>
      <c r="G7176" s="336" t="s">
        <v>40</v>
      </c>
      <c r="H7176" s="334" t="s">
        <v>15646</v>
      </c>
      <c r="I7176" s="356" t="s">
        <v>15647</v>
      </c>
      <c r="J7176" s="348" t="s">
        <v>15648</v>
      </c>
      <c r="K7176" s="337"/>
      <c r="L7176" s="334">
        <v>-176</v>
      </c>
      <c r="M7176" s="338"/>
      <c r="N7176" s="362">
        <f t="shared" si="246"/>
        <v>-176</v>
      </c>
      <c r="X7176" s="339"/>
    </row>
    <row r="7177" s="330" customFormat="1" ht="15" customHeight="1" spans="1:24">
      <c r="A7177" s="334"/>
      <c r="B7177" s="334" t="s">
        <v>137</v>
      </c>
      <c r="C7177" s="334" t="s">
        <v>406</v>
      </c>
      <c r="D7177" s="334" t="s">
        <v>717</v>
      </c>
      <c r="E7177" s="393">
        <v>43708</v>
      </c>
      <c r="F7177" s="336"/>
      <c r="G7177" s="336" t="s">
        <v>40</v>
      </c>
      <c r="H7177" s="334" t="s">
        <v>15649</v>
      </c>
      <c r="I7177" s="498">
        <v>18521059099</v>
      </c>
      <c r="J7177" s="499" t="s">
        <v>15650</v>
      </c>
      <c r="K7177" s="337"/>
      <c r="L7177" s="338"/>
      <c r="M7177" s="334">
        <v>-227</v>
      </c>
      <c r="N7177" s="362">
        <f t="shared" si="246"/>
        <v>-227</v>
      </c>
      <c r="X7177" s="339"/>
    </row>
    <row r="7178" s="330" customFormat="1" ht="15" customHeight="1" spans="1:24">
      <c r="A7178" s="334"/>
      <c r="B7178" s="348" t="s">
        <v>137</v>
      </c>
      <c r="C7178" s="334" t="s">
        <v>426</v>
      </c>
      <c r="D7178" s="334" t="s">
        <v>139</v>
      </c>
      <c r="E7178" s="393">
        <v>43708</v>
      </c>
      <c r="F7178" s="336"/>
      <c r="G7178" s="336" t="s">
        <v>40</v>
      </c>
      <c r="H7178" s="334" t="s">
        <v>15651</v>
      </c>
      <c r="I7178" s="363">
        <v>13611882058</v>
      </c>
      <c r="J7178" s="496" t="s">
        <v>15652</v>
      </c>
      <c r="K7178" s="337"/>
      <c r="L7178" s="334">
        <v>-56</v>
      </c>
      <c r="M7178" s="338"/>
      <c r="N7178" s="362">
        <f t="shared" si="246"/>
        <v>-56</v>
      </c>
      <c r="X7178" s="339"/>
    </row>
    <row r="7179" s="330" customFormat="1" ht="15" customHeight="1" spans="1:24">
      <c r="A7179" s="334"/>
      <c r="B7179" s="348" t="s">
        <v>137</v>
      </c>
      <c r="C7179" s="348" t="s">
        <v>480</v>
      </c>
      <c r="D7179" s="334" t="s">
        <v>139</v>
      </c>
      <c r="E7179" s="393">
        <v>43708</v>
      </c>
      <c r="F7179" s="336"/>
      <c r="G7179" s="336" t="s">
        <v>40</v>
      </c>
      <c r="H7179" s="334" t="s">
        <v>5546</v>
      </c>
      <c r="I7179" s="356">
        <v>15201926635</v>
      </c>
      <c r="J7179" s="348" t="s">
        <v>5547</v>
      </c>
      <c r="K7179" s="337"/>
      <c r="L7179" s="334">
        <v>-50</v>
      </c>
      <c r="M7179" s="338"/>
      <c r="N7179" s="362">
        <f t="shared" si="246"/>
        <v>-50</v>
      </c>
      <c r="X7179" s="339"/>
    </row>
    <row r="7180" s="330" customFormat="1" ht="15" customHeight="1" spans="1:24">
      <c r="A7180" s="334"/>
      <c r="B7180" s="334" t="s">
        <v>58</v>
      </c>
      <c r="C7180" s="348" t="s">
        <v>347</v>
      </c>
      <c r="D7180" s="334" t="s">
        <v>343</v>
      </c>
      <c r="E7180" s="393">
        <v>43738</v>
      </c>
      <c r="F7180" s="336"/>
      <c r="G7180" s="336" t="s">
        <v>40</v>
      </c>
      <c r="H7180" s="334" t="s">
        <v>15653</v>
      </c>
      <c r="I7180" s="334">
        <v>13917199412</v>
      </c>
      <c r="J7180" s="348" t="s">
        <v>15654</v>
      </c>
      <c r="K7180" s="337"/>
      <c r="L7180" s="338"/>
      <c r="M7180" s="334">
        <v>-400</v>
      </c>
      <c r="N7180" s="362">
        <f t="shared" si="246"/>
        <v>-400</v>
      </c>
      <c r="X7180" s="339"/>
    </row>
    <row r="7181" s="330" customFormat="1" ht="15" customHeight="1" spans="1:24">
      <c r="A7181" s="334"/>
      <c r="B7181" s="334" t="s">
        <v>58</v>
      </c>
      <c r="C7181" s="348" t="s">
        <v>347</v>
      </c>
      <c r="D7181" s="334" t="s">
        <v>343</v>
      </c>
      <c r="E7181" s="393">
        <v>43738</v>
      </c>
      <c r="F7181" s="336"/>
      <c r="G7181" s="336" t="s">
        <v>40</v>
      </c>
      <c r="H7181" s="334" t="s">
        <v>5650</v>
      </c>
      <c r="I7181" s="334">
        <v>13818413559</v>
      </c>
      <c r="J7181" s="348" t="s">
        <v>5651</v>
      </c>
      <c r="K7181" s="337"/>
      <c r="L7181" s="338"/>
      <c r="M7181" s="334">
        <v>-2017</v>
      </c>
      <c r="N7181" s="362">
        <f t="shared" si="246"/>
        <v>-2017</v>
      </c>
      <c r="X7181" s="339"/>
    </row>
    <row r="7182" s="330" customFormat="1" ht="15" customHeight="1" spans="1:24">
      <c r="A7182" s="334"/>
      <c r="B7182" s="334" t="s">
        <v>58</v>
      </c>
      <c r="C7182" s="348" t="s">
        <v>15608</v>
      </c>
      <c r="D7182" s="334" t="s">
        <v>343</v>
      </c>
      <c r="E7182" s="393">
        <v>43738</v>
      </c>
      <c r="F7182" s="336"/>
      <c r="G7182" s="336" t="s">
        <v>40</v>
      </c>
      <c r="H7182" s="334" t="s">
        <v>15655</v>
      </c>
      <c r="I7182" s="356">
        <v>17717331589</v>
      </c>
      <c r="J7182" s="348" t="s">
        <v>15656</v>
      </c>
      <c r="K7182" s="337"/>
      <c r="L7182" s="338"/>
      <c r="M7182" s="334">
        <v>-356</v>
      </c>
      <c r="N7182" s="362">
        <f t="shared" si="246"/>
        <v>-356</v>
      </c>
      <c r="X7182" s="339"/>
    </row>
    <row r="7183" s="330" customFormat="1" ht="15" customHeight="1" spans="1:24">
      <c r="A7183" s="334"/>
      <c r="B7183" s="334" t="s">
        <v>58</v>
      </c>
      <c r="C7183" s="334" t="s">
        <v>109</v>
      </c>
      <c r="D7183" s="334" t="s">
        <v>110</v>
      </c>
      <c r="E7183" s="393">
        <v>43738</v>
      </c>
      <c r="F7183" s="336"/>
      <c r="G7183" s="336" t="s">
        <v>40</v>
      </c>
      <c r="H7183" s="334" t="s">
        <v>3297</v>
      </c>
      <c r="I7183" s="444">
        <v>15692136021</v>
      </c>
      <c r="J7183" s="348" t="s">
        <v>6665</v>
      </c>
      <c r="K7183" s="337"/>
      <c r="L7183" s="338"/>
      <c r="M7183" s="334">
        <v>-321</v>
      </c>
      <c r="N7183" s="362">
        <f t="shared" si="246"/>
        <v>-321</v>
      </c>
      <c r="X7183" s="339"/>
    </row>
    <row r="7184" s="330" customFormat="1" ht="15" customHeight="1" spans="1:24">
      <c r="A7184" s="334"/>
      <c r="B7184" s="334" t="s">
        <v>315</v>
      </c>
      <c r="C7184" s="348" t="s">
        <v>366</v>
      </c>
      <c r="D7184" s="334" t="s">
        <v>132</v>
      </c>
      <c r="E7184" s="393">
        <v>43738</v>
      </c>
      <c r="F7184" s="336"/>
      <c r="G7184" s="336" t="s">
        <v>40</v>
      </c>
      <c r="H7184" s="334" t="s">
        <v>13329</v>
      </c>
      <c r="I7184" s="334">
        <v>15802178880</v>
      </c>
      <c r="J7184" s="348" t="s">
        <v>15657</v>
      </c>
      <c r="K7184" s="337"/>
      <c r="L7184" s="338"/>
      <c r="M7184" s="334">
        <v>-87</v>
      </c>
      <c r="N7184" s="362">
        <f t="shared" si="246"/>
        <v>-87</v>
      </c>
      <c r="X7184" s="339"/>
    </row>
    <row r="7185" s="330" customFormat="1" ht="15" customHeight="1" spans="1:24">
      <c r="A7185" s="334"/>
      <c r="B7185" s="334" t="s">
        <v>315</v>
      </c>
      <c r="C7185" s="334" t="s">
        <v>161</v>
      </c>
      <c r="D7185" s="334" t="s">
        <v>149</v>
      </c>
      <c r="E7185" s="393">
        <v>43738</v>
      </c>
      <c r="F7185" s="336"/>
      <c r="G7185" s="336" t="s">
        <v>40</v>
      </c>
      <c r="H7185" s="334" t="s">
        <v>15658</v>
      </c>
      <c r="I7185" s="334">
        <v>13849556757</v>
      </c>
      <c r="J7185" s="334" t="s">
        <v>15659</v>
      </c>
      <c r="K7185" s="337"/>
      <c r="L7185" s="338"/>
      <c r="M7185" s="334">
        <v>-62</v>
      </c>
      <c r="N7185" s="362">
        <f t="shared" si="246"/>
        <v>-62</v>
      </c>
      <c r="X7185" s="339"/>
    </row>
    <row r="7186" s="330" customFormat="1" ht="15" customHeight="1" spans="1:24">
      <c r="A7186" s="334"/>
      <c r="B7186" s="334" t="s">
        <v>315</v>
      </c>
      <c r="C7186" s="348" t="s">
        <v>258</v>
      </c>
      <c r="D7186" s="334" t="s">
        <v>149</v>
      </c>
      <c r="E7186" s="393">
        <v>43738</v>
      </c>
      <c r="F7186" s="336"/>
      <c r="G7186" s="336" t="s">
        <v>40</v>
      </c>
      <c r="H7186" s="334" t="s">
        <v>6065</v>
      </c>
      <c r="I7186" s="334">
        <v>13933614369</v>
      </c>
      <c r="J7186" s="348" t="s">
        <v>6067</v>
      </c>
      <c r="K7186" s="337"/>
      <c r="L7186" s="338"/>
      <c r="M7186" s="334">
        <v>-597</v>
      </c>
      <c r="N7186" s="362">
        <f t="shared" si="246"/>
        <v>-597</v>
      </c>
      <c r="X7186" s="339"/>
    </row>
    <row r="7187" s="330" customFormat="1" ht="15" customHeight="1" spans="1:24">
      <c r="A7187" s="334"/>
      <c r="B7187" s="334" t="s">
        <v>315</v>
      </c>
      <c r="C7187" s="348" t="s">
        <v>181</v>
      </c>
      <c r="D7187" s="334" t="s">
        <v>155</v>
      </c>
      <c r="E7187" s="393">
        <v>43738</v>
      </c>
      <c r="F7187" s="336"/>
      <c r="G7187" s="336" t="s">
        <v>40</v>
      </c>
      <c r="H7187" s="334" t="s">
        <v>9578</v>
      </c>
      <c r="I7187" s="356">
        <v>13671704027</v>
      </c>
      <c r="J7187" s="334" t="s">
        <v>15660</v>
      </c>
      <c r="K7187" s="337"/>
      <c r="L7187" s="338"/>
      <c r="M7187" s="334">
        <v>-591</v>
      </c>
      <c r="N7187" s="362">
        <f t="shared" si="246"/>
        <v>-591</v>
      </c>
      <c r="X7187" s="339"/>
    </row>
    <row r="7188" s="330" customFormat="1" ht="15" customHeight="1" spans="1:24">
      <c r="A7188" s="334"/>
      <c r="B7188" s="334" t="s">
        <v>315</v>
      </c>
      <c r="C7188" s="348" t="s">
        <v>275</v>
      </c>
      <c r="D7188" s="334" t="s">
        <v>162</v>
      </c>
      <c r="E7188" s="393">
        <v>43738</v>
      </c>
      <c r="F7188" s="336"/>
      <c r="G7188" s="336" t="s">
        <v>40</v>
      </c>
      <c r="H7188" s="334" t="s">
        <v>6198</v>
      </c>
      <c r="I7188" s="334">
        <v>13934532999</v>
      </c>
      <c r="J7188" s="348" t="s">
        <v>6199</v>
      </c>
      <c r="K7188" s="337"/>
      <c r="L7188" s="338"/>
      <c r="M7188" s="334">
        <v>-2592</v>
      </c>
      <c r="N7188" s="362">
        <f t="shared" si="246"/>
        <v>-2592</v>
      </c>
      <c r="X7188" s="339"/>
    </row>
    <row r="7189" s="330" customFormat="1" ht="15" customHeight="1" spans="1:24">
      <c r="A7189" s="334"/>
      <c r="B7189" s="334" t="s">
        <v>315</v>
      </c>
      <c r="C7189" s="334" t="s">
        <v>161</v>
      </c>
      <c r="D7189" s="334" t="s">
        <v>149</v>
      </c>
      <c r="E7189" s="393">
        <v>43738</v>
      </c>
      <c r="F7189" s="336"/>
      <c r="G7189" s="336" t="s">
        <v>40</v>
      </c>
      <c r="H7189" s="334" t="s">
        <v>15661</v>
      </c>
      <c r="I7189" s="356">
        <v>18701990961</v>
      </c>
      <c r="J7189" s="348" t="s">
        <v>15662</v>
      </c>
      <c r="K7189" s="337"/>
      <c r="L7189" s="338"/>
      <c r="M7189" s="334">
        <v>-867</v>
      </c>
      <c r="N7189" s="362">
        <f t="shared" si="246"/>
        <v>-867</v>
      </c>
      <c r="X7189" s="339"/>
    </row>
    <row r="7190" s="330" customFormat="1" ht="15" customHeight="1" spans="1:24">
      <c r="A7190" s="334"/>
      <c r="B7190" s="334" t="s">
        <v>315</v>
      </c>
      <c r="C7190" s="348" t="s">
        <v>258</v>
      </c>
      <c r="D7190" s="334" t="s">
        <v>498</v>
      </c>
      <c r="E7190" s="393">
        <v>43738</v>
      </c>
      <c r="F7190" s="336"/>
      <c r="G7190" s="336" t="s">
        <v>40</v>
      </c>
      <c r="H7190" s="334" t="s">
        <v>15663</v>
      </c>
      <c r="I7190" s="356">
        <v>13601810239</v>
      </c>
      <c r="J7190" s="348" t="s">
        <v>15664</v>
      </c>
      <c r="K7190" s="337"/>
      <c r="L7190" s="338"/>
      <c r="M7190" s="334">
        <v>-7446</v>
      </c>
      <c r="N7190" s="362">
        <f t="shared" si="246"/>
        <v>-7446</v>
      </c>
      <c r="X7190" s="339"/>
    </row>
    <row r="7191" s="330" customFormat="1" ht="15" customHeight="1" spans="1:24">
      <c r="A7191" s="334"/>
      <c r="B7191" s="334" t="s">
        <v>31</v>
      </c>
      <c r="C7191" s="348" t="s">
        <v>220</v>
      </c>
      <c r="D7191" s="334" t="s">
        <v>221</v>
      </c>
      <c r="E7191" s="393">
        <v>43738</v>
      </c>
      <c r="F7191" s="336"/>
      <c r="G7191" s="336" t="s">
        <v>40</v>
      </c>
      <c r="H7191" s="334" t="s">
        <v>15665</v>
      </c>
      <c r="I7191" s="334">
        <v>15900539911</v>
      </c>
      <c r="J7191" s="348" t="s">
        <v>15666</v>
      </c>
      <c r="K7191" s="337"/>
      <c r="L7191" s="338"/>
      <c r="M7191" s="334">
        <v>-124</v>
      </c>
      <c r="N7191" s="362">
        <f t="shared" si="246"/>
        <v>-124</v>
      </c>
      <c r="X7191" s="339"/>
    </row>
    <row r="7192" s="330" customFormat="1" ht="15" customHeight="1" spans="1:24">
      <c r="A7192" s="334"/>
      <c r="B7192" s="334" t="s">
        <v>31</v>
      </c>
      <c r="C7192" s="348" t="s">
        <v>377</v>
      </c>
      <c r="D7192" s="334" t="s">
        <v>33</v>
      </c>
      <c r="E7192" s="393">
        <v>43738</v>
      </c>
      <c r="F7192" s="336"/>
      <c r="G7192" s="336" t="s">
        <v>40</v>
      </c>
      <c r="H7192" s="334" t="s">
        <v>5571</v>
      </c>
      <c r="I7192" s="334">
        <v>17811917363</v>
      </c>
      <c r="J7192" s="348" t="s">
        <v>5572</v>
      </c>
      <c r="K7192" s="337"/>
      <c r="L7192" s="338"/>
      <c r="M7192" s="334">
        <v>-524</v>
      </c>
      <c r="N7192" s="362">
        <f t="shared" si="246"/>
        <v>-524</v>
      </c>
      <c r="X7192" s="339"/>
    </row>
    <row r="7193" s="330" customFormat="1" ht="15" customHeight="1" spans="1:24">
      <c r="A7193" s="334"/>
      <c r="B7193" s="334" t="s">
        <v>31</v>
      </c>
      <c r="C7193" s="348" t="s">
        <v>220</v>
      </c>
      <c r="D7193" s="334" t="s">
        <v>33</v>
      </c>
      <c r="E7193" s="393">
        <v>43738</v>
      </c>
      <c r="F7193" s="336"/>
      <c r="G7193" s="336" t="s">
        <v>40</v>
      </c>
      <c r="H7193" s="334" t="s">
        <v>15667</v>
      </c>
      <c r="I7193" s="334">
        <v>18501662345</v>
      </c>
      <c r="J7193" s="348" t="s">
        <v>15668</v>
      </c>
      <c r="K7193" s="337"/>
      <c r="L7193" s="338"/>
      <c r="M7193" s="334">
        <v>-587</v>
      </c>
      <c r="N7193" s="362">
        <f t="shared" si="246"/>
        <v>-587</v>
      </c>
      <c r="X7193" s="339"/>
    </row>
    <row r="7194" s="330" customFormat="1" ht="15" customHeight="1" spans="1:24">
      <c r="A7194" s="334"/>
      <c r="B7194" s="334" t="s">
        <v>31</v>
      </c>
      <c r="C7194" s="348" t="s">
        <v>32</v>
      </c>
      <c r="D7194" s="334" t="s">
        <v>498</v>
      </c>
      <c r="E7194" s="393">
        <v>43738</v>
      </c>
      <c r="F7194" s="336"/>
      <c r="G7194" s="336" t="s">
        <v>40</v>
      </c>
      <c r="H7194" s="334" t="s">
        <v>15669</v>
      </c>
      <c r="I7194" s="334">
        <v>13701776297</v>
      </c>
      <c r="J7194" s="348" t="s">
        <v>15670</v>
      </c>
      <c r="K7194" s="337"/>
      <c r="L7194" s="338"/>
      <c r="M7194" s="334">
        <v>-371</v>
      </c>
      <c r="N7194" s="362">
        <f t="shared" si="246"/>
        <v>-371</v>
      </c>
      <c r="X7194" s="339"/>
    </row>
    <row r="7195" s="330" customFormat="1" ht="15" customHeight="1" spans="1:24">
      <c r="A7195" s="334"/>
      <c r="B7195" s="334" t="s">
        <v>31</v>
      </c>
      <c r="C7195" s="334" t="s">
        <v>419</v>
      </c>
      <c r="D7195" s="334" t="s">
        <v>221</v>
      </c>
      <c r="E7195" s="393">
        <v>43738</v>
      </c>
      <c r="F7195" s="336"/>
      <c r="G7195" s="336" t="s">
        <v>40</v>
      </c>
      <c r="H7195" s="334" t="s">
        <v>15671</v>
      </c>
      <c r="I7195" s="356">
        <v>13816932938</v>
      </c>
      <c r="J7195" s="348" t="s">
        <v>5480</v>
      </c>
      <c r="K7195" s="337"/>
      <c r="L7195" s="338"/>
      <c r="M7195" s="334">
        <v>-244</v>
      </c>
      <c r="N7195" s="362">
        <f t="shared" si="246"/>
        <v>-244</v>
      </c>
      <c r="X7195" s="339"/>
    </row>
    <row r="7196" s="330" customFormat="1" ht="15" customHeight="1" spans="1:24">
      <c r="A7196" s="334"/>
      <c r="B7196" s="334" t="s">
        <v>31</v>
      </c>
      <c r="C7196" s="334" t="s">
        <v>251</v>
      </c>
      <c r="D7196" s="334" t="s">
        <v>162</v>
      </c>
      <c r="E7196" s="393">
        <v>43738</v>
      </c>
      <c r="F7196" s="336"/>
      <c r="G7196" s="336" t="s">
        <v>40</v>
      </c>
      <c r="H7196" s="334" t="s">
        <v>753</v>
      </c>
      <c r="I7196" s="334">
        <v>18149736087</v>
      </c>
      <c r="J7196" s="348" t="s">
        <v>15672</v>
      </c>
      <c r="K7196" s="337"/>
      <c r="L7196" s="338"/>
      <c r="M7196" s="334">
        <v>-264</v>
      </c>
      <c r="N7196" s="362">
        <f t="shared" si="246"/>
        <v>-264</v>
      </c>
      <c r="X7196" s="339"/>
    </row>
    <row r="7197" s="330" customFormat="1" ht="15" customHeight="1" spans="1:24">
      <c r="A7197" s="334"/>
      <c r="B7197" s="334" t="s">
        <v>31</v>
      </c>
      <c r="C7197" s="334" t="s">
        <v>251</v>
      </c>
      <c r="D7197" s="334" t="s">
        <v>407</v>
      </c>
      <c r="E7197" s="393">
        <v>43738</v>
      </c>
      <c r="F7197" s="336"/>
      <c r="G7197" s="336" t="s">
        <v>40</v>
      </c>
      <c r="H7197" s="334" t="s">
        <v>5358</v>
      </c>
      <c r="I7197" s="444">
        <v>13917770719</v>
      </c>
      <c r="J7197" s="348" t="s">
        <v>5359</v>
      </c>
      <c r="K7197" s="337"/>
      <c r="L7197" s="338"/>
      <c r="M7197" s="334">
        <v>-2050</v>
      </c>
      <c r="N7197" s="362">
        <f t="shared" si="246"/>
        <v>-2050</v>
      </c>
      <c r="X7197" s="339"/>
    </row>
    <row r="7198" s="330" customFormat="1" ht="15" customHeight="1" spans="1:24">
      <c r="A7198" s="334"/>
      <c r="B7198" s="334" t="s">
        <v>31</v>
      </c>
      <c r="C7198" s="348" t="s">
        <v>220</v>
      </c>
      <c r="D7198" s="334" t="s">
        <v>221</v>
      </c>
      <c r="E7198" s="393">
        <v>43738</v>
      </c>
      <c r="F7198" s="336"/>
      <c r="G7198" s="336" t="s">
        <v>40</v>
      </c>
      <c r="H7198" s="497" t="s">
        <v>15673</v>
      </c>
      <c r="I7198" s="356">
        <v>13901688429</v>
      </c>
      <c r="J7198" s="348" t="s">
        <v>15674</v>
      </c>
      <c r="K7198" s="337"/>
      <c r="L7198" s="338"/>
      <c r="M7198" s="334">
        <v>-356</v>
      </c>
      <c r="N7198" s="362">
        <f t="shared" si="246"/>
        <v>-356</v>
      </c>
      <c r="X7198" s="339"/>
    </row>
    <row r="7199" s="330" customFormat="1" ht="15" customHeight="1" spans="1:24">
      <c r="A7199" s="334"/>
      <c r="B7199" s="334" t="s">
        <v>31</v>
      </c>
      <c r="C7199" s="348" t="s">
        <v>419</v>
      </c>
      <c r="D7199" s="334" t="s">
        <v>33</v>
      </c>
      <c r="E7199" s="393">
        <v>43738</v>
      </c>
      <c r="F7199" s="336"/>
      <c r="G7199" s="336" t="s">
        <v>40</v>
      </c>
      <c r="H7199" s="497" t="s">
        <v>15675</v>
      </c>
      <c r="I7199" s="356">
        <v>15316803827</v>
      </c>
      <c r="J7199" s="348" t="s">
        <v>15676</v>
      </c>
      <c r="K7199" s="337"/>
      <c r="L7199" s="338"/>
      <c r="M7199" s="334">
        <v>-940</v>
      </c>
      <c r="N7199" s="362">
        <f t="shared" si="246"/>
        <v>-940</v>
      </c>
      <c r="X7199" s="339"/>
    </row>
    <row r="7200" s="330" customFormat="1" ht="15" customHeight="1" spans="1:24">
      <c r="A7200" s="334"/>
      <c r="B7200" s="348" t="s">
        <v>31</v>
      </c>
      <c r="C7200" s="348" t="s">
        <v>220</v>
      </c>
      <c r="D7200" s="334" t="s">
        <v>221</v>
      </c>
      <c r="E7200" s="393">
        <v>43738</v>
      </c>
      <c r="F7200" s="336"/>
      <c r="G7200" s="336" t="s">
        <v>40</v>
      </c>
      <c r="H7200" s="497" t="s">
        <v>2049</v>
      </c>
      <c r="I7200" s="444">
        <v>15902197904</v>
      </c>
      <c r="J7200" s="348" t="s">
        <v>2050</v>
      </c>
      <c r="K7200" s="337"/>
      <c r="L7200" s="338"/>
      <c r="M7200" s="334">
        <v>-56</v>
      </c>
      <c r="N7200" s="362">
        <f t="shared" si="246"/>
        <v>-56</v>
      </c>
      <c r="X7200" s="339"/>
    </row>
    <row r="7201" s="330" customFormat="1" ht="15" customHeight="1" spans="1:24">
      <c r="A7201" s="334"/>
      <c r="B7201" s="348" t="s">
        <v>31</v>
      </c>
      <c r="C7201" s="334" t="s">
        <v>32</v>
      </c>
      <c r="D7201" s="334" t="s">
        <v>221</v>
      </c>
      <c r="E7201" s="393">
        <v>43738</v>
      </c>
      <c r="F7201" s="336"/>
      <c r="G7201" s="336" t="s">
        <v>40</v>
      </c>
      <c r="H7201" s="497" t="s">
        <v>2250</v>
      </c>
      <c r="I7201" s="356">
        <v>18621390972</v>
      </c>
      <c r="J7201" s="348" t="s">
        <v>15677</v>
      </c>
      <c r="K7201" s="337"/>
      <c r="L7201" s="338"/>
      <c r="M7201" s="334">
        <v>-514</v>
      </c>
      <c r="N7201" s="362">
        <f t="shared" si="246"/>
        <v>-514</v>
      </c>
      <c r="X7201" s="339"/>
    </row>
    <row r="7202" s="330" customFormat="1" ht="15" customHeight="1" spans="1:24">
      <c r="A7202" s="334"/>
      <c r="B7202" s="348" t="s">
        <v>169</v>
      </c>
      <c r="C7202" s="348" t="s">
        <v>170</v>
      </c>
      <c r="D7202" s="334" t="s">
        <v>75</v>
      </c>
      <c r="E7202" s="393">
        <v>43738</v>
      </c>
      <c r="F7202" s="336"/>
      <c r="G7202" s="336" t="s">
        <v>40</v>
      </c>
      <c r="H7202" s="497" t="s">
        <v>5399</v>
      </c>
      <c r="I7202" s="356">
        <v>13817538426</v>
      </c>
      <c r="J7202" s="348" t="s">
        <v>5400</v>
      </c>
      <c r="K7202" s="337"/>
      <c r="L7202" s="338"/>
      <c r="M7202" s="334">
        <v>-1023</v>
      </c>
      <c r="N7202" s="362">
        <f t="shared" si="246"/>
        <v>-1023</v>
      </c>
      <c r="X7202" s="339"/>
    </row>
    <row r="7203" s="330" customFormat="1" ht="15" customHeight="1" spans="1:24">
      <c r="A7203" s="334"/>
      <c r="B7203" s="348" t="s">
        <v>169</v>
      </c>
      <c r="C7203" s="348" t="s">
        <v>170</v>
      </c>
      <c r="D7203" s="334" t="s">
        <v>635</v>
      </c>
      <c r="E7203" s="393">
        <v>43738</v>
      </c>
      <c r="F7203" s="336"/>
      <c r="G7203" s="336" t="s">
        <v>40</v>
      </c>
      <c r="H7203" s="497" t="s">
        <v>9580</v>
      </c>
      <c r="I7203" s="356">
        <v>13611633811</v>
      </c>
      <c r="J7203" s="348" t="s">
        <v>15678</v>
      </c>
      <c r="K7203" s="337"/>
      <c r="L7203" s="338"/>
      <c r="M7203" s="334">
        <v>-117</v>
      </c>
      <c r="N7203" s="362">
        <f t="shared" si="246"/>
        <v>-117</v>
      </c>
      <c r="X7203" s="339"/>
    </row>
    <row r="7204" s="330" customFormat="1" ht="15" customHeight="1" spans="1:24">
      <c r="A7204" s="334"/>
      <c r="B7204" s="348" t="s">
        <v>169</v>
      </c>
      <c r="C7204" s="334" t="s">
        <v>634</v>
      </c>
      <c r="D7204" s="334" t="s">
        <v>635</v>
      </c>
      <c r="E7204" s="393">
        <v>43738</v>
      </c>
      <c r="F7204" s="336"/>
      <c r="G7204" s="336" t="s">
        <v>40</v>
      </c>
      <c r="H7204" s="497" t="s">
        <v>15679</v>
      </c>
      <c r="I7204" s="444">
        <v>13901624896</v>
      </c>
      <c r="J7204" s="348" t="s">
        <v>15680</v>
      </c>
      <c r="K7204" s="337"/>
      <c r="L7204" s="338"/>
      <c r="M7204" s="334">
        <v>-671</v>
      </c>
      <c r="N7204" s="362">
        <f t="shared" si="246"/>
        <v>-671</v>
      </c>
      <c r="X7204" s="339"/>
    </row>
    <row r="7205" s="330" customFormat="1" ht="15" customHeight="1" spans="1:24">
      <c r="A7205" s="334"/>
      <c r="B7205" s="348" t="s">
        <v>169</v>
      </c>
      <c r="C7205" s="348" t="s">
        <v>634</v>
      </c>
      <c r="D7205" s="334" t="s">
        <v>635</v>
      </c>
      <c r="E7205" s="393">
        <v>43738</v>
      </c>
      <c r="F7205" s="336"/>
      <c r="G7205" s="336" t="s">
        <v>40</v>
      </c>
      <c r="H7205" s="497" t="s">
        <v>15681</v>
      </c>
      <c r="I7205" s="356">
        <v>13816489069</v>
      </c>
      <c r="J7205" s="348" t="s">
        <v>15682</v>
      </c>
      <c r="K7205" s="337"/>
      <c r="L7205" s="338"/>
      <c r="M7205" s="334">
        <v>-2142</v>
      </c>
      <c r="N7205" s="362">
        <f t="shared" si="246"/>
        <v>-2142</v>
      </c>
      <c r="X7205" s="339"/>
    </row>
    <row r="7206" s="330" customFormat="1" ht="15" customHeight="1" spans="1:24">
      <c r="A7206" s="334"/>
      <c r="B7206" s="348" t="s">
        <v>169</v>
      </c>
      <c r="C7206" s="334" t="s">
        <v>634</v>
      </c>
      <c r="D7206" s="334" t="s">
        <v>635</v>
      </c>
      <c r="E7206" s="393">
        <v>43738</v>
      </c>
      <c r="F7206" s="336"/>
      <c r="G7206" s="336" t="s">
        <v>40</v>
      </c>
      <c r="H7206" s="497" t="s">
        <v>15683</v>
      </c>
      <c r="I7206" s="356">
        <v>18721569200</v>
      </c>
      <c r="J7206" s="348" t="s">
        <v>5568</v>
      </c>
      <c r="K7206" s="337"/>
      <c r="L7206" s="338"/>
      <c r="M7206" s="334">
        <v>-50</v>
      </c>
      <c r="N7206" s="362">
        <f t="shared" si="246"/>
        <v>-50</v>
      </c>
      <c r="X7206" s="339"/>
    </row>
    <row r="7207" s="330" customFormat="1" ht="15" customHeight="1" spans="1:24">
      <c r="A7207" s="334"/>
      <c r="B7207" s="348" t="s">
        <v>66</v>
      </c>
      <c r="C7207" s="348" t="s">
        <v>951</v>
      </c>
      <c r="D7207" s="334" t="s">
        <v>68</v>
      </c>
      <c r="E7207" s="393">
        <v>43738</v>
      </c>
      <c r="F7207" s="336"/>
      <c r="G7207" s="336" t="s">
        <v>40</v>
      </c>
      <c r="H7207" s="497" t="s">
        <v>8580</v>
      </c>
      <c r="I7207" s="356" t="s">
        <v>15684</v>
      </c>
      <c r="J7207" s="348" t="s">
        <v>15685</v>
      </c>
      <c r="K7207" s="337"/>
      <c r="L7207" s="338"/>
      <c r="M7207" s="334">
        <v>-87.55</v>
      </c>
      <c r="N7207" s="362">
        <f t="shared" si="246"/>
        <v>-87.55</v>
      </c>
      <c r="X7207" s="339"/>
    </row>
    <row r="7208" s="330" customFormat="1" ht="15" customHeight="1" spans="1:24">
      <c r="A7208" s="334"/>
      <c r="B7208" s="348" t="s">
        <v>66</v>
      </c>
      <c r="C7208" s="348" t="s">
        <v>951</v>
      </c>
      <c r="D7208" s="334" t="s">
        <v>427</v>
      </c>
      <c r="E7208" s="393">
        <v>43738</v>
      </c>
      <c r="F7208" s="336"/>
      <c r="G7208" s="336" t="s">
        <v>40</v>
      </c>
      <c r="H7208" s="497" t="s">
        <v>9472</v>
      </c>
      <c r="I7208" s="356">
        <v>13917023565</v>
      </c>
      <c r="J7208" s="348" t="s">
        <v>9473</v>
      </c>
      <c r="K7208" s="337"/>
      <c r="L7208" s="338"/>
      <c r="M7208" s="334">
        <v>-248</v>
      </c>
      <c r="N7208" s="362">
        <f t="shared" si="246"/>
        <v>-248</v>
      </c>
      <c r="X7208" s="339"/>
    </row>
    <row r="7209" s="330" customFormat="1" ht="15" customHeight="1" spans="1:24">
      <c r="A7209" s="334"/>
      <c r="B7209" s="348" t="s">
        <v>66</v>
      </c>
      <c r="C7209" s="334" t="s">
        <v>67</v>
      </c>
      <c r="D7209" s="334" t="s">
        <v>68</v>
      </c>
      <c r="E7209" s="393">
        <v>43738</v>
      </c>
      <c r="F7209" s="336"/>
      <c r="G7209" s="336" t="s">
        <v>40</v>
      </c>
      <c r="H7209" s="497" t="s">
        <v>2887</v>
      </c>
      <c r="I7209" s="356">
        <v>13701948517</v>
      </c>
      <c r="J7209" s="348" t="s">
        <v>15686</v>
      </c>
      <c r="K7209" s="337"/>
      <c r="L7209" s="338"/>
      <c r="M7209" s="334">
        <v>-2350</v>
      </c>
      <c r="N7209" s="362">
        <f t="shared" si="246"/>
        <v>-2350</v>
      </c>
      <c r="X7209" s="339"/>
    </row>
    <row r="7210" s="330" customFormat="1" ht="15" customHeight="1" spans="1:24">
      <c r="A7210" s="334"/>
      <c r="B7210" s="334" t="s">
        <v>66</v>
      </c>
      <c r="C7210" s="334" t="s">
        <v>505</v>
      </c>
      <c r="D7210" s="334" t="s">
        <v>5695</v>
      </c>
      <c r="E7210" s="393">
        <v>43738</v>
      </c>
      <c r="F7210" s="336"/>
      <c r="G7210" s="336" t="s">
        <v>40</v>
      </c>
      <c r="H7210" s="497" t="s">
        <v>15687</v>
      </c>
      <c r="I7210" s="337">
        <v>13564157766</v>
      </c>
      <c r="J7210" s="334" t="s">
        <v>15688</v>
      </c>
      <c r="K7210" s="337"/>
      <c r="L7210" s="338"/>
      <c r="M7210" s="334">
        <v>-478</v>
      </c>
      <c r="N7210" s="362">
        <f t="shared" si="246"/>
        <v>-478</v>
      </c>
      <c r="X7210" s="339"/>
    </row>
    <row r="7211" s="330" customFormat="1" ht="15" customHeight="1" spans="1:24">
      <c r="A7211" s="334"/>
      <c r="B7211" s="348" t="s">
        <v>185</v>
      </c>
      <c r="C7211" s="348" t="s">
        <v>886</v>
      </c>
      <c r="D7211" s="334" t="s">
        <v>187</v>
      </c>
      <c r="E7211" s="393">
        <v>43738</v>
      </c>
      <c r="F7211" s="336"/>
      <c r="G7211" s="336" t="s">
        <v>40</v>
      </c>
      <c r="H7211" s="497" t="s">
        <v>15689</v>
      </c>
      <c r="I7211" s="444">
        <v>18521599236</v>
      </c>
      <c r="J7211" s="348" t="s">
        <v>15690</v>
      </c>
      <c r="K7211" s="337"/>
      <c r="L7211" s="338"/>
      <c r="M7211" s="334">
        <v>-1920</v>
      </c>
      <c r="N7211" s="362">
        <f t="shared" si="246"/>
        <v>-1920</v>
      </c>
      <c r="X7211" s="339"/>
    </row>
    <row r="7212" s="330" customFormat="1" ht="15" customHeight="1" spans="1:24">
      <c r="A7212" s="334"/>
      <c r="B7212" s="348" t="s">
        <v>185</v>
      </c>
      <c r="C7212" s="334" t="s">
        <v>1133</v>
      </c>
      <c r="D7212" s="334" t="s">
        <v>44</v>
      </c>
      <c r="E7212" s="393">
        <v>43738</v>
      </c>
      <c r="F7212" s="336"/>
      <c r="G7212" s="336" t="s">
        <v>40</v>
      </c>
      <c r="H7212" s="497" t="s">
        <v>3007</v>
      </c>
      <c r="I7212" s="356">
        <v>13917166108</v>
      </c>
      <c r="J7212" s="348" t="s">
        <v>3008</v>
      </c>
      <c r="K7212" s="337"/>
      <c r="L7212" s="338"/>
      <c r="M7212" s="334">
        <v>-371</v>
      </c>
      <c r="N7212" s="362">
        <f t="shared" si="246"/>
        <v>-371</v>
      </c>
      <c r="X7212" s="339"/>
    </row>
    <row r="7213" s="330" customFormat="1" ht="15" customHeight="1" spans="1:24">
      <c r="A7213" s="334"/>
      <c r="B7213" s="334" t="s">
        <v>185</v>
      </c>
      <c r="C7213" s="334" t="s">
        <v>498</v>
      </c>
      <c r="D7213" s="334" t="s">
        <v>498</v>
      </c>
      <c r="E7213" s="393">
        <v>43738</v>
      </c>
      <c r="F7213" s="336"/>
      <c r="G7213" s="336" t="s">
        <v>40</v>
      </c>
      <c r="H7213" s="497" t="s">
        <v>15691</v>
      </c>
      <c r="I7213" s="334"/>
      <c r="J7213" s="334"/>
      <c r="K7213" s="337"/>
      <c r="L7213" s="338"/>
      <c r="M7213" s="334">
        <v>-191</v>
      </c>
      <c r="N7213" s="362">
        <f t="shared" ref="N7213:N7276" si="247">L7213+M7213</f>
        <v>-191</v>
      </c>
      <c r="X7213" s="339"/>
    </row>
    <row r="7214" s="330" customFormat="1" ht="15" customHeight="1" spans="1:24">
      <c r="A7214" s="334"/>
      <c r="B7214" s="348" t="s">
        <v>35</v>
      </c>
      <c r="C7214" s="348" t="s">
        <v>1191</v>
      </c>
      <c r="D7214" s="334" t="s">
        <v>37</v>
      </c>
      <c r="E7214" s="393">
        <v>43738</v>
      </c>
      <c r="F7214" s="336"/>
      <c r="G7214" s="336" t="s">
        <v>40</v>
      </c>
      <c r="H7214" s="497" t="s">
        <v>15692</v>
      </c>
      <c r="I7214" s="356">
        <v>15900585145</v>
      </c>
      <c r="J7214" s="348" t="s">
        <v>15693</v>
      </c>
      <c r="K7214" s="337"/>
      <c r="L7214" s="338"/>
      <c r="M7214" s="334">
        <v>-370</v>
      </c>
      <c r="N7214" s="362">
        <f t="shared" si="247"/>
        <v>-370</v>
      </c>
      <c r="X7214" s="339"/>
    </row>
    <row r="7215" s="330" customFormat="1" ht="15" customHeight="1" spans="1:24">
      <c r="A7215" s="334"/>
      <c r="B7215" s="348" t="s">
        <v>35</v>
      </c>
      <c r="C7215" s="348" t="s">
        <v>15572</v>
      </c>
      <c r="D7215" s="334" t="s">
        <v>68</v>
      </c>
      <c r="E7215" s="393">
        <v>43738</v>
      </c>
      <c r="F7215" s="336"/>
      <c r="G7215" s="336" t="s">
        <v>40</v>
      </c>
      <c r="H7215" s="497" t="s">
        <v>15694</v>
      </c>
      <c r="I7215" s="356">
        <v>13817197010</v>
      </c>
      <c r="J7215" s="348" t="s">
        <v>15695</v>
      </c>
      <c r="K7215" s="337"/>
      <c r="L7215" s="338"/>
      <c r="M7215" s="334">
        <v>-371</v>
      </c>
      <c r="N7215" s="362">
        <f t="shared" si="247"/>
        <v>-371</v>
      </c>
      <c r="X7215" s="339"/>
    </row>
    <row r="7216" s="330" customFormat="1" ht="15" customHeight="1" spans="1:24">
      <c r="A7216" s="334"/>
      <c r="B7216" s="348" t="s">
        <v>35</v>
      </c>
      <c r="C7216" s="348" t="s">
        <v>15572</v>
      </c>
      <c r="D7216" s="334" t="s">
        <v>37</v>
      </c>
      <c r="E7216" s="393">
        <v>43738</v>
      </c>
      <c r="F7216" s="336"/>
      <c r="G7216" s="336" t="s">
        <v>40</v>
      </c>
      <c r="H7216" s="497" t="s">
        <v>15696</v>
      </c>
      <c r="I7216" s="356">
        <v>15900917719</v>
      </c>
      <c r="J7216" s="348" t="s">
        <v>15697</v>
      </c>
      <c r="K7216" s="337"/>
      <c r="L7216" s="338"/>
      <c r="M7216" s="334">
        <v>-525</v>
      </c>
      <c r="N7216" s="362">
        <f t="shared" si="247"/>
        <v>-525</v>
      </c>
      <c r="X7216" s="339"/>
    </row>
    <row r="7217" s="330" customFormat="1" ht="15" customHeight="1" spans="1:24">
      <c r="A7217" s="334"/>
      <c r="B7217" s="425" t="s">
        <v>58</v>
      </c>
      <c r="C7217" s="425" t="s">
        <v>109</v>
      </c>
      <c r="D7217" s="334" t="s">
        <v>1170</v>
      </c>
      <c r="E7217" s="393">
        <v>43738</v>
      </c>
      <c r="F7217" s="336"/>
      <c r="G7217" s="336" t="s">
        <v>40</v>
      </c>
      <c r="H7217" s="497" t="s">
        <v>14535</v>
      </c>
      <c r="I7217" s="496">
        <v>13916024121</v>
      </c>
      <c r="J7217" s="496" t="s">
        <v>15698</v>
      </c>
      <c r="K7217" s="337"/>
      <c r="L7217" s="338"/>
      <c r="M7217" s="334">
        <v>-371</v>
      </c>
      <c r="N7217" s="362">
        <f t="shared" si="247"/>
        <v>-371</v>
      </c>
      <c r="X7217" s="339"/>
    </row>
    <row r="7218" s="330" customFormat="1" ht="15" customHeight="1" spans="1:24">
      <c r="A7218" s="334"/>
      <c r="B7218" s="348" t="s">
        <v>87</v>
      </c>
      <c r="C7218" s="348" t="s">
        <v>466</v>
      </c>
      <c r="D7218" s="334" t="s">
        <v>635</v>
      </c>
      <c r="E7218" s="393">
        <v>43738</v>
      </c>
      <c r="F7218" s="336"/>
      <c r="G7218" s="336" t="s">
        <v>40</v>
      </c>
      <c r="H7218" s="497" t="s">
        <v>15699</v>
      </c>
      <c r="I7218" s="356">
        <v>18521326607</v>
      </c>
      <c r="J7218" s="348" t="s">
        <v>15700</v>
      </c>
      <c r="K7218" s="337"/>
      <c r="L7218" s="338"/>
      <c r="M7218" s="334">
        <v>-1066</v>
      </c>
      <c r="N7218" s="362">
        <f t="shared" si="247"/>
        <v>-1066</v>
      </c>
      <c r="X7218" s="339"/>
    </row>
    <row r="7219" s="330" customFormat="1" ht="15" customHeight="1" spans="1:24">
      <c r="A7219" s="334"/>
      <c r="B7219" s="334" t="s">
        <v>87</v>
      </c>
      <c r="C7219" s="334" t="s">
        <v>498</v>
      </c>
      <c r="D7219" s="334" t="s">
        <v>498</v>
      </c>
      <c r="E7219" s="393">
        <v>43738</v>
      </c>
      <c r="F7219" s="336"/>
      <c r="G7219" s="336" t="s">
        <v>40</v>
      </c>
      <c r="H7219" s="497" t="s">
        <v>15701</v>
      </c>
      <c r="I7219" s="334"/>
      <c r="J7219" s="334"/>
      <c r="K7219" s="337"/>
      <c r="L7219" s="338"/>
      <c r="M7219" s="334">
        <v>-1415</v>
      </c>
      <c r="N7219" s="362">
        <f t="shared" si="247"/>
        <v>-1415</v>
      </c>
      <c r="X7219" s="339"/>
    </row>
    <row r="7220" s="330" customFormat="1" ht="15" customHeight="1" spans="1:24">
      <c r="A7220" s="334"/>
      <c r="B7220" s="334" t="s">
        <v>73</v>
      </c>
      <c r="C7220" s="334" t="s">
        <v>498</v>
      </c>
      <c r="D7220" s="334" t="s">
        <v>498</v>
      </c>
      <c r="E7220" s="393">
        <v>43738</v>
      </c>
      <c r="F7220" s="336"/>
      <c r="G7220" s="336" t="s">
        <v>40</v>
      </c>
      <c r="H7220" s="497" t="s">
        <v>15702</v>
      </c>
      <c r="I7220" s="334"/>
      <c r="J7220" s="334"/>
      <c r="K7220" s="337"/>
      <c r="L7220" s="338"/>
      <c r="M7220" s="334">
        <v>-996</v>
      </c>
      <c r="N7220" s="362">
        <f t="shared" si="247"/>
        <v>-996</v>
      </c>
      <c r="X7220" s="339"/>
    </row>
    <row r="7221" s="330" customFormat="1" ht="15" customHeight="1" spans="1:24">
      <c r="A7221" s="334"/>
      <c r="B7221" s="348" t="s">
        <v>335</v>
      </c>
      <c r="C7221" s="348" t="s">
        <v>615</v>
      </c>
      <c r="D7221" s="334" t="s">
        <v>337</v>
      </c>
      <c r="E7221" s="393">
        <v>43738</v>
      </c>
      <c r="F7221" s="336"/>
      <c r="G7221" s="336" t="s">
        <v>40</v>
      </c>
      <c r="H7221" s="497" t="s">
        <v>15703</v>
      </c>
      <c r="I7221" s="356">
        <v>18621620481</v>
      </c>
      <c r="J7221" s="348" t="s">
        <v>15704</v>
      </c>
      <c r="K7221" s="337"/>
      <c r="L7221" s="338"/>
      <c r="M7221" s="334">
        <v>-495</v>
      </c>
      <c r="N7221" s="362">
        <f t="shared" si="247"/>
        <v>-495</v>
      </c>
      <c r="X7221" s="339"/>
    </row>
    <row r="7222" s="330" customFormat="1" ht="15" customHeight="1" spans="1:24">
      <c r="A7222" s="334"/>
      <c r="B7222" s="348" t="s">
        <v>335</v>
      </c>
      <c r="C7222" s="348" t="s">
        <v>615</v>
      </c>
      <c r="D7222" s="334" t="s">
        <v>635</v>
      </c>
      <c r="E7222" s="393">
        <v>43738</v>
      </c>
      <c r="F7222" s="336"/>
      <c r="G7222" s="336" t="s">
        <v>40</v>
      </c>
      <c r="H7222" s="497" t="s">
        <v>1361</v>
      </c>
      <c r="I7222" s="444">
        <v>15300832865</v>
      </c>
      <c r="J7222" s="348" t="s">
        <v>15705</v>
      </c>
      <c r="K7222" s="337"/>
      <c r="L7222" s="338"/>
      <c r="M7222" s="334">
        <v>-100</v>
      </c>
      <c r="N7222" s="362">
        <f t="shared" si="247"/>
        <v>-100</v>
      </c>
      <c r="X7222" s="339"/>
    </row>
    <row r="7223" s="330" customFormat="1" ht="15" customHeight="1" spans="1:24">
      <c r="A7223" s="334"/>
      <c r="B7223" s="348" t="s">
        <v>335</v>
      </c>
      <c r="C7223" s="348" t="s">
        <v>615</v>
      </c>
      <c r="D7223" s="334" t="s">
        <v>337</v>
      </c>
      <c r="E7223" s="393">
        <v>43738</v>
      </c>
      <c r="F7223" s="336"/>
      <c r="G7223" s="336" t="s">
        <v>40</v>
      </c>
      <c r="H7223" s="497" t="s">
        <v>2840</v>
      </c>
      <c r="I7223" s="356">
        <v>13761827817</v>
      </c>
      <c r="J7223" s="348" t="s">
        <v>15706</v>
      </c>
      <c r="K7223" s="337"/>
      <c r="L7223" s="338"/>
      <c r="M7223" s="334">
        <v>-471</v>
      </c>
      <c r="N7223" s="362">
        <f t="shared" si="247"/>
        <v>-471</v>
      </c>
      <c r="X7223" s="339"/>
    </row>
    <row r="7224" s="330" customFormat="1" ht="15" customHeight="1" spans="1:24">
      <c r="A7224" s="334"/>
      <c r="B7224" s="348" t="s">
        <v>153</v>
      </c>
      <c r="C7224" s="334" t="s">
        <v>302</v>
      </c>
      <c r="D7224" s="334" t="s">
        <v>155</v>
      </c>
      <c r="E7224" s="393">
        <v>43738</v>
      </c>
      <c r="F7224" s="336"/>
      <c r="G7224" s="336" t="s">
        <v>40</v>
      </c>
      <c r="H7224" s="497" t="s">
        <v>5945</v>
      </c>
      <c r="I7224" s="356">
        <v>13818894344</v>
      </c>
      <c r="J7224" s="348" t="s">
        <v>15707</v>
      </c>
      <c r="K7224" s="337"/>
      <c r="L7224" s="338"/>
      <c r="M7224" s="334">
        <v>-60</v>
      </c>
      <c r="N7224" s="362">
        <f t="shared" si="247"/>
        <v>-60</v>
      </c>
      <c r="X7224" s="339"/>
    </row>
    <row r="7225" s="330" customFormat="1" ht="15" customHeight="1" spans="1:24">
      <c r="A7225" s="334"/>
      <c r="B7225" s="348" t="s">
        <v>153</v>
      </c>
      <c r="C7225" s="334" t="s">
        <v>15708</v>
      </c>
      <c r="D7225" s="334" t="s">
        <v>155</v>
      </c>
      <c r="E7225" s="393">
        <v>43738</v>
      </c>
      <c r="F7225" s="336"/>
      <c r="G7225" s="336" t="s">
        <v>40</v>
      </c>
      <c r="H7225" s="497" t="s">
        <v>3238</v>
      </c>
      <c r="I7225" s="356">
        <v>18721651917</v>
      </c>
      <c r="J7225" s="348" t="s">
        <v>15709</v>
      </c>
      <c r="K7225" s="337"/>
      <c r="L7225" s="338"/>
      <c r="M7225" s="334">
        <v>-112</v>
      </c>
      <c r="N7225" s="362">
        <f t="shared" si="247"/>
        <v>-112</v>
      </c>
      <c r="X7225" s="339"/>
    </row>
    <row r="7226" s="330" customFormat="1" ht="15" customHeight="1" spans="1:24">
      <c r="A7226" s="334"/>
      <c r="B7226" s="348" t="s">
        <v>153</v>
      </c>
      <c r="C7226" s="334" t="s">
        <v>15708</v>
      </c>
      <c r="D7226" s="334" t="s">
        <v>155</v>
      </c>
      <c r="E7226" s="393">
        <v>43738</v>
      </c>
      <c r="F7226" s="336"/>
      <c r="G7226" s="336" t="s">
        <v>40</v>
      </c>
      <c r="H7226" s="497" t="s">
        <v>15710</v>
      </c>
      <c r="I7226" s="444">
        <v>13524908147</v>
      </c>
      <c r="J7226" s="348" t="s">
        <v>15711</v>
      </c>
      <c r="K7226" s="337"/>
      <c r="L7226" s="338"/>
      <c r="M7226" s="334">
        <v>-818</v>
      </c>
      <c r="N7226" s="362">
        <f t="shared" si="247"/>
        <v>-818</v>
      </c>
      <c r="X7226" s="339"/>
    </row>
    <row r="7227" s="330" customFormat="1" ht="15" customHeight="1" spans="1:24">
      <c r="A7227" s="334"/>
      <c r="B7227" s="348" t="s">
        <v>123</v>
      </c>
      <c r="C7227" s="334" t="s">
        <v>902</v>
      </c>
      <c r="D7227" s="334" t="s">
        <v>37</v>
      </c>
      <c r="E7227" s="393">
        <v>43738</v>
      </c>
      <c r="F7227" s="336"/>
      <c r="G7227" s="336" t="s">
        <v>40</v>
      </c>
      <c r="H7227" s="497" t="s">
        <v>5737</v>
      </c>
      <c r="I7227" s="356">
        <v>15921549369</v>
      </c>
      <c r="J7227" s="348" t="s">
        <v>15712</v>
      </c>
      <c r="K7227" s="337"/>
      <c r="L7227" s="338"/>
      <c r="M7227" s="334">
        <v>-380</v>
      </c>
      <c r="N7227" s="362">
        <f t="shared" si="247"/>
        <v>-380</v>
      </c>
      <c r="X7227" s="339"/>
    </row>
    <row r="7228" s="330" customFormat="1" ht="15" customHeight="1" spans="1:24">
      <c r="A7228" s="334"/>
      <c r="B7228" s="348" t="s">
        <v>123</v>
      </c>
      <c r="C7228" s="334" t="s">
        <v>124</v>
      </c>
      <c r="D7228" s="334" t="s">
        <v>125</v>
      </c>
      <c r="E7228" s="393">
        <v>43738</v>
      </c>
      <c r="F7228" s="336"/>
      <c r="G7228" s="336" t="s">
        <v>40</v>
      </c>
      <c r="H7228" s="497" t="s">
        <v>2154</v>
      </c>
      <c r="I7228" s="356">
        <v>13817211280</v>
      </c>
      <c r="J7228" s="348" t="s">
        <v>15713</v>
      </c>
      <c r="K7228" s="337"/>
      <c r="L7228" s="338"/>
      <c r="M7228" s="334">
        <v>-1601</v>
      </c>
      <c r="N7228" s="362">
        <f t="shared" si="247"/>
        <v>-1601</v>
      </c>
      <c r="X7228" s="339"/>
    </row>
    <row r="7229" s="330" customFormat="1" ht="15" customHeight="1" spans="1:24">
      <c r="A7229" s="334"/>
      <c r="B7229" s="348" t="s">
        <v>123</v>
      </c>
      <c r="C7229" s="334" t="s">
        <v>902</v>
      </c>
      <c r="D7229" s="334" t="s">
        <v>125</v>
      </c>
      <c r="E7229" s="393">
        <v>43738</v>
      </c>
      <c r="F7229" s="336"/>
      <c r="G7229" s="336" t="s">
        <v>40</v>
      </c>
      <c r="H7229" s="497" t="s">
        <v>8395</v>
      </c>
      <c r="I7229" s="356">
        <v>18301906732</v>
      </c>
      <c r="J7229" s="356" t="s">
        <v>15714</v>
      </c>
      <c r="K7229" s="337"/>
      <c r="L7229" s="338"/>
      <c r="M7229" s="334">
        <v>-800</v>
      </c>
      <c r="N7229" s="362">
        <f t="shared" si="247"/>
        <v>-800</v>
      </c>
      <c r="X7229" s="339"/>
    </row>
    <row r="7230" s="330" customFormat="1" ht="15" customHeight="1" spans="1:24">
      <c r="A7230" s="334"/>
      <c r="B7230" s="348" t="s">
        <v>58</v>
      </c>
      <c r="C7230" s="348" t="s">
        <v>15608</v>
      </c>
      <c r="D7230" s="334" t="s">
        <v>343</v>
      </c>
      <c r="E7230" s="393">
        <v>43738</v>
      </c>
      <c r="F7230" s="336"/>
      <c r="G7230" s="336" t="s">
        <v>40</v>
      </c>
      <c r="H7230" s="497" t="s">
        <v>15715</v>
      </c>
      <c r="I7230" s="356">
        <v>15721525332</v>
      </c>
      <c r="J7230" s="348" t="s">
        <v>15716</v>
      </c>
      <c r="K7230" s="337"/>
      <c r="L7230" s="338"/>
      <c r="M7230" s="334">
        <v>-350</v>
      </c>
      <c r="N7230" s="362">
        <f t="shared" si="247"/>
        <v>-350</v>
      </c>
      <c r="X7230" s="339"/>
    </row>
    <row r="7231" s="330" customFormat="1" ht="15" customHeight="1" spans="1:24">
      <c r="A7231" s="334"/>
      <c r="B7231" s="348" t="s">
        <v>405</v>
      </c>
      <c r="C7231" s="348" t="s">
        <v>823</v>
      </c>
      <c r="D7231" s="334" t="s">
        <v>110</v>
      </c>
      <c r="E7231" s="393">
        <v>43738</v>
      </c>
      <c r="F7231" s="336"/>
      <c r="G7231" s="336" t="s">
        <v>40</v>
      </c>
      <c r="H7231" s="497" t="s">
        <v>15717</v>
      </c>
      <c r="I7231" s="444">
        <v>15316496326</v>
      </c>
      <c r="J7231" s="348" t="s">
        <v>15718</v>
      </c>
      <c r="K7231" s="337"/>
      <c r="L7231" s="338"/>
      <c r="M7231" s="334">
        <v>-612</v>
      </c>
      <c r="N7231" s="362">
        <f t="shared" si="247"/>
        <v>-612</v>
      </c>
      <c r="X7231" s="339"/>
    </row>
    <row r="7232" s="330" customFormat="1" ht="15" customHeight="1" spans="1:24">
      <c r="A7232" s="334"/>
      <c r="B7232" s="334" t="s">
        <v>137</v>
      </c>
      <c r="C7232" s="334" t="s">
        <v>498</v>
      </c>
      <c r="D7232" s="334" t="s">
        <v>498</v>
      </c>
      <c r="E7232" s="393">
        <v>43738</v>
      </c>
      <c r="F7232" s="336"/>
      <c r="G7232" s="336" t="s">
        <v>40</v>
      </c>
      <c r="H7232" s="497" t="s">
        <v>15719</v>
      </c>
      <c r="I7232" s="334">
        <v>13611946825</v>
      </c>
      <c r="J7232" s="334"/>
      <c r="K7232" s="337"/>
      <c r="L7232" s="338"/>
      <c r="M7232" s="334">
        <v>-797</v>
      </c>
      <c r="N7232" s="362">
        <f t="shared" si="247"/>
        <v>-797</v>
      </c>
      <c r="X7232" s="339"/>
    </row>
    <row r="7233" s="330" customFormat="1" ht="15" customHeight="1" spans="1:24">
      <c r="A7233" s="334"/>
      <c r="B7233" s="348" t="s">
        <v>137</v>
      </c>
      <c r="C7233" s="348" t="s">
        <v>406</v>
      </c>
      <c r="D7233" s="334" t="s">
        <v>139</v>
      </c>
      <c r="E7233" s="393">
        <v>43738</v>
      </c>
      <c r="F7233" s="336"/>
      <c r="G7233" s="336" t="s">
        <v>40</v>
      </c>
      <c r="H7233" s="497" t="s">
        <v>15720</v>
      </c>
      <c r="I7233" s="356">
        <v>13916943230</v>
      </c>
      <c r="J7233" s="348" t="s">
        <v>15721</v>
      </c>
      <c r="K7233" s="337"/>
      <c r="L7233" s="338"/>
      <c r="M7233" s="334">
        <v>-3387</v>
      </c>
      <c r="N7233" s="362">
        <f t="shared" si="247"/>
        <v>-3387</v>
      </c>
      <c r="X7233" s="339"/>
    </row>
    <row r="7234" s="330" customFormat="1" ht="15" customHeight="1" spans="1:24">
      <c r="A7234" s="334"/>
      <c r="B7234" s="348" t="s">
        <v>137</v>
      </c>
      <c r="C7234" s="348" t="s">
        <v>138</v>
      </c>
      <c r="D7234" s="334" t="s">
        <v>427</v>
      </c>
      <c r="E7234" s="393">
        <v>43738</v>
      </c>
      <c r="F7234" s="336"/>
      <c r="G7234" s="336" t="s">
        <v>40</v>
      </c>
      <c r="H7234" s="497" t="s">
        <v>15722</v>
      </c>
      <c r="I7234" s="356">
        <v>15021804772</v>
      </c>
      <c r="J7234" s="348" t="s">
        <v>15723</v>
      </c>
      <c r="K7234" s="337"/>
      <c r="L7234" s="338"/>
      <c r="M7234" s="334">
        <v>-1978</v>
      </c>
      <c r="N7234" s="362">
        <f t="shared" si="247"/>
        <v>-1978</v>
      </c>
      <c r="X7234" s="339"/>
    </row>
    <row r="7235" s="330" customFormat="1" ht="15" customHeight="1" spans="1:24">
      <c r="A7235" s="334"/>
      <c r="B7235" s="348" t="s">
        <v>137</v>
      </c>
      <c r="C7235" s="334" t="s">
        <v>480</v>
      </c>
      <c r="D7235" s="334" t="s">
        <v>139</v>
      </c>
      <c r="E7235" s="393">
        <v>43738</v>
      </c>
      <c r="F7235" s="336"/>
      <c r="G7235" s="336" t="s">
        <v>40</v>
      </c>
      <c r="H7235" s="497" t="s">
        <v>3881</v>
      </c>
      <c r="I7235" s="356">
        <v>18117449539</v>
      </c>
      <c r="J7235" s="348" t="s">
        <v>3882</v>
      </c>
      <c r="K7235" s="337"/>
      <c r="L7235" s="338"/>
      <c r="M7235" s="334">
        <v>-226</v>
      </c>
      <c r="N7235" s="362">
        <f t="shared" si="247"/>
        <v>-226</v>
      </c>
      <c r="X7235" s="339"/>
    </row>
    <row r="7236" s="330" customFormat="1" ht="15" customHeight="1" spans="1:24">
      <c r="A7236" s="334"/>
      <c r="B7236" s="348" t="s">
        <v>58</v>
      </c>
      <c r="C7236" s="348" t="s">
        <v>794</v>
      </c>
      <c r="D7236" s="334" t="s">
        <v>110</v>
      </c>
      <c r="E7236" s="393">
        <v>43738</v>
      </c>
      <c r="F7236" s="336"/>
      <c r="G7236" s="336" t="s">
        <v>40</v>
      </c>
      <c r="H7236" s="497" t="s">
        <v>15724</v>
      </c>
      <c r="I7236" s="356">
        <v>13564020202</v>
      </c>
      <c r="J7236" s="348" t="s">
        <v>15725</v>
      </c>
      <c r="K7236" s="337"/>
      <c r="L7236" s="338"/>
      <c r="M7236" s="334">
        <v>-50</v>
      </c>
      <c r="N7236" s="362">
        <f t="shared" si="247"/>
        <v>-50</v>
      </c>
      <c r="X7236" s="339"/>
    </row>
    <row r="7237" s="330" customFormat="1" ht="15" customHeight="1" spans="1:24">
      <c r="A7237" s="334"/>
      <c r="B7237" s="348" t="s">
        <v>58</v>
      </c>
      <c r="C7237" s="334" t="s">
        <v>347</v>
      </c>
      <c r="D7237" s="334" t="s">
        <v>343</v>
      </c>
      <c r="E7237" s="393">
        <v>43738</v>
      </c>
      <c r="F7237" s="336"/>
      <c r="G7237" s="336" t="s">
        <v>40</v>
      </c>
      <c r="H7237" s="497" t="s">
        <v>3617</v>
      </c>
      <c r="I7237" s="444">
        <v>13501661388</v>
      </c>
      <c r="J7237" s="348" t="s">
        <v>15726</v>
      </c>
      <c r="K7237" s="337"/>
      <c r="L7237" s="338"/>
      <c r="M7237" s="334">
        <v>-203</v>
      </c>
      <c r="N7237" s="362">
        <f t="shared" si="247"/>
        <v>-203</v>
      </c>
      <c r="X7237" s="339"/>
    </row>
    <row r="7238" s="330" customFormat="1" ht="15" customHeight="1" spans="1:24">
      <c r="A7238" s="334"/>
      <c r="B7238" s="334" t="s">
        <v>315</v>
      </c>
      <c r="C7238" s="348" t="s">
        <v>258</v>
      </c>
      <c r="D7238" s="334" t="s">
        <v>5695</v>
      </c>
      <c r="E7238" s="393">
        <v>43738</v>
      </c>
      <c r="F7238" s="336"/>
      <c r="G7238" s="336" t="s">
        <v>40</v>
      </c>
      <c r="H7238" s="497" t="s">
        <v>10015</v>
      </c>
      <c r="I7238" s="356">
        <v>13818819317</v>
      </c>
      <c r="J7238" s="348" t="s">
        <v>10016</v>
      </c>
      <c r="K7238" s="337"/>
      <c r="L7238" s="338"/>
      <c r="M7238" s="334">
        <v>-5821</v>
      </c>
      <c r="N7238" s="362">
        <f t="shared" si="247"/>
        <v>-5821</v>
      </c>
      <c r="X7238" s="339"/>
    </row>
    <row r="7239" s="330" customFormat="1" ht="15" customHeight="1" spans="1:24">
      <c r="A7239" s="334"/>
      <c r="B7239" s="334" t="s">
        <v>315</v>
      </c>
      <c r="C7239" s="348" t="s">
        <v>366</v>
      </c>
      <c r="D7239" s="334" t="s">
        <v>132</v>
      </c>
      <c r="E7239" s="393">
        <v>43738</v>
      </c>
      <c r="F7239" s="336"/>
      <c r="G7239" s="336" t="s">
        <v>40</v>
      </c>
      <c r="H7239" s="497" t="s">
        <v>13329</v>
      </c>
      <c r="I7239" s="356">
        <v>15802178880</v>
      </c>
      <c r="J7239" s="348" t="s">
        <v>15657</v>
      </c>
      <c r="K7239" s="337"/>
      <c r="L7239" s="338"/>
      <c r="M7239" s="334">
        <v>-180</v>
      </c>
      <c r="N7239" s="362">
        <f t="shared" si="247"/>
        <v>-180</v>
      </c>
      <c r="X7239" s="339"/>
    </row>
    <row r="7240" s="330" customFormat="1" ht="15" customHeight="1" spans="1:24">
      <c r="A7240" s="334"/>
      <c r="B7240" s="334" t="s">
        <v>315</v>
      </c>
      <c r="C7240" s="334" t="s">
        <v>161</v>
      </c>
      <c r="D7240" s="334" t="s">
        <v>149</v>
      </c>
      <c r="E7240" s="393">
        <v>43738</v>
      </c>
      <c r="F7240" s="336"/>
      <c r="G7240" s="336" t="s">
        <v>40</v>
      </c>
      <c r="H7240" s="497" t="s">
        <v>15661</v>
      </c>
      <c r="I7240" s="356">
        <v>18701990961</v>
      </c>
      <c r="J7240" s="348" t="s">
        <v>15662</v>
      </c>
      <c r="K7240" s="337"/>
      <c r="L7240" s="338"/>
      <c r="M7240" s="334">
        <v>-62</v>
      </c>
      <c r="N7240" s="362">
        <f t="shared" si="247"/>
        <v>-62</v>
      </c>
      <c r="X7240" s="339"/>
    </row>
    <row r="7241" s="330" customFormat="1" ht="15" customHeight="1" spans="1:24">
      <c r="A7241" s="334"/>
      <c r="B7241" s="348" t="s">
        <v>31</v>
      </c>
      <c r="C7241" s="348" t="s">
        <v>251</v>
      </c>
      <c r="D7241" s="334" t="s">
        <v>33</v>
      </c>
      <c r="E7241" s="393">
        <v>43738</v>
      </c>
      <c r="F7241" s="336"/>
      <c r="G7241" s="336" t="s">
        <v>40</v>
      </c>
      <c r="H7241" s="497" t="s">
        <v>7839</v>
      </c>
      <c r="I7241" s="334">
        <v>13701928635</v>
      </c>
      <c r="J7241" s="348" t="s">
        <v>15727</v>
      </c>
      <c r="K7241" s="337"/>
      <c r="L7241" s="338"/>
      <c r="M7241" s="334">
        <v>-2940</v>
      </c>
      <c r="N7241" s="362">
        <f t="shared" si="247"/>
        <v>-2940</v>
      </c>
      <c r="X7241" s="339"/>
    </row>
    <row r="7242" s="330" customFormat="1" ht="15" customHeight="1" spans="1:24">
      <c r="A7242" s="334"/>
      <c r="B7242" s="348" t="s">
        <v>31</v>
      </c>
      <c r="C7242" s="348" t="s">
        <v>32</v>
      </c>
      <c r="D7242" s="334" t="s">
        <v>221</v>
      </c>
      <c r="E7242" s="393">
        <v>43738</v>
      </c>
      <c r="F7242" s="336"/>
      <c r="G7242" s="336" t="s">
        <v>40</v>
      </c>
      <c r="H7242" s="497" t="s">
        <v>5740</v>
      </c>
      <c r="I7242" s="356">
        <v>13651945557</v>
      </c>
      <c r="J7242" s="348" t="s">
        <v>15728</v>
      </c>
      <c r="K7242" s="337"/>
      <c r="L7242" s="338"/>
      <c r="M7242" s="334">
        <v>-56</v>
      </c>
      <c r="N7242" s="362">
        <f t="shared" si="247"/>
        <v>-56</v>
      </c>
      <c r="X7242" s="339"/>
    </row>
    <row r="7243" s="330" customFormat="1" ht="15" customHeight="1" spans="1:24">
      <c r="A7243" s="334"/>
      <c r="B7243" s="348" t="s">
        <v>31</v>
      </c>
      <c r="C7243" s="348" t="s">
        <v>220</v>
      </c>
      <c r="D7243" s="334" t="s">
        <v>221</v>
      </c>
      <c r="E7243" s="393">
        <v>43738</v>
      </c>
      <c r="F7243" s="336"/>
      <c r="G7243" s="336" t="s">
        <v>40</v>
      </c>
      <c r="H7243" s="497" t="s">
        <v>15729</v>
      </c>
      <c r="I7243" s="496">
        <v>13262712121</v>
      </c>
      <c r="J7243" s="496" t="s">
        <v>15730</v>
      </c>
      <c r="K7243" s="337"/>
      <c r="L7243" s="338"/>
      <c r="M7243" s="334">
        <v>-633</v>
      </c>
      <c r="N7243" s="362">
        <f t="shared" si="247"/>
        <v>-633</v>
      </c>
      <c r="X7243" s="339"/>
    </row>
    <row r="7244" s="330" customFormat="1" ht="15" customHeight="1" spans="1:24">
      <c r="A7244" s="334"/>
      <c r="B7244" s="348" t="s">
        <v>31</v>
      </c>
      <c r="C7244" s="348" t="s">
        <v>251</v>
      </c>
      <c r="D7244" s="334" t="s">
        <v>221</v>
      </c>
      <c r="E7244" s="393">
        <v>43738</v>
      </c>
      <c r="F7244" s="336"/>
      <c r="G7244" s="336" t="s">
        <v>40</v>
      </c>
      <c r="H7244" s="497" t="s">
        <v>12079</v>
      </c>
      <c r="I7244" s="356" t="s">
        <v>15731</v>
      </c>
      <c r="J7244" s="348" t="s">
        <v>15732</v>
      </c>
      <c r="K7244" s="337"/>
      <c r="L7244" s="338"/>
      <c r="M7244" s="334">
        <v>-299</v>
      </c>
      <c r="N7244" s="362">
        <f t="shared" si="247"/>
        <v>-299</v>
      </c>
      <c r="X7244" s="339"/>
    </row>
    <row r="7245" s="330" customFormat="1" ht="15" customHeight="1" spans="1:24">
      <c r="A7245" s="334"/>
      <c r="B7245" s="348" t="s">
        <v>31</v>
      </c>
      <c r="C7245" s="348" t="s">
        <v>32</v>
      </c>
      <c r="D7245" s="334" t="s">
        <v>162</v>
      </c>
      <c r="E7245" s="393">
        <v>43738</v>
      </c>
      <c r="F7245" s="336"/>
      <c r="G7245" s="336" t="s">
        <v>40</v>
      </c>
      <c r="H7245" s="497" t="s">
        <v>5513</v>
      </c>
      <c r="I7245" s="356" t="s">
        <v>5514</v>
      </c>
      <c r="J7245" s="348" t="s">
        <v>5515</v>
      </c>
      <c r="K7245" s="337"/>
      <c r="L7245" s="338"/>
      <c r="M7245" s="334">
        <v>-936</v>
      </c>
      <c r="N7245" s="362">
        <f t="shared" si="247"/>
        <v>-936</v>
      </c>
      <c r="X7245" s="339"/>
    </row>
    <row r="7246" s="330" customFormat="1" ht="15" customHeight="1" spans="1:24">
      <c r="A7246" s="334"/>
      <c r="B7246" s="348" t="s">
        <v>35</v>
      </c>
      <c r="C7246" s="348" t="s">
        <v>328</v>
      </c>
      <c r="D7246" s="334" t="s">
        <v>115</v>
      </c>
      <c r="E7246" s="393">
        <v>43738</v>
      </c>
      <c r="F7246" s="336"/>
      <c r="G7246" s="336" t="s">
        <v>40</v>
      </c>
      <c r="H7246" s="497" t="s">
        <v>15733</v>
      </c>
      <c r="I7246" s="356">
        <v>17721408319</v>
      </c>
      <c r="J7246" s="348" t="s">
        <v>15734</v>
      </c>
      <c r="K7246" s="337"/>
      <c r="L7246" s="338"/>
      <c r="M7246" s="334">
        <v>-182</v>
      </c>
      <c r="N7246" s="362">
        <f t="shared" si="247"/>
        <v>-182</v>
      </c>
      <c r="X7246" s="339"/>
    </row>
    <row r="7247" s="330" customFormat="1" ht="15" customHeight="1" spans="1:24">
      <c r="A7247" s="334"/>
      <c r="B7247" s="334" t="s">
        <v>35</v>
      </c>
      <c r="C7247" s="334" t="s">
        <v>15572</v>
      </c>
      <c r="D7247" s="334" t="s">
        <v>44</v>
      </c>
      <c r="E7247" s="393">
        <v>43738</v>
      </c>
      <c r="F7247" s="336"/>
      <c r="G7247" s="336" t="s">
        <v>40</v>
      </c>
      <c r="H7247" s="497" t="s">
        <v>15735</v>
      </c>
      <c r="I7247" s="334">
        <v>13817190799</v>
      </c>
      <c r="J7247" s="334" t="s">
        <v>15736</v>
      </c>
      <c r="K7247" s="337"/>
      <c r="L7247" s="338"/>
      <c r="M7247" s="334">
        <v>-149.4</v>
      </c>
      <c r="N7247" s="362">
        <f t="shared" si="247"/>
        <v>-149.4</v>
      </c>
      <c r="X7247" s="339"/>
    </row>
    <row r="7248" s="330" customFormat="1" ht="15" customHeight="1" spans="1:24">
      <c r="A7248" s="334"/>
      <c r="B7248" s="348" t="s">
        <v>87</v>
      </c>
      <c r="C7248" s="334" t="s">
        <v>199</v>
      </c>
      <c r="D7248" s="334" t="s">
        <v>717</v>
      </c>
      <c r="E7248" s="393">
        <v>43738</v>
      </c>
      <c r="F7248" s="336"/>
      <c r="G7248" s="336" t="s">
        <v>40</v>
      </c>
      <c r="H7248" s="497" t="s">
        <v>2645</v>
      </c>
      <c r="I7248" s="444">
        <v>13501668451</v>
      </c>
      <c r="J7248" s="348" t="s">
        <v>15737</v>
      </c>
      <c r="K7248" s="337"/>
      <c r="L7248" s="338"/>
      <c r="M7248" s="334">
        <v>-207</v>
      </c>
      <c r="N7248" s="362">
        <f t="shared" si="247"/>
        <v>-207</v>
      </c>
      <c r="X7248" s="339"/>
    </row>
    <row r="7249" s="330" customFormat="1" ht="15" customHeight="1" spans="1:24">
      <c r="A7249" s="334"/>
      <c r="B7249" s="425" t="s">
        <v>58</v>
      </c>
      <c r="C7249" s="425" t="s">
        <v>109</v>
      </c>
      <c r="D7249" s="334" t="s">
        <v>1170</v>
      </c>
      <c r="E7249" s="393">
        <v>43738</v>
      </c>
      <c r="F7249" s="336"/>
      <c r="G7249" s="336" t="s">
        <v>40</v>
      </c>
      <c r="H7249" s="497" t="s">
        <v>14535</v>
      </c>
      <c r="I7249" s="496">
        <v>13916024121</v>
      </c>
      <c r="J7249" s="496" t="s">
        <v>15698</v>
      </c>
      <c r="K7249" s="337"/>
      <c r="L7249" s="338"/>
      <c r="M7249" s="334">
        <v>-50</v>
      </c>
      <c r="N7249" s="362">
        <f t="shared" si="247"/>
        <v>-50</v>
      </c>
      <c r="X7249" s="339"/>
    </row>
    <row r="7250" s="330" customFormat="1" ht="15" customHeight="1" spans="1:24">
      <c r="A7250" s="334"/>
      <c r="B7250" s="334" t="s">
        <v>73</v>
      </c>
      <c r="C7250" s="334" t="s">
        <v>74</v>
      </c>
      <c r="D7250" s="334" t="s">
        <v>143</v>
      </c>
      <c r="E7250" s="393">
        <v>43738</v>
      </c>
      <c r="F7250" s="336"/>
      <c r="G7250" s="336" t="s">
        <v>40</v>
      </c>
      <c r="H7250" s="334" t="s">
        <v>2354</v>
      </c>
      <c r="I7250" s="334">
        <v>13764939316</v>
      </c>
      <c r="J7250" s="334" t="s">
        <v>2355</v>
      </c>
      <c r="K7250" s="337"/>
      <c r="L7250" s="338"/>
      <c r="M7250" s="334">
        <v>-14610.33</v>
      </c>
      <c r="N7250" s="362">
        <f t="shared" si="247"/>
        <v>-14610.33</v>
      </c>
      <c r="X7250" s="339"/>
    </row>
    <row r="7251" s="330" customFormat="1" ht="15" customHeight="1" spans="1:24">
      <c r="A7251" s="334"/>
      <c r="B7251" s="348" t="s">
        <v>335</v>
      </c>
      <c r="C7251" s="334" t="s">
        <v>615</v>
      </c>
      <c r="D7251" s="334" t="s">
        <v>337</v>
      </c>
      <c r="E7251" s="393">
        <v>43738</v>
      </c>
      <c r="F7251" s="336"/>
      <c r="G7251" s="336" t="s">
        <v>40</v>
      </c>
      <c r="H7251" s="497" t="s">
        <v>2418</v>
      </c>
      <c r="I7251" s="444">
        <v>18616181599</v>
      </c>
      <c r="J7251" s="348" t="s">
        <v>15738</v>
      </c>
      <c r="K7251" s="337"/>
      <c r="L7251" s="338"/>
      <c r="M7251" s="334">
        <v>-201</v>
      </c>
      <c r="N7251" s="362">
        <f t="shared" si="247"/>
        <v>-201</v>
      </c>
      <c r="X7251" s="339"/>
    </row>
    <row r="7252" s="330" customFormat="1" ht="15" customHeight="1" spans="1:24">
      <c r="A7252" s="334"/>
      <c r="B7252" s="348" t="s">
        <v>123</v>
      </c>
      <c r="C7252" s="348" t="s">
        <v>124</v>
      </c>
      <c r="D7252" s="334" t="s">
        <v>125</v>
      </c>
      <c r="E7252" s="393">
        <v>43738</v>
      </c>
      <c r="F7252" s="336"/>
      <c r="G7252" s="336" t="s">
        <v>40</v>
      </c>
      <c r="H7252" s="497" t="s">
        <v>15739</v>
      </c>
      <c r="I7252" s="444">
        <v>18916875559</v>
      </c>
      <c r="J7252" s="348" t="s">
        <v>15740</v>
      </c>
      <c r="K7252" s="337"/>
      <c r="L7252" s="338"/>
      <c r="M7252" s="334">
        <v>-50</v>
      </c>
      <c r="N7252" s="362">
        <f t="shared" si="247"/>
        <v>-50</v>
      </c>
      <c r="X7252" s="339"/>
    </row>
    <row r="7253" s="330" customFormat="1" ht="15" customHeight="1" spans="1:24">
      <c r="A7253" s="334"/>
      <c r="B7253" s="348" t="s">
        <v>137</v>
      </c>
      <c r="C7253" s="348" t="s">
        <v>138</v>
      </c>
      <c r="D7253" s="334" t="s">
        <v>171</v>
      </c>
      <c r="E7253" s="393">
        <v>43738</v>
      </c>
      <c r="F7253" s="336"/>
      <c r="G7253" s="336" t="s">
        <v>40</v>
      </c>
      <c r="H7253" s="497" t="s">
        <v>11823</v>
      </c>
      <c r="I7253" s="356">
        <v>13524752118</v>
      </c>
      <c r="J7253" s="348" t="s">
        <v>15741</v>
      </c>
      <c r="K7253" s="337"/>
      <c r="L7253" s="338"/>
      <c r="M7253" s="334">
        <v>-300</v>
      </c>
      <c r="N7253" s="362">
        <f t="shared" si="247"/>
        <v>-300</v>
      </c>
      <c r="X7253" s="339"/>
    </row>
    <row r="7254" s="330" customFormat="1" ht="15" customHeight="1" spans="1:24">
      <c r="A7254" s="334"/>
      <c r="B7254" s="348" t="s">
        <v>137</v>
      </c>
      <c r="C7254" s="348" t="s">
        <v>480</v>
      </c>
      <c r="D7254" s="334" t="s">
        <v>139</v>
      </c>
      <c r="E7254" s="393">
        <v>43738</v>
      </c>
      <c r="F7254" s="336"/>
      <c r="G7254" s="336" t="s">
        <v>40</v>
      </c>
      <c r="H7254" s="497" t="s">
        <v>4368</v>
      </c>
      <c r="I7254" s="356">
        <v>13817989817</v>
      </c>
      <c r="J7254" s="348" t="s">
        <v>4369</v>
      </c>
      <c r="K7254" s="337"/>
      <c r="L7254" s="338"/>
      <c r="M7254" s="334">
        <v>-62</v>
      </c>
      <c r="N7254" s="362">
        <f t="shared" si="247"/>
        <v>-62</v>
      </c>
      <c r="X7254" s="339"/>
    </row>
    <row r="7255" s="330" customFormat="1" ht="15" customHeight="1" spans="1:24">
      <c r="A7255" s="334"/>
      <c r="B7255" s="348" t="s">
        <v>137</v>
      </c>
      <c r="C7255" s="348" t="s">
        <v>426</v>
      </c>
      <c r="D7255" s="334" t="s">
        <v>60</v>
      </c>
      <c r="E7255" s="393">
        <v>43738</v>
      </c>
      <c r="F7255" s="336"/>
      <c r="G7255" s="336" t="s">
        <v>40</v>
      </c>
      <c r="H7255" s="497" t="s">
        <v>15742</v>
      </c>
      <c r="I7255" s="356">
        <v>13764303783</v>
      </c>
      <c r="J7255" s="348" t="s">
        <v>15743</v>
      </c>
      <c r="K7255" s="337"/>
      <c r="L7255" s="338"/>
      <c r="M7255" s="334">
        <v>-100</v>
      </c>
      <c r="N7255" s="362">
        <f t="shared" si="247"/>
        <v>-100</v>
      </c>
      <c r="X7255" s="339"/>
    </row>
    <row r="7256" s="330" customFormat="1" ht="15" customHeight="1" spans="1:24">
      <c r="A7256" s="334"/>
      <c r="B7256" s="348" t="s">
        <v>137</v>
      </c>
      <c r="C7256" s="334" t="s">
        <v>406</v>
      </c>
      <c r="D7256" s="334" t="s">
        <v>427</v>
      </c>
      <c r="E7256" s="393">
        <v>43738</v>
      </c>
      <c r="F7256" s="336"/>
      <c r="G7256" s="336" t="s">
        <v>40</v>
      </c>
      <c r="H7256" s="497" t="s">
        <v>7250</v>
      </c>
      <c r="I7256" s="356">
        <v>18217097356</v>
      </c>
      <c r="J7256" s="348" t="s">
        <v>7831</v>
      </c>
      <c r="K7256" s="337"/>
      <c r="L7256" s="338"/>
      <c r="M7256" s="334">
        <v>-650</v>
      </c>
      <c r="N7256" s="362">
        <f t="shared" si="247"/>
        <v>-650</v>
      </c>
      <c r="X7256" s="339"/>
    </row>
    <row r="7257" s="330" customFormat="1" ht="15" customHeight="1" spans="1:24">
      <c r="A7257" s="334"/>
      <c r="B7257" s="348" t="s">
        <v>137</v>
      </c>
      <c r="C7257" s="348" t="s">
        <v>138</v>
      </c>
      <c r="D7257" s="334" t="s">
        <v>427</v>
      </c>
      <c r="E7257" s="393">
        <v>43738</v>
      </c>
      <c r="F7257" s="336"/>
      <c r="G7257" s="336" t="s">
        <v>40</v>
      </c>
      <c r="H7257" s="497" t="s">
        <v>15744</v>
      </c>
      <c r="I7257" s="356">
        <v>15021804772</v>
      </c>
      <c r="J7257" s="348" t="s">
        <v>15723</v>
      </c>
      <c r="K7257" s="337"/>
      <c r="L7257" s="338"/>
      <c r="M7257" s="334">
        <v>-50</v>
      </c>
      <c r="N7257" s="362">
        <f t="shared" si="247"/>
        <v>-50</v>
      </c>
      <c r="X7257" s="339"/>
    </row>
    <row r="7258" s="330" customFormat="1" ht="15" customHeight="1" spans="1:24">
      <c r="A7258" s="334"/>
      <c r="B7258" s="334" t="s">
        <v>58</v>
      </c>
      <c r="C7258" s="334" t="s">
        <v>342</v>
      </c>
      <c r="D7258" s="334" t="s">
        <v>343</v>
      </c>
      <c r="E7258" s="393">
        <v>43769</v>
      </c>
      <c r="F7258" s="336"/>
      <c r="G7258" s="393" t="s">
        <v>40</v>
      </c>
      <c r="H7258" s="334" t="s">
        <v>7539</v>
      </c>
      <c r="I7258" s="334">
        <v>13917835821</v>
      </c>
      <c r="J7258" s="348" t="s">
        <v>15745</v>
      </c>
      <c r="K7258" s="337"/>
      <c r="L7258" s="338"/>
      <c r="M7258" s="334">
        <v>-397</v>
      </c>
      <c r="N7258" s="362">
        <f t="shared" si="247"/>
        <v>-397</v>
      </c>
      <c r="X7258" s="339"/>
    </row>
    <row r="7259" s="330" customFormat="1" ht="15" customHeight="1" spans="1:24">
      <c r="A7259" s="334"/>
      <c r="B7259" s="334" t="s">
        <v>58</v>
      </c>
      <c r="C7259" s="334" t="s">
        <v>794</v>
      </c>
      <c r="D7259" s="334" t="s">
        <v>110</v>
      </c>
      <c r="E7259" s="393">
        <v>43769</v>
      </c>
      <c r="F7259" s="336"/>
      <c r="G7259" s="393" t="s">
        <v>40</v>
      </c>
      <c r="H7259" s="334" t="s">
        <v>5956</v>
      </c>
      <c r="I7259" s="334">
        <v>18801934612</v>
      </c>
      <c r="J7259" s="334" t="s">
        <v>15746</v>
      </c>
      <c r="K7259" s="337"/>
      <c r="L7259" s="338"/>
      <c r="M7259" s="334">
        <v>-307</v>
      </c>
      <c r="N7259" s="362">
        <f t="shared" si="247"/>
        <v>-307</v>
      </c>
      <c r="X7259" s="339"/>
    </row>
    <row r="7260" s="330" customFormat="1" ht="15" customHeight="1" spans="1:24">
      <c r="A7260" s="334"/>
      <c r="B7260" s="348" t="s">
        <v>58</v>
      </c>
      <c r="C7260" s="334" t="s">
        <v>794</v>
      </c>
      <c r="D7260" s="334" t="s">
        <v>110</v>
      </c>
      <c r="E7260" s="393">
        <v>43769</v>
      </c>
      <c r="F7260" s="336"/>
      <c r="G7260" s="393" t="s">
        <v>40</v>
      </c>
      <c r="H7260" s="269" t="s">
        <v>5953</v>
      </c>
      <c r="I7260" s="356">
        <v>13301860893</v>
      </c>
      <c r="J7260" s="348" t="s">
        <v>15747</v>
      </c>
      <c r="K7260" s="337"/>
      <c r="L7260" s="338"/>
      <c r="M7260" s="334">
        <v>-585</v>
      </c>
      <c r="N7260" s="362">
        <f t="shared" si="247"/>
        <v>-585</v>
      </c>
      <c r="X7260" s="339"/>
    </row>
    <row r="7261" s="330" customFormat="1" ht="15" customHeight="1" spans="1:24">
      <c r="A7261" s="334"/>
      <c r="B7261" s="348" t="s">
        <v>58</v>
      </c>
      <c r="C7261" s="334" t="s">
        <v>794</v>
      </c>
      <c r="D7261" s="334" t="s">
        <v>110</v>
      </c>
      <c r="E7261" s="393">
        <v>43769</v>
      </c>
      <c r="F7261" s="336"/>
      <c r="G7261" s="393" t="s">
        <v>40</v>
      </c>
      <c r="H7261" s="334" t="s">
        <v>3155</v>
      </c>
      <c r="I7261" s="356">
        <v>13564870107</v>
      </c>
      <c r="J7261" s="348" t="s">
        <v>15748</v>
      </c>
      <c r="K7261" s="337"/>
      <c r="L7261" s="338"/>
      <c r="M7261" s="334">
        <v>-204</v>
      </c>
      <c r="N7261" s="362">
        <f t="shared" si="247"/>
        <v>-204</v>
      </c>
      <c r="X7261" s="339"/>
    </row>
    <row r="7262" s="330" customFormat="1" ht="15" customHeight="1" spans="1:24">
      <c r="A7262" s="334"/>
      <c r="B7262" s="348" t="s">
        <v>58</v>
      </c>
      <c r="C7262" s="348" t="s">
        <v>342</v>
      </c>
      <c r="D7262" s="334" t="s">
        <v>110</v>
      </c>
      <c r="E7262" s="393">
        <v>43769</v>
      </c>
      <c r="F7262" s="336"/>
      <c r="G7262" s="393" t="s">
        <v>40</v>
      </c>
      <c r="H7262" s="269" t="s">
        <v>5481</v>
      </c>
      <c r="I7262" s="444">
        <v>13671761977</v>
      </c>
      <c r="J7262" s="348" t="s">
        <v>5482</v>
      </c>
      <c r="K7262" s="337"/>
      <c r="L7262" s="338"/>
      <c r="M7262" s="334">
        <v>-367</v>
      </c>
      <c r="N7262" s="362">
        <f t="shared" si="247"/>
        <v>-367</v>
      </c>
      <c r="X7262" s="339"/>
    </row>
    <row r="7263" s="330" customFormat="1" ht="15" customHeight="1" spans="1:24">
      <c r="A7263" s="334"/>
      <c r="B7263" s="334" t="s">
        <v>58</v>
      </c>
      <c r="C7263" s="334" t="s">
        <v>347</v>
      </c>
      <c r="D7263" s="334" t="s">
        <v>343</v>
      </c>
      <c r="E7263" s="393">
        <v>43769</v>
      </c>
      <c r="F7263" s="336"/>
      <c r="G7263" s="393" t="s">
        <v>40</v>
      </c>
      <c r="H7263" s="334" t="s">
        <v>1089</v>
      </c>
      <c r="I7263" s="334">
        <v>13671639182</v>
      </c>
      <c r="J7263" s="334" t="s">
        <v>15749</v>
      </c>
      <c r="K7263" s="337"/>
      <c r="L7263" s="338"/>
      <c r="M7263" s="334">
        <v>-618</v>
      </c>
      <c r="N7263" s="362">
        <f t="shared" si="247"/>
        <v>-618</v>
      </c>
      <c r="X7263" s="339"/>
    </row>
    <row r="7264" s="330" customFormat="1" ht="15" customHeight="1" spans="1:24">
      <c r="A7264" s="334"/>
      <c r="B7264" s="348" t="s">
        <v>315</v>
      </c>
      <c r="C7264" s="334" t="s">
        <v>1431</v>
      </c>
      <c r="D7264" s="334" t="s">
        <v>155</v>
      </c>
      <c r="E7264" s="393">
        <v>43769</v>
      </c>
      <c r="F7264" s="336"/>
      <c r="G7264" s="393" t="s">
        <v>40</v>
      </c>
      <c r="H7264" s="269" t="s">
        <v>1432</v>
      </c>
      <c r="I7264" s="356">
        <v>13816122700</v>
      </c>
      <c r="J7264" s="348" t="s">
        <v>1434</v>
      </c>
      <c r="K7264" s="337"/>
      <c r="L7264" s="338"/>
      <c r="M7264" s="334">
        <v>-910</v>
      </c>
      <c r="N7264" s="362">
        <f t="shared" si="247"/>
        <v>-910</v>
      </c>
      <c r="X7264" s="339"/>
    </row>
    <row r="7265" s="330" customFormat="1" ht="15" customHeight="1" spans="1:24">
      <c r="A7265" s="334"/>
      <c r="B7265" s="334" t="s">
        <v>31</v>
      </c>
      <c r="C7265" s="334" t="s">
        <v>220</v>
      </c>
      <c r="D7265" s="334" t="s">
        <v>162</v>
      </c>
      <c r="E7265" s="393">
        <v>43769</v>
      </c>
      <c r="F7265" s="336"/>
      <c r="G7265" s="393" t="s">
        <v>40</v>
      </c>
      <c r="H7265" s="334" t="s">
        <v>15750</v>
      </c>
      <c r="I7265" s="337">
        <v>13817958284</v>
      </c>
      <c r="J7265" s="334" t="s">
        <v>15751</v>
      </c>
      <c r="K7265" s="337"/>
      <c r="L7265" s="338"/>
      <c r="M7265" s="334">
        <v>-1781</v>
      </c>
      <c r="N7265" s="362">
        <f t="shared" si="247"/>
        <v>-1781</v>
      </c>
      <c r="X7265" s="339"/>
    </row>
    <row r="7266" s="330" customFormat="1" ht="15" customHeight="1" spans="1:24">
      <c r="A7266" s="334"/>
      <c r="B7266" s="334" t="s">
        <v>31</v>
      </c>
      <c r="C7266" s="334" t="s">
        <v>498</v>
      </c>
      <c r="D7266" s="334" t="s">
        <v>498</v>
      </c>
      <c r="E7266" s="393">
        <v>43769</v>
      </c>
      <c r="F7266" s="336"/>
      <c r="G7266" s="393" t="s">
        <v>40</v>
      </c>
      <c r="H7266" s="334" t="s">
        <v>15752</v>
      </c>
      <c r="I7266" s="334">
        <v>18918230238</v>
      </c>
      <c r="J7266" s="348"/>
      <c r="K7266" s="337"/>
      <c r="L7266" s="338"/>
      <c r="M7266" s="334">
        <v>-5298</v>
      </c>
      <c r="N7266" s="362">
        <f t="shared" si="247"/>
        <v>-5298</v>
      </c>
      <c r="X7266" s="339"/>
    </row>
    <row r="7267" s="330" customFormat="1" ht="15" customHeight="1" spans="1:24">
      <c r="A7267" s="334"/>
      <c r="B7267" s="334" t="s">
        <v>31</v>
      </c>
      <c r="C7267" s="334" t="s">
        <v>2716</v>
      </c>
      <c r="D7267" s="334" t="s">
        <v>221</v>
      </c>
      <c r="E7267" s="393">
        <v>43769</v>
      </c>
      <c r="F7267" s="336"/>
      <c r="G7267" s="393" t="s">
        <v>40</v>
      </c>
      <c r="H7267" s="334" t="s">
        <v>8350</v>
      </c>
      <c r="I7267" s="334">
        <v>13818053222</v>
      </c>
      <c r="J7267" s="334" t="s">
        <v>15753</v>
      </c>
      <c r="K7267" s="337"/>
      <c r="L7267" s="338"/>
      <c r="M7267" s="334">
        <v>-615</v>
      </c>
      <c r="N7267" s="362">
        <f t="shared" si="247"/>
        <v>-615</v>
      </c>
      <c r="X7267" s="339"/>
    </row>
    <row r="7268" s="330" customFormat="1" ht="15" customHeight="1" spans="1:24">
      <c r="A7268" s="334"/>
      <c r="B7268" s="334" t="s">
        <v>31</v>
      </c>
      <c r="C7268" s="348" t="s">
        <v>32</v>
      </c>
      <c r="D7268" s="334" t="s">
        <v>33</v>
      </c>
      <c r="E7268" s="393">
        <v>43769</v>
      </c>
      <c r="F7268" s="336"/>
      <c r="G7268" s="393" t="s">
        <v>40</v>
      </c>
      <c r="H7268" s="334" t="s">
        <v>15754</v>
      </c>
      <c r="I7268" s="334">
        <v>13402137518</v>
      </c>
      <c r="J7268" s="348" t="s">
        <v>15755</v>
      </c>
      <c r="K7268" s="337"/>
      <c r="L7268" s="338"/>
      <c r="M7268" s="334">
        <v>-590</v>
      </c>
      <c r="N7268" s="362">
        <f t="shared" si="247"/>
        <v>-590</v>
      </c>
      <c r="X7268" s="339"/>
    </row>
    <row r="7269" s="330" customFormat="1" ht="15" customHeight="1" spans="1:24">
      <c r="A7269" s="334"/>
      <c r="B7269" s="334" t="s">
        <v>31</v>
      </c>
      <c r="C7269" s="334" t="s">
        <v>220</v>
      </c>
      <c r="D7269" s="334" t="s">
        <v>221</v>
      </c>
      <c r="E7269" s="393">
        <v>43769</v>
      </c>
      <c r="F7269" s="336"/>
      <c r="G7269" s="393" t="s">
        <v>40</v>
      </c>
      <c r="H7269" s="334" t="s">
        <v>4676</v>
      </c>
      <c r="I7269" s="334">
        <v>13651750910</v>
      </c>
      <c r="J7269" s="348" t="s">
        <v>15756</v>
      </c>
      <c r="K7269" s="337"/>
      <c r="L7269" s="338"/>
      <c r="M7269" s="334">
        <v>-820</v>
      </c>
      <c r="N7269" s="362">
        <f t="shared" si="247"/>
        <v>-820</v>
      </c>
      <c r="X7269" s="339"/>
    </row>
    <row r="7270" s="330" customFormat="1" ht="15" customHeight="1" spans="1:24">
      <c r="A7270" s="334"/>
      <c r="B7270" s="334" t="s">
        <v>31</v>
      </c>
      <c r="C7270" s="334" t="s">
        <v>220</v>
      </c>
      <c r="D7270" s="334" t="s">
        <v>221</v>
      </c>
      <c r="E7270" s="393">
        <v>43769</v>
      </c>
      <c r="F7270" s="336"/>
      <c r="G7270" s="393" t="s">
        <v>40</v>
      </c>
      <c r="H7270" s="334" t="s">
        <v>15757</v>
      </c>
      <c r="I7270" s="334">
        <v>13775282510</v>
      </c>
      <c r="J7270" s="348" t="s">
        <v>15758</v>
      </c>
      <c r="K7270" s="337"/>
      <c r="L7270" s="338"/>
      <c r="M7270" s="334">
        <v>-403</v>
      </c>
      <c r="N7270" s="362">
        <f t="shared" si="247"/>
        <v>-403</v>
      </c>
      <c r="X7270" s="339"/>
    </row>
    <row r="7271" s="330" customFormat="1" ht="15" customHeight="1" spans="1:24">
      <c r="A7271" s="334"/>
      <c r="B7271" s="334" t="s">
        <v>169</v>
      </c>
      <c r="C7271" s="334" t="s">
        <v>542</v>
      </c>
      <c r="D7271" s="334" t="s">
        <v>498</v>
      </c>
      <c r="E7271" s="393">
        <v>43769</v>
      </c>
      <c r="F7271" s="336"/>
      <c r="G7271" s="393" t="s">
        <v>40</v>
      </c>
      <c r="H7271" s="334" t="s">
        <v>7352</v>
      </c>
      <c r="I7271" s="334">
        <v>18616179393</v>
      </c>
      <c r="J7271" s="348" t="s">
        <v>7714</v>
      </c>
      <c r="K7271" s="337"/>
      <c r="L7271" s="338"/>
      <c r="M7271" s="334">
        <v>-205</v>
      </c>
      <c r="N7271" s="362">
        <f t="shared" si="247"/>
        <v>-205</v>
      </c>
      <c r="X7271" s="339"/>
    </row>
    <row r="7272" s="330" customFormat="1" ht="15" customHeight="1" spans="1:24">
      <c r="A7272" s="334"/>
      <c r="B7272" s="334" t="s">
        <v>66</v>
      </c>
      <c r="C7272" s="348" t="s">
        <v>505</v>
      </c>
      <c r="D7272" s="334" t="s">
        <v>187</v>
      </c>
      <c r="E7272" s="393">
        <v>43769</v>
      </c>
      <c r="F7272" s="336"/>
      <c r="G7272" s="393" t="s">
        <v>40</v>
      </c>
      <c r="H7272" s="334" t="s">
        <v>15759</v>
      </c>
      <c r="I7272" s="334">
        <v>13816396145</v>
      </c>
      <c r="J7272" s="348" t="s">
        <v>15760</v>
      </c>
      <c r="K7272" s="337"/>
      <c r="L7272" s="338"/>
      <c r="M7272" s="334">
        <v>-234</v>
      </c>
      <c r="N7272" s="362">
        <f t="shared" si="247"/>
        <v>-234</v>
      </c>
      <c r="X7272" s="339"/>
    </row>
    <row r="7273" s="330" customFormat="1" ht="15" customHeight="1" spans="1:24">
      <c r="A7273" s="334"/>
      <c r="B7273" s="334" t="s">
        <v>66</v>
      </c>
      <c r="C7273" s="334" t="s">
        <v>1749</v>
      </c>
      <c r="D7273" s="334" t="s">
        <v>68</v>
      </c>
      <c r="E7273" s="393">
        <v>43769</v>
      </c>
      <c r="F7273" s="336"/>
      <c r="G7273" s="393" t="s">
        <v>40</v>
      </c>
      <c r="H7273" s="334" t="s">
        <v>1750</v>
      </c>
      <c r="I7273" s="334">
        <v>13916558136</v>
      </c>
      <c r="J7273" s="334" t="s">
        <v>10134</v>
      </c>
      <c r="K7273" s="337"/>
      <c r="L7273" s="338"/>
      <c r="M7273" s="334">
        <v>-479</v>
      </c>
      <c r="N7273" s="362">
        <f t="shared" si="247"/>
        <v>-479</v>
      </c>
      <c r="X7273" s="339"/>
    </row>
    <row r="7274" s="330" customFormat="1" ht="15" customHeight="1" spans="1:24">
      <c r="A7274" s="334"/>
      <c r="B7274" s="334" t="s">
        <v>185</v>
      </c>
      <c r="C7274" s="348" t="s">
        <v>1204</v>
      </c>
      <c r="D7274" s="334" t="s">
        <v>187</v>
      </c>
      <c r="E7274" s="393">
        <v>43769</v>
      </c>
      <c r="F7274" s="336"/>
      <c r="G7274" s="393" t="s">
        <v>40</v>
      </c>
      <c r="H7274" s="334" t="s">
        <v>5411</v>
      </c>
      <c r="I7274" s="334">
        <v>13761263265</v>
      </c>
      <c r="J7274" s="348" t="s">
        <v>5412</v>
      </c>
      <c r="K7274" s="337"/>
      <c r="L7274" s="338"/>
      <c r="M7274" s="334">
        <v>-1064</v>
      </c>
      <c r="N7274" s="362">
        <f t="shared" si="247"/>
        <v>-1064</v>
      </c>
      <c r="X7274" s="339"/>
    </row>
    <row r="7275" s="330" customFormat="1" ht="15" customHeight="1" spans="1:24">
      <c r="A7275" s="334"/>
      <c r="B7275" s="334" t="s">
        <v>185</v>
      </c>
      <c r="C7275" s="348" t="s">
        <v>1204</v>
      </c>
      <c r="D7275" s="334" t="s">
        <v>44</v>
      </c>
      <c r="E7275" s="393">
        <v>43769</v>
      </c>
      <c r="F7275" s="336"/>
      <c r="G7275" s="393" t="s">
        <v>40</v>
      </c>
      <c r="H7275" s="269" t="s">
        <v>3391</v>
      </c>
      <c r="I7275" s="356">
        <v>18817395325</v>
      </c>
      <c r="J7275" s="348" t="s">
        <v>3392</v>
      </c>
      <c r="K7275" s="337"/>
      <c r="L7275" s="338"/>
      <c r="M7275" s="334">
        <v>-293</v>
      </c>
      <c r="N7275" s="362">
        <f t="shared" si="247"/>
        <v>-293</v>
      </c>
      <c r="X7275" s="339"/>
    </row>
    <row r="7276" s="330" customFormat="1" ht="15" customHeight="1" spans="1:24">
      <c r="A7276" s="334"/>
      <c r="B7276" s="334" t="s">
        <v>185</v>
      </c>
      <c r="C7276" s="334" t="s">
        <v>886</v>
      </c>
      <c r="D7276" s="334" t="s">
        <v>187</v>
      </c>
      <c r="E7276" s="393">
        <v>43769</v>
      </c>
      <c r="F7276" s="336"/>
      <c r="G7276" s="393" t="s">
        <v>40</v>
      </c>
      <c r="H7276" s="269" t="s">
        <v>3280</v>
      </c>
      <c r="I7276" s="444">
        <v>13818784781</v>
      </c>
      <c r="J7276" s="348" t="s">
        <v>6363</v>
      </c>
      <c r="K7276" s="337"/>
      <c r="L7276" s="338"/>
      <c r="M7276" s="334">
        <v>-495</v>
      </c>
      <c r="N7276" s="362">
        <f t="shared" si="247"/>
        <v>-495</v>
      </c>
      <c r="X7276" s="339"/>
    </row>
    <row r="7277" s="330" customFormat="1" ht="15" customHeight="1" spans="1:24">
      <c r="A7277" s="334"/>
      <c r="B7277" s="334" t="s">
        <v>185</v>
      </c>
      <c r="C7277" s="334" t="s">
        <v>186</v>
      </c>
      <c r="D7277" s="334" t="s">
        <v>187</v>
      </c>
      <c r="E7277" s="393">
        <v>43769</v>
      </c>
      <c r="F7277" s="336"/>
      <c r="G7277" s="393" t="s">
        <v>40</v>
      </c>
      <c r="H7277" s="334" t="s">
        <v>2186</v>
      </c>
      <c r="I7277" s="334">
        <v>15601760620</v>
      </c>
      <c r="J7277" s="334" t="s">
        <v>2187</v>
      </c>
      <c r="K7277" s="337"/>
      <c r="L7277" s="338"/>
      <c r="M7277" s="334">
        <v>-525</v>
      </c>
      <c r="N7277" s="362">
        <f t="shared" ref="N7277:N7340" si="248">L7277+M7277</f>
        <v>-525</v>
      </c>
      <c r="X7277" s="339"/>
    </row>
    <row r="7278" s="330" customFormat="1" ht="15" customHeight="1" spans="1:24">
      <c r="A7278" s="334"/>
      <c r="B7278" s="334" t="s">
        <v>185</v>
      </c>
      <c r="C7278" s="334" t="s">
        <v>1204</v>
      </c>
      <c r="D7278" s="334" t="s">
        <v>44</v>
      </c>
      <c r="E7278" s="393">
        <v>43769</v>
      </c>
      <c r="F7278" s="336"/>
      <c r="G7278" s="393" t="s">
        <v>40</v>
      </c>
      <c r="H7278" s="334" t="s">
        <v>8029</v>
      </c>
      <c r="I7278" s="334">
        <v>18621076101</v>
      </c>
      <c r="J7278" s="334" t="s">
        <v>14021</v>
      </c>
      <c r="K7278" s="337"/>
      <c r="L7278" s="338"/>
      <c r="M7278" s="334">
        <v>351</v>
      </c>
      <c r="N7278" s="362">
        <f t="shared" si="248"/>
        <v>351</v>
      </c>
      <c r="X7278" s="339"/>
    </row>
    <row r="7279" s="330" customFormat="1" ht="15" customHeight="1" spans="1:24">
      <c r="A7279" s="334"/>
      <c r="B7279" s="334" t="s">
        <v>35</v>
      </c>
      <c r="C7279" s="334" t="s">
        <v>392</v>
      </c>
      <c r="D7279" s="334" t="s">
        <v>37</v>
      </c>
      <c r="E7279" s="393">
        <v>43769</v>
      </c>
      <c r="F7279" s="336"/>
      <c r="G7279" s="393" t="s">
        <v>40</v>
      </c>
      <c r="H7279" s="334" t="s">
        <v>4029</v>
      </c>
      <c r="I7279" s="334">
        <v>18930989280</v>
      </c>
      <c r="J7279" s="348" t="s">
        <v>15761</v>
      </c>
      <c r="K7279" s="337"/>
      <c r="L7279" s="338"/>
      <c r="M7279" s="334">
        <v>-700</v>
      </c>
      <c r="N7279" s="362">
        <f t="shared" si="248"/>
        <v>-700</v>
      </c>
      <c r="X7279" s="339"/>
    </row>
    <row r="7280" s="330" customFormat="1" ht="15" customHeight="1" spans="1:24">
      <c r="A7280" s="334"/>
      <c r="B7280" s="334" t="s">
        <v>35</v>
      </c>
      <c r="C7280" s="334" t="s">
        <v>36</v>
      </c>
      <c r="D7280" s="334" t="s">
        <v>37</v>
      </c>
      <c r="E7280" s="393">
        <v>43769</v>
      </c>
      <c r="F7280" s="336"/>
      <c r="G7280" s="393" t="s">
        <v>40</v>
      </c>
      <c r="H7280" s="334" t="s">
        <v>5253</v>
      </c>
      <c r="I7280" s="334">
        <v>18221575209</v>
      </c>
      <c r="J7280" s="348" t="s">
        <v>10081</v>
      </c>
      <c r="K7280" s="337"/>
      <c r="L7280" s="338"/>
      <c r="M7280" s="334">
        <v>-512</v>
      </c>
      <c r="N7280" s="362">
        <f t="shared" si="248"/>
        <v>-512</v>
      </c>
      <c r="X7280" s="339"/>
    </row>
    <row r="7281" s="330" customFormat="1" ht="15" customHeight="1" spans="1:24">
      <c r="A7281" s="334"/>
      <c r="B7281" s="334" t="s">
        <v>35</v>
      </c>
      <c r="C7281" s="348" t="s">
        <v>15572</v>
      </c>
      <c r="D7281" s="334" t="s">
        <v>37</v>
      </c>
      <c r="E7281" s="393">
        <v>43769</v>
      </c>
      <c r="F7281" s="336"/>
      <c r="G7281" s="393" t="s">
        <v>40</v>
      </c>
      <c r="H7281" s="334" t="s">
        <v>15762</v>
      </c>
      <c r="I7281" s="334">
        <v>15021706269</v>
      </c>
      <c r="J7281" s="348" t="s">
        <v>15763</v>
      </c>
      <c r="K7281" s="337"/>
      <c r="L7281" s="338"/>
      <c r="M7281" s="334">
        <v>-142</v>
      </c>
      <c r="N7281" s="362">
        <f t="shared" si="248"/>
        <v>-142</v>
      </c>
      <c r="X7281" s="339"/>
    </row>
    <row r="7282" s="330" customFormat="1" ht="15" customHeight="1" spans="1:24">
      <c r="A7282" s="334"/>
      <c r="B7282" s="334" t="s">
        <v>35</v>
      </c>
      <c r="C7282" s="334" t="s">
        <v>36</v>
      </c>
      <c r="D7282" s="334" t="s">
        <v>187</v>
      </c>
      <c r="E7282" s="393">
        <v>43769</v>
      </c>
      <c r="F7282" s="336"/>
      <c r="G7282" s="393" t="s">
        <v>40</v>
      </c>
      <c r="H7282" s="269" t="s">
        <v>5314</v>
      </c>
      <c r="I7282" s="356">
        <v>13381958823</v>
      </c>
      <c r="J7282" s="348" t="s">
        <v>15764</v>
      </c>
      <c r="K7282" s="337"/>
      <c r="L7282" s="338"/>
      <c r="M7282" s="334">
        <v>-3003</v>
      </c>
      <c r="N7282" s="362">
        <f t="shared" si="248"/>
        <v>-3003</v>
      </c>
      <c r="X7282" s="339"/>
    </row>
    <row r="7283" s="330" customFormat="1" ht="15" customHeight="1" spans="1:24">
      <c r="A7283" s="334"/>
      <c r="B7283" s="334" t="s">
        <v>35</v>
      </c>
      <c r="C7283" s="334" t="s">
        <v>36</v>
      </c>
      <c r="D7283" s="334" t="s">
        <v>187</v>
      </c>
      <c r="E7283" s="393">
        <v>43769</v>
      </c>
      <c r="F7283" s="336"/>
      <c r="G7283" s="393" t="s">
        <v>40</v>
      </c>
      <c r="H7283" s="334" t="s">
        <v>971</v>
      </c>
      <c r="I7283" s="334">
        <v>13651911115</v>
      </c>
      <c r="J7283" s="334" t="s">
        <v>972</v>
      </c>
      <c r="K7283" s="337"/>
      <c r="L7283" s="338"/>
      <c r="M7283" s="334">
        <v>-1193</v>
      </c>
      <c r="N7283" s="362">
        <f t="shared" si="248"/>
        <v>-1193</v>
      </c>
      <c r="X7283" s="339"/>
    </row>
    <row r="7284" s="330" customFormat="1" ht="15" customHeight="1" spans="1:24">
      <c r="A7284" s="334"/>
      <c r="B7284" s="334" t="s">
        <v>35</v>
      </c>
      <c r="C7284" s="334" t="s">
        <v>392</v>
      </c>
      <c r="D7284" s="334" t="s">
        <v>37</v>
      </c>
      <c r="E7284" s="393">
        <v>43769</v>
      </c>
      <c r="F7284" s="336"/>
      <c r="G7284" s="393" t="s">
        <v>40</v>
      </c>
      <c r="H7284" s="334" t="s">
        <v>9170</v>
      </c>
      <c r="I7284" s="334">
        <v>13817194942</v>
      </c>
      <c r="J7284" s="334" t="s">
        <v>10598</v>
      </c>
      <c r="K7284" s="337"/>
      <c r="L7284" s="338"/>
      <c r="M7284" s="334">
        <v>-398</v>
      </c>
      <c r="N7284" s="362">
        <f t="shared" si="248"/>
        <v>-398</v>
      </c>
      <c r="X7284" s="339"/>
    </row>
    <row r="7285" s="330" customFormat="1" ht="15" customHeight="1" spans="1:24">
      <c r="A7285" s="334"/>
      <c r="B7285" s="334" t="s">
        <v>35</v>
      </c>
      <c r="C7285" s="334" t="s">
        <v>328</v>
      </c>
      <c r="D7285" s="334" t="s">
        <v>37</v>
      </c>
      <c r="E7285" s="393">
        <v>43769</v>
      </c>
      <c r="F7285" s="336"/>
      <c r="G7285" s="393" t="s">
        <v>40</v>
      </c>
      <c r="H7285" s="334" t="s">
        <v>2101</v>
      </c>
      <c r="I7285" s="356">
        <v>13816533645</v>
      </c>
      <c r="J7285" s="348" t="s">
        <v>15765</v>
      </c>
      <c r="K7285" s="337"/>
      <c r="L7285" s="338"/>
      <c r="M7285" s="334">
        <v>-1175</v>
      </c>
      <c r="N7285" s="362">
        <f t="shared" si="248"/>
        <v>-1175</v>
      </c>
      <c r="X7285" s="339"/>
    </row>
    <row r="7286" s="330" customFormat="1" ht="15" customHeight="1" spans="1:24">
      <c r="A7286" s="334"/>
      <c r="B7286" s="348" t="s">
        <v>87</v>
      </c>
      <c r="C7286" s="334" t="s">
        <v>199</v>
      </c>
      <c r="D7286" s="334" t="s">
        <v>37</v>
      </c>
      <c r="E7286" s="393">
        <v>43769</v>
      </c>
      <c r="F7286" s="336"/>
      <c r="G7286" s="393" t="s">
        <v>40</v>
      </c>
      <c r="H7286" s="334" t="s">
        <v>2407</v>
      </c>
      <c r="I7286" s="356">
        <v>15000407696</v>
      </c>
      <c r="J7286" s="348" t="s">
        <v>15766</v>
      </c>
      <c r="K7286" s="337"/>
      <c r="L7286" s="338"/>
      <c r="M7286" s="334">
        <v>-307</v>
      </c>
      <c r="N7286" s="362">
        <f t="shared" si="248"/>
        <v>-307</v>
      </c>
      <c r="X7286" s="339"/>
    </row>
    <row r="7287" s="330" customFormat="1" ht="15" customHeight="1" spans="1:24">
      <c r="A7287" s="334"/>
      <c r="B7287" s="348" t="s">
        <v>73</v>
      </c>
      <c r="C7287" s="348" t="s">
        <v>74</v>
      </c>
      <c r="D7287" s="334" t="s">
        <v>143</v>
      </c>
      <c r="E7287" s="393">
        <v>43769</v>
      </c>
      <c r="F7287" s="336"/>
      <c r="G7287" s="393" t="s">
        <v>40</v>
      </c>
      <c r="H7287" s="334" t="s">
        <v>15767</v>
      </c>
      <c r="I7287" s="334">
        <v>13524372336</v>
      </c>
      <c r="J7287" s="348" t="s">
        <v>15768</v>
      </c>
      <c r="K7287" s="337"/>
      <c r="L7287" s="338"/>
      <c r="M7287" s="334">
        <v>-597.8</v>
      </c>
      <c r="N7287" s="362">
        <f t="shared" si="248"/>
        <v>-597.8</v>
      </c>
      <c r="X7287" s="339"/>
    </row>
    <row r="7288" s="330" customFormat="1" ht="15" customHeight="1" spans="1:24">
      <c r="A7288" s="334"/>
      <c r="B7288" s="334" t="s">
        <v>73</v>
      </c>
      <c r="C7288" s="334" t="s">
        <v>74</v>
      </c>
      <c r="D7288" s="334" t="s">
        <v>33</v>
      </c>
      <c r="E7288" s="393">
        <v>43769</v>
      </c>
      <c r="F7288" s="336"/>
      <c r="G7288" s="393" t="s">
        <v>40</v>
      </c>
      <c r="H7288" s="334" t="s">
        <v>10687</v>
      </c>
      <c r="I7288" s="334">
        <v>18618499880</v>
      </c>
      <c r="J7288" s="334" t="s">
        <v>10688</v>
      </c>
      <c r="K7288" s="337"/>
      <c r="L7288" s="338"/>
      <c r="M7288" s="334">
        <v>-626</v>
      </c>
      <c r="N7288" s="362">
        <f t="shared" si="248"/>
        <v>-626</v>
      </c>
      <c r="X7288" s="339"/>
    </row>
    <row r="7289" s="330" customFormat="1" ht="15" customHeight="1" spans="1:24">
      <c r="A7289" s="334"/>
      <c r="B7289" s="334" t="s">
        <v>315</v>
      </c>
      <c r="C7289" s="334" t="s">
        <v>161</v>
      </c>
      <c r="D7289" s="334" t="s">
        <v>149</v>
      </c>
      <c r="E7289" s="393">
        <v>43769</v>
      </c>
      <c r="F7289" s="336"/>
      <c r="G7289" s="393" t="s">
        <v>40</v>
      </c>
      <c r="H7289" s="269" t="s">
        <v>4515</v>
      </c>
      <c r="I7289" s="356">
        <v>15618396916</v>
      </c>
      <c r="J7289" s="348" t="s">
        <v>15769</v>
      </c>
      <c r="K7289" s="337"/>
      <c r="L7289" s="338"/>
      <c r="M7289" s="334">
        <v>-350</v>
      </c>
      <c r="N7289" s="362">
        <f t="shared" si="248"/>
        <v>-350</v>
      </c>
      <c r="X7289" s="339"/>
    </row>
    <row r="7290" s="330" customFormat="1" ht="15" customHeight="1" spans="1:24">
      <c r="A7290" s="334"/>
      <c r="B7290" s="334" t="s">
        <v>315</v>
      </c>
      <c r="C7290" s="348" t="s">
        <v>258</v>
      </c>
      <c r="D7290" s="334" t="s">
        <v>132</v>
      </c>
      <c r="E7290" s="393">
        <v>43769</v>
      </c>
      <c r="F7290" s="336"/>
      <c r="G7290" s="393" t="s">
        <v>40</v>
      </c>
      <c r="H7290" s="334" t="s">
        <v>3223</v>
      </c>
      <c r="I7290" s="334">
        <v>13817840344</v>
      </c>
      <c r="J7290" s="348" t="s">
        <v>3224</v>
      </c>
      <c r="K7290" s="337"/>
      <c r="L7290" s="338"/>
      <c r="M7290" s="334">
        <v>-390</v>
      </c>
      <c r="N7290" s="362">
        <f t="shared" si="248"/>
        <v>-390</v>
      </c>
      <c r="X7290" s="339"/>
    </row>
    <row r="7291" s="330" customFormat="1" ht="15" customHeight="1" spans="1:24">
      <c r="A7291" s="334"/>
      <c r="B7291" s="334" t="s">
        <v>315</v>
      </c>
      <c r="C7291" s="334" t="s">
        <v>230</v>
      </c>
      <c r="D7291" s="334" t="s">
        <v>132</v>
      </c>
      <c r="E7291" s="393">
        <v>43769</v>
      </c>
      <c r="F7291" s="336"/>
      <c r="G7291" s="393" t="s">
        <v>40</v>
      </c>
      <c r="H7291" s="334" t="s">
        <v>7640</v>
      </c>
      <c r="I7291" s="334">
        <v>13918876298</v>
      </c>
      <c r="J7291" s="334" t="s">
        <v>12347</v>
      </c>
      <c r="K7291" s="337"/>
      <c r="L7291" s="338"/>
      <c r="M7291" s="334">
        <v>-1656</v>
      </c>
      <c r="N7291" s="362">
        <f t="shared" si="248"/>
        <v>-1656</v>
      </c>
      <c r="X7291" s="339"/>
    </row>
    <row r="7292" s="330" customFormat="1" ht="15" customHeight="1" spans="1:24">
      <c r="A7292" s="334"/>
      <c r="B7292" s="348" t="s">
        <v>315</v>
      </c>
      <c r="C7292" s="348" t="s">
        <v>258</v>
      </c>
      <c r="D7292" s="334" t="s">
        <v>343</v>
      </c>
      <c r="E7292" s="393">
        <v>43769</v>
      </c>
      <c r="F7292" s="336"/>
      <c r="G7292" s="393" t="s">
        <v>40</v>
      </c>
      <c r="H7292" s="500" t="s">
        <v>15770</v>
      </c>
      <c r="I7292" s="407">
        <v>15901886461</v>
      </c>
      <c r="J7292" s="348" t="s">
        <v>15771</v>
      </c>
      <c r="K7292" s="337"/>
      <c r="L7292" s="338"/>
      <c r="M7292" s="334">
        <v>-569</v>
      </c>
      <c r="N7292" s="362">
        <f t="shared" si="248"/>
        <v>-569</v>
      </c>
      <c r="X7292" s="339"/>
    </row>
    <row r="7293" s="330" customFormat="1" ht="15" customHeight="1" spans="1:24">
      <c r="A7293" s="334"/>
      <c r="B7293" s="334" t="s">
        <v>315</v>
      </c>
      <c r="C7293" s="334" t="s">
        <v>275</v>
      </c>
      <c r="D7293" s="334" t="s">
        <v>162</v>
      </c>
      <c r="E7293" s="393">
        <v>43769</v>
      </c>
      <c r="F7293" s="336"/>
      <c r="G7293" s="393" t="s">
        <v>40</v>
      </c>
      <c r="H7293" s="334" t="s">
        <v>7192</v>
      </c>
      <c r="I7293" s="334">
        <v>13501978087</v>
      </c>
      <c r="J7293" s="334" t="s">
        <v>15772</v>
      </c>
      <c r="K7293" s="337"/>
      <c r="L7293" s="338"/>
      <c r="M7293" s="334">
        <v>-307</v>
      </c>
      <c r="N7293" s="362">
        <f t="shared" si="248"/>
        <v>-307</v>
      </c>
      <c r="X7293" s="339"/>
    </row>
    <row r="7294" s="330" customFormat="1" ht="15" customHeight="1" spans="1:24">
      <c r="A7294" s="334"/>
      <c r="B7294" s="334" t="s">
        <v>315</v>
      </c>
      <c r="C7294" s="348" t="s">
        <v>722</v>
      </c>
      <c r="D7294" s="334" t="s">
        <v>182</v>
      </c>
      <c r="E7294" s="393">
        <v>43769</v>
      </c>
      <c r="F7294" s="336"/>
      <c r="G7294" s="393" t="s">
        <v>40</v>
      </c>
      <c r="H7294" s="334" t="s">
        <v>10087</v>
      </c>
      <c r="I7294" s="334">
        <v>13774373923</v>
      </c>
      <c r="J7294" s="348" t="s">
        <v>10088</v>
      </c>
      <c r="K7294" s="337"/>
      <c r="L7294" s="338"/>
      <c r="M7294" s="334">
        <v>-362</v>
      </c>
      <c r="N7294" s="362">
        <f t="shared" si="248"/>
        <v>-362</v>
      </c>
      <c r="X7294" s="339"/>
    </row>
    <row r="7295" s="330" customFormat="1" ht="15" customHeight="1" spans="1:24">
      <c r="A7295" s="334"/>
      <c r="B7295" s="334" t="s">
        <v>335</v>
      </c>
      <c r="C7295" s="334" t="s">
        <v>615</v>
      </c>
      <c r="D7295" s="334" t="s">
        <v>337</v>
      </c>
      <c r="E7295" s="393">
        <v>43769</v>
      </c>
      <c r="F7295" s="336"/>
      <c r="G7295" s="393" t="s">
        <v>40</v>
      </c>
      <c r="H7295" s="334" t="s">
        <v>9778</v>
      </c>
      <c r="I7295" s="334">
        <v>18816932585</v>
      </c>
      <c r="J7295" s="334" t="s">
        <v>9779</v>
      </c>
      <c r="K7295" s="337"/>
      <c r="L7295" s="338"/>
      <c r="M7295" s="334">
        <v>-589</v>
      </c>
      <c r="N7295" s="362">
        <f t="shared" si="248"/>
        <v>-589</v>
      </c>
      <c r="X7295" s="339"/>
    </row>
    <row r="7296" s="330" customFormat="1" ht="15" customHeight="1" spans="1:24">
      <c r="A7296" s="334"/>
      <c r="B7296" s="348" t="s">
        <v>335</v>
      </c>
      <c r="C7296" s="334" t="s">
        <v>615</v>
      </c>
      <c r="D7296" s="334" t="s">
        <v>337</v>
      </c>
      <c r="E7296" s="393">
        <v>43769</v>
      </c>
      <c r="F7296" s="336"/>
      <c r="G7296" s="393" t="s">
        <v>40</v>
      </c>
      <c r="H7296" s="269" t="s">
        <v>1226</v>
      </c>
      <c r="I7296" s="444">
        <v>13681790602</v>
      </c>
      <c r="J7296" s="348" t="s">
        <v>1227</v>
      </c>
      <c r="K7296" s="337"/>
      <c r="L7296" s="338"/>
      <c r="M7296" s="334">
        <v>-470</v>
      </c>
      <c r="N7296" s="362">
        <f t="shared" si="248"/>
        <v>-470</v>
      </c>
      <c r="X7296" s="339"/>
    </row>
    <row r="7297" s="330" customFormat="1" ht="15" customHeight="1" spans="1:24">
      <c r="A7297" s="334"/>
      <c r="B7297" s="348" t="s">
        <v>335</v>
      </c>
      <c r="C7297" s="334" t="s">
        <v>615</v>
      </c>
      <c r="D7297" s="334" t="s">
        <v>337</v>
      </c>
      <c r="E7297" s="393">
        <v>43769</v>
      </c>
      <c r="F7297" s="336"/>
      <c r="G7297" s="393" t="s">
        <v>40</v>
      </c>
      <c r="H7297" s="334" t="s">
        <v>662</v>
      </c>
      <c r="I7297" s="334">
        <v>13585884850</v>
      </c>
      <c r="J7297" s="348" t="s">
        <v>15773</v>
      </c>
      <c r="K7297" s="337"/>
      <c r="L7297" s="338"/>
      <c r="M7297" s="334">
        <v>-307</v>
      </c>
      <c r="N7297" s="362">
        <f t="shared" si="248"/>
        <v>-307</v>
      </c>
      <c r="X7297" s="339"/>
    </row>
    <row r="7298" s="330" customFormat="1" ht="15" customHeight="1" spans="1:24">
      <c r="A7298" s="334"/>
      <c r="B7298" s="348" t="s">
        <v>335</v>
      </c>
      <c r="C7298" s="334" t="s">
        <v>615</v>
      </c>
      <c r="D7298" s="334" t="s">
        <v>337</v>
      </c>
      <c r="E7298" s="393">
        <v>43769</v>
      </c>
      <c r="F7298" s="336"/>
      <c r="G7298" s="393" t="s">
        <v>40</v>
      </c>
      <c r="H7298" s="334" t="s">
        <v>7672</v>
      </c>
      <c r="I7298" s="356">
        <v>17621387878</v>
      </c>
      <c r="J7298" s="348" t="s">
        <v>7673</v>
      </c>
      <c r="K7298" s="337"/>
      <c r="L7298" s="338"/>
      <c r="M7298" s="334">
        <v>-400</v>
      </c>
      <c r="N7298" s="362">
        <f t="shared" si="248"/>
        <v>-400</v>
      </c>
      <c r="X7298" s="339"/>
    </row>
    <row r="7299" s="330" customFormat="1" ht="15" customHeight="1" spans="1:24">
      <c r="A7299" s="334"/>
      <c r="B7299" s="348" t="s">
        <v>335</v>
      </c>
      <c r="C7299" s="334" t="s">
        <v>615</v>
      </c>
      <c r="D7299" s="334" t="s">
        <v>337</v>
      </c>
      <c r="E7299" s="393">
        <v>43769</v>
      </c>
      <c r="F7299" s="336"/>
      <c r="G7299" s="393" t="s">
        <v>40</v>
      </c>
      <c r="H7299" s="334" t="s">
        <v>5799</v>
      </c>
      <c r="I7299" s="356">
        <v>18916017925</v>
      </c>
      <c r="J7299" s="348" t="s">
        <v>5800</v>
      </c>
      <c r="K7299" s="337"/>
      <c r="L7299" s="338"/>
      <c r="M7299" s="334">
        <v>-1073</v>
      </c>
      <c r="N7299" s="362">
        <f t="shared" si="248"/>
        <v>-1073</v>
      </c>
      <c r="X7299" s="339"/>
    </row>
    <row r="7300" s="330" customFormat="1" ht="15" customHeight="1" spans="1:24">
      <c r="A7300" s="334"/>
      <c r="B7300" s="438" t="s">
        <v>335</v>
      </c>
      <c r="C7300" s="348" t="s">
        <v>399</v>
      </c>
      <c r="D7300" s="334" t="s">
        <v>337</v>
      </c>
      <c r="E7300" s="393">
        <v>43769</v>
      </c>
      <c r="F7300" s="336"/>
      <c r="G7300" s="393" t="s">
        <v>40</v>
      </c>
      <c r="H7300" s="501" t="s">
        <v>15774</v>
      </c>
      <c r="I7300" s="444">
        <v>18964737832</v>
      </c>
      <c r="J7300" s="348" t="s">
        <v>15775</v>
      </c>
      <c r="K7300" s="337"/>
      <c r="L7300" s="338"/>
      <c r="M7300" s="334">
        <v>-247</v>
      </c>
      <c r="N7300" s="362">
        <f t="shared" si="248"/>
        <v>-247</v>
      </c>
      <c r="X7300" s="339"/>
    </row>
    <row r="7301" s="330" customFormat="1" ht="15" customHeight="1" spans="1:24">
      <c r="A7301" s="334"/>
      <c r="B7301" s="348" t="s">
        <v>335</v>
      </c>
      <c r="C7301" s="348" t="s">
        <v>615</v>
      </c>
      <c r="D7301" s="334" t="s">
        <v>337</v>
      </c>
      <c r="E7301" s="393">
        <v>43769</v>
      </c>
      <c r="F7301" s="336"/>
      <c r="G7301" s="393" t="s">
        <v>40</v>
      </c>
      <c r="H7301" s="269" t="s">
        <v>15776</v>
      </c>
      <c r="I7301" s="444">
        <v>13916791620</v>
      </c>
      <c r="J7301" s="348" t="s">
        <v>15777</v>
      </c>
      <c r="K7301" s="337"/>
      <c r="L7301" s="338"/>
      <c r="M7301" s="334">
        <v>-585</v>
      </c>
      <c r="N7301" s="362">
        <f t="shared" si="248"/>
        <v>-585</v>
      </c>
      <c r="X7301" s="339"/>
    </row>
    <row r="7302" s="330" customFormat="1" ht="15" customHeight="1" spans="1:24">
      <c r="A7302" s="334"/>
      <c r="B7302" s="334" t="s">
        <v>335</v>
      </c>
      <c r="C7302" s="334" t="s">
        <v>615</v>
      </c>
      <c r="D7302" s="334" t="s">
        <v>337</v>
      </c>
      <c r="E7302" s="393">
        <v>43769</v>
      </c>
      <c r="F7302" s="336"/>
      <c r="G7302" s="393" t="s">
        <v>40</v>
      </c>
      <c r="H7302" s="334" t="s">
        <v>1895</v>
      </c>
      <c r="I7302" s="334">
        <v>13382079889</v>
      </c>
      <c r="J7302" s="334" t="s">
        <v>1896</v>
      </c>
      <c r="K7302" s="337"/>
      <c r="L7302" s="338"/>
      <c r="M7302" s="334">
        <v>-498</v>
      </c>
      <c r="N7302" s="362">
        <f t="shared" si="248"/>
        <v>-498</v>
      </c>
      <c r="X7302" s="339"/>
    </row>
    <row r="7303" s="330" customFormat="1" ht="15" customHeight="1" spans="1:24">
      <c r="A7303" s="334"/>
      <c r="B7303" s="334" t="s">
        <v>335</v>
      </c>
      <c r="C7303" s="334" t="s">
        <v>615</v>
      </c>
      <c r="D7303" s="334" t="s">
        <v>337</v>
      </c>
      <c r="E7303" s="393">
        <v>43769</v>
      </c>
      <c r="F7303" s="336"/>
      <c r="G7303" s="393" t="s">
        <v>40</v>
      </c>
      <c r="H7303" s="334" t="s">
        <v>4073</v>
      </c>
      <c r="I7303" s="334">
        <v>13681797672</v>
      </c>
      <c r="J7303" s="334" t="s">
        <v>15778</v>
      </c>
      <c r="K7303" s="337"/>
      <c r="L7303" s="338"/>
      <c r="M7303" s="334">
        <v>-3897</v>
      </c>
      <c r="N7303" s="362">
        <f t="shared" si="248"/>
        <v>-3897</v>
      </c>
      <c r="X7303" s="339"/>
    </row>
    <row r="7304" s="330" customFormat="1" ht="15" customHeight="1" spans="1:24">
      <c r="A7304" s="334"/>
      <c r="B7304" s="348" t="s">
        <v>153</v>
      </c>
      <c r="C7304" s="334" t="s">
        <v>154</v>
      </c>
      <c r="D7304" s="334" t="s">
        <v>155</v>
      </c>
      <c r="E7304" s="393">
        <v>43769</v>
      </c>
      <c r="F7304" s="336"/>
      <c r="G7304" s="393" t="s">
        <v>40</v>
      </c>
      <c r="H7304" s="334" t="s">
        <v>15779</v>
      </c>
      <c r="I7304" s="334">
        <v>18918102940</v>
      </c>
      <c r="J7304" s="348" t="s">
        <v>15780</v>
      </c>
      <c r="K7304" s="337"/>
      <c r="L7304" s="338"/>
      <c r="M7304" s="334">
        <v>-1176</v>
      </c>
      <c r="N7304" s="362">
        <f t="shared" si="248"/>
        <v>-1176</v>
      </c>
      <c r="X7304" s="339"/>
    </row>
    <row r="7305" s="330" customFormat="1" ht="15" customHeight="1" spans="1:24">
      <c r="A7305" s="334"/>
      <c r="B7305" s="348" t="s">
        <v>153</v>
      </c>
      <c r="C7305" s="348" t="s">
        <v>15708</v>
      </c>
      <c r="D7305" s="334" t="s">
        <v>155</v>
      </c>
      <c r="E7305" s="393">
        <v>43769</v>
      </c>
      <c r="F7305" s="336"/>
      <c r="G7305" s="393" t="s">
        <v>40</v>
      </c>
      <c r="H7305" s="334" t="s">
        <v>15781</v>
      </c>
      <c r="I7305" s="334">
        <v>13127674630</v>
      </c>
      <c r="J7305" s="348" t="s">
        <v>15782</v>
      </c>
      <c r="K7305" s="337"/>
      <c r="L7305" s="338"/>
      <c r="M7305" s="334">
        <v>-742</v>
      </c>
      <c r="N7305" s="362">
        <f t="shared" si="248"/>
        <v>-742</v>
      </c>
      <c r="X7305" s="339"/>
    </row>
    <row r="7306" s="330" customFormat="1" ht="15" customHeight="1" spans="1:24">
      <c r="A7306" s="334"/>
      <c r="B7306" s="348" t="s">
        <v>153</v>
      </c>
      <c r="C7306" s="334" t="s">
        <v>154</v>
      </c>
      <c r="D7306" s="334" t="s">
        <v>155</v>
      </c>
      <c r="E7306" s="393">
        <v>43769</v>
      </c>
      <c r="F7306" s="336"/>
      <c r="G7306" s="393" t="s">
        <v>40</v>
      </c>
      <c r="H7306" s="334" t="s">
        <v>8501</v>
      </c>
      <c r="I7306" s="334">
        <v>18018569881</v>
      </c>
      <c r="J7306" s="348" t="s">
        <v>15783</v>
      </c>
      <c r="K7306" s="337"/>
      <c r="L7306" s="338"/>
      <c r="M7306" s="334">
        <v>-649</v>
      </c>
      <c r="N7306" s="362">
        <f t="shared" si="248"/>
        <v>-649</v>
      </c>
      <c r="X7306" s="339"/>
    </row>
    <row r="7307" s="330" customFormat="1" ht="15" customHeight="1" spans="1:24">
      <c r="A7307" s="334"/>
      <c r="B7307" s="334" t="s">
        <v>405</v>
      </c>
      <c r="C7307" s="334" t="s">
        <v>1234</v>
      </c>
      <c r="D7307" s="334" t="s">
        <v>407</v>
      </c>
      <c r="E7307" s="393">
        <v>43769</v>
      </c>
      <c r="F7307" s="336"/>
      <c r="G7307" s="393" t="s">
        <v>40</v>
      </c>
      <c r="H7307" s="334" t="s">
        <v>15784</v>
      </c>
      <c r="I7307" s="334">
        <v>15921240238</v>
      </c>
      <c r="J7307" s="348" t="s">
        <v>2669</v>
      </c>
      <c r="K7307" s="337"/>
      <c r="L7307" s="338"/>
      <c r="M7307" s="334">
        <v>-1429</v>
      </c>
      <c r="N7307" s="362">
        <f t="shared" si="248"/>
        <v>-1429</v>
      </c>
      <c r="X7307" s="339"/>
    </row>
    <row r="7308" s="330" customFormat="1" ht="15" customHeight="1" spans="1:24">
      <c r="A7308" s="334"/>
      <c r="B7308" s="334" t="s">
        <v>405</v>
      </c>
      <c r="C7308" s="334" t="s">
        <v>823</v>
      </c>
      <c r="D7308" s="334" t="s">
        <v>407</v>
      </c>
      <c r="E7308" s="393">
        <v>43769</v>
      </c>
      <c r="F7308" s="336"/>
      <c r="G7308" s="393" t="s">
        <v>40</v>
      </c>
      <c r="H7308" s="334" t="s">
        <v>10021</v>
      </c>
      <c r="I7308" s="334">
        <v>17317244861</v>
      </c>
      <c r="J7308" s="334" t="s">
        <v>10022</v>
      </c>
      <c r="K7308" s="337"/>
      <c r="L7308" s="338"/>
      <c r="M7308" s="334">
        <v>-878</v>
      </c>
      <c r="N7308" s="362">
        <f t="shared" si="248"/>
        <v>-878</v>
      </c>
      <c r="X7308" s="339"/>
    </row>
    <row r="7309" s="330" customFormat="1" ht="15" customHeight="1" spans="1:24">
      <c r="A7309" s="334"/>
      <c r="B7309" s="334" t="s">
        <v>137</v>
      </c>
      <c r="C7309" s="348" t="s">
        <v>480</v>
      </c>
      <c r="D7309" s="334" t="s">
        <v>139</v>
      </c>
      <c r="E7309" s="393">
        <v>43769</v>
      </c>
      <c r="F7309" s="336"/>
      <c r="G7309" s="393" t="s">
        <v>40</v>
      </c>
      <c r="H7309" s="334" t="s">
        <v>4368</v>
      </c>
      <c r="I7309" s="334">
        <v>13817989817</v>
      </c>
      <c r="J7309" s="348" t="s">
        <v>4369</v>
      </c>
      <c r="K7309" s="337"/>
      <c r="L7309" s="338"/>
      <c r="M7309" s="334">
        <v>-8875</v>
      </c>
      <c r="N7309" s="362">
        <f t="shared" si="248"/>
        <v>-8875</v>
      </c>
      <c r="X7309" s="339"/>
    </row>
    <row r="7310" s="330" customFormat="1" ht="15" customHeight="1" spans="1:24">
      <c r="A7310" s="334"/>
      <c r="B7310" s="334" t="s">
        <v>137</v>
      </c>
      <c r="C7310" s="348" t="s">
        <v>861</v>
      </c>
      <c r="D7310" s="334" t="s">
        <v>717</v>
      </c>
      <c r="E7310" s="393">
        <v>43769</v>
      </c>
      <c r="F7310" s="336"/>
      <c r="G7310" s="393" t="s">
        <v>40</v>
      </c>
      <c r="H7310" s="269" t="s">
        <v>6063</v>
      </c>
      <c r="I7310" s="356">
        <v>13781626110</v>
      </c>
      <c r="J7310" s="348" t="s">
        <v>6064</v>
      </c>
      <c r="K7310" s="337"/>
      <c r="L7310" s="338"/>
      <c r="M7310" s="334">
        <v>-1004</v>
      </c>
      <c r="N7310" s="362">
        <f t="shared" si="248"/>
        <v>-1004</v>
      </c>
      <c r="X7310" s="339"/>
    </row>
    <row r="7311" s="330" customFormat="1" ht="15" customHeight="1" spans="1:24">
      <c r="A7311" s="334"/>
      <c r="B7311" s="334" t="s">
        <v>137</v>
      </c>
      <c r="C7311" s="348" t="s">
        <v>138</v>
      </c>
      <c r="D7311" s="334" t="s">
        <v>75</v>
      </c>
      <c r="E7311" s="393">
        <v>43769</v>
      </c>
      <c r="F7311" s="336"/>
      <c r="G7311" s="393" t="s">
        <v>40</v>
      </c>
      <c r="H7311" s="334" t="s">
        <v>2258</v>
      </c>
      <c r="I7311" s="334">
        <v>13916866178</v>
      </c>
      <c r="J7311" s="348" t="s">
        <v>2259</v>
      </c>
      <c r="K7311" s="337"/>
      <c r="L7311" s="338"/>
      <c r="M7311" s="334">
        <v>-955</v>
      </c>
      <c r="N7311" s="362">
        <f t="shared" si="248"/>
        <v>-955</v>
      </c>
      <c r="X7311" s="339"/>
    </row>
    <row r="7312" s="330" customFormat="1" ht="15" customHeight="1" spans="1:24">
      <c r="A7312" s="334"/>
      <c r="B7312" s="334" t="s">
        <v>137</v>
      </c>
      <c r="C7312" s="348" t="s">
        <v>411</v>
      </c>
      <c r="D7312" s="334" t="s">
        <v>60</v>
      </c>
      <c r="E7312" s="393">
        <v>43769</v>
      </c>
      <c r="F7312" s="336"/>
      <c r="G7312" s="393" t="s">
        <v>40</v>
      </c>
      <c r="H7312" s="334" t="s">
        <v>15785</v>
      </c>
      <c r="I7312" s="334">
        <v>17051215875</v>
      </c>
      <c r="J7312" s="348" t="s">
        <v>15786</v>
      </c>
      <c r="K7312" s="337"/>
      <c r="L7312" s="338"/>
      <c r="M7312" s="334">
        <v>-351</v>
      </c>
      <c r="N7312" s="362">
        <f t="shared" si="248"/>
        <v>-351</v>
      </c>
      <c r="X7312" s="339"/>
    </row>
    <row r="7313" s="330" customFormat="1" ht="15" customHeight="1" spans="1:24">
      <c r="A7313" s="334"/>
      <c r="B7313" s="334" t="s">
        <v>137</v>
      </c>
      <c r="C7313" s="334" t="s">
        <v>138</v>
      </c>
      <c r="D7313" s="334" t="s">
        <v>139</v>
      </c>
      <c r="E7313" s="393">
        <v>43769</v>
      </c>
      <c r="F7313" s="336"/>
      <c r="G7313" s="393" t="s">
        <v>40</v>
      </c>
      <c r="H7313" s="334" t="s">
        <v>7524</v>
      </c>
      <c r="I7313" s="334">
        <v>15967916208</v>
      </c>
      <c r="J7313" s="334" t="s">
        <v>14372</v>
      </c>
      <c r="K7313" s="337"/>
      <c r="L7313" s="338"/>
      <c r="M7313" s="334">
        <v>-390</v>
      </c>
      <c r="N7313" s="362">
        <f t="shared" si="248"/>
        <v>-390</v>
      </c>
      <c r="X7313" s="339"/>
    </row>
    <row r="7314" s="330" customFormat="1" ht="15" customHeight="1" spans="1:24">
      <c r="A7314" s="334"/>
      <c r="B7314" s="334" t="s">
        <v>137</v>
      </c>
      <c r="C7314" s="334" t="s">
        <v>138</v>
      </c>
      <c r="D7314" s="334" t="s">
        <v>139</v>
      </c>
      <c r="E7314" s="393">
        <v>43769</v>
      </c>
      <c r="F7314" s="336"/>
      <c r="G7314" s="393" t="s">
        <v>40</v>
      </c>
      <c r="H7314" s="334" t="s">
        <v>6110</v>
      </c>
      <c r="I7314" s="356">
        <v>18818213500</v>
      </c>
      <c r="J7314" s="348" t="s">
        <v>6112</v>
      </c>
      <c r="K7314" s="337"/>
      <c r="L7314" s="338"/>
      <c r="M7314" s="334">
        <v>-134</v>
      </c>
      <c r="N7314" s="362">
        <f t="shared" si="248"/>
        <v>-134</v>
      </c>
      <c r="X7314" s="339"/>
    </row>
    <row r="7315" s="330" customFormat="1" ht="15" customHeight="1" spans="1:24">
      <c r="A7315" s="334"/>
      <c r="B7315" s="334" t="s">
        <v>137</v>
      </c>
      <c r="C7315" s="334" t="s">
        <v>411</v>
      </c>
      <c r="D7315" s="334" t="s">
        <v>191</v>
      </c>
      <c r="E7315" s="393">
        <v>43769</v>
      </c>
      <c r="F7315" s="336"/>
      <c r="G7315" s="393" t="s">
        <v>40</v>
      </c>
      <c r="H7315" s="334" t="s">
        <v>7415</v>
      </c>
      <c r="I7315" s="356">
        <v>1361891080</v>
      </c>
      <c r="J7315" s="348" t="s">
        <v>15787</v>
      </c>
      <c r="K7315" s="337"/>
      <c r="L7315" s="338"/>
      <c r="M7315" s="334">
        <v>-267</v>
      </c>
      <c r="N7315" s="362">
        <f t="shared" si="248"/>
        <v>-267</v>
      </c>
      <c r="X7315" s="339"/>
    </row>
    <row r="7316" s="330" customFormat="1" ht="15" customHeight="1" spans="1:24">
      <c r="A7316" s="334"/>
      <c r="B7316" s="334" t="s">
        <v>137</v>
      </c>
      <c r="C7316" s="334" t="s">
        <v>498</v>
      </c>
      <c r="D7316" s="334" t="s">
        <v>162</v>
      </c>
      <c r="E7316" s="393">
        <v>43769</v>
      </c>
      <c r="F7316" s="336"/>
      <c r="G7316" s="393" t="s">
        <v>40</v>
      </c>
      <c r="H7316" s="334" t="s">
        <v>6907</v>
      </c>
      <c r="I7316" s="334">
        <v>18621307690</v>
      </c>
      <c r="J7316" s="348" t="s">
        <v>6908</v>
      </c>
      <c r="K7316" s="337"/>
      <c r="L7316" s="338"/>
      <c r="M7316" s="334">
        <v>-2215</v>
      </c>
      <c r="N7316" s="362">
        <f t="shared" si="248"/>
        <v>-2215</v>
      </c>
      <c r="X7316" s="339"/>
    </row>
    <row r="7317" s="330" customFormat="1" ht="15" customHeight="1" spans="1:24">
      <c r="A7317" s="334"/>
      <c r="B7317" s="425" t="s">
        <v>58</v>
      </c>
      <c r="C7317" s="425" t="s">
        <v>59</v>
      </c>
      <c r="D7317" s="334" t="s">
        <v>5695</v>
      </c>
      <c r="E7317" s="393">
        <v>43769</v>
      </c>
      <c r="F7317" s="336"/>
      <c r="G7317" s="393" t="s">
        <v>40</v>
      </c>
      <c r="H7317" s="334" t="s">
        <v>15788</v>
      </c>
      <c r="I7317" s="334">
        <v>13917237865</v>
      </c>
      <c r="J7317" s="334" t="s">
        <v>15789</v>
      </c>
      <c r="K7317" s="337"/>
      <c r="L7317" s="338"/>
      <c r="M7317" s="334">
        <v>-50</v>
      </c>
      <c r="N7317" s="362">
        <f t="shared" si="248"/>
        <v>-50</v>
      </c>
      <c r="X7317" s="339"/>
    </row>
    <row r="7318" s="330" customFormat="1" ht="15" customHeight="1" spans="1:24">
      <c r="A7318" s="334"/>
      <c r="B7318" s="334" t="s">
        <v>58</v>
      </c>
      <c r="C7318" s="334" t="s">
        <v>347</v>
      </c>
      <c r="D7318" s="334" t="s">
        <v>343</v>
      </c>
      <c r="E7318" s="393">
        <v>43769</v>
      </c>
      <c r="F7318" s="336"/>
      <c r="G7318" s="393" t="s">
        <v>40</v>
      </c>
      <c r="H7318" s="334" t="s">
        <v>1089</v>
      </c>
      <c r="I7318" s="334">
        <v>13671639182</v>
      </c>
      <c r="J7318" s="334" t="s">
        <v>15749</v>
      </c>
      <c r="K7318" s="337"/>
      <c r="L7318" s="338"/>
      <c r="M7318" s="334">
        <v>-67</v>
      </c>
      <c r="N7318" s="362">
        <f t="shared" si="248"/>
        <v>-67</v>
      </c>
      <c r="X7318" s="339"/>
    </row>
    <row r="7319" s="330" customFormat="1" ht="15" customHeight="1" spans="1:24">
      <c r="A7319" s="334"/>
      <c r="B7319" s="334" t="s">
        <v>31</v>
      </c>
      <c r="C7319" s="425" t="s">
        <v>220</v>
      </c>
      <c r="D7319" s="334" t="s">
        <v>33</v>
      </c>
      <c r="E7319" s="393">
        <v>43769</v>
      </c>
      <c r="F7319" s="336"/>
      <c r="G7319" s="393" t="s">
        <v>40</v>
      </c>
      <c r="H7319" s="495" t="s">
        <v>5561</v>
      </c>
      <c r="I7319" s="496">
        <v>15900843698</v>
      </c>
      <c r="J7319" s="496" t="s">
        <v>5562</v>
      </c>
      <c r="K7319" s="337"/>
      <c r="L7319" s="338"/>
      <c r="M7319" s="334">
        <v>-267</v>
      </c>
      <c r="N7319" s="362">
        <f t="shared" si="248"/>
        <v>-267</v>
      </c>
      <c r="X7319" s="339"/>
    </row>
    <row r="7320" s="330" customFormat="1" ht="15" customHeight="1" spans="1:24">
      <c r="A7320" s="334"/>
      <c r="B7320" s="334" t="s">
        <v>31</v>
      </c>
      <c r="C7320" s="334" t="s">
        <v>220</v>
      </c>
      <c r="D7320" s="334" t="s">
        <v>33</v>
      </c>
      <c r="E7320" s="393">
        <v>43769</v>
      </c>
      <c r="F7320" s="336"/>
      <c r="G7320" s="393" t="s">
        <v>40</v>
      </c>
      <c r="H7320" s="334" t="s">
        <v>10695</v>
      </c>
      <c r="I7320" s="334">
        <v>13901704243</v>
      </c>
      <c r="J7320" s="334" t="s">
        <v>11864</v>
      </c>
      <c r="K7320" s="337"/>
      <c r="L7320" s="338"/>
      <c r="M7320" s="334">
        <v>-736</v>
      </c>
      <c r="N7320" s="362">
        <f t="shared" si="248"/>
        <v>-736</v>
      </c>
      <c r="X7320" s="339"/>
    </row>
    <row r="7321" s="330" customFormat="1" ht="15" customHeight="1" spans="1:24">
      <c r="A7321" s="334"/>
      <c r="B7321" s="334" t="s">
        <v>31</v>
      </c>
      <c r="C7321" s="334" t="s">
        <v>220</v>
      </c>
      <c r="D7321" s="334" t="s">
        <v>33</v>
      </c>
      <c r="E7321" s="393">
        <v>43769</v>
      </c>
      <c r="F7321" s="336"/>
      <c r="G7321" s="393" t="s">
        <v>40</v>
      </c>
      <c r="H7321" s="334" t="s">
        <v>7670</v>
      </c>
      <c r="I7321" s="334">
        <v>18621723323</v>
      </c>
      <c r="J7321" s="348" t="s">
        <v>7671</v>
      </c>
      <c r="K7321" s="337"/>
      <c r="L7321" s="338"/>
      <c r="M7321" s="334">
        <v>-269</v>
      </c>
      <c r="N7321" s="362">
        <f t="shared" si="248"/>
        <v>-269</v>
      </c>
      <c r="X7321" s="339"/>
    </row>
    <row r="7322" s="330" customFormat="1" ht="15" customHeight="1" spans="1:24">
      <c r="A7322" s="334"/>
      <c r="B7322" s="334" t="s">
        <v>31</v>
      </c>
      <c r="C7322" s="334" t="s">
        <v>220</v>
      </c>
      <c r="D7322" s="334" t="s">
        <v>221</v>
      </c>
      <c r="E7322" s="393">
        <v>43769</v>
      </c>
      <c r="F7322" s="336"/>
      <c r="G7322" s="393" t="s">
        <v>40</v>
      </c>
      <c r="H7322" s="334" t="s">
        <v>3757</v>
      </c>
      <c r="I7322" s="334">
        <v>13818595180</v>
      </c>
      <c r="J7322" s="334" t="s">
        <v>7586</v>
      </c>
      <c r="K7322" s="337"/>
      <c r="L7322" s="338"/>
      <c r="M7322" s="334">
        <v>-50</v>
      </c>
      <c r="N7322" s="362">
        <f t="shared" si="248"/>
        <v>-50</v>
      </c>
      <c r="X7322" s="339"/>
    </row>
    <row r="7323" s="330" customFormat="1" ht="15" customHeight="1" spans="1:24">
      <c r="A7323" s="334"/>
      <c r="B7323" s="334" t="s">
        <v>31</v>
      </c>
      <c r="C7323" s="348" t="s">
        <v>419</v>
      </c>
      <c r="D7323" s="334" t="s">
        <v>221</v>
      </c>
      <c r="E7323" s="393">
        <v>43769</v>
      </c>
      <c r="F7323" s="336"/>
      <c r="G7323" s="393" t="s">
        <v>40</v>
      </c>
      <c r="H7323" s="334" t="s">
        <v>15790</v>
      </c>
      <c r="I7323" s="356">
        <v>13918290835</v>
      </c>
      <c r="J7323" s="348" t="s">
        <v>15791</v>
      </c>
      <c r="K7323" s="337"/>
      <c r="L7323" s="338"/>
      <c r="M7323" s="334">
        <v>-812</v>
      </c>
      <c r="N7323" s="362">
        <f t="shared" si="248"/>
        <v>-812</v>
      </c>
      <c r="X7323" s="339"/>
    </row>
    <row r="7324" s="330" customFormat="1" ht="15" customHeight="1" spans="1:24">
      <c r="A7324" s="334"/>
      <c r="B7324" s="334" t="s">
        <v>31</v>
      </c>
      <c r="C7324" s="334" t="s">
        <v>419</v>
      </c>
      <c r="D7324" s="334" t="s">
        <v>33</v>
      </c>
      <c r="E7324" s="393">
        <v>43769</v>
      </c>
      <c r="F7324" s="336"/>
      <c r="G7324" s="393" t="s">
        <v>40</v>
      </c>
      <c r="H7324" s="334" t="s">
        <v>15792</v>
      </c>
      <c r="I7324" s="334">
        <v>13761226856</v>
      </c>
      <c r="J7324" s="348" t="s">
        <v>2446</v>
      </c>
      <c r="K7324" s="337"/>
      <c r="L7324" s="338"/>
      <c r="M7324" s="334">
        <v>-56</v>
      </c>
      <c r="N7324" s="362">
        <f t="shared" si="248"/>
        <v>-56</v>
      </c>
      <c r="X7324" s="339"/>
    </row>
    <row r="7325" s="330" customFormat="1" ht="15" customHeight="1" spans="1:24">
      <c r="A7325" s="334"/>
      <c r="B7325" s="334" t="s">
        <v>31</v>
      </c>
      <c r="C7325" s="334" t="s">
        <v>498</v>
      </c>
      <c r="D7325" s="334" t="s">
        <v>498</v>
      </c>
      <c r="E7325" s="393">
        <v>43769</v>
      </c>
      <c r="F7325" s="336"/>
      <c r="G7325" s="393" t="s">
        <v>40</v>
      </c>
      <c r="H7325" s="334" t="s">
        <v>15752</v>
      </c>
      <c r="I7325" s="334">
        <v>18918230238</v>
      </c>
      <c r="J7325" s="348"/>
      <c r="K7325" s="337"/>
      <c r="L7325" s="338"/>
      <c r="M7325" s="334">
        <v>-536</v>
      </c>
      <c r="N7325" s="362">
        <f t="shared" si="248"/>
        <v>-536</v>
      </c>
      <c r="X7325" s="339"/>
    </row>
    <row r="7326" s="330" customFormat="1" ht="15" customHeight="1" spans="1:24">
      <c r="A7326" s="334"/>
      <c r="B7326" s="334" t="s">
        <v>169</v>
      </c>
      <c r="C7326" s="334" t="s">
        <v>634</v>
      </c>
      <c r="D7326" s="334" t="s">
        <v>139</v>
      </c>
      <c r="E7326" s="393">
        <v>43769</v>
      </c>
      <c r="F7326" s="336"/>
      <c r="G7326" s="393" t="s">
        <v>40</v>
      </c>
      <c r="H7326" s="334" t="s">
        <v>8198</v>
      </c>
      <c r="I7326" s="356">
        <v>19901702440</v>
      </c>
      <c r="J7326" s="348" t="s">
        <v>8199</v>
      </c>
      <c r="K7326" s="337"/>
      <c r="L7326" s="338"/>
      <c r="M7326" s="334">
        <v>-250</v>
      </c>
      <c r="N7326" s="362">
        <f t="shared" si="248"/>
        <v>-250</v>
      </c>
      <c r="X7326" s="339"/>
    </row>
    <row r="7327" s="330" customFormat="1" ht="15" customHeight="1" spans="1:24">
      <c r="A7327" s="334"/>
      <c r="B7327" s="334" t="s">
        <v>66</v>
      </c>
      <c r="C7327" s="334" t="s">
        <v>67</v>
      </c>
      <c r="D7327" s="334" t="s">
        <v>68</v>
      </c>
      <c r="E7327" s="393">
        <v>43769</v>
      </c>
      <c r="F7327" s="336"/>
      <c r="G7327" s="393" t="s">
        <v>40</v>
      </c>
      <c r="H7327" s="269" t="s">
        <v>15793</v>
      </c>
      <c r="I7327" s="356">
        <v>15921997789</v>
      </c>
      <c r="J7327" s="348" t="s">
        <v>15794</v>
      </c>
      <c r="K7327" s="337"/>
      <c r="L7327" s="338"/>
      <c r="M7327" s="334">
        <v>-100</v>
      </c>
      <c r="N7327" s="362">
        <f t="shared" si="248"/>
        <v>-100</v>
      </c>
      <c r="X7327" s="339"/>
    </row>
    <row r="7328" s="330" customFormat="1" ht="15" customHeight="1" spans="1:24">
      <c r="A7328" s="334"/>
      <c r="B7328" s="334" t="s">
        <v>185</v>
      </c>
      <c r="C7328" s="334" t="s">
        <v>186</v>
      </c>
      <c r="D7328" s="334" t="s">
        <v>187</v>
      </c>
      <c r="E7328" s="393">
        <v>43769</v>
      </c>
      <c r="F7328" s="336"/>
      <c r="G7328" s="393" t="s">
        <v>40</v>
      </c>
      <c r="H7328" s="334" t="s">
        <v>2186</v>
      </c>
      <c r="I7328" s="334">
        <v>15601760620</v>
      </c>
      <c r="J7328" s="334" t="s">
        <v>2187</v>
      </c>
      <c r="K7328" s="337"/>
      <c r="L7328" s="338"/>
      <c r="M7328" s="334">
        <v>-100</v>
      </c>
      <c r="N7328" s="362">
        <f t="shared" si="248"/>
        <v>-100</v>
      </c>
      <c r="X7328" s="339"/>
    </row>
    <row r="7329" s="330" customFormat="1" ht="15" customHeight="1" spans="1:24">
      <c r="A7329" s="334"/>
      <c r="B7329" s="334" t="s">
        <v>315</v>
      </c>
      <c r="C7329" s="334" t="s">
        <v>161</v>
      </c>
      <c r="D7329" s="334" t="s">
        <v>162</v>
      </c>
      <c r="E7329" s="393">
        <v>43769</v>
      </c>
      <c r="F7329" s="336"/>
      <c r="G7329" s="393" t="s">
        <v>40</v>
      </c>
      <c r="H7329" s="334" t="s">
        <v>7768</v>
      </c>
      <c r="I7329" s="334">
        <v>13916594878</v>
      </c>
      <c r="J7329" s="348" t="s">
        <v>7769</v>
      </c>
      <c r="K7329" s="337"/>
      <c r="L7329" s="338"/>
      <c r="M7329" s="334">
        <v>-124</v>
      </c>
      <c r="N7329" s="362">
        <f t="shared" si="248"/>
        <v>-124</v>
      </c>
      <c r="X7329" s="339"/>
    </row>
    <row r="7330" s="330" customFormat="1" ht="15" customHeight="1" spans="1:24">
      <c r="A7330" s="334"/>
      <c r="B7330" s="334" t="s">
        <v>315</v>
      </c>
      <c r="C7330" s="334" t="s">
        <v>722</v>
      </c>
      <c r="D7330" s="334" t="s">
        <v>162</v>
      </c>
      <c r="E7330" s="393">
        <v>43769</v>
      </c>
      <c r="F7330" s="336"/>
      <c r="G7330" s="393" t="s">
        <v>40</v>
      </c>
      <c r="H7330" s="334" t="s">
        <v>4821</v>
      </c>
      <c r="I7330" s="356">
        <v>18616552550</v>
      </c>
      <c r="J7330" s="348" t="s">
        <v>15795</v>
      </c>
      <c r="K7330" s="337"/>
      <c r="L7330" s="338"/>
      <c r="M7330" s="334">
        <v>-50</v>
      </c>
      <c r="N7330" s="362">
        <f t="shared" si="248"/>
        <v>-50</v>
      </c>
      <c r="X7330" s="339"/>
    </row>
    <row r="7331" s="330" customFormat="1" ht="15" customHeight="1" spans="1:24">
      <c r="A7331" s="334"/>
      <c r="B7331" s="334" t="s">
        <v>315</v>
      </c>
      <c r="C7331" s="334" t="s">
        <v>275</v>
      </c>
      <c r="D7331" s="334" t="s">
        <v>162</v>
      </c>
      <c r="E7331" s="393">
        <v>43769</v>
      </c>
      <c r="F7331" s="336"/>
      <c r="G7331" s="393" t="s">
        <v>40</v>
      </c>
      <c r="H7331" s="269" t="s">
        <v>2641</v>
      </c>
      <c r="I7331" s="444">
        <v>13685451527</v>
      </c>
      <c r="J7331" s="348" t="s">
        <v>2642</v>
      </c>
      <c r="K7331" s="337"/>
      <c r="L7331" s="338"/>
      <c r="M7331" s="334">
        <v>-60</v>
      </c>
      <c r="N7331" s="362">
        <f t="shared" si="248"/>
        <v>-60</v>
      </c>
      <c r="X7331" s="339"/>
    </row>
    <row r="7332" s="330" customFormat="1" ht="15" customHeight="1" spans="1:24">
      <c r="A7332" s="334"/>
      <c r="B7332" s="334" t="s">
        <v>315</v>
      </c>
      <c r="C7332" s="334" t="s">
        <v>722</v>
      </c>
      <c r="D7332" s="334" t="s">
        <v>149</v>
      </c>
      <c r="E7332" s="393">
        <v>43769</v>
      </c>
      <c r="F7332" s="336"/>
      <c r="G7332" s="393" t="s">
        <v>40</v>
      </c>
      <c r="H7332" s="334" t="s">
        <v>15796</v>
      </c>
      <c r="I7332" s="334">
        <v>17721214652</v>
      </c>
      <c r="J7332" s="348" t="s">
        <v>9369</v>
      </c>
      <c r="K7332" s="337"/>
      <c r="L7332" s="338"/>
      <c r="M7332" s="334">
        <v>-231</v>
      </c>
      <c r="N7332" s="362">
        <f t="shared" si="248"/>
        <v>-231</v>
      </c>
      <c r="X7332" s="339"/>
    </row>
    <row r="7333" s="330" customFormat="1" ht="15" customHeight="1" spans="1:24">
      <c r="A7333" s="334"/>
      <c r="B7333" s="334" t="s">
        <v>315</v>
      </c>
      <c r="C7333" s="348" t="s">
        <v>181</v>
      </c>
      <c r="D7333" s="334" t="s">
        <v>182</v>
      </c>
      <c r="E7333" s="393">
        <v>43769</v>
      </c>
      <c r="F7333" s="336"/>
      <c r="G7333" s="393" t="s">
        <v>40</v>
      </c>
      <c r="H7333" s="334" t="s">
        <v>14481</v>
      </c>
      <c r="I7333" s="334">
        <v>18621563340</v>
      </c>
      <c r="J7333" s="348" t="s">
        <v>15797</v>
      </c>
      <c r="K7333" s="337"/>
      <c r="L7333" s="338"/>
      <c r="M7333" s="334">
        <v>-300</v>
      </c>
      <c r="N7333" s="362">
        <f t="shared" si="248"/>
        <v>-300</v>
      </c>
      <c r="X7333" s="339"/>
    </row>
    <row r="7334" s="330" customFormat="1" ht="15" customHeight="1" spans="1:24">
      <c r="A7334" s="334"/>
      <c r="B7334" s="334" t="s">
        <v>315</v>
      </c>
      <c r="C7334" s="348" t="s">
        <v>722</v>
      </c>
      <c r="D7334" s="334" t="s">
        <v>182</v>
      </c>
      <c r="E7334" s="393">
        <v>43769</v>
      </c>
      <c r="F7334" s="336"/>
      <c r="G7334" s="393" t="s">
        <v>40</v>
      </c>
      <c r="H7334" s="334" t="s">
        <v>10087</v>
      </c>
      <c r="I7334" s="334">
        <v>13774373923</v>
      </c>
      <c r="J7334" s="348" t="s">
        <v>10088</v>
      </c>
      <c r="K7334" s="337"/>
      <c r="L7334" s="338"/>
      <c r="M7334" s="334">
        <v>-50</v>
      </c>
      <c r="N7334" s="362">
        <f t="shared" si="248"/>
        <v>-50</v>
      </c>
      <c r="X7334" s="339"/>
    </row>
    <row r="7335" s="330" customFormat="1" ht="15" customHeight="1" spans="1:24">
      <c r="A7335" s="334"/>
      <c r="B7335" s="348" t="s">
        <v>335</v>
      </c>
      <c r="C7335" s="348" t="s">
        <v>615</v>
      </c>
      <c r="D7335" s="334" t="s">
        <v>635</v>
      </c>
      <c r="E7335" s="393">
        <v>43769</v>
      </c>
      <c r="F7335" s="336"/>
      <c r="G7335" s="393" t="s">
        <v>40</v>
      </c>
      <c r="H7335" s="334" t="s">
        <v>1361</v>
      </c>
      <c r="I7335" s="334">
        <v>15300832865</v>
      </c>
      <c r="J7335" s="348" t="s">
        <v>15705</v>
      </c>
      <c r="K7335" s="337"/>
      <c r="L7335" s="338"/>
      <c r="M7335" s="334">
        <v>-56</v>
      </c>
      <c r="N7335" s="362">
        <f t="shared" si="248"/>
        <v>-56</v>
      </c>
      <c r="X7335" s="339"/>
    </row>
    <row r="7336" s="330" customFormat="1" ht="15" customHeight="1" spans="1:24">
      <c r="A7336" s="334"/>
      <c r="B7336" s="348" t="s">
        <v>335</v>
      </c>
      <c r="C7336" s="334" t="s">
        <v>615</v>
      </c>
      <c r="D7336" s="334" t="s">
        <v>337</v>
      </c>
      <c r="E7336" s="393">
        <v>43769</v>
      </c>
      <c r="F7336" s="336"/>
      <c r="G7336" s="393" t="s">
        <v>40</v>
      </c>
      <c r="H7336" s="334" t="s">
        <v>662</v>
      </c>
      <c r="I7336" s="334">
        <v>13585884850</v>
      </c>
      <c r="J7336" s="348" t="s">
        <v>15773</v>
      </c>
      <c r="K7336" s="337"/>
      <c r="L7336" s="338"/>
      <c r="M7336" s="334">
        <v>-120</v>
      </c>
      <c r="N7336" s="362">
        <f t="shared" si="248"/>
        <v>-120</v>
      </c>
      <c r="X7336" s="339"/>
    </row>
    <row r="7337" s="330" customFormat="1" ht="15" customHeight="1" spans="1:24">
      <c r="A7337" s="334"/>
      <c r="B7337" s="334" t="s">
        <v>153</v>
      </c>
      <c r="C7337" s="334" t="s">
        <v>302</v>
      </c>
      <c r="D7337" s="334" t="s">
        <v>155</v>
      </c>
      <c r="E7337" s="393">
        <v>43769</v>
      </c>
      <c r="F7337" s="336"/>
      <c r="G7337" s="393" t="s">
        <v>40</v>
      </c>
      <c r="H7337" s="334" t="s">
        <v>15798</v>
      </c>
      <c r="I7337" s="356">
        <v>13701712710</v>
      </c>
      <c r="J7337" s="348" t="s">
        <v>15799</v>
      </c>
      <c r="K7337" s="337"/>
      <c r="L7337" s="338"/>
      <c r="M7337" s="334">
        <v>-180</v>
      </c>
      <c r="N7337" s="362">
        <f t="shared" si="248"/>
        <v>-180</v>
      </c>
      <c r="X7337" s="339"/>
    </row>
    <row r="7338" s="330" customFormat="1" ht="15" customHeight="1" spans="1:24">
      <c r="A7338" s="334"/>
      <c r="B7338" s="348" t="s">
        <v>153</v>
      </c>
      <c r="C7338" s="334" t="s">
        <v>154</v>
      </c>
      <c r="D7338" s="334" t="s">
        <v>155</v>
      </c>
      <c r="E7338" s="393">
        <v>43769</v>
      </c>
      <c r="F7338" s="336"/>
      <c r="G7338" s="393" t="s">
        <v>40</v>
      </c>
      <c r="H7338" s="334" t="s">
        <v>15800</v>
      </c>
      <c r="I7338" s="334">
        <v>13611955292</v>
      </c>
      <c r="J7338" s="348" t="s">
        <v>15801</v>
      </c>
      <c r="K7338" s="337"/>
      <c r="L7338" s="338"/>
      <c r="M7338" s="334">
        <v>-50</v>
      </c>
      <c r="N7338" s="362">
        <f t="shared" si="248"/>
        <v>-50</v>
      </c>
      <c r="X7338" s="339"/>
    </row>
    <row r="7339" s="330" customFormat="1" ht="15" customHeight="1" spans="1:24">
      <c r="A7339" s="334"/>
      <c r="B7339" s="334" t="s">
        <v>153</v>
      </c>
      <c r="C7339" s="348" t="s">
        <v>302</v>
      </c>
      <c r="D7339" s="334" t="s">
        <v>155</v>
      </c>
      <c r="E7339" s="393">
        <v>43769</v>
      </c>
      <c r="F7339" s="336"/>
      <c r="G7339" s="393" t="s">
        <v>40</v>
      </c>
      <c r="H7339" s="334" t="s">
        <v>6493</v>
      </c>
      <c r="I7339" s="334">
        <v>13816608170</v>
      </c>
      <c r="J7339" s="348" t="s">
        <v>6494</v>
      </c>
      <c r="K7339" s="337"/>
      <c r="L7339" s="338"/>
      <c r="M7339" s="334">
        <v>-168</v>
      </c>
      <c r="N7339" s="362">
        <f t="shared" si="248"/>
        <v>-168</v>
      </c>
      <c r="X7339" s="339"/>
    </row>
    <row r="7340" s="330" customFormat="1" ht="15" customHeight="1" spans="1:24">
      <c r="A7340" s="334"/>
      <c r="B7340" s="334" t="s">
        <v>153</v>
      </c>
      <c r="C7340" s="334" t="s">
        <v>302</v>
      </c>
      <c r="D7340" s="334" t="s">
        <v>155</v>
      </c>
      <c r="E7340" s="393">
        <v>43769</v>
      </c>
      <c r="F7340" s="336"/>
      <c r="G7340" s="393" t="s">
        <v>40</v>
      </c>
      <c r="H7340" s="334" t="s">
        <v>6345</v>
      </c>
      <c r="I7340" s="334">
        <v>13934135762</v>
      </c>
      <c r="J7340" s="348" t="s">
        <v>6346</v>
      </c>
      <c r="K7340" s="337"/>
      <c r="L7340" s="338"/>
      <c r="M7340" s="334">
        <v>-101</v>
      </c>
      <c r="N7340" s="362">
        <f t="shared" si="248"/>
        <v>-101</v>
      </c>
      <c r="X7340" s="339"/>
    </row>
    <row r="7341" s="330" customFormat="1" ht="15" customHeight="1" spans="1:24">
      <c r="A7341" s="334"/>
      <c r="B7341" s="334" t="s">
        <v>123</v>
      </c>
      <c r="C7341" s="334" t="s">
        <v>902</v>
      </c>
      <c r="D7341" s="334" t="s">
        <v>125</v>
      </c>
      <c r="E7341" s="393">
        <v>43769</v>
      </c>
      <c r="F7341" s="336"/>
      <c r="G7341" s="393" t="s">
        <v>40</v>
      </c>
      <c r="H7341" s="334" t="s">
        <v>8470</v>
      </c>
      <c r="I7341" s="334">
        <v>13917694166</v>
      </c>
      <c r="J7341" s="334" t="s">
        <v>8471</v>
      </c>
      <c r="K7341" s="337"/>
      <c r="L7341" s="338"/>
      <c r="M7341" s="334">
        <v>-124</v>
      </c>
      <c r="N7341" s="362">
        <f t="shared" ref="N7341:N7355" si="249">L7341+M7341</f>
        <v>-124</v>
      </c>
      <c r="X7341" s="339"/>
    </row>
    <row r="7342" s="330" customFormat="1" ht="15" customHeight="1" spans="1:24">
      <c r="A7342" s="334"/>
      <c r="B7342" s="334" t="s">
        <v>405</v>
      </c>
      <c r="C7342" s="334" t="s">
        <v>823</v>
      </c>
      <c r="D7342" s="334" t="s">
        <v>407</v>
      </c>
      <c r="E7342" s="393">
        <v>43769</v>
      </c>
      <c r="F7342" s="336"/>
      <c r="G7342" s="393" t="s">
        <v>40</v>
      </c>
      <c r="H7342" s="334" t="s">
        <v>10021</v>
      </c>
      <c r="I7342" s="334">
        <v>17317244861</v>
      </c>
      <c r="J7342" s="334" t="s">
        <v>10022</v>
      </c>
      <c r="K7342" s="337"/>
      <c r="L7342" s="338"/>
      <c r="M7342" s="334">
        <v>-60</v>
      </c>
      <c r="N7342" s="362">
        <f t="shared" si="249"/>
        <v>-60</v>
      </c>
      <c r="X7342" s="339"/>
    </row>
    <row r="7343" s="330" customFormat="1" ht="15" customHeight="1" spans="1:24">
      <c r="A7343" s="334"/>
      <c r="B7343" s="334" t="s">
        <v>137</v>
      </c>
      <c r="C7343" s="348" t="s">
        <v>480</v>
      </c>
      <c r="D7343" s="334" t="s">
        <v>139</v>
      </c>
      <c r="E7343" s="393">
        <v>43769</v>
      </c>
      <c r="F7343" s="336"/>
      <c r="G7343" s="393" t="s">
        <v>40</v>
      </c>
      <c r="H7343" s="334" t="s">
        <v>4368</v>
      </c>
      <c r="I7343" s="334">
        <v>13817989817</v>
      </c>
      <c r="J7343" s="348" t="s">
        <v>4369</v>
      </c>
      <c r="K7343" s="337"/>
      <c r="L7343" s="338"/>
      <c r="M7343" s="334">
        <v>-2328</v>
      </c>
      <c r="N7343" s="362">
        <f t="shared" si="249"/>
        <v>-2328</v>
      </c>
      <c r="X7343" s="339"/>
    </row>
    <row r="7344" s="330" customFormat="1" ht="15" customHeight="1" spans="1:24">
      <c r="A7344" s="334"/>
      <c r="B7344" s="334" t="s">
        <v>137</v>
      </c>
      <c r="C7344" s="334" t="s">
        <v>411</v>
      </c>
      <c r="D7344" s="334" t="s">
        <v>427</v>
      </c>
      <c r="E7344" s="393">
        <v>43769</v>
      </c>
      <c r="F7344" s="336"/>
      <c r="G7344" s="393" t="s">
        <v>40</v>
      </c>
      <c r="H7344" s="334" t="s">
        <v>2574</v>
      </c>
      <c r="I7344" s="334">
        <v>15821778156</v>
      </c>
      <c r="J7344" s="348" t="s">
        <v>15802</v>
      </c>
      <c r="K7344" s="337"/>
      <c r="L7344" s="338"/>
      <c r="M7344" s="334">
        <v>-50</v>
      </c>
      <c r="N7344" s="362">
        <f t="shared" si="249"/>
        <v>-50</v>
      </c>
      <c r="X7344" s="339"/>
    </row>
    <row r="7345" s="330" customFormat="1" ht="15" customHeight="1" spans="1:24">
      <c r="A7345" s="334"/>
      <c r="B7345" s="334" t="s">
        <v>137</v>
      </c>
      <c r="C7345" s="348" t="s">
        <v>138</v>
      </c>
      <c r="D7345" s="334" t="s">
        <v>75</v>
      </c>
      <c r="E7345" s="393">
        <v>43769</v>
      </c>
      <c r="F7345" s="336"/>
      <c r="G7345" s="393" t="s">
        <v>40</v>
      </c>
      <c r="H7345" s="334" t="s">
        <v>2258</v>
      </c>
      <c r="I7345" s="334">
        <v>13916866178</v>
      </c>
      <c r="J7345" s="348" t="s">
        <v>2259</v>
      </c>
      <c r="K7345" s="337"/>
      <c r="L7345" s="338"/>
      <c r="M7345" s="334">
        <v>-95</v>
      </c>
      <c r="N7345" s="362">
        <f t="shared" si="249"/>
        <v>-95</v>
      </c>
      <c r="X7345" s="339"/>
    </row>
    <row r="7346" s="330" customFormat="1" ht="15" customHeight="1" spans="1:24">
      <c r="A7346" s="334"/>
      <c r="B7346" s="334" t="s">
        <v>137</v>
      </c>
      <c r="C7346" s="334" t="s">
        <v>480</v>
      </c>
      <c r="D7346" s="334" t="s">
        <v>139</v>
      </c>
      <c r="E7346" s="393">
        <v>43769</v>
      </c>
      <c r="F7346" s="336"/>
      <c r="G7346" s="393" t="s">
        <v>40</v>
      </c>
      <c r="H7346" s="334" t="s">
        <v>6472</v>
      </c>
      <c r="I7346" s="356">
        <v>18512542426</v>
      </c>
      <c r="J7346" s="348" t="s">
        <v>15803</v>
      </c>
      <c r="K7346" s="337"/>
      <c r="L7346" s="338"/>
      <c r="M7346" s="334">
        <v>-62</v>
      </c>
      <c r="N7346" s="362">
        <f t="shared" si="249"/>
        <v>-62</v>
      </c>
      <c r="X7346" s="339"/>
    </row>
    <row r="7347" s="330" customFormat="1" ht="15" customHeight="1" spans="1:24">
      <c r="A7347" s="334"/>
      <c r="B7347" s="334" t="s">
        <v>137</v>
      </c>
      <c r="C7347" s="348" t="s">
        <v>411</v>
      </c>
      <c r="D7347" s="334" t="s">
        <v>60</v>
      </c>
      <c r="E7347" s="393">
        <v>43769</v>
      </c>
      <c r="F7347" s="336"/>
      <c r="G7347" s="393" t="s">
        <v>40</v>
      </c>
      <c r="H7347" s="334" t="s">
        <v>15804</v>
      </c>
      <c r="I7347" s="444">
        <v>15021524210</v>
      </c>
      <c r="J7347" s="348" t="s">
        <v>15805</v>
      </c>
      <c r="K7347" s="337"/>
      <c r="L7347" s="338"/>
      <c r="M7347" s="334">
        <v>-50</v>
      </c>
      <c r="N7347" s="362">
        <f t="shared" si="249"/>
        <v>-50</v>
      </c>
      <c r="X7347" s="339"/>
    </row>
    <row r="7348" s="330" customFormat="1" ht="15" customHeight="1" spans="1:24">
      <c r="A7348" s="334"/>
      <c r="B7348" s="334" t="s">
        <v>805</v>
      </c>
      <c r="C7348" s="334" t="s">
        <v>806</v>
      </c>
      <c r="D7348" s="334" t="s">
        <v>427</v>
      </c>
      <c r="E7348" s="336">
        <v>43770</v>
      </c>
      <c r="F7348" s="336"/>
      <c r="G7348" s="336">
        <v>43769</v>
      </c>
      <c r="H7348" s="334" t="s">
        <v>5947</v>
      </c>
      <c r="I7348" s="444">
        <v>13795489248</v>
      </c>
      <c r="J7348" s="348" t="s">
        <v>5948</v>
      </c>
      <c r="K7348" s="337"/>
      <c r="L7348" s="338"/>
      <c r="M7348" s="334">
        <v>756</v>
      </c>
      <c r="N7348" s="362">
        <f t="shared" si="249"/>
        <v>756</v>
      </c>
      <c r="X7348" s="339"/>
    </row>
    <row r="7349" s="330" customFormat="1" ht="15" customHeight="1" spans="1:24">
      <c r="A7349" s="334"/>
      <c r="B7349" s="334" t="s">
        <v>31</v>
      </c>
      <c r="C7349" s="334" t="s">
        <v>220</v>
      </c>
      <c r="D7349" s="334" t="s">
        <v>954</v>
      </c>
      <c r="E7349" s="336">
        <v>43770</v>
      </c>
      <c r="F7349" s="336"/>
      <c r="G7349" s="336">
        <v>43769</v>
      </c>
      <c r="H7349" s="334" t="s">
        <v>15454</v>
      </c>
      <c r="I7349" s="334">
        <v>18501777355</v>
      </c>
      <c r="J7349" s="348" t="s">
        <v>12878</v>
      </c>
      <c r="K7349" s="337"/>
      <c r="L7349" s="338"/>
      <c r="M7349" s="334">
        <v>1620</v>
      </c>
      <c r="N7349" s="362">
        <f t="shared" si="249"/>
        <v>1620</v>
      </c>
      <c r="X7349" s="339"/>
    </row>
    <row r="7350" s="330" customFormat="1" ht="15" customHeight="1" spans="1:24">
      <c r="A7350" s="334"/>
      <c r="B7350" s="334" t="s">
        <v>5435</v>
      </c>
      <c r="C7350" s="334" t="s">
        <v>1728</v>
      </c>
      <c r="D7350" s="334" t="s">
        <v>149</v>
      </c>
      <c r="E7350" s="336">
        <v>43770</v>
      </c>
      <c r="F7350" s="336"/>
      <c r="G7350" s="336">
        <v>43770</v>
      </c>
      <c r="H7350" s="334" t="s">
        <v>13536</v>
      </c>
      <c r="I7350" s="334">
        <v>13774245066</v>
      </c>
      <c r="J7350" s="334" t="s">
        <v>13537</v>
      </c>
      <c r="K7350" s="337"/>
      <c r="L7350" s="338"/>
      <c r="M7350" s="334">
        <v>1651</v>
      </c>
      <c r="N7350" s="362">
        <f t="shared" si="249"/>
        <v>1651</v>
      </c>
      <c r="X7350" s="339"/>
    </row>
    <row r="7351" s="330" customFormat="1" ht="15" customHeight="1" spans="1:24">
      <c r="A7351" s="334"/>
      <c r="B7351" s="334" t="s">
        <v>315</v>
      </c>
      <c r="C7351" s="334" t="s">
        <v>275</v>
      </c>
      <c r="D7351" s="334" t="s">
        <v>162</v>
      </c>
      <c r="E7351" s="336">
        <v>43770</v>
      </c>
      <c r="F7351" s="336"/>
      <c r="G7351" s="336">
        <v>43763</v>
      </c>
      <c r="H7351" s="334" t="s">
        <v>11454</v>
      </c>
      <c r="I7351" s="425">
        <v>13916044759</v>
      </c>
      <c r="J7351" s="425" t="s">
        <v>15326</v>
      </c>
      <c r="K7351" s="337"/>
      <c r="L7351" s="338"/>
      <c r="M7351" s="334">
        <v>1740</v>
      </c>
      <c r="N7351" s="362">
        <f t="shared" si="249"/>
        <v>1740</v>
      </c>
      <c r="X7351" s="339"/>
    </row>
    <row r="7352" s="330" customFormat="1" ht="15" customHeight="1" spans="1:24">
      <c r="A7352" s="334"/>
      <c r="B7352" s="334" t="s">
        <v>137</v>
      </c>
      <c r="C7352" s="334" t="s">
        <v>480</v>
      </c>
      <c r="D7352" s="334" t="s">
        <v>139</v>
      </c>
      <c r="E7352" s="336">
        <v>43770</v>
      </c>
      <c r="F7352" s="336"/>
      <c r="G7352" s="336">
        <v>43770</v>
      </c>
      <c r="H7352" s="334" t="s">
        <v>14801</v>
      </c>
      <c r="I7352" s="444">
        <v>18616579081</v>
      </c>
      <c r="J7352" s="348" t="s">
        <v>14802</v>
      </c>
      <c r="K7352" s="337"/>
      <c r="L7352" s="338"/>
      <c r="M7352" s="334">
        <v>396</v>
      </c>
      <c r="N7352" s="362">
        <f t="shared" si="249"/>
        <v>396</v>
      </c>
      <c r="X7352" s="339"/>
    </row>
    <row r="7353" s="330" customFormat="1" ht="15" customHeight="1" spans="1:24">
      <c r="A7353" s="334"/>
      <c r="B7353" s="334" t="s">
        <v>315</v>
      </c>
      <c r="C7353" s="334" t="s">
        <v>230</v>
      </c>
      <c r="D7353" s="334" t="s">
        <v>182</v>
      </c>
      <c r="E7353" s="336">
        <v>43770</v>
      </c>
      <c r="F7353" s="336"/>
      <c r="G7353" s="336">
        <v>43768</v>
      </c>
      <c r="H7353" s="334" t="s">
        <v>7551</v>
      </c>
      <c r="I7353" s="356">
        <v>15221208840</v>
      </c>
      <c r="J7353" s="348" t="s">
        <v>7552</v>
      </c>
      <c r="K7353" s="337"/>
      <c r="L7353" s="338"/>
      <c r="M7353" s="334">
        <v>4500</v>
      </c>
      <c r="N7353" s="362">
        <f t="shared" si="249"/>
        <v>4500</v>
      </c>
      <c r="X7353" s="339"/>
    </row>
    <row r="7354" s="330" customFormat="1" ht="15" customHeight="1" spans="1:24">
      <c r="A7354" s="334"/>
      <c r="B7354" s="334" t="s">
        <v>5435</v>
      </c>
      <c r="C7354" s="334" t="s">
        <v>1728</v>
      </c>
      <c r="D7354" s="334" t="s">
        <v>149</v>
      </c>
      <c r="E7354" s="336">
        <v>43770</v>
      </c>
      <c r="F7354" s="336"/>
      <c r="G7354" s="336">
        <v>43770</v>
      </c>
      <c r="H7354" s="334" t="s">
        <v>13536</v>
      </c>
      <c r="I7354" s="334">
        <v>13774245066</v>
      </c>
      <c r="J7354" s="334" t="s">
        <v>13537</v>
      </c>
      <c r="K7354" s="337"/>
      <c r="L7354" s="338"/>
      <c r="M7354" s="334">
        <v>120</v>
      </c>
      <c r="N7354" s="362">
        <f t="shared" si="249"/>
        <v>120</v>
      </c>
      <c r="X7354" s="339"/>
    </row>
    <row r="7355" s="330" customFormat="1" ht="15" customHeight="1" spans="1:24">
      <c r="A7355" s="334"/>
      <c r="B7355" s="334" t="s">
        <v>137</v>
      </c>
      <c r="C7355" s="408" t="s">
        <v>138</v>
      </c>
      <c r="D7355" s="334" t="s">
        <v>139</v>
      </c>
      <c r="E7355" s="336">
        <v>43770</v>
      </c>
      <c r="F7355" s="336"/>
      <c r="G7355" s="336">
        <v>43770</v>
      </c>
      <c r="H7355" s="334" t="s">
        <v>15806</v>
      </c>
      <c r="I7355" s="334">
        <v>13564927561</v>
      </c>
      <c r="J7355" s="348" t="s">
        <v>15807</v>
      </c>
      <c r="K7355" s="337"/>
      <c r="L7355" s="338"/>
      <c r="M7355" s="334">
        <v>850</v>
      </c>
      <c r="N7355" s="362">
        <f t="shared" si="249"/>
        <v>850</v>
      </c>
      <c r="X7355" s="339"/>
    </row>
    <row r="7356" s="330" customFormat="1" ht="15" customHeight="1" spans="1:24">
      <c r="A7356" s="550" t="s">
        <v>4251</v>
      </c>
      <c r="B7356" s="334" t="s">
        <v>185</v>
      </c>
      <c r="C7356" s="348" t="s">
        <v>186</v>
      </c>
      <c r="D7356" s="335" t="s">
        <v>187</v>
      </c>
      <c r="E7356" s="336">
        <v>43771</v>
      </c>
      <c r="F7356" s="336">
        <v>43770</v>
      </c>
      <c r="G7356" s="399"/>
      <c r="H7356" s="334" t="s">
        <v>15808</v>
      </c>
      <c r="I7356" s="444">
        <v>18602196178</v>
      </c>
      <c r="J7356" s="348" t="s">
        <v>15809</v>
      </c>
      <c r="K7356" s="452">
        <v>1000</v>
      </c>
      <c r="L7356" s="338"/>
      <c r="M7356" s="338"/>
      <c r="N7356" s="362">
        <f t="shared" ref="N7356:N7372" si="250">L7356+M7356</f>
        <v>0</v>
      </c>
      <c r="O7356" s="467" t="s">
        <v>52</v>
      </c>
      <c r="X7356" s="339"/>
    </row>
    <row r="7357" s="330" customFormat="1" ht="15" customHeight="1" spans="1:24">
      <c r="A7357" s="348"/>
      <c r="B7357" s="334" t="s">
        <v>169</v>
      </c>
      <c r="C7357" s="348" t="s">
        <v>634</v>
      </c>
      <c r="D7357" s="334" t="s">
        <v>635</v>
      </c>
      <c r="E7357" s="336">
        <v>43776</v>
      </c>
      <c r="F7357" s="336">
        <v>43770</v>
      </c>
      <c r="G7357" s="336">
        <v>43772</v>
      </c>
      <c r="H7357" s="334" t="s">
        <v>15810</v>
      </c>
      <c r="I7357" s="444">
        <v>13817274090</v>
      </c>
      <c r="J7357" s="348" t="s">
        <v>15811</v>
      </c>
      <c r="K7357" s="452">
        <v>1000</v>
      </c>
      <c r="L7357" s="334">
        <f>-2300+24986-3828</f>
        <v>18858</v>
      </c>
      <c r="M7357" s="334">
        <v>3828</v>
      </c>
      <c r="N7357" s="362">
        <f t="shared" si="250"/>
        <v>22686</v>
      </c>
      <c r="X7357" s="339"/>
    </row>
    <row r="7358" s="330" customFormat="1" ht="15" customHeight="1" spans="1:24">
      <c r="A7358" s="550" t="s">
        <v>15812</v>
      </c>
      <c r="B7358" s="334" t="s">
        <v>31</v>
      </c>
      <c r="C7358" s="348" t="s">
        <v>13171</v>
      </c>
      <c r="D7358" s="334" t="s">
        <v>954</v>
      </c>
      <c r="E7358" s="336">
        <v>43775</v>
      </c>
      <c r="F7358" s="336">
        <v>43770</v>
      </c>
      <c r="G7358" s="336">
        <v>43775</v>
      </c>
      <c r="H7358" s="334" t="s">
        <v>15813</v>
      </c>
      <c r="I7358" s="444">
        <v>18101878755</v>
      </c>
      <c r="J7358" s="348" t="s">
        <v>15814</v>
      </c>
      <c r="K7358" s="452">
        <v>3000</v>
      </c>
      <c r="L7358" s="334">
        <v>9513</v>
      </c>
      <c r="M7358" s="334">
        <v>1958</v>
      </c>
      <c r="N7358" s="362">
        <f t="shared" si="250"/>
        <v>11471</v>
      </c>
      <c r="X7358" s="339"/>
    </row>
    <row r="7359" s="330" customFormat="1" ht="15" customHeight="1" spans="1:24">
      <c r="A7359" s="550" t="s">
        <v>8479</v>
      </c>
      <c r="B7359" s="334" t="s">
        <v>73</v>
      </c>
      <c r="C7359" s="348" t="s">
        <v>178</v>
      </c>
      <c r="D7359" s="335" t="s">
        <v>75</v>
      </c>
      <c r="E7359" s="336">
        <v>43771</v>
      </c>
      <c r="F7359" s="336">
        <v>43770</v>
      </c>
      <c r="G7359" s="350"/>
      <c r="H7359" s="334" t="s">
        <v>15815</v>
      </c>
      <c r="I7359" s="444">
        <v>13917225846</v>
      </c>
      <c r="J7359" s="348" t="s">
        <v>15816</v>
      </c>
      <c r="K7359" s="452">
        <v>1000</v>
      </c>
      <c r="L7359" s="338"/>
      <c r="M7359" s="338"/>
      <c r="N7359" s="362">
        <f t="shared" si="250"/>
        <v>0</v>
      </c>
      <c r="O7359" s="366" t="s">
        <v>52</v>
      </c>
      <c r="U7359" s="350" t="s">
        <v>40</v>
      </c>
      <c r="X7359" s="339"/>
    </row>
    <row r="7360" s="330" customFormat="1" ht="15" customHeight="1" spans="1:24">
      <c r="A7360" s="550" t="s">
        <v>15817</v>
      </c>
      <c r="B7360" s="334" t="s">
        <v>73</v>
      </c>
      <c r="C7360" s="348" t="s">
        <v>178</v>
      </c>
      <c r="D7360" s="334" t="s">
        <v>187</v>
      </c>
      <c r="E7360" s="336">
        <v>43784</v>
      </c>
      <c r="F7360" s="336">
        <v>43770</v>
      </c>
      <c r="G7360" s="336">
        <v>43784</v>
      </c>
      <c r="H7360" s="334" t="s">
        <v>15818</v>
      </c>
      <c r="I7360" s="444">
        <v>18930317529</v>
      </c>
      <c r="J7360" s="348" t="s">
        <v>15819</v>
      </c>
      <c r="K7360" s="452">
        <v>1000</v>
      </c>
      <c r="L7360" s="334">
        <v>14686</v>
      </c>
      <c r="M7360" s="338"/>
      <c r="N7360" s="362">
        <f t="shared" si="250"/>
        <v>14686</v>
      </c>
      <c r="X7360" s="339"/>
    </row>
    <row r="7361" s="330" customFormat="1" ht="15" customHeight="1" spans="1:24">
      <c r="A7361" s="348"/>
      <c r="B7361" s="334" t="s">
        <v>87</v>
      </c>
      <c r="C7361" s="348" t="s">
        <v>466</v>
      </c>
      <c r="D7361" s="334" t="s">
        <v>8334</v>
      </c>
      <c r="E7361" s="336">
        <v>43776</v>
      </c>
      <c r="F7361" s="336">
        <v>43771</v>
      </c>
      <c r="G7361" s="336">
        <v>43776</v>
      </c>
      <c r="H7361" s="334" t="s">
        <v>15820</v>
      </c>
      <c r="I7361" s="444">
        <v>13681685241</v>
      </c>
      <c r="J7361" s="348" t="s">
        <v>15821</v>
      </c>
      <c r="K7361" s="452">
        <v>3960</v>
      </c>
      <c r="L7361" s="334">
        <v>5900</v>
      </c>
      <c r="M7361" s="338"/>
      <c r="N7361" s="362">
        <f t="shared" si="250"/>
        <v>5900</v>
      </c>
      <c r="X7361" s="339"/>
    </row>
    <row r="7362" s="330" customFormat="1" ht="15" customHeight="1" spans="1:24">
      <c r="A7362" s="550" t="s">
        <v>15822</v>
      </c>
      <c r="B7362" s="334" t="s">
        <v>2625</v>
      </c>
      <c r="C7362" s="348" t="s">
        <v>2626</v>
      </c>
      <c r="D7362" s="334" t="s">
        <v>44</v>
      </c>
      <c r="E7362" s="336">
        <v>43771</v>
      </c>
      <c r="F7362" s="336">
        <v>43770</v>
      </c>
      <c r="G7362" s="399">
        <v>43770</v>
      </c>
      <c r="H7362" s="334" t="s">
        <v>2495</v>
      </c>
      <c r="I7362" s="334">
        <v>18914983345</v>
      </c>
      <c r="J7362" s="348" t="s">
        <v>15823</v>
      </c>
      <c r="K7362" s="452">
        <v>9110</v>
      </c>
      <c r="L7362" s="334">
        <v>9110</v>
      </c>
      <c r="M7362" s="338"/>
      <c r="N7362" s="362">
        <f t="shared" si="250"/>
        <v>9110</v>
      </c>
      <c r="X7362" s="339"/>
    </row>
    <row r="7363" s="330" customFormat="1" ht="15" customHeight="1" spans="1:24">
      <c r="A7363" s="550" t="s">
        <v>15824</v>
      </c>
      <c r="B7363" s="334" t="s">
        <v>31</v>
      </c>
      <c r="C7363" s="348" t="s">
        <v>377</v>
      </c>
      <c r="D7363" s="334" t="s">
        <v>954</v>
      </c>
      <c r="E7363" s="336">
        <v>43797</v>
      </c>
      <c r="F7363" s="336">
        <v>43771</v>
      </c>
      <c r="G7363" s="336">
        <v>43795</v>
      </c>
      <c r="H7363" s="334" t="s">
        <v>15825</v>
      </c>
      <c r="I7363" s="444" t="s">
        <v>15826</v>
      </c>
      <c r="J7363" s="348" t="s">
        <v>15827</v>
      </c>
      <c r="K7363" s="452">
        <v>26852</v>
      </c>
      <c r="L7363" s="334">
        <v>26852</v>
      </c>
      <c r="M7363" s="338"/>
      <c r="N7363" s="362">
        <f t="shared" si="250"/>
        <v>26852</v>
      </c>
      <c r="X7363" s="339"/>
    </row>
    <row r="7364" s="330" customFormat="1" ht="15" customHeight="1" spans="1:24">
      <c r="A7364" s="348">
        <v>2019337</v>
      </c>
      <c r="B7364" s="334" t="s">
        <v>42</v>
      </c>
      <c r="C7364" s="348" t="s">
        <v>43</v>
      </c>
      <c r="D7364" s="334" t="s">
        <v>207</v>
      </c>
      <c r="E7364" s="336">
        <v>43814</v>
      </c>
      <c r="F7364" s="336">
        <v>43767</v>
      </c>
      <c r="G7364" s="336">
        <v>43811</v>
      </c>
      <c r="H7364" s="334" t="s">
        <v>15828</v>
      </c>
      <c r="I7364" s="444">
        <v>13971668810</v>
      </c>
      <c r="J7364" s="348" t="s">
        <v>15829</v>
      </c>
      <c r="K7364" s="452">
        <v>3000</v>
      </c>
      <c r="L7364" s="334">
        <v>11599</v>
      </c>
      <c r="M7364" s="338"/>
      <c r="N7364" s="362">
        <f t="shared" si="250"/>
        <v>11599</v>
      </c>
      <c r="X7364" s="339"/>
    </row>
    <row r="7365" s="330" customFormat="1" ht="15" customHeight="1" spans="1:24">
      <c r="A7365" s="550" t="s">
        <v>15830</v>
      </c>
      <c r="B7365" s="334" t="s">
        <v>66</v>
      </c>
      <c r="C7365" s="348" t="s">
        <v>1749</v>
      </c>
      <c r="D7365" s="335" t="s">
        <v>68</v>
      </c>
      <c r="E7365" s="336">
        <v>43829</v>
      </c>
      <c r="F7365" s="336">
        <v>43771</v>
      </c>
      <c r="G7365" s="336">
        <v>43829</v>
      </c>
      <c r="H7365" s="334" t="s">
        <v>15831</v>
      </c>
      <c r="I7365" s="444">
        <v>17811885646</v>
      </c>
      <c r="J7365" s="348" t="s">
        <v>15832</v>
      </c>
      <c r="K7365" s="452">
        <f>1000+2000</f>
        <v>3000</v>
      </c>
      <c r="L7365" s="334">
        <v>13000</v>
      </c>
      <c r="M7365" s="338"/>
      <c r="N7365" s="362">
        <f t="shared" si="250"/>
        <v>13000</v>
      </c>
      <c r="P7365" s="330" t="s">
        <v>52</v>
      </c>
      <c r="X7365" s="339"/>
    </row>
    <row r="7366" s="330" customFormat="1" ht="15" customHeight="1" spans="1:24">
      <c r="A7366" s="550" t="s">
        <v>15833</v>
      </c>
      <c r="B7366" s="334" t="s">
        <v>66</v>
      </c>
      <c r="C7366" s="348" t="s">
        <v>1749</v>
      </c>
      <c r="D7366" s="335" t="s">
        <v>68</v>
      </c>
      <c r="E7366" s="336">
        <v>43771</v>
      </c>
      <c r="F7366" s="336">
        <v>43771</v>
      </c>
      <c r="G7366" s="399"/>
      <c r="H7366" s="334" t="s">
        <v>15834</v>
      </c>
      <c r="I7366" s="444">
        <v>15601835057</v>
      </c>
      <c r="J7366" s="348" t="s">
        <v>15835</v>
      </c>
      <c r="K7366" s="452">
        <v>1000</v>
      </c>
      <c r="L7366" s="338"/>
      <c r="M7366" s="338"/>
      <c r="N7366" s="362">
        <f t="shared" si="250"/>
        <v>0</v>
      </c>
      <c r="U7366" s="330" t="s">
        <v>12</v>
      </c>
      <c r="X7366" s="339"/>
    </row>
    <row r="7367" s="330" customFormat="1" ht="15" customHeight="1" spans="1:24">
      <c r="A7367" s="550" t="s">
        <v>15836</v>
      </c>
      <c r="B7367" s="334" t="s">
        <v>185</v>
      </c>
      <c r="C7367" s="348" t="s">
        <v>186</v>
      </c>
      <c r="D7367" s="334" t="s">
        <v>187</v>
      </c>
      <c r="E7367" s="336">
        <v>43773</v>
      </c>
      <c r="F7367" s="336">
        <v>43771</v>
      </c>
      <c r="G7367" s="336">
        <v>43771</v>
      </c>
      <c r="H7367" s="334" t="s">
        <v>15837</v>
      </c>
      <c r="I7367" s="444">
        <v>18964637266</v>
      </c>
      <c r="J7367" s="348" t="s">
        <v>15838</v>
      </c>
      <c r="K7367" s="452">
        <v>1000</v>
      </c>
      <c r="L7367" s="334">
        <v>6781</v>
      </c>
      <c r="M7367" s="338"/>
      <c r="N7367" s="362">
        <f t="shared" si="250"/>
        <v>6781</v>
      </c>
      <c r="X7367" s="339"/>
    </row>
    <row r="7368" s="330" customFormat="1" ht="15" customHeight="1" spans="1:24">
      <c r="A7368" s="550" t="s">
        <v>5106</v>
      </c>
      <c r="B7368" s="334" t="s">
        <v>169</v>
      </c>
      <c r="C7368" s="348" t="s">
        <v>634</v>
      </c>
      <c r="D7368" s="334" t="s">
        <v>635</v>
      </c>
      <c r="E7368" s="336">
        <v>43780</v>
      </c>
      <c r="F7368" s="336">
        <v>43771</v>
      </c>
      <c r="G7368" s="336">
        <v>43779</v>
      </c>
      <c r="H7368" s="334" t="s">
        <v>5453</v>
      </c>
      <c r="I7368" s="444">
        <v>18302111921</v>
      </c>
      <c r="J7368" s="348" t="s">
        <v>15839</v>
      </c>
      <c r="K7368" s="452">
        <v>8000</v>
      </c>
      <c r="L7368" s="334">
        <v>8032</v>
      </c>
      <c r="M7368" s="338"/>
      <c r="N7368" s="362">
        <f t="shared" si="250"/>
        <v>8032</v>
      </c>
      <c r="X7368" s="339"/>
    </row>
    <row r="7369" s="330" customFormat="1" ht="15" customHeight="1" spans="1:24">
      <c r="A7369" s="550" t="s">
        <v>15840</v>
      </c>
      <c r="B7369" s="334" t="s">
        <v>169</v>
      </c>
      <c r="C7369" s="348" t="s">
        <v>634</v>
      </c>
      <c r="D7369" s="334" t="s">
        <v>171</v>
      </c>
      <c r="E7369" s="336">
        <v>43795</v>
      </c>
      <c r="F7369" s="336">
        <v>43771</v>
      </c>
      <c r="G7369" s="336">
        <v>43795</v>
      </c>
      <c r="H7369" s="334" t="s">
        <v>15841</v>
      </c>
      <c r="I7369" s="444">
        <v>18017411522</v>
      </c>
      <c r="J7369" s="348" t="s">
        <v>15842</v>
      </c>
      <c r="K7369" s="452">
        <v>10000</v>
      </c>
      <c r="L7369" s="334">
        <v>10604</v>
      </c>
      <c r="M7369" s="338"/>
      <c r="N7369" s="362">
        <f t="shared" si="250"/>
        <v>10604</v>
      </c>
      <c r="V7369" s="353" t="s">
        <v>1481</v>
      </c>
      <c r="X7369" s="339"/>
    </row>
    <row r="7370" s="330" customFormat="1" ht="15" customHeight="1" spans="1:24">
      <c r="A7370" s="550" t="s">
        <v>15843</v>
      </c>
      <c r="B7370" s="334" t="s">
        <v>66</v>
      </c>
      <c r="C7370" s="334" t="s">
        <v>119</v>
      </c>
      <c r="D7370" s="334" t="s">
        <v>68</v>
      </c>
      <c r="E7370" s="336">
        <v>43771</v>
      </c>
      <c r="F7370" s="336">
        <v>43771</v>
      </c>
      <c r="G7370" s="399">
        <v>43771</v>
      </c>
      <c r="H7370" s="334" t="s">
        <v>15844</v>
      </c>
      <c r="I7370" s="334">
        <v>1363656158</v>
      </c>
      <c r="J7370" s="348" t="s">
        <v>15845</v>
      </c>
      <c r="K7370" s="452">
        <v>32000</v>
      </c>
      <c r="L7370" s="334">
        <v>32000</v>
      </c>
      <c r="M7370" s="338"/>
      <c r="N7370" s="362">
        <f t="shared" si="250"/>
        <v>32000</v>
      </c>
      <c r="X7370" s="339"/>
    </row>
    <row r="7371" s="330" customFormat="1" ht="15" customHeight="1" spans="1:24">
      <c r="A7371" s="550" t="s">
        <v>15846</v>
      </c>
      <c r="B7371" s="334" t="s">
        <v>805</v>
      </c>
      <c r="C7371" s="348" t="s">
        <v>4935</v>
      </c>
      <c r="D7371" s="335" t="s">
        <v>171</v>
      </c>
      <c r="E7371" s="336">
        <v>43784</v>
      </c>
      <c r="F7371" s="336">
        <v>43771</v>
      </c>
      <c r="G7371" s="336">
        <v>43783</v>
      </c>
      <c r="H7371" s="334" t="s">
        <v>15847</v>
      </c>
      <c r="I7371" s="444">
        <v>15000572262</v>
      </c>
      <c r="J7371" s="348" t="s">
        <v>15848</v>
      </c>
      <c r="K7371" s="452">
        <v>5000</v>
      </c>
      <c r="L7371" s="334">
        <v>25539</v>
      </c>
      <c r="M7371" s="338"/>
      <c r="N7371" s="362">
        <f t="shared" si="250"/>
        <v>25539</v>
      </c>
      <c r="X7371" s="339"/>
    </row>
    <row r="7372" s="330" customFormat="1" ht="15" customHeight="1" spans="1:24">
      <c r="A7372" s="334"/>
      <c r="B7372" s="334" t="s">
        <v>726</v>
      </c>
      <c r="C7372" s="334" t="s">
        <v>727</v>
      </c>
      <c r="D7372" s="334" t="s">
        <v>271</v>
      </c>
      <c r="E7372" s="336">
        <v>43771</v>
      </c>
      <c r="F7372" s="336"/>
      <c r="G7372" s="336">
        <v>43771</v>
      </c>
      <c r="H7372" s="334" t="s">
        <v>15849</v>
      </c>
      <c r="I7372" s="334">
        <v>13801742336</v>
      </c>
      <c r="J7372" s="348" t="s">
        <v>15850</v>
      </c>
      <c r="K7372" s="337"/>
      <c r="L7372" s="334">
        <v>7587</v>
      </c>
      <c r="M7372" s="338"/>
      <c r="N7372" s="362">
        <f t="shared" ref="N7372:N7396" si="251">L7372+M7372</f>
        <v>7587</v>
      </c>
      <c r="X7372" s="339"/>
    </row>
    <row r="7373" s="330" customFormat="1" ht="15" customHeight="1" spans="1:24">
      <c r="A7373" s="334"/>
      <c r="B7373" s="334" t="s">
        <v>243</v>
      </c>
      <c r="C7373" s="334" t="s">
        <v>244</v>
      </c>
      <c r="D7373" s="335" t="s">
        <v>49</v>
      </c>
      <c r="E7373" s="336">
        <v>43771</v>
      </c>
      <c r="F7373" s="336"/>
      <c r="G7373" s="336">
        <v>43753</v>
      </c>
      <c r="H7373" s="334" t="s">
        <v>5966</v>
      </c>
      <c r="I7373" s="444">
        <v>13917575395</v>
      </c>
      <c r="J7373" s="348" t="s">
        <v>15851</v>
      </c>
      <c r="K7373" s="337"/>
      <c r="L7373" s="338"/>
      <c r="M7373" s="334">
        <v>10565</v>
      </c>
      <c r="N7373" s="362">
        <f t="shared" si="251"/>
        <v>10565</v>
      </c>
      <c r="X7373" s="339"/>
    </row>
    <row r="7374" s="330" customFormat="1" ht="15" customHeight="1" spans="1:24">
      <c r="A7374" s="334"/>
      <c r="B7374" s="334" t="s">
        <v>73</v>
      </c>
      <c r="C7374" s="334" t="s">
        <v>178</v>
      </c>
      <c r="D7374" s="334" t="s">
        <v>343</v>
      </c>
      <c r="E7374" s="336">
        <v>43771</v>
      </c>
      <c r="F7374" s="336"/>
      <c r="G7374" s="336">
        <v>43770</v>
      </c>
      <c r="H7374" s="334" t="s">
        <v>7757</v>
      </c>
      <c r="I7374" s="334">
        <v>13817588090</v>
      </c>
      <c r="J7374" s="334" t="s">
        <v>9950</v>
      </c>
      <c r="K7374" s="337"/>
      <c r="L7374" s="338"/>
      <c r="M7374" s="334">
        <f>307+2562</f>
        <v>2869</v>
      </c>
      <c r="N7374" s="362">
        <f t="shared" si="251"/>
        <v>2869</v>
      </c>
      <c r="X7374" s="339"/>
    </row>
    <row r="7375" s="330" customFormat="1" ht="15" customHeight="1" spans="1:24">
      <c r="A7375" s="334"/>
      <c r="B7375" s="334" t="s">
        <v>5435</v>
      </c>
      <c r="C7375" s="334" t="s">
        <v>1728</v>
      </c>
      <c r="D7375" s="334" t="s">
        <v>149</v>
      </c>
      <c r="E7375" s="336">
        <v>43771</v>
      </c>
      <c r="F7375" s="336"/>
      <c r="G7375" s="336">
        <v>43768</v>
      </c>
      <c r="H7375" s="334" t="s">
        <v>14751</v>
      </c>
      <c r="I7375" s="444">
        <v>13764426158</v>
      </c>
      <c r="J7375" s="348" t="s">
        <v>14752</v>
      </c>
      <c r="K7375" s="337"/>
      <c r="L7375" s="338"/>
      <c r="M7375" s="334">
        <v>200</v>
      </c>
      <c r="N7375" s="362">
        <f t="shared" si="251"/>
        <v>200</v>
      </c>
      <c r="X7375" s="339"/>
    </row>
    <row r="7376" s="330" customFormat="1" ht="15" customHeight="1" spans="1:24">
      <c r="A7376" s="334"/>
      <c r="B7376" s="334" t="s">
        <v>5435</v>
      </c>
      <c r="C7376" s="334" t="s">
        <v>1728</v>
      </c>
      <c r="D7376" s="334" t="s">
        <v>237</v>
      </c>
      <c r="E7376" s="336">
        <v>43771</v>
      </c>
      <c r="F7376" s="336"/>
      <c r="G7376" s="336">
        <v>43764</v>
      </c>
      <c r="H7376" s="334" t="s">
        <v>14427</v>
      </c>
      <c r="I7376" s="334">
        <v>18621688669</v>
      </c>
      <c r="J7376" s="348" t="s">
        <v>15852</v>
      </c>
      <c r="K7376" s="337"/>
      <c r="L7376" s="338"/>
      <c r="M7376" s="334">
        <v>200</v>
      </c>
      <c r="N7376" s="362">
        <f t="shared" si="251"/>
        <v>200</v>
      </c>
      <c r="X7376" s="339"/>
    </row>
    <row r="7377" s="330" customFormat="1" ht="15" customHeight="1" spans="1:24">
      <c r="A7377" s="334"/>
      <c r="B7377" s="334" t="s">
        <v>147</v>
      </c>
      <c r="C7377" s="334" t="s">
        <v>148</v>
      </c>
      <c r="D7377" s="334" t="s">
        <v>33</v>
      </c>
      <c r="E7377" s="336">
        <v>43771</v>
      </c>
      <c r="F7377" s="336"/>
      <c r="G7377" s="336">
        <v>43770</v>
      </c>
      <c r="H7377" s="334" t="s">
        <v>13842</v>
      </c>
      <c r="I7377" s="356">
        <v>18930166883</v>
      </c>
      <c r="J7377" s="348" t="s">
        <v>13843</v>
      </c>
      <c r="K7377" s="337"/>
      <c r="L7377" s="338"/>
      <c r="M7377" s="334">
        <v>227</v>
      </c>
      <c r="N7377" s="362">
        <f t="shared" si="251"/>
        <v>227</v>
      </c>
      <c r="X7377" s="339"/>
    </row>
    <row r="7378" s="330" customFormat="1" ht="15" customHeight="1" spans="1:24">
      <c r="A7378" s="334"/>
      <c r="B7378" s="334" t="s">
        <v>2625</v>
      </c>
      <c r="C7378" s="334" t="s">
        <v>2626</v>
      </c>
      <c r="D7378" s="334" t="s">
        <v>44</v>
      </c>
      <c r="E7378" s="336">
        <v>43771</v>
      </c>
      <c r="F7378" s="336"/>
      <c r="G7378" s="336">
        <v>43771</v>
      </c>
      <c r="H7378" s="334" t="s">
        <v>9741</v>
      </c>
      <c r="I7378" s="334">
        <v>13671704582</v>
      </c>
      <c r="J7378" s="334" t="s">
        <v>9742</v>
      </c>
      <c r="K7378" s="337"/>
      <c r="L7378" s="338"/>
      <c r="M7378" s="334">
        <v>1400</v>
      </c>
      <c r="N7378" s="362">
        <f t="shared" si="251"/>
        <v>1400</v>
      </c>
      <c r="X7378" s="339"/>
    </row>
    <row r="7379" s="330" customFormat="1" ht="15" customHeight="1" spans="1:24">
      <c r="A7379" s="334"/>
      <c r="B7379" s="334" t="s">
        <v>31</v>
      </c>
      <c r="C7379" s="334" t="s">
        <v>32</v>
      </c>
      <c r="D7379" s="334" t="s">
        <v>221</v>
      </c>
      <c r="E7379" s="336">
        <v>43771</v>
      </c>
      <c r="F7379" s="336"/>
      <c r="G7379" s="336">
        <v>43771</v>
      </c>
      <c r="H7379" s="334" t="s">
        <v>15853</v>
      </c>
      <c r="I7379" s="356">
        <v>13701718452</v>
      </c>
      <c r="J7379" s="348" t="s">
        <v>15854</v>
      </c>
      <c r="K7379" s="337"/>
      <c r="L7379" s="338"/>
      <c r="M7379" s="334">
        <v>17529</v>
      </c>
      <c r="N7379" s="362">
        <f t="shared" si="251"/>
        <v>17529</v>
      </c>
      <c r="X7379" s="339"/>
    </row>
    <row r="7380" s="330" customFormat="1" ht="15" customHeight="1" spans="1:24">
      <c r="A7380" s="334"/>
      <c r="B7380" s="334" t="s">
        <v>73</v>
      </c>
      <c r="C7380" s="334" t="s">
        <v>74</v>
      </c>
      <c r="D7380" s="334" t="s">
        <v>44</v>
      </c>
      <c r="E7380" s="336">
        <v>43771</v>
      </c>
      <c r="F7380" s="336"/>
      <c r="G7380" s="336">
        <v>43770</v>
      </c>
      <c r="H7380" s="334" t="s">
        <v>2269</v>
      </c>
      <c r="I7380" s="444">
        <v>13764634727</v>
      </c>
      <c r="J7380" s="348" t="s">
        <v>14228</v>
      </c>
      <c r="K7380" s="337"/>
      <c r="L7380" s="338"/>
      <c r="M7380" s="334">
        <v>8995</v>
      </c>
      <c r="N7380" s="362">
        <f t="shared" si="251"/>
        <v>8995</v>
      </c>
      <c r="X7380" s="339"/>
    </row>
    <row r="7381" s="330" customFormat="1" ht="15" customHeight="1" spans="1:24">
      <c r="A7381" s="334"/>
      <c r="B7381" s="334" t="s">
        <v>58</v>
      </c>
      <c r="C7381" s="334" t="s">
        <v>347</v>
      </c>
      <c r="D7381" s="334" t="s">
        <v>343</v>
      </c>
      <c r="E7381" s="336">
        <v>43771</v>
      </c>
      <c r="F7381" s="336"/>
      <c r="G7381" s="336">
        <v>43770</v>
      </c>
      <c r="H7381" s="334" t="s">
        <v>11726</v>
      </c>
      <c r="I7381" s="334">
        <v>13917029514</v>
      </c>
      <c r="J7381" s="334" t="s">
        <v>12980</v>
      </c>
      <c r="K7381" s="337"/>
      <c r="L7381" s="338"/>
      <c r="M7381" s="334">
        <v>6016</v>
      </c>
      <c r="N7381" s="362">
        <f t="shared" si="251"/>
        <v>6016</v>
      </c>
      <c r="X7381" s="339"/>
    </row>
    <row r="7382" s="330" customFormat="1" ht="15" customHeight="1" spans="1:24">
      <c r="A7382" s="334"/>
      <c r="B7382" s="334" t="s">
        <v>58</v>
      </c>
      <c r="C7382" s="334" t="s">
        <v>347</v>
      </c>
      <c r="D7382" s="334" t="s">
        <v>343</v>
      </c>
      <c r="E7382" s="336">
        <v>43771</v>
      </c>
      <c r="F7382" s="336"/>
      <c r="G7382" s="336">
        <v>43764</v>
      </c>
      <c r="H7382" s="334" t="s">
        <v>11011</v>
      </c>
      <c r="I7382" s="334">
        <v>13817780678</v>
      </c>
      <c r="J7382" s="334" t="s">
        <v>11012</v>
      </c>
      <c r="K7382" s="337"/>
      <c r="L7382" s="338"/>
      <c r="M7382" s="334">
        <v>8306</v>
      </c>
      <c r="N7382" s="362">
        <f t="shared" si="251"/>
        <v>8306</v>
      </c>
      <c r="X7382" s="339"/>
    </row>
    <row r="7383" s="330" customFormat="1" ht="15" customHeight="1" spans="1:24">
      <c r="A7383" s="334"/>
      <c r="B7383" s="334" t="s">
        <v>31</v>
      </c>
      <c r="C7383" s="334" t="s">
        <v>419</v>
      </c>
      <c r="D7383" s="334" t="s">
        <v>33</v>
      </c>
      <c r="E7383" s="336">
        <v>43771</v>
      </c>
      <c r="F7383" s="336"/>
      <c r="G7383" s="336">
        <v>43771</v>
      </c>
      <c r="H7383" s="334" t="s">
        <v>15110</v>
      </c>
      <c r="I7383" s="444">
        <v>13636471793</v>
      </c>
      <c r="J7383" s="348" t="s">
        <v>15111</v>
      </c>
      <c r="K7383" s="337"/>
      <c r="L7383" s="338"/>
      <c r="M7383" s="334">
        <v>3537</v>
      </c>
      <c r="N7383" s="362">
        <f t="shared" si="251"/>
        <v>3537</v>
      </c>
      <c r="X7383" s="339"/>
    </row>
    <row r="7384" s="330" customFormat="1" ht="15" customHeight="1" spans="1:24">
      <c r="A7384" s="550" t="s">
        <v>15855</v>
      </c>
      <c r="B7384" s="334" t="s">
        <v>58</v>
      </c>
      <c r="C7384" s="348" t="s">
        <v>342</v>
      </c>
      <c r="D7384" s="334" t="s">
        <v>343</v>
      </c>
      <c r="E7384" s="336">
        <v>43780</v>
      </c>
      <c r="F7384" s="336">
        <v>43771</v>
      </c>
      <c r="G7384" s="336">
        <v>43779</v>
      </c>
      <c r="H7384" s="334" t="s">
        <v>15856</v>
      </c>
      <c r="I7384" s="444">
        <v>13764016967</v>
      </c>
      <c r="J7384" s="348" t="s">
        <v>15857</v>
      </c>
      <c r="K7384" s="452">
        <v>10000</v>
      </c>
      <c r="L7384" s="334">
        <v>14400</v>
      </c>
      <c r="M7384" s="338"/>
      <c r="N7384" s="362">
        <f t="shared" si="251"/>
        <v>14400</v>
      </c>
      <c r="X7384" s="339"/>
    </row>
    <row r="7385" s="330" customFormat="1" ht="15" customHeight="1" spans="1:24">
      <c r="A7385" s="550" t="s">
        <v>15858</v>
      </c>
      <c r="B7385" s="334" t="s">
        <v>66</v>
      </c>
      <c r="C7385" s="348" t="s">
        <v>119</v>
      </c>
      <c r="D7385" s="334" t="s">
        <v>1436</v>
      </c>
      <c r="E7385" s="336">
        <v>43830</v>
      </c>
      <c r="F7385" s="336">
        <v>43771</v>
      </c>
      <c r="G7385" s="336">
        <v>43829</v>
      </c>
      <c r="H7385" s="334" t="s">
        <v>15859</v>
      </c>
      <c r="I7385" s="444">
        <v>13917559993</v>
      </c>
      <c r="J7385" s="348" t="s">
        <v>15860</v>
      </c>
      <c r="K7385" s="452">
        <v>3136</v>
      </c>
      <c r="L7385" s="334">
        <v>3200</v>
      </c>
      <c r="M7385" s="338"/>
      <c r="N7385" s="362">
        <f t="shared" si="251"/>
        <v>3200</v>
      </c>
      <c r="O7385" s="353" t="s">
        <v>19</v>
      </c>
      <c r="X7385" s="339"/>
    </row>
    <row r="7386" s="330" customFormat="1" ht="15" customHeight="1" spans="1:24">
      <c r="A7386" s="550" t="s">
        <v>1383</v>
      </c>
      <c r="B7386" s="334" t="s">
        <v>31</v>
      </c>
      <c r="C7386" s="348" t="s">
        <v>3186</v>
      </c>
      <c r="D7386" s="334" t="s">
        <v>954</v>
      </c>
      <c r="E7386" s="336">
        <v>43779</v>
      </c>
      <c r="F7386" s="336">
        <v>43771</v>
      </c>
      <c r="G7386" s="336">
        <v>43778</v>
      </c>
      <c r="H7386" s="334" t="s">
        <v>15861</v>
      </c>
      <c r="I7386" s="444">
        <v>13816700467</v>
      </c>
      <c r="J7386" s="348" t="s">
        <v>15862</v>
      </c>
      <c r="K7386" s="452">
        <v>1000</v>
      </c>
      <c r="L7386" s="334">
        <v>9500</v>
      </c>
      <c r="M7386" s="338"/>
      <c r="N7386" s="362">
        <f t="shared" si="251"/>
        <v>9500</v>
      </c>
      <c r="X7386" s="339"/>
    </row>
    <row r="7387" s="330" customFormat="1" ht="15" customHeight="1" spans="1:24">
      <c r="A7387" s="348"/>
      <c r="B7387" s="334" t="s">
        <v>805</v>
      </c>
      <c r="C7387" s="348" t="s">
        <v>4935</v>
      </c>
      <c r="D7387" s="335" t="s">
        <v>171</v>
      </c>
      <c r="E7387" s="336">
        <v>43786</v>
      </c>
      <c r="F7387" s="336">
        <v>43771</v>
      </c>
      <c r="G7387" s="336">
        <v>43783</v>
      </c>
      <c r="H7387" s="334" t="s">
        <v>15863</v>
      </c>
      <c r="I7387" s="444">
        <v>18621196067</v>
      </c>
      <c r="J7387" s="348" t="s">
        <v>15864</v>
      </c>
      <c r="K7387" s="452">
        <v>5000</v>
      </c>
      <c r="L7387" s="334">
        <v>14126</v>
      </c>
      <c r="M7387" s="338"/>
      <c r="N7387" s="362">
        <f t="shared" si="251"/>
        <v>14126</v>
      </c>
      <c r="X7387" s="339"/>
    </row>
    <row r="7388" s="330" customFormat="1" ht="15" customHeight="1" spans="1:24">
      <c r="A7388" s="348"/>
      <c r="B7388" s="334" t="s">
        <v>805</v>
      </c>
      <c r="C7388" s="348" t="s">
        <v>4935</v>
      </c>
      <c r="D7388" s="335" t="s">
        <v>171</v>
      </c>
      <c r="E7388" s="336">
        <v>43808</v>
      </c>
      <c r="F7388" s="336">
        <v>43771</v>
      </c>
      <c r="G7388" s="336">
        <v>43808</v>
      </c>
      <c r="H7388" s="334" t="s">
        <v>15865</v>
      </c>
      <c r="I7388" s="444">
        <v>13621677699</v>
      </c>
      <c r="J7388" s="348" t="s">
        <v>15866</v>
      </c>
      <c r="K7388" s="452">
        <v>1000</v>
      </c>
      <c r="L7388" s="334">
        <v>9425</v>
      </c>
      <c r="M7388" s="338"/>
      <c r="N7388" s="362">
        <f t="shared" si="251"/>
        <v>9425</v>
      </c>
      <c r="X7388" s="339"/>
    </row>
    <row r="7389" s="330" customFormat="1" ht="15" customHeight="1" spans="1:24">
      <c r="A7389" s="550" t="s">
        <v>15867</v>
      </c>
      <c r="B7389" s="334" t="s">
        <v>805</v>
      </c>
      <c r="C7389" s="348" t="s">
        <v>4935</v>
      </c>
      <c r="D7389" s="335" t="s">
        <v>171</v>
      </c>
      <c r="E7389" s="336">
        <v>43772</v>
      </c>
      <c r="F7389" s="336">
        <v>43771</v>
      </c>
      <c r="G7389" s="399"/>
      <c r="H7389" s="334" t="s">
        <v>15868</v>
      </c>
      <c r="I7389" s="444">
        <v>13818052255</v>
      </c>
      <c r="J7389" s="348" t="s">
        <v>15869</v>
      </c>
      <c r="K7389" s="452">
        <v>1000</v>
      </c>
      <c r="L7389" s="338"/>
      <c r="M7389" s="338"/>
      <c r="N7389" s="362">
        <f t="shared" si="251"/>
        <v>0</v>
      </c>
      <c r="O7389" s="467" t="s">
        <v>52</v>
      </c>
      <c r="P7389" s="467"/>
      <c r="X7389" s="339"/>
    </row>
    <row r="7390" s="330" customFormat="1" ht="15" customHeight="1" spans="1:24">
      <c r="A7390" s="550" t="s">
        <v>15870</v>
      </c>
      <c r="B7390" s="334" t="s">
        <v>87</v>
      </c>
      <c r="C7390" s="348" t="s">
        <v>466</v>
      </c>
      <c r="D7390" s="335" t="s">
        <v>89</v>
      </c>
      <c r="E7390" s="336">
        <v>43799</v>
      </c>
      <c r="F7390" s="336">
        <v>43771</v>
      </c>
      <c r="G7390" s="336">
        <v>43799</v>
      </c>
      <c r="H7390" s="334" t="s">
        <v>6510</v>
      </c>
      <c r="I7390" s="444">
        <v>13501759067</v>
      </c>
      <c r="J7390" s="348" t="s">
        <v>15871</v>
      </c>
      <c r="K7390" s="452">
        <v>1000</v>
      </c>
      <c r="L7390" s="334">
        <v>13265</v>
      </c>
      <c r="M7390" s="338"/>
      <c r="N7390" s="362">
        <f t="shared" si="251"/>
        <v>13265</v>
      </c>
      <c r="O7390" s="411" t="s">
        <v>52</v>
      </c>
      <c r="X7390" s="339"/>
    </row>
    <row r="7391" s="330" customFormat="1" ht="15" customHeight="1" spans="1:24">
      <c r="A7391" s="550" t="s">
        <v>746</v>
      </c>
      <c r="B7391" s="334" t="s">
        <v>66</v>
      </c>
      <c r="C7391" s="348" t="s">
        <v>7029</v>
      </c>
      <c r="D7391" s="334" t="s">
        <v>68</v>
      </c>
      <c r="E7391" s="336">
        <v>43795</v>
      </c>
      <c r="F7391" s="336">
        <v>43771</v>
      </c>
      <c r="G7391" s="336">
        <v>43795</v>
      </c>
      <c r="H7391" s="334" t="s">
        <v>15872</v>
      </c>
      <c r="I7391" s="444">
        <v>18856755252</v>
      </c>
      <c r="J7391" s="348" t="s">
        <v>15873</v>
      </c>
      <c r="K7391" s="452">
        <v>2940</v>
      </c>
      <c r="L7391" s="334">
        <v>14593</v>
      </c>
      <c r="M7391" s="334">
        <v>80</v>
      </c>
      <c r="N7391" s="362">
        <f t="shared" si="251"/>
        <v>14673</v>
      </c>
      <c r="X7391" s="339"/>
    </row>
    <row r="7392" s="330" customFormat="1" ht="15" customHeight="1" spans="1:24">
      <c r="A7392" s="348">
        <v>2019340</v>
      </c>
      <c r="B7392" s="334" t="s">
        <v>42</v>
      </c>
      <c r="C7392" s="348" t="s">
        <v>43</v>
      </c>
      <c r="D7392" s="335" t="s">
        <v>44</v>
      </c>
      <c r="E7392" s="336">
        <v>43785</v>
      </c>
      <c r="F7392" s="336">
        <v>43771</v>
      </c>
      <c r="G7392" s="336">
        <v>43785</v>
      </c>
      <c r="H7392" s="334" t="s">
        <v>15874</v>
      </c>
      <c r="I7392" s="444">
        <v>13916431313</v>
      </c>
      <c r="J7392" s="348" t="s">
        <v>15875</v>
      </c>
      <c r="K7392" s="452">
        <v>4664</v>
      </c>
      <c r="L7392" s="334">
        <v>4664</v>
      </c>
      <c r="M7392" s="338"/>
      <c r="N7392" s="362">
        <f t="shared" si="251"/>
        <v>4664</v>
      </c>
      <c r="X7392" s="339"/>
    </row>
    <row r="7393" s="330" customFormat="1" ht="15" customHeight="1" spans="1:24">
      <c r="A7393" s="348">
        <v>2019339</v>
      </c>
      <c r="B7393" s="334" t="s">
        <v>42</v>
      </c>
      <c r="C7393" s="348" t="s">
        <v>43</v>
      </c>
      <c r="D7393" s="335" t="s">
        <v>125</v>
      </c>
      <c r="E7393" s="336">
        <v>43794</v>
      </c>
      <c r="F7393" s="336">
        <v>43771</v>
      </c>
      <c r="G7393" s="336">
        <v>43794</v>
      </c>
      <c r="H7393" s="334" t="s">
        <v>15876</v>
      </c>
      <c r="I7393" s="444">
        <v>18302102468</v>
      </c>
      <c r="J7393" s="348" t="s">
        <v>15877</v>
      </c>
      <c r="K7393" s="452">
        <v>22305</v>
      </c>
      <c r="L7393" s="334">
        <v>25560</v>
      </c>
      <c r="M7393" s="334">
        <v>2801</v>
      </c>
      <c r="N7393" s="362">
        <f t="shared" si="251"/>
        <v>28361</v>
      </c>
      <c r="X7393" s="339"/>
    </row>
    <row r="7394" s="330" customFormat="1" ht="15" customHeight="1" spans="1:24">
      <c r="A7394" s="550" t="s">
        <v>11577</v>
      </c>
      <c r="B7394" s="334" t="s">
        <v>185</v>
      </c>
      <c r="C7394" s="348" t="s">
        <v>886</v>
      </c>
      <c r="D7394" s="334" t="s">
        <v>44</v>
      </c>
      <c r="E7394" s="336">
        <v>43794</v>
      </c>
      <c r="F7394" s="336">
        <v>43771</v>
      </c>
      <c r="G7394" s="336">
        <v>43792</v>
      </c>
      <c r="H7394" s="334" t="s">
        <v>15878</v>
      </c>
      <c r="I7394" s="444">
        <v>13916749609</v>
      </c>
      <c r="J7394" s="348" t="s">
        <v>15879</v>
      </c>
      <c r="K7394" s="452">
        <v>3737</v>
      </c>
      <c r="L7394" s="334">
        <v>4577</v>
      </c>
      <c r="M7394" s="338"/>
      <c r="N7394" s="362">
        <f t="shared" si="251"/>
        <v>4577</v>
      </c>
      <c r="X7394" s="339"/>
    </row>
    <row r="7395" s="330" customFormat="1" ht="15" customHeight="1" spans="1:24">
      <c r="A7395" s="550" t="s">
        <v>7111</v>
      </c>
      <c r="B7395" s="334" t="s">
        <v>185</v>
      </c>
      <c r="C7395" s="348" t="s">
        <v>886</v>
      </c>
      <c r="D7395" s="334" t="s">
        <v>187</v>
      </c>
      <c r="E7395" s="336">
        <v>43779</v>
      </c>
      <c r="F7395" s="336">
        <v>43771</v>
      </c>
      <c r="G7395" s="336">
        <v>43778</v>
      </c>
      <c r="H7395" s="334" t="s">
        <v>15880</v>
      </c>
      <c r="I7395" s="444">
        <v>13916840549</v>
      </c>
      <c r="J7395" s="348" t="s">
        <v>15881</v>
      </c>
      <c r="K7395" s="452">
        <v>1000</v>
      </c>
      <c r="L7395" s="334">
        <v>6500</v>
      </c>
      <c r="M7395" s="338"/>
      <c r="N7395" s="362">
        <f t="shared" si="251"/>
        <v>6500</v>
      </c>
      <c r="X7395" s="339"/>
    </row>
    <row r="7396" s="330" customFormat="1" ht="15" customHeight="1" spans="1:24">
      <c r="A7396" s="550" t="s">
        <v>15882</v>
      </c>
      <c r="B7396" s="334" t="s">
        <v>153</v>
      </c>
      <c r="C7396" s="348" t="s">
        <v>15883</v>
      </c>
      <c r="D7396" s="335" t="s">
        <v>155</v>
      </c>
      <c r="E7396" s="336">
        <v>43772</v>
      </c>
      <c r="F7396" s="336">
        <v>43771</v>
      </c>
      <c r="G7396" s="399"/>
      <c r="H7396" s="334" t="s">
        <v>15884</v>
      </c>
      <c r="I7396" s="444">
        <v>13816587781</v>
      </c>
      <c r="J7396" s="348" t="s">
        <v>15885</v>
      </c>
      <c r="K7396" s="452">
        <v>1000</v>
      </c>
      <c r="L7396" s="338"/>
      <c r="M7396" s="338"/>
      <c r="N7396" s="362">
        <f t="shared" si="251"/>
        <v>0</v>
      </c>
      <c r="U7396" s="330" t="s">
        <v>12</v>
      </c>
      <c r="X7396" s="339"/>
    </row>
    <row r="7397" s="330" customFormat="1" ht="15" customHeight="1" spans="1:24">
      <c r="A7397" s="550" t="s">
        <v>15886</v>
      </c>
      <c r="B7397" s="334" t="s">
        <v>58</v>
      </c>
      <c r="C7397" s="348" t="s">
        <v>794</v>
      </c>
      <c r="D7397" s="334" t="s">
        <v>110</v>
      </c>
      <c r="E7397" s="336">
        <v>43781</v>
      </c>
      <c r="F7397" s="336">
        <v>43771</v>
      </c>
      <c r="G7397" s="336">
        <v>43779</v>
      </c>
      <c r="H7397" s="334" t="s">
        <v>15887</v>
      </c>
      <c r="I7397" s="444">
        <v>13801701717</v>
      </c>
      <c r="J7397" s="348" t="s">
        <v>15888</v>
      </c>
      <c r="K7397" s="452">
        <v>1000</v>
      </c>
      <c r="L7397" s="334">
        <v>23500</v>
      </c>
      <c r="M7397" s="334">
        <v>260</v>
      </c>
      <c r="N7397" s="362">
        <f t="shared" ref="N7397:N7414" si="252">L7397+M7397</f>
        <v>23760</v>
      </c>
      <c r="X7397" s="339"/>
    </row>
    <row r="7398" s="330" customFormat="1" ht="15" customHeight="1" spans="1:24">
      <c r="A7398" s="550" t="s">
        <v>15889</v>
      </c>
      <c r="B7398" s="334" t="s">
        <v>153</v>
      </c>
      <c r="C7398" s="348" t="s">
        <v>154</v>
      </c>
      <c r="D7398" s="335" t="s">
        <v>155</v>
      </c>
      <c r="E7398" s="336">
        <v>43810</v>
      </c>
      <c r="F7398" s="336">
        <v>43771</v>
      </c>
      <c r="G7398" s="336">
        <v>43809</v>
      </c>
      <c r="H7398" s="334" t="s">
        <v>15890</v>
      </c>
      <c r="I7398" s="444">
        <v>13917065136</v>
      </c>
      <c r="J7398" s="348" t="s">
        <v>15891</v>
      </c>
      <c r="K7398" s="452">
        <v>1000</v>
      </c>
      <c r="L7398" s="334">
        <v>8100</v>
      </c>
      <c r="M7398" s="338"/>
      <c r="N7398" s="362">
        <f t="shared" si="252"/>
        <v>8100</v>
      </c>
      <c r="R7398" s="330" t="s">
        <v>52</v>
      </c>
      <c r="X7398" s="339"/>
    </row>
    <row r="7399" s="330" customFormat="1" ht="15" customHeight="1" spans="1:24">
      <c r="A7399" s="550" t="s">
        <v>15892</v>
      </c>
      <c r="B7399" s="334" t="s">
        <v>5435</v>
      </c>
      <c r="C7399" s="348" t="s">
        <v>1728</v>
      </c>
      <c r="D7399" s="334" t="s">
        <v>149</v>
      </c>
      <c r="E7399" s="336">
        <v>43781</v>
      </c>
      <c r="F7399" s="336">
        <v>43771</v>
      </c>
      <c r="G7399" s="336">
        <v>43779</v>
      </c>
      <c r="H7399" s="334" t="s">
        <v>15893</v>
      </c>
      <c r="I7399" s="444">
        <v>15000456016</v>
      </c>
      <c r="J7399" s="348" t="s">
        <v>15894</v>
      </c>
      <c r="K7399" s="452">
        <v>20199</v>
      </c>
      <c r="L7399" s="334">
        <v>13379</v>
      </c>
      <c r="M7399" s="338"/>
      <c r="N7399" s="362">
        <f t="shared" si="252"/>
        <v>13379</v>
      </c>
      <c r="X7399" s="339"/>
    </row>
    <row r="7400" s="330" customFormat="1" ht="15" customHeight="1" spans="1:24">
      <c r="A7400" s="550" t="s">
        <v>15895</v>
      </c>
      <c r="B7400" s="334" t="s">
        <v>31</v>
      </c>
      <c r="C7400" s="348" t="s">
        <v>419</v>
      </c>
      <c r="D7400" s="334" t="s">
        <v>33</v>
      </c>
      <c r="E7400" s="336">
        <v>43779</v>
      </c>
      <c r="F7400" s="336">
        <v>43771</v>
      </c>
      <c r="G7400" s="336">
        <v>43778</v>
      </c>
      <c r="H7400" s="334" t="s">
        <v>15896</v>
      </c>
      <c r="I7400" s="444">
        <v>13761325656</v>
      </c>
      <c r="J7400" s="348" t="s">
        <v>15897</v>
      </c>
      <c r="K7400" s="452">
        <v>1000</v>
      </c>
      <c r="L7400" s="334">
        <v>4500</v>
      </c>
      <c r="M7400" s="338"/>
      <c r="N7400" s="362">
        <f t="shared" si="252"/>
        <v>4500</v>
      </c>
      <c r="X7400" s="339"/>
    </row>
    <row r="7401" s="330" customFormat="1" ht="15" customHeight="1" spans="1:24">
      <c r="A7401" s="550" t="s">
        <v>15898</v>
      </c>
      <c r="B7401" s="334" t="s">
        <v>35</v>
      </c>
      <c r="C7401" s="348" t="s">
        <v>328</v>
      </c>
      <c r="D7401" s="334" t="s">
        <v>37</v>
      </c>
      <c r="E7401" s="336">
        <v>43775</v>
      </c>
      <c r="F7401" s="336">
        <v>43771</v>
      </c>
      <c r="G7401" s="336">
        <v>43773</v>
      </c>
      <c r="H7401" s="334" t="s">
        <v>5571</v>
      </c>
      <c r="I7401" s="444">
        <v>13524964267</v>
      </c>
      <c r="J7401" s="348" t="s">
        <v>15899</v>
      </c>
      <c r="K7401" s="452">
        <v>1980</v>
      </c>
      <c r="L7401" s="334">
        <v>2070</v>
      </c>
      <c r="M7401" s="338"/>
      <c r="N7401" s="362">
        <f t="shared" si="252"/>
        <v>2070</v>
      </c>
      <c r="X7401" s="339"/>
    </row>
    <row r="7402" s="330" customFormat="1" ht="15" customHeight="1" spans="1:24">
      <c r="A7402" s="550" t="s">
        <v>9302</v>
      </c>
      <c r="B7402" s="334" t="s">
        <v>73</v>
      </c>
      <c r="C7402" s="348" t="s">
        <v>74</v>
      </c>
      <c r="D7402" s="335" t="s">
        <v>75</v>
      </c>
      <c r="E7402" s="336">
        <v>43772</v>
      </c>
      <c r="F7402" s="336">
        <v>43771</v>
      </c>
      <c r="G7402" s="399" t="s">
        <v>69</v>
      </c>
      <c r="H7402" s="334" t="s">
        <v>14665</v>
      </c>
      <c r="I7402" s="444">
        <v>13916040699</v>
      </c>
      <c r="J7402" s="348" t="s">
        <v>15900</v>
      </c>
      <c r="K7402" s="452">
        <v>1000</v>
      </c>
      <c r="L7402" s="338"/>
      <c r="M7402" s="338"/>
      <c r="N7402" s="362">
        <f t="shared" si="252"/>
        <v>0</v>
      </c>
      <c r="O7402" s="366" t="s">
        <v>52</v>
      </c>
      <c r="X7402" s="339"/>
    </row>
    <row r="7403" s="330" customFormat="1" ht="15" customHeight="1" spans="1:24">
      <c r="A7403" s="348"/>
      <c r="B7403" s="334" t="s">
        <v>147</v>
      </c>
      <c r="C7403" s="348" t="s">
        <v>15901</v>
      </c>
      <c r="D7403" s="334" t="s">
        <v>207</v>
      </c>
      <c r="E7403" s="336">
        <v>43794</v>
      </c>
      <c r="F7403" s="336">
        <v>43771</v>
      </c>
      <c r="G7403" s="336">
        <v>43793</v>
      </c>
      <c r="H7403" s="334" t="s">
        <v>15902</v>
      </c>
      <c r="I7403" s="444">
        <v>13601868096</v>
      </c>
      <c r="J7403" s="348" t="s">
        <v>15903</v>
      </c>
      <c r="K7403" s="452">
        <v>1000</v>
      </c>
      <c r="L7403" s="334">
        <v>5622</v>
      </c>
      <c r="M7403" s="338"/>
      <c r="N7403" s="362">
        <f t="shared" si="252"/>
        <v>5622</v>
      </c>
      <c r="X7403" s="339"/>
    </row>
    <row r="7404" s="330" customFormat="1" ht="15" customHeight="1" spans="1:24">
      <c r="A7404" s="348"/>
      <c r="B7404" s="334" t="s">
        <v>47</v>
      </c>
      <c r="C7404" s="348" t="s">
        <v>80</v>
      </c>
      <c r="D7404" s="335" t="s">
        <v>49</v>
      </c>
      <c r="E7404" s="336">
        <v>43772</v>
      </c>
      <c r="F7404" s="336">
        <v>43771</v>
      </c>
      <c r="G7404" s="399"/>
      <c r="H7404" s="334" t="s">
        <v>15904</v>
      </c>
      <c r="I7404" s="444">
        <v>15921533096</v>
      </c>
      <c r="J7404" s="348" t="s">
        <v>15905</v>
      </c>
      <c r="K7404" s="452">
        <v>10500</v>
      </c>
      <c r="L7404" s="338"/>
      <c r="M7404" s="338"/>
      <c r="N7404" s="362">
        <f t="shared" si="252"/>
        <v>0</v>
      </c>
      <c r="O7404" s="356"/>
      <c r="P7404" s="356"/>
      <c r="Q7404" s="356" t="s">
        <v>52</v>
      </c>
      <c r="X7404" s="339"/>
    </row>
    <row r="7405" s="330" customFormat="1" ht="15" customHeight="1" spans="1:24">
      <c r="A7405" s="550" t="s">
        <v>15906</v>
      </c>
      <c r="B7405" s="334" t="s">
        <v>315</v>
      </c>
      <c r="C7405" s="348" t="s">
        <v>181</v>
      </c>
      <c r="D7405" s="334" t="s">
        <v>1431</v>
      </c>
      <c r="E7405" s="336">
        <v>43815</v>
      </c>
      <c r="F7405" s="336">
        <v>43771</v>
      </c>
      <c r="G7405" s="336">
        <v>43814</v>
      </c>
      <c r="H7405" s="334" t="s">
        <v>15907</v>
      </c>
      <c r="I7405" s="444">
        <v>18817377952</v>
      </c>
      <c r="J7405" s="348" t="s">
        <v>15908</v>
      </c>
      <c r="K7405" s="452">
        <v>1000</v>
      </c>
      <c r="L7405" s="334">
        <v>4858</v>
      </c>
      <c r="M7405" s="338"/>
      <c r="N7405" s="362">
        <f t="shared" si="252"/>
        <v>4858</v>
      </c>
      <c r="O7405" s="330">
        <v>1</v>
      </c>
      <c r="X7405" s="339"/>
    </row>
    <row r="7406" s="330" customFormat="1" ht="15" customHeight="1" spans="1:24">
      <c r="A7406" s="550" t="s">
        <v>15909</v>
      </c>
      <c r="B7406" s="334" t="s">
        <v>315</v>
      </c>
      <c r="C7406" s="348" t="s">
        <v>181</v>
      </c>
      <c r="D7406" s="334" t="s">
        <v>1431</v>
      </c>
      <c r="E7406" s="336">
        <v>43780</v>
      </c>
      <c r="F7406" s="336">
        <v>43771</v>
      </c>
      <c r="G7406" s="336">
        <v>43778</v>
      </c>
      <c r="H7406" s="334" t="s">
        <v>15910</v>
      </c>
      <c r="I7406" s="444">
        <v>18801732317</v>
      </c>
      <c r="J7406" s="348" t="s">
        <v>15911</v>
      </c>
      <c r="K7406" s="452">
        <v>1000</v>
      </c>
      <c r="L7406" s="334">
        <v>9266</v>
      </c>
      <c r="M7406" s="338"/>
      <c r="N7406" s="362">
        <f t="shared" si="252"/>
        <v>9266</v>
      </c>
      <c r="X7406" s="339"/>
    </row>
    <row r="7407" s="330" customFormat="1" ht="15" customHeight="1" spans="1:24">
      <c r="A7407" s="550" t="s">
        <v>8696</v>
      </c>
      <c r="B7407" s="334" t="s">
        <v>315</v>
      </c>
      <c r="C7407" s="348" t="s">
        <v>181</v>
      </c>
      <c r="D7407" s="334" t="s">
        <v>1431</v>
      </c>
      <c r="E7407" s="336">
        <v>43792</v>
      </c>
      <c r="F7407" s="336">
        <v>43770</v>
      </c>
      <c r="G7407" s="336">
        <v>43791</v>
      </c>
      <c r="H7407" s="334" t="s">
        <v>15912</v>
      </c>
      <c r="I7407" s="444">
        <v>13816675896</v>
      </c>
      <c r="J7407" s="348" t="s">
        <v>15913</v>
      </c>
      <c r="K7407" s="452">
        <v>1000</v>
      </c>
      <c r="L7407" s="334">
        <v>12569</v>
      </c>
      <c r="M7407" s="334"/>
      <c r="N7407" s="362">
        <f t="shared" si="252"/>
        <v>12569</v>
      </c>
      <c r="X7407" s="339"/>
    </row>
    <row r="7408" s="330" customFormat="1" ht="15" customHeight="1" spans="1:24">
      <c r="A7408" s="550" t="s">
        <v>12668</v>
      </c>
      <c r="B7408" s="334" t="s">
        <v>66</v>
      </c>
      <c r="C7408" s="348" t="s">
        <v>119</v>
      </c>
      <c r="D7408" s="335" t="s">
        <v>68</v>
      </c>
      <c r="E7408" s="336">
        <v>43772</v>
      </c>
      <c r="F7408" s="336">
        <v>43772</v>
      </c>
      <c r="G7408" s="399"/>
      <c r="H7408" s="334" t="s">
        <v>15027</v>
      </c>
      <c r="I7408" s="444">
        <v>13761553310</v>
      </c>
      <c r="J7408" s="348" t="s">
        <v>15914</v>
      </c>
      <c r="K7408" s="452">
        <v>1000</v>
      </c>
      <c r="L7408" s="338"/>
      <c r="M7408" s="338"/>
      <c r="N7408" s="362">
        <f t="shared" si="252"/>
        <v>0</v>
      </c>
      <c r="O7408" s="353" t="s">
        <v>19</v>
      </c>
      <c r="X7408" s="339"/>
    </row>
    <row r="7409" s="330" customFormat="1" ht="15" customHeight="1" spans="1:24">
      <c r="A7409" s="550" t="s">
        <v>5168</v>
      </c>
      <c r="B7409" s="334" t="s">
        <v>137</v>
      </c>
      <c r="C7409" s="348" t="s">
        <v>406</v>
      </c>
      <c r="D7409" s="334" t="s">
        <v>2381</v>
      </c>
      <c r="E7409" s="336">
        <v>43774</v>
      </c>
      <c r="F7409" s="336">
        <v>43772</v>
      </c>
      <c r="G7409" s="336">
        <v>43773</v>
      </c>
      <c r="H7409" s="334" t="s">
        <v>15915</v>
      </c>
      <c r="I7409" s="444">
        <v>13671879866</v>
      </c>
      <c r="J7409" s="348" t="s">
        <v>15916</v>
      </c>
      <c r="K7409" s="452">
        <v>99</v>
      </c>
      <c r="L7409" s="334">
        <v>4800</v>
      </c>
      <c r="M7409" s="338"/>
      <c r="N7409" s="362">
        <f t="shared" si="252"/>
        <v>4800</v>
      </c>
      <c r="X7409" s="339"/>
    </row>
    <row r="7410" s="330" customFormat="1" ht="15" customHeight="1" spans="1:24">
      <c r="A7410" s="550" t="s">
        <v>1075</v>
      </c>
      <c r="B7410" s="334" t="s">
        <v>31</v>
      </c>
      <c r="C7410" s="348" t="s">
        <v>220</v>
      </c>
      <c r="D7410" s="335" t="s">
        <v>221</v>
      </c>
      <c r="E7410" s="336">
        <v>43772</v>
      </c>
      <c r="F7410" s="336">
        <v>43772</v>
      </c>
      <c r="G7410" s="399"/>
      <c r="H7410" s="334" t="s">
        <v>9977</v>
      </c>
      <c r="I7410" s="444">
        <v>13524105096</v>
      </c>
      <c r="J7410" s="348" t="s">
        <v>15917</v>
      </c>
      <c r="K7410" s="452">
        <v>1000</v>
      </c>
      <c r="L7410" s="338"/>
      <c r="M7410" s="338"/>
      <c r="N7410" s="362">
        <f t="shared" si="252"/>
        <v>0</v>
      </c>
      <c r="Q7410" s="366" t="s">
        <v>52</v>
      </c>
      <c r="X7410" s="339"/>
    </row>
    <row r="7411" s="330" customFormat="1" ht="15" customHeight="1" spans="1:24">
      <c r="A7411" s="550" t="s">
        <v>15918</v>
      </c>
      <c r="B7411" s="334" t="s">
        <v>87</v>
      </c>
      <c r="C7411" s="348" t="s">
        <v>466</v>
      </c>
      <c r="D7411" s="335" t="s">
        <v>89</v>
      </c>
      <c r="E7411" s="336">
        <v>43772</v>
      </c>
      <c r="F7411" s="336">
        <v>43772</v>
      </c>
      <c r="G7411" s="399"/>
      <c r="H7411" s="334" t="s">
        <v>9759</v>
      </c>
      <c r="I7411" s="444"/>
      <c r="J7411" s="348" t="s">
        <v>15919</v>
      </c>
      <c r="K7411" s="452">
        <v>3000</v>
      </c>
      <c r="L7411" s="338"/>
      <c r="M7411" s="338"/>
      <c r="N7411" s="362">
        <f t="shared" si="252"/>
        <v>0</v>
      </c>
      <c r="Q7411" s="411" t="s">
        <v>52</v>
      </c>
      <c r="U7411" s="415" t="s">
        <v>40</v>
      </c>
      <c r="X7411" s="339"/>
    </row>
    <row r="7412" s="330" customFormat="1" ht="15" customHeight="1" spans="1:24">
      <c r="A7412" s="550" t="s">
        <v>10800</v>
      </c>
      <c r="B7412" s="334" t="s">
        <v>31</v>
      </c>
      <c r="C7412" s="348" t="s">
        <v>419</v>
      </c>
      <c r="D7412" s="334" t="s">
        <v>33</v>
      </c>
      <c r="E7412" s="336">
        <v>43811</v>
      </c>
      <c r="F7412" s="336">
        <v>43772</v>
      </c>
      <c r="G7412" s="336">
        <v>43811</v>
      </c>
      <c r="H7412" s="334" t="s">
        <v>15920</v>
      </c>
      <c r="I7412" s="444">
        <v>18616338586</v>
      </c>
      <c r="J7412" s="348" t="s">
        <v>15921</v>
      </c>
      <c r="K7412" s="452">
        <v>2567</v>
      </c>
      <c r="L7412" s="334">
        <v>3441</v>
      </c>
      <c r="M7412" s="338"/>
      <c r="N7412" s="362">
        <f t="shared" si="252"/>
        <v>3441</v>
      </c>
      <c r="X7412" s="339"/>
    </row>
    <row r="7413" s="330" customFormat="1" ht="15" customHeight="1" spans="1:24">
      <c r="A7413" s="348"/>
      <c r="B7413" s="334" t="s">
        <v>87</v>
      </c>
      <c r="C7413" s="348" t="s">
        <v>466</v>
      </c>
      <c r="D7413" s="335" t="s">
        <v>89</v>
      </c>
      <c r="E7413" s="336">
        <v>43806</v>
      </c>
      <c r="F7413" s="336">
        <v>43772</v>
      </c>
      <c r="G7413" s="336">
        <v>43806</v>
      </c>
      <c r="H7413" s="334" t="s">
        <v>15922</v>
      </c>
      <c r="I7413" s="444">
        <v>15121062860</v>
      </c>
      <c r="J7413" s="348" t="s">
        <v>15923</v>
      </c>
      <c r="K7413" s="452">
        <v>1000</v>
      </c>
      <c r="L7413" s="334">
        <v>12230</v>
      </c>
      <c r="M7413" s="338"/>
      <c r="N7413" s="362">
        <f t="shared" si="252"/>
        <v>12230</v>
      </c>
      <c r="Q7413" s="411" t="s">
        <v>52</v>
      </c>
      <c r="X7413" s="339"/>
    </row>
    <row r="7414" s="330" customFormat="1" ht="15" customHeight="1" spans="1:24">
      <c r="A7414" s="550" t="s">
        <v>11806</v>
      </c>
      <c r="B7414" s="334" t="s">
        <v>5435</v>
      </c>
      <c r="C7414" s="348" t="s">
        <v>1728</v>
      </c>
      <c r="D7414" s="335" t="s">
        <v>149</v>
      </c>
      <c r="E7414" s="336">
        <v>43791</v>
      </c>
      <c r="F7414" s="336">
        <v>43772</v>
      </c>
      <c r="G7414" s="336">
        <v>43791</v>
      </c>
      <c r="H7414" s="334" t="s">
        <v>15924</v>
      </c>
      <c r="I7414" s="444">
        <v>13901725717</v>
      </c>
      <c r="J7414" s="348" t="s">
        <v>15925</v>
      </c>
      <c r="K7414" s="452">
        <v>1000</v>
      </c>
      <c r="L7414" s="334">
        <v>28080</v>
      </c>
      <c r="M7414" s="334">
        <v>-1959</v>
      </c>
      <c r="N7414" s="362">
        <f t="shared" si="252"/>
        <v>26121</v>
      </c>
      <c r="X7414" s="339"/>
    </row>
    <row r="7415" s="330" customFormat="1" ht="15" customHeight="1" spans="1:24">
      <c r="A7415" s="550" t="s">
        <v>15926</v>
      </c>
      <c r="B7415" s="334" t="s">
        <v>31</v>
      </c>
      <c r="C7415" s="348" t="s">
        <v>377</v>
      </c>
      <c r="D7415" s="334" t="s">
        <v>33</v>
      </c>
      <c r="E7415" s="336">
        <v>43773</v>
      </c>
      <c r="F7415" s="336">
        <v>43772</v>
      </c>
      <c r="G7415" s="336">
        <v>43772</v>
      </c>
      <c r="H7415" s="334" t="s">
        <v>15927</v>
      </c>
      <c r="I7415" s="444">
        <v>13641844166</v>
      </c>
      <c r="J7415" s="348" t="s">
        <v>15928</v>
      </c>
      <c r="K7415" s="452">
        <v>1000</v>
      </c>
      <c r="L7415" s="334">
        <v>11799</v>
      </c>
      <c r="M7415" s="338"/>
      <c r="N7415" s="362">
        <f t="shared" ref="N7415:N7442" si="253">L7415+M7415</f>
        <v>11799</v>
      </c>
      <c r="X7415" s="339"/>
    </row>
    <row r="7416" s="330" customFormat="1" ht="15" customHeight="1" spans="1:24">
      <c r="A7416" s="550" t="s">
        <v>15929</v>
      </c>
      <c r="B7416" s="334" t="s">
        <v>58</v>
      </c>
      <c r="C7416" s="348" t="s">
        <v>347</v>
      </c>
      <c r="D7416" s="335" t="s">
        <v>343</v>
      </c>
      <c r="E7416" s="336">
        <v>43821</v>
      </c>
      <c r="F7416" s="336">
        <v>43772</v>
      </c>
      <c r="G7416" s="336">
        <v>43821</v>
      </c>
      <c r="H7416" s="334" t="s">
        <v>15930</v>
      </c>
      <c r="I7416" s="444">
        <v>13601982979</v>
      </c>
      <c r="J7416" s="348" t="s">
        <v>15931</v>
      </c>
      <c r="K7416" s="452">
        <v>1000</v>
      </c>
      <c r="L7416" s="334">
        <v>15400</v>
      </c>
      <c r="M7416" s="334">
        <v>234</v>
      </c>
      <c r="N7416" s="362">
        <f t="shared" si="253"/>
        <v>15634</v>
      </c>
      <c r="Q7416" s="365" t="s">
        <v>52</v>
      </c>
      <c r="X7416" s="339"/>
    </row>
    <row r="7417" s="330" customFormat="1" ht="15" customHeight="1" spans="1:24">
      <c r="A7417" s="550" t="s">
        <v>15932</v>
      </c>
      <c r="B7417" s="334" t="s">
        <v>58</v>
      </c>
      <c r="C7417" s="348" t="s">
        <v>347</v>
      </c>
      <c r="D7417" s="335" t="s">
        <v>343</v>
      </c>
      <c r="E7417" s="336">
        <v>43772</v>
      </c>
      <c r="F7417" s="336">
        <v>43772</v>
      </c>
      <c r="G7417" s="399"/>
      <c r="H7417" s="334" t="s">
        <v>15933</v>
      </c>
      <c r="I7417" s="444">
        <v>13817724831</v>
      </c>
      <c r="J7417" s="348" t="s">
        <v>15934</v>
      </c>
      <c r="K7417" s="452">
        <v>799</v>
      </c>
      <c r="L7417" s="338"/>
      <c r="M7417" s="338"/>
      <c r="N7417" s="362">
        <f t="shared" si="253"/>
        <v>0</v>
      </c>
      <c r="O7417" s="365" t="s">
        <v>52</v>
      </c>
      <c r="X7417" s="339"/>
    </row>
    <row r="7418" s="330" customFormat="1" ht="15" customHeight="1" spans="1:24">
      <c r="A7418" s="550" t="s">
        <v>15935</v>
      </c>
      <c r="B7418" s="334" t="s">
        <v>726</v>
      </c>
      <c r="C7418" s="348" t="s">
        <v>12699</v>
      </c>
      <c r="D7418" s="335" t="s">
        <v>149</v>
      </c>
      <c r="E7418" s="336">
        <v>43772</v>
      </c>
      <c r="F7418" s="336">
        <v>43772</v>
      </c>
      <c r="G7418" s="399"/>
      <c r="H7418" s="334" t="s">
        <v>15936</v>
      </c>
      <c r="I7418" s="444">
        <v>15618935185</v>
      </c>
      <c r="J7418" s="348" t="s">
        <v>15937</v>
      </c>
      <c r="K7418" s="452">
        <v>1000</v>
      </c>
      <c r="L7418" s="334"/>
      <c r="M7418" s="338"/>
      <c r="N7418" s="362">
        <f t="shared" si="253"/>
        <v>0</v>
      </c>
      <c r="U7418" s="471">
        <v>43786</v>
      </c>
      <c r="X7418" s="339"/>
    </row>
    <row r="7419" s="330" customFormat="1" ht="15" customHeight="1" spans="1:24">
      <c r="A7419" s="348">
        <v>2024262</v>
      </c>
      <c r="B7419" s="334" t="s">
        <v>335</v>
      </c>
      <c r="C7419" s="348" t="s">
        <v>615</v>
      </c>
      <c r="D7419" s="335" t="s">
        <v>337</v>
      </c>
      <c r="E7419" s="336">
        <v>43821</v>
      </c>
      <c r="F7419" s="336">
        <v>43772</v>
      </c>
      <c r="G7419" s="336">
        <v>43820</v>
      </c>
      <c r="H7419" s="334" t="s">
        <v>15938</v>
      </c>
      <c r="I7419" s="444">
        <v>13916017848</v>
      </c>
      <c r="J7419" s="348" t="s">
        <v>15939</v>
      </c>
      <c r="K7419" s="452">
        <v>1000</v>
      </c>
      <c r="L7419" s="334">
        <v>36500</v>
      </c>
      <c r="M7419" s="338"/>
      <c r="N7419" s="362">
        <f t="shared" si="253"/>
        <v>36500</v>
      </c>
      <c r="X7419" s="339"/>
    </row>
    <row r="7420" s="330" customFormat="1" ht="15" customHeight="1" spans="1:24">
      <c r="A7420" s="550" t="s">
        <v>15940</v>
      </c>
      <c r="B7420" s="334" t="s">
        <v>66</v>
      </c>
      <c r="C7420" s="348" t="s">
        <v>861</v>
      </c>
      <c r="D7420" s="334" t="s">
        <v>139</v>
      </c>
      <c r="E7420" s="336">
        <v>43772</v>
      </c>
      <c r="F7420" s="336">
        <v>43769</v>
      </c>
      <c r="G7420" s="399">
        <v>43769</v>
      </c>
      <c r="H7420" s="334" t="s">
        <v>15941</v>
      </c>
      <c r="I7420" s="334">
        <v>15800669386</v>
      </c>
      <c r="J7420" s="348" t="s">
        <v>15942</v>
      </c>
      <c r="K7420" s="452">
        <v>13600</v>
      </c>
      <c r="L7420" s="334">
        <v>13600</v>
      </c>
      <c r="M7420" s="338"/>
      <c r="N7420" s="362">
        <f t="shared" si="253"/>
        <v>13600</v>
      </c>
      <c r="X7420" s="339"/>
    </row>
    <row r="7421" s="330" customFormat="1" ht="15" customHeight="1" spans="1:24">
      <c r="A7421" s="550" t="s">
        <v>14391</v>
      </c>
      <c r="B7421" s="334" t="s">
        <v>31</v>
      </c>
      <c r="C7421" s="348" t="s">
        <v>220</v>
      </c>
      <c r="D7421" s="335" t="s">
        <v>221</v>
      </c>
      <c r="E7421" s="336">
        <v>43772</v>
      </c>
      <c r="F7421" s="336">
        <v>43772</v>
      </c>
      <c r="G7421" s="399"/>
      <c r="H7421" s="334" t="s">
        <v>15943</v>
      </c>
      <c r="I7421" s="444">
        <v>15102142986</v>
      </c>
      <c r="J7421" s="348" t="s">
        <v>15944</v>
      </c>
      <c r="K7421" s="452">
        <v>1000</v>
      </c>
      <c r="L7421" s="338"/>
      <c r="M7421" s="338"/>
      <c r="N7421" s="362">
        <f t="shared" si="253"/>
        <v>0</v>
      </c>
      <c r="Q7421" s="366" t="s">
        <v>52</v>
      </c>
      <c r="X7421" s="339"/>
    </row>
    <row r="7422" s="330" customFormat="1" ht="15" customHeight="1" spans="1:24">
      <c r="A7422" s="550" t="s">
        <v>15945</v>
      </c>
      <c r="B7422" s="334" t="s">
        <v>281</v>
      </c>
      <c r="C7422" s="348" t="s">
        <v>491</v>
      </c>
      <c r="D7422" s="335" t="s">
        <v>49</v>
      </c>
      <c r="E7422" s="336">
        <v>43772</v>
      </c>
      <c r="F7422" s="336">
        <v>43772</v>
      </c>
      <c r="G7422" s="399"/>
      <c r="H7422" s="334" t="s">
        <v>15946</v>
      </c>
      <c r="I7422" s="444">
        <v>15317802090</v>
      </c>
      <c r="J7422" s="348" t="s">
        <v>15947</v>
      </c>
      <c r="K7422" s="452">
        <v>1000</v>
      </c>
      <c r="L7422" s="338"/>
      <c r="M7422" s="338"/>
      <c r="N7422" s="362">
        <f t="shared" si="253"/>
        <v>0</v>
      </c>
      <c r="R7422" s="356" t="s">
        <v>52</v>
      </c>
      <c r="X7422" s="339"/>
    </row>
    <row r="7423" s="330" customFormat="1" ht="15" customHeight="1" spans="1:24">
      <c r="A7423" s="550" t="s">
        <v>15948</v>
      </c>
      <c r="B7423" s="334" t="s">
        <v>281</v>
      </c>
      <c r="C7423" s="348" t="s">
        <v>491</v>
      </c>
      <c r="D7423" s="335" t="s">
        <v>49</v>
      </c>
      <c r="E7423" s="336">
        <v>43772</v>
      </c>
      <c r="F7423" s="336">
        <v>43772</v>
      </c>
      <c r="G7423" s="399"/>
      <c r="H7423" s="334" t="s">
        <v>15949</v>
      </c>
      <c r="I7423" s="444">
        <v>13611650164</v>
      </c>
      <c r="J7423" s="348" t="s">
        <v>15950</v>
      </c>
      <c r="K7423" s="452">
        <v>1000</v>
      </c>
      <c r="L7423" s="338"/>
      <c r="M7423" s="338"/>
      <c r="N7423" s="362">
        <f t="shared" si="253"/>
        <v>0</v>
      </c>
      <c r="Q7423" s="356" t="s">
        <v>52</v>
      </c>
      <c r="X7423" s="339"/>
    </row>
    <row r="7424" s="330" customFormat="1" ht="15" customHeight="1" spans="1:24">
      <c r="A7424" s="348"/>
      <c r="B7424" s="334" t="s">
        <v>281</v>
      </c>
      <c r="C7424" s="348" t="s">
        <v>491</v>
      </c>
      <c r="D7424" s="334" t="s">
        <v>518</v>
      </c>
      <c r="E7424" s="336">
        <v>43795</v>
      </c>
      <c r="F7424" s="336">
        <v>43772</v>
      </c>
      <c r="G7424" s="336">
        <v>43795</v>
      </c>
      <c r="H7424" s="334" t="s">
        <v>5353</v>
      </c>
      <c r="I7424" s="444">
        <v>13671660556</v>
      </c>
      <c r="J7424" s="348" t="s">
        <v>15951</v>
      </c>
      <c r="K7424" s="452">
        <v>1000</v>
      </c>
      <c r="L7424" s="334">
        <v>10700</v>
      </c>
      <c r="M7424" s="338"/>
      <c r="N7424" s="362">
        <f t="shared" si="253"/>
        <v>10700</v>
      </c>
      <c r="X7424" s="339"/>
    </row>
    <row r="7425" s="330" customFormat="1" ht="15" customHeight="1" spans="1:24">
      <c r="A7425" s="550" t="s">
        <v>15952</v>
      </c>
      <c r="B7425" s="334" t="s">
        <v>281</v>
      </c>
      <c r="C7425" s="348" t="s">
        <v>491</v>
      </c>
      <c r="D7425" s="335" t="s">
        <v>49</v>
      </c>
      <c r="E7425" s="336">
        <v>43772</v>
      </c>
      <c r="F7425" s="336">
        <v>43772</v>
      </c>
      <c r="G7425" s="399"/>
      <c r="H7425" s="334" t="s">
        <v>15953</v>
      </c>
      <c r="I7425" s="444">
        <v>13388097781</v>
      </c>
      <c r="J7425" s="348" t="s">
        <v>15954</v>
      </c>
      <c r="K7425" s="452">
        <v>1000</v>
      </c>
      <c r="L7425" s="338"/>
      <c r="M7425" s="338"/>
      <c r="N7425" s="362">
        <f t="shared" si="253"/>
        <v>0</v>
      </c>
      <c r="O7425" s="356" t="s">
        <v>52</v>
      </c>
      <c r="X7425" s="339"/>
    </row>
    <row r="7426" s="330" customFormat="1" ht="15" customHeight="1" spans="1:24">
      <c r="A7426" s="348"/>
      <c r="B7426" s="334" t="s">
        <v>805</v>
      </c>
      <c r="C7426" s="348" t="s">
        <v>4935</v>
      </c>
      <c r="D7426" s="335" t="s">
        <v>171</v>
      </c>
      <c r="E7426" s="336">
        <v>43772</v>
      </c>
      <c r="F7426" s="336">
        <v>43772</v>
      </c>
      <c r="G7426" s="399"/>
      <c r="H7426" s="334" t="s">
        <v>15955</v>
      </c>
      <c r="I7426" s="444">
        <v>18930867331</v>
      </c>
      <c r="J7426" s="348" t="s">
        <v>15956</v>
      </c>
      <c r="K7426" s="452">
        <v>1000</v>
      </c>
      <c r="L7426" s="338"/>
      <c r="M7426" s="338"/>
      <c r="N7426" s="362">
        <f t="shared" si="253"/>
        <v>0</v>
      </c>
      <c r="O7426" s="467" t="s">
        <v>52</v>
      </c>
      <c r="X7426" s="339"/>
    </row>
    <row r="7427" s="330" customFormat="1" ht="15" customHeight="1" spans="1:24">
      <c r="A7427" s="348">
        <v>2023287</v>
      </c>
      <c r="B7427" s="334" t="s">
        <v>94</v>
      </c>
      <c r="C7427" s="348" t="s">
        <v>95</v>
      </c>
      <c r="D7427" s="335" t="s">
        <v>49</v>
      </c>
      <c r="E7427" s="336">
        <v>43782</v>
      </c>
      <c r="F7427" s="336">
        <v>43772</v>
      </c>
      <c r="G7427" s="336">
        <v>43781</v>
      </c>
      <c r="H7427" s="334" t="s">
        <v>10482</v>
      </c>
      <c r="I7427" s="444">
        <v>13636447733</v>
      </c>
      <c r="J7427" s="348" t="s">
        <v>15957</v>
      </c>
      <c r="K7427" s="452">
        <v>1000</v>
      </c>
      <c r="L7427" s="334">
        <v>11838</v>
      </c>
      <c r="M7427" s="334">
        <v>1226</v>
      </c>
      <c r="N7427" s="362">
        <f t="shared" si="253"/>
        <v>13064</v>
      </c>
      <c r="X7427" s="339"/>
    </row>
    <row r="7428" s="330" customFormat="1" ht="15" customHeight="1" spans="1:24">
      <c r="A7428" s="550" t="s">
        <v>6156</v>
      </c>
      <c r="B7428" s="334" t="s">
        <v>137</v>
      </c>
      <c r="C7428" s="348" t="s">
        <v>406</v>
      </c>
      <c r="D7428" s="334" t="s">
        <v>139</v>
      </c>
      <c r="E7428" s="336">
        <v>43789</v>
      </c>
      <c r="F7428" s="336">
        <v>43772</v>
      </c>
      <c r="G7428" s="336">
        <v>43772</v>
      </c>
      <c r="H7428" s="334" t="s">
        <v>15958</v>
      </c>
      <c r="I7428" s="444">
        <v>13681938604</v>
      </c>
      <c r="J7428" s="348" t="s">
        <v>15959</v>
      </c>
      <c r="K7428" s="452">
        <v>11333</v>
      </c>
      <c r="L7428" s="334">
        <v>11333</v>
      </c>
      <c r="M7428" s="338"/>
      <c r="N7428" s="362">
        <f t="shared" si="253"/>
        <v>11333</v>
      </c>
      <c r="X7428" s="339"/>
    </row>
    <row r="7429" s="330" customFormat="1" ht="15" customHeight="1" spans="1:24">
      <c r="A7429" s="550" t="s">
        <v>5375</v>
      </c>
      <c r="B7429" s="334" t="s">
        <v>137</v>
      </c>
      <c r="C7429" s="348" t="s">
        <v>411</v>
      </c>
      <c r="D7429" s="334" t="s">
        <v>443</v>
      </c>
      <c r="E7429" s="336">
        <v>43814</v>
      </c>
      <c r="F7429" s="336">
        <v>43772</v>
      </c>
      <c r="G7429" s="336">
        <v>43813</v>
      </c>
      <c r="H7429" s="334" t="s">
        <v>15960</v>
      </c>
      <c r="I7429" s="444">
        <v>18901965344</v>
      </c>
      <c r="J7429" s="348" t="s">
        <v>15961</v>
      </c>
      <c r="K7429" s="452">
        <v>4500</v>
      </c>
      <c r="L7429" s="334">
        <v>4458</v>
      </c>
      <c r="M7429" s="338"/>
      <c r="N7429" s="362">
        <f t="shared" si="253"/>
        <v>4458</v>
      </c>
      <c r="S7429" s="330">
        <v>1</v>
      </c>
      <c r="X7429" s="339"/>
    </row>
    <row r="7430" s="330" customFormat="1" ht="15" customHeight="1" spans="1:24">
      <c r="A7430" s="550" t="s">
        <v>15962</v>
      </c>
      <c r="B7430" s="334" t="s">
        <v>58</v>
      </c>
      <c r="C7430" s="348" t="s">
        <v>342</v>
      </c>
      <c r="D7430" s="335" t="s">
        <v>343</v>
      </c>
      <c r="E7430" s="336">
        <v>43786</v>
      </c>
      <c r="F7430" s="336">
        <v>43772</v>
      </c>
      <c r="G7430" s="336">
        <v>43785</v>
      </c>
      <c r="H7430" s="334" t="s">
        <v>15963</v>
      </c>
      <c r="I7430" s="444">
        <v>18202143096</v>
      </c>
      <c r="J7430" s="348" t="s">
        <v>15964</v>
      </c>
      <c r="K7430" s="452">
        <v>1000</v>
      </c>
      <c r="L7430" s="334">
        <v>12782</v>
      </c>
      <c r="M7430" s="338"/>
      <c r="N7430" s="362">
        <f t="shared" si="253"/>
        <v>12782</v>
      </c>
      <c r="X7430" s="339"/>
    </row>
    <row r="7431" s="330" customFormat="1" ht="15" customHeight="1" spans="1:24">
      <c r="A7431" s="550" t="s">
        <v>3101</v>
      </c>
      <c r="B7431" s="334" t="s">
        <v>66</v>
      </c>
      <c r="C7431" s="348" t="s">
        <v>505</v>
      </c>
      <c r="D7431" s="334" t="s">
        <v>2302</v>
      </c>
      <c r="E7431" s="336">
        <v>43788</v>
      </c>
      <c r="F7431" s="336">
        <v>43772</v>
      </c>
      <c r="G7431" s="336">
        <v>43788</v>
      </c>
      <c r="H7431" s="334" t="s">
        <v>15965</v>
      </c>
      <c r="I7431" s="444">
        <v>18638726688</v>
      </c>
      <c r="J7431" s="348" t="s">
        <v>15966</v>
      </c>
      <c r="K7431" s="452">
        <v>1367</v>
      </c>
      <c r="L7431" s="334">
        <v>1819</v>
      </c>
      <c r="M7431" s="338"/>
      <c r="N7431" s="362">
        <f t="shared" si="253"/>
        <v>1819</v>
      </c>
      <c r="X7431" s="339"/>
    </row>
    <row r="7432" s="330" customFormat="1" ht="15" customHeight="1" spans="1:24">
      <c r="A7432" s="550" t="s">
        <v>8792</v>
      </c>
      <c r="B7432" s="334" t="s">
        <v>31</v>
      </c>
      <c r="C7432" s="348" t="s">
        <v>13171</v>
      </c>
      <c r="D7432" s="335" t="s">
        <v>221</v>
      </c>
      <c r="E7432" s="336">
        <v>43772</v>
      </c>
      <c r="F7432" s="336">
        <v>43772</v>
      </c>
      <c r="G7432" s="399"/>
      <c r="H7432" s="334" t="s">
        <v>15967</v>
      </c>
      <c r="I7432" s="444">
        <v>15821713690</v>
      </c>
      <c r="J7432" s="348" t="s">
        <v>15968</v>
      </c>
      <c r="K7432" s="452">
        <v>1000</v>
      </c>
      <c r="L7432" s="338"/>
      <c r="M7432" s="338"/>
      <c r="N7432" s="362">
        <f t="shared" si="253"/>
        <v>0</v>
      </c>
      <c r="O7432" s="467" t="s">
        <v>52</v>
      </c>
      <c r="X7432" s="339"/>
    </row>
    <row r="7433" s="330" customFormat="1" ht="15" customHeight="1" spans="1:24">
      <c r="A7433" s="550" t="s">
        <v>9925</v>
      </c>
      <c r="B7433" s="334" t="s">
        <v>169</v>
      </c>
      <c r="C7433" s="334" t="s">
        <v>12053</v>
      </c>
      <c r="D7433" s="334" t="s">
        <v>635</v>
      </c>
      <c r="E7433" s="336">
        <v>43772</v>
      </c>
      <c r="F7433" s="336">
        <v>43772</v>
      </c>
      <c r="G7433" s="399">
        <v>43772</v>
      </c>
      <c r="H7433" s="334" t="s">
        <v>2808</v>
      </c>
      <c r="I7433" s="334">
        <v>18918922628</v>
      </c>
      <c r="J7433" s="348" t="s">
        <v>15969</v>
      </c>
      <c r="K7433" s="452">
        <v>1000</v>
      </c>
      <c r="L7433" s="334">
        <v>3999</v>
      </c>
      <c r="M7433" s="338"/>
      <c r="N7433" s="362">
        <f t="shared" si="253"/>
        <v>3999</v>
      </c>
      <c r="X7433" s="339"/>
    </row>
    <row r="7434" s="330" customFormat="1" ht="15" customHeight="1" spans="1:24">
      <c r="A7434" s="334"/>
      <c r="B7434" s="334" t="s">
        <v>805</v>
      </c>
      <c r="C7434" s="334" t="s">
        <v>806</v>
      </c>
      <c r="D7434" s="334" t="s">
        <v>427</v>
      </c>
      <c r="E7434" s="336">
        <v>43772</v>
      </c>
      <c r="F7434" s="336"/>
      <c r="G7434" s="336">
        <v>43770</v>
      </c>
      <c r="H7434" s="334" t="s">
        <v>15970</v>
      </c>
      <c r="I7434" s="334">
        <v>13801648038</v>
      </c>
      <c r="J7434" s="348" t="s">
        <v>15363</v>
      </c>
      <c r="K7434" s="337"/>
      <c r="L7434" s="334">
        <v>120000</v>
      </c>
      <c r="M7434" s="338"/>
      <c r="N7434" s="362">
        <f t="shared" si="253"/>
        <v>120000</v>
      </c>
      <c r="X7434" s="339"/>
    </row>
    <row r="7435" s="330" customFormat="1" ht="15" customHeight="1" spans="1:24">
      <c r="A7435" s="334"/>
      <c r="B7435" s="334" t="s">
        <v>335</v>
      </c>
      <c r="C7435" s="334" t="s">
        <v>399</v>
      </c>
      <c r="D7435" s="334" t="s">
        <v>337</v>
      </c>
      <c r="E7435" s="336">
        <v>43772</v>
      </c>
      <c r="F7435" s="336"/>
      <c r="G7435" s="336">
        <v>43771</v>
      </c>
      <c r="H7435" s="334" t="s">
        <v>15971</v>
      </c>
      <c r="I7435" s="334">
        <v>15900679447</v>
      </c>
      <c r="J7435" s="348" t="s">
        <v>15972</v>
      </c>
      <c r="K7435" s="337"/>
      <c r="L7435" s="334">
        <v>68343</v>
      </c>
      <c r="M7435" s="338"/>
      <c r="N7435" s="362">
        <f t="shared" si="253"/>
        <v>68343</v>
      </c>
      <c r="X7435" s="339"/>
    </row>
    <row r="7436" s="330" customFormat="1" ht="15" customHeight="1" spans="1:24">
      <c r="A7436" s="334"/>
      <c r="B7436" s="334" t="s">
        <v>35</v>
      </c>
      <c r="C7436" s="334" t="s">
        <v>328</v>
      </c>
      <c r="D7436" s="334" t="s">
        <v>37</v>
      </c>
      <c r="E7436" s="336">
        <v>43772</v>
      </c>
      <c r="F7436" s="336"/>
      <c r="G7436" s="336">
        <v>43770</v>
      </c>
      <c r="H7436" s="334" t="s">
        <v>15973</v>
      </c>
      <c r="I7436" s="444">
        <v>13918081173</v>
      </c>
      <c r="J7436" s="348" t="s">
        <v>15974</v>
      </c>
      <c r="K7436" s="337"/>
      <c r="L7436" s="334">
        <v>15571</v>
      </c>
      <c r="M7436" s="338"/>
      <c r="N7436" s="362">
        <f t="shared" si="253"/>
        <v>15571</v>
      </c>
      <c r="X7436" s="339"/>
    </row>
    <row r="7437" s="330" customFormat="1" ht="15" customHeight="1" spans="1:24">
      <c r="A7437" s="334"/>
      <c r="B7437" s="334" t="s">
        <v>169</v>
      </c>
      <c r="C7437" s="334" t="s">
        <v>634</v>
      </c>
      <c r="D7437" s="334" t="s">
        <v>171</v>
      </c>
      <c r="E7437" s="336">
        <v>43772</v>
      </c>
      <c r="F7437" s="336"/>
      <c r="G7437" s="336">
        <v>43771</v>
      </c>
      <c r="H7437" s="334" t="s">
        <v>13367</v>
      </c>
      <c r="I7437" s="426">
        <v>13585583349</v>
      </c>
      <c r="J7437" s="334" t="s">
        <v>13369</v>
      </c>
      <c r="K7437" s="337"/>
      <c r="L7437" s="338"/>
      <c r="M7437" s="334">
        <v>703</v>
      </c>
      <c r="N7437" s="362">
        <f t="shared" si="253"/>
        <v>703</v>
      </c>
      <c r="X7437" s="339"/>
    </row>
    <row r="7438" s="330" customFormat="1" ht="15" customHeight="1" spans="1:24">
      <c r="A7438" s="334"/>
      <c r="B7438" s="334" t="s">
        <v>205</v>
      </c>
      <c r="C7438" s="334" t="s">
        <v>1467</v>
      </c>
      <c r="D7438" s="334" t="s">
        <v>407</v>
      </c>
      <c r="E7438" s="336">
        <v>43772</v>
      </c>
      <c r="F7438" s="336"/>
      <c r="G7438" s="336">
        <v>43771</v>
      </c>
      <c r="H7438" s="334" t="s">
        <v>12624</v>
      </c>
      <c r="I7438" s="334">
        <v>13717211286</v>
      </c>
      <c r="J7438" s="334" t="s">
        <v>13859</v>
      </c>
      <c r="K7438" s="337"/>
      <c r="L7438" s="338"/>
      <c r="M7438" s="334">
        <v>782</v>
      </c>
      <c r="N7438" s="362">
        <f t="shared" si="253"/>
        <v>782</v>
      </c>
      <c r="X7438" s="339"/>
    </row>
    <row r="7439" s="330" customFormat="1" ht="15" customHeight="1" spans="1:24">
      <c r="A7439" s="334"/>
      <c r="B7439" s="334" t="s">
        <v>185</v>
      </c>
      <c r="C7439" s="334" t="s">
        <v>886</v>
      </c>
      <c r="D7439" s="334" t="s">
        <v>187</v>
      </c>
      <c r="E7439" s="336">
        <v>43772</v>
      </c>
      <c r="F7439" s="336"/>
      <c r="G7439" s="336">
        <v>43772</v>
      </c>
      <c r="H7439" s="334" t="s">
        <v>8427</v>
      </c>
      <c r="I7439" s="334">
        <v>13761288214</v>
      </c>
      <c r="J7439" s="334" t="s">
        <v>15975</v>
      </c>
      <c r="K7439" s="337"/>
      <c r="L7439" s="338"/>
      <c r="M7439" s="334">
        <v>884</v>
      </c>
      <c r="N7439" s="362">
        <f t="shared" si="253"/>
        <v>884</v>
      </c>
      <c r="X7439" s="339"/>
    </row>
    <row r="7440" s="330" customFormat="1" ht="15" customHeight="1" spans="1:24">
      <c r="A7440" s="334"/>
      <c r="B7440" s="334" t="s">
        <v>66</v>
      </c>
      <c r="C7440" s="334" t="s">
        <v>119</v>
      </c>
      <c r="D7440" s="334" t="s">
        <v>1436</v>
      </c>
      <c r="E7440" s="336">
        <v>43772</v>
      </c>
      <c r="F7440" s="336"/>
      <c r="G7440" s="336">
        <v>43771</v>
      </c>
      <c r="H7440" s="334" t="s">
        <v>13832</v>
      </c>
      <c r="I7440" s="334">
        <v>13601928678</v>
      </c>
      <c r="J7440" s="348" t="s">
        <v>15976</v>
      </c>
      <c r="K7440" s="337"/>
      <c r="L7440" s="338"/>
      <c r="M7440" s="334">
        <v>1384</v>
      </c>
      <c r="N7440" s="362">
        <f t="shared" si="253"/>
        <v>1384</v>
      </c>
      <c r="X7440" s="339"/>
    </row>
    <row r="7441" s="330" customFormat="1" ht="15" customHeight="1" spans="1:24">
      <c r="A7441" s="334"/>
      <c r="B7441" s="334" t="s">
        <v>66</v>
      </c>
      <c r="C7441" s="334" t="s">
        <v>505</v>
      </c>
      <c r="D7441" s="334" t="s">
        <v>1436</v>
      </c>
      <c r="E7441" s="336">
        <v>43772</v>
      </c>
      <c r="F7441" s="336"/>
      <c r="G7441" s="336">
        <v>43771</v>
      </c>
      <c r="H7441" s="334" t="s">
        <v>8818</v>
      </c>
      <c r="I7441" s="334">
        <v>18721781900</v>
      </c>
      <c r="J7441" s="348" t="s">
        <v>15977</v>
      </c>
      <c r="K7441" s="337"/>
      <c r="L7441" s="338"/>
      <c r="M7441" s="334">
        <v>4</v>
      </c>
      <c r="N7441" s="362">
        <f t="shared" si="253"/>
        <v>4</v>
      </c>
      <c r="X7441" s="339"/>
    </row>
    <row r="7442" s="330" customFormat="1" ht="15" customHeight="1" spans="1:24">
      <c r="A7442" s="334"/>
      <c r="B7442" s="334" t="s">
        <v>42</v>
      </c>
      <c r="C7442" s="334" t="s">
        <v>43</v>
      </c>
      <c r="D7442" s="334" t="s">
        <v>207</v>
      </c>
      <c r="E7442" s="336">
        <v>43772</v>
      </c>
      <c r="F7442" s="336"/>
      <c r="G7442" s="336">
        <v>43772</v>
      </c>
      <c r="H7442" s="334" t="s">
        <v>12888</v>
      </c>
      <c r="I7442" s="334">
        <v>13661735103</v>
      </c>
      <c r="J7442" s="348" t="s">
        <v>15978</v>
      </c>
      <c r="K7442" s="337"/>
      <c r="L7442" s="338"/>
      <c r="M7442" s="334">
        <v>-126</v>
      </c>
      <c r="N7442" s="362">
        <f t="shared" si="253"/>
        <v>-126</v>
      </c>
      <c r="X7442" s="339"/>
    </row>
    <row r="7443" s="330" customFormat="1" ht="15" customHeight="1" spans="1:24">
      <c r="A7443" s="334"/>
      <c r="B7443" s="334" t="s">
        <v>726</v>
      </c>
      <c r="C7443" s="334" t="s">
        <v>727</v>
      </c>
      <c r="D7443" s="334" t="s">
        <v>271</v>
      </c>
      <c r="E7443" s="336">
        <v>43772</v>
      </c>
      <c r="F7443" s="336"/>
      <c r="G7443" s="336">
        <v>43771</v>
      </c>
      <c r="H7443" s="334" t="s">
        <v>15063</v>
      </c>
      <c r="I7443" s="334">
        <v>18610103372</v>
      </c>
      <c r="J7443" s="348" t="s">
        <v>15979</v>
      </c>
      <c r="K7443" s="337"/>
      <c r="L7443" s="338"/>
      <c r="M7443" s="334">
        <v>73</v>
      </c>
      <c r="N7443" s="362">
        <f t="shared" ref="N7443:N7453" si="254">L7443+M7443</f>
        <v>73</v>
      </c>
      <c r="X7443" s="339"/>
    </row>
    <row r="7444" s="330" customFormat="1" ht="15" customHeight="1" spans="1:24">
      <c r="A7444" s="334"/>
      <c r="B7444" s="334" t="s">
        <v>137</v>
      </c>
      <c r="C7444" s="334" t="s">
        <v>2705</v>
      </c>
      <c r="D7444" s="334" t="s">
        <v>139</v>
      </c>
      <c r="E7444" s="336">
        <v>43772</v>
      </c>
      <c r="F7444" s="336"/>
      <c r="G7444" s="336">
        <v>43772</v>
      </c>
      <c r="H7444" s="334" t="s">
        <v>11331</v>
      </c>
      <c r="I7444" s="334">
        <v>13817958168</v>
      </c>
      <c r="J7444" s="334" t="s">
        <v>12562</v>
      </c>
      <c r="K7444" s="337"/>
      <c r="L7444" s="338"/>
      <c r="M7444" s="334">
        <v>6790</v>
      </c>
      <c r="N7444" s="362">
        <f t="shared" si="254"/>
        <v>6790</v>
      </c>
      <c r="X7444" s="339"/>
    </row>
    <row r="7445" s="330" customFormat="1" ht="15" customHeight="1" spans="1:24">
      <c r="A7445" s="334"/>
      <c r="B7445" s="334" t="s">
        <v>31</v>
      </c>
      <c r="C7445" s="334" t="s">
        <v>32</v>
      </c>
      <c r="D7445" s="334" t="s">
        <v>221</v>
      </c>
      <c r="E7445" s="336">
        <v>43772</v>
      </c>
      <c r="F7445" s="336"/>
      <c r="G7445" s="336">
        <v>43772</v>
      </c>
      <c r="H7445" s="334" t="s">
        <v>15853</v>
      </c>
      <c r="I7445" s="356">
        <v>13701718452</v>
      </c>
      <c r="J7445" s="348" t="s">
        <v>15854</v>
      </c>
      <c r="K7445" s="337"/>
      <c r="L7445" s="338"/>
      <c r="M7445" s="334">
        <v>-553</v>
      </c>
      <c r="N7445" s="362">
        <f t="shared" si="254"/>
        <v>-553</v>
      </c>
      <c r="X7445" s="339"/>
    </row>
    <row r="7446" s="330" customFormat="1" ht="15" customHeight="1" spans="1:24">
      <c r="A7446" s="334"/>
      <c r="B7446" s="334" t="s">
        <v>205</v>
      </c>
      <c r="C7446" s="334" t="s">
        <v>1467</v>
      </c>
      <c r="D7446" s="334" t="s">
        <v>207</v>
      </c>
      <c r="E7446" s="336">
        <v>43772</v>
      </c>
      <c r="F7446" s="336"/>
      <c r="G7446" s="336">
        <v>43772</v>
      </c>
      <c r="H7446" s="334" t="s">
        <v>13761</v>
      </c>
      <c r="I7446" s="334">
        <v>13621666005</v>
      </c>
      <c r="J7446" s="334" t="s">
        <v>15980</v>
      </c>
      <c r="K7446" s="337"/>
      <c r="L7446" s="338"/>
      <c r="M7446" s="334">
        <v>5628</v>
      </c>
      <c r="N7446" s="362">
        <f t="shared" si="254"/>
        <v>5628</v>
      </c>
      <c r="X7446" s="339"/>
    </row>
    <row r="7447" s="330" customFormat="1" ht="15" customHeight="1" spans="1:24">
      <c r="A7447" s="334"/>
      <c r="B7447" s="334" t="s">
        <v>205</v>
      </c>
      <c r="C7447" s="334" t="s">
        <v>1467</v>
      </c>
      <c r="D7447" s="334" t="s">
        <v>89</v>
      </c>
      <c r="E7447" s="336">
        <v>43772</v>
      </c>
      <c r="F7447" s="336"/>
      <c r="G7447" s="336">
        <v>43772</v>
      </c>
      <c r="H7447" s="334" t="s">
        <v>2483</v>
      </c>
      <c r="I7447" s="356">
        <v>13918900287</v>
      </c>
      <c r="J7447" s="348" t="s">
        <v>15981</v>
      </c>
      <c r="K7447" s="337"/>
      <c r="L7447" s="338"/>
      <c r="M7447" s="334">
        <v>6509</v>
      </c>
      <c r="N7447" s="362">
        <f t="shared" si="254"/>
        <v>6509</v>
      </c>
      <c r="X7447" s="339"/>
    </row>
    <row r="7448" s="330" customFormat="1" ht="15" customHeight="1" spans="1:24">
      <c r="A7448" s="334"/>
      <c r="B7448" s="334" t="s">
        <v>73</v>
      </c>
      <c r="C7448" s="334" t="s">
        <v>74</v>
      </c>
      <c r="D7448" s="334" t="s">
        <v>125</v>
      </c>
      <c r="E7448" s="336">
        <v>43772</v>
      </c>
      <c r="F7448" s="336"/>
      <c r="G7448" s="336">
        <v>43772</v>
      </c>
      <c r="H7448" s="334" t="s">
        <v>15371</v>
      </c>
      <c r="I7448" s="444">
        <v>13818970089</v>
      </c>
      <c r="J7448" s="348" t="s">
        <v>15372</v>
      </c>
      <c r="K7448" s="337"/>
      <c r="L7448" s="338"/>
      <c r="M7448" s="334">
        <v>-2</v>
      </c>
      <c r="N7448" s="362">
        <f t="shared" si="254"/>
        <v>-2</v>
      </c>
      <c r="X7448" s="339"/>
    </row>
    <row r="7449" s="330" customFormat="1" ht="15" customHeight="1" spans="1:24">
      <c r="A7449" s="334"/>
      <c r="B7449" s="334" t="s">
        <v>153</v>
      </c>
      <c r="C7449" s="334" t="s">
        <v>302</v>
      </c>
      <c r="D7449" s="334" t="s">
        <v>155</v>
      </c>
      <c r="E7449" s="336">
        <v>43772</v>
      </c>
      <c r="F7449" s="336"/>
      <c r="G7449" s="336">
        <v>43772</v>
      </c>
      <c r="H7449" s="334" t="s">
        <v>8895</v>
      </c>
      <c r="I7449" s="356">
        <v>13601648813</v>
      </c>
      <c r="J7449" s="348" t="s">
        <v>8896</v>
      </c>
      <c r="K7449" s="337"/>
      <c r="L7449" s="338"/>
      <c r="M7449" s="334">
        <v>3031</v>
      </c>
      <c r="N7449" s="362">
        <f t="shared" si="254"/>
        <v>3031</v>
      </c>
      <c r="X7449" s="339"/>
    </row>
    <row r="7450" s="330" customFormat="1" ht="15" customHeight="1" spans="1:24">
      <c r="A7450" s="334"/>
      <c r="B7450" s="334" t="s">
        <v>354</v>
      </c>
      <c r="C7450" s="334" t="s">
        <v>355</v>
      </c>
      <c r="D7450" s="334" t="s">
        <v>343</v>
      </c>
      <c r="E7450" s="336">
        <v>43772</v>
      </c>
      <c r="F7450" s="336"/>
      <c r="G7450" s="336">
        <v>43772</v>
      </c>
      <c r="H7450" s="334" t="s">
        <v>6311</v>
      </c>
      <c r="I7450" s="356">
        <v>13817316617</v>
      </c>
      <c r="J7450" s="348" t="s">
        <v>15982</v>
      </c>
      <c r="K7450" s="337"/>
      <c r="L7450" s="338"/>
      <c r="M7450" s="334">
        <v>7951</v>
      </c>
      <c r="N7450" s="362">
        <f t="shared" si="254"/>
        <v>7951</v>
      </c>
      <c r="X7450" s="339"/>
    </row>
    <row r="7451" s="330" customFormat="1" ht="15" customHeight="1" spans="1:24">
      <c r="A7451" s="334"/>
      <c r="B7451" s="334" t="s">
        <v>137</v>
      </c>
      <c r="C7451" s="334" t="s">
        <v>411</v>
      </c>
      <c r="D7451" s="334" t="s">
        <v>443</v>
      </c>
      <c r="E7451" s="336">
        <v>43772</v>
      </c>
      <c r="F7451" s="336"/>
      <c r="G7451" s="336">
        <v>43772</v>
      </c>
      <c r="H7451" s="334" t="s">
        <v>6031</v>
      </c>
      <c r="I7451" s="334">
        <v>18817363022</v>
      </c>
      <c r="J7451" s="334" t="s">
        <v>14547</v>
      </c>
      <c r="K7451" s="337"/>
      <c r="L7451" s="338"/>
      <c r="M7451" s="334">
        <v>1401</v>
      </c>
      <c r="N7451" s="362">
        <f t="shared" si="254"/>
        <v>1401</v>
      </c>
      <c r="X7451" s="339"/>
    </row>
    <row r="7452" s="330" customFormat="1" ht="15" customHeight="1" spans="1:24">
      <c r="A7452" s="334"/>
      <c r="B7452" s="334" t="s">
        <v>335</v>
      </c>
      <c r="C7452" s="334" t="s">
        <v>615</v>
      </c>
      <c r="D7452" s="334" t="s">
        <v>337</v>
      </c>
      <c r="E7452" s="336">
        <v>43772</v>
      </c>
      <c r="F7452" s="336"/>
      <c r="G7452" s="336">
        <v>43772</v>
      </c>
      <c r="H7452" s="334" t="s">
        <v>12733</v>
      </c>
      <c r="I7452" s="356">
        <v>13916722807</v>
      </c>
      <c r="J7452" s="348" t="s">
        <v>15983</v>
      </c>
      <c r="K7452" s="337"/>
      <c r="L7452" s="338"/>
      <c r="M7452" s="334">
        <v>2533</v>
      </c>
      <c r="N7452" s="362">
        <f t="shared" si="254"/>
        <v>2533</v>
      </c>
      <c r="X7452" s="339"/>
    </row>
    <row r="7453" s="330" customFormat="1" ht="15" customHeight="1" spans="1:24">
      <c r="A7453" s="334"/>
      <c r="B7453" s="334" t="s">
        <v>405</v>
      </c>
      <c r="C7453" s="334" t="s">
        <v>1234</v>
      </c>
      <c r="D7453" s="334" t="s">
        <v>407</v>
      </c>
      <c r="E7453" s="336">
        <v>43772</v>
      </c>
      <c r="F7453" s="336"/>
      <c r="G7453" s="336">
        <v>43772</v>
      </c>
      <c r="H7453" s="334" t="s">
        <v>9808</v>
      </c>
      <c r="I7453" s="334">
        <v>13052350768</v>
      </c>
      <c r="J7453" s="334" t="s">
        <v>15984</v>
      </c>
      <c r="K7453" s="337"/>
      <c r="L7453" s="338"/>
      <c r="M7453" s="334">
        <v>3663</v>
      </c>
      <c r="N7453" s="362">
        <f t="shared" si="254"/>
        <v>3663</v>
      </c>
      <c r="X7453" s="339"/>
    </row>
    <row r="7454" s="330" customFormat="1" ht="15" customHeight="1" spans="1:24">
      <c r="A7454" s="550" t="s">
        <v>15985</v>
      </c>
      <c r="B7454" s="334" t="s">
        <v>805</v>
      </c>
      <c r="C7454" s="348" t="s">
        <v>4935</v>
      </c>
      <c r="D7454" s="335" t="s">
        <v>171</v>
      </c>
      <c r="E7454" s="336">
        <v>43773</v>
      </c>
      <c r="F7454" s="336">
        <v>43772</v>
      </c>
      <c r="G7454" s="399"/>
      <c r="H7454" s="334" t="s">
        <v>15986</v>
      </c>
      <c r="I7454" s="444">
        <v>13918236326</v>
      </c>
      <c r="J7454" s="348" t="s">
        <v>15987</v>
      </c>
      <c r="K7454" s="452">
        <v>1000</v>
      </c>
      <c r="L7454" s="338"/>
      <c r="M7454" s="338"/>
      <c r="N7454" s="362">
        <f t="shared" ref="N7454:N7494" si="255">L7454+M7454</f>
        <v>0</v>
      </c>
      <c r="O7454" s="467" t="s">
        <v>52</v>
      </c>
      <c r="X7454" s="339"/>
    </row>
    <row r="7455" s="330" customFormat="1" ht="15" customHeight="1" spans="1:24">
      <c r="A7455" s="550" t="s">
        <v>15988</v>
      </c>
      <c r="B7455" s="334" t="s">
        <v>66</v>
      </c>
      <c r="C7455" s="348" t="s">
        <v>1749</v>
      </c>
      <c r="D7455" s="334" t="s">
        <v>1436</v>
      </c>
      <c r="E7455" s="336">
        <v>43798</v>
      </c>
      <c r="F7455" s="336">
        <v>43773</v>
      </c>
      <c r="G7455" s="336">
        <v>43797</v>
      </c>
      <c r="H7455" s="334" t="s">
        <v>15989</v>
      </c>
      <c r="I7455" s="444">
        <v>15201926911</v>
      </c>
      <c r="J7455" s="348" t="s">
        <v>15990</v>
      </c>
      <c r="K7455" s="452">
        <v>2646</v>
      </c>
      <c r="L7455" s="334">
        <v>9182</v>
      </c>
      <c r="M7455" s="338"/>
      <c r="N7455" s="362">
        <f t="shared" si="255"/>
        <v>9182</v>
      </c>
      <c r="Q7455" s="330" t="s">
        <v>52</v>
      </c>
      <c r="X7455" s="339"/>
    </row>
    <row r="7456" s="330" customFormat="1" ht="15" customHeight="1" spans="1:24">
      <c r="A7456" s="550" t="s">
        <v>15032</v>
      </c>
      <c r="B7456" s="334" t="s">
        <v>58</v>
      </c>
      <c r="C7456" s="348" t="s">
        <v>347</v>
      </c>
      <c r="D7456" s="335" t="s">
        <v>343</v>
      </c>
      <c r="E7456" s="336">
        <v>43787</v>
      </c>
      <c r="F7456" s="336">
        <v>43772</v>
      </c>
      <c r="G7456" s="336">
        <v>43783</v>
      </c>
      <c r="H7456" s="334" t="s">
        <v>15991</v>
      </c>
      <c r="I7456" s="450">
        <v>13918191175</v>
      </c>
      <c r="J7456" s="444" t="s">
        <v>15992</v>
      </c>
      <c r="K7456" s="452">
        <v>1000</v>
      </c>
      <c r="L7456" s="334">
        <v>9460</v>
      </c>
      <c r="M7456" s="338"/>
      <c r="N7456" s="362">
        <f t="shared" si="255"/>
        <v>9460</v>
      </c>
      <c r="X7456" s="339"/>
    </row>
    <row r="7457" s="330" customFormat="1" ht="15" customHeight="1" spans="1:24">
      <c r="A7457" s="550" t="s">
        <v>15993</v>
      </c>
      <c r="B7457" s="334" t="s">
        <v>153</v>
      </c>
      <c r="C7457" s="348" t="s">
        <v>15883</v>
      </c>
      <c r="D7457" s="335" t="s">
        <v>155</v>
      </c>
      <c r="E7457" s="336">
        <v>43783</v>
      </c>
      <c r="F7457" s="336">
        <v>43772</v>
      </c>
      <c r="G7457" s="336">
        <v>43782</v>
      </c>
      <c r="H7457" s="334" t="s">
        <v>15994</v>
      </c>
      <c r="I7457" s="444">
        <v>13918937624</v>
      </c>
      <c r="J7457" s="348" t="s">
        <v>15995</v>
      </c>
      <c r="K7457" s="452">
        <v>1000</v>
      </c>
      <c r="L7457" s="334">
        <v>1000</v>
      </c>
      <c r="M7457" s="338"/>
      <c r="N7457" s="362">
        <f t="shared" si="255"/>
        <v>1000</v>
      </c>
      <c r="X7457" s="339"/>
    </row>
    <row r="7458" s="330" customFormat="1" ht="15" customHeight="1" spans="1:24">
      <c r="A7458" s="550" t="s">
        <v>2540</v>
      </c>
      <c r="B7458" s="334" t="s">
        <v>153</v>
      </c>
      <c r="C7458" s="348" t="s">
        <v>302</v>
      </c>
      <c r="D7458" s="335" t="s">
        <v>155</v>
      </c>
      <c r="E7458" s="336">
        <v>43799</v>
      </c>
      <c r="F7458" s="336">
        <v>43772</v>
      </c>
      <c r="G7458" s="336">
        <v>43799</v>
      </c>
      <c r="H7458" s="334" t="s">
        <v>3643</v>
      </c>
      <c r="I7458" s="444">
        <v>18516605897</v>
      </c>
      <c r="J7458" s="348" t="s">
        <v>15996</v>
      </c>
      <c r="K7458" s="452">
        <v>1000</v>
      </c>
      <c r="L7458" s="334">
        <v>7223</v>
      </c>
      <c r="M7458" s="338"/>
      <c r="N7458" s="362">
        <f t="shared" si="255"/>
        <v>7223</v>
      </c>
      <c r="U7458" s="330" t="s">
        <v>12</v>
      </c>
      <c r="X7458" s="339"/>
    </row>
    <row r="7459" s="330" customFormat="1" ht="15" customHeight="1" spans="1:24">
      <c r="A7459" s="550" t="s">
        <v>15997</v>
      </c>
      <c r="B7459" s="334" t="s">
        <v>236</v>
      </c>
      <c r="C7459" s="348" t="s">
        <v>195</v>
      </c>
      <c r="D7459" s="334" t="s">
        <v>149</v>
      </c>
      <c r="E7459" s="336">
        <v>43781</v>
      </c>
      <c r="F7459" s="336">
        <v>43771</v>
      </c>
      <c r="G7459" s="336">
        <v>43775</v>
      </c>
      <c r="H7459" s="334" t="s">
        <v>7106</v>
      </c>
      <c r="I7459" s="444">
        <v>18001982729</v>
      </c>
      <c r="J7459" s="348" t="s">
        <v>15998</v>
      </c>
      <c r="K7459" s="452">
        <v>12933</v>
      </c>
      <c r="L7459" s="334">
        <f>-1299+12933</f>
        <v>11634</v>
      </c>
      <c r="M7459" s="334">
        <v>1299</v>
      </c>
      <c r="N7459" s="362">
        <f t="shared" si="255"/>
        <v>12933</v>
      </c>
      <c r="X7459" s="339"/>
    </row>
    <row r="7460" s="330" customFormat="1" ht="15" customHeight="1" spans="1:24">
      <c r="A7460" s="550" t="s">
        <v>15999</v>
      </c>
      <c r="B7460" s="334" t="s">
        <v>31</v>
      </c>
      <c r="C7460" s="348" t="s">
        <v>13171</v>
      </c>
      <c r="D7460" s="335" t="s">
        <v>221</v>
      </c>
      <c r="E7460" s="336">
        <v>43798</v>
      </c>
      <c r="F7460" s="336">
        <v>43772</v>
      </c>
      <c r="G7460" s="336">
        <v>43798</v>
      </c>
      <c r="H7460" s="334" t="s">
        <v>16000</v>
      </c>
      <c r="I7460" s="444">
        <v>13917689440</v>
      </c>
      <c r="J7460" s="348" t="s">
        <v>16001</v>
      </c>
      <c r="K7460" s="452">
        <v>1000</v>
      </c>
      <c r="L7460" s="334">
        <v>10561</v>
      </c>
      <c r="M7460" s="338"/>
      <c r="N7460" s="362">
        <f t="shared" si="255"/>
        <v>10561</v>
      </c>
      <c r="X7460" s="339"/>
    </row>
    <row r="7461" s="330" customFormat="1" ht="15" customHeight="1" spans="1:24">
      <c r="A7461" s="550" t="s">
        <v>16002</v>
      </c>
      <c r="B7461" s="334" t="s">
        <v>153</v>
      </c>
      <c r="C7461" s="348" t="s">
        <v>154</v>
      </c>
      <c r="D7461" s="334" t="s">
        <v>155</v>
      </c>
      <c r="E7461" s="336">
        <v>43773</v>
      </c>
      <c r="F7461" s="336">
        <v>43772</v>
      </c>
      <c r="G7461" s="399">
        <v>43773</v>
      </c>
      <c r="H7461" s="334" t="s">
        <v>16003</v>
      </c>
      <c r="I7461" s="444">
        <v>13585687461</v>
      </c>
      <c r="J7461" s="348" t="s">
        <v>16004</v>
      </c>
      <c r="K7461" s="452">
        <v>1000</v>
      </c>
      <c r="L7461" s="334">
        <v>3200</v>
      </c>
      <c r="M7461" s="338"/>
      <c r="N7461" s="362">
        <f t="shared" si="255"/>
        <v>3200</v>
      </c>
      <c r="X7461" s="339"/>
    </row>
    <row r="7462" s="330" customFormat="1" ht="15" customHeight="1" spans="1:24">
      <c r="A7462" s="550" t="s">
        <v>16005</v>
      </c>
      <c r="B7462" s="334" t="s">
        <v>315</v>
      </c>
      <c r="C7462" s="348" t="s">
        <v>722</v>
      </c>
      <c r="D7462" s="334" t="s">
        <v>149</v>
      </c>
      <c r="E7462" s="336">
        <v>43776</v>
      </c>
      <c r="F7462" s="336">
        <v>43772</v>
      </c>
      <c r="G7462" s="336">
        <v>43775</v>
      </c>
      <c r="H7462" s="334" t="s">
        <v>16006</v>
      </c>
      <c r="I7462" s="444">
        <v>13681947767</v>
      </c>
      <c r="J7462" s="348" t="s">
        <v>16007</v>
      </c>
      <c r="K7462" s="452">
        <v>1000</v>
      </c>
      <c r="L7462" s="334">
        <v>7382</v>
      </c>
      <c r="M7462" s="338"/>
      <c r="N7462" s="362">
        <f t="shared" si="255"/>
        <v>7382</v>
      </c>
      <c r="X7462" s="339"/>
    </row>
    <row r="7463" s="330" customFormat="1" ht="15" customHeight="1" spans="1:24">
      <c r="A7463" s="550" t="s">
        <v>3714</v>
      </c>
      <c r="B7463" s="334" t="s">
        <v>153</v>
      </c>
      <c r="C7463" s="348" t="s">
        <v>154</v>
      </c>
      <c r="D7463" s="335" t="s">
        <v>155</v>
      </c>
      <c r="E7463" s="336">
        <v>43773</v>
      </c>
      <c r="F7463" s="336">
        <v>43772</v>
      </c>
      <c r="G7463" s="399"/>
      <c r="H7463" s="334" t="s">
        <v>16008</v>
      </c>
      <c r="I7463" s="444">
        <v>13015872520</v>
      </c>
      <c r="J7463" s="348" t="s">
        <v>16009</v>
      </c>
      <c r="K7463" s="452">
        <v>1000</v>
      </c>
      <c r="L7463" s="338"/>
      <c r="M7463" s="338"/>
      <c r="N7463" s="362">
        <f t="shared" si="255"/>
        <v>0</v>
      </c>
      <c r="U7463" s="330" t="s">
        <v>12</v>
      </c>
      <c r="X7463" s="339"/>
    </row>
    <row r="7464" s="330" customFormat="1" ht="15" customHeight="1" spans="1:24">
      <c r="A7464" s="550" t="s">
        <v>4365</v>
      </c>
      <c r="B7464" s="334" t="s">
        <v>185</v>
      </c>
      <c r="C7464" s="348" t="s">
        <v>186</v>
      </c>
      <c r="D7464" s="334" t="s">
        <v>187</v>
      </c>
      <c r="E7464" s="336">
        <v>43778</v>
      </c>
      <c r="F7464" s="336">
        <v>43772</v>
      </c>
      <c r="G7464" s="336">
        <v>43776</v>
      </c>
      <c r="H7464" s="334" t="s">
        <v>16010</v>
      </c>
      <c r="I7464" s="444">
        <v>13564318525</v>
      </c>
      <c r="J7464" s="348" t="s">
        <v>16011</v>
      </c>
      <c r="K7464" s="452">
        <v>1000</v>
      </c>
      <c r="L7464" s="334">
        <v>2741</v>
      </c>
      <c r="M7464" s="338"/>
      <c r="N7464" s="362">
        <f t="shared" si="255"/>
        <v>2741</v>
      </c>
      <c r="X7464" s="339"/>
    </row>
    <row r="7465" s="330" customFormat="1" ht="15" customHeight="1" spans="1:24">
      <c r="A7465" s="550" t="s">
        <v>10844</v>
      </c>
      <c r="B7465" s="334" t="s">
        <v>31</v>
      </c>
      <c r="C7465" s="348" t="s">
        <v>3186</v>
      </c>
      <c r="D7465" s="334" t="s">
        <v>33</v>
      </c>
      <c r="E7465" s="336">
        <v>43781</v>
      </c>
      <c r="F7465" s="336">
        <v>43772</v>
      </c>
      <c r="G7465" s="336">
        <v>43780</v>
      </c>
      <c r="H7465" s="334" t="s">
        <v>16012</v>
      </c>
      <c r="I7465" s="444">
        <v>13764614690</v>
      </c>
      <c r="J7465" s="348" t="s">
        <v>16013</v>
      </c>
      <c r="K7465" s="452">
        <v>1000</v>
      </c>
      <c r="L7465" s="334">
        <v>13105</v>
      </c>
      <c r="M7465" s="338"/>
      <c r="N7465" s="362">
        <f t="shared" si="255"/>
        <v>13105</v>
      </c>
      <c r="X7465" s="339"/>
    </row>
    <row r="7466" s="330" customFormat="1" ht="15" customHeight="1" spans="1:24">
      <c r="A7466" s="550" t="s">
        <v>5195</v>
      </c>
      <c r="B7466" s="334" t="s">
        <v>137</v>
      </c>
      <c r="C7466" s="348" t="s">
        <v>138</v>
      </c>
      <c r="D7466" s="334" t="s">
        <v>427</v>
      </c>
      <c r="E7466" s="336">
        <v>43775</v>
      </c>
      <c r="F7466" s="336">
        <v>43771</v>
      </c>
      <c r="G7466" s="336">
        <v>43774</v>
      </c>
      <c r="H7466" s="334" t="s">
        <v>16014</v>
      </c>
      <c r="I7466" s="444">
        <v>13701624649</v>
      </c>
      <c r="J7466" s="348" t="s">
        <v>16015</v>
      </c>
      <c r="K7466" s="452">
        <v>11124</v>
      </c>
      <c r="L7466" s="334">
        <v>11544</v>
      </c>
      <c r="M7466" s="338"/>
      <c r="N7466" s="362">
        <f t="shared" si="255"/>
        <v>11544</v>
      </c>
      <c r="X7466" s="339"/>
    </row>
    <row r="7467" s="330" customFormat="1" ht="15" customHeight="1" spans="1:24">
      <c r="A7467" s="550" t="s">
        <v>10822</v>
      </c>
      <c r="B7467" s="334" t="s">
        <v>31</v>
      </c>
      <c r="C7467" s="348" t="s">
        <v>3186</v>
      </c>
      <c r="D7467" s="335" t="s">
        <v>221</v>
      </c>
      <c r="E7467" s="336">
        <v>43773</v>
      </c>
      <c r="F7467" s="336">
        <v>43772</v>
      </c>
      <c r="G7467" s="399"/>
      <c r="H7467" s="334" t="s">
        <v>16016</v>
      </c>
      <c r="I7467" s="444">
        <v>13120767099</v>
      </c>
      <c r="J7467" s="348" t="s">
        <v>16017</v>
      </c>
      <c r="K7467" s="452">
        <v>300</v>
      </c>
      <c r="L7467" s="338"/>
      <c r="M7467" s="338"/>
      <c r="N7467" s="362">
        <f t="shared" si="255"/>
        <v>0</v>
      </c>
      <c r="O7467" s="467" t="s">
        <v>52</v>
      </c>
      <c r="X7467" s="339"/>
    </row>
    <row r="7468" s="330" customFormat="1" ht="15" customHeight="1" spans="1:24">
      <c r="A7468" s="550" t="s">
        <v>977</v>
      </c>
      <c r="B7468" s="334" t="s">
        <v>31</v>
      </c>
      <c r="C7468" s="348" t="s">
        <v>251</v>
      </c>
      <c r="D7468" s="334" t="s">
        <v>954</v>
      </c>
      <c r="E7468" s="336">
        <v>43778</v>
      </c>
      <c r="F7468" s="336">
        <v>43771</v>
      </c>
      <c r="G7468" s="336">
        <v>43777</v>
      </c>
      <c r="H7468" s="334" t="s">
        <v>16018</v>
      </c>
      <c r="I7468" s="444">
        <v>18001777810</v>
      </c>
      <c r="J7468" s="348" t="s">
        <v>16019</v>
      </c>
      <c r="K7468" s="452">
        <v>1000</v>
      </c>
      <c r="L7468" s="334">
        <v>4377</v>
      </c>
      <c r="M7468" s="338"/>
      <c r="N7468" s="362">
        <f t="shared" si="255"/>
        <v>4377</v>
      </c>
      <c r="X7468" s="339"/>
    </row>
    <row r="7469" s="330" customFormat="1" ht="15" customHeight="1" spans="1:24">
      <c r="A7469" s="550" t="s">
        <v>14305</v>
      </c>
      <c r="B7469" s="334" t="s">
        <v>31</v>
      </c>
      <c r="C7469" s="348" t="s">
        <v>3186</v>
      </c>
      <c r="D7469" s="335" t="s">
        <v>221</v>
      </c>
      <c r="E7469" s="336">
        <v>43773</v>
      </c>
      <c r="F7469" s="336">
        <v>43772</v>
      </c>
      <c r="G7469" s="399"/>
      <c r="H7469" s="334" t="s">
        <v>16020</v>
      </c>
      <c r="I7469" s="444">
        <v>17521310908</v>
      </c>
      <c r="J7469" s="348" t="s">
        <v>16021</v>
      </c>
      <c r="K7469" s="452">
        <v>1000</v>
      </c>
      <c r="L7469" s="338"/>
      <c r="M7469" s="338"/>
      <c r="N7469" s="362">
        <f t="shared" si="255"/>
        <v>0</v>
      </c>
      <c r="O7469" s="467" t="s">
        <v>52</v>
      </c>
      <c r="X7469" s="339"/>
    </row>
    <row r="7470" s="330" customFormat="1" ht="15" customHeight="1" spans="1:24">
      <c r="A7470" s="550" t="s">
        <v>16022</v>
      </c>
      <c r="B7470" s="334" t="s">
        <v>31</v>
      </c>
      <c r="C7470" s="348" t="s">
        <v>220</v>
      </c>
      <c r="D7470" s="335" t="s">
        <v>221</v>
      </c>
      <c r="E7470" s="336">
        <v>43798</v>
      </c>
      <c r="F7470" s="336">
        <v>43772</v>
      </c>
      <c r="G7470" s="336">
        <v>43797</v>
      </c>
      <c r="H7470" s="334" t="s">
        <v>16023</v>
      </c>
      <c r="I7470" s="444">
        <v>13482242536</v>
      </c>
      <c r="J7470" s="348" t="s">
        <v>16024</v>
      </c>
      <c r="K7470" s="452">
        <v>1000</v>
      </c>
      <c r="L7470" s="334">
        <v>15229</v>
      </c>
      <c r="M7470" s="334">
        <v>1137</v>
      </c>
      <c r="N7470" s="362">
        <f t="shared" si="255"/>
        <v>16366</v>
      </c>
      <c r="X7470" s="339"/>
    </row>
    <row r="7471" s="330" customFormat="1" ht="15" customHeight="1" spans="1:24">
      <c r="A7471" s="348">
        <v>2024263</v>
      </c>
      <c r="B7471" s="334" t="s">
        <v>335</v>
      </c>
      <c r="C7471" s="348" t="s">
        <v>615</v>
      </c>
      <c r="D7471" s="335" t="s">
        <v>337</v>
      </c>
      <c r="E7471" s="336">
        <v>43773</v>
      </c>
      <c r="F7471" s="336">
        <v>43772</v>
      </c>
      <c r="G7471" s="399"/>
      <c r="H7471" s="334" t="s">
        <v>16025</v>
      </c>
      <c r="I7471" s="444">
        <v>18694069392</v>
      </c>
      <c r="J7471" s="348" t="s">
        <v>16026</v>
      </c>
      <c r="K7471" s="452">
        <v>1000</v>
      </c>
      <c r="L7471" s="338"/>
      <c r="M7471" s="338"/>
      <c r="N7471" s="362">
        <f t="shared" si="255"/>
        <v>0</v>
      </c>
      <c r="R7471" s="356" t="s">
        <v>22</v>
      </c>
      <c r="X7471" s="339"/>
    </row>
    <row r="7472" s="330" customFormat="1" ht="15" customHeight="1" spans="1:24">
      <c r="A7472" s="550" t="s">
        <v>16027</v>
      </c>
      <c r="B7472" s="334" t="s">
        <v>73</v>
      </c>
      <c r="C7472" s="348" t="s">
        <v>178</v>
      </c>
      <c r="D7472" s="334" t="s">
        <v>75</v>
      </c>
      <c r="E7472" s="336">
        <v>43775</v>
      </c>
      <c r="F7472" s="336">
        <v>43772</v>
      </c>
      <c r="G7472" s="336">
        <v>43775</v>
      </c>
      <c r="H7472" s="334" t="s">
        <v>16028</v>
      </c>
      <c r="I7472" s="444">
        <v>15900615886</v>
      </c>
      <c r="J7472" s="348" t="s">
        <v>16029</v>
      </c>
      <c r="K7472" s="452">
        <v>1000</v>
      </c>
      <c r="L7472" s="334">
        <v>22479</v>
      </c>
      <c r="M7472" s="338"/>
      <c r="N7472" s="362">
        <f t="shared" si="255"/>
        <v>22479</v>
      </c>
      <c r="X7472" s="339"/>
    </row>
    <row r="7473" s="330" customFormat="1" ht="15" customHeight="1" spans="1:24">
      <c r="A7473" s="550" t="s">
        <v>16030</v>
      </c>
      <c r="B7473" s="334" t="s">
        <v>73</v>
      </c>
      <c r="C7473" s="348" t="s">
        <v>74</v>
      </c>
      <c r="D7473" s="334" t="s">
        <v>44</v>
      </c>
      <c r="E7473" s="336">
        <v>43799</v>
      </c>
      <c r="F7473" s="336">
        <v>43772</v>
      </c>
      <c r="G7473" s="336">
        <v>43799</v>
      </c>
      <c r="H7473" s="334" t="s">
        <v>16031</v>
      </c>
      <c r="I7473" s="444">
        <v>15921592163</v>
      </c>
      <c r="J7473" s="348" t="s">
        <v>16032</v>
      </c>
      <c r="K7473" s="452">
        <v>1000</v>
      </c>
      <c r="L7473" s="334">
        <v>15593</v>
      </c>
      <c r="M7473" s="338"/>
      <c r="N7473" s="362">
        <f t="shared" si="255"/>
        <v>15593</v>
      </c>
      <c r="O7473" s="366" t="s">
        <v>52</v>
      </c>
      <c r="X7473" s="339"/>
    </row>
    <row r="7474" s="330" customFormat="1" ht="15" customHeight="1" spans="1:24">
      <c r="A7474" s="550" t="s">
        <v>16033</v>
      </c>
      <c r="B7474" s="334" t="s">
        <v>73</v>
      </c>
      <c r="C7474" s="348" t="s">
        <v>178</v>
      </c>
      <c r="D7474" s="334" t="s">
        <v>427</v>
      </c>
      <c r="E7474" s="336">
        <v>43799</v>
      </c>
      <c r="F7474" s="336">
        <v>43772</v>
      </c>
      <c r="G7474" s="336">
        <v>43796</v>
      </c>
      <c r="H7474" s="334" t="s">
        <v>16034</v>
      </c>
      <c r="I7474" s="444">
        <v>15601720622</v>
      </c>
      <c r="J7474" s="348" t="s">
        <v>16035</v>
      </c>
      <c r="K7474" s="452">
        <v>1000</v>
      </c>
      <c r="L7474" s="334">
        <v>14221</v>
      </c>
      <c r="M7474" s="338"/>
      <c r="N7474" s="362">
        <f t="shared" si="255"/>
        <v>14221</v>
      </c>
      <c r="X7474" s="339"/>
    </row>
    <row r="7475" s="330" customFormat="1" ht="15" customHeight="1" spans="1:24">
      <c r="A7475" s="550" t="s">
        <v>9131</v>
      </c>
      <c r="B7475" s="334" t="s">
        <v>73</v>
      </c>
      <c r="C7475" s="348" t="s">
        <v>178</v>
      </c>
      <c r="D7475" s="335" t="s">
        <v>75</v>
      </c>
      <c r="E7475" s="336">
        <v>43776</v>
      </c>
      <c r="F7475" s="336">
        <v>43775</v>
      </c>
      <c r="G7475" s="399"/>
      <c r="H7475" s="334" t="s">
        <v>16036</v>
      </c>
      <c r="I7475" s="444">
        <v>13918309300</v>
      </c>
      <c r="J7475" s="348" t="s">
        <v>16037</v>
      </c>
      <c r="K7475" s="452">
        <v>1000</v>
      </c>
      <c r="L7475" s="338"/>
      <c r="M7475" s="338"/>
      <c r="N7475" s="362">
        <f t="shared" si="255"/>
        <v>0</v>
      </c>
      <c r="Q7475" s="366" t="s">
        <v>52</v>
      </c>
      <c r="X7475" s="339"/>
    </row>
    <row r="7476" s="330" customFormat="1" ht="15" customHeight="1" spans="1:24">
      <c r="A7476" s="550" t="s">
        <v>3157</v>
      </c>
      <c r="B7476" s="334" t="s">
        <v>153</v>
      </c>
      <c r="C7476" s="348" t="s">
        <v>302</v>
      </c>
      <c r="D7476" s="335" t="s">
        <v>155</v>
      </c>
      <c r="E7476" s="336">
        <v>43799</v>
      </c>
      <c r="F7476" s="336">
        <v>43772</v>
      </c>
      <c r="G7476" s="336">
        <v>43798</v>
      </c>
      <c r="H7476" s="334" t="s">
        <v>16038</v>
      </c>
      <c r="I7476" s="444">
        <v>13040660127</v>
      </c>
      <c r="J7476" s="348" t="s">
        <v>16039</v>
      </c>
      <c r="K7476" s="452">
        <v>1000</v>
      </c>
      <c r="L7476" s="334">
        <v>13000</v>
      </c>
      <c r="M7476" s="338"/>
      <c r="N7476" s="362">
        <f t="shared" si="255"/>
        <v>13000</v>
      </c>
      <c r="R7476" s="330" t="s">
        <v>52</v>
      </c>
      <c r="X7476" s="339"/>
    </row>
    <row r="7477" s="330" customFormat="1" ht="15" customHeight="1" spans="1:24">
      <c r="A7477" s="348"/>
      <c r="B7477" s="334" t="s">
        <v>147</v>
      </c>
      <c r="C7477" s="348" t="s">
        <v>15901</v>
      </c>
      <c r="D7477" s="335" t="s">
        <v>149</v>
      </c>
      <c r="E7477" s="336">
        <v>43779</v>
      </c>
      <c r="F7477" s="336">
        <v>43772</v>
      </c>
      <c r="G7477" s="336">
        <v>43778</v>
      </c>
      <c r="H7477" s="334" t="s">
        <v>16040</v>
      </c>
      <c r="I7477" s="444">
        <v>18221059216</v>
      </c>
      <c r="J7477" s="348" t="s">
        <v>16041</v>
      </c>
      <c r="K7477" s="452">
        <v>2167</v>
      </c>
      <c r="L7477" s="334">
        <v>2192</v>
      </c>
      <c r="M7477" s="338"/>
      <c r="N7477" s="362">
        <f t="shared" si="255"/>
        <v>2192</v>
      </c>
      <c r="X7477" s="339"/>
    </row>
    <row r="7478" s="330" customFormat="1" ht="15" customHeight="1" spans="1:24">
      <c r="A7478" s="550" t="s">
        <v>16042</v>
      </c>
      <c r="B7478" s="334" t="s">
        <v>2625</v>
      </c>
      <c r="C7478" s="348" t="s">
        <v>2626</v>
      </c>
      <c r="D7478" s="334" t="s">
        <v>44</v>
      </c>
      <c r="E7478" s="336">
        <v>43773</v>
      </c>
      <c r="F7478" s="336">
        <v>43772</v>
      </c>
      <c r="G7478" s="399">
        <v>43773</v>
      </c>
      <c r="H7478" s="334" t="s">
        <v>16043</v>
      </c>
      <c r="I7478" s="444">
        <v>13916592876</v>
      </c>
      <c r="J7478" s="348" t="s">
        <v>16044</v>
      </c>
      <c r="K7478" s="452">
        <v>3000</v>
      </c>
      <c r="L7478" s="334">
        <v>10400</v>
      </c>
      <c r="M7478" s="338"/>
      <c r="N7478" s="362">
        <f t="shared" si="255"/>
        <v>10400</v>
      </c>
      <c r="X7478" s="339"/>
    </row>
    <row r="7479" s="330" customFormat="1" ht="15" customHeight="1" spans="1:24">
      <c r="A7479" s="550" t="s">
        <v>11925</v>
      </c>
      <c r="B7479" s="334" t="s">
        <v>58</v>
      </c>
      <c r="C7479" s="348" t="s">
        <v>794</v>
      </c>
      <c r="D7479" s="335" t="s">
        <v>110</v>
      </c>
      <c r="E7479" s="336">
        <v>43773</v>
      </c>
      <c r="F7479" s="336">
        <v>43772</v>
      </c>
      <c r="G7479" s="399"/>
      <c r="H7479" s="334" t="s">
        <v>16045</v>
      </c>
      <c r="I7479" s="444">
        <v>13641683391</v>
      </c>
      <c r="J7479" s="348" t="s">
        <v>16046</v>
      </c>
      <c r="K7479" s="452">
        <v>899</v>
      </c>
      <c r="L7479" s="338"/>
      <c r="M7479" s="338"/>
      <c r="N7479" s="362">
        <f t="shared" si="255"/>
        <v>0</v>
      </c>
      <c r="P7479" s="365"/>
      <c r="Q7479" s="365" t="s">
        <v>52</v>
      </c>
      <c r="V7479" s="471">
        <v>43837</v>
      </c>
      <c r="X7479" s="339"/>
    </row>
    <row r="7480" s="330" customFormat="1" ht="15" customHeight="1" spans="1:24">
      <c r="A7480" s="550" t="s">
        <v>16047</v>
      </c>
      <c r="B7480" s="334" t="s">
        <v>58</v>
      </c>
      <c r="C7480" s="348" t="s">
        <v>794</v>
      </c>
      <c r="D7480" s="334" t="s">
        <v>271</v>
      </c>
      <c r="E7480" s="336">
        <v>43785</v>
      </c>
      <c r="F7480" s="336">
        <v>43772</v>
      </c>
      <c r="G7480" s="336">
        <v>43784</v>
      </c>
      <c r="H7480" s="334" t="s">
        <v>16048</v>
      </c>
      <c r="I7480" s="444">
        <v>16621650551</v>
      </c>
      <c r="J7480" s="348" t="s">
        <v>16049</v>
      </c>
      <c r="K7480" s="452">
        <v>1299</v>
      </c>
      <c r="L7480" s="334">
        <v>13299</v>
      </c>
      <c r="M7480" s="338"/>
      <c r="N7480" s="362">
        <f t="shared" si="255"/>
        <v>13299</v>
      </c>
      <c r="X7480" s="339"/>
    </row>
    <row r="7481" s="330" customFormat="1" ht="15" customHeight="1" spans="1:24">
      <c r="A7481" s="550" t="s">
        <v>847</v>
      </c>
      <c r="B7481" s="334" t="s">
        <v>58</v>
      </c>
      <c r="C7481" s="348" t="s">
        <v>59</v>
      </c>
      <c r="D7481" s="335" t="s">
        <v>271</v>
      </c>
      <c r="E7481" s="336">
        <v>43795</v>
      </c>
      <c r="F7481" s="336">
        <v>43772</v>
      </c>
      <c r="G7481" s="336">
        <v>43794</v>
      </c>
      <c r="H7481" s="334" t="s">
        <v>1122</v>
      </c>
      <c r="I7481" s="444">
        <v>18964811165</v>
      </c>
      <c r="J7481" s="348" t="s">
        <v>16050</v>
      </c>
      <c r="K7481" s="452">
        <v>3997</v>
      </c>
      <c r="L7481" s="334">
        <v>23402</v>
      </c>
      <c r="M7481" s="338"/>
      <c r="N7481" s="362">
        <f t="shared" si="255"/>
        <v>23402</v>
      </c>
      <c r="X7481" s="339"/>
    </row>
    <row r="7482" s="330" customFormat="1" ht="15" customHeight="1" spans="1:24">
      <c r="A7482" s="550" t="s">
        <v>9061</v>
      </c>
      <c r="B7482" s="334" t="s">
        <v>315</v>
      </c>
      <c r="C7482" s="348" t="s">
        <v>161</v>
      </c>
      <c r="D7482" s="334" t="s">
        <v>182</v>
      </c>
      <c r="E7482" s="336">
        <v>43773</v>
      </c>
      <c r="F7482" s="336">
        <v>43773</v>
      </c>
      <c r="G7482" s="399">
        <v>43773</v>
      </c>
      <c r="H7482" s="334" t="s">
        <v>16051</v>
      </c>
      <c r="I7482" s="334">
        <v>13564868057</v>
      </c>
      <c r="J7482" s="348" t="s">
        <v>16052</v>
      </c>
      <c r="K7482" s="334">
        <v>24930</v>
      </c>
      <c r="L7482" s="334">
        <v>24930</v>
      </c>
      <c r="M7482" s="334">
        <v>2483</v>
      </c>
      <c r="N7482" s="362">
        <f t="shared" si="255"/>
        <v>27413</v>
      </c>
      <c r="X7482" s="339"/>
    </row>
    <row r="7483" s="330" customFormat="1" ht="15" customHeight="1" spans="1:24">
      <c r="A7483" s="550" t="s">
        <v>16053</v>
      </c>
      <c r="B7483" s="334" t="s">
        <v>236</v>
      </c>
      <c r="C7483" s="348" t="s">
        <v>703</v>
      </c>
      <c r="D7483" s="334" t="s">
        <v>8334</v>
      </c>
      <c r="E7483" s="336">
        <v>43783</v>
      </c>
      <c r="F7483" s="336">
        <v>43771</v>
      </c>
      <c r="G7483" s="336">
        <v>43782</v>
      </c>
      <c r="H7483" s="334" t="s">
        <v>16054</v>
      </c>
      <c r="I7483" s="444">
        <v>13816761898</v>
      </c>
      <c r="J7483" s="348" t="s">
        <v>16055</v>
      </c>
      <c r="K7483" s="452">
        <v>9596</v>
      </c>
      <c r="L7483" s="334">
        <v>9596</v>
      </c>
      <c r="M7483" s="334">
        <v>1428</v>
      </c>
      <c r="N7483" s="362">
        <f t="shared" si="255"/>
        <v>11024</v>
      </c>
      <c r="X7483" s="339"/>
    </row>
    <row r="7484" s="330" customFormat="1" ht="15" customHeight="1" spans="1:24">
      <c r="A7484" s="550" t="s">
        <v>16056</v>
      </c>
      <c r="B7484" s="334" t="s">
        <v>236</v>
      </c>
      <c r="C7484" s="348" t="s">
        <v>195</v>
      </c>
      <c r="D7484" s="334" t="s">
        <v>8334</v>
      </c>
      <c r="E7484" s="336">
        <v>43783</v>
      </c>
      <c r="F7484" s="336">
        <v>43772</v>
      </c>
      <c r="G7484" s="336">
        <v>43782</v>
      </c>
      <c r="H7484" s="334" t="s">
        <v>16057</v>
      </c>
      <c r="I7484" s="444">
        <v>13358092971</v>
      </c>
      <c r="J7484" s="348" t="s">
        <v>16058</v>
      </c>
      <c r="K7484" s="452">
        <v>4858</v>
      </c>
      <c r="L7484" s="334">
        <v>4858</v>
      </c>
      <c r="M7484" s="338"/>
      <c r="N7484" s="362">
        <f t="shared" si="255"/>
        <v>4858</v>
      </c>
      <c r="X7484" s="339"/>
    </row>
    <row r="7485" s="330" customFormat="1" ht="15" customHeight="1" spans="1:24">
      <c r="A7485" s="550" t="s">
        <v>16059</v>
      </c>
      <c r="B7485" s="334" t="s">
        <v>236</v>
      </c>
      <c r="C7485" s="348" t="s">
        <v>195</v>
      </c>
      <c r="D7485" s="334" t="s">
        <v>207</v>
      </c>
      <c r="E7485" s="336">
        <v>43779</v>
      </c>
      <c r="F7485" s="336">
        <v>43772</v>
      </c>
      <c r="G7485" s="336">
        <v>43775</v>
      </c>
      <c r="H7485" s="334" t="s">
        <v>16060</v>
      </c>
      <c r="I7485" s="444">
        <v>13693560325</v>
      </c>
      <c r="J7485" s="348" t="s">
        <v>16061</v>
      </c>
      <c r="K7485" s="452">
        <v>14212</v>
      </c>
      <c r="L7485" s="334">
        <v>24212</v>
      </c>
      <c r="M7485" s="338"/>
      <c r="N7485" s="362">
        <f t="shared" si="255"/>
        <v>24212</v>
      </c>
      <c r="X7485" s="339"/>
    </row>
    <row r="7486" s="330" customFormat="1" ht="15" customHeight="1" spans="1:24">
      <c r="A7486" s="550" t="s">
        <v>3673</v>
      </c>
      <c r="B7486" s="334" t="s">
        <v>185</v>
      </c>
      <c r="C7486" s="348" t="s">
        <v>886</v>
      </c>
      <c r="D7486" s="334" t="s">
        <v>187</v>
      </c>
      <c r="E7486" s="336">
        <v>43774</v>
      </c>
      <c r="F7486" s="336">
        <v>43772</v>
      </c>
      <c r="G7486" s="399">
        <v>43773</v>
      </c>
      <c r="H7486" s="334" t="s">
        <v>16062</v>
      </c>
      <c r="I7486" s="444">
        <v>15201965334</v>
      </c>
      <c r="J7486" s="348" t="s">
        <v>16063</v>
      </c>
      <c r="K7486" s="452">
        <v>4799</v>
      </c>
      <c r="L7486" s="334">
        <v>4799</v>
      </c>
      <c r="M7486" s="338"/>
      <c r="N7486" s="362">
        <f t="shared" si="255"/>
        <v>4799</v>
      </c>
      <c r="X7486" s="339"/>
    </row>
    <row r="7487" s="330" customFormat="1" ht="15" customHeight="1" spans="1:24">
      <c r="A7487" s="550" t="s">
        <v>14063</v>
      </c>
      <c r="B7487" s="334" t="s">
        <v>236</v>
      </c>
      <c r="C7487" s="348" t="s">
        <v>703</v>
      </c>
      <c r="D7487" s="334" t="s">
        <v>207</v>
      </c>
      <c r="E7487" s="336">
        <v>43821</v>
      </c>
      <c r="F7487" s="336">
        <v>43772</v>
      </c>
      <c r="G7487" s="336">
        <v>43817</v>
      </c>
      <c r="H7487" s="334" t="s">
        <v>16064</v>
      </c>
      <c r="I7487" s="444">
        <v>13818078182</v>
      </c>
      <c r="J7487" s="348" t="s">
        <v>16065</v>
      </c>
      <c r="K7487" s="452">
        <v>4838</v>
      </c>
      <c r="L7487" s="334">
        <v>7369</v>
      </c>
      <c r="M7487" s="338"/>
      <c r="N7487" s="362">
        <f t="shared" si="255"/>
        <v>7369</v>
      </c>
      <c r="X7487" s="339"/>
    </row>
    <row r="7488" s="330" customFormat="1" ht="15" customHeight="1" spans="1:24">
      <c r="A7488" s="550" t="s">
        <v>14295</v>
      </c>
      <c r="B7488" s="334" t="s">
        <v>236</v>
      </c>
      <c r="C7488" s="348" t="s">
        <v>703</v>
      </c>
      <c r="D7488" s="335" t="s">
        <v>125</v>
      </c>
      <c r="E7488" s="336">
        <v>43779</v>
      </c>
      <c r="F7488" s="336">
        <v>43772</v>
      </c>
      <c r="G7488" s="336">
        <v>43777</v>
      </c>
      <c r="H7488" s="334" t="s">
        <v>16066</v>
      </c>
      <c r="I7488" s="444">
        <v>13764096679</v>
      </c>
      <c r="J7488" s="348" t="s">
        <v>16067</v>
      </c>
      <c r="K7488" s="452">
        <v>2000</v>
      </c>
      <c r="L7488" s="334">
        <v>25677</v>
      </c>
      <c r="M7488" s="338"/>
      <c r="N7488" s="362">
        <f t="shared" si="255"/>
        <v>25677</v>
      </c>
      <c r="X7488" s="339"/>
    </row>
    <row r="7489" s="330" customFormat="1" ht="15" customHeight="1" spans="1:24">
      <c r="A7489" s="550" t="s">
        <v>16068</v>
      </c>
      <c r="B7489" s="334" t="s">
        <v>185</v>
      </c>
      <c r="C7489" s="348" t="s">
        <v>4146</v>
      </c>
      <c r="D7489" s="335" t="s">
        <v>187</v>
      </c>
      <c r="E7489" s="336">
        <v>43773</v>
      </c>
      <c r="F7489" s="336">
        <v>43772</v>
      </c>
      <c r="G7489" s="399"/>
      <c r="H7489" s="334" t="s">
        <v>2570</v>
      </c>
      <c r="I7489" s="444">
        <v>15921106942</v>
      </c>
      <c r="J7489" s="348" t="s">
        <v>16069</v>
      </c>
      <c r="K7489" s="452">
        <v>9500</v>
      </c>
      <c r="L7489" s="338"/>
      <c r="M7489" s="338"/>
      <c r="N7489" s="362">
        <f t="shared" si="255"/>
        <v>0</v>
      </c>
      <c r="U7489" s="330" t="s">
        <v>12</v>
      </c>
      <c r="X7489" s="339"/>
    </row>
    <row r="7490" s="330" customFormat="1" ht="15" customHeight="1" spans="1:24">
      <c r="A7490" s="550" t="s">
        <v>6434</v>
      </c>
      <c r="B7490" s="334" t="s">
        <v>31</v>
      </c>
      <c r="C7490" s="348" t="s">
        <v>419</v>
      </c>
      <c r="D7490" s="334" t="s">
        <v>33</v>
      </c>
      <c r="E7490" s="336">
        <v>43798</v>
      </c>
      <c r="F7490" s="336">
        <v>43773</v>
      </c>
      <c r="G7490" s="336">
        <v>43798</v>
      </c>
      <c r="H7490" s="450" t="s">
        <v>16070</v>
      </c>
      <c r="I7490" s="334">
        <v>18901762270</v>
      </c>
      <c r="J7490" s="348" t="s">
        <v>16071</v>
      </c>
      <c r="K7490" s="452">
        <f>12918+200</f>
        <v>13118</v>
      </c>
      <c r="L7490" s="334">
        <v>12918</v>
      </c>
      <c r="M7490" s="338"/>
      <c r="N7490" s="362">
        <f t="shared" si="255"/>
        <v>12918</v>
      </c>
      <c r="X7490" s="339"/>
    </row>
    <row r="7491" s="330" customFormat="1" ht="15" customHeight="1" spans="1:24">
      <c r="A7491" s="550" t="s">
        <v>11845</v>
      </c>
      <c r="B7491" s="334" t="s">
        <v>185</v>
      </c>
      <c r="C7491" s="348" t="s">
        <v>4146</v>
      </c>
      <c r="D7491" s="335" t="s">
        <v>187</v>
      </c>
      <c r="E7491" s="336">
        <v>43799</v>
      </c>
      <c r="F7491" s="336">
        <v>43773</v>
      </c>
      <c r="G7491" s="336">
        <v>43796</v>
      </c>
      <c r="H7491" s="334" t="s">
        <v>16072</v>
      </c>
      <c r="I7491" s="444">
        <v>18616380711</v>
      </c>
      <c r="J7491" s="348" t="s">
        <v>16073</v>
      </c>
      <c r="K7491" s="452">
        <v>1000</v>
      </c>
      <c r="L7491" s="334">
        <f>-2399+14503</f>
        <v>12104</v>
      </c>
      <c r="M7491" s="334">
        <v>2399</v>
      </c>
      <c r="N7491" s="362">
        <f t="shared" si="255"/>
        <v>14503</v>
      </c>
      <c r="X7491" s="339"/>
    </row>
    <row r="7492" s="330" customFormat="1" ht="15" customHeight="1" spans="1:24">
      <c r="A7492" s="550" t="s">
        <v>6209</v>
      </c>
      <c r="B7492" s="334" t="s">
        <v>185</v>
      </c>
      <c r="C7492" s="348" t="s">
        <v>4146</v>
      </c>
      <c r="D7492" s="335" t="s">
        <v>187</v>
      </c>
      <c r="E7492" s="336">
        <v>43773</v>
      </c>
      <c r="F7492" s="336">
        <v>43773</v>
      </c>
      <c r="G7492" s="399"/>
      <c r="H7492" s="334" t="s">
        <v>16074</v>
      </c>
      <c r="I7492" s="444"/>
      <c r="J7492" s="348" t="s">
        <v>16075</v>
      </c>
      <c r="K7492" s="452">
        <v>1000</v>
      </c>
      <c r="L7492" s="338"/>
      <c r="M7492" s="338"/>
      <c r="N7492" s="362">
        <f t="shared" si="255"/>
        <v>0</v>
      </c>
      <c r="U7492" s="471">
        <v>43802</v>
      </c>
      <c r="X7492" s="339"/>
    </row>
    <row r="7493" s="330" customFormat="1" ht="15" customHeight="1" spans="1:24">
      <c r="A7493" s="550" t="s">
        <v>129</v>
      </c>
      <c r="B7493" s="334" t="s">
        <v>66</v>
      </c>
      <c r="C7493" s="348" t="s">
        <v>119</v>
      </c>
      <c r="D7493" s="334" t="s">
        <v>1436</v>
      </c>
      <c r="E7493" s="336">
        <v>43799</v>
      </c>
      <c r="F7493" s="336">
        <v>43773</v>
      </c>
      <c r="G7493" s="336">
        <v>43799</v>
      </c>
      <c r="H7493" s="334" t="s">
        <v>16076</v>
      </c>
      <c r="I7493" s="444">
        <v>13501771448</v>
      </c>
      <c r="J7493" s="348" t="s">
        <v>16077</v>
      </c>
      <c r="K7493" s="452">
        <v>3137</v>
      </c>
      <c r="L7493" s="334">
        <v>3100</v>
      </c>
      <c r="M7493" s="338"/>
      <c r="N7493" s="362">
        <f t="shared" si="255"/>
        <v>3100</v>
      </c>
      <c r="Q7493" s="330" t="s">
        <v>52</v>
      </c>
      <c r="X7493" s="339"/>
    </row>
    <row r="7494" s="330" customFormat="1" ht="15" customHeight="1" spans="1:24">
      <c r="A7494" s="550" t="s">
        <v>5813</v>
      </c>
      <c r="B7494" s="334" t="s">
        <v>137</v>
      </c>
      <c r="C7494" s="348" t="s">
        <v>411</v>
      </c>
      <c r="D7494" s="334" t="s">
        <v>139</v>
      </c>
      <c r="E7494" s="336">
        <v>43799</v>
      </c>
      <c r="F7494" s="336">
        <v>43773</v>
      </c>
      <c r="G7494" s="336">
        <v>43799</v>
      </c>
      <c r="H7494" s="334" t="s">
        <v>16078</v>
      </c>
      <c r="I7494" s="444">
        <v>18644983241</v>
      </c>
      <c r="J7494" s="348" t="s">
        <v>16079</v>
      </c>
      <c r="K7494" s="452">
        <v>10800</v>
      </c>
      <c r="L7494" s="334">
        <v>10800</v>
      </c>
      <c r="M7494" s="338"/>
      <c r="N7494" s="362">
        <f t="shared" si="255"/>
        <v>10800</v>
      </c>
      <c r="R7494" s="330">
        <v>1</v>
      </c>
      <c r="X7494" s="339"/>
    </row>
    <row r="7495" s="330" customFormat="1" ht="15" customHeight="1" spans="1:24">
      <c r="A7495" s="348"/>
      <c r="B7495" s="334" t="s">
        <v>47</v>
      </c>
      <c r="C7495" s="348" t="s">
        <v>53</v>
      </c>
      <c r="D7495" s="335" t="s">
        <v>49</v>
      </c>
      <c r="E7495" s="336">
        <v>43776</v>
      </c>
      <c r="F7495" s="336">
        <v>43773</v>
      </c>
      <c r="G7495" s="336">
        <v>43776</v>
      </c>
      <c r="H7495" s="334" t="s">
        <v>16080</v>
      </c>
      <c r="I7495" s="444">
        <v>15121028241</v>
      </c>
      <c r="J7495" s="348" t="s">
        <v>16081</v>
      </c>
      <c r="K7495" s="452">
        <v>1000</v>
      </c>
      <c r="L7495" s="334">
        <v>11600</v>
      </c>
      <c r="M7495" s="338"/>
      <c r="N7495" s="362">
        <f t="shared" ref="N7495:N7516" si="256">L7495+M7495</f>
        <v>11600</v>
      </c>
      <c r="X7495" s="339"/>
    </row>
    <row r="7496" s="330" customFormat="1" ht="15" customHeight="1" spans="1:24">
      <c r="A7496" s="348"/>
      <c r="B7496" s="334" t="s">
        <v>47</v>
      </c>
      <c r="C7496" s="348" t="s">
        <v>53</v>
      </c>
      <c r="D7496" s="335" t="s">
        <v>49</v>
      </c>
      <c r="E7496" s="336">
        <v>43785</v>
      </c>
      <c r="F7496" s="336">
        <v>43771</v>
      </c>
      <c r="G7496" s="336">
        <v>43785</v>
      </c>
      <c r="H7496" s="334" t="s">
        <v>16082</v>
      </c>
      <c r="I7496" s="444">
        <v>13661957582</v>
      </c>
      <c r="J7496" s="348" t="s">
        <v>16083</v>
      </c>
      <c r="K7496" s="452">
        <v>7416</v>
      </c>
      <c r="L7496" s="334">
        <v>7400</v>
      </c>
      <c r="M7496" s="338"/>
      <c r="N7496" s="362">
        <f t="shared" si="256"/>
        <v>7400</v>
      </c>
      <c r="X7496" s="339"/>
    </row>
    <row r="7497" s="330" customFormat="1" ht="15" customHeight="1" spans="1:24">
      <c r="A7497" s="348">
        <v>2023288</v>
      </c>
      <c r="B7497" s="334" t="s">
        <v>94</v>
      </c>
      <c r="C7497" s="348" t="s">
        <v>101</v>
      </c>
      <c r="D7497" s="334" t="s">
        <v>407</v>
      </c>
      <c r="E7497" s="336">
        <v>43826</v>
      </c>
      <c r="F7497" s="336">
        <v>43772</v>
      </c>
      <c r="G7497" s="336">
        <v>43826</v>
      </c>
      <c r="H7497" s="334" t="s">
        <v>16084</v>
      </c>
      <c r="I7497" s="444">
        <v>13585905039</v>
      </c>
      <c r="J7497" s="348" t="s">
        <v>16085</v>
      </c>
      <c r="K7497" s="452">
        <v>1000</v>
      </c>
      <c r="L7497" s="334">
        <v>100000</v>
      </c>
      <c r="M7497" s="338"/>
      <c r="N7497" s="362">
        <f t="shared" si="256"/>
        <v>100000</v>
      </c>
      <c r="P7497" s="467"/>
      <c r="V7497" s="353">
        <v>12.15</v>
      </c>
      <c r="X7497" s="339"/>
    </row>
    <row r="7498" s="330" customFormat="1" ht="15" customHeight="1" spans="1:24">
      <c r="A7498" s="550" t="s">
        <v>16086</v>
      </c>
      <c r="B7498" s="334" t="s">
        <v>359</v>
      </c>
      <c r="C7498" s="348" t="s">
        <v>3018</v>
      </c>
      <c r="D7498" s="335" t="s">
        <v>361</v>
      </c>
      <c r="E7498" s="336">
        <v>43778</v>
      </c>
      <c r="F7498" s="336">
        <v>43773</v>
      </c>
      <c r="G7498" s="336">
        <v>43778</v>
      </c>
      <c r="H7498" s="334" t="s">
        <v>16087</v>
      </c>
      <c r="I7498" s="444">
        <v>15212010525</v>
      </c>
      <c r="J7498" s="348" t="s">
        <v>16088</v>
      </c>
      <c r="K7498" s="452">
        <v>1000</v>
      </c>
      <c r="L7498" s="334">
        <v>5452</v>
      </c>
      <c r="M7498" s="338"/>
      <c r="N7498" s="362">
        <f t="shared" si="256"/>
        <v>5452</v>
      </c>
      <c r="X7498" s="339"/>
    </row>
    <row r="7499" s="330" customFormat="1" ht="15" customHeight="1" spans="1:24">
      <c r="A7499" s="550" t="s">
        <v>16089</v>
      </c>
      <c r="B7499" s="334" t="s">
        <v>66</v>
      </c>
      <c r="C7499" s="348" t="s">
        <v>7029</v>
      </c>
      <c r="D7499" s="334" t="s">
        <v>68</v>
      </c>
      <c r="E7499" s="336">
        <v>43799</v>
      </c>
      <c r="F7499" s="336">
        <v>43773</v>
      </c>
      <c r="G7499" s="336">
        <v>43799</v>
      </c>
      <c r="H7499" s="334" t="s">
        <v>16090</v>
      </c>
      <c r="I7499" s="444">
        <v>13917477842</v>
      </c>
      <c r="J7499" s="348" t="s">
        <v>16091</v>
      </c>
      <c r="K7499" s="452">
        <v>2940</v>
      </c>
      <c r="L7499" s="334">
        <v>2490</v>
      </c>
      <c r="M7499" s="338"/>
      <c r="N7499" s="362">
        <f t="shared" si="256"/>
        <v>2490</v>
      </c>
      <c r="X7499" s="339"/>
    </row>
    <row r="7500" s="330" customFormat="1" ht="15" customHeight="1" spans="1:24">
      <c r="A7500" s="348" t="s">
        <v>13074</v>
      </c>
      <c r="B7500" s="334" t="s">
        <v>31</v>
      </c>
      <c r="C7500" s="348" t="s">
        <v>220</v>
      </c>
      <c r="D7500" s="334" t="s">
        <v>33</v>
      </c>
      <c r="E7500" s="336">
        <v>43775</v>
      </c>
      <c r="F7500" s="336">
        <v>43773</v>
      </c>
      <c r="G7500" s="336">
        <v>43774</v>
      </c>
      <c r="H7500" s="334" t="s">
        <v>16092</v>
      </c>
      <c r="I7500" s="444">
        <v>13651774450</v>
      </c>
      <c r="J7500" s="348" t="s">
        <v>16093</v>
      </c>
      <c r="K7500" s="452">
        <v>1000</v>
      </c>
      <c r="L7500" s="334">
        <v>2957</v>
      </c>
      <c r="M7500" s="338"/>
      <c r="N7500" s="362">
        <f t="shared" si="256"/>
        <v>2957</v>
      </c>
      <c r="X7500" s="339"/>
    </row>
    <row r="7501" s="330" customFormat="1" ht="15" customHeight="1" spans="1:24">
      <c r="A7501" s="550" t="s">
        <v>16094</v>
      </c>
      <c r="B7501" s="334" t="s">
        <v>137</v>
      </c>
      <c r="C7501" s="348" t="s">
        <v>406</v>
      </c>
      <c r="D7501" s="334" t="s">
        <v>443</v>
      </c>
      <c r="E7501" s="336">
        <v>43774</v>
      </c>
      <c r="F7501" s="336">
        <v>43773</v>
      </c>
      <c r="G7501" s="399">
        <v>43773</v>
      </c>
      <c r="H7501" s="334" t="s">
        <v>16095</v>
      </c>
      <c r="I7501" s="444">
        <v>13127850812</v>
      </c>
      <c r="J7501" s="348" t="s">
        <v>16096</v>
      </c>
      <c r="K7501" s="452">
        <v>25200</v>
      </c>
      <c r="L7501" s="334">
        <v>25200</v>
      </c>
      <c r="M7501" s="338"/>
      <c r="N7501" s="362">
        <f t="shared" si="256"/>
        <v>25200</v>
      </c>
      <c r="X7501" s="339"/>
    </row>
    <row r="7502" s="330" customFormat="1" ht="15" customHeight="1" spans="1:24">
      <c r="A7502" s="550" t="s">
        <v>9230</v>
      </c>
      <c r="B7502" s="334" t="s">
        <v>315</v>
      </c>
      <c r="C7502" s="348" t="s">
        <v>14638</v>
      </c>
      <c r="D7502" s="334" t="s">
        <v>162</v>
      </c>
      <c r="E7502" s="336">
        <v>43791</v>
      </c>
      <c r="F7502" s="336">
        <v>43771</v>
      </c>
      <c r="G7502" s="336">
        <v>43790</v>
      </c>
      <c r="H7502" s="334" t="s">
        <v>16097</v>
      </c>
      <c r="I7502" s="444">
        <v>13901618827</v>
      </c>
      <c r="J7502" s="348" t="s">
        <v>16098</v>
      </c>
      <c r="K7502" s="452">
        <v>1000</v>
      </c>
      <c r="L7502" s="334">
        <v>4515</v>
      </c>
      <c r="M7502" s="338"/>
      <c r="N7502" s="362">
        <f t="shared" si="256"/>
        <v>4515</v>
      </c>
      <c r="X7502" s="339"/>
    </row>
    <row r="7503" s="330" customFormat="1" ht="15" customHeight="1" spans="1:24">
      <c r="A7503" s="550" t="s">
        <v>16099</v>
      </c>
      <c r="B7503" s="334" t="s">
        <v>66</v>
      </c>
      <c r="C7503" s="348" t="s">
        <v>15301</v>
      </c>
      <c r="D7503" s="334" t="s">
        <v>2302</v>
      </c>
      <c r="E7503" s="336">
        <v>43786</v>
      </c>
      <c r="F7503" s="336">
        <v>43773</v>
      </c>
      <c r="G7503" s="336">
        <v>43785</v>
      </c>
      <c r="H7503" s="334" t="s">
        <v>3532</v>
      </c>
      <c r="I7503" s="444">
        <v>15921585977</v>
      </c>
      <c r="J7503" s="348" t="s">
        <v>16100</v>
      </c>
      <c r="K7503" s="452">
        <v>4759</v>
      </c>
      <c r="L7503" s="334">
        <v>4883</v>
      </c>
      <c r="M7503" s="338"/>
      <c r="N7503" s="362">
        <f t="shared" si="256"/>
        <v>4883</v>
      </c>
      <c r="X7503" s="339"/>
    </row>
    <row r="7504" s="330" customFormat="1" ht="15" customHeight="1" spans="1:24">
      <c r="A7504" s="550" t="s">
        <v>13200</v>
      </c>
      <c r="B7504" s="334" t="s">
        <v>4009</v>
      </c>
      <c r="C7504" s="348" t="s">
        <v>14771</v>
      </c>
      <c r="D7504" s="334" t="s">
        <v>207</v>
      </c>
      <c r="E7504" s="336">
        <v>43808</v>
      </c>
      <c r="F7504" s="336">
        <v>43773</v>
      </c>
      <c r="G7504" s="336">
        <v>43773</v>
      </c>
      <c r="H7504" s="334" t="s">
        <v>16101</v>
      </c>
      <c r="I7504" s="444">
        <v>18501786208</v>
      </c>
      <c r="J7504" s="348" t="s">
        <v>16102</v>
      </c>
      <c r="K7504" s="452">
        <v>5540</v>
      </c>
      <c r="L7504" s="334">
        <v>5540</v>
      </c>
      <c r="M7504" s="338"/>
      <c r="N7504" s="362">
        <f t="shared" si="256"/>
        <v>5540</v>
      </c>
      <c r="X7504" s="339"/>
    </row>
    <row r="7505" s="330" customFormat="1" ht="15" customHeight="1" spans="1:24">
      <c r="A7505" s="348"/>
      <c r="B7505" s="348" t="s">
        <v>5336</v>
      </c>
      <c r="C7505" s="348" t="s">
        <v>5336</v>
      </c>
      <c r="D7505" s="334" t="s">
        <v>8334</v>
      </c>
      <c r="E7505" s="336">
        <v>43782</v>
      </c>
      <c r="F7505" s="336">
        <v>43773</v>
      </c>
      <c r="G7505" s="336">
        <v>43782</v>
      </c>
      <c r="H7505" s="334" t="s">
        <v>16103</v>
      </c>
      <c r="I7505" s="444">
        <v>18017211180</v>
      </c>
      <c r="J7505" s="348" t="s">
        <v>16104</v>
      </c>
      <c r="K7505" s="452">
        <v>7465</v>
      </c>
      <c r="L7505" s="334">
        <v>14352</v>
      </c>
      <c r="M7505" s="338"/>
      <c r="N7505" s="362">
        <f t="shared" si="256"/>
        <v>14352</v>
      </c>
      <c r="X7505" s="339"/>
    </row>
    <row r="7506" s="330" customFormat="1" ht="15" customHeight="1" spans="1:24">
      <c r="A7506" s="550" t="s">
        <v>9234</v>
      </c>
      <c r="B7506" s="334" t="s">
        <v>315</v>
      </c>
      <c r="C7506" s="348" t="s">
        <v>722</v>
      </c>
      <c r="D7506" s="335" t="s">
        <v>132</v>
      </c>
      <c r="E7506" s="336">
        <v>43773</v>
      </c>
      <c r="F7506" s="336">
        <v>43773</v>
      </c>
      <c r="G7506" s="399" t="s">
        <v>231</v>
      </c>
      <c r="H7506" s="334" t="s">
        <v>16105</v>
      </c>
      <c r="I7506" s="444">
        <v>1647760506</v>
      </c>
      <c r="J7506" s="348" t="s">
        <v>16106</v>
      </c>
      <c r="K7506" s="452">
        <v>1000</v>
      </c>
      <c r="L7506" s="338"/>
      <c r="M7506" s="338"/>
      <c r="N7506" s="362">
        <f t="shared" si="256"/>
        <v>0</v>
      </c>
      <c r="O7506" s="330">
        <v>1</v>
      </c>
      <c r="X7506" s="339"/>
    </row>
    <row r="7507" s="330" customFormat="1" ht="15" customHeight="1" spans="1:24">
      <c r="A7507" s="550" t="s">
        <v>11600</v>
      </c>
      <c r="B7507" s="334" t="s">
        <v>185</v>
      </c>
      <c r="C7507" s="348" t="s">
        <v>186</v>
      </c>
      <c r="D7507" s="335" t="s">
        <v>187</v>
      </c>
      <c r="E7507" s="336">
        <v>43784</v>
      </c>
      <c r="F7507" s="336">
        <v>43773</v>
      </c>
      <c r="G7507" s="336">
        <v>43782</v>
      </c>
      <c r="H7507" s="334" t="s">
        <v>16107</v>
      </c>
      <c r="I7507" s="444">
        <v>13818765883</v>
      </c>
      <c r="J7507" s="348" t="s">
        <v>16108</v>
      </c>
      <c r="K7507" s="452">
        <v>1000</v>
      </c>
      <c r="L7507" s="334">
        <f>-1290+9886</f>
        <v>8596</v>
      </c>
      <c r="M7507" s="334">
        <v>1290</v>
      </c>
      <c r="N7507" s="362">
        <f t="shared" si="256"/>
        <v>9886</v>
      </c>
      <c r="X7507" s="339"/>
    </row>
    <row r="7508" s="330" customFormat="1" ht="15" customHeight="1" spans="1:24">
      <c r="A7508" s="550" t="s">
        <v>16109</v>
      </c>
      <c r="B7508" s="334" t="s">
        <v>315</v>
      </c>
      <c r="C7508" s="334" t="s">
        <v>161</v>
      </c>
      <c r="D7508" s="334" t="s">
        <v>162</v>
      </c>
      <c r="E7508" s="336">
        <v>43773</v>
      </c>
      <c r="F7508" s="336">
        <v>43773</v>
      </c>
      <c r="G7508" s="399">
        <v>43773</v>
      </c>
      <c r="H7508" s="334" t="s">
        <v>9845</v>
      </c>
      <c r="I7508" s="334">
        <v>15000361323</v>
      </c>
      <c r="J7508" s="348" t="s">
        <v>16110</v>
      </c>
      <c r="K7508" s="452">
        <v>8495</v>
      </c>
      <c r="L7508" s="334">
        <v>8495</v>
      </c>
      <c r="M7508" s="334">
        <f>3184+1680</f>
        <v>4864</v>
      </c>
      <c r="N7508" s="362">
        <f t="shared" si="256"/>
        <v>13359</v>
      </c>
      <c r="X7508" s="339"/>
    </row>
    <row r="7509" s="330" customFormat="1" ht="15" customHeight="1" spans="1:24">
      <c r="A7509" s="550" t="s">
        <v>16111</v>
      </c>
      <c r="B7509" s="334" t="s">
        <v>6313</v>
      </c>
      <c r="C7509" s="348" t="s">
        <v>7818</v>
      </c>
      <c r="D7509" s="334" t="s">
        <v>7871</v>
      </c>
      <c r="E7509" s="336">
        <v>43774</v>
      </c>
      <c r="F7509" s="336">
        <v>43764</v>
      </c>
      <c r="G7509" s="399">
        <v>43769</v>
      </c>
      <c r="H7509" s="334" t="s">
        <v>16112</v>
      </c>
      <c r="I7509" s="444">
        <v>18621500705</v>
      </c>
      <c r="J7509" s="348" t="s">
        <v>16113</v>
      </c>
      <c r="K7509" s="452">
        <v>1000</v>
      </c>
      <c r="L7509" s="334">
        <v>11000</v>
      </c>
      <c r="M7509" s="338"/>
      <c r="N7509" s="362">
        <f t="shared" si="256"/>
        <v>11000</v>
      </c>
      <c r="X7509" s="339"/>
    </row>
    <row r="7510" s="330" customFormat="1" ht="15" customHeight="1" spans="1:24">
      <c r="A7510" s="550" t="s">
        <v>16114</v>
      </c>
      <c r="B7510" s="334" t="s">
        <v>315</v>
      </c>
      <c r="C7510" s="348" t="s">
        <v>161</v>
      </c>
      <c r="D7510" s="335" t="s">
        <v>162</v>
      </c>
      <c r="E7510" s="336">
        <v>43774</v>
      </c>
      <c r="F7510" s="336">
        <v>43743</v>
      </c>
      <c r="G7510" s="399" t="s">
        <v>231</v>
      </c>
      <c r="H7510" s="334" t="s">
        <v>16115</v>
      </c>
      <c r="I7510" s="444">
        <v>13916791517</v>
      </c>
      <c r="J7510" s="348" t="s">
        <v>16116</v>
      </c>
      <c r="K7510" s="452">
        <v>3702</v>
      </c>
      <c r="L7510" s="338"/>
      <c r="M7510" s="338"/>
      <c r="N7510" s="362">
        <f t="shared" si="256"/>
        <v>0</v>
      </c>
      <c r="O7510" s="330">
        <v>1</v>
      </c>
      <c r="X7510" s="339"/>
    </row>
    <row r="7511" s="330" customFormat="1" ht="15" customHeight="1" spans="1:24">
      <c r="A7511" s="550" t="s">
        <v>16117</v>
      </c>
      <c r="B7511" s="334" t="s">
        <v>31</v>
      </c>
      <c r="C7511" s="348" t="s">
        <v>2716</v>
      </c>
      <c r="D7511" s="335" t="s">
        <v>33</v>
      </c>
      <c r="E7511" s="336">
        <v>43774</v>
      </c>
      <c r="F7511" s="336">
        <v>43774</v>
      </c>
      <c r="G7511" s="399"/>
      <c r="H7511" s="334" t="s">
        <v>9018</v>
      </c>
      <c r="I7511" s="444">
        <v>13801716958</v>
      </c>
      <c r="J7511" s="348" t="s">
        <v>16118</v>
      </c>
      <c r="K7511" s="452">
        <v>1000</v>
      </c>
      <c r="L7511" s="338"/>
      <c r="M7511" s="338"/>
      <c r="N7511" s="362">
        <f t="shared" si="256"/>
        <v>0</v>
      </c>
      <c r="O7511" s="467" t="s">
        <v>52</v>
      </c>
      <c r="X7511" s="339"/>
    </row>
    <row r="7512" s="330" customFormat="1" ht="15" customHeight="1" spans="1:24">
      <c r="A7512" s="550" t="s">
        <v>16119</v>
      </c>
      <c r="B7512" s="334" t="s">
        <v>405</v>
      </c>
      <c r="C7512" s="348" t="s">
        <v>14070</v>
      </c>
      <c r="D7512" s="335" t="s">
        <v>407</v>
      </c>
      <c r="E7512" s="336">
        <v>43774</v>
      </c>
      <c r="F7512" s="336">
        <v>43772</v>
      </c>
      <c r="G7512" s="399"/>
      <c r="H7512" s="334" t="s">
        <v>12028</v>
      </c>
      <c r="I7512" s="444">
        <v>13917120271</v>
      </c>
      <c r="J7512" s="348" t="s">
        <v>16120</v>
      </c>
      <c r="K7512" s="452">
        <v>1000</v>
      </c>
      <c r="L7512" s="338"/>
      <c r="M7512" s="338"/>
      <c r="N7512" s="362">
        <f t="shared" si="256"/>
        <v>0</v>
      </c>
      <c r="O7512" s="502" t="s">
        <v>52</v>
      </c>
      <c r="P7512" s="502"/>
      <c r="X7512" s="339"/>
    </row>
    <row r="7513" s="330" customFormat="1" ht="15" customHeight="1" spans="1:24">
      <c r="A7513" s="550" t="s">
        <v>4786</v>
      </c>
      <c r="B7513" s="334" t="s">
        <v>185</v>
      </c>
      <c r="C7513" s="348" t="s">
        <v>186</v>
      </c>
      <c r="D7513" s="335" t="s">
        <v>187</v>
      </c>
      <c r="E7513" s="336">
        <v>43774</v>
      </c>
      <c r="F7513" s="336">
        <v>43771</v>
      </c>
      <c r="G7513" s="399"/>
      <c r="H7513" s="334" t="s">
        <v>16121</v>
      </c>
      <c r="I7513" s="444">
        <v>15901613885</v>
      </c>
      <c r="J7513" s="348" t="s">
        <v>16122</v>
      </c>
      <c r="K7513" s="452">
        <v>2000</v>
      </c>
      <c r="L7513" s="338"/>
      <c r="M7513" s="338"/>
      <c r="N7513" s="362">
        <f t="shared" si="256"/>
        <v>0</v>
      </c>
      <c r="Q7513" s="467" t="s">
        <v>52</v>
      </c>
      <c r="X7513" s="339"/>
    </row>
    <row r="7514" s="330" customFormat="1" ht="15" customHeight="1" spans="1:24">
      <c r="A7514" s="348">
        <v>202467</v>
      </c>
      <c r="B7514" s="334" t="s">
        <v>335</v>
      </c>
      <c r="C7514" s="348" t="s">
        <v>615</v>
      </c>
      <c r="D7514" s="334" t="s">
        <v>427</v>
      </c>
      <c r="E7514" s="336">
        <v>43774</v>
      </c>
      <c r="F7514" s="336">
        <v>43772</v>
      </c>
      <c r="G7514" s="399">
        <v>43773</v>
      </c>
      <c r="H7514" s="334" t="s">
        <v>16123</v>
      </c>
      <c r="I7514" s="334">
        <v>13816955776</v>
      </c>
      <c r="J7514" s="348" t="s">
        <v>16124</v>
      </c>
      <c r="K7514" s="452">
        <v>23400</v>
      </c>
      <c r="L7514" s="334">
        <v>23400</v>
      </c>
      <c r="M7514" s="338"/>
      <c r="N7514" s="362">
        <f t="shared" si="256"/>
        <v>23400</v>
      </c>
      <c r="X7514" s="339"/>
    </row>
    <row r="7515" s="330" customFormat="1" ht="15" customHeight="1" spans="1:24">
      <c r="A7515" s="348">
        <v>2024265</v>
      </c>
      <c r="B7515" s="334" t="s">
        <v>335</v>
      </c>
      <c r="C7515" s="334" t="s">
        <v>615</v>
      </c>
      <c r="D7515" s="334" t="s">
        <v>337</v>
      </c>
      <c r="E7515" s="336">
        <v>43774</v>
      </c>
      <c r="F7515" s="336">
        <v>43773</v>
      </c>
      <c r="G7515" s="399">
        <v>43773</v>
      </c>
      <c r="H7515" s="334" t="s">
        <v>16125</v>
      </c>
      <c r="I7515" s="334">
        <v>13817525290</v>
      </c>
      <c r="J7515" s="348" t="s">
        <v>16126</v>
      </c>
      <c r="K7515" s="452">
        <v>999</v>
      </c>
      <c r="L7515" s="334">
        <v>2134</v>
      </c>
      <c r="M7515" s="338"/>
      <c r="N7515" s="362">
        <f t="shared" si="256"/>
        <v>2134</v>
      </c>
      <c r="X7515" s="339"/>
    </row>
    <row r="7516" s="330" customFormat="1" ht="15" customHeight="1" spans="1:24">
      <c r="A7516" s="550" t="s">
        <v>13305</v>
      </c>
      <c r="B7516" s="334" t="s">
        <v>35</v>
      </c>
      <c r="C7516" s="334" t="s">
        <v>392</v>
      </c>
      <c r="D7516" s="335" t="s">
        <v>37</v>
      </c>
      <c r="E7516" s="336">
        <v>43826</v>
      </c>
      <c r="F7516" s="336">
        <v>43773</v>
      </c>
      <c r="G7516" s="336">
        <v>43824</v>
      </c>
      <c r="H7516" s="334" t="s">
        <v>16127</v>
      </c>
      <c r="I7516" s="334">
        <v>17717422125</v>
      </c>
      <c r="J7516" s="348" t="s">
        <v>16128</v>
      </c>
      <c r="K7516" s="452">
        <f>16000+1000</f>
        <v>17000</v>
      </c>
      <c r="L7516" s="334">
        <v>17000</v>
      </c>
      <c r="M7516" s="338"/>
      <c r="N7516" s="362">
        <f t="shared" si="256"/>
        <v>17000</v>
      </c>
      <c r="X7516" s="339"/>
    </row>
    <row r="7517" s="330" customFormat="1" ht="15" customHeight="1" spans="1:24">
      <c r="A7517" s="550" t="s">
        <v>16129</v>
      </c>
      <c r="B7517" s="334" t="s">
        <v>35</v>
      </c>
      <c r="C7517" s="334" t="s">
        <v>36</v>
      </c>
      <c r="D7517" s="335" t="s">
        <v>37</v>
      </c>
      <c r="E7517" s="336">
        <v>43774</v>
      </c>
      <c r="F7517" s="336">
        <v>43771</v>
      </c>
      <c r="G7517" s="399"/>
      <c r="H7517" s="334" t="s">
        <v>16130</v>
      </c>
      <c r="I7517" s="444">
        <v>13045688153</v>
      </c>
      <c r="J7517" s="348" t="s">
        <v>16131</v>
      </c>
      <c r="K7517" s="452">
        <v>1000</v>
      </c>
      <c r="L7517" s="338"/>
      <c r="M7517" s="338"/>
      <c r="N7517" s="362">
        <f t="shared" ref="N7517:N7539" si="257">L7517+M7517</f>
        <v>0</v>
      </c>
      <c r="O7517" s="356" t="s">
        <v>52</v>
      </c>
      <c r="X7517" s="339"/>
    </row>
    <row r="7518" s="330" customFormat="1" ht="15" customHeight="1" spans="1:24">
      <c r="A7518" s="550" t="s">
        <v>7238</v>
      </c>
      <c r="B7518" s="334" t="s">
        <v>31</v>
      </c>
      <c r="C7518" s="348" t="s">
        <v>2716</v>
      </c>
      <c r="D7518" s="335" t="s">
        <v>33</v>
      </c>
      <c r="E7518" s="336">
        <v>43774</v>
      </c>
      <c r="F7518" s="336">
        <v>43773</v>
      </c>
      <c r="G7518" s="399"/>
      <c r="H7518" s="334" t="s">
        <v>16132</v>
      </c>
      <c r="I7518" s="444">
        <v>15050410899</v>
      </c>
      <c r="J7518" s="348" t="s">
        <v>16133</v>
      </c>
      <c r="K7518" s="452">
        <v>1000</v>
      </c>
      <c r="L7518" s="338"/>
      <c r="M7518" s="338"/>
      <c r="N7518" s="362">
        <f t="shared" si="257"/>
        <v>0</v>
      </c>
      <c r="P7518" s="467" t="s">
        <v>52</v>
      </c>
      <c r="X7518" s="339"/>
    </row>
    <row r="7519" s="330" customFormat="1" ht="15" customHeight="1" spans="1:24">
      <c r="A7519" s="348"/>
      <c r="B7519" s="334" t="s">
        <v>354</v>
      </c>
      <c r="C7519" s="348" t="s">
        <v>355</v>
      </c>
      <c r="D7519" s="334" t="s">
        <v>162</v>
      </c>
      <c r="E7519" s="336">
        <v>43774</v>
      </c>
      <c r="F7519" s="336">
        <v>43772</v>
      </c>
      <c r="G7519" s="399">
        <v>43774</v>
      </c>
      <c r="H7519" s="334" t="s">
        <v>16134</v>
      </c>
      <c r="I7519" s="444">
        <v>15618067916</v>
      </c>
      <c r="J7519" s="348" t="s">
        <v>16135</v>
      </c>
      <c r="K7519" s="452">
        <v>6569</v>
      </c>
      <c r="L7519" s="334">
        <v>7218</v>
      </c>
      <c r="M7519" s="338"/>
      <c r="N7519" s="362">
        <f t="shared" si="257"/>
        <v>7218</v>
      </c>
      <c r="X7519" s="339"/>
    </row>
    <row r="7520" s="330" customFormat="1" ht="15" customHeight="1" spans="1:24">
      <c r="A7520" s="348">
        <v>2024264</v>
      </c>
      <c r="B7520" s="334" t="s">
        <v>335</v>
      </c>
      <c r="C7520" s="348" t="s">
        <v>615</v>
      </c>
      <c r="D7520" s="334" t="s">
        <v>337</v>
      </c>
      <c r="E7520" s="336">
        <v>43781</v>
      </c>
      <c r="F7520" s="336">
        <v>43773</v>
      </c>
      <c r="G7520" s="336">
        <v>43779</v>
      </c>
      <c r="H7520" s="334" t="s">
        <v>16136</v>
      </c>
      <c r="I7520" s="444">
        <v>13916312871</v>
      </c>
      <c r="J7520" s="348" t="s">
        <v>16137</v>
      </c>
      <c r="K7520" s="452">
        <v>99</v>
      </c>
      <c r="L7520" s="334">
        <v>24726</v>
      </c>
      <c r="M7520" s="338"/>
      <c r="N7520" s="362">
        <f t="shared" si="257"/>
        <v>24726</v>
      </c>
      <c r="X7520" s="339"/>
    </row>
    <row r="7521" s="330" customFormat="1" ht="15" customHeight="1" spans="1:24">
      <c r="A7521" s="348">
        <v>2023336</v>
      </c>
      <c r="B7521" s="334" t="s">
        <v>243</v>
      </c>
      <c r="C7521" s="348" t="s">
        <v>309</v>
      </c>
      <c r="D7521" s="335" t="s">
        <v>49</v>
      </c>
      <c r="E7521" s="336">
        <v>43836</v>
      </c>
      <c r="F7521" s="336">
        <v>43774</v>
      </c>
      <c r="G7521" s="336">
        <v>43835</v>
      </c>
      <c r="H7521" s="334" t="s">
        <v>16138</v>
      </c>
      <c r="I7521" s="444">
        <v>13601668237</v>
      </c>
      <c r="J7521" s="348" t="s">
        <v>16139</v>
      </c>
      <c r="K7521" s="452">
        <v>1000</v>
      </c>
      <c r="L7521" s="334">
        <v>9252</v>
      </c>
      <c r="M7521" s="338"/>
      <c r="N7521" s="362">
        <f t="shared" si="257"/>
        <v>9252</v>
      </c>
      <c r="Q7521" s="356" t="s">
        <v>52</v>
      </c>
      <c r="X7521" s="339"/>
    </row>
    <row r="7522" s="330" customFormat="1" ht="15" customHeight="1" spans="1:24">
      <c r="A7522" s="550" t="s">
        <v>16140</v>
      </c>
      <c r="B7522" s="334" t="s">
        <v>153</v>
      </c>
      <c r="C7522" s="348" t="s">
        <v>154</v>
      </c>
      <c r="D7522" s="335" t="s">
        <v>155</v>
      </c>
      <c r="E7522" s="336">
        <v>43828</v>
      </c>
      <c r="F7522" s="336">
        <v>43774</v>
      </c>
      <c r="G7522" s="336">
        <v>43827</v>
      </c>
      <c r="H7522" s="334" t="s">
        <v>16141</v>
      </c>
      <c r="I7522" s="444">
        <v>15900505932</v>
      </c>
      <c r="J7522" s="348" t="s">
        <v>16142</v>
      </c>
      <c r="K7522" s="452">
        <v>3000</v>
      </c>
      <c r="L7522" s="334">
        <v>16400</v>
      </c>
      <c r="M7522" s="338"/>
      <c r="N7522" s="362">
        <f t="shared" si="257"/>
        <v>16400</v>
      </c>
      <c r="V7522" s="353" t="s">
        <v>16143</v>
      </c>
      <c r="X7522" s="339"/>
    </row>
    <row r="7523" s="330" customFormat="1" ht="15" customHeight="1" spans="1:24">
      <c r="A7523" s="550" t="s">
        <v>1240</v>
      </c>
      <c r="B7523" s="334" t="s">
        <v>31</v>
      </c>
      <c r="C7523" s="348" t="s">
        <v>220</v>
      </c>
      <c r="D7523" s="334" t="s">
        <v>954</v>
      </c>
      <c r="E7523" s="336">
        <v>43823</v>
      </c>
      <c r="F7523" s="336">
        <v>43774</v>
      </c>
      <c r="G7523" s="336">
        <v>43823</v>
      </c>
      <c r="H7523" s="334" t="s">
        <v>14451</v>
      </c>
      <c r="I7523" s="444">
        <v>13601982791</v>
      </c>
      <c r="J7523" s="348" t="s">
        <v>16144</v>
      </c>
      <c r="K7523" s="452">
        <v>12800</v>
      </c>
      <c r="L7523" s="334">
        <v>12800</v>
      </c>
      <c r="M7523" s="338"/>
      <c r="N7523" s="362">
        <f t="shared" si="257"/>
        <v>12800</v>
      </c>
      <c r="X7523" s="339"/>
    </row>
    <row r="7524" s="330" customFormat="1" ht="15" customHeight="1" spans="1:24">
      <c r="A7524" s="550" t="s">
        <v>16145</v>
      </c>
      <c r="B7524" s="334" t="s">
        <v>66</v>
      </c>
      <c r="C7524" s="348" t="s">
        <v>119</v>
      </c>
      <c r="D7524" s="335" t="s">
        <v>68</v>
      </c>
      <c r="E7524" s="336">
        <v>43774</v>
      </c>
      <c r="F7524" s="336">
        <v>43774</v>
      </c>
      <c r="G7524" s="399"/>
      <c r="H7524" s="334" t="s">
        <v>16146</v>
      </c>
      <c r="I7524" s="444">
        <v>13817076511</v>
      </c>
      <c r="J7524" s="348" t="s">
        <v>16147</v>
      </c>
      <c r="K7524" s="452">
        <v>6175</v>
      </c>
      <c r="L7524" s="338"/>
      <c r="M7524" s="338"/>
      <c r="N7524" s="362">
        <f t="shared" si="257"/>
        <v>0</v>
      </c>
      <c r="U7524" s="330" t="s">
        <v>12</v>
      </c>
      <c r="X7524" s="339"/>
    </row>
    <row r="7525" s="330" customFormat="1" ht="15" customHeight="1" spans="1:24">
      <c r="A7525" s="550" t="s">
        <v>4765</v>
      </c>
      <c r="B7525" s="334" t="s">
        <v>185</v>
      </c>
      <c r="C7525" s="348" t="s">
        <v>886</v>
      </c>
      <c r="D7525" s="334" t="s">
        <v>187</v>
      </c>
      <c r="E7525" s="336">
        <v>43779</v>
      </c>
      <c r="F7525" s="336">
        <v>43773</v>
      </c>
      <c r="G7525" s="336">
        <v>43778</v>
      </c>
      <c r="H7525" s="334" t="s">
        <v>16148</v>
      </c>
      <c r="I7525" s="444">
        <v>18717978815</v>
      </c>
      <c r="J7525" s="348" t="s">
        <v>16149</v>
      </c>
      <c r="K7525" s="452">
        <v>2000</v>
      </c>
      <c r="L7525" s="334">
        <f>-1290+15485</f>
        <v>14195</v>
      </c>
      <c r="M7525" s="334">
        <v>1290</v>
      </c>
      <c r="N7525" s="362">
        <f t="shared" si="257"/>
        <v>15485</v>
      </c>
      <c r="X7525" s="339"/>
    </row>
    <row r="7526" s="330" customFormat="1" ht="15" customHeight="1" spans="1:24">
      <c r="A7526" s="550" t="s">
        <v>7125</v>
      </c>
      <c r="B7526" s="334" t="s">
        <v>31</v>
      </c>
      <c r="C7526" s="348" t="s">
        <v>220</v>
      </c>
      <c r="D7526" s="334" t="s">
        <v>954</v>
      </c>
      <c r="E7526" s="336">
        <v>43785</v>
      </c>
      <c r="F7526" s="336">
        <v>43772</v>
      </c>
      <c r="G7526" s="336">
        <v>43785</v>
      </c>
      <c r="H7526" s="334" t="s">
        <v>16150</v>
      </c>
      <c r="I7526" s="444">
        <v>13816270283</v>
      </c>
      <c r="J7526" s="348" t="s">
        <v>16151</v>
      </c>
      <c r="K7526" s="452">
        <v>14928</v>
      </c>
      <c r="L7526" s="334">
        <v>11570</v>
      </c>
      <c r="M7526" s="338"/>
      <c r="N7526" s="362">
        <f t="shared" si="257"/>
        <v>11570</v>
      </c>
      <c r="X7526" s="339"/>
    </row>
    <row r="7527" s="330" customFormat="1" ht="15" customHeight="1" spans="1:24">
      <c r="A7527" s="348"/>
      <c r="B7527" s="334" t="s">
        <v>35</v>
      </c>
      <c r="C7527" s="348" t="s">
        <v>328</v>
      </c>
      <c r="D7527" s="335" t="s">
        <v>37</v>
      </c>
      <c r="E7527" s="336">
        <v>43774</v>
      </c>
      <c r="F7527" s="336">
        <v>43773</v>
      </c>
      <c r="G7527" s="350" t="s">
        <v>69</v>
      </c>
      <c r="H7527" s="334" t="s">
        <v>16152</v>
      </c>
      <c r="I7527" s="444">
        <v>18613580673</v>
      </c>
      <c r="J7527" s="348" t="s">
        <v>16153</v>
      </c>
      <c r="K7527" s="452">
        <v>1000</v>
      </c>
      <c r="L7527" s="338"/>
      <c r="M7527" s="338"/>
      <c r="N7527" s="362">
        <f t="shared" si="257"/>
        <v>0</v>
      </c>
      <c r="Q7527" s="356" t="s">
        <v>52</v>
      </c>
      <c r="X7527" s="339"/>
    </row>
    <row r="7528" s="330" customFormat="1" ht="15" customHeight="1" spans="1:24">
      <c r="A7528" s="550" t="s">
        <v>16154</v>
      </c>
      <c r="B7528" s="334" t="s">
        <v>58</v>
      </c>
      <c r="C7528" s="348" t="s">
        <v>342</v>
      </c>
      <c r="D7528" s="335" t="s">
        <v>343</v>
      </c>
      <c r="E7528" s="336">
        <v>43791</v>
      </c>
      <c r="F7528" s="336">
        <v>43773</v>
      </c>
      <c r="G7528" s="336">
        <v>43790</v>
      </c>
      <c r="H7528" s="334" t="s">
        <v>16155</v>
      </c>
      <c r="I7528" s="444">
        <v>13801700396</v>
      </c>
      <c r="J7528" s="348" t="s">
        <v>16156</v>
      </c>
      <c r="K7528" s="452">
        <v>3434</v>
      </c>
      <c r="L7528" s="334">
        <v>3792</v>
      </c>
      <c r="M7528" s="338"/>
      <c r="N7528" s="362">
        <f t="shared" si="257"/>
        <v>3792</v>
      </c>
      <c r="P7528" s="365" t="s">
        <v>52</v>
      </c>
      <c r="X7528" s="339"/>
    </row>
    <row r="7529" s="330" customFormat="1" ht="15" customHeight="1" spans="1:24">
      <c r="A7529" s="550" t="s">
        <v>13512</v>
      </c>
      <c r="B7529" s="334" t="s">
        <v>4009</v>
      </c>
      <c r="C7529" s="348" t="s">
        <v>6401</v>
      </c>
      <c r="D7529" s="334" t="s">
        <v>237</v>
      </c>
      <c r="E7529" s="336">
        <v>43774</v>
      </c>
      <c r="F7529" s="336">
        <v>43772</v>
      </c>
      <c r="G7529" s="399">
        <v>43772</v>
      </c>
      <c r="H7529" s="334" t="s">
        <v>16157</v>
      </c>
      <c r="I7529" s="444">
        <v>15150400807</v>
      </c>
      <c r="J7529" s="348" t="s">
        <v>16158</v>
      </c>
      <c r="K7529" s="452">
        <v>10450</v>
      </c>
      <c r="L7529" s="334">
        <v>10450</v>
      </c>
      <c r="M7529" s="338"/>
      <c r="N7529" s="362">
        <f t="shared" si="257"/>
        <v>10450</v>
      </c>
      <c r="X7529" s="339"/>
    </row>
    <row r="7530" s="330" customFormat="1" ht="15" customHeight="1" spans="1:24">
      <c r="A7530" s="550" t="s">
        <v>16159</v>
      </c>
      <c r="B7530" s="334" t="s">
        <v>726</v>
      </c>
      <c r="C7530" s="348" t="s">
        <v>12699</v>
      </c>
      <c r="D7530" s="335" t="s">
        <v>149</v>
      </c>
      <c r="E7530" s="336">
        <v>43774</v>
      </c>
      <c r="F7530" s="336">
        <v>43773</v>
      </c>
      <c r="G7530" s="353" t="s">
        <v>16160</v>
      </c>
      <c r="H7530" s="334" t="s">
        <v>10034</v>
      </c>
      <c r="I7530" s="444"/>
      <c r="J7530" s="348" t="s">
        <v>16161</v>
      </c>
      <c r="K7530" s="452">
        <v>3998</v>
      </c>
      <c r="L7530" s="338"/>
      <c r="M7530" s="338"/>
      <c r="N7530" s="362">
        <f t="shared" si="257"/>
        <v>0</v>
      </c>
      <c r="X7530" s="339"/>
    </row>
    <row r="7531" s="330" customFormat="1" ht="15" customHeight="1" spans="1:24">
      <c r="A7531" s="550" t="s">
        <v>7402</v>
      </c>
      <c r="B7531" s="334" t="s">
        <v>31</v>
      </c>
      <c r="C7531" s="348" t="s">
        <v>419</v>
      </c>
      <c r="D7531" s="335" t="s">
        <v>221</v>
      </c>
      <c r="E7531" s="336">
        <v>43794</v>
      </c>
      <c r="F7531" s="336">
        <v>43774</v>
      </c>
      <c r="G7531" s="336">
        <v>43794</v>
      </c>
      <c r="H7531" s="334" t="s">
        <v>16162</v>
      </c>
      <c r="I7531" s="444">
        <v>13621844650</v>
      </c>
      <c r="J7531" s="348" t="s">
        <v>16163</v>
      </c>
      <c r="K7531" s="452">
        <v>5259</v>
      </c>
      <c r="L7531" s="334">
        <v>9559</v>
      </c>
      <c r="M7531" s="338"/>
      <c r="N7531" s="362">
        <f t="shared" si="257"/>
        <v>9559</v>
      </c>
      <c r="X7531" s="339"/>
    </row>
    <row r="7532" s="330" customFormat="1" ht="15" customHeight="1" spans="1:24">
      <c r="A7532" s="550" t="s">
        <v>14686</v>
      </c>
      <c r="B7532" s="334" t="s">
        <v>153</v>
      </c>
      <c r="C7532" s="348" t="s">
        <v>154</v>
      </c>
      <c r="D7532" s="335" t="s">
        <v>155</v>
      </c>
      <c r="E7532" s="336">
        <v>43799</v>
      </c>
      <c r="F7532" s="336">
        <v>43774</v>
      </c>
      <c r="G7532" s="336">
        <v>43799</v>
      </c>
      <c r="H7532" s="487" t="s">
        <v>16164</v>
      </c>
      <c r="I7532" s="444">
        <v>13681910013</v>
      </c>
      <c r="J7532" s="348" t="s">
        <v>16165</v>
      </c>
      <c r="K7532" s="452">
        <v>14700</v>
      </c>
      <c r="L7532" s="334">
        <v>14999</v>
      </c>
      <c r="M7532" s="338"/>
      <c r="N7532" s="362">
        <f t="shared" si="257"/>
        <v>14999</v>
      </c>
      <c r="X7532" s="339"/>
    </row>
    <row r="7533" s="330" customFormat="1" ht="15" customHeight="1" spans="1:24">
      <c r="A7533" s="550" t="s">
        <v>13968</v>
      </c>
      <c r="B7533" s="334" t="s">
        <v>4009</v>
      </c>
      <c r="C7533" s="348" t="s">
        <v>6401</v>
      </c>
      <c r="D7533" s="349" t="s">
        <v>207</v>
      </c>
      <c r="E7533" s="336">
        <v>43774</v>
      </c>
      <c r="F7533" s="336">
        <v>43774</v>
      </c>
      <c r="G7533" s="356" t="s">
        <v>469</v>
      </c>
      <c r="H7533" s="334" t="s">
        <v>14355</v>
      </c>
      <c r="I7533" s="334">
        <v>15921211150</v>
      </c>
      <c r="J7533" s="334" t="s">
        <v>14356</v>
      </c>
      <c r="K7533" s="452">
        <v>3479</v>
      </c>
      <c r="L7533" s="338"/>
      <c r="M7533" s="338"/>
      <c r="N7533" s="362">
        <f t="shared" si="257"/>
        <v>0</v>
      </c>
      <c r="W7533" s="353">
        <v>10.7</v>
      </c>
      <c r="X7533" s="339"/>
    </row>
    <row r="7534" s="330" customFormat="1" ht="15" customHeight="1" spans="1:24">
      <c r="A7534" s="550" t="s">
        <v>16166</v>
      </c>
      <c r="B7534" s="334" t="s">
        <v>2625</v>
      </c>
      <c r="C7534" s="348" t="s">
        <v>2626</v>
      </c>
      <c r="D7534" s="335" t="s">
        <v>44</v>
      </c>
      <c r="E7534" s="336">
        <v>43788</v>
      </c>
      <c r="F7534" s="336">
        <v>43774</v>
      </c>
      <c r="G7534" s="336">
        <v>43788</v>
      </c>
      <c r="H7534" s="334" t="s">
        <v>16167</v>
      </c>
      <c r="I7534" s="444">
        <v>15921589582</v>
      </c>
      <c r="J7534" s="348" t="s">
        <v>16168</v>
      </c>
      <c r="K7534" s="452">
        <v>3000</v>
      </c>
      <c r="L7534" s="334">
        <v>13046</v>
      </c>
      <c r="M7534" s="338"/>
      <c r="N7534" s="362">
        <f t="shared" si="257"/>
        <v>13046</v>
      </c>
      <c r="W7534" s="475">
        <v>43788</v>
      </c>
      <c r="X7534" s="339"/>
    </row>
    <row r="7535" s="330" customFormat="1" ht="15" customHeight="1" spans="1:24">
      <c r="A7535" s="334"/>
      <c r="B7535" s="334" t="s">
        <v>16169</v>
      </c>
      <c r="C7535" s="334" t="s">
        <v>16170</v>
      </c>
      <c r="D7535" s="334" t="s">
        <v>271</v>
      </c>
      <c r="E7535" s="336">
        <v>43773</v>
      </c>
      <c r="F7535" s="336"/>
      <c r="G7535" s="336">
        <v>43771</v>
      </c>
      <c r="H7535" s="334" t="s">
        <v>16171</v>
      </c>
      <c r="I7535" s="334">
        <v>13681763524</v>
      </c>
      <c r="J7535" s="348" t="s">
        <v>16172</v>
      </c>
      <c r="K7535" s="337"/>
      <c r="L7535" s="334">
        <v>3399</v>
      </c>
      <c r="M7535" s="338"/>
      <c r="N7535" s="362">
        <f t="shared" si="257"/>
        <v>3399</v>
      </c>
      <c r="X7535" s="339"/>
    </row>
    <row r="7536" s="330" customFormat="1" ht="15" customHeight="1" spans="1:24">
      <c r="A7536" s="334"/>
      <c r="B7536" s="334" t="s">
        <v>6313</v>
      </c>
      <c r="C7536" s="334" t="s">
        <v>7818</v>
      </c>
      <c r="D7536" s="334" t="s">
        <v>7871</v>
      </c>
      <c r="E7536" s="336">
        <v>43774</v>
      </c>
      <c r="F7536" s="336"/>
      <c r="G7536" s="336">
        <v>43766</v>
      </c>
      <c r="H7536" s="334" t="s">
        <v>8270</v>
      </c>
      <c r="I7536" s="334">
        <v>13127541442</v>
      </c>
      <c r="J7536" s="334" t="s">
        <v>8271</v>
      </c>
      <c r="K7536" s="337"/>
      <c r="L7536" s="334">
        <v>4000</v>
      </c>
      <c r="M7536" s="338"/>
      <c r="N7536" s="362">
        <f t="shared" si="257"/>
        <v>4000</v>
      </c>
      <c r="X7536" s="339"/>
    </row>
    <row r="7537" s="330" customFormat="1" ht="15" customHeight="1" spans="1:24">
      <c r="A7537" s="334"/>
      <c r="B7537" s="334" t="s">
        <v>243</v>
      </c>
      <c r="C7537" s="334" t="s">
        <v>309</v>
      </c>
      <c r="D7537" s="335" t="s">
        <v>49</v>
      </c>
      <c r="E7537" s="336">
        <v>43774</v>
      </c>
      <c r="F7537" s="336"/>
      <c r="G7537" s="336">
        <v>43773</v>
      </c>
      <c r="H7537" s="334" t="s">
        <v>6529</v>
      </c>
      <c r="I7537" s="334">
        <v>15001828874</v>
      </c>
      <c r="J7537" s="348" t="s">
        <v>16173</v>
      </c>
      <c r="K7537" s="337"/>
      <c r="L7537" s="334">
        <v>19300</v>
      </c>
      <c r="M7537" s="338"/>
      <c r="N7537" s="362">
        <f t="shared" si="257"/>
        <v>19300</v>
      </c>
      <c r="X7537" s="339"/>
    </row>
    <row r="7538" s="330" customFormat="1" ht="15" customHeight="1" spans="1:24">
      <c r="A7538" s="334"/>
      <c r="B7538" s="334" t="s">
        <v>42</v>
      </c>
      <c r="C7538" s="334" t="s">
        <v>43</v>
      </c>
      <c r="D7538" s="334" t="s">
        <v>149</v>
      </c>
      <c r="E7538" s="336">
        <v>43774</v>
      </c>
      <c r="F7538" s="336"/>
      <c r="G7538" s="336">
        <v>43774</v>
      </c>
      <c r="H7538" s="334" t="s">
        <v>10358</v>
      </c>
      <c r="I7538" s="426">
        <v>13671598992</v>
      </c>
      <c r="J7538" s="334" t="s">
        <v>10359</v>
      </c>
      <c r="K7538" s="337"/>
      <c r="L7538" s="334">
        <v>1145</v>
      </c>
      <c r="M7538" s="338"/>
      <c r="N7538" s="362">
        <f t="shared" si="257"/>
        <v>1145</v>
      </c>
      <c r="X7538" s="339"/>
    </row>
    <row r="7539" s="330" customFormat="1" ht="15" customHeight="1" spans="1:24">
      <c r="A7539" s="334"/>
      <c r="B7539" s="334" t="s">
        <v>6313</v>
      </c>
      <c r="C7539" s="334" t="s">
        <v>7818</v>
      </c>
      <c r="D7539" s="334" t="s">
        <v>7871</v>
      </c>
      <c r="E7539" s="336">
        <v>43774</v>
      </c>
      <c r="F7539" s="336"/>
      <c r="G7539" s="336">
        <v>43773</v>
      </c>
      <c r="H7539" s="334" t="s">
        <v>16174</v>
      </c>
      <c r="I7539" s="334">
        <v>13816962897</v>
      </c>
      <c r="J7539" s="348" t="s">
        <v>16175</v>
      </c>
      <c r="K7539" s="337"/>
      <c r="L7539" s="334">
        <v>14538</v>
      </c>
      <c r="M7539" s="338"/>
      <c r="N7539" s="362">
        <f t="shared" si="257"/>
        <v>14538</v>
      </c>
      <c r="X7539" s="339"/>
    </row>
    <row r="7540" s="330" customFormat="1" ht="15" customHeight="1" spans="1:24">
      <c r="A7540" s="334"/>
      <c r="B7540" s="334" t="s">
        <v>205</v>
      </c>
      <c r="C7540" s="334" t="s">
        <v>1467</v>
      </c>
      <c r="D7540" s="334" t="s">
        <v>89</v>
      </c>
      <c r="E7540" s="336">
        <v>43773</v>
      </c>
      <c r="F7540" s="336"/>
      <c r="G7540" s="336">
        <v>43764</v>
      </c>
      <c r="H7540" s="334" t="s">
        <v>7944</v>
      </c>
      <c r="I7540" s="334">
        <v>18939715851</v>
      </c>
      <c r="J7540" s="348" t="s">
        <v>7945</v>
      </c>
      <c r="K7540" s="337"/>
      <c r="L7540" s="338"/>
      <c r="M7540" s="334">
        <v>2636</v>
      </c>
      <c r="N7540" s="362">
        <f t="shared" ref="N7540:N7572" si="258">L7540+M7540</f>
        <v>2636</v>
      </c>
      <c r="X7540" s="339"/>
    </row>
    <row r="7541" s="330" customFormat="1" ht="15" customHeight="1" spans="1:24">
      <c r="A7541" s="334"/>
      <c r="B7541" s="334" t="s">
        <v>31</v>
      </c>
      <c r="C7541" s="334" t="s">
        <v>419</v>
      </c>
      <c r="D7541" s="334" t="s">
        <v>954</v>
      </c>
      <c r="E7541" s="336">
        <v>43773</v>
      </c>
      <c r="F7541" s="336"/>
      <c r="G7541" s="336">
        <v>43767</v>
      </c>
      <c r="H7541" s="334" t="s">
        <v>11794</v>
      </c>
      <c r="I7541" s="334">
        <v>13916546272</v>
      </c>
      <c r="J7541" s="348" t="s">
        <v>15320</v>
      </c>
      <c r="K7541" s="337"/>
      <c r="L7541" s="338"/>
      <c r="M7541" s="334">
        <v>650</v>
      </c>
      <c r="N7541" s="362">
        <f t="shared" si="258"/>
        <v>650</v>
      </c>
      <c r="X7541" s="339"/>
    </row>
    <row r="7542" s="330" customFormat="1" ht="15" customHeight="1" spans="1:24">
      <c r="A7542" s="334"/>
      <c r="B7542" s="334" t="s">
        <v>236</v>
      </c>
      <c r="C7542" s="334" t="s">
        <v>703</v>
      </c>
      <c r="D7542" s="334" t="s">
        <v>125</v>
      </c>
      <c r="E7542" s="336">
        <v>43773</v>
      </c>
      <c r="F7542" s="336"/>
      <c r="G7542" s="336">
        <v>43772</v>
      </c>
      <c r="H7542" s="334" t="s">
        <v>13641</v>
      </c>
      <c r="I7542" s="334">
        <v>13761187718</v>
      </c>
      <c r="J7542" s="426" t="s">
        <v>13642</v>
      </c>
      <c r="K7542" s="337"/>
      <c r="L7542" s="338"/>
      <c r="M7542" s="334">
        <v>2727</v>
      </c>
      <c r="N7542" s="362">
        <f t="shared" si="258"/>
        <v>2727</v>
      </c>
      <c r="X7542" s="339"/>
    </row>
    <row r="7543" s="330" customFormat="1" ht="15" customHeight="1" spans="1:24">
      <c r="A7543" s="334"/>
      <c r="B7543" s="334" t="s">
        <v>726</v>
      </c>
      <c r="C7543" s="334" t="s">
        <v>727</v>
      </c>
      <c r="D7543" s="334" t="s">
        <v>271</v>
      </c>
      <c r="E7543" s="336">
        <v>43773</v>
      </c>
      <c r="F7543" s="336"/>
      <c r="G7543" s="336">
        <v>43773</v>
      </c>
      <c r="H7543" s="334" t="s">
        <v>12422</v>
      </c>
      <c r="I7543" s="334">
        <v>18910420830</v>
      </c>
      <c r="J7543" s="334" t="s">
        <v>16176</v>
      </c>
      <c r="K7543" s="337"/>
      <c r="L7543" s="338"/>
      <c r="M7543" s="334">
        <v>781</v>
      </c>
      <c r="N7543" s="362">
        <f t="shared" si="258"/>
        <v>781</v>
      </c>
      <c r="X7543" s="339"/>
    </row>
    <row r="7544" s="330" customFormat="1" ht="15" customHeight="1" spans="1:24">
      <c r="A7544" s="334"/>
      <c r="B7544" s="334" t="s">
        <v>169</v>
      </c>
      <c r="C7544" s="334" t="s">
        <v>542</v>
      </c>
      <c r="D7544" s="334" t="s">
        <v>171</v>
      </c>
      <c r="E7544" s="336">
        <v>43773</v>
      </c>
      <c r="F7544" s="336"/>
      <c r="G7544" s="336">
        <v>43772</v>
      </c>
      <c r="H7544" s="334" t="s">
        <v>3317</v>
      </c>
      <c r="I7544" s="444">
        <v>13620767887</v>
      </c>
      <c r="J7544" s="348" t="s">
        <v>16177</v>
      </c>
      <c r="K7544" s="337"/>
      <c r="L7544" s="338"/>
      <c r="M7544" s="334">
        <v>770</v>
      </c>
      <c r="N7544" s="362">
        <f t="shared" si="258"/>
        <v>770</v>
      </c>
      <c r="X7544" s="339"/>
    </row>
    <row r="7545" s="330" customFormat="1" ht="15" customHeight="1" spans="1:24">
      <c r="A7545" s="334"/>
      <c r="B7545" s="334" t="s">
        <v>73</v>
      </c>
      <c r="C7545" s="334" t="s">
        <v>74</v>
      </c>
      <c r="D7545" s="334" t="s">
        <v>75</v>
      </c>
      <c r="E7545" s="336">
        <v>43773</v>
      </c>
      <c r="F7545" s="336"/>
      <c r="G7545" s="336">
        <v>43773</v>
      </c>
      <c r="H7545" s="334" t="s">
        <v>7435</v>
      </c>
      <c r="I7545" s="334">
        <v>13701776267</v>
      </c>
      <c r="J7545" s="334" t="s">
        <v>16178</v>
      </c>
      <c r="K7545" s="337"/>
      <c r="L7545" s="338"/>
      <c r="M7545" s="334">
        <v>-37453</v>
      </c>
      <c r="N7545" s="362">
        <f t="shared" si="258"/>
        <v>-37453</v>
      </c>
      <c r="X7545" s="339"/>
    </row>
    <row r="7546" s="330" customFormat="1" ht="15" customHeight="1" spans="1:24">
      <c r="A7546" s="334"/>
      <c r="B7546" s="334" t="s">
        <v>73</v>
      </c>
      <c r="C7546" s="334" t="s">
        <v>178</v>
      </c>
      <c r="D7546" s="334" t="s">
        <v>75</v>
      </c>
      <c r="E7546" s="336">
        <v>43773</v>
      </c>
      <c r="F7546" s="336"/>
      <c r="G7546" s="336">
        <v>43771</v>
      </c>
      <c r="H7546" s="334" t="s">
        <v>13882</v>
      </c>
      <c r="I7546" s="334">
        <v>13818598301</v>
      </c>
      <c r="J7546" s="348" t="s">
        <v>16179</v>
      </c>
      <c r="K7546" s="337"/>
      <c r="L7546" s="338"/>
      <c r="M7546" s="334">
        <v>-200</v>
      </c>
      <c r="N7546" s="362">
        <f t="shared" si="258"/>
        <v>-200</v>
      </c>
      <c r="X7546" s="339"/>
    </row>
    <row r="7547" s="330" customFormat="1" ht="15" customHeight="1" spans="1:24">
      <c r="A7547" s="334"/>
      <c r="B7547" s="334" t="s">
        <v>73</v>
      </c>
      <c r="C7547" s="334" t="s">
        <v>74</v>
      </c>
      <c r="D7547" s="334" t="s">
        <v>75</v>
      </c>
      <c r="E7547" s="336">
        <v>43773</v>
      </c>
      <c r="F7547" s="336"/>
      <c r="G7547" s="336">
        <v>43773</v>
      </c>
      <c r="H7547" s="334" t="s">
        <v>16180</v>
      </c>
      <c r="I7547" s="334">
        <v>18019021686</v>
      </c>
      <c r="J7547" s="334" t="s">
        <v>16181</v>
      </c>
      <c r="K7547" s="337"/>
      <c r="L7547" s="338"/>
      <c r="M7547" s="334">
        <v>6481</v>
      </c>
      <c r="N7547" s="362">
        <f t="shared" si="258"/>
        <v>6481</v>
      </c>
      <c r="X7547" s="339"/>
    </row>
    <row r="7548" s="330" customFormat="1" ht="15" customHeight="1" spans="1:24">
      <c r="A7548" s="334"/>
      <c r="B7548" s="334" t="s">
        <v>5435</v>
      </c>
      <c r="C7548" s="334" t="s">
        <v>1728</v>
      </c>
      <c r="D7548" s="334" t="s">
        <v>149</v>
      </c>
      <c r="E7548" s="336">
        <v>43773</v>
      </c>
      <c r="F7548" s="336"/>
      <c r="G7548" s="336">
        <v>43772</v>
      </c>
      <c r="H7548" s="334" t="s">
        <v>15440</v>
      </c>
      <c r="I7548" s="444">
        <v>13701361853</v>
      </c>
      <c r="J7548" s="348" t="s">
        <v>16182</v>
      </c>
      <c r="K7548" s="337"/>
      <c r="L7548" s="338"/>
      <c r="M7548" s="334">
        <v>821</v>
      </c>
      <c r="N7548" s="362">
        <f t="shared" si="258"/>
        <v>821</v>
      </c>
      <c r="X7548" s="339"/>
    </row>
    <row r="7549" s="330" customFormat="1" ht="15" customHeight="1" spans="1:24">
      <c r="A7549" s="334"/>
      <c r="B7549" s="334" t="s">
        <v>354</v>
      </c>
      <c r="C7549" s="334" t="s">
        <v>355</v>
      </c>
      <c r="D7549" s="334" t="s">
        <v>162</v>
      </c>
      <c r="E7549" s="336">
        <v>43773</v>
      </c>
      <c r="F7549" s="336"/>
      <c r="G7549" s="336">
        <v>43772</v>
      </c>
      <c r="H7549" s="334" t="s">
        <v>13160</v>
      </c>
      <c r="I7549" s="334">
        <v>13391152098</v>
      </c>
      <c r="J7549" s="334" t="s">
        <v>13161</v>
      </c>
      <c r="K7549" s="337"/>
      <c r="L7549" s="338"/>
      <c r="M7549" s="472">
        <v>36952</v>
      </c>
      <c r="N7549" s="362">
        <f t="shared" si="258"/>
        <v>36952</v>
      </c>
      <c r="X7549" s="339"/>
    </row>
    <row r="7550" s="330" customFormat="1" ht="15" customHeight="1" spans="1:24">
      <c r="A7550" s="334"/>
      <c r="B7550" s="334" t="s">
        <v>73</v>
      </c>
      <c r="C7550" s="334" t="s">
        <v>74</v>
      </c>
      <c r="D7550" s="334" t="s">
        <v>143</v>
      </c>
      <c r="E7550" s="336">
        <v>43773</v>
      </c>
      <c r="F7550" s="336"/>
      <c r="G7550" s="336">
        <v>43773</v>
      </c>
      <c r="H7550" s="334" t="s">
        <v>4663</v>
      </c>
      <c r="I7550" s="334">
        <v>13917678648</v>
      </c>
      <c r="J7550" s="348" t="s">
        <v>4664</v>
      </c>
      <c r="K7550" s="337"/>
      <c r="L7550" s="338"/>
      <c r="M7550" s="334">
        <v>1125</v>
      </c>
      <c r="N7550" s="362">
        <f t="shared" si="258"/>
        <v>1125</v>
      </c>
      <c r="X7550" s="339"/>
    </row>
    <row r="7551" s="330" customFormat="1" ht="15" customHeight="1" spans="1:24">
      <c r="A7551" s="334"/>
      <c r="B7551" s="334" t="s">
        <v>130</v>
      </c>
      <c r="C7551" s="334" t="s">
        <v>181</v>
      </c>
      <c r="D7551" s="334" t="s">
        <v>182</v>
      </c>
      <c r="E7551" s="336">
        <v>43773</v>
      </c>
      <c r="F7551" s="336"/>
      <c r="G7551" s="336">
        <v>43772</v>
      </c>
      <c r="H7551" s="334" t="s">
        <v>2854</v>
      </c>
      <c r="I7551" s="444">
        <v>18918574520</v>
      </c>
      <c r="J7551" s="348" t="s">
        <v>2855</v>
      </c>
      <c r="K7551" s="337"/>
      <c r="L7551" s="338"/>
      <c r="M7551" s="334">
        <v>2163</v>
      </c>
      <c r="N7551" s="362">
        <f t="shared" si="258"/>
        <v>2163</v>
      </c>
      <c r="X7551" s="339"/>
    </row>
    <row r="7552" s="330" customFormat="1" ht="15" customHeight="1" spans="1:24">
      <c r="A7552" s="334"/>
      <c r="B7552" s="334" t="s">
        <v>66</v>
      </c>
      <c r="C7552" s="334" t="s">
        <v>119</v>
      </c>
      <c r="D7552" s="334" t="s">
        <v>1436</v>
      </c>
      <c r="E7552" s="336">
        <v>43773</v>
      </c>
      <c r="F7552" s="336"/>
      <c r="G7552" s="336">
        <v>43771</v>
      </c>
      <c r="H7552" s="334" t="s">
        <v>13832</v>
      </c>
      <c r="I7552" s="334">
        <v>13601928678</v>
      </c>
      <c r="J7552" s="348" t="s">
        <v>15976</v>
      </c>
      <c r="K7552" s="337"/>
      <c r="L7552" s="338"/>
      <c r="M7552" s="334">
        <v>1120</v>
      </c>
      <c r="N7552" s="362">
        <f t="shared" si="258"/>
        <v>1120</v>
      </c>
      <c r="X7552" s="339"/>
    </row>
    <row r="7553" s="330" customFormat="1" ht="15" customHeight="1" spans="1:24">
      <c r="A7553" s="334"/>
      <c r="B7553" s="334" t="s">
        <v>73</v>
      </c>
      <c r="C7553" s="334" t="s">
        <v>74</v>
      </c>
      <c r="D7553" s="334" t="s">
        <v>132</v>
      </c>
      <c r="E7553" s="336">
        <v>43773</v>
      </c>
      <c r="F7553" s="336"/>
      <c r="G7553" s="336">
        <v>43773</v>
      </c>
      <c r="H7553" s="334" t="s">
        <v>14079</v>
      </c>
      <c r="I7553" s="334">
        <v>15902127041</v>
      </c>
      <c r="J7553" s="348" t="s">
        <v>14080</v>
      </c>
      <c r="K7553" s="337"/>
      <c r="L7553" s="338"/>
      <c r="M7553" s="334">
        <v>468</v>
      </c>
      <c r="N7553" s="362">
        <f t="shared" si="258"/>
        <v>468</v>
      </c>
      <c r="X7553" s="339"/>
    </row>
    <row r="7554" s="330" customFormat="1" ht="15" customHeight="1" spans="1:24">
      <c r="A7554" s="334"/>
      <c r="B7554" s="334" t="s">
        <v>205</v>
      </c>
      <c r="C7554" s="334" t="s">
        <v>1467</v>
      </c>
      <c r="D7554" s="334" t="s">
        <v>207</v>
      </c>
      <c r="E7554" s="336">
        <v>43773</v>
      </c>
      <c r="F7554" s="336"/>
      <c r="G7554" s="336">
        <v>43772</v>
      </c>
      <c r="H7554" s="334" t="s">
        <v>13449</v>
      </c>
      <c r="I7554" s="426">
        <v>13817576544</v>
      </c>
      <c r="J7554" s="334" t="s">
        <v>13450</v>
      </c>
      <c r="K7554" s="337"/>
      <c r="L7554" s="338"/>
      <c r="M7554" s="334">
        <v>670</v>
      </c>
      <c r="N7554" s="362">
        <f t="shared" si="258"/>
        <v>670</v>
      </c>
      <c r="X7554" s="339"/>
    </row>
    <row r="7555" s="330" customFormat="1" ht="15" customHeight="1" spans="1:24">
      <c r="A7555" s="334"/>
      <c r="B7555" s="334" t="s">
        <v>66</v>
      </c>
      <c r="C7555" s="334" t="s">
        <v>951</v>
      </c>
      <c r="D7555" s="334" t="s">
        <v>1436</v>
      </c>
      <c r="E7555" s="336">
        <v>43773</v>
      </c>
      <c r="F7555" s="336"/>
      <c r="G7555" s="336">
        <v>43769</v>
      </c>
      <c r="H7555" s="334" t="s">
        <v>12800</v>
      </c>
      <c r="I7555" s="426">
        <v>13052076883</v>
      </c>
      <c r="J7555" s="334" t="s">
        <v>11658</v>
      </c>
      <c r="K7555" s="337"/>
      <c r="L7555" s="338"/>
      <c r="M7555" s="334">
        <v>747</v>
      </c>
      <c r="N7555" s="362">
        <f t="shared" si="258"/>
        <v>747</v>
      </c>
      <c r="X7555" s="339"/>
    </row>
    <row r="7556" s="330" customFormat="1" ht="15" customHeight="1" spans="1:24">
      <c r="A7556" s="334"/>
      <c r="B7556" s="334" t="s">
        <v>137</v>
      </c>
      <c r="C7556" s="334" t="s">
        <v>411</v>
      </c>
      <c r="D7556" s="334" t="s">
        <v>139</v>
      </c>
      <c r="E7556" s="336">
        <v>43773</v>
      </c>
      <c r="F7556" s="336"/>
      <c r="G7556" s="336">
        <v>43773</v>
      </c>
      <c r="H7556" s="334" t="s">
        <v>6986</v>
      </c>
      <c r="I7556" s="334">
        <v>13501952709</v>
      </c>
      <c r="J7556" s="348" t="s">
        <v>16183</v>
      </c>
      <c r="K7556" s="337"/>
      <c r="L7556" s="338"/>
      <c r="M7556" s="334">
        <v>1607</v>
      </c>
      <c r="N7556" s="362">
        <f t="shared" si="258"/>
        <v>1607</v>
      </c>
      <c r="X7556" s="339"/>
    </row>
    <row r="7557" s="330" customFormat="1" ht="15" customHeight="1" spans="1:24">
      <c r="A7557" s="334"/>
      <c r="B7557" s="334" t="s">
        <v>236</v>
      </c>
      <c r="C7557" s="334" t="s">
        <v>195</v>
      </c>
      <c r="D7557" s="334" t="s">
        <v>207</v>
      </c>
      <c r="E7557" s="336">
        <v>43773</v>
      </c>
      <c r="F7557" s="336"/>
      <c r="G7557" s="336">
        <v>43771</v>
      </c>
      <c r="H7557" s="334" t="s">
        <v>11706</v>
      </c>
      <c r="I7557" s="334">
        <v>18021006182</v>
      </c>
      <c r="J7557" s="334" t="s">
        <v>16184</v>
      </c>
      <c r="K7557" s="337"/>
      <c r="L7557" s="338"/>
      <c r="M7557" s="334">
        <v>2134</v>
      </c>
      <c r="N7557" s="362">
        <f t="shared" si="258"/>
        <v>2134</v>
      </c>
      <c r="X7557" s="339"/>
    </row>
    <row r="7558" s="330" customFormat="1" ht="15" customHeight="1" spans="1:24">
      <c r="A7558" s="334"/>
      <c r="B7558" s="334" t="s">
        <v>243</v>
      </c>
      <c r="C7558" s="334" t="s">
        <v>309</v>
      </c>
      <c r="D7558" s="334" t="s">
        <v>49</v>
      </c>
      <c r="E7558" s="336">
        <v>43774</v>
      </c>
      <c r="F7558" s="336"/>
      <c r="G7558" s="336">
        <v>43773</v>
      </c>
      <c r="H7558" s="334" t="s">
        <v>16185</v>
      </c>
      <c r="I7558" s="426">
        <v>15821337908</v>
      </c>
      <c r="J7558" s="334" t="s">
        <v>10617</v>
      </c>
      <c r="K7558" s="337"/>
      <c r="L7558" s="338"/>
      <c r="M7558" s="334">
        <v>4836</v>
      </c>
      <c r="N7558" s="362">
        <f t="shared" si="258"/>
        <v>4836</v>
      </c>
      <c r="X7558" s="339"/>
    </row>
    <row r="7559" s="330" customFormat="1" ht="15" customHeight="1" spans="1:24">
      <c r="A7559" s="334"/>
      <c r="B7559" s="334" t="s">
        <v>169</v>
      </c>
      <c r="C7559" s="334" t="s">
        <v>542</v>
      </c>
      <c r="D7559" s="334" t="s">
        <v>171</v>
      </c>
      <c r="E7559" s="336">
        <v>43774</v>
      </c>
      <c r="F7559" s="336"/>
      <c r="G7559" s="336">
        <v>43773</v>
      </c>
      <c r="H7559" s="334" t="s">
        <v>9119</v>
      </c>
      <c r="I7559" s="334">
        <v>13636612596</v>
      </c>
      <c r="J7559" s="334" t="s">
        <v>16186</v>
      </c>
      <c r="K7559" s="337"/>
      <c r="L7559" s="338"/>
      <c r="M7559" s="334">
        <v>128</v>
      </c>
      <c r="N7559" s="362">
        <f t="shared" si="258"/>
        <v>128</v>
      </c>
      <c r="X7559" s="339"/>
    </row>
    <row r="7560" s="330" customFormat="1" ht="15" customHeight="1" spans="1:24">
      <c r="A7560" s="334"/>
      <c r="B7560" s="334" t="s">
        <v>185</v>
      </c>
      <c r="C7560" s="348" t="s">
        <v>186</v>
      </c>
      <c r="D7560" s="334" t="s">
        <v>44</v>
      </c>
      <c r="E7560" s="336">
        <v>43774</v>
      </c>
      <c r="F7560" s="336"/>
      <c r="G7560" s="336">
        <v>43771</v>
      </c>
      <c r="H7560" s="334" t="s">
        <v>16187</v>
      </c>
      <c r="I7560" s="356">
        <v>13795282991</v>
      </c>
      <c r="J7560" s="348" t="s">
        <v>16188</v>
      </c>
      <c r="K7560" s="337"/>
      <c r="L7560" s="338"/>
      <c r="M7560" s="334">
        <v>1267</v>
      </c>
      <c r="N7560" s="362">
        <f t="shared" si="258"/>
        <v>1267</v>
      </c>
      <c r="X7560" s="339"/>
    </row>
    <row r="7561" s="330" customFormat="1" ht="15" customHeight="1" spans="1:24">
      <c r="A7561" s="334"/>
      <c r="B7561" s="334" t="s">
        <v>31</v>
      </c>
      <c r="C7561" s="334" t="s">
        <v>2716</v>
      </c>
      <c r="D7561" s="334" t="s">
        <v>954</v>
      </c>
      <c r="E7561" s="336">
        <v>43774</v>
      </c>
      <c r="F7561" s="336"/>
      <c r="G7561" s="336">
        <v>43772</v>
      </c>
      <c r="H7561" s="334" t="s">
        <v>8054</v>
      </c>
      <c r="I7561" s="334">
        <v>13901994005</v>
      </c>
      <c r="J7561" s="348" t="s">
        <v>8055</v>
      </c>
      <c r="K7561" s="337"/>
      <c r="L7561" s="338"/>
      <c r="M7561" s="334">
        <v>2824</v>
      </c>
      <c r="N7561" s="362">
        <f t="shared" si="258"/>
        <v>2824</v>
      </c>
      <c r="X7561" s="339"/>
    </row>
    <row r="7562" s="330" customFormat="1" ht="15" customHeight="1" spans="1:24">
      <c r="A7562" s="334"/>
      <c r="B7562" s="334" t="s">
        <v>123</v>
      </c>
      <c r="C7562" s="334" t="s">
        <v>32</v>
      </c>
      <c r="D7562" s="334" t="s">
        <v>125</v>
      </c>
      <c r="E7562" s="336">
        <v>43774</v>
      </c>
      <c r="F7562" s="336"/>
      <c r="G7562" s="336">
        <v>43772</v>
      </c>
      <c r="H7562" s="334" t="s">
        <v>14918</v>
      </c>
      <c r="I7562" s="444">
        <v>13917389943</v>
      </c>
      <c r="J7562" s="348" t="s">
        <v>14919</v>
      </c>
      <c r="K7562" s="337"/>
      <c r="L7562" s="338"/>
      <c r="M7562" s="334">
        <v>2651</v>
      </c>
      <c r="N7562" s="362">
        <f t="shared" si="258"/>
        <v>2651</v>
      </c>
      <c r="X7562" s="339"/>
    </row>
    <row r="7563" s="330" customFormat="1" ht="15" customHeight="1" spans="1:24">
      <c r="A7563" s="334"/>
      <c r="B7563" s="334" t="s">
        <v>31</v>
      </c>
      <c r="C7563" s="334" t="s">
        <v>2716</v>
      </c>
      <c r="D7563" s="334" t="s">
        <v>635</v>
      </c>
      <c r="E7563" s="336">
        <v>43774</v>
      </c>
      <c r="F7563" s="336"/>
      <c r="G7563" s="336">
        <v>43773</v>
      </c>
      <c r="H7563" s="334" t="s">
        <v>12212</v>
      </c>
      <c r="I7563" s="334">
        <v>18616736009</v>
      </c>
      <c r="J7563" s="334" t="s">
        <v>12213</v>
      </c>
      <c r="K7563" s="337"/>
      <c r="L7563" s="338"/>
      <c r="M7563" s="334">
        <v>1728</v>
      </c>
      <c r="N7563" s="362">
        <f t="shared" si="258"/>
        <v>1728</v>
      </c>
      <c r="X7563" s="339"/>
    </row>
    <row r="7564" s="330" customFormat="1" ht="15" customHeight="1" spans="1:24">
      <c r="A7564" s="334"/>
      <c r="B7564" s="334" t="s">
        <v>147</v>
      </c>
      <c r="C7564" s="334" t="s">
        <v>148</v>
      </c>
      <c r="D7564" s="334" t="s">
        <v>187</v>
      </c>
      <c r="E7564" s="336">
        <v>43774</v>
      </c>
      <c r="F7564" s="336"/>
      <c r="G7564" s="336" t="s">
        <v>13074</v>
      </c>
      <c r="H7564" s="334" t="s">
        <v>16189</v>
      </c>
      <c r="I7564" s="334">
        <v>18917685821</v>
      </c>
      <c r="J7564" s="334" t="s">
        <v>16190</v>
      </c>
      <c r="K7564" s="337"/>
      <c r="L7564" s="338"/>
      <c r="M7564" s="334">
        <f>1491+8815</f>
        <v>10306</v>
      </c>
      <c r="N7564" s="362">
        <f t="shared" si="258"/>
        <v>10306</v>
      </c>
      <c r="X7564" s="339"/>
    </row>
    <row r="7565" s="330" customFormat="1" ht="15" customHeight="1" spans="1:24">
      <c r="A7565" s="334"/>
      <c r="B7565" s="334" t="s">
        <v>123</v>
      </c>
      <c r="C7565" s="334" t="s">
        <v>902</v>
      </c>
      <c r="D7565" s="334" t="s">
        <v>125</v>
      </c>
      <c r="E7565" s="336">
        <v>43774</v>
      </c>
      <c r="F7565" s="336"/>
      <c r="G7565" s="336">
        <v>43772</v>
      </c>
      <c r="H7565" s="334" t="s">
        <v>11527</v>
      </c>
      <c r="I7565" s="334">
        <v>13701879978</v>
      </c>
      <c r="J7565" s="348" t="s">
        <v>16191</v>
      </c>
      <c r="K7565" s="337"/>
      <c r="L7565" s="338"/>
      <c r="M7565" s="334">
        <v>26083</v>
      </c>
      <c r="N7565" s="362">
        <f t="shared" si="258"/>
        <v>26083</v>
      </c>
      <c r="X7565" s="339"/>
    </row>
    <row r="7566" s="330" customFormat="1" ht="15" customHeight="1" spans="1:24">
      <c r="A7566" s="334"/>
      <c r="B7566" s="334" t="s">
        <v>205</v>
      </c>
      <c r="C7566" s="334" t="s">
        <v>1467</v>
      </c>
      <c r="D7566" s="334" t="s">
        <v>89</v>
      </c>
      <c r="E7566" s="336">
        <v>43774</v>
      </c>
      <c r="F7566" s="336"/>
      <c r="G7566" s="336">
        <v>43774</v>
      </c>
      <c r="H7566" s="334" t="s">
        <v>4081</v>
      </c>
      <c r="I7566" s="444">
        <v>13301711071</v>
      </c>
      <c r="J7566" s="348" t="s">
        <v>4082</v>
      </c>
      <c r="K7566" s="337"/>
      <c r="L7566" s="338"/>
      <c r="M7566" s="334">
        <v>6060</v>
      </c>
      <c r="N7566" s="362">
        <f t="shared" si="258"/>
        <v>6060</v>
      </c>
      <c r="X7566" s="339"/>
    </row>
    <row r="7567" s="330" customFormat="1" ht="15" customHeight="1" spans="1:24">
      <c r="A7567" s="334"/>
      <c r="B7567" s="334" t="s">
        <v>315</v>
      </c>
      <c r="C7567" s="334" t="s">
        <v>230</v>
      </c>
      <c r="D7567" s="334" t="s">
        <v>182</v>
      </c>
      <c r="E7567" s="336">
        <v>43774</v>
      </c>
      <c r="F7567" s="336"/>
      <c r="G7567" s="336">
        <v>43771</v>
      </c>
      <c r="H7567" s="334" t="s">
        <v>10232</v>
      </c>
      <c r="I7567" s="444">
        <v>18818265157</v>
      </c>
      <c r="J7567" s="348" t="s">
        <v>10233</v>
      </c>
      <c r="K7567" s="337"/>
      <c r="L7567" s="338"/>
      <c r="M7567" s="334">
        <v>1445</v>
      </c>
      <c r="N7567" s="362">
        <f t="shared" si="258"/>
        <v>1445</v>
      </c>
      <c r="X7567" s="339"/>
    </row>
    <row r="7568" s="330" customFormat="1" ht="15" customHeight="1" spans="1:24">
      <c r="A7568" s="334"/>
      <c r="B7568" s="334" t="s">
        <v>315</v>
      </c>
      <c r="C7568" s="334" t="s">
        <v>161</v>
      </c>
      <c r="D7568" s="334" t="s">
        <v>182</v>
      </c>
      <c r="E7568" s="336">
        <v>43774</v>
      </c>
      <c r="F7568" s="336"/>
      <c r="G7568" s="336">
        <v>43774</v>
      </c>
      <c r="H7568" s="334" t="s">
        <v>15299</v>
      </c>
      <c r="I7568" s="334">
        <v>13701944320</v>
      </c>
      <c r="J7568" s="348" t="s">
        <v>15300</v>
      </c>
      <c r="K7568" s="337"/>
      <c r="L7568" s="338"/>
      <c r="M7568" s="334">
        <v>15000</v>
      </c>
      <c r="N7568" s="362">
        <f t="shared" si="258"/>
        <v>15000</v>
      </c>
      <c r="X7568" s="339"/>
    </row>
    <row r="7569" s="330" customFormat="1" ht="15" customHeight="1" spans="1:24">
      <c r="A7569" s="334"/>
      <c r="B7569" s="334" t="s">
        <v>205</v>
      </c>
      <c r="C7569" s="334" t="s">
        <v>1467</v>
      </c>
      <c r="D7569" s="334" t="s">
        <v>237</v>
      </c>
      <c r="E7569" s="336">
        <v>43774</v>
      </c>
      <c r="F7569" s="336"/>
      <c r="G7569" s="336">
        <v>43774</v>
      </c>
      <c r="H7569" s="334" t="s">
        <v>7948</v>
      </c>
      <c r="I7569" s="334">
        <v>13916739033</v>
      </c>
      <c r="J7569" s="334" t="s">
        <v>7949</v>
      </c>
      <c r="K7569" s="337"/>
      <c r="L7569" s="338"/>
      <c r="M7569" s="334">
        <v>828</v>
      </c>
      <c r="N7569" s="362">
        <f t="shared" si="258"/>
        <v>828</v>
      </c>
      <c r="X7569" s="339"/>
    </row>
    <row r="7570" s="330" customFormat="1" ht="15" customHeight="1" spans="1:24">
      <c r="A7570" s="334"/>
      <c r="B7570" s="334" t="s">
        <v>315</v>
      </c>
      <c r="C7570" s="334" t="s">
        <v>230</v>
      </c>
      <c r="D7570" s="334" t="s">
        <v>132</v>
      </c>
      <c r="E7570" s="336">
        <v>43774</v>
      </c>
      <c r="F7570" s="336"/>
      <c r="G7570" s="336">
        <v>43772</v>
      </c>
      <c r="H7570" s="334" t="s">
        <v>401</v>
      </c>
      <c r="I7570" s="334">
        <v>13386109958</v>
      </c>
      <c r="J7570" s="348" t="s">
        <v>317</v>
      </c>
      <c r="K7570" s="337"/>
      <c r="L7570" s="338"/>
      <c r="M7570" s="334">
        <v>-7813</v>
      </c>
      <c r="N7570" s="362">
        <f t="shared" si="258"/>
        <v>-7813</v>
      </c>
      <c r="X7570" s="339"/>
    </row>
    <row r="7571" s="330" customFormat="1" ht="15" customHeight="1" spans="1:24">
      <c r="A7571" s="334"/>
      <c r="B7571" s="334" t="s">
        <v>147</v>
      </c>
      <c r="C7571" s="334" t="s">
        <v>148</v>
      </c>
      <c r="D7571" s="334" t="s">
        <v>33</v>
      </c>
      <c r="E7571" s="336">
        <v>43774</v>
      </c>
      <c r="F7571" s="336"/>
      <c r="G7571" s="336">
        <v>43774</v>
      </c>
      <c r="H7571" s="334" t="s">
        <v>13842</v>
      </c>
      <c r="I7571" s="356">
        <v>18930166883</v>
      </c>
      <c r="J7571" s="348" t="s">
        <v>13843</v>
      </c>
      <c r="K7571" s="337"/>
      <c r="L7571" s="338"/>
      <c r="M7571" s="334">
        <v>336</v>
      </c>
      <c r="N7571" s="362">
        <f t="shared" si="258"/>
        <v>336</v>
      </c>
      <c r="X7571" s="339"/>
    </row>
    <row r="7572" s="330" customFormat="1" ht="15" customHeight="1" spans="1:24">
      <c r="A7572" s="334"/>
      <c r="B7572" s="334" t="s">
        <v>73</v>
      </c>
      <c r="C7572" s="334" t="s">
        <v>74</v>
      </c>
      <c r="D7572" s="334" t="s">
        <v>717</v>
      </c>
      <c r="E7572" s="336">
        <v>43774</v>
      </c>
      <c r="F7572" s="336"/>
      <c r="G7572" s="336">
        <v>43774</v>
      </c>
      <c r="H7572" s="334" t="s">
        <v>16192</v>
      </c>
      <c r="I7572" s="356">
        <v>13817937794</v>
      </c>
      <c r="J7572" s="348" t="s">
        <v>16193</v>
      </c>
      <c r="K7572" s="337"/>
      <c r="L7572" s="338"/>
      <c r="M7572" s="334">
        <v>1544</v>
      </c>
      <c r="N7572" s="362">
        <f t="shared" si="258"/>
        <v>1544</v>
      </c>
      <c r="X7572" s="339"/>
    </row>
    <row r="7573" s="330" customFormat="1" ht="15" customHeight="1" spans="1:24">
      <c r="A7573" s="550" t="s">
        <v>16194</v>
      </c>
      <c r="B7573" s="334" t="s">
        <v>805</v>
      </c>
      <c r="C7573" s="348" t="s">
        <v>4935</v>
      </c>
      <c r="D7573" s="335" t="s">
        <v>171</v>
      </c>
      <c r="E7573" s="336">
        <v>43775</v>
      </c>
      <c r="F7573" s="336">
        <v>43774</v>
      </c>
      <c r="G7573" s="399"/>
      <c r="H7573" s="334" t="s">
        <v>16195</v>
      </c>
      <c r="I7573" s="444">
        <v>13701625503</v>
      </c>
      <c r="J7573" s="348" t="s">
        <v>16196</v>
      </c>
      <c r="K7573" s="452">
        <v>1000</v>
      </c>
      <c r="L7573" s="338"/>
      <c r="M7573" s="338"/>
      <c r="N7573" s="362">
        <f t="shared" ref="N7573:N7585" si="259">L7573+M7573</f>
        <v>0</v>
      </c>
      <c r="U7573" s="471">
        <v>43797</v>
      </c>
      <c r="X7573" s="339"/>
    </row>
    <row r="7574" s="330" customFormat="1" ht="15" customHeight="1" spans="1:24">
      <c r="A7574" s="550" t="s">
        <v>16197</v>
      </c>
      <c r="B7574" s="334" t="s">
        <v>58</v>
      </c>
      <c r="C7574" s="348" t="s">
        <v>794</v>
      </c>
      <c r="D7574" s="335" t="s">
        <v>271</v>
      </c>
      <c r="E7574" s="336">
        <v>43794</v>
      </c>
      <c r="F7574" s="336">
        <v>43774</v>
      </c>
      <c r="G7574" s="336">
        <v>43793</v>
      </c>
      <c r="H7574" s="334" t="s">
        <v>16198</v>
      </c>
      <c r="I7574" s="444">
        <v>13883292697</v>
      </c>
      <c r="J7574" s="348" t="s">
        <v>16199</v>
      </c>
      <c r="K7574" s="452">
        <v>1000</v>
      </c>
      <c r="L7574" s="334">
        <v>15408</v>
      </c>
      <c r="M7574" s="338"/>
      <c r="N7574" s="362">
        <f t="shared" si="259"/>
        <v>15408</v>
      </c>
      <c r="Q7574" s="365" t="s">
        <v>52</v>
      </c>
      <c r="X7574" s="339"/>
    </row>
    <row r="7575" s="330" customFormat="1" ht="15" customHeight="1" spans="1:24">
      <c r="A7575" s="550" t="s">
        <v>12717</v>
      </c>
      <c r="B7575" s="334" t="s">
        <v>185</v>
      </c>
      <c r="C7575" s="348" t="s">
        <v>1620</v>
      </c>
      <c r="D7575" s="335" t="s">
        <v>44</v>
      </c>
      <c r="E7575" s="336">
        <v>43775</v>
      </c>
      <c r="F7575" s="336">
        <v>43745</v>
      </c>
      <c r="G7575" s="399"/>
      <c r="H7575" s="334" t="s">
        <v>16200</v>
      </c>
      <c r="I7575" s="444">
        <v>13764939502</v>
      </c>
      <c r="J7575" s="348" t="s">
        <v>16201</v>
      </c>
      <c r="K7575" s="452">
        <v>1000</v>
      </c>
      <c r="L7575" s="338"/>
      <c r="M7575" s="338"/>
      <c r="N7575" s="362">
        <f t="shared" si="259"/>
        <v>0</v>
      </c>
      <c r="O7575" s="467" t="s">
        <v>52</v>
      </c>
      <c r="X7575" s="339"/>
    </row>
    <row r="7576" s="330" customFormat="1" ht="15" customHeight="1" spans="1:24">
      <c r="A7576" s="550" t="s">
        <v>16202</v>
      </c>
      <c r="B7576" s="334" t="s">
        <v>31</v>
      </c>
      <c r="C7576" s="348" t="s">
        <v>2716</v>
      </c>
      <c r="D7576" s="334" t="s">
        <v>954</v>
      </c>
      <c r="E7576" s="336">
        <v>43802</v>
      </c>
      <c r="F7576" s="336">
        <v>43745</v>
      </c>
      <c r="G7576" s="336">
        <v>43801</v>
      </c>
      <c r="H7576" s="334" t="s">
        <v>16203</v>
      </c>
      <c r="I7576" s="444">
        <v>15900920117</v>
      </c>
      <c r="J7576" s="348" t="s">
        <v>16204</v>
      </c>
      <c r="K7576" s="452">
        <v>1000</v>
      </c>
      <c r="L7576" s="334">
        <v>12826</v>
      </c>
      <c r="M7576" s="338"/>
      <c r="N7576" s="362">
        <f t="shared" si="259"/>
        <v>12826</v>
      </c>
      <c r="X7576" s="339"/>
    </row>
    <row r="7577" s="330" customFormat="1" ht="15" customHeight="1" spans="1:24">
      <c r="A7577" s="550" t="s">
        <v>2097</v>
      </c>
      <c r="B7577" s="334" t="s">
        <v>66</v>
      </c>
      <c r="C7577" s="348" t="s">
        <v>119</v>
      </c>
      <c r="D7577" s="334" t="s">
        <v>1436</v>
      </c>
      <c r="E7577" s="336">
        <v>43799</v>
      </c>
      <c r="F7577" s="336">
        <v>43774</v>
      </c>
      <c r="G7577" s="336">
        <v>43799</v>
      </c>
      <c r="H7577" s="334" t="s">
        <v>16205</v>
      </c>
      <c r="I7577" s="444">
        <v>13501805284</v>
      </c>
      <c r="J7577" s="348" t="s">
        <v>16206</v>
      </c>
      <c r="K7577" s="452">
        <v>3137</v>
      </c>
      <c r="L7577" s="334">
        <v>3100</v>
      </c>
      <c r="M7577" s="338"/>
      <c r="N7577" s="362">
        <f t="shared" si="259"/>
        <v>3100</v>
      </c>
      <c r="Q7577" s="330" t="s">
        <v>52</v>
      </c>
      <c r="X7577" s="339"/>
    </row>
    <row r="7578" s="330" customFormat="1" ht="15" customHeight="1" spans="1:24">
      <c r="A7578" s="550" t="s">
        <v>16207</v>
      </c>
      <c r="B7578" s="334" t="s">
        <v>58</v>
      </c>
      <c r="C7578" s="348" t="s">
        <v>109</v>
      </c>
      <c r="D7578" s="334" t="s">
        <v>110</v>
      </c>
      <c r="E7578" s="336">
        <v>43778</v>
      </c>
      <c r="F7578" s="336">
        <v>43775</v>
      </c>
      <c r="G7578" s="336">
        <v>43776</v>
      </c>
      <c r="H7578" s="334" t="s">
        <v>3416</v>
      </c>
      <c r="I7578" s="444">
        <v>13918868568</v>
      </c>
      <c r="J7578" s="348" t="s">
        <v>16208</v>
      </c>
      <c r="K7578" s="452">
        <v>1000</v>
      </c>
      <c r="L7578" s="334">
        <v>6400</v>
      </c>
      <c r="M7578" s="338"/>
      <c r="N7578" s="362">
        <f t="shared" si="259"/>
        <v>6400</v>
      </c>
      <c r="X7578" s="339"/>
    </row>
    <row r="7579" s="330" customFormat="1" ht="15" customHeight="1" spans="1:24">
      <c r="A7579" s="550" t="s">
        <v>16209</v>
      </c>
      <c r="B7579" s="334" t="s">
        <v>185</v>
      </c>
      <c r="C7579" s="348" t="s">
        <v>186</v>
      </c>
      <c r="D7579" s="334" t="s">
        <v>44</v>
      </c>
      <c r="E7579" s="336">
        <v>43798</v>
      </c>
      <c r="F7579" s="336">
        <v>43774</v>
      </c>
      <c r="G7579" s="336">
        <v>43797</v>
      </c>
      <c r="H7579" s="334" t="s">
        <v>16210</v>
      </c>
      <c r="I7579" s="444">
        <v>18621820712</v>
      </c>
      <c r="J7579" s="348" t="s">
        <v>16211</v>
      </c>
      <c r="K7579" s="452">
        <v>1000</v>
      </c>
      <c r="L7579" s="334">
        <v>8337</v>
      </c>
      <c r="M7579" s="338"/>
      <c r="N7579" s="362">
        <f t="shared" si="259"/>
        <v>8337</v>
      </c>
      <c r="X7579" s="339"/>
    </row>
    <row r="7580" s="330" customFormat="1" ht="15" customHeight="1" spans="1:24">
      <c r="A7580" s="550" t="s">
        <v>1783</v>
      </c>
      <c r="B7580" s="334" t="s">
        <v>58</v>
      </c>
      <c r="C7580" s="348" t="s">
        <v>794</v>
      </c>
      <c r="D7580" s="335" t="s">
        <v>110</v>
      </c>
      <c r="E7580" s="336">
        <v>43785</v>
      </c>
      <c r="F7580" s="336">
        <v>43773</v>
      </c>
      <c r="G7580" s="336">
        <v>43785</v>
      </c>
      <c r="H7580" s="334" t="s">
        <v>16212</v>
      </c>
      <c r="I7580" s="444">
        <v>13917964980</v>
      </c>
      <c r="J7580" s="348" t="s">
        <v>16213</v>
      </c>
      <c r="K7580" s="452">
        <v>899</v>
      </c>
      <c r="L7580" s="334">
        <v>2780</v>
      </c>
      <c r="M7580" s="338"/>
      <c r="N7580" s="362">
        <f t="shared" si="259"/>
        <v>2780</v>
      </c>
      <c r="X7580" s="339"/>
    </row>
    <row r="7581" s="330" customFormat="1" ht="15" customHeight="1" spans="1:24">
      <c r="A7581" s="550" t="s">
        <v>2470</v>
      </c>
      <c r="B7581" s="334" t="s">
        <v>31</v>
      </c>
      <c r="C7581" s="348" t="s">
        <v>220</v>
      </c>
      <c r="D7581" s="334" t="s">
        <v>954</v>
      </c>
      <c r="E7581" s="336">
        <v>43785</v>
      </c>
      <c r="F7581" s="336">
        <v>43775</v>
      </c>
      <c r="G7581" s="336">
        <v>43785</v>
      </c>
      <c r="H7581" s="334" t="s">
        <v>16214</v>
      </c>
      <c r="I7581" s="444">
        <v>13564952557</v>
      </c>
      <c r="J7581" s="348" t="s">
        <v>16215</v>
      </c>
      <c r="K7581" s="452">
        <v>2000</v>
      </c>
      <c r="L7581" s="334">
        <v>2499</v>
      </c>
      <c r="M7581" s="338"/>
      <c r="N7581" s="362">
        <f t="shared" si="259"/>
        <v>2499</v>
      </c>
      <c r="X7581" s="339"/>
    </row>
    <row r="7582" s="330" customFormat="1" ht="15" customHeight="1" spans="1:24">
      <c r="A7582" s="550" t="s">
        <v>16216</v>
      </c>
      <c r="B7582" s="334" t="s">
        <v>805</v>
      </c>
      <c r="C7582" s="348" t="s">
        <v>4935</v>
      </c>
      <c r="D7582" s="334" t="s">
        <v>171</v>
      </c>
      <c r="E7582" s="336">
        <v>43782</v>
      </c>
      <c r="F7582" s="336">
        <v>43775</v>
      </c>
      <c r="G7582" s="336">
        <v>43782</v>
      </c>
      <c r="H7582" s="334" t="s">
        <v>16217</v>
      </c>
      <c r="I7582" s="444">
        <v>13916563957</v>
      </c>
      <c r="J7582" s="348" t="s">
        <v>16218</v>
      </c>
      <c r="K7582" s="452">
        <v>1000</v>
      </c>
      <c r="L7582" s="334">
        <v>7897</v>
      </c>
      <c r="M7582" s="338"/>
      <c r="N7582" s="362">
        <f t="shared" si="259"/>
        <v>7897</v>
      </c>
      <c r="X7582" s="339"/>
    </row>
    <row r="7583" s="330" customFormat="1" ht="15" customHeight="1" spans="1:24">
      <c r="A7583" s="348">
        <v>2024268</v>
      </c>
      <c r="B7583" s="334" t="s">
        <v>335</v>
      </c>
      <c r="C7583" s="348" t="s">
        <v>615</v>
      </c>
      <c r="D7583" s="334" t="s">
        <v>187</v>
      </c>
      <c r="E7583" s="336">
        <v>43836</v>
      </c>
      <c r="F7583" s="336">
        <v>43773</v>
      </c>
      <c r="G7583" s="336">
        <v>43834</v>
      </c>
      <c r="H7583" s="334" t="s">
        <v>16219</v>
      </c>
      <c r="I7583" s="444">
        <v>13585806020</v>
      </c>
      <c r="J7583" s="348" t="s">
        <v>16220</v>
      </c>
      <c r="K7583" s="452">
        <v>99</v>
      </c>
      <c r="L7583" s="334">
        <v>13999</v>
      </c>
      <c r="M7583" s="338"/>
      <c r="N7583" s="362">
        <f t="shared" si="259"/>
        <v>13999</v>
      </c>
      <c r="R7583" s="356" t="s">
        <v>22</v>
      </c>
      <c r="X7583" s="339"/>
    </row>
    <row r="7584" s="330" customFormat="1" ht="15" customHeight="1" spans="1:24">
      <c r="A7584" s="348">
        <v>2024269</v>
      </c>
      <c r="B7584" s="334" t="s">
        <v>335</v>
      </c>
      <c r="C7584" s="348" t="s">
        <v>399</v>
      </c>
      <c r="D7584" s="335" t="s">
        <v>337</v>
      </c>
      <c r="E7584" s="336">
        <v>43785</v>
      </c>
      <c r="F7584" s="336">
        <v>43775</v>
      </c>
      <c r="G7584" s="336">
        <v>43784</v>
      </c>
      <c r="H7584" s="334" t="s">
        <v>16221</v>
      </c>
      <c r="I7584" s="444">
        <v>13805157576</v>
      </c>
      <c r="J7584" s="348" t="s">
        <v>16222</v>
      </c>
      <c r="K7584" s="452">
        <v>1000</v>
      </c>
      <c r="L7584" s="334">
        <v>4279</v>
      </c>
      <c r="M7584" s="338"/>
      <c r="N7584" s="362">
        <f t="shared" si="259"/>
        <v>4279</v>
      </c>
      <c r="X7584" s="339"/>
    </row>
    <row r="7585" s="330" customFormat="1" ht="15" customHeight="1" spans="1:24">
      <c r="A7585" s="550" t="s">
        <v>5857</v>
      </c>
      <c r="B7585" s="334" t="s">
        <v>185</v>
      </c>
      <c r="C7585" s="334" t="s">
        <v>1620</v>
      </c>
      <c r="D7585" s="334" t="s">
        <v>44</v>
      </c>
      <c r="E7585" s="336">
        <v>43785</v>
      </c>
      <c r="F7585" s="336">
        <v>43775</v>
      </c>
      <c r="G7585" s="336">
        <v>43782</v>
      </c>
      <c r="H7585" s="334" t="s">
        <v>16223</v>
      </c>
      <c r="I7585" s="444">
        <v>13701630590</v>
      </c>
      <c r="J7585" s="348" t="s">
        <v>16224</v>
      </c>
      <c r="K7585" s="452">
        <v>1000</v>
      </c>
      <c r="L7585" s="334">
        <v>22345</v>
      </c>
      <c r="M7585" s="338"/>
      <c r="N7585" s="362">
        <f t="shared" si="259"/>
        <v>22345</v>
      </c>
      <c r="X7585" s="339"/>
    </row>
    <row r="7586" s="330" customFormat="1" ht="15" customHeight="1" spans="1:24">
      <c r="A7586" s="334"/>
      <c r="B7586" s="334" t="s">
        <v>31</v>
      </c>
      <c r="C7586" s="334" t="s">
        <v>3186</v>
      </c>
      <c r="D7586" s="334" t="s">
        <v>33</v>
      </c>
      <c r="E7586" s="336">
        <v>43775</v>
      </c>
      <c r="F7586" s="336"/>
      <c r="G7586" s="336">
        <v>43771</v>
      </c>
      <c r="H7586" s="334" t="s">
        <v>16225</v>
      </c>
      <c r="I7586" s="334">
        <v>13651628524</v>
      </c>
      <c r="J7586" s="348" t="s">
        <v>16226</v>
      </c>
      <c r="K7586" s="337"/>
      <c r="L7586" s="334">
        <v>6942</v>
      </c>
      <c r="M7586" s="338"/>
      <c r="N7586" s="362">
        <f t="shared" ref="N7586:N7603" si="260">L7586+M7586</f>
        <v>6942</v>
      </c>
      <c r="X7586" s="339"/>
    </row>
    <row r="7587" s="330" customFormat="1" ht="15" customHeight="1" spans="1:24">
      <c r="A7587" s="334"/>
      <c r="B7587" s="334" t="s">
        <v>73</v>
      </c>
      <c r="C7587" s="334" t="s">
        <v>74</v>
      </c>
      <c r="D7587" s="334" t="s">
        <v>187</v>
      </c>
      <c r="E7587" s="336">
        <v>43775</v>
      </c>
      <c r="F7587" s="336"/>
      <c r="G7587" s="336">
        <v>43773</v>
      </c>
      <c r="H7587" s="334" t="s">
        <v>16227</v>
      </c>
      <c r="I7587" s="334">
        <v>13816932565</v>
      </c>
      <c r="J7587" s="348" t="s">
        <v>16228</v>
      </c>
      <c r="K7587" s="337"/>
      <c r="L7587" s="334">
        <v>7246</v>
      </c>
      <c r="M7587" s="338"/>
      <c r="N7587" s="362">
        <f t="shared" si="260"/>
        <v>7246</v>
      </c>
      <c r="X7587" s="339"/>
    </row>
    <row r="7588" s="330" customFormat="1" ht="15" customHeight="1" spans="1:24">
      <c r="A7588" s="334"/>
      <c r="B7588" s="334" t="s">
        <v>35</v>
      </c>
      <c r="C7588" s="334" t="s">
        <v>328</v>
      </c>
      <c r="D7588" s="334" t="s">
        <v>37</v>
      </c>
      <c r="E7588" s="336">
        <v>43775</v>
      </c>
      <c r="F7588" s="336"/>
      <c r="G7588" s="336">
        <v>43774</v>
      </c>
      <c r="H7588" s="334" t="s">
        <v>8247</v>
      </c>
      <c r="I7588" s="334">
        <v>18917219808</v>
      </c>
      <c r="J7588" s="334" t="s">
        <v>16229</v>
      </c>
      <c r="K7588" s="337"/>
      <c r="L7588" s="338"/>
      <c r="M7588" s="334">
        <v>3495</v>
      </c>
      <c r="N7588" s="362">
        <f t="shared" si="260"/>
        <v>3495</v>
      </c>
      <c r="X7588" s="339"/>
    </row>
    <row r="7589" s="330" customFormat="1" ht="15" customHeight="1" spans="1:24">
      <c r="A7589" s="334"/>
      <c r="B7589" s="334" t="s">
        <v>31</v>
      </c>
      <c r="C7589" s="334" t="s">
        <v>3186</v>
      </c>
      <c r="D7589" s="334" t="s">
        <v>954</v>
      </c>
      <c r="E7589" s="336">
        <v>43775</v>
      </c>
      <c r="F7589" s="336"/>
      <c r="G7589" s="336">
        <v>43772</v>
      </c>
      <c r="H7589" s="334" t="s">
        <v>16230</v>
      </c>
      <c r="I7589" s="334">
        <v>13524702445</v>
      </c>
      <c r="J7589" s="334" t="s">
        <v>16231</v>
      </c>
      <c r="K7589" s="337"/>
      <c r="L7589" s="338"/>
      <c r="M7589" s="334">
        <v>5819</v>
      </c>
      <c r="N7589" s="362">
        <f t="shared" si="260"/>
        <v>5819</v>
      </c>
      <c r="X7589" s="339"/>
    </row>
    <row r="7590" s="330" customFormat="1" ht="15" customHeight="1" spans="1:24">
      <c r="A7590" s="334"/>
      <c r="B7590" s="334" t="s">
        <v>66</v>
      </c>
      <c r="C7590" s="334" t="s">
        <v>505</v>
      </c>
      <c r="D7590" s="334" t="s">
        <v>1436</v>
      </c>
      <c r="E7590" s="336">
        <v>43775</v>
      </c>
      <c r="F7590" s="336"/>
      <c r="G7590" s="336">
        <v>43774</v>
      </c>
      <c r="H7590" s="334" t="s">
        <v>8818</v>
      </c>
      <c r="I7590" s="334">
        <v>18721781900</v>
      </c>
      <c r="J7590" s="348" t="s">
        <v>15977</v>
      </c>
      <c r="K7590" s="337"/>
      <c r="L7590" s="338"/>
      <c r="M7590" s="334">
        <v>2767</v>
      </c>
      <c r="N7590" s="362">
        <f t="shared" si="260"/>
        <v>2767</v>
      </c>
      <c r="X7590" s="339"/>
    </row>
    <row r="7591" s="330" customFormat="1" ht="15" customHeight="1" spans="1:24">
      <c r="A7591" s="334"/>
      <c r="B7591" s="334" t="s">
        <v>137</v>
      </c>
      <c r="C7591" s="334" t="s">
        <v>406</v>
      </c>
      <c r="D7591" s="334" t="s">
        <v>2381</v>
      </c>
      <c r="E7591" s="336">
        <v>43775</v>
      </c>
      <c r="F7591" s="336"/>
      <c r="G7591" s="336">
        <v>43775</v>
      </c>
      <c r="H7591" s="334" t="s">
        <v>16232</v>
      </c>
      <c r="I7591" s="334">
        <v>18521004011</v>
      </c>
      <c r="J7591" s="348" t="s">
        <v>16233</v>
      </c>
      <c r="K7591" s="337"/>
      <c r="L7591" s="338"/>
      <c r="M7591" s="334">
        <v>3198</v>
      </c>
      <c r="N7591" s="362">
        <f t="shared" si="260"/>
        <v>3198</v>
      </c>
      <c r="X7591" s="339"/>
    </row>
    <row r="7592" s="330" customFormat="1" ht="15" customHeight="1" spans="1:24">
      <c r="A7592" s="334"/>
      <c r="B7592" s="334" t="s">
        <v>185</v>
      </c>
      <c r="C7592" s="334" t="s">
        <v>1620</v>
      </c>
      <c r="D7592" s="334" t="s">
        <v>44</v>
      </c>
      <c r="E7592" s="336">
        <v>43775</v>
      </c>
      <c r="F7592" s="336"/>
      <c r="G7592" s="336">
        <v>43773</v>
      </c>
      <c r="H7592" s="334" t="s">
        <v>2184</v>
      </c>
      <c r="I7592" s="334">
        <v>13818257441</v>
      </c>
      <c r="J7592" s="348" t="s">
        <v>6362</v>
      </c>
      <c r="K7592" s="337"/>
      <c r="L7592" s="338"/>
      <c r="M7592" s="334">
        <v>861</v>
      </c>
      <c r="N7592" s="362">
        <f t="shared" si="260"/>
        <v>861</v>
      </c>
      <c r="X7592" s="339"/>
    </row>
    <row r="7593" s="330" customFormat="1" ht="15" customHeight="1" spans="1:24">
      <c r="A7593" s="334"/>
      <c r="B7593" s="334" t="s">
        <v>31</v>
      </c>
      <c r="C7593" s="334" t="s">
        <v>2716</v>
      </c>
      <c r="D7593" s="334" t="s">
        <v>33</v>
      </c>
      <c r="E7593" s="336">
        <v>43775</v>
      </c>
      <c r="F7593" s="336"/>
      <c r="G7593" s="336">
        <v>43775</v>
      </c>
      <c r="H7593" s="334" t="s">
        <v>10766</v>
      </c>
      <c r="I7593" s="444">
        <v>18018608823</v>
      </c>
      <c r="J7593" s="334" t="s">
        <v>10767</v>
      </c>
      <c r="K7593" s="337"/>
      <c r="L7593" s="338"/>
      <c r="M7593" s="334">
        <v>2881</v>
      </c>
      <c r="N7593" s="362">
        <f t="shared" si="260"/>
        <v>2881</v>
      </c>
      <c r="X7593" s="339"/>
    </row>
    <row r="7594" s="330" customFormat="1" ht="15" customHeight="1" spans="1:24">
      <c r="A7594" s="334"/>
      <c r="B7594" s="334" t="s">
        <v>137</v>
      </c>
      <c r="C7594" s="334" t="s">
        <v>480</v>
      </c>
      <c r="D7594" s="334" t="s">
        <v>139</v>
      </c>
      <c r="E7594" s="336">
        <v>43775</v>
      </c>
      <c r="F7594" s="336"/>
      <c r="G7594" s="336">
        <v>43775</v>
      </c>
      <c r="H7594" s="334" t="s">
        <v>5118</v>
      </c>
      <c r="I7594" s="444">
        <v>13761581152</v>
      </c>
      <c r="J7594" s="348" t="s">
        <v>5119</v>
      </c>
      <c r="K7594" s="337"/>
      <c r="L7594" s="338"/>
      <c r="M7594" s="334">
        <v>268</v>
      </c>
      <c r="N7594" s="362">
        <f t="shared" si="260"/>
        <v>268</v>
      </c>
      <c r="X7594" s="339"/>
    </row>
    <row r="7595" s="330" customFormat="1" ht="15" customHeight="1" spans="1:24">
      <c r="A7595" s="334"/>
      <c r="B7595" s="334" t="s">
        <v>66</v>
      </c>
      <c r="C7595" s="334" t="s">
        <v>119</v>
      </c>
      <c r="D7595" s="334" t="s">
        <v>2302</v>
      </c>
      <c r="E7595" s="336">
        <v>43775</v>
      </c>
      <c r="F7595" s="336"/>
      <c r="G7595" s="336">
        <v>43774</v>
      </c>
      <c r="H7595" s="334" t="s">
        <v>8413</v>
      </c>
      <c r="I7595" s="334">
        <v>15000453321</v>
      </c>
      <c r="J7595" s="334" t="s">
        <v>8414</v>
      </c>
      <c r="K7595" s="337"/>
      <c r="L7595" s="338"/>
      <c r="M7595" s="334">
        <v>3375</v>
      </c>
      <c r="N7595" s="362">
        <f t="shared" si="260"/>
        <v>3375</v>
      </c>
      <c r="X7595" s="339"/>
    </row>
    <row r="7596" s="330" customFormat="1" ht="15" customHeight="1" spans="1:24">
      <c r="A7596" s="334"/>
      <c r="B7596" s="334" t="s">
        <v>94</v>
      </c>
      <c r="C7596" s="334" t="s">
        <v>101</v>
      </c>
      <c r="D7596" s="334" t="s">
        <v>44</v>
      </c>
      <c r="E7596" s="336">
        <v>43775</v>
      </c>
      <c r="F7596" s="336"/>
      <c r="G7596" s="336">
        <v>43775</v>
      </c>
      <c r="H7596" s="334" t="s">
        <v>8844</v>
      </c>
      <c r="I7596" s="334">
        <v>13917749068</v>
      </c>
      <c r="J7596" s="334" t="s">
        <v>16234</v>
      </c>
      <c r="K7596" s="337"/>
      <c r="L7596" s="338"/>
      <c r="M7596" s="334">
        <v>17162</v>
      </c>
      <c r="N7596" s="362">
        <f t="shared" si="260"/>
        <v>17162</v>
      </c>
      <c r="X7596" s="339"/>
    </row>
    <row r="7597" s="330" customFormat="1" ht="15" customHeight="1" spans="1:24">
      <c r="A7597" s="334"/>
      <c r="B7597" s="334" t="s">
        <v>73</v>
      </c>
      <c r="C7597" s="334" t="s">
        <v>178</v>
      </c>
      <c r="D7597" s="334" t="s">
        <v>75</v>
      </c>
      <c r="E7597" s="336">
        <v>43775</v>
      </c>
      <c r="F7597" s="336"/>
      <c r="G7597" s="336">
        <v>43774</v>
      </c>
      <c r="H7597" s="334" t="s">
        <v>6582</v>
      </c>
      <c r="I7597" s="444">
        <v>13761586318</v>
      </c>
      <c r="J7597" s="348" t="s">
        <v>6583</v>
      </c>
      <c r="K7597" s="337"/>
      <c r="L7597" s="338"/>
      <c r="M7597" s="334">
        <v>-26215</v>
      </c>
      <c r="N7597" s="362">
        <f t="shared" si="260"/>
        <v>-26215</v>
      </c>
      <c r="X7597" s="339"/>
    </row>
    <row r="7598" s="330" customFormat="1" ht="15" customHeight="1" spans="1:24">
      <c r="A7598" s="334"/>
      <c r="B7598" s="334" t="s">
        <v>726</v>
      </c>
      <c r="C7598" s="334" t="s">
        <v>727</v>
      </c>
      <c r="D7598" s="334" t="s">
        <v>271</v>
      </c>
      <c r="E7598" s="336">
        <v>43775</v>
      </c>
      <c r="F7598" s="336"/>
      <c r="G7598" s="336">
        <v>43775</v>
      </c>
      <c r="H7598" s="334" t="s">
        <v>5039</v>
      </c>
      <c r="I7598" s="444">
        <v>13601773521</v>
      </c>
      <c r="J7598" s="348" t="s">
        <v>16235</v>
      </c>
      <c r="K7598" s="337"/>
      <c r="L7598" s="338"/>
      <c r="M7598" s="334">
        <v>2829</v>
      </c>
      <c r="N7598" s="362">
        <f t="shared" si="260"/>
        <v>2829</v>
      </c>
      <c r="X7598" s="339"/>
    </row>
    <row r="7599" s="330" customFormat="1" ht="15" customHeight="1" spans="1:24">
      <c r="A7599" s="334"/>
      <c r="B7599" s="334" t="s">
        <v>66</v>
      </c>
      <c r="C7599" s="334" t="s">
        <v>119</v>
      </c>
      <c r="D7599" s="334" t="s">
        <v>2302</v>
      </c>
      <c r="E7599" s="336">
        <v>43775</v>
      </c>
      <c r="F7599" s="336"/>
      <c r="G7599" s="336">
        <v>43772</v>
      </c>
      <c r="H7599" s="334" t="s">
        <v>13830</v>
      </c>
      <c r="I7599" s="334">
        <v>13788915568</v>
      </c>
      <c r="J7599" s="334" t="s">
        <v>13831</v>
      </c>
      <c r="K7599" s="337"/>
      <c r="L7599" s="338"/>
      <c r="M7599" s="334">
        <v>11460</v>
      </c>
      <c r="N7599" s="362">
        <f t="shared" si="260"/>
        <v>11460</v>
      </c>
      <c r="X7599" s="339"/>
    </row>
    <row r="7600" s="330" customFormat="1" ht="15" customHeight="1" spans="1:24">
      <c r="A7600" s="334"/>
      <c r="B7600" s="334" t="s">
        <v>5336</v>
      </c>
      <c r="C7600" s="334" t="s">
        <v>5336</v>
      </c>
      <c r="D7600" s="334" t="s">
        <v>337</v>
      </c>
      <c r="E7600" s="336">
        <v>43775</v>
      </c>
      <c r="F7600" s="336"/>
      <c r="G7600" s="336">
        <v>43775</v>
      </c>
      <c r="H7600" s="334" t="s">
        <v>10280</v>
      </c>
      <c r="I7600" s="334">
        <v>13122759589</v>
      </c>
      <c r="J7600" s="334" t="s">
        <v>16236</v>
      </c>
      <c r="K7600" s="337"/>
      <c r="L7600" s="338"/>
      <c r="M7600" s="334">
        <v>469</v>
      </c>
      <c r="N7600" s="362">
        <f t="shared" si="260"/>
        <v>469</v>
      </c>
      <c r="X7600" s="339"/>
    </row>
    <row r="7601" s="330" customFormat="1" ht="15" customHeight="1" spans="1:24">
      <c r="A7601" s="334"/>
      <c r="B7601" s="334" t="s">
        <v>31</v>
      </c>
      <c r="C7601" s="334" t="s">
        <v>220</v>
      </c>
      <c r="D7601" s="334" t="s">
        <v>221</v>
      </c>
      <c r="E7601" s="336">
        <v>43775</v>
      </c>
      <c r="F7601" s="336"/>
      <c r="G7601" s="336">
        <v>43775</v>
      </c>
      <c r="H7601" s="334" t="s">
        <v>4964</v>
      </c>
      <c r="I7601" s="334">
        <v>18616105108</v>
      </c>
      <c r="J7601" s="334" t="s">
        <v>16237</v>
      </c>
      <c r="K7601" s="337"/>
      <c r="L7601" s="338"/>
      <c r="M7601" s="334">
        <v>5303</v>
      </c>
      <c r="N7601" s="362">
        <f t="shared" si="260"/>
        <v>5303</v>
      </c>
      <c r="X7601" s="339"/>
    </row>
    <row r="7602" s="330" customFormat="1" ht="15" customHeight="1" spans="1:24">
      <c r="A7602" s="334"/>
      <c r="B7602" s="334" t="s">
        <v>66</v>
      </c>
      <c r="C7602" s="334" t="s">
        <v>119</v>
      </c>
      <c r="D7602" s="334" t="s">
        <v>2302</v>
      </c>
      <c r="E7602" s="336">
        <v>43775</v>
      </c>
      <c r="F7602" s="336"/>
      <c r="G7602" s="336">
        <v>43774</v>
      </c>
      <c r="H7602" s="334" t="s">
        <v>806</v>
      </c>
      <c r="I7602" s="444">
        <v>13795221804</v>
      </c>
      <c r="J7602" s="348" t="s">
        <v>16238</v>
      </c>
      <c r="K7602" s="337"/>
      <c r="L7602" s="338"/>
      <c r="M7602" s="334">
        <v>7608</v>
      </c>
      <c r="N7602" s="362">
        <f t="shared" si="260"/>
        <v>7608</v>
      </c>
      <c r="X7602" s="339"/>
    </row>
    <row r="7603" s="330" customFormat="1" ht="15" customHeight="1" spans="1:24">
      <c r="A7603" s="334"/>
      <c r="B7603" s="334" t="s">
        <v>281</v>
      </c>
      <c r="C7603" s="334" t="s">
        <v>517</v>
      </c>
      <c r="D7603" s="334" t="s">
        <v>518</v>
      </c>
      <c r="E7603" s="336">
        <v>43775</v>
      </c>
      <c r="F7603" s="336"/>
      <c r="G7603" s="336">
        <v>43775</v>
      </c>
      <c r="H7603" s="334" t="s">
        <v>13529</v>
      </c>
      <c r="I7603" s="334">
        <v>13818208686</v>
      </c>
      <c r="J7603" s="334" t="s">
        <v>16239</v>
      </c>
      <c r="K7603" s="337"/>
      <c r="L7603" s="338"/>
      <c r="M7603" s="334">
        <v>14000</v>
      </c>
      <c r="N7603" s="362">
        <f t="shared" si="260"/>
        <v>14000</v>
      </c>
      <c r="X7603" s="339"/>
    </row>
    <row r="7604" s="330" customFormat="1" ht="15" customHeight="1" spans="1:24">
      <c r="A7604" s="550" t="s">
        <v>16240</v>
      </c>
      <c r="B7604" s="334" t="s">
        <v>805</v>
      </c>
      <c r="C7604" s="348" t="s">
        <v>4935</v>
      </c>
      <c r="D7604" s="335" t="s">
        <v>171</v>
      </c>
      <c r="E7604" s="336">
        <v>43787</v>
      </c>
      <c r="F7604" s="336">
        <v>43776</v>
      </c>
      <c r="G7604" s="336">
        <v>43786</v>
      </c>
      <c r="H7604" s="334" t="s">
        <v>16241</v>
      </c>
      <c r="I7604" s="444">
        <v>13817699501</v>
      </c>
      <c r="J7604" s="348" t="s">
        <v>16242</v>
      </c>
      <c r="K7604" s="452">
        <v>1000</v>
      </c>
      <c r="L7604" s="334">
        <v>9880</v>
      </c>
      <c r="M7604" s="338"/>
      <c r="N7604" s="362">
        <f t="shared" ref="N7604:N7633" si="261">L7604+M7604</f>
        <v>9880</v>
      </c>
      <c r="X7604" s="339"/>
    </row>
    <row r="7605" s="330" customFormat="1" ht="15" customHeight="1" spans="1:24">
      <c r="A7605" s="348">
        <v>2024271</v>
      </c>
      <c r="B7605" s="334" t="s">
        <v>335</v>
      </c>
      <c r="C7605" s="348" t="s">
        <v>615</v>
      </c>
      <c r="D7605" s="335" t="s">
        <v>337</v>
      </c>
      <c r="E7605" s="336">
        <v>43776</v>
      </c>
      <c r="F7605" s="336">
        <v>43776</v>
      </c>
      <c r="G7605" s="399"/>
      <c r="H7605" s="334" t="s">
        <v>16243</v>
      </c>
      <c r="I7605" s="444">
        <v>15996277269</v>
      </c>
      <c r="J7605" s="348" t="s">
        <v>16244</v>
      </c>
      <c r="K7605" s="452">
        <v>99</v>
      </c>
      <c r="L7605" s="338"/>
      <c r="M7605" s="338"/>
      <c r="N7605" s="362">
        <f t="shared" si="261"/>
        <v>0</v>
      </c>
      <c r="O7605" s="356" t="s">
        <v>4960</v>
      </c>
      <c r="X7605" s="339"/>
    </row>
    <row r="7606" s="330" customFormat="1" ht="15" customHeight="1" spans="1:24">
      <c r="A7606" s="550" t="s">
        <v>10261</v>
      </c>
      <c r="B7606" s="334" t="s">
        <v>66</v>
      </c>
      <c r="C7606" s="348" t="s">
        <v>1749</v>
      </c>
      <c r="D7606" s="335" t="s">
        <v>68</v>
      </c>
      <c r="E7606" s="336">
        <v>43789</v>
      </c>
      <c r="F7606" s="336">
        <v>43775</v>
      </c>
      <c r="G7606" s="336">
        <v>43789</v>
      </c>
      <c r="H7606" s="334" t="s">
        <v>16245</v>
      </c>
      <c r="I7606" s="444">
        <v>13918545740</v>
      </c>
      <c r="J7606" s="348" t="s">
        <v>16246</v>
      </c>
      <c r="K7606" s="452">
        <v>1000</v>
      </c>
      <c r="L7606" s="334">
        <v>19934</v>
      </c>
      <c r="M7606" s="338"/>
      <c r="N7606" s="362">
        <f t="shared" si="261"/>
        <v>19934</v>
      </c>
      <c r="X7606" s="339"/>
    </row>
    <row r="7607" s="330" customFormat="1" ht="15" customHeight="1" spans="1:24">
      <c r="A7607" s="348">
        <v>2024270</v>
      </c>
      <c r="B7607" s="334" t="s">
        <v>335</v>
      </c>
      <c r="C7607" s="348" t="s">
        <v>615</v>
      </c>
      <c r="D7607" s="335" t="s">
        <v>337</v>
      </c>
      <c r="E7607" s="336">
        <v>43776</v>
      </c>
      <c r="F7607" s="336">
        <v>43775</v>
      </c>
      <c r="G7607" s="399"/>
      <c r="H7607" s="334" t="s">
        <v>16247</v>
      </c>
      <c r="I7607" s="444">
        <v>13585806020</v>
      </c>
      <c r="J7607" s="348" t="s">
        <v>16248</v>
      </c>
      <c r="K7607" s="452">
        <v>1000</v>
      </c>
      <c r="L7607" s="338"/>
      <c r="M7607" s="338"/>
      <c r="N7607" s="362">
        <f t="shared" si="261"/>
        <v>0</v>
      </c>
      <c r="X7607" s="339"/>
    </row>
    <row r="7608" s="330" customFormat="1" ht="15" customHeight="1" spans="1:24">
      <c r="A7608" s="550" t="s">
        <v>6600</v>
      </c>
      <c r="B7608" s="334" t="s">
        <v>87</v>
      </c>
      <c r="C7608" s="348" t="s">
        <v>14185</v>
      </c>
      <c r="D7608" s="334" t="s">
        <v>187</v>
      </c>
      <c r="E7608" s="336">
        <v>43782</v>
      </c>
      <c r="F7608" s="336">
        <v>43775</v>
      </c>
      <c r="G7608" s="336">
        <v>43778</v>
      </c>
      <c r="H7608" s="334" t="s">
        <v>16249</v>
      </c>
      <c r="I7608" s="444">
        <v>18721362563</v>
      </c>
      <c r="J7608" s="348" t="s">
        <v>16250</v>
      </c>
      <c r="K7608" s="452">
        <v>1000</v>
      </c>
      <c r="L7608" s="334">
        <v>3400</v>
      </c>
      <c r="M7608" s="338"/>
      <c r="N7608" s="362">
        <f t="shared" si="261"/>
        <v>3400</v>
      </c>
      <c r="X7608" s="339"/>
    </row>
    <row r="7609" s="330" customFormat="1" ht="15" customHeight="1" spans="1:24">
      <c r="A7609" s="550" t="s">
        <v>16251</v>
      </c>
      <c r="B7609" s="334" t="s">
        <v>153</v>
      </c>
      <c r="C7609" s="348" t="s">
        <v>302</v>
      </c>
      <c r="D7609" s="335" t="s">
        <v>155</v>
      </c>
      <c r="E7609" s="336">
        <v>43796</v>
      </c>
      <c r="F7609" s="336">
        <v>43774</v>
      </c>
      <c r="G7609" s="336">
        <v>43794</v>
      </c>
      <c r="H7609" s="334" t="s">
        <v>16252</v>
      </c>
      <c r="I7609" s="444">
        <v>13651818458</v>
      </c>
      <c r="J7609" s="348" t="s">
        <v>16253</v>
      </c>
      <c r="K7609" s="452">
        <v>3600</v>
      </c>
      <c r="L7609" s="334">
        <v>8081</v>
      </c>
      <c r="M7609" s="338"/>
      <c r="N7609" s="362">
        <f t="shared" si="261"/>
        <v>8081</v>
      </c>
      <c r="V7609" s="330" t="s">
        <v>16254</v>
      </c>
      <c r="X7609" s="339"/>
    </row>
    <row r="7610" s="330" customFormat="1" ht="15" customHeight="1" spans="1:24">
      <c r="A7610" s="550" t="s">
        <v>16255</v>
      </c>
      <c r="B7610" s="334" t="s">
        <v>87</v>
      </c>
      <c r="C7610" s="334" t="s">
        <v>9318</v>
      </c>
      <c r="D7610" s="334" t="s">
        <v>89</v>
      </c>
      <c r="E7610" s="336">
        <v>43781</v>
      </c>
      <c r="F7610" s="336">
        <v>43775</v>
      </c>
      <c r="G7610" s="336">
        <v>43780</v>
      </c>
      <c r="H7610" s="334" t="s">
        <v>16256</v>
      </c>
      <c r="I7610" s="444">
        <v>15900582146</v>
      </c>
      <c r="J7610" s="348" t="s">
        <v>16257</v>
      </c>
      <c r="K7610" s="452">
        <v>1000</v>
      </c>
      <c r="L7610" s="334">
        <v>11478</v>
      </c>
      <c r="M7610" s="338"/>
      <c r="N7610" s="362">
        <f t="shared" si="261"/>
        <v>11478</v>
      </c>
      <c r="X7610" s="339"/>
    </row>
    <row r="7611" s="330" customFormat="1" ht="15" customHeight="1" spans="1:24">
      <c r="A7611" s="550" t="s">
        <v>16258</v>
      </c>
      <c r="B7611" s="334" t="s">
        <v>185</v>
      </c>
      <c r="C7611" s="348" t="s">
        <v>14185</v>
      </c>
      <c r="D7611" s="334" t="s">
        <v>187</v>
      </c>
      <c r="E7611" s="336">
        <v>43821</v>
      </c>
      <c r="F7611" s="336">
        <v>43775</v>
      </c>
      <c r="G7611" s="336">
        <v>43820</v>
      </c>
      <c r="H7611" s="334" t="s">
        <v>16259</v>
      </c>
      <c r="I7611" s="444">
        <v>15221702550</v>
      </c>
      <c r="J7611" s="348" t="s">
        <v>16260</v>
      </c>
      <c r="K7611" s="452">
        <v>1000</v>
      </c>
      <c r="L7611" s="334">
        <v>17957</v>
      </c>
      <c r="M7611" s="338"/>
      <c r="N7611" s="362">
        <f t="shared" si="261"/>
        <v>17957</v>
      </c>
      <c r="X7611" s="339"/>
    </row>
    <row r="7612" s="330" customFormat="1" ht="15" customHeight="1" spans="1:24">
      <c r="A7612" s="550" t="s">
        <v>4815</v>
      </c>
      <c r="B7612" s="334" t="s">
        <v>73</v>
      </c>
      <c r="C7612" s="348" t="s">
        <v>178</v>
      </c>
      <c r="D7612" s="335" t="s">
        <v>75</v>
      </c>
      <c r="E7612" s="336">
        <v>43776</v>
      </c>
      <c r="F7612" s="336">
        <v>43774</v>
      </c>
      <c r="G7612" s="399"/>
      <c r="H7612" s="334" t="s">
        <v>16261</v>
      </c>
      <c r="I7612" s="444">
        <v>13916409894</v>
      </c>
      <c r="J7612" s="348" t="s">
        <v>16262</v>
      </c>
      <c r="K7612" s="452">
        <v>1000</v>
      </c>
      <c r="L7612" s="338"/>
      <c r="M7612" s="338"/>
      <c r="N7612" s="362">
        <f t="shared" si="261"/>
        <v>0</v>
      </c>
      <c r="Q7612" s="366" t="s">
        <v>52</v>
      </c>
      <c r="X7612" s="339"/>
    </row>
    <row r="7613" s="330" customFormat="1" ht="15" customHeight="1" spans="1:24">
      <c r="A7613" s="550" t="s">
        <v>4643</v>
      </c>
      <c r="B7613" s="334" t="s">
        <v>73</v>
      </c>
      <c r="C7613" s="348" t="s">
        <v>74</v>
      </c>
      <c r="D7613" s="335" t="s">
        <v>75</v>
      </c>
      <c r="E7613" s="336">
        <v>43778</v>
      </c>
      <c r="F7613" s="336">
        <v>43777</v>
      </c>
      <c r="G7613" s="399"/>
      <c r="H7613" s="334" t="s">
        <v>16263</v>
      </c>
      <c r="I7613" s="444">
        <v>13564033104</v>
      </c>
      <c r="J7613" s="348" t="s">
        <v>16264</v>
      </c>
      <c r="K7613" s="452">
        <v>1000</v>
      </c>
      <c r="L7613" s="338"/>
      <c r="M7613" s="338"/>
      <c r="N7613" s="362">
        <f t="shared" si="261"/>
        <v>0</v>
      </c>
      <c r="Q7613" s="366" t="s">
        <v>52</v>
      </c>
      <c r="X7613" s="339"/>
    </row>
    <row r="7614" s="330" customFormat="1" ht="15" customHeight="1" spans="1:24">
      <c r="A7614" s="550" t="s">
        <v>16265</v>
      </c>
      <c r="B7614" s="334" t="s">
        <v>73</v>
      </c>
      <c r="C7614" s="348" t="s">
        <v>178</v>
      </c>
      <c r="D7614" s="335" t="s">
        <v>75</v>
      </c>
      <c r="E7614" s="336">
        <v>43799</v>
      </c>
      <c r="F7614" s="336">
        <v>43775</v>
      </c>
      <c r="G7614" s="336">
        <v>43796</v>
      </c>
      <c r="H7614" s="334" t="s">
        <v>16266</v>
      </c>
      <c r="I7614" s="444">
        <v>13816297023</v>
      </c>
      <c r="J7614" s="348" t="s">
        <v>16267</v>
      </c>
      <c r="K7614" s="452">
        <v>1000</v>
      </c>
      <c r="L7614" s="334">
        <v>26715</v>
      </c>
      <c r="M7614" s="338"/>
      <c r="N7614" s="362">
        <f t="shared" si="261"/>
        <v>26715</v>
      </c>
      <c r="Q7614" s="366" t="s">
        <v>52</v>
      </c>
      <c r="X7614" s="339"/>
    </row>
    <row r="7615" s="330" customFormat="1" ht="15" customHeight="1" spans="1:24">
      <c r="A7615" s="550" t="s">
        <v>4647</v>
      </c>
      <c r="B7615" s="334" t="s">
        <v>73</v>
      </c>
      <c r="C7615" s="348" t="s">
        <v>178</v>
      </c>
      <c r="D7615" s="334" t="s">
        <v>44</v>
      </c>
      <c r="E7615" s="336">
        <v>43799</v>
      </c>
      <c r="F7615" s="336">
        <v>43774</v>
      </c>
      <c r="G7615" s="336">
        <v>43799</v>
      </c>
      <c r="H7615" s="334" t="s">
        <v>16268</v>
      </c>
      <c r="I7615" s="444">
        <v>13512152451</v>
      </c>
      <c r="J7615" s="348" t="s">
        <v>16269</v>
      </c>
      <c r="K7615" s="452">
        <v>1000</v>
      </c>
      <c r="L7615" s="334">
        <v>21486</v>
      </c>
      <c r="M7615" s="338"/>
      <c r="N7615" s="362">
        <f t="shared" si="261"/>
        <v>21486</v>
      </c>
      <c r="Q7615" s="366" t="s">
        <v>52</v>
      </c>
      <c r="X7615" s="339"/>
    </row>
    <row r="7616" s="330" customFormat="1" ht="15" customHeight="1" spans="1:24">
      <c r="A7616" s="550" t="s">
        <v>8423</v>
      </c>
      <c r="B7616" s="334" t="s">
        <v>73</v>
      </c>
      <c r="C7616" s="348" t="s">
        <v>178</v>
      </c>
      <c r="D7616" s="334" t="s">
        <v>44</v>
      </c>
      <c r="E7616" s="336">
        <v>43806</v>
      </c>
      <c r="F7616" s="336">
        <v>43774</v>
      </c>
      <c r="G7616" s="336">
        <v>43804</v>
      </c>
      <c r="H7616" s="334" t="s">
        <v>16270</v>
      </c>
      <c r="I7616" s="444">
        <v>15821168685</v>
      </c>
      <c r="J7616" s="348" t="s">
        <v>16271</v>
      </c>
      <c r="K7616" s="452">
        <v>1000</v>
      </c>
      <c r="L7616" s="334">
        <v>14386</v>
      </c>
      <c r="M7616" s="338"/>
      <c r="N7616" s="362">
        <f t="shared" si="261"/>
        <v>14386</v>
      </c>
      <c r="Q7616" s="366" t="s">
        <v>52</v>
      </c>
      <c r="X7616" s="339"/>
    </row>
    <row r="7617" s="330" customFormat="1" ht="15" customHeight="1" spans="1:24">
      <c r="A7617" s="550" t="s">
        <v>16272</v>
      </c>
      <c r="B7617" s="334" t="s">
        <v>359</v>
      </c>
      <c r="C7617" s="348" t="s">
        <v>16273</v>
      </c>
      <c r="D7617" s="335" t="s">
        <v>361</v>
      </c>
      <c r="E7617" s="336">
        <v>43808</v>
      </c>
      <c r="F7617" s="336">
        <v>43776</v>
      </c>
      <c r="G7617" s="336">
        <v>43807</v>
      </c>
      <c r="H7617" s="334" t="s">
        <v>16274</v>
      </c>
      <c r="I7617" s="444">
        <v>13816225885</v>
      </c>
      <c r="J7617" s="348" t="s">
        <v>16275</v>
      </c>
      <c r="K7617" s="452">
        <v>1000</v>
      </c>
      <c r="L7617" s="334">
        <f>-44+27830</f>
        <v>27786</v>
      </c>
      <c r="M7617" s="334">
        <v>31214</v>
      </c>
      <c r="N7617" s="362">
        <f t="shared" si="261"/>
        <v>59000</v>
      </c>
      <c r="X7617" s="339"/>
    </row>
    <row r="7618" s="330" customFormat="1" ht="15" customHeight="1" spans="1:24">
      <c r="A7618" s="550" t="s">
        <v>11131</v>
      </c>
      <c r="B7618" s="334" t="s">
        <v>315</v>
      </c>
      <c r="C7618" s="348" t="s">
        <v>14638</v>
      </c>
      <c r="D7618" s="334" t="s">
        <v>1431</v>
      </c>
      <c r="E7618" s="336">
        <v>43783</v>
      </c>
      <c r="F7618" s="336">
        <v>43776</v>
      </c>
      <c r="G7618" s="336">
        <v>43780</v>
      </c>
      <c r="H7618" s="334" t="s">
        <v>16276</v>
      </c>
      <c r="I7618" s="444">
        <v>19145510314</v>
      </c>
      <c r="J7618" s="348" t="s">
        <v>16277</v>
      </c>
      <c r="K7618" s="452">
        <v>1899</v>
      </c>
      <c r="L7618" s="334">
        <v>4013</v>
      </c>
      <c r="M7618" s="338"/>
      <c r="N7618" s="362">
        <f t="shared" si="261"/>
        <v>4013</v>
      </c>
      <c r="X7618" s="339"/>
    </row>
    <row r="7619" s="330" customFormat="1" ht="15" customHeight="1" spans="1:24">
      <c r="A7619" s="550" t="s">
        <v>8558</v>
      </c>
      <c r="B7619" s="334" t="s">
        <v>31</v>
      </c>
      <c r="C7619" s="348" t="s">
        <v>220</v>
      </c>
      <c r="D7619" s="335" t="s">
        <v>221</v>
      </c>
      <c r="E7619" s="336">
        <v>43776</v>
      </c>
      <c r="F7619" s="336">
        <v>43776</v>
      </c>
      <c r="G7619" s="399"/>
      <c r="H7619" s="334" t="s">
        <v>16278</v>
      </c>
      <c r="I7619" s="444">
        <v>13501682988</v>
      </c>
      <c r="J7619" s="348" t="s">
        <v>16279</v>
      </c>
      <c r="K7619" s="452">
        <v>5000</v>
      </c>
      <c r="L7619" s="338"/>
      <c r="M7619" s="338"/>
      <c r="N7619" s="362">
        <f t="shared" si="261"/>
        <v>0</v>
      </c>
      <c r="R7619" s="366" t="s">
        <v>52</v>
      </c>
      <c r="X7619" s="339"/>
    </row>
    <row r="7620" s="330" customFormat="1" ht="15" customHeight="1" spans="1:24">
      <c r="A7620" s="550" t="s">
        <v>16280</v>
      </c>
      <c r="B7620" s="334" t="s">
        <v>123</v>
      </c>
      <c r="C7620" s="348" t="s">
        <v>902</v>
      </c>
      <c r="D7620" s="335" t="s">
        <v>125</v>
      </c>
      <c r="E7620" s="336">
        <v>43799</v>
      </c>
      <c r="F7620" s="336">
        <v>43772</v>
      </c>
      <c r="G7620" s="336">
        <v>43797</v>
      </c>
      <c r="H7620" s="334" t="s">
        <v>16281</v>
      </c>
      <c r="I7620" s="444">
        <v>18964105019</v>
      </c>
      <c r="J7620" s="348" t="s">
        <v>16282</v>
      </c>
      <c r="K7620" s="452">
        <v>1000</v>
      </c>
      <c r="L7620" s="334">
        <v>4099</v>
      </c>
      <c r="M7620" s="338"/>
      <c r="N7620" s="362">
        <f t="shared" si="261"/>
        <v>4099</v>
      </c>
      <c r="Q7620" s="486" t="s">
        <v>52</v>
      </c>
      <c r="X7620" s="339"/>
    </row>
    <row r="7621" s="330" customFormat="1" ht="15" customHeight="1" spans="1:24">
      <c r="A7621" s="550" t="s">
        <v>16283</v>
      </c>
      <c r="B7621" s="334" t="s">
        <v>169</v>
      </c>
      <c r="C7621" s="348" t="s">
        <v>634</v>
      </c>
      <c r="D7621" s="334" t="s">
        <v>635</v>
      </c>
      <c r="E7621" s="336">
        <v>43781</v>
      </c>
      <c r="F7621" s="336">
        <v>43775</v>
      </c>
      <c r="G7621" s="336">
        <v>43779</v>
      </c>
      <c r="H7621" s="334" t="s">
        <v>16284</v>
      </c>
      <c r="I7621" s="444">
        <v>13162202261</v>
      </c>
      <c r="J7621" s="348" t="s">
        <v>16285</v>
      </c>
      <c r="K7621" s="452">
        <v>1000</v>
      </c>
      <c r="L7621" s="334">
        <v>4058</v>
      </c>
      <c r="M7621" s="338"/>
      <c r="N7621" s="362">
        <f t="shared" si="261"/>
        <v>4058</v>
      </c>
      <c r="X7621" s="339"/>
    </row>
    <row r="7622" s="330" customFormat="1" ht="15" customHeight="1" spans="1:24">
      <c r="A7622" s="550" t="s">
        <v>1756</v>
      </c>
      <c r="B7622" s="334" t="s">
        <v>137</v>
      </c>
      <c r="C7622" s="348" t="s">
        <v>406</v>
      </c>
      <c r="D7622" s="335" t="s">
        <v>443</v>
      </c>
      <c r="E7622" s="336">
        <v>43796</v>
      </c>
      <c r="F7622" s="336">
        <v>43776</v>
      </c>
      <c r="G7622" s="336">
        <v>43796</v>
      </c>
      <c r="H7622" s="334" t="s">
        <v>16286</v>
      </c>
      <c r="I7622" s="444">
        <v>18521421987</v>
      </c>
      <c r="J7622" s="348" t="s">
        <v>16287</v>
      </c>
      <c r="K7622" s="452">
        <v>21000</v>
      </c>
      <c r="L7622" s="334">
        <v>21000</v>
      </c>
      <c r="M7622" s="338"/>
      <c r="N7622" s="362">
        <f t="shared" si="261"/>
        <v>21000</v>
      </c>
      <c r="Q7622" s="330">
        <v>1</v>
      </c>
      <c r="X7622" s="339"/>
    </row>
    <row r="7623" s="330" customFormat="1" ht="15" customHeight="1" spans="1:24">
      <c r="A7623" s="550" t="s">
        <v>16288</v>
      </c>
      <c r="B7623" s="334" t="s">
        <v>315</v>
      </c>
      <c r="C7623" s="334" t="s">
        <v>366</v>
      </c>
      <c r="D7623" s="334" t="s">
        <v>132</v>
      </c>
      <c r="E7623" s="336">
        <v>43776</v>
      </c>
      <c r="F7623" s="336">
        <v>43772</v>
      </c>
      <c r="G7623" s="399">
        <v>43774</v>
      </c>
      <c r="H7623" s="334" t="s">
        <v>16289</v>
      </c>
      <c r="I7623" s="334">
        <v>13681917037</v>
      </c>
      <c r="J7623" s="348" t="s">
        <v>16290</v>
      </c>
      <c r="K7623" s="452">
        <v>1000</v>
      </c>
      <c r="L7623" s="334">
        <v>11605</v>
      </c>
      <c r="M7623" s="338"/>
      <c r="N7623" s="362">
        <f t="shared" si="261"/>
        <v>11605</v>
      </c>
      <c r="X7623" s="339"/>
    </row>
    <row r="7624" s="330" customFormat="1" ht="15" customHeight="1" spans="1:24">
      <c r="A7624" s="550" t="s">
        <v>16291</v>
      </c>
      <c r="B7624" s="334" t="s">
        <v>58</v>
      </c>
      <c r="C7624" s="348" t="s">
        <v>59</v>
      </c>
      <c r="D7624" s="335" t="s">
        <v>271</v>
      </c>
      <c r="E7624" s="336">
        <v>43776</v>
      </c>
      <c r="F7624" s="336">
        <v>43776</v>
      </c>
      <c r="G7624" s="399"/>
      <c r="H7624" s="334" t="s">
        <v>16292</v>
      </c>
      <c r="I7624" s="444">
        <v>13621837162</v>
      </c>
      <c r="J7624" s="348" t="s">
        <v>16293</v>
      </c>
      <c r="K7624" s="452">
        <v>14499</v>
      </c>
      <c r="L7624" s="338"/>
      <c r="M7624" s="338"/>
      <c r="N7624" s="362">
        <f t="shared" si="261"/>
        <v>0</v>
      </c>
      <c r="O7624" s="365" t="s">
        <v>52</v>
      </c>
      <c r="X7624" s="339"/>
    </row>
    <row r="7625" s="330" customFormat="1" ht="15" customHeight="1" spans="1:24">
      <c r="A7625" s="348">
        <v>2024272</v>
      </c>
      <c r="B7625" s="334" t="s">
        <v>335</v>
      </c>
      <c r="C7625" s="348" t="s">
        <v>615</v>
      </c>
      <c r="D7625" s="335" t="s">
        <v>337</v>
      </c>
      <c r="E7625" s="336">
        <v>43776</v>
      </c>
      <c r="F7625" s="336">
        <v>43776</v>
      </c>
      <c r="G7625" s="399"/>
      <c r="H7625" s="334" t="s">
        <v>16294</v>
      </c>
      <c r="I7625" s="444">
        <v>13761921473</v>
      </c>
      <c r="J7625" s="348" t="s">
        <v>16295</v>
      </c>
      <c r="K7625" s="452">
        <v>1099</v>
      </c>
      <c r="L7625" s="338"/>
      <c r="M7625" s="338"/>
      <c r="N7625" s="362">
        <f t="shared" si="261"/>
        <v>0</v>
      </c>
      <c r="X7625" s="339"/>
    </row>
    <row r="7626" s="330" customFormat="1" ht="15" customHeight="1" spans="1:24">
      <c r="A7626" s="550" t="s">
        <v>16296</v>
      </c>
      <c r="B7626" s="334" t="s">
        <v>31</v>
      </c>
      <c r="C7626" s="348" t="s">
        <v>3186</v>
      </c>
      <c r="D7626" s="335" t="s">
        <v>221</v>
      </c>
      <c r="E7626" s="336">
        <v>43785</v>
      </c>
      <c r="F7626" s="336">
        <v>43776</v>
      </c>
      <c r="G7626" s="336">
        <v>43783</v>
      </c>
      <c r="H7626" s="334" t="s">
        <v>16297</v>
      </c>
      <c r="I7626" s="444">
        <v>18101642530</v>
      </c>
      <c r="J7626" s="348" t="s">
        <v>16298</v>
      </c>
      <c r="K7626" s="452">
        <v>1000</v>
      </c>
      <c r="L7626" s="334">
        <v>6547</v>
      </c>
      <c r="M7626" s="338"/>
      <c r="N7626" s="362">
        <f t="shared" si="261"/>
        <v>6547</v>
      </c>
      <c r="X7626" s="339"/>
    </row>
    <row r="7627" s="330" customFormat="1" ht="15" customHeight="1" spans="1:24">
      <c r="A7627" s="550" t="s">
        <v>16299</v>
      </c>
      <c r="B7627" s="334" t="s">
        <v>31</v>
      </c>
      <c r="C7627" s="348" t="s">
        <v>220</v>
      </c>
      <c r="D7627" s="334" t="s">
        <v>954</v>
      </c>
      <c r="E7627" s="336">
        <v>43794</v>
      </c>
      <c r="F7627" s="336">
        <v>43776</v>
      </c>
      <c r="G7627" s="336">
        <v>43794</v>
      </c>
      <c r="H7627" s="334" t="s">
        <v>16300</v>
      </c>
      <c r="I7627" s="444">
        <v>18930551666</v>
      </c>
      <c r="J7627" s="348" t="s">
        <v>16301</v>
      </c>
      <c r="K7627" s="452">
        <v>13000</v>
      </c>
      <c r="L7627" s="334">
        <v>27199</v>
      </c>
      <c r="M7627" s="338"/>
      <c r="N7627" s="362">
        <f t="shared" si="261"/>
        <v>27199</v>
      </c>
      <c r="X7627" s="339"/>
    </row>
    <row r="7628" s="330" customFormat="1" ht="15" customHeight="1" spans="1:24">
      <c r="A7628" s="550" t="s">
        <v>13967</v>
      </c>
      <c r="B7628" s="334" t="s">
        <v>4009</v>
      </c>
      <c r="C7628" s="348" t="s">
        <v>6401</v>
      </c>
      <c r="D7628" s="334" t="s">
        <v>237</v>
      </c>
      <c r="E7628" s="336">
        <v>43776</v>
      </c>
      <c r="F7628" s="336">
        <v>43772</v>
      </c>
      <c r="G7628" s="399">
        <v>43772</v>
      </c>
      <c r="H7628" s="334" t="s">
        <v>16302</v>
      </c>
      <c r="I7628" s="444">
        <v>13472489291</v>
      </c>
      <c r="J7628" s="348" t="s">
        <v>16303</v>
      </c>
      <c r="K7628" s="452">
        <v>5425</v>
      </c>
      <c r="L7628" s="334">
        <v>5425</v>
      </c>
      <c r="M7628" s="338"/>
      <c r="N7628" s="362">
        <f t="shared" si="261"/>
        <v>5425</v>
      </c>
      <c r="X7628" s="339"/>
    </row>
    <row r="7629" s="330" customFormat="1" ht="15" customHeight="1" spans="1:24">
      <c r="A7629" s="550" t="s">
        <v>7624</v>
      </c>
      <c r="B7629" s="334" t="s">
        <v>31</v>
      </c>
      <c r="C7629" s="348" t="s">
        <v>377</v>
      </c>
      <c r="D7629" s="334" t="s">
        <v>954</v>
      </c>
      <c r="E7629" s="336">
        <v>43824</v>
      </c>
      <c r="F7629" s="336">
        <v>43776</v>
      </c>
      <c r="G7629" s="336">
        <v>43823</v>
      </c>
      <c r="H7629" s="334" t="s">
        <v>16304</v>
      </c>
      <c r="I7629" s="444">
        <v>15316090039</v>
      </c>
      <c r="J7629" s="348" t="s">
        <v>16305</v>
      </c>
      <c r="K7629" s="452">
        <f>3360+200</f>
        <v>3560</v>
      </c>
      <c r="L7629" s="334">
        <v>4372</v>
      </c>
      <c r="M7629" s="338"/>
      <c r="N7629" s="362">
        <f t="shared" si="261"/>
        <v>4372</v>
      </c>
      <c r="X7629" s="339"/>
    </row>
    <row r="7630" s="330" customFormat="1" ht="15" customHeight="1" spans="1:24">
      <c r="A7630" s="550" t="s">
        <v>16306</v>
      </c>
      <c r="B7630" s="334" t="s">
        <v>137</v>
      </c>
      <c r="C7630" s="348" t="s">
        <v>406</v>
      </c>
      <c r="D7630" s="335" t="s">
        <v>443</v>
      </c>
      <c r="E7630" s="336">
        <v>43796</v>
      </c>
      <c r="F7630" s="336">
        <v>43776</v>
      </c>
      <c r="G7630" s="336">
        <v>43796</v>
      </c>
      <c r="H7630" s="334" t="s">
        <v>1381</v>
      </c>
      <c r="I7630" s="444">
        <v>18217348006</v>
      </c>
      <c r="J7630" s="348" t="s">
        <v>16307</v>
      </c>
      <c r="K7630" s="452">
        <v>5317</v>
      </c>
      <c r="L7630" s="334">
        <v>5371</v>
      </c>
      <c r="M7630" s="338"/>
      <c r="N7630" s="362">
        <f t="shared" si="261"/>
        <v>5371</v>
      </c>
      <c r="P7630" s="330">
        <v>1</v>
      </c>
      <c r="X7630" s="339"/>
    </row>
    <row r="7631" s="330" customFormat="1" ht="15" customHeight="1" spans="1:24">
      <c r="A7631" s="550" t="s">
        <v>1797</v>
      </c>
      <c r="B7631" s="334" t="s">
        <v>31</v>
      </c>
      <c r="C7631" s="348" t="s">
        <v>251</v>
      </c>
      <c r="D7631" s="334" t="s">
        <v>954</v>
      </c>
      <c r="E7631" s="336">
        <v>43776</v>
      </c>
      <c r="F7631" s="336">
        <v>43776</v>
      </c>
      <c r="G7631" s="399">
        <v>43775</v>
      </c>
      <c r="H7631" s="334" t="s">
        <v>16308</v>
      </c>
      <c r="I7631" s="444">
        <v>13818166412</v>
      </c>
      <c r="J7631" s="348" t="s">
        <v>16309</v>
      </c>
      <c r="K7631" s="452">
        <v>2406</v>
      </c>
      <c r="L7631" s="334">
        <v>2605</v>
      </c>
      <c r="M7631" s="338"/>
      <c r="N7631" s="362">
        <f t="shared" si="261"/>
        <v>2605</v>
      </c>
      <c r="X7631" s="339"/>
    </row>
    <row r="7632" s="330" customFormat="1" ht="15" customHeight="1" spans="1:24">
      <c r="A7632" s="550" t="s">
        <v>6549</v>
      </c>
      <c r="B7632" s="334" t="s">
        <v>31</v>
      </c>
      <c r="C7632" s="348" t="s">
        <v>251</v>
      </c>
      <c r="D7632" s="334" t="s">
        <v>33</v>
      </c>
      <c r="E7632" s="336">
        <v>43776</v>
      </c>
      <c r="F7632" s="336">
        <v>43773</v>
      </c>
      <c r="G7632" s="399">
        <v>43776</v>
      </c>
      <c r="H7632" s="334" t="s">
        <v>16310</v>
      </c>
      <c r="I7632" s="444">
        <v>13901872358</v>
      </c>
      <c r="J7632" s="348" t="s">
        <v>16311</v>
      </c>
      <c r="K7632" s="452">
        <v>1000</v>
      </c>
      <c r="L7632" s="334">
        <v>1599</v>
      </c>
      <c r="M7632" s="338"/>
      <c r="N7632" s="362">
        <f t="shared" si="261"/>
        <v>1599</v>
      </c>
      <c r="X7632" s="339"/>
    </row>
    <row r="7633" s="330" customFormat="1" ht="15" customHeight="1" spans="1:24">
      <c r="A7633" s="334"/>
      <c r="B7633" s="334" t="s">
        <v>73</v>
      </c>
      <c r="C7633" s="334" t="s">
        <v>74</v>
      </c>
      <c r="D7633" s="334" t="s">
        <v>44</v>
      </c>
      <c r="E7633" s="336">
        <v>43776</v>
      </c>
      <c r="F7633" s="336"/>
      <c r="G7633" s="336">
        <v>43772</v>
      </c>
      <c r="H7633" s="334" t="s">
        <v>12061</v>
      </c>
      <c r="I7633" s="334">
        <v>18861549053</v>
      </c>
      <c r="J7633" s="348" t="s">
        <v>12062</v>
      </c>
      <c r="K7633" s="337"/>
      <c r="L7633" s="338"/>
      <c r="M7633" s="334">
        <v>-1445</v>
      </c>
      <c r="N7633" s="362">
        <f t="shared" ref="N7633:N7667" si="262">L7633+M7633</f>
        <v>-1445</v>
      </c>
      <c r="X7633" s="339"/>
    </row>
    <row r="7634" s="330" customFormat="1" ht="15" customHeight="1" spans="1:24">
      <c r="A7634" s="334"/>
      <c r="B7634" s="334" t="s">
        <v>73</v>
      </c>
      <c r="C7634" s="334" t="s">
        <v>74</v>
      </c>
      <c r="D7634" s="334" t="s">
        <v>717</v>
      </c>
      <c r="E7634" s="336">
        <v>43776</v>
      </c>
      <c r="F7634" s="336"/>
      <c r="G7634" s="336">
        <v>43772</v>
      </c>
      <c r="H7634" s="334" t="s">
        <v>9004</v>
      </c>
      <c r="I7634" s="334">
        <v>13701999888</v>
      </c>
      <c r="J7634" s="334" t="s">
        <v>16312</v>
      </c>
      <c r="K7634" s="337"/>
      <c r="L7634" s="338"/>
      <c r="M7634" s="334">
        <v>5168</v>
      </c>
      <c r="N7634" s="362">
        <f t="shared" si="262"/>
        <v>5168</v>
      </c>
      <c r="X7634" s="339"/>
    </row>
    <row r="7635" s="330" customFormat="1" ht="15" customHeight="1" spans="1:24">
      <c r="A7635" s="334"/>
      <c r="B7635" s="334" t="s">
        <v>169</v>
      </c>
      <c r="C7635" s="334" t="s">
        <v>542</v>
      </c>
      <c r="D7635" s="334" t="s">
        <v>171</v>
      </c>
      <c r="E7635" s="336">
        <v>43776</v>
      </c>
      <c r="F7635" s="336"/>
      <c r="G7635" s="336">
        <v>43775</v>
      </c>
      <c r="H7635" s="334" t="s">
        <v>7977</v>
      </c>
      <c r="I7635" s="334">
        <v>18017312503</v>
      </c>
      <c r="J7635" s="334" t="s">
        <v>16313</v>
      </c>
      <c r="K7635" s="337"/>
      <c r="L7635" s="338"/>
      <c r="M7635" s="334">
        <v>-28</v>
      </c>
      <c r="N7635" s="362">
        <f t="shared" si="262"/>
        <v>-28</v>
      </c>
      <c r="X7635" s="339"/>
    </row>
    <row r="7636" s="330" customFormat="1" ht="15" customHeight="1" spans="1:24">
      <c r="A7636" s="334"/>
      <c r="B7636" s="334" t="s">
        <v>31</v>
      </c>
      <c r="C7636" s="334" t="s">
        <v>377</v>
      </c>
      <c r="D7636" s="334" t="s">
        <v>954</v>
      </c>
      <c r="E7636" s="336">
        <v>43776</v>
      </c>
      <c r="F7636" s="336"/>
      <c r="G7636" s="336">
        <v>43775</v>
      </c>
      <c r="H7636" s="334" t="s">
        <v>12082</v>
      </c>
      <c r="I7636" s="334">
        <v>13801727448</v>
      </c>
      <c r="J7636" s="334" t="s">
        <v>12083</v>
      </c>
      <c r="K7636" s="337"/>
      <c r="L7636" s="338"/>
      <c r="M7636" s="334">
        <v>1296</v>
      </c>
      <c r="N7636" s="362">
        <f t="shared" si="262"/>
        <v>1296</v>
      </c>
      <c r="X7636" s="339"/>
    </row>
    <row r="7637" s="330" customFormat="1" ht="15" customHeight="1" spans="1:24">
      <c r="A7637" s="334"/>
      <c r="B7637" s="334" t="s">
        <v>137</v>
      </c>
      <c r="C7637" s="334" t="s">
        <v>406</v>
      </c>
      <c r="D7637" s="334" t="s">
        <v>139</v>
      </c>
      <c r="E7637" s="336">
        <v>43776</v>
      </c>
      <c r="F7637" s="336"/>
      <c r="G7637" s="336">
        <v>43775</v>
      </c>
      <c r="H7637" s="334" t="s">
        <v>16314</v>
      </c>
      <c r="I7637" s="356">
        <v>18916038030</v>
      </c>
      <c r="J7637" s="334" t="s">
        <v>16315</v>
      </c>
      <c r="K7637" s="337"/>
      <c r="L7637" s="338"/>
      <c r="M7637" s="334">
        <v>12938</v>
      </c>
      <c r="N7637" s="362">
        <f t="shared" si="262"/>
        <v>12938</v>
      </c>
      <c r="X7637" s="339"/>
    </row>
    <row r="7638" s="330" customFormat="1" ht="15" customHeight="1" spans="1:24">
      <c r="A7638" s="334"/>
      <c r="B7638" s="334" t="s">
        <v>73</v>
      </c>
      <c r="C7638" s="334" t="s">
        <v>178</v>
      </c>
      <c r="D7638" s="334" t="s">
        <v>143</v>
      </c>
      <c r="E7638" s="336">
        <v>43776</v>
      </c>
      <c r="F7638" s="336"/>
      <c r="G7638" s="336">
        <v>43776</v>
      </c>
      <c r="H7638" s="334" t="s">
        <v>2670</v>
      </c>
      <c r="I7638" s="334">
        <v>18918698821</v>
      </c>
      <c r="J7638" s="334" t="s">
        <v>11978</v>
      </c>
      <c r="K7638" s="337"/>
      <c r="L7638" s="338"/>
      <c r="M7638" s="334">
        <v>6894</v>
      </c>
      <c r="N7638" s="362">
        <f t="shared" si="262"/>
        <v>6894</v>
      </c>
      <c r="X7638" s="339"/>
    </row>
    <row r="7639" s="330" customFormat="1" ht="15" customHeight="1" spans="1:24">
      <c r="A7639" s="334"/>
      <c r="B7639" s="334" t="s">
        <v>31</v>
      </c>
      <c r="C7639" s="334" t="s">
        <v>377</v>
      </c>
      <c r="D7639" s="334" t="s">
        <v>33</v>
      </c>
      <c r="E7639" s="336">
        <v>43776</v>
      </c>
      <c r="F7639" s="336"/>
      <c r="G7639" s="336">
        <v>43776</v>
      </c>
      <c r="H7639" s="334" t="s">
        <v>14768</v>
      </c>
      <c r="I7639" s="444">
        <v>13901831142</v>
      </c>
      <c r="J7639" s="348" t="s">
        <v>14769</v>
      </c>
      <c r="K7639" s="337"/>
      <c r="L7639" s="338"/>
      <c r="M7639" s="334">
        <v>703</v>
      </c>
      <c r="N7639" s="362">
        <f t="shared" si="262"/>
        <v>703</v>
      </c>
      <c r="X7639" s="339"/>
    </row>
    <row r="7640" s="330" customFormat="1" ht="15" customHeight="1" spans="1:24">
      <c r="A7640" s="334"/>
      <c r="B7640" s="334" t="s">
        <v>153</v>
      </c>
      <c r="C7640" s="334" t="s">
        <v>154</v>
      </c>
      <c r="D7640" s="334" t="s">
        <v>155</v>
      </c>
      <c r="E7640" s="336">
        <v>43776</v>
      </c>
      <c r="F7640" s="336"/>
      <c r="G7640" s="336">
        <v>43774</v>
      </c>
      <c r="H7640" s="334" t="s">
        <v>14649</v>
      </c>
      <c r="I7640" s="444">
        <v>13917509840</v>
      </c>
      <c r="J7640" s="348" t="s">
        <v>14650</v>
      </c>
      <c r="K7640" s="337"/>
      <c r="L7640" s="338"/>
      <c r="M7640" s="334">
        <v>1619</v>
      </c>
      <c r="N7640" s="362">
        <f t="shared" si="262"/>
        <v>1619</v>
      </c>
      <c r="X7640" s="339"/>
    </row>
    <row r="7641" s="330" customFormat="1" ht="15" customHeight="1" spans="1:24">
      <c r="A7641" s="550" t="s">
        <v>9053</v>
      </c>
      <c r="B7641" s="334" t="s">
        <v>137</v>
      </c>
      <c r="C7641" s="334" t="s">
        <v>411</v>
      </c>
      <c r="D7641" s="334" t="s">
        <v>443</v>
      </c>
      <c r="E7641" s="336">
        <v>43777</v>
      </c>
      <c r="F7641" s="336">
        <v>43777</v>
      </c>
      <c r="G7641" s="399">
        <v>43777</v>
      </c>
      <c r="H7641" s="334" t="s">
        <v>16316</v>
      </c>
      <c r="I7641" s="334">
        <v>13585992033</v>
      </c>
      <c r="J7641" s="348" t="s">
        <v>16317</v>
      </c>
      <c r="K7641" s="452">
        <v>8137</v>
      </c>
      <c r="L7641" s="334">
        <v>8137</v>
      </c>
      <c r="M7641" s="338"/>
      <c r="N7641" s="362">
        <f t="shared" si="262"/>
        <v>8137</v>
      </c>
      <c r="X7641" s="339"/>
    </row>
    <row r="7642" s="330" customFormat="1" ht="15" customHeight="1" spans="1:24">
      <c r="A7642" s="550" t="s">
        <v>761</v>
      </c>
      <c r="B7642" s="334" t="s">
        <v>137</v>
      </c>
      <c r="C7642" s="348" t="s">
        <v>411</v>
      </c>
      <c r="D7642" s="334" t="s">
        <v>2381</v>
      </c>
      <c r="E7642" s="336">
        <v>43777</v>
      </c>
      <c r="F7642" s="399">
        <v>43776</v>
      </c>
      <c r="G7642" s="399">
        <v>43776</v>
      </c>
      <c r="H7642" s="334" t="s">
        <v>16318</v>
      </c>
      <c r="I7642" s="334">
        <v>13916581501</v>
      </c>
      <c r="J7642" s="348" t="s">
        <v>16319</v>
      </c>
      <c r="K7642" s="452">
        <v>200</v>
      </c>
      <c r="L7642" s="334">
        <v>7090</v>
      </c>
      <c r="M7642" s="338"/>
      <c r="N7642" s="362">
        <f t="shared" si="262"/>
        <v>7090</v>
      </c>
      <c r="X7642" s="339"/>
    </row>
    <row r="7643" s="330" customFormat="1" ht="15" customHeight="1" spans="1:24">
      <c r="A7643" s="550" t="s">
        <v>11330</v>
      </c>
      <c r="B7643" s="334" t="s">
        <v>66</v>
      </c>
      <c r="C7643" s="348" t="s">
        <v>119</v>
      </c>
      <c r="D7643" s="334" t="s">
        <v>1436</v>
      </c>
      <c r="E7643" s="336">
        <v>43823</v>
      </c>
      <c r="F7643" s="399">
        <v>43776</v>
      </c>
      <c r="G7643" s="336">
        <v>43823</v>
      </c>
      <c r="H7643" s="334" t="s">
        <v>16320</v>
      </c>
      <c r="I7643" s="444">
        <v>13661715635</v>
      </c>
      <c r="J7643" s="348" t="s">
        <v>16321</v>
      </c>
      <c r="K7643" s="452">
        <v>3100</v>
      </c>
      <c r="L7643" s="334">
        <v>19950</v>
      </c>
      <c r="M7643" s="338"/>
      <c r="N7643" s="362">
        <f t="shared" si="262"/>
        <v>19950</v>
      </c>
      <c r="X7643" s="339"/>
    </row>
    <row r="7644" s="330" customFormat="1" ht="15" customHeight="1" spans="1:24">
      <c r="A7644" s="550" t="s">
        <v>16322</v>
      </c>
      <c r="B7644" s="334" t="s">
        <v>66</v>
      </c>
      <c r="C7644" s="348" t="s">
        <v>119</v>
      </c>
      <c r="D7644" s="334" t="s">
        <v>2302</v>
      </c>
      <c r="E7644" s="336">
        <v>43784</v>
      </c>
      <c r="F7644" s="399">
        <v>43776</v>
      </c>
      <c r="G7644" s="336">
        <v>43783</v>
      </c>
      <c r="H7644" s="334" t="s">
        <v>16323</v>
      </c>
      <c r="I7644" s="444">
        <v>18019194595</v>
      </c>
      <c r="J7644" s="348" t="s">
        <v>16324</v>
      </c>
      <c r="K7644" s="452">
        <v>1000</v>
      </c>
      <c r="L7644" s="334">
        <v>22298</v>
      </c>
      <c r="M7644" s="338"/>
      <c r="N7644" s="362">
        <f t="shared" si="262"/>
        <v>22298</v>
      </c>
      <c r="X7644" s="339"/>
    </row>
    <row r="7645" s="330" customFormat="1" ht="15" customHeight="1" spans="1:24">
      <c r="A7645" s="550" t="s">
        <v>12091</v>
      </c>
      <c r="B7645" s="334" t="s">
        <v>5435</v>
      </c>
      <c r="C7645" s="348" t="s">
        <v>1728</v>
      </c>
      <c r="D7645" s="335" t="s">
        <v>149</v>
      </c>
      <c r="E7645" s="336">
        <v>43805</v>
      </c>
      <c r="F7645" s="399">
        <v>43776</v>
      </c>
      <c r="G7645" s="336">
        <v>43804</v>
      </c>
      <c r="H7645" s="334" t="s">
        <v>16325</v>
      </c>
      <c r="I7645" s="444">
        <v>62303725</v>
      </c>
      <c r="J7645" s="348" t="s">
        <v>16326</v>
      </c>
      <c r="K7645" s="452">
        <v>1000</v>
      </c>
      <c r="L7645" s="334">
        <v>3519</v>
      </c>
      <c r="M7645" s="338"/>
      <c r="N7645" s="362">
        <f t="shared" si="262"/>
        <v>3519</v>
      </c>
      <c r="X7645" s="339"/>
    </row>
    <row r="7646" s="330" customFormat="1" ht="15" customHeight="1" spans="1:24">
      <c r="A7646" s="550" t="s">
        <v>16327</v>
      </c>
      <c r="B7646" s="334" t="s">
        <v>137</v>
      </c>
      <c r="C7646" s="348" t="s">
        <v>406</v>
      </c>
      <c r="D7646" s="334" t="s">
        <v>443</v>
      </c>
      <c r="E7646" s="336">
        <v>43781</v>
      </c>
      <c r="F7646" s="399">
        <v>43776</v>
      </c>
      <c r="G7646" s="336">
        <v>43779</v>
      </c>
      <c r="H7646" s="334" t="s">
        <v>16328</v>
      </c>
      <c r="I7646" s="444">
        <v>15000963659</v>
      </c>
      <c r="J7646" s="348" t="s">
        <v>16329</v>
      </c>
      <c r="K7646" s="452">
        <v>1000</v>
      </c>
      <c r="L7646" s="334">
        <v>7048</v>
      </c>
      <c r="M7646" s="338"/>
      <c r="N7646" s="362">
        <f t="shared" si="262"/>
        <v>7048</v>
      </c>
      <c r="X7646" s="339"/>
    </row>
    <row r="7647" s="330" customFormat="1" ht="15" customHeight="1" spans="1:24">
      <c r="A7647" s="550" t="s">
        <v>742</v>
      </c>
      <c r="B7647" s="334" t="s">
        <v>66</v>
      </c>
      <c r="C7647" s="348" t="s">
        <v>3954</v>
      </c>
      <c r="D7647" s="334" t="s">
        <v>68</v>
      </c>
      <c r="E7647" s="336">
        <v>43792</v>
      </c>
      <c r="F7647" s="336">
        <v>43776</v>
      </c>
      <c r="G7647" s="336">
        <v>43792</v>
      </c>
      <c r="H7647" s="334" t="s">
        <v>16330</v>
      </c>
      <c r="I7647" s="444">
        <v>18683117327</v>
      </c>
      <c r="J7647" s="348" t="s">
        <v>16331</v>
      </c>
      <c r="K7647" s="452">
        <v>19952</v>
      </c>
      <c r="L7647" s="334">
        <v>19952</v>
      </c>
      <c r="M7647" s="338"/>
      <c r="N7647" s="362">
        <f t="shared" si="262"/>
        <v>19952</v>
      </c>
      <c r="Q7647" s="330" t="s">
        <v>52</v>
      </c>
      <c r="X7647" s="339"/>
    </row>
    <row r="7648" s="330" customFormat="1" ht="15" customHeight="1" spans="1:24">
      <c r="A7648" s="550" t="s">
        <v>16332</v>
      </c>
      <c r="B7648" s="334" t="s">
        <v>137</v>
      </c>
      <c r="C7648" s="348" t="s">
        <v>138</v>
      </c>
      <c r="D7648" s="334" t="s">
        <v>443</v>
      </c>
      <c r="E7648" s="336">
        <v>43830</v>
      </c>
      <c r="F7648" s="336">
        <v>43776</v>
      </c>
      <c r="G7648" s="336">
        <v>43830</v>
      </c>
      <c r="H7648" s="334" t="s">
        <v>16333</v>
      </c>
      <c r="I7648" s="444">
        <v>13916548917</v>
      </c>
      <c r="J7648" s="348" t="s">
        <v>16334</v>
      </c>
      <c r="K7648" s="452">
        <v>27000</v>
      </c>
      <c r="L7648" s="334">
        <v>27000</v>
      </c>
      <c r="M7648" s="338"/>
      <c r="N7648" s="362">
        <f t="shared" si="262"/>
        <v>27000</v>
      </c>
      <c r="O7648" s="330">
        <v>1</v>
      </c>
      <c r="X7648" s="339"/>
    </row>
    <row r="7649" s="330" customFormat="1" ht="15" customHeight="1" spans="1:24">
      <c r="A7649" s="550" t="s">
        <v>16335</v>
      </c>
      <c r="B7649" s="334" t="s">
        <v>66</v>
      </c>
      <c r="C7649" s="348" t="s">
        <v>1749</v>
      </c>
      <c r="D7649" s="335" t="s">
        <v>68</v>
      </c>
      <c r="E7649" s="336">
        <v>43806</v>
      </c>
      <c r="F7649" s="336">
        <v>43777</v>
      </c>
      <c r="G7649" s="336">
        <v>43805</v>
      </c>
      <c r="H7649" s="334" t="s">
        <v>16336</v>
      </c>
      <c r="I7649" s="444">
        <v>13761123576</v>
      </c>
      <c r="J7649" s="348" t="s">
        <v>16337</v>
      </c>
      <c r="K7649" s="452">
        <v>999</v>
      </c>
      <c r="L7649" s="334">
        <v>4984</v>
      </c>
      <c r="M7649" s="338"/>
      <c r="N7649" s="362">
        <f t="shared" si="262"/>
        <v>4984</v>
      </c>
      <c r="P7649" s="330" t="s">
        <v>52</v>
      </c>
      <c r="X7649" s="339"/>
    </row>
    <row r="7650" s="330" customFormat="1" ht="15" customHeight="1" spans="1:24">
      <c r="A7650" s="550" t="s">
        <v>16338</v>
      </c>
      <c r="B7650" s="334" t="s">
        <v>805</v>
      </c>
      <c r="C7650" s="348" t="s">
        <v>4935</v>
      </c>
      <c r="D7650" s="335" t="s">
        <v>171</v>
      </c>
      <c r="E7650" s="336">
        <v>43777</v>
      </c>
      <c r="F7650" s="336">
        <v>43777</v>
      </c>
      <c r="G7650" s="476">
        <v>43772</v>
      </c>
      <c r="H7650" s="334" t="s">
        <v>16339</v>
      </c>
      <c r="I7650" s="444">
        <v>18221786086</v>
      </c>
      <c r="J7650" s="348" t="s">
        <v>16340</v>
      </c>
      <c r="K7650" s="452">
        <v>1000</v>
      </c>
      <c r="L7650" s="338"/>
      <c r="M7650" s="338"/>
      <c r="N7650" s="362">
        <f t="shared" si="262"/>
        <v>0</v>
      </c>
      <c r="X7650" s="339"/>
    </row>
    <row r="7651" s="330" customFormat="1" ht="15" customHeight="1" spans="1:24">
      <c r="A7651" s="348"/>
      <c r="B7651" s="334" t="s">
        <v>805</v>
      </c>
      <c r="C7651" s="348" t="s">
        <v>4935</v>
      </c>
      <c r="D7651" s="335" t="s">
        <v>171</v>
      </c>
      <c r="E7651" s="336">
        <v>43777</v>
      </c>
      <c r="F7651" s="336">
        <v>43777</v>
      </c>
      <c r="G7651" s="399"/>
      <c r="H7651" s="334" t="s">
        <v>16341</v>
      </c>
      <c r="I7651" s="444">
        <v>18017168822</v>
      </c>
      <c r="J7651" s="348" t="s">
        <v>16342</v>
      </c>
      <c r="K7651" s="452">
        <v>5000</v>
      </c>
      <c r="L7651" s="338"/>
      <c r="M7651" s="338"/>
      <c r="N7651" s="362">
        <f t="shared" si="262"/>
        <v>0</v>
      </c>
      <c r="O7651" s="467" t="s">
        <v>52</v>
      </c>
      <c r="X7651" s="339"/>
    </row>
    <row r="7652" s="330" customFormat="1" ht="15" customHeight="1" spans="1:24">
      <c r="A7652" s="550" t="s">
        <v>14453</v>
      </c>
      <c r="B7652" s="334" t="s">
        <v>31</v>
      </c>
      <c r="C7652" s="348" t="s">
        <v>2716</v>
      </c>
      <c r="D7652" s="334" t="s">
        <v>33</v>
      </c>
      <c r="E7652" s="336">
        <v>43780</v>
      </c>
      <c r="F7652" s="336">
        <v>43777</v>
      </c>
      <c r="G7652" s="336">
        <v>43779</v>
      </c>
      <c r="H7652" s="334" t="s">
        <v>16343</v>
      </c>
      <c r="I7652" s="444">
        <v>13774457278</v>
      </c>
      <c r="J7652" s="348" t="s">
        <v>16344</v>
      </c>
      <c r="K7652" s="452">
        <v>1000</v>
      </c>
      <c r="L7652" s="334">
        <v>16152</v>
      </c>
      <c r="M7652" s="338"/>
      <c r="N7652" s="362">
        <f t="shared" si="262"/>
        <v>16152</v>
      </c>
      <c r="X7652" s="339"/>
    </row>
    <row r="7653" s="330" customFormat="1" ht="15" customHeight="1" spans="1:24">
      <c r="A7653" s="550" t="s">
        <v>16345</v>
      </c>
      <c r="B7653" s="334" t="s">
        <v>726</v>
      </c>
      <c r="C7653" s="348" t="s">
        <v>727</v>
      </c>
      <c r="D7653" s="334" t="s">
        <v>271</v>
      </c>
      <c r="E7653" s="336">
        <v>43778</v>
      </c>
      <c r="F7653" s="336">
        <v>43777</v>
      </c>
      <c r="G7653" s="336">
        <v>43778</v>
      </c>
      <c r="H7653" s="334" t="s">
        <v>16346</v>
      </c>
      <c r="I7653" s="444">
        <v>13361802727</v>
      </c>
      <c r="J7653" s="348" t="s">
        <v>16347</v>
      </c>
      <c r="K7653" s="452">
        <v>3000</v>
      </c>
      <c r="L7653" s="334">
        <v>5800</v>
      </c>
      <c r="M7653" s="338"/>
      <c r="N7653" s="362">
        <f t="shared" si="262"/>
        <v>5800</v>
      </c>
      <c r="X7653" s="339"/>
    </row>
    <row r="7654" s="330" customFormat="1" ht="15" customHeight="1" spans="1:24">
      <c r="A7654" s="550" t="s">
        <v>2294</v>
      </c>
      <c r="B7654" s="334" t="s">
        <v>31</v>
      </c>
      <c r="C7654" s="348" t="s">
        <v>2716</v>
      </c>
      <c r="D7654" s="334" t="s">
        <v>221</v>
      </c>
      <c r="E7654" s="336">
        <v>43782</v>
      </c>
      <c r="F7654" s="336">
        <v>43777</v>
      </c>
      <c r="G7654" s="336">
        <v>43782</v>
      </c>
      <c r="H7654" s="334" t="s">
        <v>16348</v>
      </c>
      <c r="I7654" s="444">
        <v>13764971887</v>
      </c>
      <c r="J7654" s="348" t="s">
        <v>16349</v>
      </c>
      <c r="K7654" s="452">
        <v>100</v>
      </c>
      <c r="L7654" s="334">
        <v>4897</v>
      </c>
      <c r="M7654" s="338"/>
      <c r="N7654" s="362">
        <f t="shared" si="262"/>
        <v>4897</v>
      </c>
      <c r="X7654" s="339"/>
    </row>
    <row r="7655" s="330" customFormat="1" ht="15" customHeight="1" spans="1:24">
      <c r="A7655" s="550" t="s">
        <v>3117</v>
      </c>
      <c r="B7655" s="334" t="s">
        <v>137</v>
      </c>
      <c r="C7655" s="348" t="s">
        <v>480</v>
      </c>
      <c r="D7655" s="334" t="s">
        <v>2381</v>
      </c>
      <c r="E7655" s="336">
        <v>43782</v>
      </c>
      <c r="F7655" s="336">
        <v>43777</v>
      </c>
      <c r="G7655" s="336">
        <v>43781</v>
      </c>
      <c r="H7655" s="334" t="s">
        <v>16350</v>
      </c>
      <c r="I7655" s="444">
        <v>18018681548</v>
      </c>
      <c r="J7655" s="348" t="s">
        <v>16351</v>
      </c>
      <c r="K7655" s="452">
        <v>3896.5</v>
      </c>
      <c r="L7655" s="334">
        <v>11252</v>
      </c>
      <c r="M7655" s="338"/>
      <c r="N7655" s="362">
        <f t="shared" si="262"/>
        <v>11252</v>
      </c>
      <c r="X7655" s="339"/>
    </row>
    <row r="7656" s="330" customFormat="1" ht="15" customHeight="1" spans="1:24">
      <c r="A7656" s="550" t="s">
        <v>16352</v>
      </c>
      <c r="B7656" s="334" t="s">
        <v>281</v>
      </c>
      <c r="C7656" s="334" t="s">
        <v>517</v>
      </c>
      <c r="D7656" s="334" t="s">
        <v>518</v>
      </c>
      <c r="E7656" s="336">
        <v>43778</v>
      </c>
      <c r="F7656" s="336">
        <v>43777</v>
      </c>
      <c r="G7656" s="336">
        <v>43778</v>
      </c>
      <c r="H7656" s="334" t="s">
        <v>16353</v>
      </c>
      <c r="I7656" s="444">
        <v>13818021823</v>
      </c>
      <c r="J7656" s="348" t="s">
        <v>16354</v>
      </c>
      <c r="K7656" s="452">
        <v>1000</v>
      </c>
      <c r="L7656" s="334">
        <v>26634</v>
      </c>
      <c r="M7656" s="338"/>
      <c r="N7656" s="362">
        <f t="shared" si="262"/>
        <v>26634</v>
      </c>
      <c r="X7656" s="339"/>
    </row>
    <row r="7657" s="330" customFormat="1" ht="15" customHeight="1" spans="1:24">
      <c r="A7657" s="550" t="s">
        <v>16355</v>
      </c>
      <c r="B7657" s="334" t="s">
        <v>137</v>
      </c>
      <c r="C7657" s="348" t="s">
        <v>411</v>
      </c>
      <c r="D7657" s="334" t="s">
        <v>443</v>
      </c>
      <c r="E7657" s="336">
        <v>43797</v>
      </c>
      <c r="F7657" s="336">
        <v>43777</v>
      </c>
      <c r="G7657" s="336">
        <v>43796</v>
      </c>
      <c r="H7657" s="334" t="s">
        <v>16356</v>
      </c>
      <c r="I7657" s="444">
        <v>13524476520</v>
      </c>
      <c r="J7657" s="348" t="s">
        <v>16357</v>
      </c>
      <c r="K7657" s="452">
        <v>20700</v>
      </c>
      <c r="L7657" s="334">
        <v>20700</v>
      </c>
      <c r="M7657" s="338"/>
      <c r="N7657" s="362">
        <f t="shared" si="262"/>
        <v>20700</v>
      </c>
      <c r="Q7657" s="330">
        <v>1</v>
      </c>
      <c r="X7657" s="339"/>
    </row>
    <row r="7658" s="330" customFormat="1" ht="15" customHeight="1" spans="1:24">
      <c r="A7658" s="550" t="s">
        <v>16358</v>
      </c>
      <c r="B7658" s="334" t="s">
        <v>137</v>
      </c>
      <c r="C7658" s="348" t="s">
        <v>411</v>
      </c>
      <c r="D7658" s="335" t="s">
        <v>427</v>
      </c>
      <c r="E7658" s="336">
        <v>43777</v>
      </c>
      <c r="F7658" s="336">
        <v>43777</v>
      </c>
      <c r="G7658" s="399"/>
      <c r="H7658" s="334" t="s">
        <v>16359</v>
      </c>
      <c r="I7658" s="444">
        <v>13671576598</v>
      </c>
      <c r="J7658" s="348" t="s">
        <v>16360</v>
      </c>
      <c r="K7658" s="452">
        <v>4500</v>
      </c>
      <c r="L7658" s="338"/>
      <c r="M7658" s="338"/>
      <c r="N7658" s="362">
        <f t="shared" si="262"/>
        <v>0</v>
      </c>
      <c r="O7658" s="353" t="s">
        <v>16361</v>
      </c>
      <c r="X7658" s="339"/>
    </row>
    <row r="7659" s="330" customFormat="1" ht="15" customHeight="1" spans="1:24">
      <c r="A7659" s="550" t="s">
        <v>16362</v>
      </c>
      <c r="B7659" s="334" t="s">
        <v>31</v>
      </c>
      <c r="C7659" s="348" t="s">
        <v>419</v>
      </c>
      <c r="D7659" s="335" t="s">
        <v>221</v>
      </c>
      <c r="E7659" s="336">
        <v>43817</v>
      </c>
      <c r="F7659" s="336">
        <v>43777</v>
      </c>
      <c r="G7659" s="336">
        <v>43816</v>
      </c>
      <c r="H7659" s="334" t="s">
        <v>16363</v>
      </c>
      <c r="I7659" s="444">
        <v>13901815280</v>
      </c>
      <c r="J7659" s="348" t="s">
        <v>16364</v>
      </c>
      <c r="K7659" s="452">
        <v>1000</v>
      </c>
      <c r="L7659" s="334">
        <v>17765</v>
      </c>
      <c r="M7659" s="338"/>
      <c r="N7659" s="362">
        <f t="shared" si="262"/>
        <v>17765</v>
      </c>
      <c r="X7659" s="339"/>
    </row>
    <row r="7660" s="330" customFormat="1" ht="15" customHeight="1" spans="1:24">
      <c r="A7660" s="550" t="s">
        <v>1790</v>
      </c>
      <c r="B7660" s="334" t="s">
        <v>35</v>
      </c>
      <c r="C7660" s="348" t="s">
        <v>392</v>
      </c>
      <c r="D7660" s="334" t="s">
        <v>37</v>
      </c>
      <c r="E7660" s="336">
        <v>43777</v>
      </c>
      <c r="F7660" s="336">
        <v>43773</v>
      </c>
      <c r="G7660" s="399">
        <v>43777</v>
      </c>
      <c r="H7660" s="334" t="s">
        <v>11176</v>
      </c>
      <c r="I7660" s="334">
        <v>13482231882</v>
      </c>
      <c r="J7660" s="348" t="s">
        <v>16365</v>
      </c>
      <c r="K7660" s="452">
        <v>6958</v>
      </c>
      <c r="L7660" s="334">
        <v>6958</v>
      </c>
      <c r="M7660" s="338"/>
      <c r="N7660" s="362">
        <f t="shared" si="262"/>
        <v>6958</v>
      </c>
      <c r="X7660" s="339"/>
    </row>
    <row r="7661" s="330" customFormat="1" ht="15" customHeight="1" spans="1:24">
      <c r="A7661" s="550" t="s">
        <v>9421</v>
      </c>
      <c r="B7661" s="334" t="s">
        <v>94</v>
      </c>
      <c r="C7661" s="348" t="s">
        <v>95</v>
      </c>
      <c r="D7661" s="335" t="s">
        <v>49</v>
      </c>
      <c r="E7661" s="336">
        <v>43782</v>
      </c>
      <c r="F7661" s="336">
        <v>43777</v>
      </c>
      <c r="G7661" s="336">
        <v>43779</v>
      </c>
      <c r="H7661" s="334" t="s">
        <v>16366</v>
      </c>
      <c r="I7661" s="444">
        <v>13671673498</v>
      </c>
      <c r="J7661" s="348" t="s">
        <v>16367</v>
      </c>
      <c r="K7661" s="452">
        <v>2000</v>
      </c>
      <c r="L7661" s="334">
        <v>22548</v>
      </c>
      <c r="M7661" s="338"/>
      <c r="N7661" s="362">
        <f t="shared" si="262"/>
        <v>22548</v>
      </c>
      <c r="X7661" s="339"/>
    </row>
    <row r="7662" s="330" customFormat="1" ht="15" customHeight="1" spans="1:24">
      <c r="A7662" s="550" t="s">
        <v>16368</v>
      </c>
      <c r="B7662" s="334" t="s">
        <v>66</v>
      </c>
      <c r="C7662" s="348" t="s">
        <v>505</v>
      </c>
      <c r="D7662" s="334" t="s">
        <v>2302</v>
      </c>
      <c r="E7662" s="336">
        <v>43778</v>
      </c>
      <c r="F7662" s="336">
        <v>43777</v>
      </c>
      <c r="G7662" s="336">
        <v>43777</v>
      </c>
      <c r="H7662" s="334" t="s">
        <v>16369</v>
      </c>
      <c r="I7662" s="444">
        <v>15026700991</v>
      </c>
      <c r="J7662" s="348" t="s">
        <v>16370</v>
      </c>
      <c r="K7662" s="452">
        <v>2646</v>
      </c>
      <c r="L7662" s="334">
        <v>7050</v>
      </c>
      <c r="M7662" s="338"/>
      <c r="N7662" s="362">
        <f t="shared" si="262"/>
        <v>7050</v>
      </c>
      <c r="X7662" s="339"/>
    </row>
    <row r="7663" s="330" customFormat="1" ht="15" customHeight="1" spans="1:24">
      <c r="A7663" s="550" t="s">
        <v>7619</v>
      </c>
      <c r="B7663" s="334" t="s">
        <v>31</v>
      </c>
      <c r="C7663" s="348" t="s">
        <v>3186</v>
      </c>
      <c r="D7663" s="335" t="s">
        <v>221</v>
      </c>
      <c r="E7663" s="336">
        <v>43777</v>
      </c>
      <c r="F7663" s="336">
        <v>43774</v>
      </c>
      <c r="G7663" s="399"/>
      <c r="H7663" s="334" t="s">
        <v>16371</v>
      </c>
      <c r="I7663" s="444">
        <v>13661543362</v>
      </c>
      <c r="J7663" s="348" t="s">
        <v>16372</v>
      </c>
      <c r="K7663" s="452">
        <v>99</v>
      </c>
      <c r="L7663" s="338"/>
      <c r="M7663" s="338"/>
      <c r="N7663" s="362">
        <f t="shared" si="262"/>
        <v>0</v>
      </c>
      <c r="O7663" s="366"/>
      <c r="U7663" s="353" t="s">
        <v>63</v>
      </c>
      <c r="X7663" s="339"/>
    </row>
    <row r="7664" s="330" customFormat="1" ht="15" customHeight="1" spans="1:24">
      <c r="A7664" s="550" t="s">
        <v>16373</v>
      </c>
      <c r="B7664" s="334" t="s">
        <v>137</v>
      </c>
      <c r="C7664" s="348" t="s">
        <v>138</v>
      </c>
      <c r="D7664" s="334" t="s">
        <v>343</v>
      </c>
      <c r="E7664" s="336">
        <v>43778</v>
      </c>
      <c r="F7664" s="336">
        <v>43777</v>
      </c>
      <c r="G7664" s="336">
        <v>43777</v>
      </c>
      <c r="H7664" s="334" t="s">
        <v>16374</v>
      </c>
      <c r="I7664" s="444">
        <v>13861729745</v>
      </c>
      <c r="J7664" s="348" t="s">
        <v>16375</v>
      </c>
      <c r="K7664" s="452">
        <v>32245</v>
      </c>
      <c r="L7664" s="334">
        <v>32245</v>
      </c>
      <c r="M7664" s="338"/>
      <c r="N7664" s="362">
        <f t="shared" si="262"/>
        <v>32245</v>
      </c>
      <c r="X7664" s="339"/>
    </row>
    <row r="7665" s="330" customFormat="1" ht="15" customHeight="1" spans="1:24">
      <c r="A7665" s="550" t="s">
        <v>10632</v>
      </c>
      <c r="B7665" s="334" t="s">
        <v>205</v>
      </c>
      <c r="C7665" s="348" t="s">
        <v>1467</v>
      </c>
      <c r="D7665" s="334" t="s">
        <v>207</v>
      </c>
      <c r="E7665" s="336">
        <v>43782</v>
      </c>
      <c r="F7665" s="336">
        <v>43775</v>
      </c>
      <c r="G7665" s="336">
        <v>43774</v>
      </c>
      <c r="H7665" s="334" t="s">
        <v>16376</v>
      </c>
      <c r="I7665" s="444">
        <v>13917868718</v>
      </c>
      <c r="J7665" s="348" t="s">
        <v>16377</v>
      </c>
      <c r="K7665" s="452">
        <v>5500</v>
      </c>
      <c r="L7665" s="334">
        <v>5814</v>
      </c>
      <c r="M7665" s="338"/>
      <c r="N7665" s="362">
        <f t="shared" si="262"/>
        <v>5814</v>
      </c>
      <c r="X7665" s="339"/>
    </row>
    <row r="7666" s="330" customFormat="1" ht="15" customHeight="1" spans="1:24">
      <c r="A7666" s="550" t="s">
        <v>7642</v>
      </c>
      <c r="B7666" s="334" t="s">
        <v>31</v>
      </c>
      <c r="C7666" s="348" t="s">
        <v>419</v>
      </c>
      <c r="D7666" s="335" t="s">
        <v>221</v>
      </c>
      <c r="E7666" s="336">
        <v>43797</v>
      </c>
      <c r="F7666" s="336">
        <v>43777</v>
      </c>
      <c r="G7666" s="336">
        <v>43797</v>
      </c>
      <c r="H7666" s="334" t="s">
        <v>16378</v>
      </c>
      <c r="I7666" s="444">
        <v>17765105676</v>
      </c>
      <c r="J7666" s="348" t="s">
        <v>16379</v>
      </c>
      <c r="K7666" s="452">
        <v>19000</v>
      </c>
      <c r="L7666" s="334">
        <v>69000</v>
      </c>
      <c r="M7666" s="338"/>
      <c r="N7666" s="362">
        <f t="shared" si="262"/>
        <v>69000</v>
      </c>
      <c r="X7666" s="339"/>
    </row>
    <row r="7667" s="330" customFormat="1" ht="15" customHeight="1" spans="1:24">
      <c r="A7667" s="334"/>
      <c r="B7667" s="334" t="s">
        <v>4009</v>
      </c>
      <c r="C7667" s="334" t="s">
        <v>6401</v>
      </c>
      <c r="D7667" s="335" t="s">
        <v>110</v>
      </c>
      <c r="E7667" s="336">
        <v>43777</v>
      </c>
      <c r="F7667" s="336"/>
      <c r="G7667" s="336">
        <v>43776</v>
      </c>
      <c r="H7667" s="334" t="s">
        <v>16380</v>
      </c>
      <c r="I7667" s="334">
        <v>18721730518</v>
      </c>
      <c r="J7667" s="348" t="s">
        <v>16381</v>
      </c>
      <c r="K7667" s="337"/>
      <c r="L7667" s="334">
        <v>1380</v>
      </c>
      <c r="M7667" s="338"/>
      <c r="N7667" s="362">
        <f t="shared" ref="N7667:N7679" si="263">L7667+M7667</f>
        <v>1380</v>
      </c>
      <c r="X7667" s="339"/>
    </row>
    <row r="7668" s="330" customFormat="1" ht="15" customHeight="1" spans="1:24">
      <c r="A7668" s="334"/>
      <c r="B7668" s="334" t="s">
        <v>137</v>
      </c>
      <c r="C7668" s="334" t="s">
        <v>406</v>
      </c>
      <c r="D7668" s="334" t="s">
        <v>443</v>
      </c>
      <c r="E7668" s="336">
        <v>43777</v>
      </c>
      <c r="F7668" s="336"/>
      <c r="G7668" s="336">
        <v>43776</v>
      </c>
      <c r="H7668" s="334" t="s">
        <v>16382</v>
      </c>
      <c r="I7668" s="334">
        <v>13764628692</v>
      </c>
      <c r="J7668" s="348" t="s">
        <v>16383</v>
      </c>
      <c r="K7668" s="337"/>
      <c r="L7668" s="334">
        <v>10433</v>
      </c>
      <c r="M7668" s="338"/>
      <c r="N7668" s="362">
        <f t="shared" si="263"/>
        <v>10433</v>
      </c>
      <c r="X7668" s="339"/>
    </row>
    <row r="7669" s="330" customFormat="1" ht="15" customHeight="1" spans="1:24">
      <c r="A7669" s="334"/>
      <c r="B7669" s="334" t="s">
        <v>73</v>
      </c>
      <c r="C7669" s="334" t="s">
        <v>178</v>
      </c>
      <c r="D7669" s="334" t="s">
        <v>44</v>
      </c>
      <c r="E7669" s="336">
        <v>43777</v>
      </c>
      <c r="F7669" s="336"/>
      <c r="G7669" s="336">
        <v>43777</v>
      </c>
      <c r="H7669" s="334" t="s">
        <v>14097</v>
      </c>
      <c r="I7669" s="444">
        <v>13817505322</v>
      </c>
      <c r="J7669" s="348" t="s">
        <v>14098</v>
      </c>
      <c r="K7669" s="337"/>
      <c r="L7669" s="334">
        <v>604</v>
      </c>
      <c r="M7669" s="338"/>
      <c r="N7669" s="362">
        <f t="shared" si="263"/>
        <v>604</v>
      </c>
      <c r="X7669" s="339"/>
    </row>
    <row r="7670" s="330" customFormat="1" ht="15" customHeight="1" spans="1:24">
      <c r="A7670" s="334"/>
      <c r="B7670" s="334" t="s">
        <v>58</v>
      </c>
      <c r="C7670" s="334" t="s">
        <v>109</v>
      </c>
      <c r="D7670" s="334" t="s">
        <v>110</v>
      </c>
      <c r="E7670" s="336">
        <v>43777</v>
      </c>
      <c r="F7670" s="336"/>
      <c r="G7670" s="336">
        <v>43775</v>
      </c>
      <c r="H7670" s="334" t="s">
        <v>16384</v>
      </c>
      <c r="I7670" s="334">
        <v>15682366268</v>
      </c>
      <c r="J7670" s="348" t="s">
        <v>16385</v>
      </c>
      <c r="K7670" s="337"/>
      <c r="L7670" s="334">
        <v>5260</v>
      </c>
      <c r="M7670" s="338"/>
      <c r="N7670" s="362">
        <f t="shared" si="263"/>
        <v>5260</v>
      </c>
      <c r="X7670" s="339"/>
    </row>
    <row r="7671" s="330" customFormat="1" ht="15" customHeight="1" spans="1:24">
      <c r="A7671" s="334"/>
      <c r="B7671" s="334" t="s">
        <v>4009</v>
      </c>
      <c r="C7671" s="334" t="s">
        <v>14771</v>
      </c>
      <c r="D7671" s="334" t="s">
        <v>237</v>
      </c>
      <c r="E7671" s="336">
        <v>43777</v>
      </c>
      <c r="F7671" s="336"/>
      <c r="G7671" s="336">
        <v>43775</v>
      </c>
      <c r="H7671" s="334" t="s">
        <v>16386</v>
      </c>
      <c r="I7671" s="334">
        <v>15026468530</v>
      </c>
      <c r="J7671" s="348" t="s">
        <v>16387</v>
      </c>
      <c r="K7671" s="337"/>
      <c r="L7671" s="334">
        <v>7033</v>
      </c>
      <c r="M7671" s="338"/>
      <c r="N7671" s="362">
        <f t="shared" si="263"/>
        <v>7033</v>
      </c>
      <c r="X7671" s="339"/>
    </row>
    <row r="7672" s="330" customFormat="1" ht="15" customHeight="1" spans="1:24">
      <c r="A7672" s="334"/>
      <c r="B7672" s="334" t="s">
        <v>73</v>
      </c>
      <c r="C7672" s="334" t="s">
        <v>74</v>
      </c>
      <c r="D7672" s="334" t="s">
        <v>132</v>
      </c>
      <c r="E7672" s="336">
        <v>43777</v>
      </c>
      <c r="F7672" s="336"/>
      <c r="G7672" s="336">
        <v>43777</v>
      </c>
      <c r="H7672" s="334" t="s">
        <v>2619</v>
      </c>
      <c r="I7672" s="334">
        <v>13361813801</v>
      </c>
      <c r="J7672" s="334" t="s">
        <v>16388</v>
      </c>
      <c r="K7672" s="337"/>
      <c r="L7672" s="338"/>
      <c r="M7672" s="334">
        <v>350</v>
      </c>
      <c r="N7672" s="362">
        <f t="shared" si="263"/>
        <v>350</v>
      </c>
      <c r="X7672" s="339"/>
    </row>
    <row r="7673" s="330" customFormat="1" ht="15" customHeight="1" spans="1:24">
      <c r="A7673" s="334"/>
      <c r="B7673" s="334" t="s">
        <v>73</v>
      </c>
      <c r="C7673" s="334" t="s">
        <v>74</v>
      </c>
      <c r="D7673" s="334" t="s">
        <v>717</v>
      </c>
      <c r="E7673" s="336">
        <v>43777</v>
      </c>
      <c r="F7673" s="336"/>
      <c r="G7673" s="336">
        <v>43776</v>
      </c>
      <c r="H7673" s="334" t="s">
        <v>1629</v>
      </c>
      <c r="I7673" s="334">
        <v>13801701948</v>
      </c>
      <c r="J7673" s="334" t="s">
        <v>16389</v>
      </c>
      <c r="K7673" s="337"/>
      <c r="L7673" s="338"/>
      <c r="M7673" s="334">
        <v>9764</v>
      </c>
      <c r="N7673" s="362">
        <f t="shared" si="263"/>
        <v>9764</v>
      </c>
      <c r="X7673" s="339"/>
    </row>
    <row r="7674" s="330" customFormat="1" ht="15" customHeight="1" spans="1:24">
      <c r="A7674" s="334"/>
      <c r="B7674" s="334" t="s">
        <v>87</v>
      </c>
      <c r="C7674" s="334" t="s">
        <v>466</v>
      </c>
      <c r="D7674" s="334" t="s">
        <v>89</v>
      </c>
      <c r="E7674" s="336">
        <v>43777</v>
      </c>
      <c r="F7674" s="336"/>
      <c r="G7674" s="336">
        <v>43777</v>
      </c>
      <c r="H7674" s="334" t="s">
        <v>16390</v>
      </c>
      <c r="I7674" s="334">
        <v>13817541523</v>
      </c>
      <c r="J7674" s="334" t="s">
        <v>16391</v>
      </c>
      <c r="K7674" s="337"/>
      <c r="L7674" s="338"/>
      <c r="M7674" s="334">
        <v>-1873</v>
      </c>
      <c r="N7674" s="362">
        <f t="shared" si="263"/>
        <v>-1873</v>
      </c>
      <c r="X7674" s="339"/>
    </row>
    <row r="7675" s="330" customFormat="1" ht="15" customHeight="1" spans="1:24">
      <c r="A7675" s="334"/>
      <c r="B7675" s="334" t="s">
        <v>87</v>
      </c>
      <c r="C7675" s="334" t="s">
        <v>466</v>
      </c>
      <c r="D7675" s="334" t="s">
        <v>89</v>
      </c>
      <c r="E7675" s="336">
        <v>43777</v>
      </c>
      <c r="F7675" s="336"/>
      <c r="G7675" s="336">
        <v>43777</v>
      </c>
      <c r="H7675" s="334" t="s">
        <v>12326</v>
      </c>
      <c r="I7675" s="334">
        <v>13681956868</v>
      </c>
      <c r="J7675" s="334" t="s">
        <v>16392</v>
      </c>
      <c r="K7675" s="337"/>
      <c r="L7675" s="338"/>
      <c r="M7675" s="334">
        <v>11641</v>
      </c>
      <c r="N7675" s="362">
        <f t="shared" si="263"/>
        <v>11641</v>
      </c>
      <c r="X7675" s="339"/>
    </row>
    <row r="7676" s="330" customFormat="1" ht="15" customHeight="1" spans="1:24">
      <c r="A7676" s="334"/>
      <c r="B7676" s="334" t="s">
        <v>35</v>
      </c>
      <c r="C7676" s="334" t="s">
        <v>392</v>
      </c>
      <c r="D7676" s="334" t="s">
        <v>37</v>
      </c>
      <c r="E7676" s="336">
        <v>43777</v>
      </c>
      <c r="F7676" s="336"/>
      <c r="G7676" s="336">
        <v>43772</v>
      </c>
      <c r="H7676" s="334" t="s">
        <v>13635</v>
      </c>
      <c r="I7676" s="426">
        <v>13061721658</v>
      </c>
      <c r="J7676" s="348" t="s">
        <v>16393</v>
      </c>
      <c r="K7676" s="337"/>
      <c r="L7676" s="338"/>
      <c r="M7676" s="334">
        <v>4747</v>
      </c>
      <c r="N7676" s="362">
        <f t="shared" si="263"/>
        <v>4747</v>
      </c>
      <c r="X7676" s="339"/>
    </row>
    <row r="7677" s="330" customFormat="1" ht="15" customHeight="1" spans="1:24">
      <c r="A7677" s="334"/>
      <c r="B7677" s="334" t="s">
        <v>73</v>
      </c>
      <c r="C7677" s="334" t="s">
        <v>74</v>
      </c>
      <c r="D7677" s="334" t="s">
        <v>132</v>
      </c>
      <c r="E7677" s="336">
        <v>43777</v>
      </c>
      <c r="F7677" s="336"/>
      <c r="G7677" s="336">
        <v>43778</v>
      </c>
      <c r="H7677" s="334" t="s">
        <v>12771</v>
      </c>
      <c r="I7677" s="426">
        <v>18917705866</v>
      </c>
      <c r="J7677" s="334" t="s">
        <v>12772</v>
      </c>
      <c r="K7677" s="337"/>
      <c r="L7677" s="338"/>
      <c r="M7677" s="334">
        <v>4164</v>
      </c>
      <c r="N7677" s="362">
        <f t="shared" si="263"/>
        <v>4164</v>
      </c>
      <c r="X7677" s="339"/>
    </row>
    <row r="7678" s="330" customFormat="1" ht="15" customHeight="1" spans="1:24">
      <c r="A7678" s="334"/>
      <c r="B7678" s="334" t="s">
        <v>137</v>
      </c>
      <c r="C7678" s="334" t="s">
        <v>861</v>
      </c>
      <c r="D7678" s="334" t="s">
        <v>139</v>
      </c>
      <c r="E7678" s="336">
        <v>43777</v>
      </c>
      <c r="F7678" s="336"/>
      <c r="G7678" s="336">
        <v>43777</v>
      </c>
      <c r="H7678" s="334" t="s">
        <v>2198</v>
      </c>
      <c r="I7678" s="334">
        <v>18017757118</v>
      </c>
      <c r="J7678" s="334" t="s">
        <v>16394</v>
      </c>
      <c r="K7678" s="337"/>
      <c r="L7678" s="338"/>
      <c r="M7678" s="334">
        <v>815</v>
      </c>
      <c r="N7678" s="362">
        <f t="shared" si="263"/>
        <v>815</v>
      </c>
      <c r="X7678" s="339"/>
    </row>
    <row r="7679" s="330" customFormat="1" ht="15" customHeight="1" spans="1:24">
      <c r="A7679" s="550" t="s">
        <v>8330</v>
      </c>
      <c r="B7679" s="334" t="s">
        <v>354</v>
      </c>
      <c r="C7679" s="348" t="s">
        <v>355</v>
      </c>
      <c r="D7679" s="334" t="s">
        <v>162</v>
      </c>
      <c r="E7679" s="336">
        <v>43787</v>
      </c>
      <c r="F7679" s="336">
        <v>43777</v>
      </c>
      <c r="G7679" s="336">
        <v>43782</v>
      </c>
      <c r="H7679" s="334" t="s">
        <v>16395</v>
      </c>
      <c r="I7679" s="444">
        <v>15201820135</v>
      </c>
      <c r="J7679" s="348" t="s">
        <v>16396</v>
      </c>
      <c r="K7679" s="452">
        <v>1000</v>
      </c>
      <c r="L7679" s="334">
        <v>21585</v>
      </c>
      <c r="M7679" s="338"/>
      <c r="N7679" s="362">
        <f t="shared" ref="N7679:N7708" si="264">L7679+M7679</f>
        <v>21585</v>
      </c>
      <c r="X7679" s="339"/>
    </row>
    <row r="7680" s="330" customFormat="1" ht="15" customHeight="1" spans="1:24">
      <c r="A7680" s="550" t="s">
        <v>11419</v>
      </c>
      <c r="B7680" s="334" t="s">
        <v>315</v>
      </c>
      <c r="C7680" s="348" t="s">
        <v>14638</v>
      </c>
      <c r="D7680" s="334" t="s">
        <v>162</v>
      </c>
      <c r="E7680" s="336">
        <v>43793</v>
      </c>
      <c r="F7680" s="336">
        <v>43777</v>
      </c>
      <c r="G7680" s="336">
        <v>43792</v>
      </c>
      <c r="H7680" s="334" t="s">
        <v>16397</v>
      </c>
      <c r="I7680" s="444">
        <v>13916921258</v>
      </c>
      <c r="J7680" s="348" t="s">
        <v>16398</v>
      </c>
      <c r="K7680" s="452">
        <v>1000</v>
      </c>
      <c r="L7680" s="334">
        <v>7184</v>
      </c>
      <c r="M7680" s="334">
        <v>8922</v>
      </c>
      <c r="N7680" s="362">
        <f t="shared" si="264"/>
        <v>16106</v>
      </c>
      <c r="X7680" s="339"/>
    </row>
    <row r="7681" s="330" customFormat="1" ht="15" customHeight="1" spans="1:24">
      <c r="A7681" s="550" t="s">
        <v>16399</v>
      </c>
      <c r="B7681" s="334" t="s">
        <v>73</v>
      </c>
      <c r="C7681" s="348" t="s">
        <v>74</v>
      </c>
      <c r="D7681" s="334" t="s">
        <v>44</v>
      </c>
      <c r="E7681" s="336">
        <v>43778</v>
      </c>
      <c r="F7681" s="336">
        <v>43777</v>
      </c>
      <c r="G7681" s="399">
        <v>43777</v>
      </c>
      <c r="H7681" s="336" t="s">
        <v>16400</v>
      </c>
      <c r="I7681" s="558" t="s">
        <v>16401</v>
      </c>
      <c r="J7681" s="348" t="s">
        <v>16402</v>
      </c>
      <c r="K7681" s="452">
        <v>1000</v>
      </c>
      <c r="L7681" s="334">
        <v>21540</v>
      </c>
      <c r="M7681" s="338"/>
      <c r="N7681" s="362">
        <f t="shared" si="264"/>
        <v>21540</v>
      </c>
      <c r="X7681" s="339"/>
    </row>
    <row r="7682" s="330" customFormat="1" ht="15" customHeight="1" spans="1:24">
      <c r="A7682" s="550" t="s">
        <v>16403</v>
      </c>
      <c r="B7682" s="334" t="s">
        <v>73</v>
      </c>
      <c r="C7682" s="348" t="s">
        <v>74</v>
      </c>
      <c r="D7682" s="334" t="s">
        <v>635</v>
      </c>
      <c r="E7682" s="336">
        <v>43809</v>
      </c>
      <c r="F7682" s="336">
        <v>43777</v>
      </c>
      <c r="G7682" s="336">
        <v>43808</v>
      </c>
      <c r="H7682" s="334" t="s">
        <v>16404</v>
      </c>
      <c r="I7682" s="444">
        <v>18116071971</v>
      </c>
      <c r="J7682" s="348" t="s">
        <v>16405</v>
      </c>
      <c r="K7682" s="452">
        <v>1000</v>
      </c>
      <c r="L7682" s="334">
        <v>7500</v>
      </c>
      <c r="M7682" s="338"/>
      <c r="N7682" s="362">
        <f t="shared" si="264"/>
        <v>7500</v>
      </c>
      <c r="Q7682" s="366" t="s">
        <v>52</v>
      </c>
      <c r="X7682" s="339"/>
    </row>
    <row r="7683" s="330" customFormat="1" ht="15" customHeight="1" spans="1:24">
      <c r="A7683" s="550" t="s">
        <v>3717</v>
      </c>
      <c r="B7683" s="334" t="s">
        <v>153</v>
      </c>
      <c r="C7683" s="348" t="s">
        <v>154</v>
      </c>
      <c r="D7683" s="334" t="s">
        <v>155</v>
      </c>
      <c r="E7683" s="336">
        <v>43779</v>
      </c>
      <c r="F7683" s="336">
        <v>43777</v>
      </c>
      <c r="G7683" s="336">
        <v>43778</v>
      </c>
      <c r="H7683" s="334" t="s">
        <v>16406</v>
      </c>
      <c r="I7683" s="444">
        <v>18801881818</v>
      </c>
      <c r="J7683" s="348" t="s">
        <v>16407</v>
      </c>
      <c r="K7683" s="452">
        <v>1000</v>
      </c>
      <c r="L7683" s="334">
        <v>25792</v>
      </c>
      <c r="M7683" s="338"/>
      <c r="N7683" s="362">
        <f t="shared" si="264"/>
        <v>25792</v>
      </c>
      <c r="X7683" s="339"/>
    </row>
    <row r="7684" s="330" customFormat="1" ht="15" customHeight="1" spans="1:24">
      <c r="A7684" s="550" t="s">
        <v>16408</v>
      </c>
      <c r="B7684" s="334" t="s">
        <v>73</v>
      </c>
      <c r="C7684" s="348" t="s">
        <v>178</v>
      </c>
      <c r="D7684" s="335" t="s">
        <v>75</v>
      </c>
      <c r="E7684" s="336">
        <v>43778</v>
      </c>
      <c r="F7684" s="336">
        <v>43777</v>
      </c>
      <c r="G7684" s="399"/>
      <c r="H7684" s="334" t="s">
        <v>16409</v>
      </c>
      <c r="I7684" s="444">
        <v>13701822561</v>
      </c>
      <c r="J7684" s="348" t="s">
        <v>16410</v>
      </c>
      <c r="K7684" s="452">
        <v>1000</v>
      </c>
      <c r="L7684" s="338"/>
      <c r="M7684" s="338"/>
      <c r="N7684" s="362">
        <f t="shared" si="264"/>
        <v>0</v>
      </c>
      <c r="Q7684" s="366" t="s">
        <v>52</v>
      </c>
      <c r="X7684" s="339"/>
    </row>
    <row r="7685" s="330" customFormat="1" ht="15" customHeight="1" spans="1:24">
      <c r="A7685" s="550" t="s">
        <v>16411</v>
      </c>
      <c r="B7685" s="334" t="s">
        <v>73</v>
      </c>
      <c r="C7685" s="348" t="s">
        <v>74</v>
      </c>
      <c r="D7685" s="335" t="s">
        <v>125</v>
      </c>
      <c r="E7685" s="336">
        <v>43778</v>
      </c>
      <c r="F7685" s="336">
        <v>43777</v>
      </c>
      <c r="G7685" s="399">
        <v>43778</v>
      </c>
      <c r="H7685" s="334" t="s">
        <v>16412</v>
      </c>
      <c r="I7685" s="444">
        <v>13003238090</v>
      </c>
      <c r="J7685" s="348" t="s">
        <v>16413</v>
      </c>
      <c r="K7685" s="452">
        <v>1000</v>
      </c>
      <c r="L7685" s="334">
        <v>18567</v>
      </c>
      <c r="M7685" s="338"/>
      <c r="N7685" s="362">
        <f t="shared" si="264"/>
        <v>18567</v>
      </c>
      <c r="X7685" s="339"/>
    </row>
    <row r="7686" s="330" customFormat="1" ht="15" customHeight="1" spans="1:24">
      <c r="A7686" s="550" t="s">
        <v>16414</v>
      </c>
      <c r="B7686" s="334" t="s">
        <v>73</v>
      </c>
      <c r="C7686" s="348" t="s">
        <v>178</v>
      </c>
      <c r="D7686" s="335" t="s">
        <v>75</v>
      </c>
      <c r="E7686" s="336">
        <v>43780</v>
      </c>
      <c r="F7686" s="336">
        <v>43779</v>
      </c>
      <c r="G7686" s="399"/>
      <c r="H7686" s="334" t="s">
        <v>16415</v>
      </c>
      <c r="I7686" s="444">
        <v>13611653987</v>
      </c>
      <c r="J7686" s="348" t="s">
        <v>16416</v>
      </c>
      <c r="K7686" s="452">
        <v>1000</v>
      </c>
      <c r="L7686" s="338"/>
      <c r="M7686" s="338"/>
      <c r="N7686" s="362">
        <f t="shared" si="264"/>
        <v>0</v>
      </c>
      <c r="P7686" s="405" t="s">
        <v>52</v>
      </c>
      <c r="Q7686" s="331"/>
      <c r="X7686" s="339"/>
    </row>
    <row r="7687" s="330" customFormat="1" ht="15" customHeight="1" spans="1:24">
      <c r="A7687" s="550" t="s">
        <v>16417</v>
      </c>
      <c r="B7687" s="334" t="s">
        <v>5435</v>
      </c>
      <c r="C7687" s="348" t="s">
        <v>119</v>
      </c>
      <c r="D7687" s="334" t="s">
        <v>1436</v>
      </c>
      <c r="E7687" s="336">
        <v>43817</v>
      </c>
      <c r="F7687" s="336">
        <v>43773</v>
      </c>
      <c r="G7687" s="336">
        <v>43816</v>
      </c>
      <c r="H7687" s="334" t="s">
        <v>16418</v>
      </c>
      <c r="I7687" s="444">
        <v>18513250586</v>
      </c>
      <c r="J7687" s="348" t="s">
        <v>16419</v>
      </c>
      <c r="K7687" s="452">
        <v>3137</v>
      </c>
      <c r="L7687" s="334">
        <v>12737</v>
      </c>
      <c r="M7687" s="338"/>
      <c r="N7687" s="362">
        <f t="shared" si="264"/>
        <v>12737</v>
      </c>
      <c r="X7687" s="339"/>
    </row>
    <row r="7688" s="330" customFormat="1" ht="15" customHeight="1" spans="1:24">
      <c r="A7688" s="550" t="s">
        <v>16420</v>
      </c>
      <c r="B7688" s="334" t="s">
        <v>66</v>
      </c>
      <c r="C7688" s="334" t="s">
        <v>505</v>
      </c>
      <c r="D7688" s="334" t="s">
        <v>2302</v>
      </c>
      <c r="E7688" s="336">
        <v>43778</v>
      </c>
      <c r="F7688" s="336">
        <v>43778</v>
      </c>
      <c r="G7688" s="399">
        <v>43778</v>
      </c>
      <c r="H7688" s="334" t="s">
        <v>16421</v>
      </c>
      <c r="I7688" s="426">
        <v>18321640997</v>
      </c>
      <c r="J7688" s="348" t="s">
        <v>16422</v>
      </c>
      <c r="K7688" s="452">
        <v>2001</v>
      </c>
      <c r="L7688" s="334">
        <v>7274</v>
      </c>
      <c r="M7688" s="338"/>
      <c r="N7688" s="362">
        <f t="shared" si="264"/>
        <v>7274</v>
      </c>
      <c r="X7688" s="339"/>
    </row>
    <row r="7689" s="330" customFormat="1" ht="15" customHeight="1" spans="1:24">
      <c r="A7689" s="550" t="s">
        <v>16423</v>
      </c>
      <c r="B7689" s="334" t="s">
        <v>66</v>
      </c>
      <c r="C7689" s="334" t="s">
        <v>505</v>
      </c>
      <c r="D7689" s="334" t="s">
        <v>2302</v>
      </c>
      <c r="E7689" s="336">
        <v>43778</v>
      </c>
      <c r="F7689" s="336">
        <v>43778</v>
      </c>
      <c r="G7689" s="399">
        <v>43778</v>
      </c>
      <c r="H7689" s="334" t="s">
        <v>16424</v>
      </c>
      <c r="I7689" s="426">
        <v>18521309188</v>
      </c>
      <c r="J7689" s="348" t="s">
        <v>16425</v>
      </c>
      <c r="K7689" s="452">
        <v>11000</v>
      </c>
      <c r="L7689" s="334">
        <v>15974</v>
      </c>
      <c r="M7689" s="338"/>
      <c r="N7689" s="362">
        <f t="shared" si="264"/>
        <v>15974</v>
      </c>
      <c r="X7689" s="339"/>
    </row>
    <row r="7690" s="330" customFormat="1" ht="15" customHeight="1" spans="1:24">
      <c r="A7690" s="550" t="s">
        <v>16426</v>
      </c>
      <c r="B7690" s="334" t="s">
        <v>359</v>
      </c>
      <c r="C7690" s="334" t="s">
        <v>3018</v>
      </c>
      <c r="D7690" s="335" t="s">
        <v>361</v>
      </c>
      <c r="E7690" s="336">
        <v>43782</v>
      </c>
      <c r="F7690" s="336">
        <v>43778</v>
      </c>
      <c r="G7690" s="336">
        <v>43781</v>
      </c>
      <c r="H7690" s="334" t="s">
        <v>16427</v>
      </c>
      <c r="I7690" s="426">
        <v>13918104328</v>
      </c>
      <c r="J7690" s="348" t="s">
        <v>16428</v>
      </c>
      <c r="K7690" s="452">
        <v>1000</v>
      </c>
      <c r="L7690" s="334">
        <v>19970</v>
      </c>
      <c r="M7690" s="338"/>
      <c r="N7690" s="362">
        <f t="shared" si="264"/>
        <v>19970</v>
      </c>
      <c r="X7690" s="339"/>
    </row>
    <row r="7691" s="330" customFormat="1" ht="15" customHeight="1" spans="1:24">
      <c r="A7691" s="348" t="s">
        <v>13074</v>
      </c>
      <c r="B7691" s="334" t="s">
        <v>243</v>
      </c>
      <c r="C7691" s="348" t="s">
        <v>304</v>
      </c>
      <c r="D7691" s="335" t="s">
        <v>49</v>
      </c>
      <c r="E7691" s="336">
        <v>43782</v>
      </c>
      <c r="F7691" s="336">
        <v>43775</v>
      </c>
      <c r="G7691" s="336">
        <v>43782</v>
      </c>
      <c r="H7691" s="334" t="s">
        <v>7674</v>
      </c>
      <c r="I7691" s="444">
        <v>18121388031</v>
      </c>
      <c r="J7691" s="348" t="s">
        <v>16429</v>
      </c>
      <c r="K7691" s="452">
        <v>1000</v>
      </c>
      <c r="L7691" s="334">
        <v>1000</v>
      </c>
      <c r="M7691" s="338"/>
      <c r="N7691" s="362">
        <f t="shared" si="264"/>
        <v>1000</v>
      </c>
      <c r="X7691" s="339"/>
    </row>
    <row r="7692" s="330" customFormat="1" ht="15" customHeight="1" spans="1:24">
      <c r="A7692" s="348">
        <v>2023289</v>
      </c>
      <c r="B7692" s="334" t="s">
        <v>94</v>
      </c>
      <c r="C7692" s="348" t="s">
        <v>101</v>
      </c>
      <c r="D7692" s="334" t="s">
        <v>407</v>
      </c>
      <c r="E7692" s="336">
        <v>43799</v>
      </c>
      <c r="F7692" s="336">
        <v>43778</v>
      </c>
      <c r="G7692" s="336">
        <v>43799</v>
      </c>
      <c r="H7692" s="334" t="s">
        <v>16430</v>
      </c>
      <c r="I7692" s="444">
        <v>13761662176</v>
      </c>
      <c r="J7692" s="348" t="s">
        <v>16431</v>
      </c>
      <c r="K7692" s="452">
        <v>1000</v>
      </c>
      <c r="L7692" s="334">
        <v>180500</v>
      </c>
      <c r="M7692" s="338"/>
      <c r="N7692" s="362">
        <f t="shared" si="264"/>
        <v>180500</v>
      </c>
      <c r="P7692" s="467" t="s">
        <v>52</v>
      </c>
      <c r="X7692" s="339"/>
    </row>
    <row r="7693" s="330" customFormat="1" ht="15" customHeight="1" spans="1:24">
      <c r="A7693" s="550" t="s">
        <v>16432</v>
      </c>
      <c r="B7693" s="334" t="s">
        <v>805</v>
      </c>
      <c r="C7693" s="348" t="s">
        <v>4935</v>
      </c>
      <c r="D7693" s="335" t="s">
        <v>171</v>
      </c>
      <c r="E7693" s="336">
        <v>43778</v>
      </c>
      <c r="F7693" s="336">
        <v>43777</v>
      </c>
      <c r="G7693" s="399"/>
      <c r="H7693" s="334" t="s">
        <v>16433</v>
      </c>
      <c r="I7693" s="444">
        <v>18618331357</v>
      </c>
      <c r="J7693" s="348" t="s">
        <v>16434</v>
      </c>
      <c r="K7693" s="452">
        <v>1000</v>
      </c>
      <c r="L7693" s="338"/>
      <c r="M7693" s="338"/>
      <c r="N7693" s="362">
        <f t="shared" si="264"/>
        <v>0</v>
      </c>
      <c r="O7693" s="467" t="s">
        <v>52</v>
      </c>
      <c r="X7693" s="339"/>
    </row>
    <row r="7694" s="330" customFormat="1" ht="15" customHeight="1" spans="1:24">
      <c r="A7694" s="550" t="s">
        <v>6004</v>
      </c>
      <c r="B7694" s="334" t="s">
        <v>137</v>
      </c>
      <c r="C7694" s="348" t="s">
        <v>406</v>
      </c>
      <c r="D7694" s="334" t="s">
        <v>139</v>
      </c>
      <c r="E7694" s="336">
        <v>43796</v>
      </c>
      <c r="F7694" s="336">
        <v>43778</v>
      </c>
      <c r="G7694" s="336">
        <v>43793</v>
      </c>
      <c r="H7694" s="348" t="s">
        <v>16435</v>
      </c>
      <c r="I7694" s="444">
        <v>13817772357</v>
      </c>
      <c r="J7694" s="348" t="s">
        <v>16436</v>
      </c>
      <c r="K7694" s="452">
        <f>-3000+30000</f>
        <v>27000</v>
      </c>
      <c r="L7694" s="334">
        <v>31000</v>
      </c>
      <c r="M7694" s="338"/>
      <c r="N7694" s="362">
        <f t="shared" si="264"/>
        <v>31000</v>
      </c>
      <c r="R7694" s="330">
        <v>1</v>
      </c>
      <c r="X7694" s="339"/>
    </row>
    <row r="7695" s="330" customFormat="1" ht="15" customHeight="1" spans="1:24">
      <c r="A7695" s="348" t="s">
        <v>13074</v>
      </c>
      <c r="B7695" s="445" t="s">
        <v>66</v>
      </c>
      <c r="C7695" s="445" t="s">
        <v>505</v>
      </c>
      <c r="D7695" s="335" t="s">
        <v>1436</v>
      </c>
      <c r="E7695" s="336">
        <v>43778</v>
      </c>
      <c r="F7695" s="336">
        <v>43778</v>
      </c>
      <c r="G7695" s="399" t="s">
        <v>69</v>
      </c>
      <c r="H7695" s="334" t="s">
        <v>8820</v>
      </c>
      <c r="I7695" s="465">
        <v>13818549176</v>
      </c>
      <c r="J7695" s="445" t="s">
        <v>8821</v>
      </c>
      <c r="K7695" s="452">
        <v>10388</v>
      </c>
      <c r="L7695" s="338"/>
      <c r="M7695" s="338"/>
      <c r="N7695" s="362">
        <f t="shared" si="264"/>
        <v>0</v>
      </c>
      <c r="X7695" s="339"/>
    </row>
    <row r="7696" s="330" customFormat="1" ht="15" customHeight="1" spans="1:24">
      <c r="A7696" s="348" t="s">
        <v>13074</v>
      </c>
      <c r="B7696" s="445" t="s">
        <v>243</v>
      </c>
      <c r="C7696" s="445" t="s">
        <v>304</v>
      </c>
      <c r="D7696" s="335" t="s">
        <v>49</v>
      </c>
      <c r="E7696" s="336">
        <v>43778</v>
      </c>
      <c r="F7696" s="336">
        <v>43778</v>
      </c>
      <c r="G7696" s="399"/>
      <c r="H7696" s="334" t="s">
        <v>16437</v>
      </c>
      <c r="I7696" s="465">
        <v>13310037859</v>
      </c>
      <c r="J7696" s="445" t="s">
        <v>16438</v>
      </c>
      <c r="K7696" s="452">
        <v>10000</v>
      </c>
      <c r="L7696" s="338"/>
      <c r="M7696" s="338"/>
      <c r="N7696" s="362">
        <f t="shared" si="264"/>
        <v>0</v>
      </c>
      <c r="P7696" s="356" t="s">
        <v>52</v>
      </c>
      <c r="X7696" s="339"/>
    </row>
    <row r="7697" s="330" customFormat="1" ht="15" customHeight="1" spans="1:24">
      <c r="A7697" s="550" t="s">
        <v>16439</v>
      </c>
      <c r="B7697" s="334" t="s">
        <v>185</v>
      </c>
      <c r="C7697" s="445" t="s">
        <v>186</v>
      </c>
      <c r="D7697" s="335" t="s">
        <v>187</v>
      </c>
      <c r="E7697" s="336">
        <v>43798</v>
      </c>
      <c r="F7697" s="336">
        <v>43777</v>
      </c>
      <c r="G7697" s="336">
        <v>43798</v>
      </c>
      <c r="H7697" s="334" t="s">
        <v>16440</v>
      </c>
      <c r="I7697" s="465">
        <v>13801747042</v>
      </c>
      <c r="J7697" s="445" t="s">
        <v>16441</v>
      </c>
      <c r="K7697" s="452">
        <v>1000</v>
      </c>
      <c r="L7697" s="334">
        <v>13500</v>
      </c>
      <c r="M7697" s="338"/>
      <c r="N7697" s="362">
        <f t="shared" si="264"/>
        <v>13500</v>
      </c>
      <c r="X7697" s="339"/>
    </row>
    <row r="7698" s="330" customFormat="1" ht="15" customHeight="1" spans="1:24">
      <c r="A7698" s="348">
        <v>2023283</v>
      </c>
      <c r="B7698" s="445" t="s">
        <v>94</v>
      </c>
      <c r="C7698" s="445" t="s">
        <v>101</v>
      </c>
      <c r="D7698" s="335" t="s">
        <v>49</v>
      </c>
      <c r="E7698" s="336">
        <v>43778</v>
      </c>
      <c r="F7698" s="336">
        <v>43765</v>
      </c>
      <c r="G7698" s="336">
        <v>43778</v>
      </c>
      <c r="H7698" s="334" t="s">
        <v>16442</v>
      </c>
      <c r="I7698" s="426">
        <v>13916986496</v>
      </c>
      <c r="J7698" s="334" t="s">
        <v>16443</v>
      </c>
      <c r="K7698" s="452">
        <v>2000</v>
      </c>
      <c r="L7698" s="334">
        <v>11578</v>
      </c>
      <c r="M7698" s="338"/>
      <c r="N7698" s="362">
        <f t="shared" si="264"/>
        <v>11578</v>
      </c>
      <c r="X7698" s="339"/>
    </row>
    <row r="7699" s="330" customFormat="1" ht="15" customHeight="1" spans="1:24">
      <c r="A7699" s="550" t="s">
        <v>16444</v>
      </c>
      <c r="B7699" s="445" t="s">
        <v>35</v>
      </c>
      <c r="C7699" s="445" t="s">
        <v>328</v>
      </c>
      <c r="D7699" s="335" t="s">
        <v>37</v>
      </c>
      <c r="E7699" s="336">
        <v>43787</v>
      </c>
      <c r="F7699" s="336">
        <v>43778</v>
      </c>
      <c r="G7699" s="336">
        <v>43786</v>
      </c>
      <c r="H7699" s="334" t="s">
        <v>16445</v>
      </c>
      <c r="I7699" s="465">
        <v>13816699740</v>
      </c>
      <c r="J7699" s="445" t="s">
        <v>16446</v>
      </c>
      <c r="K7699" s="452">
        <v>1000</v>
      </c>
      <c r="L7699" s="334">
        <v>15703</v>
      </c>
      <c r="M7699" s="338"/>
      <c r="N7699" s="362">
        <f t="shared" si="264"/>
        <v>15703</v>
      </c>
      <c r="X7699" s="339"/>
    </row>
    <row r="7700" s="330" customFormat="1" ht="15" customHeight="1" spans="1:24">
      <c r="A7700" s="550" t="s">
        <v>6845</v>
      </c>
      <c r="B7700" s="445" t="s">
        <v>35</v>
      </c>
      <c r="C7700" s="445" t="s">
        <v>36</v>
      </c>
      <c r="D7700" s="335" t="s">
        <v>37</v>
      </c>
      <c r="E7700" s="336">
        <v>43812</v>
      </c>
      <c r="F7700" s="336">
        <v>43778</v>
      </c>
      <c r="G7700" s="336">
        <v>43812</v>
      </c>
      <c r="H7700" s="334" t="s">
        <v>4203</v>
      </c>
      <c r="I7700" s="465">
        <v>18916344786</v>
      </c>
      <c r="J7700" s="445" t="s">
        <v>16447</v>
      </c>
      <c r="K7700" s="452">
        <v>1000</v>
      </c>
      <c r="L7700" s="334">
        <v>11800</v>
      </c>
      <c r="M7700" s="338"/>
      <c r="N7700" s="362">
        <f t="shared" si="264"/>
        <v>11800</v>
      </c>
      <c r="O7700" s="356" t="s">
        <v>52</v>
      </c>
      <c r="X7700" s="339"/>
    </row>
    <row r="7701" s="330" customFormat="1" ht="15" customHeight="1" spans="1:24">
      <c r="A7701" s="550" t="s">
        <v>8598</v>
      </c>
      <c r="B7701" s="334" t="s">
        <v>66</v>
      </c>
      <c r="C7701" s="445" t="s">
        <v>951</v>
      </c>
      <c r="D7701" s="335" t="s">
        <v>68</v>
      </c>
      <c r="E7701" s="336">
        <v>43798</v>
      </c>
      <c r="F7701" s="336">
        <v>43778</v>
      </c>
      <c r="G7701" s="336">
        <v>43797</v>
      </c>
      <c r="H7701" s="334" t="s">
        <v>16448</v>
      </c>
      <c r="I7701" s="465">
        <v>18516691413</v>
      </c>
      <c r="J7701" s="445" t="s">
        <v>16449</v>
      </c>
      <c r="K7701" s="452">
        <v>3000</v>
      </c>
      <c r="L7701" s="334">
        <v>10000</v>
      </c>
      <c r="M7701" s="338"/>
      <c r="N7701" s="362">
        <f t="shared" si="264"/>
        <v>10000</v>
      </c>
      <c r="X7701" s="339"/>
    </row>
    <row r="7702" s="330" customFormat="1" ht="15" customHeight="1" spans="1:24">
      <c r="A7702" s="550" t="s">
        <v>5235</v>
      </c>
      <c r="B7702" s="334" t="s">
        <v>185</v>
      </c>
      <c r="C7702" s="445" t="s">
        <v>186</v>
      </c>
      <c r="D7702" s="335" t="s">
        <v>187</v>
      </c>
      <c r="E7702" s="336">
        <v>43830</v>
      </c>
      <c r="F7702" s="336">
        <v>43778</v>
      </c>
      <c r="G7702" s="336">
        <v>43828</v>
      </c>
      <c r="H7702" s="334" t="s">
        <v>16450</v>
      </c>
      <c r="I7702" s="465">
        <v>13817100699</v>
      </c>
      <c r="J7702" s="445" t="s">
        <v>16451</v>
      </c>
      <c r="K7702" s="452">
        <v>1000</v>
      </c>
      <c r="L7702" s="334">
        <v>66400</v>
      </c>
      <c r="M7702" s="338"/>
      <c r="N7702" s="362">
        <f t="shared" si="264"/>
        <v>66400</v>
      </c>
      <c r="R7702" s="467" t="s">
        <v>52</v>
      </c>
      <c r="X7702" s="339"/>
    </row>
    <row r="7703" s="330" customFormat="1" ht="15" customHeight="1" spans="1:24">
      <c r="A7703" s="550" t="s">
        <v>5255</v>
      </c>
      <c r="B7703" s="334" t="s">
        <v>185</v>
      </c>
      <c r="C7703" s="445" t="s">
        <v>186</v>
      </c>
      <c r="D7703" s="335" t="s">
        <v>187</v>
      </c>
      <c r="E7703" s="336">
        <v>43793</v>
      </c>
      <c r="F7703" s="336">
        <v>43778</v>
      </c>
      <c r="G7703" s="336">
        <v>43792</v>
      </c>
      <c r="H7703" s="334" t="s">
        <v>16452</v>
      </c>
      <c r="I7703" s="465">
        <v>13361973113</v>
      </c>
      <c r="J7703" s="445" t="s">
        <v>16453</v>
      </c>
      <c r="K7703" s="452">
        <v>1000</v>
      </c>
      <c r="L7703" s="334">
        <v>12026</v>
      </c>
      <c r="M7703" s="338"/>
      <c r="N7703" s="362">
        <f t="shared" si="264"/>
        <v>12026</v>
      </c>
      <c r="X7703" s="339"/>
    </row>
    <row r="7704" s="330" customFormat="1" ht="15" customHeight="1" spans="1:24">
      <c r="A7704" s="550" t="s">
        <v>4999</v>
      </c>
      <c r="B7704" s="445" t="s">
        <v>31</v>
      </c>
      <c r="C7704" s="445" t="s">
        <v>220</v>
      </c>
      <c r="D7704" s="334" t="s">
        <v>954</v>
      </c>
      <c r="E7704" s="336">
        <v>43791</v>
      </c>
      <c r="F7704" s="336">
        <v>43778</v>
      </c>
      <c r="G7704" s="336">
        <v>43791</v>
      </c>
      <c r="H7704" s="334" t="s">
        <v>14704</v>
      </c>
      <c r="I7704" s="465">
        <v>13641830299</v>
      </c>
      <c r="J7704" s="445" t="s">
        <v>16454</v>
      </c>
      <c r="K7704" s="452">
        <v>1000</v>
      </c>
      <c r="L7704" s="334">
        <v>12020</v>
      </c>
      <c r="M7704" s="338"/>
      <c r="N7704" s="362">
        <f t="shared" si="264"/>
        <v>12020</v>
      </c>
      <c r="X7704" s="339"/>
    </row>
    <row r="7705" s="330" customFormat="1" ht="15" customHeight="1" spans="1:24">
      <c r="A7705" s="550" t="s">
        <v>1072</v>
      </c>
      <c r="B7705" s="334" t="s">
        <v>66</v>
      </c>
      <c r="C7705" s="445" t="s">
        <v>951</v>
      </c>
      <c r="D7705" s="335" t="s">
        <v>68</v>
      </c>
      <c r="E7705" s="336">
        <v>43778</v>
      </c>
      <c r="F7705" s="336">
        <v>43778</v>
      </c>
      <c r="G7705" s="399"/>
      <c r="H7705" s="334" t="s">
        <v>16455</v>
      </c>
      <c r="I7705" s="465">
        <v>15105179130</v>
      </c>
      <c r="J7705" s="445" t="s">
        <v>16456</v>
      </c>
      <c r="K7705" s="452">
        <v>3100</v>
      </c>
      <c r="L7705" s="338"/>
      <c r="M7705" s="338"/>
      <c r="N7705" s="362">
        <f t="shared" si="264"/>
        <v>0</v>
      </c>
      <c r="X7705" s="339"/>
    </row>
    <row r="7706" s="330" customFormat="1" ht="15" customHeight="1" spans="1:24">
      <c r="A7706" s="334"/>
      <c r="B7706" s="334" t="s">
        <v>354</v>
      </c>
      <c r="C7706" s="334" t="s">
        <v>355</v>
      </c>
      <c r="D7706" s="334" t="s">
        <v>149</v>
      </c>
      <c r="E7706" s="336">
        <v>43778</v>
      </c>
      <c r="F7706" s="336"/>
      <c r="G7706" s="336">
        <v>43777</v>
      </c>
      <c r="H7706" s="334" t="s">
        <v>11501</v>
      </c>
      <c r="I7706" s="426">
        <v>13564650572</v>
      </c>
      <c r="J7706" s="334" t="s">
        <v>11502</v>
      </c>
      <c r="K7706" s="337"/>
      <c r="L7706" s="338"/>
      <c r="M7706" s="334">
        <v>780</v>
      </c>
      <c r="N7706" s="362">
        <f t="shared" ref="N7706:N7721" si="265">L7706+M7706</f>
        <v>780</v>
      </c>
      <c r="X7706" s="339"/>
    </row>
    <row r="7707" s="330" customFormat="1" ht="15" customHeight="1" spans="1:24">
      <c r="A7707" s="334"/>
      <c r="B7707" s="334" t="s">
        <v>58</v>
      </c>
      <c r="C7707" s="334" t="s">
        <v>59</v>
      </c>
      <c r="D7707" s="334" t="s">
        <v>271</v>
      </c>
      <c r="E7707" s="336">
        <v>43778</v>
      </c>
      <c r="F7707" s="336"/>
      <c r="G7707" s="336">
        <v>43777</v>
      </c>
      <c r="H7707" s="334" t="s">
        <v>13408</v>
      </c>
      <c r="I7707" s="426">
        <v>13901914902</v>
      </c>
      <c r="J7707" s="334" t="s">
        <v>13409</v>
      </c>
      <c r="K7707" s="337"/>
      <c r="L7707" s="338"/>
      <c r="M7707" s="334">
        <v>1939</v>
      </c>
      <c r="N7707" s="362">
        <f t="shared" si="265"/>
        <v>1939</v>
      </c>
      <c r="X7707" s="339"/>
    </row>
    <row r="7708" s="330" customFormat="1" ht="15" customHeight="1" spans="1:24">
      <c r="A7708" s="334"/>
      <c r="B7708" s="334" t="s">
        <v>31</v>
      </c>
      <c r="C7708" s="334" t="s">
        <v>419</v>
      </c>
      <c r="D7708" s="334" t="s">
        <v>954</v>
      </c>
      <c r="E7708" s="336">
        <v>43778</v>
      </c>
      <c r="F7708" s="336"/>
      <c r="G7708" s="336">
        <v>43777</v>
      </c>
      <c r="H7708" s="334" t="s">
        <v>11168</v>
      </c>
      <c r="I7708" s="334">
        <v>13621897322</v>
      </c>
      <c r="J7708" s="334" t="s">
        <v>11169</v>
      </c>
      <c r="K7708" s="337"/>
      <c r="L7708" s="338"/>
      <c r="M7708" s="334">
        <v>949</v>
      </c>
      <c r="N7708" s="362">
        <f t="shared" si="265"/>
        <v>949</v>
      </c>
      <c r="X7708" s="339"/>
    </row>
    <row r="7709" s="330" customFormat="1" ht="15" customHeight="1" spans="1:24">
      <c r="A7709" s="334"/>
      <c r="B7709" s="334" t="s">
        <v>315</v>
      </c>
      <c r="C7709" s="334" t="s">
        <v>275</v>
      </c>
      <c r="D7709" s="334" t="s">
        <v>1431</v>
      </c>
      <c r="E7709" s="336">
        <v>43778</v>
      </c>
      <c r="F7709" s="336"/>
      <c r="G7709" s="336">
        <v>43776</v>
      </c>
      <c r="H7709" s="334" t="s">
        <v>15056</v>
      </c>
      <c r="I7709" s="444">
        <v>18221100627</v>
      </c>
      <c r="J7709" s="348" t="s">
        <v>15057</v>
      </c>
      <c r="K7709" s="337"/>
      <c r="L7709" s="338"/>
      <c r="M7709" s="334">
        <v>1528</v>
      </c>
      <c r="N7709" s="362">
        <f t="shared" si="265"/>
        <v>1528</v>
      </c>
      <c r="X7709" s="339"/>
    </row>
    <row r="7710" s="330" customFormat="1" ht="15" customHeight="1" spans="1:24">
      <c r="A7710" s="334"/>
      <c r="B7710" s="334" t="s">
        <v>137</v>
      </c>
      <c r="C7710" s="334" t="s">
        <v>138</v>
      </c>
      <c r="D7710" s="334" t="s">
        <v>139</v>
      </c>
      <c r="E7710" s="336">
        <v>43778</v>
      </c>
      <c r="F7710" s="336"/>
      <c r="G7710" s="336">
        <v>43778</v>
      </c>
      <c r="H7710" s="334" t="s">
        <v>9803</v>
      </c>
      <c r="I7710" s="334">
        <v>13816003363</v>
      </c>
      <c r="J7710" s="334" t="s">
        <v>16457</v>
      </c>
      <c r="K7710" s="337"/>
      <c r="L7710" s="338"/>
      <c r="M7710" s="334">
        <v>1993</v>
      </c>
      <c r="N7710" s="362">
        <f t="shared" si="265"/>
        <v>1993</v>
      </c>
      <c r="X7710" s="339"/>
    </row>
    <row r="7711" s="330" customFormat="1" ht="15" customHeight="1" spans="1:24">
      <c r="A7711" s="334"/>
      <c r="B7711" s="334" t="s">
        <v>726</v>
      </c>
      <c r="C7711" s="334" t="s">
        <v>727</v>
      </c>
      <c r="D7711" s="334" t="s">
        <v>271</v>
      </c>
      <c r="E7711" s="336">
        <v>43778</v>
      </c>
      <c r="F7711" s="336"/>
      <c r="G7711" s="336">
        <v>43775</v>
      </c>
      <c r="H7711" s="334" t="s">
        <v>11132</v>
      </c>
      <c r="I7711" s="334">
        <v>13311989323</v>
      </c>
      <c r="J7711" s="334" t="s">
        <v>16458</v>
      </c>
      <c r="K7711" s="337"/>
      <c r="L7711" s="338"/>
      <c r="M7711" s="334">
        <v>-845</v>
      </c>
      <c r="N7711" s="362">
        <f t="shared" si="265"/>
        <v>-845</v>
      </c>
      <c r="X7711" s="339"/>
    </row>
    <row r="7712" s="330" customFormat="1" ht="15" customHeight="1" spans="1:24">
      <c r="A7712" s="334"/>
      <c r="B7712" s="334" t="s">
        <v>87</v>
      </c>
      <c r="C7712" s="334" t="s">
        <v>466</v>
      </c>
      <c r="D7712" s="334" t="s">
        <v>8334</v>
      </c>
      <c r="E7712" s="336">
        <v>43778</v>
      </c>
      <c r="F7712" s="336"/>
      <c r="G7712" s="336">
        <v>43778</v>
      </c>
      <c r="H7712" s="334" t="s">
        <v>16459</v>
      </c>
      <c r="I7712" s="426">
        <v>13901979644</v>
      </c>
      <c r="J7712" s="334" t="s">
        <v>16460</v>
      </c>
      <c r="K7712" s="337"/>
      <c r="L7712" s="338"/>
      <c r="M7712" s="334">
        <v>1683</v>
      </c>
      <c r="N7712" s="362">
        <f t="shared" si="265"/>
        <v>1683</v>
      </c>
      <c r="X7712" s="339"/>
    </row>
    <row r="7713" s="330" customFormat="1" ht="15" customHeight="1" spans="1:24">
      <c r="A7713" s="334"/>
      <c r="B7713" s="334" t="s">
        <v>42</v>
      </c>
      <c r="C7713" s="334" t="s">
        <v>43</v>
      </c>
      <c r="D7713" s="334" t="s">
        <v>149</v>
      </c>
      <c r="E7713" s="336">
        <v>43778</v>
      </c>
      <c r="F7713" s="336"/>
      <c r="G7713" s="336">
        <v>43778</v>
      </c>
      <c r="H7713" s="334" t="s">
        <v>16461</v>
      </c>
      <c r="I7713" s="426">
        <v>13671598992</v>
      </c>
      <c r="J7713" s="334" t="s">
        <v>16462</v>
      </c>
      <c r="K7713" s="337"/>
      <c r="L7713" s="338"/>
      <c r="M7713" s="334">
        <v>94</v>
      </c>
      <c r="N7713" s="362">
        <f t="shared" si="265"/>
        <v>94</v>
      </c>
      <c r="X7713" s="339"/>
    </row>
    <row r="7714" s="330" customFormat="1" ht="15" customHeight="1" spans="1:24">
      <c r="A7714" s="334"/>
      <c r="B7714" s="334" t="s">
        <v>42</v>
      </c>
      <c r="C7714" s="334" t="s">
        <v>43</v>
      </c>
      <c r="D7714" s="334" t="s">
        <v>207</v>
      </c>
      <c r="E7714" s="336">
        <v>43778</v>
      </c>
      <c r="F7714" s="336"/>
      <c r="G7714" s="336">
        <v>43776</v>
      </c>
      <c r="H7714" s="334" t="s">
        <v>10893</v>
      </c>
      <c r="I7714" s="334">
        <v>13761176071</v>
      </c>
      <c r="J7714" s="334" t="s">
        <v>11980</v>
      </c>
      <c r="K7714" s="337"/>
      <c r="L7714" s="338"/>
      <c r="M7714" s="334">
        <v>4218</v>
      </c>
      <c r="N7714" s="362">
        <f t="shared" si="265"/>
        <v>4218</v>
      </c>
      <c r="X7714" s="339"/>
    </row>
    <row r="7715" s="330" customFormat="1" ht="15" customHeight="1" spans="1:24">
      <c r="A7715" s="334"/>
      <c r="B7715" s="334" t="s">
        <v>2625</v>
      </c>
      <c r="C7715" s="334" t="s">
        <v>2626</v>
      </c>
      <c r="D7715" s="334" t="s">
        <v>44</v>
      </c>
      <c r="E7715" s="336">
        <v>43778</v>
      </c>
      <c r="F7715" s="336"/>
      <c r="G7715" s="336">
        <v>43778</v>
      </c>
      <c r="H7715" s="334" t="s">
        <v>7115</v>
      </c>
      <c r="I7715" s="356">
        <v>18621976760</v>
      </c>
      <c r="J7715" s="348" t="s">
        <v>16463</v>
      </c>
      <c r="K7715" s="337"/>
      <c r="L7715" s="338"/>
      <c r="M7715" s="334">
        <v>1399</v>
      </c>
      <c r="N7715" s="362">
        <f t="shared" si="265"/>
        <v>1399</v>
      </c>
      <c r="X7715" s="339"/>
    </row>
    <row r="7716" s="330" customFormat="1" ht="15" customHeight="1" spans="1:24">
      <c r="A7716" s="334"/>
      <c r="B7716" s="334" t="s">
        <v>66</v>
      </c>
      <c r="C7716" s="334" t="s">
        <v>505</v>
      </c>
      <c r="D7716" s="334" t="s">
        <v>2302</v>
      </c>
      <c r="E7716" s="336">
        <v>43778</v>
      </c>
      <c r="F7716" s="336"/>
      <c r="G7716" s="336">
        <v>43730</v>
      </c>
      <c r="H7716" s="334" t="s">
        <v>8820</v>
      </c>
      <c r="I7716" s="334">
        <v>13818549176</v>
      </c>
      <c r="J7716" s="334" t="s">
        <v>12299</v>
      </c>
      <c r="K7716" s="337"/>
      <c r="L7716" s="338"/>
      <c r="M7716" s="334">
        <v>6266</v>
      </c>
      <c r="N7716" s="362">
        <f t="shared" si="265"/>
        <v>6266</v>
      </c>
      <c r="X7716" s="339"/>
    </row>
    <row r="7717" s="330" customFormat="1" ht="15" customHeight="1" spans="1:24">
      <c r="A7717" s="334"/>
      <c r="B7717" s="334" t="s">
        <v>73</v>
      </c>
      <c r="C7717" s="334" t="s">
        <v>74</v>
      </c>
      <c r="D7717" s="334" t="s">
        <v>143</v>
      </c>
      <c r="E7717" s="336">
        <v>43778</v>
      </c>
      <c r="F7717" s="336"/>
      <c r="G7717" s="336">
        <v>43778</v>
      </c>
      <c r="H7717" s="334" t="s">
        <v>3004</v>
      </c>
      <c r="I7717" s="356">
        <v>13901800530</v>
      </c>
      <c r="J7717" s="348" t="s">
        <v>16464</v>
      </c>
      <c r="K7717" s="337"/>
      <c r="L7717" s="338"/>
      <c r="M7717" s="334">
        <v>1633</v>
      </c>
      <c r="N7717" s="362">
        <f t="shared" si="265"/>
        <v>1633</v>
      </c>
      <c r="X7717" s="339"/>
    </row>
    <row r="7718" s="330" customFormat="1" ht="15" customHeight="1" spans="1:24">
      <c r="A7718" s="334"/>
      <c r="B7718" s="334" t="s">
        <v>73</v>
      </c>
      <c r="C7718" s="334" t="s">
        <v>178</v>
      </c>
      <c r="D7718" s="334" t="s">
        <v>143</v>
      </c>
      <c r="E7718" s="336">
        <v>43778</v>
      </c>
      <c r="F7718" s="336"/>
      <c r="G7718" s="336">
        <v>43775</v>
      </c>
      <c r="H7718" s="334" t="s">
        <v>871</v>
      </c>
      <c r="I7718" s="334">
        <v>13918742423</v>
      </c>
      <c r="J7718" s="334" t="s">
        <v>872</v>
      </c>
      <c r="K7718" s="337"/>
      <c r="L7718" s="338"/>
      <c r="M7718" s="334">
        <v>3616</v>
      </c>
      <c r="N7718" s="362">
        <f t="shared" si="265"/>
        <v>3616</v>
      </c>
      <c r="X7718" s="339"/>
    </row>
    <row r="7719" s="330" customFormat="1" ht="15" customHeight="1" spans="1:24">
      <c r="A7719" s="334"/>
      <c r="B7719" s="334" t="s">
        <v>42</v>
      </c>
      <c r="C7719" s="334" t="s">
        <v>43</v>
      </c>
      <c r="D7719" s="334" t="s">
        <v>207</v>
      </c>
      <c r="E7719" s="336">
        <v>43778</v>
      </c>
      <c r="F7719" s="336"/>
      <c r="G7719" s="336">
        <v>43778</v>
      </c>
      <c r="H7719" s="334" t="s">
        <v>13141</v>
      </c>
      <c r="I7719" s="334">
        <v>1391628700</v>
      </c>
      <c r="J7719" s="334" t="s">
        <v>16465</v>
      </c>
      <c r="K7719" s="337"/>
      <c r="L7719" s="338"/>
      <c r="M7719" s="334">
        <v>1120</v>
      </c>
      <c r="N7719" s="362">
        <f t="shared" si="265"/>
        <v>1120</v>
      </c>
      <c r="X7719" s="339"/>
    </row>
    <row r="7720" s="330" customFormat="1" ht="15" customHeight="1" spans="1:24">
      <c r="A7720" s="334"/>
      <c r="B7720" s="334" t="s">
        <v>335</v>
      </c>
      <c r="C7720" s="334" t="s">
        <v>399</v>
      </c>
      <c r="D7720" s="334" t="s">
        <v>635</v>
      </c>
      <c r="E7720" s="336">
        <v>43778</v>
      </c>
      <c r="F7720" s="336"/>
      <c r="G7720" s="336">
        <v>43777</v>
      </c>
      <c r="H7720" s="334" t="s">
        <v>2255</v>
      </c>
      <c r="I7720" s="334">
        <v>18917913115</v>
      </c>
      <c r="J7720" s="334" t="s">
        <v>16466</v>
      </c>
      <c r="K7720" s="337"/>
      <c r="L7720" s="338"/>
      <c r="M7720" s="334">
        <v>2771</v>
      </c>
      <c r="N7720" s="362">
        <f t="shared" si="265"/>
        <v>2771</v>
      </c>
      <c r="X7720" s="339"/>
    </row>
    <row r="7721" s="330" customFormat="1" ht="15" customHeight="1" spans="1:24">
      <c r="A7721" s="334"/>
      <c r="B7721" s="334" t="s">
        <v>73</v>
      </c>
      <c r="C7721" s="334" t="s">
        <v>178</v>
      </c>
      <c r="D7721" s="334" t="s">
        <v>717</v>
      </c>
      <c r="E7721" s="336">
        <v>43778</v>
      </c>
      <c r="F7721" s="336"/>
      <c r="G7721" s="336">
        <v>43775</v>
      </c>
      <c r="H7721" s="334" t="s">
        <v>3435</v>
      </c>
      <c r="I7721" s="334">
        <v>13801621339</v>
      </c>
      <c r="J7721" s="334" t="s">
        <v>16467</v>
      </c>
      <c r="K7721" s="337"/>
      <c r="L7721" s="338"/>
      <c r="M7721" s="334">
        <v>1130</v>
      </c>
      <c r="N7721" s="362">
        <f t="shared" si="265"/>
        <v>1130</v>
      </c>
      <c r="X7721" s="339"/>
    </row>
    <row r="7722" s="330" customFormat="1" ht="15" customHeight="1" spans="1:24">
      <c r="A7722" s="348">
        <v>2023291</v>
      </c>
      <c r="B7722" s="334" t="s">
        <v>66</v>
      </c>
      <c r="C7722" s="334" t="s">
        <v>7029</v>
      </c>
      <c r="D7722" s="334" t="s">
        <v>2302</v>
      </c>
      <c r="E7722" s="336">
        <v>43799</v>
      </c>
      <c r="F7722" s="336">
        <v>43778</v>
      </c>
      <c r="G7722" s="336">
        <v>43799</v>
      </c>
      <c r="H7722" s="334" t="s">
        <v>16468</v>
      </c>
      <c r="I7722" s="465">
        <v>18843080810</v>
      </c>
      <c r="J7722" s="445" t="s">
        <v>16469</v>
      </c>
      <c r="K7722" s="452">
        <v>1000</v>
      </c>
      <c r="L7722" s="334">
        <v>10000</v>
      </c>
      <c r="M7722" s="338"/>
      <c r="N7722" s="362">
        <f t="shared" ref="N7722:N7754" si="266">L7722+M7722</f>
        <v>10000</v>
      </c>
      <c r="O7722" s="467" t="s">
        <v>52</v>
      </c>
      <c r="X7722" s="339"/>
    </row>
    <row r="7723" s="330" customFormat="1" ht="15" customHeight="1" spans="1:24">
      <c r="A7723" s="348">
        <v>2023342</v>
      </c>
      <c r="B7723" s="445" t="s">
        <v>243</v>
      </c>
      <c r="C7723" s="445" t="s">
        <v>309</v>
      </c>
      <c r="D7723" s="335" t="s">
        <v>49</v>
      </c>
      <c r="E7723" s="336">
        <v>43796</v>
      </c>
      <c r="F7723" s="336">
        <v>43778</v>
      </c>
      <c r="G7723" s="336">
        <v>43786</v>
      </c>
      <c r="H7723" s="334" t="s">
        <v>16470</v>
      </c>
      <c r="I7723" s="465">
        <v>15921647792</v>
      </c>
      <c r="J7723" s="445" t="s">
        <v>16471</v>
      </c>
      <c r="K7723" s="452">
        <v>1000</v>
      </c>
      <c r="L7723" s="334">
        <v>21780</v>
      </c>
      <c r="M7723" s="338"/>
      <c r="N7723" s="362">
        <f t="shared" si="266"/>
        <v>21780</v>
      </c>
      <c r="X7723" s="339"/>
    </row>
    <row r="7724" s="330" customFormat="1" ht="15" customHeight="1" spans="1:24">
      <c r="A7724" s="550" t="s">
        <v>16472</v>
      </c>
      <c r="B7724" s="445" t="s">
        <v>359</v>
      </c>
      <c r="C7724" s="445" t="s">
        <v>16273</v>
      </c>
      <c r="D7724" s="335" t="s">
        <v>361</v>
      </c>
      <c r="E7724" s="336">
        <v>43815</v>
      </c>
      <c r="F7724" s="336">
        <v>43779</v>
      </c>
      <c r="G7724" s="336">
        <v>43815</v>
      </c>
      <c r="H7724" s="334" t="s">
        <v>16473</v>
      </c>
      <c r="I7724" s="465">
        <v>18017881176</v>
      </c>
      <c r="J7724" s="445" t="s">
        <v>16474</v>
      </c>
      <c r="K7724" s="452">
        <v>10000</v>
      </c>
      <c r="L7724" s="334">
        <v>19937</v>
      </c>
      <c r="M7724" s="338"/>
      <c r="N7724" s="362">
        <f t="shared" si="266"/>
        <v>19937</v>
      </c>
      <c r="X7724" s="339"/>
    </row>
    <row r="7725" s="330" customFormat="1" ht="15" customHeight="1" spans="1:24">
      <c r="A7725" s="348"/>
      <c r="B7725" s="445" t="s">
        <v>243</v>
      </c>
      <c r="C7725" s="445" t="s">
        <v>304</v>
      </c>
      <c r="D7725" s="334" t="s">
        <v>1422</v>
      </c>
      <c r="E7725" s="336">
        <v>43785</v>
      </c>
      <c r="F7725" s="336">
        <v>43778</v>
      </c>
      <c r="G7725" s="336">
        <v>43785</v>
      </c>
      <c r="H7725" s="334" t="s">
        <v>16475</v>
      </c>
      <c r="I7725" s="465">
        <v>15201724545</v>
      </c>
      <c r="J7725" s="445" t="s">
        <v>16476</v>
      </c>
      <c r="K7725" s="452">
        <v>1000</v>
      </c>
      <c r="L7725" s="334">
        <v>14975</v>
      </c>
      <c r="M7725" s="338"/>
      <c r="N7725" s="362">
        <f t="shared" si="266"/>
        <v>14975</v>
      </c>
      <c r="X7725" s="339"/>
    </row>
    <row r="7726" s="330" customFormat="1" ht="15" customHeight="1" spans="1:24">
      <c r="A7726" s="348"/>
      <c r="B7726" s="445" t="s">
        <v>243</v>
      </c>
      <c r="C7726" s="445" t="s">
        <v>309</v>
      </c>
      <c r="D7726" s="335" t="s">
        <v>49</v>
      </c>
      <c r="E7726" s="336">
        <v>43796</v>
      </c>
      <c r="F7726" s="336">
        <v>43779</v>
      </c>
      <c r="G7726" s="336">
        <v>43784</v>
      </c>
      <c r="H7726" s="334" t="s">
        <v>16477</v>
      </c>
      <c r="I7726" s="465">
        <v>18816630231</v>
      </c>
      <c r="J7726" s="445" t="s">
        <v>16478</v>
      </c>
      <c r="K7726" s="452">
        <v>10000</v>
      </c>
      <c r="L7726" s="334">
        <v>14137</v>
      </c>
      <c r="M7726" s="338"/>
      <c r="N7726" s="362">
        <f t="shared" si="266"/>
        <v>14137</v>
      </c>
      <c r="X7726" s="339"/>
    </row>
    <row r="7727" s="330" customFormat="1" ht="15" customHeight="1" spans="1:24">
      <c r="A7727" s="348">
        <v>2023290</v>
      </c>
      <c r="B7727" s="445" t="s">
        <v>94</v>
      </c>
      <c r="C7727" s="445" t="s">
        <v>101</v>
      </c>
      <c r="D7727" s="334" t="s">
        <v>44</v>
      </c>
      <c r="E7727" s="336">
        <v>43782</v>
      </c>
      <c r="F7727" s="336">
        <v>43778</v>
      </c>
      <c r="G7727" s="336">
        <v>43781</v>
      </c>
      <c r="H7727" s="334" t="s">
        <v>16479</v>
      </c>
      <c r="I7727" s="465">
        <v>18602709528</v>
      </c>
      <c r="J7727" s="445" t="s">
        <v>16480</v>
      </c>
      <c r="K7727" s="452">
        <v>1000</v>
      </c>
      <c r="L7727" s="334">
        <v>4981</v>
      </c>
      <c r="M7727" s="338"/>
      <c r="N7727" s="362">
        <f t="shared" si="266"/>
        <v>4981</v>
      </c>
      <c r="X7727" s="339"/>
    </row>
    <row r="7728" s="330" customFormat="1" ht="15" customHeight="1" spans="1:24">
      <c r="A7728" s="550" t="s">
        <v>16481</v>
      </c>
      <c r="B7728" s="445" t="s">
        <v>94</v>
      </c>
      <c r="C7728" s="445" t="s">
        <v>95</v>
      </c>
      <c r="D7728" s="335" t="s">
        <v>49</v>
      </c>
      <c r="E7728" s="336">
        <v>43812</v>
      </c>
      <c r="F7728" s="336">
        <v>43778</v>
      </c>
      <c r="G7728" s="336">
        <v>43811</v>
      </c>
      <c r="H7728" s="334" t="s">
        <v>16482</v>
      </c>
      <c r="I7728" s="465">
        <v>1376177115</v>
      </c>
      <c r="J7728" s="445" t="s">
        <v>16483</v>
      </c>
      <c r="K7728" s="452">
        <v>2000</v>
      </c>
      <c r="L7728" s="334">
        <v>13181</v>
      </c>
      <c r="M7728" s="338"/>
      <c r="N7728" s="362">
        <f t="shared" si="266"/>
        <v>13181</v>
      </c>
      <c r="P7728" s="467" t="s">
        <v>52</v>
      </c>
      <c r="X7728" s="339"/>
    </row>
    <row r="7729" s="330" customFormat="1" ht="15" customHeight="1" spans="1:24">
      <c r="A7729" s="550" t="s">
        <v>16484</v>
      </c>
      <c r="B7729" s="445" t="s">
        <v>805</v>
      </c>
      <c r="C7729" s="445" t="s">
        <v>4935</v>
      </c>
      <c r="D7729" s="335" t="s">
        <v>171</v>
      </c>
      <c r="E7729" s="336">
        <v>43779</v>
      </c>
      <c r="F7729" s="336">
        <v>43778</v>
      </c>
      <c r="G7729" s="399"/>
      <c r="H7729" s="334" t="s">
        <v>16485</v>
      </c>
      <c r="I7729" s="465">
        <v>18917780082</v>
      </c>
      <c r="J7729" s="445" t="s">
        <v>16486</v>
      </c>
      <c r="K7729" s="452">
        <v>5000</v>
      </c>
      <c r="L7729" s="338"/>
      <c r="M7729" s="338"/>
      <c r="N7729" s="362">
        <f t="shared" si="266"/>
        <v>0</v>
      </c>
      <c r="O7729" s="467" t="s">
        <v>52</v>
      </c>
      <c r="X7729" s="339"/>
    </row>
    <row r="7730" s="330" customFormat="1" ht="15" customHeight="1" spans="1:24">
      <c r="A7730" s="348"/>
      <c r="B7730" s="445" t="s">
        <v>6313</v>
      </c>
      <c r="C7730" s="334" t="s">
        <v>7818</v>
      </c>
      <c r="D7730" s="445" t="s">
        <v>7871</v>
      </c>
      <c r="E7730" s="336">
        <v>43794</v>
      </c>
      <c r="F7730" s="336">
        <v>43778</v>
      </c>
      <c r="G7730" s="336">
        <v>43789</v>
      </c>
      <c r="H7730" s="334" t="s">
        <v>16487</v>
      </c>
      <c r="I7730" s="465">
        <v>13918440161</v>
      </c>
      <c r="J7730" s="445" t="s">
        <v>16488</v>
      </c>
      <c r="K7730" s="452">
        <v>1000</v>
      </c>
      <c r="L7730" s="334">
        <v>9959</v>
      </c>
      <c r="M7730" s="338"/>
      <c r="N7730" s="362">
        <f t="shared" si="266"/>
        <v>9959</v>
      </c>
      <c r="X7730" s="339"/>
    </row>
    <row r="7731" s="330" customFormat="1" ht="15" customHeight="1" spans="1:24">
      <c r="A7731" s="550" t="s">
        <v>16489</v>
      </c>
      <c r="B7731" s="445" t="s">
        <v>805</v>
      </c>
      <c r="C7731" s="445" t="s">
        <v>4935</v>
      </c>
      <c r="D7731" s="335" t="s">
        <v>171</v>
      </c>
      <c r="E7731" s="336">
        <v>43779</v>
      </c>
      <c r="F7731" s="336">
        <v>43778</v>
      </c>
      <c r="G7731" s="399"/>
      <c r="H7731" s="334" t="s">
        <v>16490</v>
      </c>
      <c r="I7731" s="465">
        <v>13952200176</v>
      </c>
      <c r="J7731" s="445" t="s">
        <v>16491</v>
      </c>
      <c r="K7731" s="452">
        <v>1000</v>
      </c>
      <c r="L7731" s="338"/>
      <c r="M7731" s="338"/>
      <c r="N7731" s="362">
        <f t="shared" si="266"/>
        <v>0</v>
      </c>
      <c r="O7731" s="467" t="s">
        <v>52</v>
      </c>
      <c r="X7731" s="339"/>
    </row>
    <row r="7732" s="330" customFormat="1" ht="15" customHeight="1" spans="1:24">
      <c r="A7732" s="550" t="s">
        <v>16492</v>
      </c>
      <c r="B7732" s="445" t="s">
        <v>805</v>
      </c>
      <c r="C7732" s="445" t="s">
        <v>4935</v>
      </c>
      <c r="D7732" s="335" t="s">
        <v>635</v>
      </c>
      <c r="E7732" s="336">
        <v>43779</v>
      </c>
      <c r="F7732" s="336">
        <v>43778</v>
      </c>
      <c r="G7732" s="399"/>
      <c r="H7732" s="334" t="s">
        <v>16493</v>
      </c>
      <c r="I7732" s="465">
        <v>13611726209</v>
      </c>
      <c r="J7732" s="445" t="s">
        <v>16494</v>
      </c>
      <c r="K7732" s="452">
        <v>1000</v>
      </c>
      <c r="L7732" s="338"/>
      <c r="M7732" s="338"/>
      <c r="N7732" s="362">
        <f t="shared" si="266"/>
        <v>0</v>
      </c>
      <c r="O7732" s="467" t="s">
        <v>52</v>
      </c>
      <c r="X7732" s="339"/>
    </row>
    <row r="7733" s="330" customFormat="1" ht="15" customHeight="1" spans="1:24">
      <c r="A7733" s="550" t="s">
        <v>16495</v>
      </c>
      <c r="B7733" s="445" t="s">
        <v>805</v>
      </c>
      <c r="C7733" s="445" t="s">
        <v>4935</v>
      </c>
      <c r="D7733" s="335" t="s">
        <v>635</v>
      </c>
      <c r="E7733" s="336">
        <v>43779</v>
      </c>
      <c r="F7733" s="336">
        <v>43778</v>
      </c>
      <c r="G7733" s="399"/>
      <c r="H7733" s="334" t="s">
        <v>12633</v>
      </c>
      <c r="I7733" s="465">
        <v>13371960762</v>
      </c>
      <c r="J7733" s="445" t="s">
        <v>16496</v>
      </c>
      <c r="K7733" s="452">
        <v>5000</v>
      </c>
      <c r="L7733" s="338"/>
      <c r="M7733" s="338"/>
      <c r="N7733" s="362">
        <f t="shared" si="266"/>
        <v>0</v>
      </c>
      <c r="O7733" s="467" t="s">
        <v>52</v>
      </c>
      <c r="X7733" s="339"/>
    </row>
    <row r="7734" s="330" customFormat="1" ht="15" customHeight="1" spans="1:24">
      <c r="A7734" s="550" t="s">
        <v>16497</v>
      </c>
      <c r="B7734" s="445" t="s">
        <v>805</v>
      </c>
      <c r="C7734" s="445" t="s">
        <v>4935</v>
      </c>
      <c r="D7734" s="334" t="s">
        <v>171</v>
      </c>
      <c r="E7734" s="336">
        <v>43813</v>
      </c>
      <c r="F7734" s="336">
        <v>43778</v>
      </c>
      <c r="G7734" s="336">
        <v>43812</v>
      </c>
      <c r="H7734" s="334" t="s">
        <v>16498</v>
      </c>
      <c r="I7734" s="465">
        <v>13512128392</v>
      </c>
      <c r="J7734" s="445" t="s">
        <v>16499</v>
      </c>
      <c r="K7734" s="452">
        <v>1000</v>
      </c>
      <c r="L7734" s="334">
        <v>11300</v>
      </c>
      <c r="M7734" s="338"/>
      <c r="N7734" s="362">
        <f t="shared" si="266"/>
        <v>11300</v>
      </c>
      <c r="X7734" s="339"/>
    </row>
    <row r="7735" s="330" customFormat="1" ht="15" customHeight="1" spans="1:24">
      <c r="A7735" s="550" t="s">
        <v>16500</v>
      </c>
      <c r="B7735" s="445" t="s">
        <v>169</v>
      </c>
      <c r="C7735" s="445" t="s">
        <v>634</v>
      </c>
      <c r="D7735" s="335" t="s">
        <v>635</v>
      </c>
      <c r="E7735" s="336">
        <v>43779</v>
      </c>
      <c r="F7735" s="336">
        <v>43779</v>
      </c>
      <c r="G7735" s="399"/>
      <c r="H7735" s="334" t="s">
        <v>16501</v>
      </c>
      <c r="I7735" s="465">
        <v>18116339629</v>
      </c>
      <c r="J7735" s="445" t="s">
        <v>16502</v>
      </c>
      <c r="K7735" s="452">
        <v>1000</v>
      </c>
      <c r="L7735" s="338"/>
      <c r="M7735" s="338"/>
      <c r="N7735" s="362">
        <f t="shared" si="266"/>
        <v>0</v>
      </c>
      <c r="O7735" s="353" t="s">
        <v>19</v>
      </c>
      <c r="U7735" s="353" t="s">
        <v>12</v>
      </c>
      <c r="X7735" s="339"/>
    </row>
    <row r="7736" s="330" customFormat="1" ht="15" customHeight="1" spans="1:24">
      <c r="A7736" s="550" t="s">
        <v>1416</v>
      </c>
      <c r="B7736" s="445" t="s">
        <v>354</v>
      </c>
      <c r="C7736" s="445" t="s">
        <v>355</v>
      </c>
      <c r="D7736" s="334" t="s">
        <v>237</v>
      </c>
      <c r="E7736" s="336">
        <v>43798</v>
      </c>
      <c r="F7736" s="336">
        <v>43779</v>
      </c>
      <c r="G7736" s="336">
        <v>43798</v>
      </c>
      <c r="H7736" s="334" t="s">
        <v>16503</v>
      </c>
      <c r="I7736" s="465">
        <v>13801712917</v>
      </c>
      <c r="J7736" s="445" t="s">
        <v>16504</v>
      </c>
      <c r="K7736" s="452">
        <v>18000</v>
      </c>
      <c r="L7736" s="334">
        <v>18000</v>
      </c>
      <c r="M7736" s="338"/>
      <c r="N7736" s="362">
        <f t="shared" si="266"/>
        <v>18000</v>
      </c>
      <c r="X7736" s="339"/>
    </row>
    <row r="7737" s="330" customFormat="1" ht="15" customHeight="1" spans="1:24">
      <c r="A7737" s="348"/>
      <c r="B7737" s="445" t="s">
        <v>2625</v>
      </c>
      <c r="C7737" s="445" t="s">
        <v>2626</v>
      </c>
      <c r="D7737" s="335" t="s">
        <v>44</v>
      </c>
      <c r="E7737" s="336">
        <v>43779</v>
      </c>
      <c r="F7737" s="336">
        <v>43778</v>
      </c>
      <c r="G7737" s="399"/>
      <c r="H7737" s="334" t="s">
        <v>16505</v>
      </c>
      <c r="I7737" s="465">
        <v>13564678981</v>
      </c>
      <c r="J7737" s="445" t="s">
        <v>16506</v>
      </c>
      <c r="K7737" s="452">
        <v>5500</v>
      </c>
      <c r="L7737" s="338"/>
      <c r="M7737" s="338"/>
      <c r="N7737" s="362">
        <f t="shared" si="266"/>
        <v>0</v>
      </c>
      <c r="U7737" s="475">
        <v>43786</v>
      </c>
      <c r="X7737" s="339"/>
    </row>
    <row r="7738" s="330" customFormat="1" ht="15" customHeight="1" spans="1:24">
      <c r="A7738" s="348">
        <v>2024275</v>
      </c>
      <c r="B7738" s="445" t="s">
        <v>335</v>
      </c>
      <c r="C7738" s="445" t="s">
        <v>615</v>
      </c>
      <c r="D7738" s="334" t="s">
        <v>221</v>
      </c>
      <c r="E7738" s="336">
        <v>43789</v>
      </c>
      <c r="F7738" s="336">
        <v>43779</v>
      </c>
      <c r="G7738" s="336">
        <v>43787</v>
      </c>
      <c r="H7738" s="334" t="s">
        <v>1465</v>
      </c>
      <c r="I7738" s="465">
        <v>16311654262</v>
      </c>
      <c r="J7738" s="445" t="s">
        <v>16507</v>
      </c>
      <c r="K7738" s="452">
        <v>1099</v>
      </c>
      <c r="L7738" s="334">
        <v>2154</v>
      </c>
      <c r="M7738" s="338"/>
      <c r="N7738" s="362">
        <f t="shared" si="266"/>
        <v>2154</v>
      </c>
      <c r="X7738" s="339"/>
    </row>
    <row r="7739" s="330" customFormat="1" ht="15" customHeight="1" spans="1:24">
      <c r="A7739" s="550" t="s">
        <v>1416</v>
      </c>
      <c r="B7739" s="445" t="s">
        <v>42</v>
      </c>
      <c r="C7739" s="445" t="s">
        <v>43</v>
      </c>
      <c r="D7739" s="334" t="s">
        <v>207</v>
      </c>
      <c r="E7739" s="336">
        <v>43798</v>
      </c>
      <c r="F7739" s="336">
        <v>43779</v>
      </c>
      <c r="G7739" s="336">
        <v>43798</v>
      </c>
      <c r="H7739" s="334" t="s">
        <v>16508</v>
      </c>
      <c r="I7739" s="465">
        <v>13651869960</v>
      </c>
      <c r="J7739" s="445" t="s">
        <v>16509</v>
      </c>
      <c r="K7739" s="452">
        <v>13573</v>
      </c>
      <c r="L7739" s="334">
        <v>13145</v>
      </c>
      <c r="M7739" s="338"/>
      <c r="N7739" s="362">
        <f t="shared" si="266"/>
        <v>13145</v>
      </c>
      <c r="X7739" s="339"/>
    </row>
    <row r="7740" s="330" customFormat="1" ht="15" customHeight="1" spans="1:24">
      <c r="A7740" s="550" t="s">
        <v>7738</v>
      </c>
      <c r="B7740" s="445" t="s">
        <v>185</v>
      </c>
      <c r="C7740" s="445" t="s">
        <v>186</v>
      </c>
      <c r="D7740" s="335" t="s">
        <v>187</v>
      </c>
      <c r="E7740" s="336">
        <v>43779</v>
      </c>
      <c r="F7740" s="336">
        <v>43779</v>
      </c>
      <c r="G7740" s="399"/>
      <c r="H7740" s="334" t="s">
        <v>16510</v>
      </c>
      <c r="I7740" s="465">
        <v>15921653976</v>
      </c>
      <c r="J7740" s="445" t="s">
        <v>16511</v>
      </c>
      <c r="K7740" s="452">
        <v>1000</v>
      </c>
      <c r="L7740" s="338"/>
      <c r="M7740" s="338"/>
      <c r="N7740" s="362">
        <f t="shared" si="266"/>
        <v>0</v>
      </c>
      <c r="O7740" s="467"/>
      <c r="Q7740" s="356" t="s">
        <v>52</v>
      </c>
      <c r="X7740" s="339"/>
    </row>
    <row r="7741" s="330" customFormat="1" ht="15" customHeight="1" spans="1:24">
      <c r="A7741" s="550" t="s">
        <v>16512</v>
      </c>
      <c r="B7741" s="445" t="s">
        <v>66</v>
      </c>
      <c r="C7741" s="445" t="s">
        <v>1749</v>
      </c>
      <c r="D7741" s="335" t="s">
        <v>68</v>
      </c>
      <c r="E7741" s="336">
        <v>43807</v>
      </c>
      <c r="F7741" s="336">
        <v>43778</v>
      </c>
      <c r="G7741" s="336">
        <v>43806</v>
      </c>
      <c r="H7741" s="334" t="s">
        <v>16513</v>
      </c>
      <c r="I7741" s="465">
        <v>18621184257</v>
      </c>
      <c r="J7741" s="445" t="s">
        <v>16514</v>
      </c>
      <c r="K7741" s="452">
        <v>2940</v>
      </c>
      <c r="L7741" s="334">
        <v>7972</v>
      </c>
      <c r="M7741" s="338"/>
      <c r="N7741" s="362">
        <f t="shared" si="266"/>
        <v>7972</v>
      </c>
      <c r="P7741" s="330" t="s">
        <v>52</v>
      </c>
      <c r="X7741" s="339"/>
    </row>
    <row r="7742" s="330" customFormat="1" ht="15" customHeight="1" spans="1:24">
      <c r="A7742" s="348"/>
      <c r="B7742" s="334" t="s">
        <v>5336</v>
      </c>
      <c r="C7742" s="445" t="s">
        <v>5336</v>
      </c>
      <c r="D7742" s="334" t="s">
        <v>8334</v>
      </c>
      <c r="E7742" s="336">
        <v>43799</v>
      </c>
      <c r="F7742" s="336">
        <v>43779</v>
      </c>
      <c r="G7742" s="336">
        <v>43799</v>
      </c>
      <c r="H7742" s="334" t="s">
        <v>16515</v>
      </c>
      <c r="I7742" s="465">
        <v>1390161430</v>
      </c>
      <c r="J7742" s="445" t="s">
        <v>16516</v>
      </c>
      <c r="K7742" s="452">
        <v>4667</v>
      </c>
      <c r="L7742" s="334">
        <v>9050</v>
      </c>
      <c r="M7742" s="338"/>
      <c r="N7742" s="362">
        <f t="shared" si="266"/>
        <v>9050</v>
      </c>
      <c r="X7742" s="339"/>
    </row>
    <row r="7743" s="330" customFormat="1" ht="15" customHeight="1" spans="1:24">
      <c r="A7743" s="550" t="s">
        <v>16517</v>
      </c>
      <c r="B7743" s="445" t="s">
        <v>137</v>
      </c>
      <c r="C7743" s="445" t="s">
        <v>411</v>
      </c>
      <c r="D7743" s="335" t="s">
        <v>427</v>
      </c>
      <c r="E7743" s="336">
        <v>43779</v>
      </c>
      <c r="F7743" s="336">
        <v>43778</v>
      </c>
      <c r="G7743" s="399"/>
      <c r="H7743" s="334" t="s">
        <v>16518</v>
      </c>
      <c r="I7743" s="465">
        <v>13816715458</v>
      </c>
      <c r="J7743" s="445" t="s">
        <v>16519</v>
      </c>
      <c r="K7743" s="452">
        <v>1000</v>
      </c>
      <c r="L7743" s="338"/>
      <c r="M7743" s="338"/>
      <c r="N7743" s="362">
        <f t="shared" si="266"/>
        <v>0</v>
      </c>
      <c r="O7743" s="353" t="s">
        <v>16361</v>
      </c>
      <c r="X7743" s="339"/>
    </row>
    <row r="7744" s="330" customFormat="1" ht="15" customHeight="1" spans="1:24">
      <c r="A7744" s="550" t="s">
        <v>16520</v>
      </c>
      <c r="B7744" s="445" t="s">
        <v>137</v>
      </c>
      <c r="C7744" s="445" t="s">
        <v>411</v>
      </c>
      <c r="D7744" s="334" t="s">
        <v>443</v>
      </c>
      <c r="E7744" s="336">
        <v>43792</v>
      </c>
      <c r="F7744" s="336">
        <v>43778</v>
      </c>
      <c r="G7744" s="336">
        <v>43792</v>
      </c>
      <c r="H7744" s="334" t="s">
        <v>16521</v>
      </c>
      <c r="I7744" s="465">
        <v>18917811896</v>
      </c>
      <c r="J7744" s="445" t="s">
        <v>16522</v>
      </c>
      <c r="K7744" s="452">
        <v>7200</v>
      </c>
      <c r="L7744" s="334">
        <v>8123</v>
      </c>
      <c r="M7744" s="338"/>
      <c r="N7744" s="362">
        <f t="shared" si="266"/>
        <v>8123</v>
      </c>
      <c r="S7744" s="330">
        <v>1</v>
      </c>
      <c r="X7744" s="339"/>
    </row>
    <row r="7745" s="330" customFormat="1" ht="15" customHeight="1" spans="1:24">
      <c r="A7745" s="550" t="s">
        <v>16523</v>
      </c>
      <c r="B7745" s="445" t="s">
        <v>137</v>
      </c>
      <c r="C7745" s="445" t="s">
        <v>411</v>
      </c>
      <c r="D7745" s="334" t="s">
        <v>443</v>
      </c>
      <c r="E7745" s="336">
        <v>43797</v>
      </c>
      <c r="F7745" s="336">
        <v>43778</v>
      </c>
      <c r="G7745" s="336">
        <v>43797</v>
      </c>
      <c r="H7745" s="334" t="s">
        <v>16524</v>
      </c>
      <c r="I7745" s="465">
        <v>17717203636</v>
      </c>
      <c r="J7745" s="445" t="s">
        <v>16525</v>
      </c>
      <c r="K7745" s="452">
        <v>15300</v>
      </c>
      <c r="L7745" s="334">
        <v>15300</v>
      </c>
      <c r="M7745" s="338"/>
      <c r="N7745" s="362">
        <f t="shared" si="266"/>
        <v>15300</v>
      </c>
      <c r="S7745" s="330">
        <v>1</v>
      </c>
      <c r="X7745" s="339"/>
    </row>
    <row r="7746" s="330" customFormat="1" ht="15" customHeight="1" spans="1:24">
      <c r="A7746" s="550" t="s">
        <v>16526</v>
      </c>
      <c r="B7746" s="445" t="s">
        <v>137</v>
      </c>
      <c r="C7746" s="445" t="s">
        <v>411</v>
      </c>
      <c r="D7746" s="335" t="s">
        <v>427</v>
      </c>
      <c r="E7746" s="336">
        <v>43779</v>
      </c>
      <c r="F7746" s="336">
        <v>43778</v>
      </c>
      <c r="G7746" s="399" t="s">
        <v>231</v>
      </c>
      <c r="H7746" s="334" t="s">
        <v>16527</v>
      </c>
      <c r="I7746" s="465">
        <v>18516117158</v>
      </c>
      <c r="J7746" s="445" t="s">
        <v>16528</v>
      </c>
      <c r="K7746" s="452">
        <v>1000</v>
      </c>
      <c r="L7746" s="338"/>
      <c r="M7746" s="338"/>
      <c r="N7746" s="362">
        <f t="shared" si="266"/>
        <v>0</v>
      </c>
      <c r="S7746" s="330">
        <v>1</v>
      </c>
      <c r="X7746" s="339"/>
    </row>
    <row r="7747" s="330" customFormat="1" ht="15" customHeight="1" spans="1:24">
      <c r="A7747" s="550" t="s">
        <v>6514</v>
      </c>
      <c r="B7747" s="445" t="s">
        <v>137</v>
      </c>
      <c r="C7747" s="445" t="s">
        <v>411</v>
      </c>
      <c r="D7747" s="334" t="s">
        <v>443</v>
      </c>
      <c r="E7747" s="336">
        <v>43797</v>
      </c>
      <c r="F7747" s="336">
        <v>43777</v>
      </c>
      <c r="G7747" s="336">
        <v>43796</v>
      </c>
      <c r="H7747" s="334" t="s">
        <v>4354</v>
      </c>
      <c r="I7747" s="465">
        <v>18116175278</v>
      </c>
      <c r="J7747" s="445" t="s">
        <v>16529</v>
      </c>
      <c r="K7747" s="452">
        <v>26100</v>
      </c>
      <c r="L7747" s="334">
        <v>26100</v>
      </c>
      <c r="M7747" s="338"/>
      <c r="N7747" s="362">
        <f t="shared" si="266"/>
        <v>26100</v>
      </c>
      <c r="T7747" s="330">
        <v>1</v>
      </c>
      <c r="X7747" s="339"/>
    </row>
    <row r="7748" s="330" customFormat="1" ht="15" customHeight="1" spans="1:24">
      <c r="A7748" s="550" t="s">
        <v>16530</v>
      </c>
      <c r="B7748" s="445" t="s">
        <v>137</v>
      </c>
      <c r="C7748" s="445" t="s">
        <v>411</v>
      </c>
      <c r="D7748" s="334" t="s">
        <v>139</v>
      </c>
      <c r="E7748" s="336">
        <v>43797</v>
      </c>
      <c r="F7748" s="336">
        <v>43778</v>
      </c>
      <c r="G7748" s="336">
        <v>43796</v>
      </c>
      <c r="H7748" s="334" t="s">
        <v>16531</v>
      </c>
      <c r="I7748" s="465">
        <v>18001657126</v>
      </c>
      <c r="J7748" s="445" t="s">
        <v>16532</v>
      </c>
      <c r="K7748" s="452">
        <v>19800</v>
      </c>
      <c r="L7748" s="334">
        <v>19800</v>
      </c>
      <c r="M7748" s="338"/>
      <c r="N7748" s="362">
        <f t="shared" si="266"/>
        <v>19800</v>
      </c>
      <c r="S7748" s="330">
        <v>1</v>
      </c>
      <c r="X7748" s="339"/>
    </row>
    <row r="7749" s="330" customFormat="1" ht="15" customHeight="1" spans="1:24">
      <c r="A7749" s="550" t="s">
        <v>16533</v>
      </c>
      <c r="B7749" s="445" t="s">
        <v>137</v>
      </c>
      <c r="C7749" s="445" t="s">
        <v>411</v>
      </c>
      <c r="D7749" s="334" t="s">
        <v>139</v>
      </c>
      <c r="E7749" s="336">
        <v>43799</v>
      </c>
      <c r="F7749" s="336">
        <v>43778</v>
      </c>
      <c r="G7749" s="336">
        <v>43799</v>
      </c>
      <c r="H7749" s="334" t="s">
        <v>16534</v>
      </c>
      <c r="I7749" s="465">
        <v>15618681781</v>
      </c>
      <c r="J7749" s="445" t="s">
        <v>16535</v>
      </c>
      <c r="K7749" s="452">
        <v>12600</v>
      </c>
      <c r="L7749" s="334">
        <v>12600</v>
      </c>
      <c r="M7749" s="338"/>
      <c r="N7749" s="362">
        <f t="shared" si="266"/>
        <v>12600</v>
      </c>
      <c r="S7749" s="330">
        <v>1</v>
      </c>
      <c r="X7749" s="339"/>
    </row>
    <row r="7750" s="330" customFormat="1" ht="15" customHeight="1" spans="1:24">
      <c r="A7750" s="550" t="s">
        <v>7847</v>
      </c>
      <c r="B7750" s="445" t="s">
        <v>66</v>
      </c>
      <c r="C7750" s="445" t="s">
        <v>1749</v>
      </c>
      <c r="D7750" s="335" t="s">
        <v>68</v>
      </c>
      <c r="E7750" s="336">
        <v>43779</v>
      </c>
      <c r="F7750" s="336">
        <v>43779</v>
      </c>
      <c r="G7750" s="399"/>
      <c r="H7750" s="334" t="s">
        <v>12550</v>
      </c>
      <c r="I7750" s="465">
        <v>13136280983</v>
      </c>
      <c r="J7750" s="445" t="s">
        <v>16536</v>
      </c>
      <c r="K7750" s="452">
        <v>13440</v>
      </c>
      <c r="L7750" s="338"/>
      <c r="M7750" s="338"/>
      <c r="N7750" s="362">
        <f t="shared" si="266"/>
        <v>0</v>
      </c>
      <c r="U7750" s="330" t="s">
        <v>12</v>
      </c>
      <c r="X7750" s="339"/>
    </row>
    <row r="7751" s="330" customFormat="1" ht="15" customHeight="1" spans="1:24">
      <c r="A7751" s="550" t="s">
        <v>16537</v>
      </c>
      <c r="B7751" s="445" t="s">
        <v>137</v>
      </c>
      <c r="C7751" s="445" t="s">
        <v>411</v>
      </c>
      <c r="D7751" s="335" t="s">
        <v>427</v>
      </c>
      <c r="E7751" s="336">
        <v>43810</v>
      </c>
      <c r="F7751" s="336">
        <v>43778</v>
      </c>
      <c r="G7751" s="336">
        <v>43809</v>
      </c>
      <c r="H7751" s="334" t="s">
        <v>16538</v>
      </c>
      <c r="I7751" s="465">
        <v>13173683150</v>
      </c>
      <c r="J7751" s="445" t="s">
        <v>16539</v>
      </c>
      <c r="K7751" s="452">
        <v>5400</v>
      </c>
      <c r="L7751" s="334">
        <v>6844</v>
      </c>
      <c r="M7751" s="338"/>
      <c r="N7751" s="362">
        <f t="shared" si="266"/>
        <v>6844</v>
      </c>
      <c r="R7751" s="330">
        <v>1</v>
      </c>
      <c r="X7751" s="339"/>
    </row>
    <row r="7752" s="330" customFormat="1" ht="15" customHeight="1" spans="1:24">
      <c r="A7752" s="550" t="s">
        <v>398</v>
      </c>
      <c r="B7752" s="445" t="s">
        <v>137</v>
      </c>
      <c r="C7752" s="445" t="s">
        <v>411</v>
      </c>
      <c r="D7752" s="334" t="s">
        <v>2381</v>
      </c>
      <c r="E7752" s="336">
        <v>43781</v>
      </c>
      <c r="F7752" s="336">
        <v>43778</v>
      </c>
      <c r="G7752" s="336">
        <v>43780</v>
      </c>
      <c r="H7752" s="334" t="s">
        <v>16540</v>
      </c>
      <c r="I7752" s="465">
        <v>13681903880</v>
      </c>
      <c r="J7752" s="445" t="s">
        <v>16541</v>
      </c>
      <c r="K7752" s="452">
        <v>11700</v>
      </c>
      <c r="L7752" s="334">
        <v>11700</v>
      </c>
      <c r="M7752" s="338"/>
      <c r="N7752" s="362">
        <f t="shared" si="266"/>
        <v>11700</v>
      </c>
      <c r="X7752" s="339"/>
    </row>
    <row r="7753" s="330" customFormat="1" ht="15" customHeight="1" spans="1:24">
      <c r="A7753" s="550" t="s">
        <v>16542</v>
      </c>
      <c r="B7753" s="445" t="s">
        <v>137</v>
      </c>
      <c r="C7753" s="445" t="s">
        <v>411</v>
      </c>
      <c r="D7753" s="334" t="s">
        <v>139</v>
      </c>
      <c r="E7753" s="336">
        <v>43797</v>
      </c>
      <c r="F7753" s="336">
        <v>43778</v>
      </c>
      <c r="G7753" s="336">
        <v>43796</v>
      </c>
      <c r="H7753" s="334" t="s">
        <v>16543</v>
      </c>
      <c r="I7753" s="465">
        <v>13916697266</v>
      </c>
      <c r="J7753" s="445" t="s">
        <v>16544</v>
      </c>
      <c r="K7753" s="452">
        <v>14400</v>
      </c>
      <c r="L7753" s="334">
        <v>14400</v>
      </c>
      <c r="M7753" s="338"/>
      <c r="N7753" s="362">
        <f t="shared" si="266"/>
        <v>14400</v>
      </c>
      <c r="R7753" s="330">
        <v>1</v>
      </c>
      <c r="X7753" s="339"/>
    </row>
    <row r="7754" s="330" customFormat="1" ht="15" customHeight="1" spans="1:24">
      <c r="A7754" s="550" t="s">
        <v>4968</v>
      </c>
      <c r="B7754" s="445" t="s">
        <v>31</v>
      </c>
      <c r="C7754" s="445" t="s">
        <v>251</v>
      </c>
      <c r="D7754" s="335" t="s">
        <v>33</v>
      </c>
      <c r="E7754" s="336">
        <v>43793</v>
      </c>
      <c r="F7754" s="336">
        <v>43778</v>
      </c>
      <c r="G7754" s="336">
        <v>43792</v>
      </c>
      <c r="H7754" s="334" t="s">
        <v>16545</v>
      </c>
      <c r="I7754" s="465">
        <v>18616695888</v>
      </c>
      <c r="J7754" s="445" t="s">
        <v>16546</v>
      </c>
      <c r="K7754" s="452">
        <f>3000+2000</f>
        <v>5000</v>
      </c>
      <c r="L7754" s="334">
        <v>24045</v>
      </c>
      <c r="M7754" s="334">
        <v>1096</v>
      </c>
      <c r="N7754" s="362">
        <f t="shared" si="266"/>
        <v>25141</v>
      </c>
      <c r="X7754" s="339"/>
    </row>
    <row r="7755" s="330" customFormat="1" ht="15" customHeight="1" spans="1:24">
      <c r="A7755" s="550" t="s">
        <v>16423</v>
      </c>
      <c r="B7755" s="445" t="s">
        <v>31</v>
      </c>
      <c r="C7755" s="445" t="s">
        <v>251</v>
      </c>
      <c r="D7755" s="335" t="s">
        <v>33</v>
      </c>
      <c r="E7755" s="336">
        <v>43799</v>
      </c>
      <c r="F7755" s="336">
        <v>43778</v>
      </c>
      <c r="G7755" s="336">
        <v>43799</v>
      </c>
      <c r="H7755" s="334" t="s">
        <v>12973</v>
      </c>
      <c r="I7755" s="465">
        <v>13817923567</v>
      </c>
      <c r="J7755" s="445" t="s">
        <v>16547</v>
      </c>
      <c r="K7755" s="452">
        <v>500</v>
      </c>
      <c r="L7755" s="334">
        <v>6697</v>
      </c>
      <c r="M7755" s="338"/>
      <c r="N7755" s="362">
        <f t="shared" ref="N7755:N7784" si="267">L7755+M7755</f>
        <v>6697</v>
      </c>
      <c r="X7755" s="339"/>
    </row>
    <row r="7756" s="330" customFormat="1" ht="15" customHeight="1" spans="1:24">
      <c r="A7756" s="550" t="s">
        <v>16548</v>
      </c>
      <c r="B7756" s="445" t="s">
        <v>726</v>
      </c>
      <c r="C7756" s="445" t="s">
        <v>727</v>
      </c>
      <c r="D7756" s="334" t="s">
        <v>271</v>
      </c>
      <c r="E7756" s="336">
        <v>43799</v>
      </c>
      <c r="F7756" s="336">
        <v>43778</v>
      </c>
      <c r="G7756" s="336">
        <v>43780</v>
      </c>
      <c r="H7756" s="334" t="s">
        <v>16549</v>
      </c>
      <c r="I7756" s="465">
        <v>18917320200</v>
      </c>
      <c r="J7756" s="445" t="s">
        <v>16550</v>
      </c>
      <c r="K7756" s="452">
        <v>1000</v>
      </c>
      <c r="L7756" s="334">
        <v>22222</v>
      </c>
      <c r="M7756" s="338"/>
      <c r="N7756" s="362">
        <f t="shared" si="267"/>
        <v>22222</v>
      </c>
      <c r="V7756" s="471">
        <v>43779</v>
      </c>
      <c r="X7756" s="339"/>
    </row>
    <row r="7757" s="330" customFormat="1" ht="15" customHeight="1" spans="1:24">
      <c r="A7757" s="550" t="s">
        <v>16551</v>
      </c>
      <c r="B7757" s="445" t="s">
        <v>726</v>
      </c>
      <c r="C7757" s="445" t="s">
        <v>727</v>
      </c>
      <c r="D7757" s="334" t="s">
        <v>271</v>
      </c>
      <c r="E7757" s="336">
        <v>43780</v>
      </c>
      <c r="F7757" s="336">
        <v>43772</v>
      </c>
      <c r="G7757" s="336">
        <v>43778</v>
      </c>
      <c r="H7757" s="334" t="s">
        <v>16552</v>
      </c>
      <c r="I7757" s="465">
        <v>13651840193</v>
      </c>
      <c r="J7757" s="445" t="s">
        <v>16553</v>
      </c>
      <c r="K7757" s="452">
        <v>43800</v>
      </c>
      <c r="L7757" s="334">
        <v>43800</v>
      </c>
      <c r="M7757" s="338"/>
      <c r="N7757" s="362">
        <f t="shared" si="267"/>
        <v>43800</v>
      </c>
      <c r="X7757" s="339"/>
    </row>
    <row r="7758" s="330" customFormat="1" ht="15" customHeight="1" spans="1:24">
      <c r="A7758" s="550" t="s">
        <v>16554</v>
      </c>
      <c r="B7758" s="445" t="s">
        <v>726</v>
      </c>
      <c r="C7758" s="445" t="s">
        <v>727</v>
      </c>
      <c r="D7758" s="334" t="s">
        <v>271</v>
      </c>
      <c r="E7758" s="336">
        <v>43784</v>
      </c>
      <c r="F7758" s="336">
        <v>43778</v>
      </c>
      <c r="G7758" s="336">
        <v>43784</v>
      </c>
      <c r="H7758" s="334" t="s">
        <v>16555</v>
      </c>
      <c r="I7758" s="465">
        <v>13817540908</v>
      </c>
      <c r="J7758" s="445" t="s">
        <v>16556</v>
      </c>
      <c r="K7758" s="452">
        <v>18888</v>
      </c>
      <c r="L7758" s="334">
        <f>-3886+16664</f>
        <v>12778</v>
      </c>
      <c r="M7758" s="334">
        <f>112+3886</f>
        <v>3998</v>
      </c>
      <c r="N7758" s="362">
        <f t="shared" si="267"/>
        <v>16776</v>
      </c>
      <c r="X7758" s="339"/>
    </row>
    <row r="7759" s="330" customFormat="1" ht="15" customHeight="1" spans="1:24">
      <c r="A7759" s="550" t="s">
        <v>16557</v>
      </c>
      <c r="B7759" s="445" t="s">
        <v>726</v>
      </c>
      <c r="C7759" s="445" t="s">
        <v>727</v>
      </c>
      <c r="D7759" s="334" t="s">
        <v>271</v>
      </c>
      <c r="E7759" s="336">
        <v>43798</v>
      </c>
      <c r="F7759" s="336">
        <v>43778</v>
      </c>
      <c r="G7759" s="336">
        <v>43798</v>
      </c>
      <c r="H7759" s="334" t="s">
        <v>16558</v>
      </c>
      <c r="I7759" s="465">
        <v>13501894376</v>
      </c>
      <c r="J7759" s="445" t="s">
        <v>16559</v>
      </c>
      <c r="K7759" s="452">
        <v>23480</v>
      </c>
      <c r="L7759" s="334">
        <v>23480</v>
      </c>
      <c r="M7759" s="338"/>
      <c r="N7759" s="362">
        <f t="shared" si="267"/>
        <v>23480</v>
      </c>
      <c r="P7759" s="467" t="s">
        <v>52</v>
      </c>
      <c r="X7759" s="339"/>
    </row>
    <row r="7760" s="330" customFormat="1" ht="15" customHeight="1" spans="1:24">
      <c r="A7760" s="550" t="s">
        <v>16560</v>
      </c>
      <c r="B7760" s="445" t="s">
        <v>5435</v>
      </c>
      <c r="C7760" s="445" t="s">
        <v>1728</v>
      </c>
      <c r="D7760" s="335" t="s">
        <v>149</v>
      </c>
      <c r="E7760" s="336">
        <v>43788</v>
      </c>
      <c r="F7760" s="336">
        <v>43778</v>
      </c>
      <c r="G7760" s="336">
        <v>43787</v>
      </c>
      <c r="H7760" s="334" t="s">
        <v>16561</v>
      </c>
      <c r="I7760" s="465">
        <v>18616862061</v>
      </c>
      <c r="J7760" s="445" t="s">
        <v>16562</v>
      </c>
      <c r="K7760" s="452">
        <v>22399</v>
      </c>
      <c r="L7760" s="334">
        <v>27357</v>
      </c>
      <c r="M7760" s="338"/>
      <c r="N7760" s="362">
        <f t="shared" si="267"/>
        <v>27357</v>
      </c>
      <c r="X7760" s="339"/>
    </row>
    <row r="7761" s="330" customFormat="1" ht="15" customHeight="1" spans="1:24">
      <c r="A7761" s="348"/>
      <c r="B7761" s="445" t="s">
        <v>147</v>
      </c>
      <c r="C7761" s="445" t="s">
        <v>13719</v>
      </c>
      <c r="D7761" s="334" t="s">
        <v>207</v>
      </c>
      <c r="E7761" s="336">
        <v>43790</v>
      </c>
      <c r="F7761" s="336">
        <v>43778</v>
      </c>
      <c r="G7761" s="336">
        <v>43790</v>
      </c>
      <c r="H7761" s="334" t="s">
        <v>16563</v>
      </c>
      <c r="I7761" s="465">
        <v>13816003508</v>
      </c>
      <c r="J7761" s="445" t="s">
        <v>16564</v>
      </c>
      <c r="K7761" s="452">
        <v>1000</v>
      </c>
      <c r="L7761" s="334">
        <v>7137</v>
      </c>
      <c r="M7761" s="334">
        <v>2158</v>
      </c>
      <c r="N7761" s="362">
        <f t="shared" si="267"/>
        <v>9295</v>
      </c>
      <c r="X7761" s="339"/>
    </row>
    <row r="7762" s="330" customFormat="1" ht="15" customHeight="1" spans="1:24">
      <c r="A7762" s="550" t="s">
        <v>9158</v>
      </c>
      <c r="B7762" s="445" t="s">
        <v>354</v>
      </c>
      <c r="C7762" s="445" t="s">
        <v>355</v>
      </c>
      <c r="D7762" s="334" t="s">
        <v>237</v>
      </c>
      <c r="E7762" s="336">
        <v>43783</v>
      </c>
      <c r="F7762" s="336">
        <v>43778</v>
      </c>
      <c r="G7762" s="336">
        <v>43780</v>
      </c>
      <c r="H7762" s="334" t="s">
        <v>16565</v>
      </c>
      <c r="I7762" s="465">
        <v>15000565852</v>
      </c>
      <c r="J7762" s="445" t="s">
        <v>16566</v>
      </c>
      <c r="K7762" s="452">
        <v>7406</v>
      </c>
      <c r="L7762" s="334">
        <v>8300</v>
      </c>
      <c r="M7762" s="338"/>
      <c r="N7762" s="362">
        <f t="shared" si="267"/>
        <v>8300</v>
      </c>
      <c r="X7762" s="339"/>
    </row>
    <row r="7763" s="330" customFormat="1" ht="15" customHeight="1" spans="1:24">
      <c r="A7763" s="550" t="s">
        <v>16567</v>
      </c>
      <c r="B7763" s="445" t="s">
        <v>153</v>
      </c>
      <c r="C7763" s="445" t="s">
        <v>154</v>
      </c>
      <c r="D7763" s="334" t="s">
        <v>155</v>
      </c>
      <c r="E7763" s="336">
        <v>43781</v>
      </c>
      <c r="F7763" s="336">
        <v>43778</v>
      </c>
      <c r="G7763" s="336">
        <v>43780</v>
      </c>
      <c r="H7763" s="334" t="s">
        <v>16568</v>
      </c>
      <c r="I7763" s="465">
        <v>13801774131</v>
      </c>
      <c r="J7763" s="445" t="s">
        <v>16569</v>
      </c>
      <c r="K7763" s="452">
        <v>18000</v>
      </c>
      <c r="L7763" s="334">
        <f>-1290+25669</f>
        <v>24379</v>
      </c>
      <c r="M7763" s="334">
        <v>1290</v>
      </c>
      <c r="N7763" s="362">
        <f t="shared" si="267"/>
        <v>25669</v>
      </c>
      <c r="X7763" s="339"/>
    </row>
    <row r="7764" s="330" customFormat="1" ht="15" customHeight="1" spans="1:24">
      <c r="A7764" s="550" t="s">
        <v>10179</v>
      </c>
      <c r="B7764" s="445" t="s">
        <v>205</v>
      </c>
      <c r="C7764" s="445" t="s">
        <v>1467</v>
      </c>
      <c r="D7764" s="334" t="s">
        <v>207</v>
      </c>
      <c r="E7764" s="336">
        <v>43784</v>
      </c>
      <c r="F7764" s="336">
        <v>43778</v>
      </c>
      <c r="G7764" s="336">
        <v>43784</v>
      </c>
      <c r="H7764" s="334" t="s">
        <v>16570</v>
      </c>
      <c r="I7764" s="465">
        <v>17721129951</v>
      </c>
      <c r="J7764" s="445" t="s">
        <v>16571</v>
      </c>
      <c r="K7764" s="452">
        <v>4654</v>
      </c>
      <c r="L7764" s="334">
        <v>3998</v>
      </c>
      <c r="M7764" s="334">
        <v>656</v>
      </c>
      <c r="N7764" s="362">
        <f t="shared" si="267"/>
        <v>4654</v>
      </c>
      <c r="X7764" s="339"/>
    </row>
    <row r="7765" s="330" customFormat="1" ht="15" customHeight="1" spans="1:24">
      <c r="A7765" s="550" t="s">
        <v>10182</v>
      </c>
      <c r="B7765" s="445" t="s">
        <v>205</v>
      </c>
      <c r="C7765" s="445" t="s">
        <v>1467</v>
      </c>
      <c r="D7765" s="334" t="s">
        <v>207</v>
      </c>
      <c r="E7765" s="336">
        <v>43791</v>
      </c>
      <c r="F7765" s="336">
        <v>43778</v>
      </c>
      <c r="G7765" s="336">
        <v>43791</v>
      </c>
      <c r="H7765" s="334" t="s">
        <v>16572</v>
      </c>
      <c r="I7765" s="465">
        <v>13061766023</v>
      </c>
      <c r="J7765" s="445" t="s">
        <v>16573</v>
      </c>
      <c r="K7765" s="452">
        <v>3782</v>
      </c>
      <c r="L7765" s="334">
        <v>5775</v>
      </c>
      <c r="M7765" s="338"/>
      <c r="N7765" s="362">
        <f t="shared" si="267"/>
        <v>5775</v>
      </c>
      <c r="X7765" s="339"/>
    </row>
    <row r="7766" s="330" customFormat="1" customHeight="1" spans="1:24">
      <c r="A7766" s="550" t="s">
        <v>16574</v>
      </c>
      <c r="B7766" s="445" t="s">
        <v>236</v>
      </c>
      <c r="C7766" s="445" t="s">
        <v>67</v>
      </c>
      <c r="D7766" s="335" t="s">
        <v>237</v>
      </c>
      <c r="E7766" s="336">
        <v>43779</v>
      </c>
      <c r="F7766" s="336">
        <v>43778</v>
      </c>
      <c r="G7766" s="399"/>
      <c r="H7766" s="334" t="s">
        <v>16575</v>
      </c>
      <c r="I7766" s="465">
        <v>18217172336</v>
      </c>
      <c r="J7766" s="445" t="s">
        <v>16576</v>
      </c>
      <c r="K7766" s="452">
        <v>1000</v>
      </c>
      <c r="L7766" s="338"/>
      <c r="M7766" s="338"/>
      <c r="N7766" s="362">
        <f t="shared" si="267"/>
        <v>0</v>
      </c>
      <c r="O7766" s="353" t="s">
        <v>19</v>
      </c>
      <c r="X7766" s="339"/>
    </row>
    <row r="7767" s="330" customFormat="1" ht="15" customHeight="1" spans="1:24">
      <c r="A7767" s="550" t="s">
        <v>16577</v>
      </c>
      <c r="B7767" s="445" t="s">
        <v>31</v>
      </c>
      <c r="C7767" s="445" t="s">
        <v>377</v>
      </c>
      <c r="D7767" s="335" t="s">
        <v>221</v>
      </c>
      <c r="E7767" s="336">
        <v>43792</v>
      </c>
      <c r="F7767" s="336">
        <v>43778</v>
      </c>
      <c r="G7767" s="336">
        <v>43790</v>
      </c>
      <c r="H7767" s="334" t="s">
        <v>16578</v>
      </c>
      <c r="I7767" s="465">
        <v>13801887566</v>
      </c>
      <c r="J7767" s="445" t="s">
        <v>16579</v>
      </c>
      <c r="K7767" s="452">
        <v>1000</v>
      </c>
      <c r="L7767" s="334">
        <v>28572</v>
      </c>
      <c r="M7767" s="338"/>
      <c r="N7767" s="362">
        <f t="shared" si="267"/>
        <v>28572</v>
      </c>
      <c r="X7767" s="339"/>
    </row>
    <row r="7768" s="330" customFormat="1" ht="15" customHeight="1" spans="1:24">
      <c r="A7768" s="550" t="s">
        <v>2139</v>
      </c>
      <c r="B7768" s="445" t="s">
        <v>31</v>
      </c>
      <c r="C7768" s="445" t="s">
        <v>377</v>
      </c>
      <c r="D7768" s="334" t="s">
        <v>954</v>
      </c>
      <c r="E7768" s="336">
        <v>43834</v>
      </c>
      <c r="F7768" s="336">
        <v>43778</v>
      </c>
      <c r="G7768" s="336">
        <v>43834</v>
      </c>
      <c r="H7768" s="334" t="s">
        <v>16580</v>
      </c>
      <c r="I7768" s="465">
        <v>13621731453</v>
      </c>
      <c r="J7768" s="445" t="s">
        <v>16581</v>
      </c>
      <c r="K7768" s="452">
        <v>1000</v>
      </c>
      <c r="L7768" s="334">
        <v>15820</v>
      </c>
      <c r="M7768" s="338"/>
      <c r="N7768" s="362">
        <f t="shared" si="267"/>
        <v>15820</v>
      </c>
      <c r="O7768" s="366" t="s">
        <v>52</v>
      </c>
      <c r="X7768" s="339"/>
    </row>
    <row r="7769" s="330" customFormat="1" ht="15" customHeight="1" spans="1:24">
      <c r="A7769" s="550" t="s">
        <v>1810</v>
      </c>
      <c r="B7769" s="445" t="s">
        <v>31</v>
      </c>
      <c r="C7769" s="445" t="s">
        <v>377</v>
      </c>
      <c r="D7769" s="334" t="s">
        <v>954</v>
      </c>
      <c r="E7769" s="336">
        <v>43793</v>
      </c>
      <c r="F7769" s="336">
        <v>43778</v>
      </c>
      <c r="G7769" s="336">
        <v>43778</v>
      </c>
      <c r="H7769" s="334" t="s">
        <v>16582</v>
      </c>
      <c r="I7769" s="465">
        <v>13651894049</v>
      </c>
      <c r="J7769" s="445" t="s">
        <v>16583</v>
      </c>
      <c r="K7769" s="452">
        <v>1000</v>
      </c>
      <c r="L7769" s="334">
        <v>8185</v>
      </c>
      <c r="M7769" s="338"/>
      <c r="N7769" s="362">
        <f t="shared" si="267"/>
        <v>8185</v>
      </c>
      <c r="X7769" s="339"/>
    </row>
    <row r="7770" s="330" customFormat="1" ht="15" customHeight="1" spans="1:24">
      <c r="A7770" s="550" t="s">
        <v>4912</v>
      </c>
      <c r="B7770" s="445" t="s">
        <v>31</v>
      </c>
      <c r="C7770" s="445" t="s">
        <v>3186</v>
      </c>
      <c r="D7770" s="334" t="s">
        <v>954</v>
      </c>
      <c r="E7770" s="336">
        <v>43794</v>
      </c>
      <c r="F7770" s="336">
        <v>43778</v>
      </c>
      <c r="G7770" s="336">
        <v>43794</v>
      </c>
      <c r="H7770" s="334" t="s">
        <v>16584</v>
      </c>
      <c r="I7770" s="465">
        <v>13761794768</v>
      </c>
      <c r="J7770" s="445" t="s">
        <v>16585</v>
      </c>
      <c r="K7770" s="452">
        <v>1000</v>
      </c>
      <c r="L7770" s="334">
        <v>6894</v>
      </c>
      <c r="M7770" s="338"/>
      <c r="N7770" s="362">
        <f t="shared" si="267"/>
        <v>6894</v>
      </c>
      <c r="X7770" s="339"/>
    </row>
    <row r="7771" s="330" customFormat="1" ht="15" customHeight="1" spans="1:24">
      <c r="A7771" s="550" t="s">
        <v>16586</v>
      </c>
      <c r="B7771" s="445" t="s">
        <v>137</v>
      </c>
      <c r="C7771" s="445" t="s">
        <v>138</v>
      </c>
      <c r="D7771" s="334" t="s">
        <v>443</v>
      </c>
      <c r="E7771" s="336">
        <v>43799</v>
      </c>
      <c r="F7771" s="336">
        <v>43778</v>
      </c>
      <c r="G7771" s="336">
        <v>43799</v>
      </c>
      <c r="H7771" s="334" t="s">
        <v>16587</v>
      </c>
      <c r="I7771" s="465">
        <v>17721316958</v>
      </c>
      <c r="J7771" s="445" t="s">
        <v>16588</v>
      </c>
      <c r="K7771" s="452">
        <v>7862</v>
      </c>
      <c r="L7771" s="334">
        <v>7862</v>
      </c>
      <c r="M7771" s="338"/>
      <c r="N7771" s="362">
        <f t="shared" si="267"/>
        <v>7862</v>
      </c>
      <c r="Q7771" s="330">
        <v>1</v>
      </c>
      <c r="X7771" s="339"/>
    </row>
    <row r="7772" s="330" customFormat="1" ht="15" customHeight="1" spans="1:24">
      <c r="A7772" s="550" t="s">
        <v>16589</v>
      </c>
      <c r="B7772" s="445" t="s">
        <v>137</v>
      </c>
      <c r="C7772" s="445" t="s">
        <v>138</v>
      </c>
      <c r="D7772" s="335" t="s">
        <v>139</v>
      </c>
      <c r="E7772" s="336">
        <v>43779</v>
      </c>
      <c r="F7772" s="336">
        <v>43778</v>
      </c>
      <c r="G7772" s="399" t="s">
        <v>231</v>
      </c>
      <c r="H7772" s="334" t="s">
        <v>16590</v>
      </c>
      <c r="I7772" s="465">
        <v>15801739900</v>
      </c>
      <c r="J7772" s="445" t="s">
        <v>16591</v>
      </c>
      <c r="K7772" s="452">
        <v>30600</v>
      </c>
      <c r="L7772" s="338"/>
      <c r="M7772" s="338"/>
      <c r="N7772" s="362">
        <f t="shared" si="267"/>
        <v>0</v>
      </c>
      <c r="Q7772" s="330">
        <v>1</v>
      </c>
      <c r="X7772" s="339"/>
    </row>
    <row r="7773" s="330" customFormat="1" ht="15" customHeight="1" spans="1:24">
      <c r="A7773" s="550" t="s">
        <v>16592</v>
      </c>
      <c r="B7773" s="445" t="s">
        <v>137</v>
      </c>
      <c r="C7773" s="445" t="s">
        <v>138</v>
      </c>
      <c r="D7773" s="334" t="s">
        <v>443</v>
      </c>
      <c r="E7773" s="336">
        <v>43789</v>
      </c>
      <c r="F7773" s="336">
        <v>43778</v>
      </c>
      <c r="G7773" s="336">
        <v>43787</v>
      </c>
      <c r="H7773" s="334" t="s">
        <v>16593</v>
      </c>
      <c r="I7773" s="465">
        <v>13501724949</v>
      </c>
      <c r="J7773" s="445" t="s">
        <v>16594</v>
      </c>
      <c r="K7773" s="452">
        <v>19811</v>
      </c>
      <c r="L7773" s="334">
        <v>19811</v>
      </c>
      <c r="M7773" s="338"/>
      <c r="N7773" s="362">
        <f t="shared" si="267"/>
        <v>19811</v>
      </c>
      <c r="X7773" s="339"/>
    </row>
    <row r="7774" s="330" customFormat="1" ht="15" customHeight="1" spans="1:24">
      <c r="A7774" s="550" t="s">
        <v>1277</v>
      </c>
      <c r="B7774" s="445" t="s">
        <v>31</v>
      </c>
      <c r="C7774" s="445" t="s">
        <v>419</v>
      </c>
      <c r="D7774" s="334" t="s">
        <v>954</v>
      </c>
      <c r="E7774" s="336">
        <v>43787</v>
      </c>
      <c r="F7774" s="336">
        <v>43778</v>
      </c>
      <c r="G7774" s="336">
        <v>43786</v>
      </c>
      <c r="H7774" s="334" t="s">
        <v>15583</v>
      </c>
      <c r="I7774" s="465">
        <v>13918328022</v>
      </c>
      <c r="J7774" s="445" t="s">
        <v>16595</v>
      </c>
      <c r="K7774" s="452">
        <v>1000</v>
      </c>
      <c r="L7774" s="334">
        <v>17575</v>
      </c>
      <c r="M7774" s="338"/>
      <c r="N7774" s="362">
        <f t="shared" si="267"/>
        <v>17575</v>
      </c>
      <c r="X7774" s="339"/>
    </row>
    <row r="7775" s="330" customFormat="1" ht="15" customHeight="1" spans="1:24">
      <c r="A7775" s="550" t="s">
        <v>9720</v>
      </c>
      <c r="B7775" s="445" t="s">
        <v>31</v>
      </c>
      <c r="C7775" s="445" t="s">
        <v>419</v>
      </c>
      <c r="D7775" s="334" t="s">
        <v>33</v>
      </c>
      <c r="E7775" s="336">
        <v>43781</v>
      </c>
      <c r="F7775" s="336">
        <v>43778</v>
      </c>
      <c r="G7775" s="336">
        <v>43780</v>
      </c>
      <c r="H7775" s="334" t="s">
        <v>16596</v>
      </c>
      <c r="I7775" s="465">
        <v>13564225140</v>
      </c>
      <c r="J7775" s="445" t="s">
        <v>16597</v>
      </c>
      <c r="K7775" s="452">
        <v>1000</v>
      </c>
      <c r="L7775" s="334">
        <v>4854</v>
      </c>
      <c r="M7775" s="338"/>
      <c r="N7775" s="362">
        <f t="shared" si="267"/>
        <v>4854</v>
      </c>
      <c r="X7775" s="339"/>
    </row>
    <row r="7776" s="330" customFormat="1" ht="15" customHeight="1" spans="1:24">
      <c r="A7776" s="550" t="s">
        <v>16598</v>
      </c>
      <c r="B7776" s="445" t="s">
        <v>31</v>
      </c>
      <c r="C7776" s="445" t="s">
        <v>220</v>
      </c>
      <c r="D7776" s="334" t="s">
        <v>954</v>
      </c>
      <c r="E7776" s="336">
        <v>43798</v>
      </c>
      <c r="F7776" s="336">
        <v>43778</v>
      </c>
      <c r="G7776" s="336">
        <v>43798</v>
      </c>
      <c r="H7776" s="334" t="s">
        <v>16599</v>
      </c>
      <c r="I7776" s="465">
        <v>15001854677</v>
      </c>
      <c r="J7776" s="445" t="s">
        <v>16600</v>
      </c>
      <c r="K7776" s="452">
        <v>1000</v>
      </c>
      <c r="L7776" s="334">
        <v>10755</v>
      </c>
      <c r="M7776" s="338"/>
      <c r="N7776" s="362">
        <f t="shared" si="267"/>
        <v>10755</v>
      </c>
      <c r="X7776" s="339"/>
    </row>
    <row r="7777" s="330" customFormat="1" ht="15" customHeight="1" spans="1:24">
      <c r="A7777" s="550" t="s">
        <v>7782</v>
      </c>
      <c r="B7777" s="445" t="s">
        <v>31</v>
      </c>
      <c r="C7777" s="445" t="s">
        <v>419</v>
      </c>
      <c r="D7777" s="334" t="s">
        <v>954</v>
      </c>
      <c r="E7777" s="336">
        <v>43802</v>
      </c>
      <c r="F7777" s="336">
        <v>43778</v>
      </c>
      <c r="G7777" s="336">
        <v>43802</v>
      </c>
      <c r="H7777" s="334" t="s">
        <v>16601</v>
      </c>
      <c r="I7777" s="465">
        <v>18017105639</v>
      </c>
      <c r="J7777" s="445" t="s">
        <v>16602</v>
      </c>
      <c r="K7777" s="452">
        <v>1000</v>
      </c>
      <c r="L7777" s="334">
        <v>8710</v>
      </c>
      <c r="M7777" s="338"/>
      <c r="N7777" s="362">
        <f t="shared" si="267"/>
        <v>8710</v>
      </c>
      <c r="X7777" s="339"/>
    </row>
    <row r="7778" s="330" customFormat="1" ht="15" customHeight="1" spans="1:24">
      <c r="A7778" s="550" t="s">
        <v>7788</v>
      </c>
      <c r="B7778" s="334" t="s">
        <v>31</v>
      </c>
      <c r="C7778" s="348" t="s">
        <v>419</v>
      </c>
      <c r="D7778" s="335" t="s">
        <v>221</v>
      </c>
      <c r="E7778" s="336">
        <v>43787</v>
      </c>
      <c r="F7778" s="336">
        <v>43778</v>
      </c>
      <c r="G7778" s="336">
        <v>43787</v>
      </c>
      <c r="H7778" s="334" t="s">
        <v>16603</v>
      </c>
      <c r="I7778" s="444">
        <v>13524308682</v>
      </c>
      <c r="J7778" s="348" t="s">
        <v>16604</v>
      </c>
      <c r="K7778" s="452">
        <v>1000</v>
      </c>
      <c r="L7778" s="334">
        <v>10255</v>
      </c>
      <c r="M7778" s="338"/>
      <c r="N7778" s="362">
        <f t="shared" si="267"/>
        <v>10255</v>
      </c>
      <c r="X7778" s="339"/>
    </row>
    <row r="7779" s="330" customFormat="1" ht="15" customHeight="1" spans="1:24">
      <c r="A7779" s="550" t="s">
        <v>9865</v>
      </c>
      <c r="B7779" s="334" t="s">
        <v>185</v>
      </c>
      <c r="C7779" s="348" t="s">
        <v>1620</v>
      </c>
      <c r="D7779" s="335" t="s">
        <v>44</v>
      </c>
      <c r="E7779" s="336">
        <v>43787</v>
      </c>
      <c r="F7779" s="336">
        <v>43778</v>
      </c>
      <c r="G7779" s="336">
        <v>43786</v>
      </c>
      <c r="H7779" s="334" t="s">
        <v>16605</v>
      </c>
      <c r="I7779" s="444">
        <v>18917606650</v>
      </c>
      <c r="J7779" s="348" t="s">
        <v>16606</v>
      </c>
      <c r="K7779" s="452">
        <v>2000</v>
      </c>
      <c r="L7779" s="334">
        <v>10959</v>
      </c>
      <c r="M7779" s="338"/>
      <c r="N7779" s="362">
        <f t="shared" si="267"/>
        <v>10959</v>
      </c>
      <c r="X7779" s="339"/>
    </row>
    <row r="7780" s="330" customFormat="1" ht="15" customHeight="1" spans="1:24">
      <c r="A7780" s="348"/>
      <c r="B7780" s="334" t="s">
        <v>87</v>
      </c>
      <c r="C7780" s="348" t="s">
        <v>199</v>
      </c>
      <c r="D7780" s="335" t="s">
        <v>89</v>
      </c>
      <c r="E7780" s="336">
        <v>43779</v>
      </c>
      <c r="F7780" s="336">
        <v>43778</v>
      </c>
      <c r="G7780" s="399"/>
      <c r="H7780" s="334" t="s">
        <v>16607</v>
      </c>
      <c r="I7780" s="444">
        <v>15862630113</v>
      </c>
      <c r="J7780" s="348" t="s">
        <v>16608</v>
      </c>
      <c r="K7780" s="452">
        <v>1000</v>
      </c>
      <c r="L7780" s="338"/>
      <c r="M7780" s="338"/>
      <c r="N7780" s="362">
        <f t="shared" si="267"/>
        <v>0</v>
      </c>
      <c r="Q7780" s="411" t="s">
        <v>52</v>
      </c>
      <c r="U7780" s="353" t="s">
        <v>12</v>
      </c>
      <c r="X7780" s="339"/>
    </row>
    <row r="7781" s="330" customFormat="1" ht="15" customHeight="1" spans="1:24">
      <c r="A7781" s="550" t="s">
        <v>7933</v>
      </c>
      <c r="B7781" s="334" t="s">
        <v>31</v>
      </c>
      <c r="C7781" s="348" t="s">
        <v>2716</v>
      </c>
      <c r="D7781" s="335" t="s">
        <v>33</v>
      </c>
      <c r="E7781" s="336">
        <v>43779</v>
      </c>
      <c r="F7781" s="336">
        <v>43778</v>
      </c>
      <c r="G7781" s="399"/>
      <c r="H7781" s="334" t="s">
        <v>16609</v>
      </c>
      <c r="I7781" s="444">
        <v>17301871616</v>
      </c>
      <c r="J7781" s="348" t="s">
        <v>16610</v>
      </c>
      <c r="K7781" s="452">
        <v>1000</v>
      </c>
      <c r="L7781" s="338"/>
      <c r="M7781" s="338"/>
      <c r="N7781" s="362">
        <f t="shared" si="267"/>
        <v>0</v>
      </c>
      <c r="Q7781" s="366" t="s">
        <v>52</v>
      </c>
      <c r="X7781" s="339"/>
    </row>
    <row r="7782" s="330" customFormat="1" ht="15" customHeight="1" spans="1:24">
      <c r="A7782" s="550" t="s">
        <v>8789</v>
      </c>
      <c r="B7782" s="334" t="s">
        <v>31</v>
      </c>
      <c r="C7782" s="348" t="s">
        <v>2716</v>
      </c>
      <c r="D7782" s="335" t="s">
        <v>33</v>
      </c>
      <c r="E7782" s="336">
        <v>43779</v>
      </c>
      <c r="F7782" s="336">
        <v>43778</v>
      </c>
      <c r="G7782" s="399"/>
      <c r="H7782" s="334" t="s">
        <v>16611</v>
      </c>
      <c r="I7782" s="444">
        <v>18917588307</v>
      </c>
      <c r="J7782" s="348" t="s">
        <v>16612</v>
      </c>
      <c r="K7782" s="452">
        <v>1000</v>
      </c>
      <c r="L7782" s="338"/>
      <c r="M7782" s="338"/>
      <c r="N7782" s="362">
        <f t="shared" si="267"/>
        <v>0</v>
      </c>
      <c r="P7782" s="366" t="s">
        <v>52</v>
      </c>
      <c r="X7782" s="339"/>
    </row>
    <row r="7783" s="330" customFormat="1" ht="15" customHeight="1" spans="1:24">
      <c r="A7783" s="550" t="s">
        <v>16613</v>
      </c>
      <c r="B7783" s="334" t="s">
        <v>31</v>
      </c>
      <c r="C7783" s="348" t="s">
        <v>2716</v>
      </c>
      <c r="D7783" s="335" t="s">
        <v>33</v>
      </c>
      <c r="E7783" s="336">
        <v>43779</v>
      </c>
      <c r="F7783" s="336">
        <v>43778</v>
      </c>
      <c r="G7783" s="399"/>
      <c r="H7783" s="334" t="s">
        <v>16614</v>
      </c>
      <c r="I7783" s="444">
        <v>17317866296</v>
      </c>
      <c r="J7783" s="348" t="s">
        <v>16615</v>
      </c>
      <c r="K7783" s="452">
        <v>1000</v>
      </c>
      <c r="L7783" s="338"/>
      <c r="M7783" s="338"/>
      <c r="N7783" s="362">
        <f t="shared" si="267"/>
        <v>0</v>
      </c>
      <c r="R7783" s="366" t="s">
        <v>52</v>
      </c>
      <c r="X7783" s="339"/>
    </row>
    <row r="7784" s="330" customFormat="1" ht="15" customHeight="1" spans="1:24">
      <c r="A7784" s="550" t="s">
        <v>1943</v>
      </c>
      <c r="B7784" s="334" t="s">
        <v>58</v>
      </c>
      <c r="C7784" s="348" t="s">
        <v>347</v>
      </c>
      <c r="D7784" s="335" t="s">
        <v>343</v>
      </c>
      <c r="E7784" s="336">
        <v>43835</v>
      </c>
      <c r="F7784" s="336">
        <v>43778</v>
      </c>
      <c r="G7784" s="336">
        <v>43833</v>
      </c>
      <c r="H7784" s="334" t="s">
        <v>16616</v>
      </c>
      <c r="I7784" s="444">
        <v>15800562775</v>
      </c>
      <c r="J7784" s="348" t="s">
        <v>16617</v>
      </c>
      <c r="K7784" s="452">
        <v>16200</v>
      </c>
      <c r="L7784" s="334">
        <v>24531</v>
      </c>
      <c r="M7784" s="338"/>
      <c r="N7784" s="362">
        <f t="shared" si="267"/>
        <v>24531</v>
      </c>
      <c r="P7784" s="365"/>
      <c r="W7784" s="471">
        <v>43829</v>
      </c>
      <c r="X7784" s="339"/>
    </row>
    <row r="7785" s="330" customFormat="1" ht="15" customHeight="1" spans="1:24">
      <c r="A7785" s="550" t="s">
        <v>1154</v>
      </c>
      <c r="B7785" s="334" t="s">
        <v>66</v>
      </c>
      <c r="C7785" s="348" t="s">
        <v>7029</v>
      </c>
      <c r="D7785" s="334" t="s">
        <v>68</v>
      </c>
      <c r="E7785" s="336">
        <v>43799</v>
      </c>
      <c r="F7785" s="336">
        <v>43778</v>
      </c>
      <c r="G7785" s="336">
        <v>43799</v>
      </c>
      <c r="H7785" s="334" t="s">
        <v>16618</v>
      </c>
      <c r="I7785" s="444">
        <v>18602109540</v>
      </c>
      <c r="J7785" s="348" t="s">
        <v>16619</v>
      </c>
      <c r="K7785" s="452">
        <v>11705</v>
      </c>
      <c r="L7785" s="334">
        <v>12199</v>
      </c>
      <c r="M7785" s="338"/>
      <c r="N7785" s="362">
        <f t="shared" ref="N7785:N7816" si="268">L7785+M7785</f>
        <v>12199</v>
      </c>
      <c r="X7785" s="339"/>
    </row>
    <row r="7786" s="330" customFormat="1" ht="15" customHeight="1" spans="1:24">
      <c r="A7786" s="550" t="s">
        <v>11402</v>
      </c>
      <c r="B7786" s="334" t="s">
        <v>58</v>
      </c>
      <c r="C7786" s="348" t="s">
        <v>347</v>
      </c>
      <c r="D7786" s="335" t="s">
        <v>343</v>
      </c>
      <c r="E7786" s="336">
        <v>43799</v>
      </c>
      <c r="F7786" s="336">
        <v>43778</v>
      </c>
      <c r="G7786" s="336">
        <v>43799</v>
      </c>
      <c r="H7786" s="334" t="s">
        <v>16620</v>
      </c>
      <c r="I7786" s="444">
        <v>13564625725</v>
      </c>
      <c r="J7786" s="348" t="s">
        <v>16621</v>
      </c>
      <c r="K7786" s="452">
        <v>36000</v>
      </c>
      <c r="L7786" s="334">
        <v>36000</v>
      </c>
      <c r="M7786" s="338"/>
      <c r="N7786" s="362">
        <f t="shared" si="268"/>
        <v>36000</v>
      </c>
      <c r="P7786" s="365" t="s">
        <v>52</v>
      </c>
      <c r="X7786" s="339"/>
    </row>
    <row r="7787" s="330" customFormat="1" ht="15" customHeight="1" spans="1:24">
      <c r="A7787" s="550" t="s">
        <v>16622</v>
      </c>
      <c r="B7787" s="334" t="s">
        <v>58</v>
      </c>
      <c r="C7787" s="348" t="s">
        <v>347</v>
      </c>
      <c r="D7787" s="335" t="s">
        <v>343</v>
      </c>
      <c r="E7787" s="336">
        <v>43816</v>
      </c>
      <c r="F7787" s="336">
        <v>43778</v>
      </c>
      <c r="G7787" s="336">
        <v>43814</v>
      </c>
      <c r="H7787" s="334" t="s">
        <v>16623</v>
      </c>
      <c r="I7787" s="444">
        <v>13901721270</v>
      </c>
      <c r="J7787" s="348" t="s">
        <v>16624</v>
      </c>
      <c r="K7787" s="452">
        <v>16200</v>
      </c>
      <c r="L7787" s="334">
        <v>16200</v>
      </c>
      <c r="M7787" s="338"/>
      <c r="N7787" s="362">
        <f t="shared" si="268"/>
        <v>16200</v>
      </c>
      <c r="O7787" s="365"/>
      <c r="R7787" s="365" t="s">
        <v>52</v>
      </c>
      <c r="X7787" s="339"/>
    </row>
    <row r="7788" s="330" customFormat="1" ht="15" customHeight="1" spans="1:24">
      <c r="A7788" s="550" t="s">
        <v>16625</v>
      </c>
      <c r="B7788" s="334" t="s">
        <v>66</v>
      </c>
      <c r="C7788" s="348" t="s">
        <v>13102</v>
      </c>
      <c r="D7788" s="334" t="s">
        <v>1436</v>
      </c>
      <c r="E7788" s="336">
        <v>43830</v>
      </c>
      <c r="F7788" s="336">
        <v>43778</v>
      </c>
      <c r="G7788" s="336">
        <v>43829</v>
      </c>
      <c r="H7788" s="334" t="s">
        <v>16626</v>
      </c>
      <c r="I7788" s="444">
        <v>18017284561</v>
      </c>
      <c r="J7788" s="348" t="s">
        <v>16627</v>
      </c>
      <c r="K7788" s="452">
        <v>3038</v>
      </c>
      <c r="L7788" s="334">
        <v>3100</v>
      </c>
      <c r="M7788" s="338"/>
      <c r="N7788" s="362">
        <f t="shared" si="268"/>
        <v>3100</v>
      </c>
      <c r="Q7788" s="353" t="s">
        <v>21</v>
      </c>
      <c r="X7788" s="339"/>
    </row>
    <row r="7789" s="330" customFormat="1" ht="15" customHeight="1" spans="1:24">
      <c r="A7789" s="550" t="s">
        <v>15055</v>
      </c>
      <c r="B7789" s="334" t="s">
        <v>153</v>
      </c>
      <c r="C7789" s="348" t="s">
        <v>154</v>
      </c>
      <c r="D7789" s="335" t="s">
        <v>155</v>
      </c>
      <c r="E7789" s="336">
        <v>43807</v>
      </c>
      <c r="F7789" s="336">
        <v>43778</v>
      </c>
      <c r="G7789" s="336">
        <v>43806</v>
      </c>
      <c r="H7789" s="334" t="s">
        <v>16628</v>
      </c>
      <c r="I7789" s="444">
        <v>13361879238</v>
      </c>
      <c r="J7789" s="348" t="s">
        <v>16629</v>
      </c>
      <c r="K7789" s="452">
        <v>1000</v>
      </c>
      <c r="L7789" s="334">
        <v>12993</v>
      </c>
      <c r="M7789" s="338"/>
      <c r="N7789" s="362">
        <f t="shared" si="268"/>
        <v>12993</v>
      </c>
      <c r="X7789" s="339"/>
    </row>
    <row r="7790" s="330" customFormat="1" ht="15" customHeight="1" spans="1:24">
      <c r="A7790" s="550" t="s">
        <v>4806</v>
      </c>
      <c r="B7790" s="334" t="s">
        <v>66</v>
      </c>
      <c r="C7790" s="348" t="s">
        <v>119</v>
      </c>
      <c r="D7790" s="334" t="s">
        <v>1436</v>
      </c>
      <c r="E7790" s="336">
        <v>43799</v>
      </c>
      <c r="F7790" s="336">
        <v>43778</v>
      </c>
      <c r="G7790" s="336">
        <v>43799</v>
      </c>
      <c r="H7790" s="334" t="s">
        <v>16630</v>
      </c>
      <c r="I7790" s="444">
        <v>17621343653</v>
      </c>
      <c r="J7790" s="348" t="s">
        <v>16631</v>
      </c>
      <c r="K7790" s="452">
        <f>6761+3038</f>
        <v>9799</v>
      </c>
      <c r="L7790" s="334">
        <v>9861</v>
      </c>
      <c r="M7790" s="338"/>
      <c r="N7790" s="362">
        <f t="shared" si="268"/>
        <v>9861</v>
      </c>
      <c r="Q7790" s="330" t="s">
        <v>52</v>
      </c>
      <c r="X7790" s="339"/>
    </row>
    <row r="7791" s="330" customFormat="1" ht="15" customHeight="1" spans="1:24">
      <c r="A7791" s="550" t="s">
        <v>2306</v>
      </c>
      <c r="B7791" s="334" t="s">
        <v>153</v>
      </c>
      <c r="C7791" s="348" t="s">
        <v>154</v>
      </c>
      <c r="D7791" s="335" t="s">
        <v>155</v>
      </c>
      <c r="E7791" s="336">
        <v>43794</v>
      </c>
      <c r="F7791" s="336">
        <v>43778</v>
      </c>
      <c r="G7791" s="336">
        <v>43786</v>
      </c>
      <c r="H7791" s="334" t="s">
        <v>16632</v>
      </c>
      <c r="I7791" s="444">
        <v>18616332356</v>
      </c>
      <c r="J7791" s="348" t="s">
        <v>16633</v>
      </c>
      <c r="K7791" s="452">
        <v>1000</v>
      </c>
      <c r="L7791" s="334">
        <v>8936</v>
      </c>
      <c r="M7791" s="338"/>
      <c r="N7791" s="362">
        <f t="shared" si="268"/>
        <v>8936</v>
      </c>
      <c r="V7791" s="330" t="s">
        <v>2494</v>
      </c>
      <c r="X7791" s="339"/>
    </row>
    <row r="7792" s="330" customFormat="1" ht="15" customHeight="1" spans="1:24">
      <c r="A7792" s="550" t="s">
        <v>16634</v>
      </c>
      <c r="B7792" s="334" t="s">
        <v>31</v>
      </c>
      <c r="C7792" s="348" t="s">
        <v>3186</v>
      </c>
      <c r="D7792" s="335" t="s">
        <v>221</v>
      </c>
      <c r="E7792" s="336">
        <v>43779</v>
      </c>
      <c r="F7792" s="336">
        <v>43778</v>
      </c>
      <c r="G7792" s="399"/>
      <c r="H7792" s="334" t="s">
        <v>16635</v>
      </c>
      <c r="I7792" s="444">
        <v>13799749750</v>
      </c>
      <c r="J7792" s="348" t="s">
        <v>16636</v>
      </c>
      <c r="K7792" s="452">
        <v>1000</v>
      </c>
      <c r="L7792" s="338"/>
      <c r="M7792" s="338"/>
      <c r="N7792" s="362">
        <f t="shared" si="268"/>
        <v>0</v>
      </c>
      <c r="U7792" s="353" t="s">
        <v>63</v>
      </c>
      <c r="X7792" s="339"/>
    </row>
    <row r="7793" s="330" customFormat="1" ht="15" customHeight="1" spans="1:24">
      <c r="A7793" s="550" t="s">
        <v>16637</v>
      </c>
      <c r="B7793" s="334" t="s">
        <v>66</v>
      </c>
      <c r="C7793" s="348" t="s">
        <v>1749</v>
      </c>
      <c r="D7793" s="334" t="s">
        <v>68</v>
      </c>
      <c r="E7793" s="336">
        <v>43780</v>
      </c>
      <c r="F7793" s="336">
        <v>43778</v>
      </c>
      <c r="G7793" s="336">
        <v>43778</v>
      </c>
      <c r="H7793" s="334" t="s">
        <v>16638</v>
      </c>
      <c r="I7793" s="444">
        <v>13611877600</v>
      </c>
      <c r="J7793" s="348" t="s">
        <v>16639</v>
      </c>
      <c r="K7793" s="452">
        <v>23751</v>
      </c>
      <c r="L7793" s="334">
        <v>23751</v>
      </c>
      <c r="M7793" s="338"/>
      <c r="N7793" s="362">
        <f t="shared" si="268"/>
        <v>23751</v>
      </c>
      <c r="X7793" s="339"/>
    </row>
    <row r="7794" s="330" customFormat="1" ht="15" customHeight="1" spans="1:24">
      <c r="A7794" s="550" t="s">
        <v>16640</v>
      </c>
      <c r="B7794" s="334" t="s">
        <v>66</v>
      </c>
      <c r="C7794" s="348" t="s">
        <v>119</v>
      </c>
      <c r="D7794" s="334" t="s">
        <v>1436</v>
      </c>
      <c r="E7794" s="336">
        <v>43792</v>
      </c>
      <c r="F7794" s="336">
        <v>43778</v>
      </c>
      <c r="G7794" s="336">
        <v>43792</v>
      </c>
      <c r="H7794" s="334" t="s">
        <v>16641</v>
      </c>
      <c r="I7794" s="444">
        <v>13916830973</v>
      </c>
      <c r="J7794" s="348" t="s">
        <v>16642</v>
      </c>
      <c r="K7794" s="452">
        <v>19940</v>
      </c>
      <c r="L7794" s="334">
        <v>11940</v>
      </c>
      <c r="M7794" s="338"/>
      <c r="N7794" s="362">
        <f t="shared" si="268"/>
        <v>11940</v>
      </c>
      <c r="Q7794" s="330" t="s">
        <v>52</v>
      </c>
      <c r="X7794" s="339"/>
    </row>
    <row r="7795" s="330" customFormat="1" ht="15" customHeight="1" spans="1:24">
      <c r="A7795" s="550" t="s">
        <v>8285</v>
      </c>
      <c r="B7795" s="334" t="s">
        <v>31</v>
      </c>
      <c r="C7795" s="348" t="s">
        <v>3186</v>
      </c>
      <c r="D7795" s="334" t="s">
        <v>33</v>
      </c>
      <c r="E7795" s="336">
        <v>43789</v>
      </c>
      <c r="F7795" s="336">
        <v>43778</v>
      </c>
      <c r="G7795" s="336">
        <v>43789</v>
      </c>
      <c r="H7795" s="334" t="s">
        <v>16643</v>
      </c>
      <c r="I7795" s="444">
        <v>13764036882</v>
      </c>
      <c r="J7795" s="348" t="s">
        <v>16644</v>
      </c>
      <c r="K7795" s="452">
        <v>1000</v>
      </c>
      <c r="L7795" s="334">
        <v>2042</v>
      </c>
      <c r="M7795" s="338"/>
      <c r="N7795" s="362">
        <f t="shared" si="268"/>
        <v>2042</v>
      </c>
      <c r="X7795" s="339"/>
    </row>
    <row r="7796" s="330" customFormat="1" ht="15" customHeight="1" spans="1:24">
      <c r="A7796" s="550" t="s">
        <v>11763</v>
      </c>
      <c r="B7796" s="334" t="s">
        <v>66</v>
      </c>
      <c r="C7796" s="348" t="s">
        <v>1749</v>
      </c>
      <c r="D7796" s="334" t="s">
        <v>2302</v>
      </c>
      <c r="E7796" s="336">
        <v>43784</v>
      </c>
      <c r="F7796" s="336">
        <v>43778</v>
      </c>
      <c r="G7796" s="336">
        <v>43782</v>
      </c>
      <c r="H7796" s="334" t="s">
        <v>16645</v>
      </c>
      <c r="I7796" s="444">
        <v>13661979336</v>
      </c>
      <c r="J7796" s="348" t="s">
        <v>16646</v>
      </c>
      <c r="K7796" s="452">
        <v>3000</v>
      </c>
      <c r="L7796" s="334">
        <v>16727</v>
      </c>
      <c r="M7796" s="338"/>
      <c r="N7796" s="362">
        <f t="shared" si="268"/>
        <v>16727</v>
      </c>
      <c r="X7796" s="339"/>
    </row>
    <row r="7797" s="330" customFormat="1" ht="15" customHeight="1" spans="1:24">
      <c r="A7797" s="550" t="s">
        <v>6887</v>
      </c>
      <c r="B7797" s="334" t="s">
        <v>137</v>
      </c>
      <c r="C7797" s="348" t="s">
        <v>480</v>
      </c>
      <c r="D7797" s="335" t="s">
        <v>139</v>
      </c>
      <c r="E7797" s="336">
        <v>43790</v>
      </c>
      <c r="F7797" s="336">
        <v>43778</v>
      </c>
      <c r="G7797" s="336">
        <v>43790</v>
      </c>
      <c r="H7797" s="334" t="s">
        <v>16647</v>
      </c>
      <c r="I7797" s="444">
        <v>18930859592</v>
      </c>
      <c r="J7797" s="348" t="s">
        <v>16648</v>
      </c>
      <c r="K7797" s="452">
        <v>17697</v>
      </c>
      <c r="L7797" s="334">
        <v>18183</v>
      </c>
      <c r="M7797" s="338"/>
      <c r="N7797" s="362">
        <f t="shared" si="268"/>
        <v>18183</v>
      </c>
      <c r="P7797" s="330">
        <v>1</v>
      </c>
      <c r="X7797" s="339"/>
    </row>
    <row r="7798" s="330" customFormat="1" ht="15" customHeight="1" spans="1:24">
      <c r="A7798" s="348"/>
      <c r="B7798" s="334" t="s">
        <v>147</v>
      </c>
      <c r="C7798" s="348" t="s">
        <v>542</v>
      </c>
      <c r="D7798" s="335" t="s">
        <v>149</v>
      </c>
      <c r="E7798" s="336">
        <v>43779</v>
      </c>
      <c r="F7798" s="336">
        <v>43778</v>
      </c>
      <c r="G7798" s="399"/>
      <c r="H7798" s="334" t="s">
        <v>16649</v>
      </c>
      <c r="I7798" s="444">
        <v>18616818491</v>
      </c>
      <c r="J7798" s="348" t="s">
        <v>16650</v>
      </c>
      <c r="K7798" s="452">
        <v>1000</v>
      </c>
      <c r="L7798" s="338"/>
      <c r="M7798" s="338"/>
      <c r="N7798" s="362">
        <f t="shared" si="268"/>
        <v>0</v>
      </c>
      <c r="X7798" s="339"/>
    </row>
    <row r="7799" s="330" customFormat="1" ht="15" customHeight="1" spans="1:24">
      <c r="A7799" s="550" t="s">
        <v>16651</v>
      </c>
      <c r="B7799" s="334" t="s">
        <v>169</v>
      </c>
      <c r="C7799" s="348" t="s">
        <v>542</v>
      </c>
      <c r="D7799" s="335" t="s">
        <v>171</v>
      </c>
      <c r="E7799" s="336">
        <v>43779</v>
      </c>
      <c r="F7799" s="336">
        <v>43778</v>
      </c>
      <c r="G7799" s="399"/>
      <c r="H7799" s="334" t="s">
        <v>16652</v>
      </c>
      <c r="I7799" s="444">
        <v>13636399869</v>
      </c>
      <c r="J7799" s="348" t="s">
        <v>16653</v>
      </c>
      <c r="K7799" s="452">
        <v>14400</v>
      </c>
      <c r="L7799" s="338"/>
      <c r="M7799" s="338"/>
      <c r="N7799" s="362">
        <f t="shared" si="268"/>
        <v>0</v>
      </c>
      <c r="U7799" s="477" t="s">
        <v>12</v>
      </c>
      <c r="X7799" s="339"/>
    </row>
    <row r="7800" s="330" customFormat="1" ht="15" customHeight="1" spans="1:24">
      <c r="A7800" s="550" t="s">
        <v>3749</v>
      </c>
      <c r="B7800" s="334" t="s">
        <v>31</v>
      </c>
      <c r="C7800" s="348" t="s">
        <v>3186</v>
      </c>
      <c r="D7800" s="335" t="s">
        <v>221</v>
      </c>
      <c r="E7800" s="336">
        <v>43779</v>
      </c>
      <c r="F7800" s="336">
        <v>43778</v>
      </c>
      <c r="G7800" s="399"/>
      <c r="H7800" s="334" t="s">
        <v>16654</v>
      </c>
      <c r="I7800" s="444">
        <v>18501717096</v>
      </c>
      <c r="J7800" s="348" t="s">
        <v>16655</v>
      </c>
      <c r="K7800" s="452">
        <v>1000</v>
      </c>
      <c r="L7800" s="338"/>
      <c r="M7800" s="338"/>
      <c r="N7800" s="362">
        <f t="shared" si="268"/>
        <v>0</v>
      </c>
      <c r="X7800" s="339"/>
    </row>
    <row r="7801" s="330" customFormat="1" ht="15" customHeight="1" spans="1:24">
      <c r="A7801" s="550" t="s">
        <v>16526</v>
      </c>
      <c r="B7801" s="334" t="s">
        <v>137</v>
      </c>
      <c r="C7801" s="348" t="s">
        <v>426</v>
      </c>
      <c r="D7801" s="335" t="s">
        <v>443</v>
      </c>
      <c r="E7801" s="336">
        <v>43779</v>
      </c>
      <c r="F7801" s="336">
        <v>43778</v>
      </c>
      <c r="G7801" s="399"/>
      <c r="H7801" s="334" t="s">
        <v>16656</v>
      </c>
      <c r="I7801" s="444">
        <v>13621628003</v>
      </c>
      <c r="J7801" s="348" t="s">
        <v>16657</v>
      </c>
      <c r="K7801" s="452">
        <v>1000</v>
      </c>
      <c r="L7801" s="338"/>
      <c r="M7801" s="338"/>
      <c r="N7801" s="362">
        <f t="shared" si="268"/>
        <v>0</v>
      </c>
      <c r="Q7801" s="330">
        <v>1</v>
      </c>
      <c r="X7801" s="339"/>
    </row>
    <row r="7802" s="330" customFormat="1" ht="15" customHeight="1" spans="1:24">
      <c r="A7802" s="550" t="s">
        <v>5232</v>
      </c>
      <c r="B7802" s="334" t="s">
        <v>66</v>
      </c>
      <c r="C7802" s="348" t="s">
        <v>3954</v>
      </c>
      <c r="D7802" s="334" t="s">
        <v>68</v>
      </c>
      <c r="E7802" s="336">
        <v>43792</v>
      </c>
      <c r="F7802" s="336">
        <v>43778</v>
      </c>
      <c r="G7802" s="336">
        <v>43792</v>
      </c>
      <c r="H7802" s="334" t="s">
        <v>14351</v>
      </c>
      <c r="I7802" s="444">
        <v>13962256870</v>
      </c>
      <c r="J7802" s="348" t="s">
        <v>16658</v>
      </c>
      <c r="K7802" s="452">
        <v>11094</v>
      </c>
      <c r="L7802" s="334">
        <v>11094</v>
      </c>
      <c r="M7802" s="338"/>
      <c r="N7802" s="362">
        <f t="shared" si="268"/>
        <v>11094</v>
      </c>
      <c r="Q7802" s="330" t="s">
        <v>52</v>
      </c>
      <c r="X7802" s="339"/>
    </row>
    <row r="7803" s="330" customFormat="1" ht="15" customHeight="1" spans="1:24">
      <c r="A7803" s="550" t="s">
        <v>16659</v>
      </c>
      <c r="B7803" s="334" t="s">
        <v>66</v>
      </c>
      <c r="C7803" s="348" t="s">
        <v>951</v>
      </c>
      <c r="D7803" s="334" t="s">
        <v>2302</v>
      </c>
      <c r="E7803" s="336">
        <v>43792</v>
      </c>
      <c r="F7803" s="336">
        <v>43778</v>
      </c>
      <c r="G7803" s="336">
        <v>43786</v>
      </c>
      <c r="H7803" s="334" t="s">
        <v>15412</v>
      </c>
      <c r="I7803" s="444">
        <v>13816647250</v>
      </c>
      <c r="J7803" s="348" t="s">
        <v>16660</v>
      </c>
      <c r="K7803" s="452">
        <v>11094</v>
      </c>
      <c r="L7803" s="334">
        <v>9111</v>
      </c>
      <c r="M7803" s="338"/>
      <c r="N7803" s="362">
        <f t="shared" si="268"/>
        <v>9111</v>
      </c>
      <c r="X7803" s="339"/>
    </row>
    <row r="7804" s="330" customFormat="1" ht="15" customHeight="1" spans="1:24">
      <c r="A7804" s="550" t="s">
        <v>16661</v>
      </c>
      <c r="B7804" s="334" t="s">
        <v>315</v>
      </c>
      <c r="C7804" s="348" t="s">
        <v>161</v>
      </c>
      <c r="D7804" s="335" t="s">
        <v>162</v>
      </c>
      <c r="E7804" s="336">
        <v>43795</v>
      </c>
      <c r="F7804" s="336">
        <v>43778</v>
      </c>
      <c r="G7804" s="336">
        <v>43795</v>
      </c>
      <c r="H7804" s="334" t="s">
        <v>1349</v>
      </c>
      <c r="I7804" s="444">
        <v>13816230449</v>
      </c>
      <c r="J7804" s="348" t="s">
        <v>16662</v>
      </c>
      <c r="K7804" s="452">
        <v>9235</v>
      </c>
      <c r="L7804" s="334">
        <v>9235</v>
      </c>
      <c r="M7804" s="338"/>
      <c r="N7804" s="362">
        <f t="shared" si="268"/>
        <v>9235</v>
      </c>
      <c r="X7804" s="339"/>
    </row>
    <row r="7805" s="330" customFormat="1" ht="15" customHeight="1" spans="1:24">
      <c r="A7805" s="550" t="s">
        <v>16663</v>
      </c>
      <c r="B7805" s="334" t="s">
        <v>315</v>
      </c>
      <c r="C7805" s="348" t="s">
        <v>161</v>
      </c>
      <c r="D7805" s="334" t="s">
        <v>182</v>
      </c>
      <c r="E7805" s="336">
        <v>43793</v>
      </c>
      <c r="F7805" s="336">
        <v>43778</v>
      </c>
      <c r="G7805" s="336">
        <v>43792</v>
      </c>
      <c r="H7805" s="334" t="s">
        <v>16664</v>
      </c>
      <c r="I7805" s="444">
        <v>13817809105</v>
      </c>
      <c r="J7805" s="348" t="s">
        <v>16665</v>
      </c>
      <c r="K7805" s="452">
        <v>1000</v>
      </c>
      <c r="L7805" s="334">
        <v>6125</v>
      </c>
      <c r="M7805" s="338"/>
      <c r="N7805" s="362">
        <f t="shared" si="268"/>
        <v>6125</v>
      </c>
      <c r="X7805" s="339"/>
    </row>
    <row r="7806" s="330" customFormat="1" ht="15" customHeight="1" spans="1:24">
      <c r="A7806" s="550" t="s">
        <v>16666</v>
      </c>
      <c r="B7806" s="334" t="s">
        <v>315</v>
      </c>
      <c r="C7806" s="348" t="s">
        <v>161</v>
      </c>
      <c r="D7806" s="334" t="s">
        <v>149</v>
      </c>
      <c r="E7806" s="336">
        <v>43784</v>
      </c>
      <c r="F7806" s="336">
        <v>43778</v>
      </c>
      <c r="G7806" s="336">
        <v>43784</v>
      </c>
      <c r="H7806" s="334" t="s">
        <v>16667</v>
      </c>
      <c r="I7806" s="444">
        <v>13661759388</v>
      </c>
      <c r="J7806" s="348" t="s">
        <v>16668</v>
      </c>
      <c r="K7806" s="452">
        <v>1000</v>
      </c>
      <c r="L7806" s="334">
        <v>6898</v>
      </c>
      <c r="M7806" s="338"/>
      <c r="N7806" s="362">
        <f t="shared" si="268"/>
        <v>6898</v>
      </c>
      <c r="X7806" s="339"/>
    </row>
    <row r="7807" s="330" customFormat="1" ht="15" customHeight="1" spans="1:24">
      <c r="A7807" s="550" t="s">
        <v>16669</v>
      </c>
      <c r="B7807" s="334" t="s">
        <v>58</v>
      </c>
      <c r="C7807" s="348" t="s">
        <v>109</v>
      </c>
      <c r="D7807" s="335" t="s">
        <v>110</v>
      </c>
      <c r="E7807" s="336">
        <v>43830</v>
      </c>
      <c r="F7807" s="336">
        <v>43778</v>
      </c>
      <c r="G7807" s="336">
        <v>43830</v>
      </c>
      <c r="H7807" s="334" t="s">
        <v>1309</v>
      </c>
      <c r="I7807" s="444">
        <v>13671721939</v>
      </c>
      <c r="J7807" s="348" t="s">
        <v>16670</v>
      </c>
      <c r="K7807" s="452">
        <v>14400</v>
      </c>
      <c r="L7807" s="334">
        <v>14400</v>
      </c>
      <c r="M7807" s="338"/>
      <c r="N7807" s="362">
        <f t="shared" si="268"/>
        <v>14400</v>
      </c>
      <c r="O7807" s="365"/>
      <c r="W7807" s="471">
        <v>43829</v>
      </c>
      <c r="X7807" s="339"/>
    </row>
    <row r="7808" s="330" customFormat="1" ht="15" customHeight="1" spans="1:24">
      <c r="A7808" s="550" t="s">
        <v>16671</v>
      </c>
      <c r="B7808" s="334" t="s">
        <v>58</v>
      </c>
      <c r="C7808" s="348" t="s">
        <v>109</v>
      </c>
      <c r="D7808" s="335" t="s">
        <v>110</v>
      </c>
      <c r="E7808" s="336">
        <v>43830</v>
      </c>
      <c r="F7808" s="336">
        <v>43778</v>
      </c>
      <c r="G7808" s="336">
        <v>43830</v>
      </c>
      <c r="H7808" s="334" t="s">
        <v>16672</v>
      </c>
      <c r="I7808" s="444">
        <v>13801671247</v>
      </c>
      <c r="J7808" s="348" t="s">
        <v>16673</v>
      </c>
      <c r="K7808" s="452">
        <v>22500</v>
      </c>
      <c r="L7808" s="334">
        <v>22500</v>
      </c>
      <c r="M7808" s="338"/>
      <c r="N7808" s="362">
        <f t="shared" si="268"/>
        <v>22500</v>
      </c>
      <c r="P7808" s="365" t="s">
        <v>52</v>
      </c>
      <c r="X7808" s="339"/>
    </row>
    <row r="7809" s="330" customFormat="1" ht="15" customHeight="1" spans="1:24">
      <c r="A7809" s="550" t="s">
        <v>16674</v>
      </c>
      <c r="B7809" s="334" t="s">
        <v>315</v>
      </c>
      <c r="C7809" s="348" t="s">
        <v>161</v>
      </c>
      <c r="D7809" s="335" t="s">
        <v>162</v>
      </c>
      <c r="E7809" s="336">
        <v>43779</v>
      </c>
      <c r="F7809" s="336">
        <v>43778</v>
      </c>
      <c r="G7809" s="399"/>
      <c r="H7809" s="334" t="s">
        <v>715</v>
      </c>
      <c r="I7809" s="444">
        <v>13621822212</v>
      </c>
      <c r="J7809" s="348" t="s">
        <v>16675</v>
      </c>
      <c r="K7809" s="452">
        <v>1000</v>
      </c>
      <c r="L7809" s="338"/>
      <c r="M7809" s="338"/>
      <c r="N7809" s="362">
        <f t="shared" si="268"/>
        <v>0</v>
      </c>
      <c r="U7809" s="330" t="s">
        <v>11374</v>
      </c>
      <c r="X7809" s="339"/>
    </row>
    <row r="7810" s="330" customFormat="1" ht="15" customHeight="1" spans="1:24">
      <c r="A7810" s="550" t="s">
        <v>16676</v>
      </c>
      <c r="B7810" s="334" t="s">
        <v>137</v>
      </c>
      <c r="C7810" s="348" t="s">
        <v>2705</v>
      </c>
      <c r="D7810" s="335" t="s">
        <v>443</v>
      </c>
      <c r="E7810" s="336">
        <v>43779</v>
      </c>
      <c r="F7810" s="336">
        <v>43778</v>
      </c>
      <c r="G7810" s="399"/>
      <c r="H7810" s="334" t="s">
        <v>16677</v>
      </c>
      <c r="I7810" s="444">
        <v>13585592480</v>
      </c>
      <c r="J7810" s="348" t="s">
        <v>16678</v>
      </c>
      <c r="K7810" s="452">
        <v>19800</v>
      </c>
      <c r="L7810" s="338"/>
      <c r="M7810" s="338"/>
      <c r="N7810" s="362">
        <f t="shared" si="268"/>
        <v>0</v>
      </c>
      <c r="R7810" s="330">
        <v>1</v>
      </c>
      <c r="X7810" s="339"/>
    </row>
    <row r="7811" s="330" customFormat="1" ht="15" customHeight="1" spans="1:24">
      <c r="A7811" s="348"/>
      <c r="B7811" s="334" t="s">
        <v>137</v>
      </c>
      <c r="C7811" s="348" t="s">
        <v>2705</v>
      </c>
      <c r="D7811" s="334" t="s">
        <v>2381</v>
      </c>
      <c r="E7811" s="336">
        <v>43795</v>
      </c>
      <c r="F7811" s="336">
        <v>43772</v>
      </c>
      <c r="G7811" s="336">
        <v>43793</v>
      </c>
      <c r="H7811" s="334" t="s">
        <v>15467</v>
      </c>
      <c r="I7811" s="438">
        <v>13816222174</v>
      </c>
      <c r="J7811" s="348" t="s">
        <v>16679</v>
      </c>
      <c r="K7811" s="452">
        <v>1000</v>
      </c>
      <c r="L7811" s="334">
        <v>20800</v>
      </c>
      <c r="M7811" s="338"/>
      <c r="N7811" s="362">
        <f t="shared" si="268"/>
        <v>20800</v>
      </c>
      <c r="S7811" s="330">
        <v>1</v>
      </c>
      <c r="X7811" s="339"/>
    </row>
    <row r="7812" s="330" customFormat="1" ht="15" customHeight="1" spans="1:24">
      <c r="A7812" s="348"/>
      <c r="B7812" s="334" t="s">
        <v>147</v>
      </c>
      <c r="C7812" s="348" t="s">
        <v>13719</v>
      </c>
      <c r="D7812" s="334" t="s">
        <v>207</v>
      </c>
      <c r="E7812" s="336">
        <v>43799</v>
      </c>
      <c r="F7812" s="336">
        <v>43778</v>
      </c>
      <c r="G7812" s="336">
        <v>43799</v>
      </c>
      <c r="H7812" s="334" t="s">
        <v>16680</v>
      </c>
      <c r="I7812" s="444">
        <v>15216846049</v>
      </c>
      <c r="J7812" s="348" t="s">
        <v>16681</v>
      </c>
      <c r="K7812" s="452">
        <v>7000</v>
      </c>
      <c r="L7812" s="334">
        <v>8153</v>
      </c>
      <c r="M7812" s="338"/>
      <c r="N7812" s="362">
        <f t="shared" si="268"/>
        <v>8153</v>
      </c>
      <c r="X7812" s="339"/>
    </row>
    <row r="7813" s="330" customFormat="1" ht="15" customHeight="1" spans="1:24">
      <c r="A7813" s="348">
        <v>2019342</v>
      </c>
      <c r="B7813" s="334" t="s">
        <v>42</v>
      </c>
      <c r="C7813" s="348" t="s">
        <v>43</v>
      </c>
      <c r="D7813" s="334" t="s">
        <v>207</v>
      </c>
      <c r="E7813" s="336">
        <v>43798</v>
      </c>
      <c r="F7813" s="336">
        <v>43770</v>
      </c>
      <c r="G7813" s="336">
        <v>43798</v>
      </c>
      <c r="H7813" s="334" t="s">
        <v>715</v>
      </c>
      <c r="I7813" s="444">
        <v>13621961221</v>
      </c>
      <c r="J7813" s="348" t="s">
        <v>16682</v>
      </c>
      <c r="K7813" s="452">
        <v>5000</v>
      </c>
      <c r="L7813" s="334">
        <v>4934</v>
      </c>
      <c r="M7813" s="338"/>
      <c r="N7813" s="362">
        <f t="shared" si="268"/>
        <v>4934</v>
      </c>
      <c r="X7813" s="339"/>
    </row>
    <row r="7814" s="330" customFormat="1" customHeight="1" spans="1:24">
      <c r="A7814" s="550" t="s">
        <v>16683</v>
      </c>
      <c r="B7814" s="334" t="s">
        <v>236</v>
      </c>
      <c r="C7814" s="348" t="s">
        <v>703</v>
      </c>
      <c r="D7814" s="335" t="s">
        <v>237</v>
      </c>
      <c r="E7814" s="336">
        <v>43779</v>
      </c>
      <c r="F7814" s="336">
        <v>43777</v>
      </c>
      <c r="G7814" s="399"/>
      <c r="H7814" s="334" t="s">
        <v>16684</v>
      </c>
      <c r="I7814" s="444">
        <v>17721175976</v>
      </c>
      <c r="J7814" s="348" t="s">
        <v>16685</v>
      </c>
      <c r="K7814" s="452">
        <v>2000</v>
      </c>
      <c r="L7814" s="338"/>
      <c r="M7814" s="338"/>
      <c r="N7814" s="362">
        <f t="shared" si="268"/>
        <v>0</v>
      </c>
      <c r="O7814" s="353" t="s">
        <v>4314</v>
      </c>
      <c r="X7814" s="339"/>
    </row>
    <row r="7815" s="330" customFormat="1" ht="15" customHeight="1" spans="1:24">
      <c r="A7815" s="550" t="s">
        <v>16686</v>
      </c>
      <c r="B7815" s="334" t="s">
        <v>236</v>
      </c>
      <c r="C7815" s="348" t="s">
        <v>703</v>
      </c>
      <c r="D7815" s="335" t="s">
        <v>125</v>
      </c>
      <c r="E7815" s="336">
        <v>43799</v>
      </c>
      <c r="F7815" s="336">
        <v>43778</v>
      </c>
      <c r="G7815" s="336">
        <v>43798</v>
      </c>
      <c r="H7815" s="334" t="s">
        <v>16687</v>
      </c>
      <c r="I7815" s="444">
        <v>13817228837</v>
      </c>
      <c r="J7815" s="348" t="s">
        <v>16688</v>
      </c>
      <c r="K7815" s="452">
        <v>14000</v>
      </c>
      <c r="L7815" s="334">
        <v>14000</v>
      </c>
      <c r="M7815" s="338"/>
      <c r="N7815" s="362">
        <f t="shared" si="268"/>
        <v>14000</v>
      </c>
      <c r="X7815" s="339"/>
    </row>
    <row r="7816" s="330" customFormat="1" ht="15" customHeight="1" spans="1:24">
      <c r="A7816" s="550" t="s">
        <v>9857</v>
      </c>
      <c r="B7816" s="334" t="s">
        <v>185</v>
      </c>
      <c r="C7816" s="348" t="s">
        <v>886</v>
      </c>
      <c r="D7816" s="334" t="s">
        <v>44</v>
      </c>
      <c r="E7816" s="336">
        <v>43779</v>
      </c>
      <c r="F7816" s="336">
        <v>43778</v>
      </c>
      <c r="G7816" s="336">
        <v>43778</v>
      </c>
      <c r="H7816" s="334" t="s">
        <v>16689</v>
      </c>
      <c r="I7816" s="426">
        <v>15900406555</v>
      </c>
      <c r="J7816" s="348" t="s">
        <v>16690</v>
      </c>
      <c r="K7816" s="452">
        <v>4000</v>
      </c>
      <c r="L7816" s="334">
        <v>4000</v>
      </c>
      <c r="M7816" s="338"/>
      <c r="N7816" s="362">
        <f t="shared" si="268"/>
        <v>4000</v>
      </c>
      <c r="X7816" s="339"/>
    </row>
    <row r="7817" s="330" customFormat="1" ht="15" customHeight="1" spans="1:24">
      <c r="A7817" s="550" t="s">
        <v>14405</v>
      </c>
      <c r="B7817" s="334" t="s">
        <v>236</v>
      </c>
      <c r="C7817" s="348" t="s">
        <v>703</v>
      </c>
      <c r="D7817" s="335" t="s">
        <v>125</v>
      </c>
      <c r="E7817" s="336">
        <v>43799</v>
      </c>
      <c r="F7817" s="336">
        <v>43778</v>
      </c>
      <c r="G7817" s="336">
        <v>43798</v>
      </c>
      <c r="H7817" s="334" t="s">
        <v>16691</v>
      </c>
      <c r="I7817" s="444">
        <v>18001794563</v>
      </c>
      <c r="J7817" s="348" t="s">
        <v>16692</v>
      </c>
      <c r="K7817" s="452">
        <v>8857</v>
      </c>
      <c r="L7817" s="334">
        <v>8857</v>
      </c>
      <c r="M7817" s="338"/>
      <c r="N7817" s="362">
        <f t="shared" ref="N7817:N7847" si="269">L7817+M7817</f>
        <v>8857</v>
      </c>
      <c r="X7817" s="339"/>
    </row>
    <row r="7818" s="330" customFormat="1" ht="15" customHeight="1" spans="1:24">
      <c r="A7818" s="550" t="s">
        <v>16693</v>
      </c>
      <c r="B7818" s="334" t="s">
        <v>236</v>
      </c>
      <c r="C7818" s="348" t="s">
        <v>195</v>
      </c>
      <c r="D7818" s="334" t="s">
        <v>207</v>
      </c>
      <c r="E7818" s="336">
        <v>43789</v>
      </c>
      <c r="F7818" s="336">
        <v>43778</v>
      </c>
      <c r="G7818" s="336">
        <v>43788</v>
      </c>
      <c r="H7818" s="334" t="s">
        <v>16694</v>
      </c>
      <c r="I7818" s="444">
        <v>13161377249</v>
      </c>
      <c r="J7818" s="348" t="s">
        <v>16695</v>
      </c>
      <c r="K7818" s="452">
        <v>7608</v>
      </c>
      <c r="L7818" s="334">
        <v>8453</v>
      </c>
      <c r="M7818" s="338"/>
      <c r="N7818" s="362">
        <f t="shared" si="269"/>
        <v>8453</v>
      </c>
      <c r="X7818" s="339"/>
    </row>
    <row r="7819" s="330" customFormat="1" customHeight="1" spans="1:24">
      <c r="A7819" s="550" t="s">
        <v>16696</v>
      </c>
      <c r="B7819" s="334" t="s">
        <v>236</v>
      </c>
      <c r="C7819" s="348" t="s">
        <v>195</v>
      </c>
      <c r="D7819" s="335" t="s">
        <v>237</v>
      </c>
      <c r="E7819" s="336">
        <v>43779</v>
      </c>
      <c r="F7819" s="336">
        <v>43778</v>
      </c>
      <c r="G7819" s="399"/>
      <c r="H7819" s="334" t="s">
        <v>2904</v>
      </c>
      <c r="I7819" s="444">
        <v>17898800361</v>
      </c>
      <c r="J7819" s="348" t="s">
        <v>16697</v>
      </c>
      <c r="K7819" s="452">
        <v>1000</v>
      </c>
      <c r="L7819" s="338"/>
      <c r="M7819" s="338"/>
      <c r="N7819" s="362">
        <f t="shared" si="269"/>
        <v>0</v>
      </c>
      <c r="Q7819" s="356" t="s">
        <v>52</v>
      </c>
      <c r="X7819" s="339"/>
    </row>
    <row r="7820" s="330" customFormat="1" ht="15" customHeight="1" spans="1:24">
      <c r="A7820" s="550" t="s">
        <v>14400</v>
      </c>
      <c r="B7820" s="334" t="s">
        <v>236</v>
      </c>
      <c r="C7820" s="348" t="s">
        <v>703</v>
      </c>
      <c r="D7820" s="335" t="s">
        <v>125</v>
      </c>
      <c r="E7820" s="336">
        <v>43797</v>
      </c>
      <c r="F7820" s="336">
        <v>43778</v>
      </c>
      <c r="G7820" s="336">
        <v>43796</v>
      </c>
      <c r="H7820" s="334" t="s">
        <v>16698</v>
      </c>
      <c r="I7820" s="444">
        <v>13817487743</v>
      </c>
      <c r="J7820" s="348" t="s">
        <v>16699</v>
      </c>
      <c r="K7820" s="452">
        <v>3025</v>
      </c>
      <c r="L7820" s="334">
        <v>3025</v>
      </c>
      <c r="M7820" s="338"/>
      <c r="N7820" s="362">
        <f t="shared" si="269"/>
        <v>3025</v>
      </c>
      <c r="X7820" s="339"/>
    </row>
    <row r="7821" s="330" customFormat="1" ht="15" customHeight="1" spans="1:24">
      <c r="A7821" s="550" t="s">
        <v>2805</v>
      </c>
      <c r="B7821" s="334" t="s">
        <v>185</v>
      </c>
      <c r="C7821" s="348" t="s">
        <v>886</v>
      </c>
      <c r="D7821" s="335" t="s">
        <v>187</v>
      </c>
      <c r="E7821" s="336">
        <v>43789</v>
      </c>
      <c r="F7821" s="336">
        <v>43778</v>
      </c>
      <c r="G7821" s="336">
        <v>43789</v>
      </c>
      <c r="H7821" s="334" t="s">
        <v>16700</v>
      </c>
      <c r="I7821" s="444">
        <v>13601991848</v>
      </c>
      <c r="J7821" s="348" t="s">
        <v>16701</v>
      </c>
      <c r="K7821" s="452">
        <v>1000</v>
      </c>
      <c r="L7821" s="334">
        <f>-2580+19411</f>
        <v>16831</v>
      </c>
      <c r="M7821" s="338"/>
      <c r="N7821" s="362">
        <f t="shared" si="269"/>
        <v>16831</v>
      </c>
      <c r="X7821" s="339"/>
    </row>
    <row r="7822" s="330" customFormat="1" ht="15" customHeight="1" spans="1:24">
      <c r="A7822" s="550" t="s">
        <v>2297</v>
      </c>
      <c r="B7822" s="334" t="s">
        <v>153</v>
      </c>
      <c r="C7822" s="348" t="s">
        <v>302</v>
      </c>
      <c r="D7822" s="335" t="s">
        <v>155</v>
      </c>
      <c r="E7822" s="336">
        <v>43779</v>
      </c>
      <c r="F7822" s="336">
        <v>43778</v>
      </c>
      <c r="G7822" s="353"/>
      <c r="H7822" s="334" t="s">
        <v>16702</v>
      </c>
      <c r="I7822" s="444">
        <v>13524444158</v>
      </c>
      <c r="J7822" s="348" t="s">
        <v>16703</v>
      </c>
      <c r="K7822" s="452">
        <v>1000</v>
      </c>
      <c r="L7822" s="338"/>
      <c r="M7822" s="338"/>
      <c r="N7822" s="362">
        <f t="shared" si="269"/>
        <v>0</v>
      </c>
      <c r="V7822" s="353" t="s">
        <v>2494</v>
      </c>
      <c r="W7822" s="353">
        <v>11.27</v>
      </c>
      <c r="X7822" s="339"/>
    </row>
    <row r="7823" s="330" customFormat="1" ht="15" customHeight="1" spans="1:24">
      <c r="A7823" s="550" t="s">
        <v>14164</v>
      </c>
      <c r="B7823" s="334" t="s">
        <v>58</v>
      </c>
      <c r="C7823" s="348" t="s">
        <v>794</v>
      </c>
      <c r="D7823" s="334" t="s">
        <v>271</v>
      </c>
      <c r="E7823" s="336">
        <v>43825</v>
      </c>
      <c r="F7823" s="336">
        <v>43777</v>
      </c>
      <c r="G7823" s="336">
        <v>43824</v>
      </c>
      <c r="H7823" s="334" t="s">
        <v>16704</v>
      </c>
      <c r="I7823" s="444">
        <v>13801959553</v>
      </c>
      <c r="J7823" s="348" t="s">
        <v>16705</v>
      </c>
      <c r="K7823" s="452">
        <v>1999</v>
      </c>
      <c r="L7823" s="334">
        <v>7300</v>
      </c>
      <c r="M7823" s="338"/>
      <c r="N7823" s="362">
        <f t="shared" si="269"/>
        <v>7300</v>
      </c>
      <c r="Q7823" s="365" t="s">
        <v>52</v>
      </c>
      <c r="X7823" s="339"/>
    </row>
    <row r="7824" s="330" customFormat="1" ht="15" customHeight="1" spans="1:24">
      <c r="A7824" s="550" t="s">
        <v>997</v>
      </c>
      <c r="B7824" s="334" t="s">
        <v>58</v>
      </c>
      <c r="C7824" s="348" t="s">
        <v>794</v>
      </c>
      <c r="D7824" s="334" t="s">
        <v>271</v>
      </c>
      <c r="E7824" s="336">
        <v>43812</v>
      </c>
      <c r="F7824" s="336">
        <v>43774</v>
      </c>
      <c r="G7824" s="336">
        <v>43811</v>
      </c>
      <c r="H7824" s="334" t="s">
        <v>16706</v>
      </c>
      <c r="I7824" s="444">
        <v>18817555543</v>
      </c>
      <c r="J7824" s="348" t="s">
        <v>16707</v>
      </c>
      <c r="K7824" s="452">
        <v>2099</v>
      </c>
      <c r="L7824" s="334">
        <v>9528</v>
      </c>
      <c r="M7824" s="338"/>
      <c r="N7824" s="362">
        <f t="shared" si="269"/>
        <v>9528</v>
      </c>
      <c r="Q7824" s="365" t="s">
        <v>52</v>
      </c>
      <c r="X7824" s="339"/>
    </row>
    <row r="7825" s="330" customFormat="1" ht="15" customHeight="1" spans="1:24">
      <c r="A7825" s="550" t="s">
        <v>16708</v>
      </c>
      <c r="B7825" s="334" t="s">
        <v>169</v>
      </c>
      <c r="C7825" s="348" t="s">
        <v>634</v>
      </c>
      <c r="D7825" s="335" t="s">
        <v>635</v>
      </c>
      <c r="E7825" s="336">
        <v>43796</v>
      </c>
      <c r="F7825" s="336">
        <v>43778</v>
      </c>
      <c r="G7825" s="336">
        <v>43795</v>
      </c>
      <c r="H7825" s="334" t="s">
        <v>16709</v>
      </c>
      <c r="I7825" s="444">
        <v>18918109533</v>
      </c>
      <c r="J7825" s="348" t="s">
        <v>16710</v>
      </c>
      <c r="K7825" s="452">
        <v>10000</v>
      </c>
      <c r="L7825" s="334">
        <v>15075</v>
      </c>
      <c r="M7825" s="338"/>
      <c r="N7825" s="362">
        <f t="shared" si="269"/>
        <v>15075</v>
      </c>
      <c r="O7825" s="353" t="s">
        <v>19</v>
      </c>
      <c r="X7825" s="339"/>
    </row>
    <row r="7826" s="330" customFormat="1" ht="15" customHeight="1" spans="1:24">
      <c r="A7826" s="550" t="s">
        <v>16711</v>
      </c>
      <c r="B7826" s="334" t="s">
        <v>169</v>
      </c>
      <c r="C7826" s="348" t="s">
        <v>634</v>
      </c>
      <c r="D7826" s="334" t="s">
        <v>75</v>
      </c>
      <c r="E7826" s="336">
        <v>43801</v>
      </c>
      <c r="F7826" s="336">
        <v>43778</v>
      </c>
      <c r="G7826" s="336">
        <v>43800</v>
      </c>
      <c r="H7826" s="334" t="s">
        <v>5702</v>
      </c>
      <c r="I7826" s="444">
        <v>18502143399</v>
      </c>
      <c r="J7826" s="348" t="s">
        <v>16712</v>
      </c>
      <c r="K7826" s="452">
        <v>24300</v>
      </c>
      <c r="L7826" s="334">
        <v>28012</v>
      </c>
      <c r="M7826" s="338"/>
      <c r="N7826" s="362">
        <f t="shared" si="269"/>
        <v>28012</v>
      </c>
      <c r="V7826" s="353" t="s">
        <v>1481</v>
      </c>
      <c r="X7826" s="339"/>
    </row>
    <row r="7827" s="330" customFormat="1" ht="15" customHeight="1" spans="1:24">
      <c r="A7827" s="550" t="s">
        <v>5129</v>
      </c>
      <c r="B7827" s="334" t="s">
        <v>169</v>
      </c>
      <c r="C7827" s="348" t="s">
        <v>634</v>
      </c>
      <c r="D7827" s="335" t="s">
        <v>635</v>
      </c>
      <c r="E7827" s="336">
        <v>43790</v>
      </c>
      <c r="F7827" s="336">
        <v>43778</v>
      </c>
      <c r="G7827" s="336">
        <v>43787</v>
      </c>
      <c r="H7827" s="334" t="s">
        <v>16713</v>
      </c>
      <c r="I7827" s="444">
        <v>13501839786</v>
      </c>
      <c r="J7827" s="348" t="s">
        <v>16714</v>
      </c>
      <c r="K7827" s="452">
        <v>11700</v>
      </c>
      <c r="L7827" s="334">
        <v>13464</v>
      </c>
      <c r="M7827" s="338"/>
      <c r="N7827" s="362">
        <f t="shared" si="269"/>
        <v>13464</v>
      </c>
      <c r="X7827" s="339"/>
    </row>
    <row r="7828" s="330" customFormat="1" ht="15" customHeight="1" spans="1:24">
      <c r="A7828" s="550" t="s">
        <v>8761</v>
      </c>
      <c r="B7828" s="334" t="s">
        <v>137</v>
      </c>
      <c r="C7828" s="348" t="s">
        <v>480</v>
      </c>
      <c r="D7828" s="334" t="s">
        <v>2381</v>
      </c>
      <c r="E7828" s="336">
        <v>43784</v>
      </c>
      <c r="F7828" s="336">
        <v>43779</v>
      </c>
      <c r="G7828" s="336">
        <v>43781</v>
      </c>
      <c r="H7828" s="334" t="s">
        <v>16715</v>
      </c>
      <c r="I7828" s="444">
        <v>13761825402</v>
      </c>
      <c r="J7828" s="348" t="s">
        <v>16716</v>
      </c>
      <c r="K7828" s="452">
        <v>9000</v>
      </c>
      <c r="L7828" s="334">
        <v>9800</v>
      </c>
      <c r="M7828" s="338"/>
      <c r="N7828" s="362">
        <f t="shared" si="269"/>
        <v>9800</v>
      </c>
      <c r="X7828" s="339"/>
    </row>
    <row r="7829" s="330" customFormat="1" ht="15" customHeight="1" spans="1:24">
      <c r="A7829" s="550" t="s">
        <v>16717</v>
      </c>
      <c r="B7829" s="334" t="s">
        <v>726</v>
      </c>
      <c r="C7829" s="348" t="s">
        <v>727</v>
      </c>
      <c r="D7829" s="334" t="s">
        <v>271</v>
      </c>
      <c r="E7829" s="336">
        <v>43799</v>
      </c>
      <c r="F7829" s="336">
        <v>43775</v>
      </c>
      <c r="G7829" s="336">
        <v>43798</v>
      </c>
      <c r="H7829" s="334" t="s">
        <v>16718</v>
      </c>
      <c r="I7829" s="444">
        <v>13601980034</v>
      </c>
      <c r="J7829" s="348" t="s">
        <v>16719</v>
      </c>
      <c r="K7829" s="452">
        <v>15000</v>
      </c>
      <c r="L7829" s="334">
        <v>15000</v>
      </c>
      <c r="M7829" s="338"/>
      <c r="N7829" s="362">
        <f t="shared" si="269"/>
        <v>15000</v>
      </c>
      <c r="V7829" s="471">
        <v>43791</v>
      </c>
      <c r="X7829" s="339"/>
    </row>
    <row r="7830" s="330" customFormat="1" ht="15" customHeight="1" spans="1:24">
      <c r="A7830" s="550" t="s">
        <v>16720</v>
      </c>
      <c r="B7830" s="334" t="s">
        <v>137</v>
      </c>
      <c r="C7830" s="348" t="s">
        <v>406</v>
      </c>
      <c r="D7830" s="334" t="s">
        <v>2381</v>
      </c>
      <c r="E7830" s="336">
        <v>43787</v>
      </c>
      <c r="F7830" s="336">
        <v>43779</v>
      </c>
      <c r="G7830" s="336">
        <v>43785</v>
      </c>
      <c r="H7830" s="334" t="s">
        <v>2904</v>
      </c>
      <c r="I7830" s="444">
        <v>13916366725</v>
      </c>
      <c r="J7830" s="348" t="s">
        <v>16721</v>
      </c>
      <c r="K7830" s="452">
        <v>1000</v>
      </c>
      <c r="L7830" s="334">
        <v>30451</v>
      </c>
      <c r="M7830" s="338"/>
      <c r="N7830" s="362">
        <f t="shared" si="269"/>
        <v>30451</v>
      </c>
      <c r="X7830" s="339"/>
    </row>
    <row r="7831" s="330" customFormat="1" ht="15" customHeight="1" spans="1:24">
      <c r="A7831" s="550" t="s">
        <v>4491</v>
      </c>
      <c r="B7831" s="334" t="s">
        <v>31</v>
      </c>
      <c r="C7831" s="348" t="s">
        <v>220</v>
      </c>
      <c r="D7831" s="335" t="s">
        <v>221</v>
      </c>
      <c r="E7831" s="336">
        <v>43789</v>
      </c>
      <c r="F7831" s="336">
        <v>43779</v>
      </c>
      <c r="G7831" s="336">
        <v>43789</v>
      </c>
      <c r="H7831" s="334" t="s">
        <v>16722</v>
      </c>
      <c r="I7831" s="444">
        <v>15317585510</v>
      </c>
      <c r="J7831" s="348" t="s">
        <v>16723</v>
      </c>
      <c r="K7831" s="452">
        <v>1000</v>
      </c>
      <c r="L7831" s="334">
        <v>12151</v>
      </c>
      <c r="M7831" s="338"/>
      <c r="N7831" s="362">
        <f t="shared" si="269"/>
        <v>12151</v>
      </c>
      <c r="X7831" s="339"/>
    </row>
    <row r="7832" s="330" customFormat="1" ht="15" customHeight="1" spans="1:24">
      <c r="A7832" s="550" t="s">
        <v>16724</v>
      </c>
      <c r="B7832" s="334" t="s">
        <v>31</v>
      </c>
      <c r="C7832" s="348" t="s">
        <v>13171</v>
      </c>
      <c r="D7832" s="335" t="s">
        <v>221</v>
      </c>
      <c r="E7832" s="336">
        <v>43779</v>
      </c>
      <c r="F7832" s="336">
        <v>43778</v>
      </c>
      <c r="G7832" s="399"/>
      <c r="H7832" s="334" t="s">
        <v>16725</v>
      </c>
      <c r="I7832" s="444">
        <v>18301935872</v>
      </c>
      <c r="J7832" s="348" t="s">
        <v>16726</v>
      </c>
      <c r="K7832" s="452">
        <v>1000</v>
      </c>
      <c r="L7832" s="338"/>
      <c r="M7832" s="338"/>
      <c r="N7832" s="362">
        <f t="shared" si="269"/>
        <v>0</v>
      </c>
      <c r="U7832" s="353" t="s">
        <v>63</v>
      </c>
      <c r="X7832" s="339"/>
    </row>
    <row r="7833" s="330" customFormat="1" ht="15" customHeight="1" spans="1:24">
      <c r="A7833" s="550" t="s">
        <v>16727</v>
      </c>
      <c r="B7833" s="334" t="s">
        <v>137</v>
      </c>
      <c r="C7833" s="348" t="s">
        <v>411</v>
      </c>
      <c r="D7833" s="334" t="s">
        <v>2381</v>
      </c>
      <c r="E7833" s="336">
        <v>43829</v>
      </c>
      <c r="F7833" s="336">
        <v>43779</v>
      </c>
      <c r="G7833" s="336">
        <v>43829</v>
      </c>
      <c r="H7833" s="334" t="s">
        <v>16728</v>
      </c>
      <c r="I7833" s="444">
        <v>19901702022</v>
      </c>
      <c r="J7833" s="348" t="s">
        <v>16729</v>
      </c>
      <c r="K7833" s="452">
        <v>6300</v>
      </c>
      <c r="L7833" s="334">
        <v>7737</v>
      </c>
      <c r="M7833" s="338"/>
      <c r="N7833" s="362">
        <f t="shared" si="269"/>
        <v>7737</v>
      </c>
      <c r="O7833" s="353" t="s">
        <v>12252</v>
      </c>
      <c r="X7833" s="339"/>
    </row>
    <row r="7834" s="330" customFormat="1" ht="15" customHeight="1" spans="1:24">
      <c r="A7834" s="550" t="s">
        <v>16730</v>
      </c>
      <c r="B7834" s="334" t="s">
        <v>169</v>
      </c>
      <c r="C7834" s="348" t="s">
        <v>542</v>
      </c>
      <c r="D7834" s="335" t="s">
        <v>171</v>
      </c>
      <c r="E7834" s="336">
        <v>43838</v>
      </c>
      <c r="F7834" s="336">
        <v>43779</v>
      </c>
      <c r="G7834" s="336">
        <v>43838</v>
      </c>
      <c r="H7834" s="334" t="s">
        <v>16731</v>
      </c>
      <c r="I7834" s="444">
        <v>1380762665</v>
      </c>
      <c r="J7834" s="348" t="s">
        <v>16732</v>
      </c>
      <c r="K7834" s="452">
        <v>1000</v>
      </c>
      <c r="L7834" s="334">
        <v>13185</v>
      </c>
      <c r="M7834" s="338"/>
      <c r="N7834" s="362">
        <f t="shared" si="269"/>
        <v>13185</v>
      </c>
      <c r="O7834" s="353" t="s">
        <v>16733</v>
      </c>
      <c r="X7834" s="339"/>
    </row>
    <row r="7835" s="330" customFormat="1" ht="15" customHeight="1" spans="1:24">
      <c r="A7835" s="550" t="s">
        <v>15226</v>
      </c>
      <c r="B7835" s="334" t="s">
        <v>153</v>
      </c>
      <c r="C7835" s="348" t="s">
        <v>302</v>
      </c>
      <c r="D7835" s="335" t="s">
        <v>155</v>
      </c>
      <c r="E7835" s="336">
        <v>43779</v>
      </c>
      <c r="F7835" s="336">
        <v>43779</v>
      </c>
      <c r="G7835" s="399"/>
      <c r="H7835" s="334" t="s">
        <v>16734</v>
      </c>
      <c r="I7835" s="444">
        <v>13701916507</v>
      </c>
      <c r="J7835" s="348" t="s">
        <v>16735</v>
      </c>
      <c r="K7835" s="452">
        <v>1000</v>
      </c>
      <c r="L7835" s="338"/>
      <c r="M7835" s="338"/>
      <c r="N7835" s="362">
        <f t="shared" si="269"/>
        <v>0</v>
      </c>
      <c r="R7835" s="467" t="s">
        <v>52</v>
      </c>
      <c r="U7835" s="353" t="s">
        <v>16736</v>
      </c>
      <c r="X7835" s="339"/>
    </row>
    <row r="7836" s="330" customFormat="1" ht="15" customHeight="1" spans="1:24">
      <c r="A7836" s="550" t="s">
        <v>1666</v>
      </c>
      <c r="B7836" s="334" t="s">
        <v>31</v>
      </c>
      <c r="C7836" s="348" t="s">
        <v>220</v>
      </c>
      <c r="D7836" s="335" t="s">
        <v>221</v>
      </c>
      <c r="E7836" s="336">
        <v>43779</v>
      </c>
      <c r="F7836" s="336">
        <v>43779</v>
      </c>
      <c r="G7836" s="399"/>
      <c r="H7836" s="334" t="s">
        <v>16737</v>
      </c>
      <c r="I7836" s="444">
        <v>15921113458</v>
      </c>
      <c r="J7836" s="348" t="s">
        <v>16738</v>
      </c>
      <c r="K7836" s="452">
        <v>1000</v>
      </c>
      <c r="L7836" s="338"/>
      <c r="M7836" s="338"/>
      <c r="N7836" s="362">
        <f t="shared" si="269"/>
        <v>0</v>
      </c>
      <c r="P7836" s="366" t="s">
        <v>52</v>
      </c>
      <c r="X7836" s="339"/>
    </row>
    <row r="7837" s="330" customFormat="1" ht="15" customHeight="1" spans="1:24">
      <c r="A7837" s="550" t="s">
        <v>1233</v>
      </c>
      <c r="B7837" s="334" t="s">
        <v>153</v>
      </c>
      <c r="C7837" s="348" t="s">
        <v>302</v>
      </c>
      <c r="D7837" s="335" t="s">
        <v>155</v>
      </c>
      <c r="E7837" s="336">
        <v>43779</v>
      </c>
      <c r="F7837" s="336">
        <v>43779</v>
      </c>
      <c r="G7837" s="399"/>
      <c r="H7837" s="334" t="s">
        <v>1336</v>
      </c>
      <c r="I7837" s="444">
        <v>13564293886</v>
      </c>
      <c r="J7837" s="348" t="s">
        <v>16739</v>
      </c>
      <c r="K7837" s="452">
        <v>1000</v>
      </c>
      <c r="L7837" s="338"/>
      <c r="M7837" s="338"/>
      <c r="N7837" s="362">
        <f t="shared" si="269"/>
        <v>0</v>
      </c>
      <c r="R7837" s="467" t="s">
        <v>52</v>
      </c>
      <c r="X7837" s="339"/>
    </row>
    <row r="7838" s="330" customFormat="1" ht="15" customHeight="1" spans="1:24">
      <c r="A7838" s="550" t="s">
        <v>13410</v>
      </c>
      <c r="B7838" s="334" t="s">
        <v>35</v>
      </c>
      <c r="C7838" s="348" t="s">
        <v>36</v>
      </c>
      <c r="D7838" s="335" t="s">
        <v>37</v>
      </c>
      <c r="E7838" s="336">
        <v>43800</v>
      </c>
      <c r="F7838" s="336">
        <v>43779</v>
      </c>
      <c r="G7838" s="336">
        <v>43800</v>
      </c>
      <c r="H7838" s="334" t="s">
        <v>16740</v>
      </c>
      <c r="I7838" s="444">
        <v>13818881986</v>
      </c>
      <c r="J7838" s="348" t="s">
        <v>16741</v>
      </c>
      <c r="K7838" s="452">
        <v>3000</v>
      </c>
      <c r="L7838" s="334">
        <v>29129</v>
      </c>
      <c r="M7838" s="338"/>
      <c r="N7838" s="362">
        <f t="shared" si="269"/>
        <v>29129</v>
      </c>
      <c r="Q7838" s="356" t="s">
        <v>52</v>
      </c>
      <c r="X7838" s="339"/>
    </row>
    <row r="7839" s="330" customFormat="1" ht="15" customHeight="1" spans="1:24">
      <c r="A7839" s="348">
        <v>2024274</v>
      </c>
      <c r="B7839" s="334" t="s">
        <v>335</v>
      </c>
      <c r="C7839" s="348" t="s">
        <v>615</v>
      </c>
      <c r="D7839" s="335" t="s">
        <v>337</v>
      </c>
      <c r="E7839" s="336">
        <v>43779</v>
      </c>
      <c r="F7839" s="336">
        <v>43778</v>
      </c>
      <c r="G7839" s="399"/>
      <c r="H7839" s="334" t="s">
        <v>16243</v>
      </c>
      <c r="I7839" s="444">
        <v>13788989879</v>
      </c>
      <c r="J7839" s="348" t="s">
        <v>16742</v>
      </c>
      <c r="K7839" s="452">
        <v>1000</v>
      </c>
      <c r="L7839" s="338"/>
      <c r="M7839" s="338"/>
      <c r="N7839" s="362">
        <f t="shared" si="269"/>
        <v>0</v>
      </c>
      <c r="O7839" s="356" t="s">
        <v>4960</v>
      </c>
      <c r="X7839" s="339"/>
    </row>
    <row r="7840" s="330" customFormat="1" ht="15" customHeight="1" spans="1:24">
      <c r="A7840" s="550" t="s">
        <v>10924</v>
      </c>
      <c r="B7840" s="334" t="s">
        <v>185</v>
      </c>
      <c r="C7840" s="348" t="s">
        <v>1204</v>
      </c>
      <c r="D7840" s="335" t="s">
        <v>44</v>
      </c>
      <c r="E7840" s="336">
        <v>43830</v>
      </c>
      <c r="F7840" s="336">
        <v>43779</v>
      </c>
      <c r="G7840" s="336">
        <v>43830</v>
      </c>
      <c r="H7840" s="334" t="s">
        <v>16743</v>
      </c>
      <c r="I7840" s="444">
        <v>13918797924</v>
      </c>
      <c r="J7840" s="348" t="s">
        <v>16744</v>
      </c>
      <c r="K7840" s="452">
        <v>1000</v>
      </c>
      <c r="L7840" s="334">
        <v>9000</v>
      </c>
      <c r="M7840" s="338"/>
      <c r="N7840" s="362">
        <f t="shared" si="269"/>
        <v>9000</v>
      </c>
      <c r="O7840" s="356" t="s">
        <v>52</v>
      </c>
      <c r="X7840" s="339"/>
    </row>
    <row r="7841" s="330" customFormat="1" ht="15" customHeight="1" spans="1:24">
      <c r="A7841" s="550" t="s">
        <v>16745</v>
      </c>
      <c r="B7841" s="334" t="s">
        <v>137</v>
      </c>
      <c r="C7841" s="348" t="s">
        <v>480</v>
      </c>
      <c r="D7841" s="335" t="s">
        <v>139</v>
      </c>
      <c r="E7841" s="336">
        <v>43798</v>
      </c>
      <c r="F7841" s="336">
        <v>43779</v>
      </c>
      <c r="G7841" s="336">
        <v>43798</v>
      </c>
      <c r="H7841" s="334" t="s">
        <v>16746</v>
      </c>
      <c r="I7841" s="444">
        <v>13701643433</v>
      </c>
      <c r="J7841" s="348" t="s">
        <v>16747</v>
      </c>
      <c r="K7841" s="452">
        <v>5400</v>
      </c>
      <c r="L7841" s="334">
        <v>5400</v>
      </c>
      <c r="M7841" s="338"/>
      <c r="N7841" s="362">
        <f t="shared" si="269"/>
        <v>5400</v>
      </c>
      <c r="T7841" s="330">
        <v>1</v>
      </c>
      <c r="X7841" s="339"/>
    </row>
    <row r="7842" s="330" customFormat="1" ht="15" customHeight="1" spans="1:24">
      <c r="A7842" s="348"/>
      <c r="B7842" s="334" t="s">
        <v>147</v>
      </c>
      <c r="C7842" s="334" t="s">
        <v>15901</v>
      </c>
      <c r="D7842" s="334" t="s">
        <v>207</v>
      </c>
      <c r="E7842" s="336">
        <v>43812</v>
      </c>
      <c r="F7842" s="336">
        <v>43779</v>
      </c>
      <c r="G7842" s="336">
        <v>43811</v>
      </c>
      <c r="H7842" s="334" t="s">
        <v>16748</v>
      </c>
      <c r="I7842" s="444">
        <v>13311805998</v>
      </c>
      <c r="J7842" s="348" t="s">
        <v>16749</v>
      </c>
      <c r="K7842" s="452">
        <v>1000</v>
      </c>
      <c r="L7842" s="334">
        <v>12292</v>
      </c>
      <c r="M7842" s="338"/>
      <c r="N7842" s="362">
        <f t="shared" si="269"/>
        <v>12292</v>
      </c>
      <c r="X7842" s="339"/>
    </row>
    <row r="7843" s="330" customFormat="1" ht="15" customHeight="1" spans="1:24">
      <c r="A7843" s="348">
        <v>2019344</v>
      </c>
      <c r="B7843" s="334" t="s">
        <v>42</v>
      </c>
      <c r="C7843" s="348" t="s">
        <v>43</v>
      </c>
      <c r="D7843" s="334" t="s">
        <v>44</v>
      </c>
      <c r="E7843" s="336">
        <v>43793</v>
      </c>
      <c r="F7843" s="336">
        <v>43779</v>
      </c>
      <c r="G7843" s="336">
        <v>43793</v>
      </c>
      <c r="H7843" s="334" t="s">
        <v>16750</v>
      </c>
      <c r="I7843" s="444">
        <v>13501667494</v>
      </c>
      <c r="J7843" s="348" t="s">
        <v>16751</v>
      </c>
      <c r="K7843" s="452">
        <v>8928</v>
      </c>
      <c r="L7843" s="334">
        <v>5999</v>
      </c>
      <c r="M7843" s="338"/>
      <c r="N7843" s="362">
        <f t="shared" si="269"/>
        <v>5999</v>
      </c>
      <c r="X7843" s="339"/>
    </row>
    <row r="7844" s="330" customFormat="1" ht="15" customHeight="1" spans="1:24">
      <c r="A7844" s="550" t="s">
        <v>16752</v>
      </c>
      <c r="B7844" s="334" t="s">
        <v>42</v>
      </c>
      <c r="C7844" s="348" t="s">
        <v>43</v>
      </c>
      <c r="D7844" s="335" t="s">
        <v>44</v>
      </c>
      <c r="E7844" s="336">
        <v>43779</v>
      </c>
      <c r="F7844" s="336">
        <v>43779</v>
      </c>
      <c r="G7844" s="399"/>
      <c r="H7844" s="334" t="s">
        <v>16753</v>
      </c>
      <c r="I7844" s="444">
        <v>13761700555</v>
      </c>
      <c r="J7844" s="348" t="s">
        <v>16754</v>
      </c>
      <c r="K7844" s="452">
        <v>1000</v>
      </c>
      <c r="L7844" s="338"/>
      <c r="M7844" s="338"/>
      <c r="N7844" s="362">
        <f t="shared" si="269"/>
        <v>0</v>
      </c>
      <c r="O7844" s="353"/>
      <c r="S7844" s="356" t="s">
        <v>52</v>
      </c>
      <c r="X7844" s="339"/>
    </row>
    <row r="7845" s="330" customFormat="1" ht="15" customHeight="1" spans="1:24">
      <c r="A7845" s="550" t="s">
        <v>1596</v>
      </c>
      <c r="B7845" s="334" t="s">
        <v>137</v>
      </c>
      <c r="C7845" s="348" t="s">
        <v>411</v>
      </c>
      <c r="D7845" s="334" t="s">
        <v>2381</v>
      </c>
      <c r="E7845" s="336">
        <v>43793</v>
      </c>
      <c r="F7845" s="336">
        <v>43779</v>
      </c>
      <c r="G7845" s="336">
        <v>43792</v>
      </c>
      <c r="H7845" s="334" t="s">
        <v>16755</v>
      </c>
      <c r="I7845" s="444">
        <v>15201762546</v>
      </c>
      <c r="J7845" s="348" t="s">
        <v>16756</v>
      </c>
      <c r="K7845" s="452">
        <v>4500</v>
      </c>
      <c r="L7845" s="334">
        <v>5535</v>
      </c>
      <c r="M7845" s="338"/>
      <c r="N7845" s="362">
        <f t="shared" si="269"/>
        <v>5535</v>
      </c>
      <c r="R7845" s="330">
        <v>1</v>
      </c>
      <c r="X7845" s="339"/>
    </row>
    <row r="7846" s="330" customFormat="1" ht="15" customHeight="1" spans="1:24">
      <c r="A7846" s="550" t="s">
        <v>16757</v>
      </c>
      <c r="B7846" s="334" t="s">
        <v>87</v>
      </c>
      <c r="C7846" s="348" t="s">
        <v>466</v>
      </c>
      <c r="D7846" s="335" t="s">
        <v>89</v>
      </c>
      <c r="E7846" s="336">
        <v>43784</v>
      </c>
      <c r="F7846" s="336">
        <v>43779</v>
      </c>
      <c r="G7846" s="336">
        <v>43781</v>
      </c>
      <c r="H7846" s="334" t="s">
        <v>16758</v>
      </c>
      <c r="I7846" s="444">
        <v>15021513695</v>
      </c>
      <c r="J7846" s="348" t="s">
        <v>16759</v>
      </c>
      <c r="K7846" s="452">
        <v>9700</v>
      </c>
      <c r="L7846" s="334">
        <v>16409</v>
      </c>
      <c r="M7846" s="338"/>
      <c r="N7846" s="362">
        <f t="shared" si="269"/>
        <v>16409</v>
      </c>
      <c r="X7846" s="339"/>
    </row>
    <row r="7847" s="330" customFormat="1" ht="15" customHeight="1" spans="1:24">
      <c r="A7847" s="550" t="s">
        <v>10569</v>
      </c>
      <c r="B7847" s="334" t="s">
        <v>315</v>
      </c>
      <c r="C7847" s="348" t="s">
        <v>230</v>
      </c>
      <c r="D7847" s="335" t="s">
        <v>182</v>
      </c>
      <c r="E7847" s="336">
        <v>43779</v>
      </c>
      <c r="F7847" s="336">
        <v>43778</v>
      </c>
      <c r="G7847" s="399"/>
      <c r="H7847" s="334" t="s">
        <v>6217</v>
      </c>
      <c r="I7847" s="444">
        <v>13816883990</v>
      </c>
      <c r="J7847" s="348" t="s">
        <v>16760</v>
      </c>
      <c r="K7847" s="452">
        <v>1000</v>
      </c>
      <c r="L7847" s="338"/>
      <c r="M7847" s="338"/>
      <c r="N7847" s="362">
        <f t="shared" si="269"/>
        <v>0</v>
      </c>
      <c r="X7847" s="339"/>
    </row>
    <row r="7848" s="330" customFormat="1" ht="15" customHeight="1" spans="1:24">
      <c r="A7848" s="334"/>
      <c r="B7848" s="334" t="s">
        <v>35</v>
      </c>
      <c r="C7848" s="334" t="s">
        <v>36</v>
      </c>
      <c r="D7848" s="334" t="s">
        <v>37</v>
      </c>
      <c r="E7848" s="336">
        <v>43779</v>
      </c>
      <c r="F7848" s="336"/>
      <c r="G7848" s="336">
        <v>43776</v>
      </c>
      <c r="H7848" s="334" t="s">
        <v>16761</v>
      </c>
      <c r="I7848" s="444">
        <v>13564396645</v>
      </c>
      <c r="J7848" s="348" t="s">
        <v>2038</v>
      </c>
      <c r="K7848" s="337"/>
      <c r="L7848" s="334">
        <f>6850-1799</f>
        <v>5051</v>
      </c>
      <c r="M7848" s="334">
        <v>1799</v>
      </c>
      <c r="N7848" s="362">
        <f t="shared" ref="N7848:N7863" si="270">L7848+M7848</f>
        <v>6850</v>
      </c>
      <c r="X7848" s="339"/>
    </row>
    <row r="7849" s="330" customFormat="1" ht="15" customHeight="1" spans="1:24">
      <c r="A7849" s="334"/>
      <c r="B7849" s="334" t="s">
        <v>31</v>
      </c>
      <c r="C7849" s="334" t="s">
        <v>220</v>
      </c>
      <c r="D7849" s="334" t="s">
        <v>954</v>
      </c>
      <c r="E7849" s="336">
        <v>43779</v>
      </c>
      <c r="F7849" s="336"/>
      <c r="G7849" s="336">
        <v>43778</v>
      </c>
      <c r="H7849" s="334" t="s">
        <v>6399</v>
      </c>
      <c r="I7849" s="444">
        <v>13004119671</v>
      </c>
      <c r="J7849" s="348" t="s">
        <v>6400</v>
      </c>
      <c r="K7849" s="337"/>
      <c r="L7849" s="334">
        <v>10285</v>
      </c>
      <c r="M7849" s="338"/>
      <c r="N7849" s="362">
        <f t="shared" si="270"/>
        <v>10285</v>
      </c>
      <c r="X7849" s="339"/>
    </row>
    <row r="7850" s="330" customFormat="1" ht="15" customHeight="1" spans="1:24">
      <c r="A7850" s="334"/>
      <c r="B7850" s="334" t="s">
        <v>4009</v>
      </c>
      <c r="C7850" s="334" t="s">
        <v>6401</v>
      </c>
      <c r="D7850" s="334" t="s">
        <v>8334</v>
      </c>
      <c r="E7850" s="336">
        <v>43779</v>
      </c>
      <c r="F7850" s="336"/>
      <c r="G7850" s="336">
        <v>43777</v>
      </c>
      <c r="H7850" s="334" t="s">
        <v>16762</v>
      </c>
      <c r="I7850" s="426">
        <v>15901853914</v>
      </c>
      <c r="J7850" s="348" t="s">
        <v>16763</v>
      </c>
      <c r="K7850" s="337"/>
      <c r="L7850" s="334">
        <v>10695</v>
      </c>
      <c r="M7850" s="338"/>
      <c r="N7850" s="362">
        <f t="shared" si="270"/>
        <v>10695</v>
      </c>
      <c r="X7850" s="339"/>
    </row>
    <row r="7851" s="330" customFormat="1" ht="15" customHeight="1" spans="1:24">
      <c r="A7851" s="334"/>
      <c r="B7851" s="334" t="s">
        <v>58</v>
      </c>
      <c r="C7851" s="334" t="s">
        <v>347</v>
      </c>
      <c r="D7851" s="334" t="s">
        <v>343</v>
      </c>
      <c r="E7851" s="336">
        <v>43779</v>
      </c>
      <c r="F7851" s="336"/>
      <c r="G7851" s="336">
        <v>43778</v>
      </c>
      <c r="H7851" s="334" t="s">
        <v>12032</v>
      </c>
      <c r="I7851" s="426">
        <v>17898858617</v>
      </c>
      <c r="J7851" s="334" t="s">
        <v>12033</v>
      </c>
      <c r="K7851" s="337"/>
      <c r="L7851" s="334">
        <v>11344</v>
      </c>
      <c r="M7851" s="338"/>
      <c r="N7851" s="362">
        <f t="shared" si="270"/>
        <v>11344</v>
      </c>
      <c r="X7851" s="339"/>
    </row>
    <row r="7852" s="330" customFormat="1" ht="15" customHeight="1" spans="1:24">
      <c r="A7852" s="334"/>
      <c r="B7852" s="334" t="s">
        <v>153</v>
      </c>
      <c r="C7852" s="334" t="s">
        <v>302</v>
      </c>
      <c r="D7852" s="334" t="s">
        <v>155</v>
      </c>
      <c r="E7852" s="336">
        <v>43779</v>
      </c>
      <c r="F7852" s="336"/>
      <c r="G7852" s="336">
        <v>43777</v>
      </c>
      <c r="H7852" s="334" t="s">
        <v>16764</v>
      </c>
      <c r="I7852" s="426" t="s">
        <v>16765</v>
      </c>
      <c r="J7852" s="334" t="s">
        <v>16766</v>
      </c>
      <c r="K7852" s="337"/>
      <c r="L7852" s="334">
        <v>3731</v>
      </c>
      <c r="M7852" s="338"/>
      <c r="N7852" s="362">
        <f t="shared" si="270"/>
        <v>3731</v>
      </c>
      <c r="X7852" s="339"/>
    </row>
    <row r="7853" s="330" customFormat="1" ht="15" customHeight="1" spans="1:24">
      <c r="A7853" s="334"/>
      <c r="B7853" s="334" t="s">
        <v>153</v>
      </c>
      <c r="C7853" s="334" t="s">
        <v>302</v>
      </c>
      <c r="D7853" s="334" t="s">
        <v>155</v>
      </c>
      <c r="E7853" s="336">
        <v>43779</v>
      </c>
      <c r="F7853" s="336"/>
      <c r="G7853" s="336">
        <v>43777</v>
      </c>
      <c r="H7853" s="334" t="s">
        <v>16767</v>
      </c>
      <c r="I7853" s="444">
        <v>15692163841</v>
      </c>
      <c r="J7853" s="348" t="s">
        <v>9715</v>
      </c>
      <c r="K7853" s="337"/>
      <c r="L7853" s="334">
        <v>18086</v>
      </c>
      <c r="M7853" s="338"/>
      <c r="N7853" s="362">
        <f t="shared" si="270"/>
        <v>18086</v>
      </c>
      <c r="X7853" s="339"/>
    </row>
    <row r="7854" s="330" customFormat="1" ht="15" customHeight="1" spans="1:24">
      <c r="A7854" s="334"/>
      <c r="B7854" s="334" t="s">
        <v>31</v>
      </c>
      <c r="C7854" s="334" t="s">
        <v>3186</v>
      </c>
      <c r="D7854" s="334" t="s">
        <v>954</v>
      </c>
      <c r="E7854" s="336">
        <v>43779</v>
      </c>
      <c r="F7854" s="336"/>
      <c r="G7854" s="336">
        <v>43779</v>
      </c>
      <c r="H7854" s="334" t="s">
        <v>13108</v>
      </c>
      <c r="I7854" s="426">
        <v>15921878661</v>
      </c>
      <c r="J7854" s="334" t="s">
        <v>13109</v>
      </c>
      <c r="K7854" s="337"/>
      <c r="L7854" s="334">
        <v>1723</v>
      </c>
      <c r="M7854" s="338"/>
      <c r="N7854" s="362">
        <f t="shared" si="270"/>
        <v>1723</v>
      </c>
      <c r="X7854" s="339"/>
    </row>
    <row r="7855" s="330" customFormat="1" ht="15" customHeight="1" spans="1:24">
      <c r="A7855" s="334"/>
      <c r="B7855" s="334" t="s">
        <v>153</v>
      </c>
      <c r="C7855" s="334" t="s">
        <v>154</v>
      </c>
      <c r="D7855" s="334" t="s">
        <v>155</v>
      </c>
      <c r="E7855" s="336">
        <v>43779</v>
      </c>
      <c r="F7855" s="336"/>
      <c r="G7855" s="336">
        <v>43777</v>
      </c>
      <c r="H7855" s="334" t="s">
        <v>13355</v>
      </c>
      <c r="I7855" s="426">
        <v>18955246996</v>
      </c>
      <c r="J7855" s="334" t="s">
        <v>13356</v>
      </c>
      <c r="K7855" s="337"/>
      <c r="L7855" s="334">
        <v>4875</v>
      </c>
      <c r="M7855" s="338"/>
      <c r="N7855" s="362">
        <f t="shared" si="270"/>
        <v>4875</v>
      </c>
      <c r="X7855" s="339"/>
    </row>
    <row r="7856" s="330" customFormat="1" ht="15" customHeight="1" spans="1:24">
      <c r="A7856" s="334"/>
      <c r="B7856" s="334" t="s">
        <v>31</v>
      </c>
      <c r="C7856" s="334" t="s">
        <v>3186</v>
      </c>
      <c r="D7856" s="334" t="s">
        <v>954</v>
      </c>
      <c r="E7856" s="336">
        <v>43779</v>
      </c>
      <c r="F7856" s="336"/>
      <c r="G7856" s="336">
        <v>43777</v>
      </c>
      <c r="H7856" s="334" t="s">
        <v>16768</v>
      </c>
      <c r="I7856" s="426">
        <v>1997987843</v>
      </c>
      <c r="J7856" s="334" t="s">
        <v>16769</v>
      </c>
      <c r="K7856" s="337"/>
      <c r="L7856" s="334">
        <v>5113</v>
      </c>
      <c r="M7856" s="338"/>
      <c r="N7856" s="362">
        <f t="shared" si="270"/>
        <v>5113</v>
      </c>
      <c r="X7856" s="339"/>
    </row>
    <row r="7857" s="330" customFormat="1" ht="15" customHeight="1" spans="1:24">
      <c r="A7857" s="334"/>
      <c r="B7857" s="334" t="s">
        <v>153</v>
      </c>
      <c r="C7857" s="334" t="s">
        <v>302</v>
      </c>
      <c r="D7857" s="334" t="s">
        <v>155</v>
      </c>
      <c r="E7857" s="336">
        <v>43779</v>
      </c>
      <c r="F7857" s="336"/>
      <c r="G7857" s="336">
        <v>43776</v>
      </c>
      <c r="H7857" s="334" t="s">
        <v>13348</v>
      </c>
      <c r="I7857" s="334">
        <v>13916007991</v>
      </c>
      <c r="J7857" s="334" t="s">
        <v>16770</v>
      </c>
      <c r="K7857" s="337"/>
      <c r="L7857" s="338"/>
      <c r="M7857" s="334">
        <v>-1</v>
      </c>
      <c r="N7857" s="362">
        <f t="shared" si="270"/>
        <v>-1</v>
      </c>
      <c r="X7857" s="339"/>
    </row>
    <row r="7858" s="330" customFormat="1" ht="15" customHeight="1" spans="1:24">
      <c r="A7858" s="334"/>
      <c r="B7858" s="334" t="s">
        <v>137</v>
      </c>
      <c r="C7858" s="334" t="s">
        <v>411</v>
      </c>
      <c r="D7858" s="334" t="s">
        <v>139</v>
      </c>
      <c r="E7858" s="336">
        <v>43779</v>
      </c>
      <c r="F7858" s="336"/>
      <c r="G7858" s="336">
        <v>43778</v>
      </c>
      <c r="H7858" s="334" t="s">
        <v>13139</v>
      </c>
      <c r="I7858" s="334">
        <v>1814728143</v>
      </c>
      <c r="J7858" s="334" t="s">
        <v>13140</v>
      </c>
      <c r="K7858" s="337"/>
      <c r="L7858" s="338"/>
      <c r="M7858" s="334">
        <v>-2561</v>
      </c>
      <c r="N7858" s="362">
        <f t="shared" si="270"/>
        <v>-2561</v>
      </c>
      <c r="X7858" s="339"/>
    </row>
    <row r="7859" s="330" customFormat="1" ht="15" customHeight="1" spans="1:24">
      <c r="A7859" s="334"/>
      <c r="B7859" s="334" t="s">
        <v>35</v>
      </c>
      <c r="C7859" s="334" t="s">
        <v>392</v>
      </c>
      <c r="D7859" s="334" t="s">
        <v>37</v>
      </c>
      <c r="E7859" s="336">
        <v>43779</v>
      </c>
      <c r="F7859" s="336"/>
      <c r="G7859" s="336">
        <v>43768</v>
      </c>
      <c r="H7859" s="334" t="s">
        <v>12866</v>
      </c>
      <c r="I7859" s="426">
        <v>13816831609</v>
      </c>
      <c r="J7859" s="334" t="s">
        <v>12867</v>
      </c>
      <c r="K7859" s="337"/>
      <c r="L7859" s="338"/>
      <c r="M7859" s="334">
        <v>-1000</v>
      </c>
      <c r="N7859" s="362">
        <f t="shared" si="270"/>
        <v>-1000</v>
      </c>
      <c r="X7859" s="339"/>
    </row>
    <row r="7860" s="330" customFormat="1" ht="15" customHeight="1" spans="1:24">
      <c r="A7860" s="334"/>
      <c r="B7860" s="334" t="s">
        <v>169</v>
      </c>
      <c r="C7860" s="334" t="s">
        <v>634</v>
      </c>
      <c r="D7860" s="334" t="s">
        <v>635</v>
      </c>
      <c r="E7860" s="336">
        <v>43779</v>
      </c>
      <c r="F7860" s="336"/>
      <c r="G7860" s="336">
        <v>43776</v>
      </c>
      <c r="H7860" s="334" t="s">
        <v>12684</v>
      </c>
      <c r="I7860" s="334">
        <v>18616809722</v>
      </c>
      <c r="J7860" s="334" t="s">
        <v>16771</v>
      </c>
      <c r="K7860" s="337"/>
      <c r="L7860" s="338"/>
      <c r="M7860" s="334">
        <v>-4665</v>
      </c>
      <c r="N7860" s="362">
        <f t="shared" si="270"/>
        <v>-4665</v>
      </c>
      <c r="X7860" s="339"/>
    </row>
    <row r="7861" s="330" customFormat="1" ht="15" customHeight="1" spans="1:24">
      <c r="A7861" s="334"/>
      <c r="B7861" s="334" t="s">
        <v>58</v>
      </c>
      <c r="C7861" s="334" t="s">
        <v>347</v>
      </c>
      <c r="D7861" s="334" t="s">
        <v>75</v>
      </c>
      <c r="E7861" s="336">
        <v>43779</v>
      </c>
      <c r="F7861" s="336"/>
      <c r="G7861" s="336">
        <v>43778</v>
      </c>
      <c r="H7861" s="334" t="s">
        <v>12952</v>
      </c>
      <c r="I7861" s="334">
        <v>13501678230</v>
      </c>
      <c r="J7861" s="334" t="s">
        <v>12953</v>
      </c>
      <c r="K7861" s="337"/>
      <c r="L7861" s="338"/>
      <c r="M7861" s="334">
        <v>153</v>
      </c>
      <c r="N7861" s="362">
        <f t="shared" si="270"/>
        <v>153</v>
      </c>
      <c r="X7861" s="339"/>
    </row>
    <row r="7862" s="330" customFormat="1" ht="15" customHeight="1" spans="1:24">
      <c r="A7862" s="334"/>
      <c r="B7862" s="334" t="s">
        <v>153</v>
      </c>
      <c r="C7862" s="334" t="s">
        <v>302</v>
      </c>
      <c r="D7862" s="335" t="s">
        <v>155</v>
      </c>
      <c r="E7862" s="336">
        <v>43779</v>
      </c>
      <c r="F7862" s="336"/>
      <c r="G7862" s="336">
        <v>43778</v>
      </c>
      <c r="H7862" s="334" t="s">
        <v>11579</v>
      </c>
      <c r="I7862" s="426">
        <v>13816970364</v>
      </c>
      <c r="J7862" s="334" t="s">
        <v>11580</v>
      </c>
      <c r="K7862" s="337"/>
      <c r="L7862" s="338"/>
      <c r="M7862" s="334">
        <v>3128</v>
      </c>
      <c r="N7862" s="362">
        <f t="shared" si="270"/>
        <v>3128</v>
      </c>
      <c r="X7862" s="339"/>
    </row>
    <row r="7863" s="330" customFormat="1" ht="15" customHeight="1" spans="1:24">
      <c r="A7863" s="334"/>
      <c r="B7863" s="334" t="s">
        <v>335</v>
      </c>
      <c r="C7863" s="334" t="s">
        <v>399</v>
      </c>
      <c r="D7863" s="334" t="s">
        <v>337</v>
      </c>
      <c r="E7863" s="336">
        <v>43779</v>
      </c>
      <c r="F7863" s="336"/>
      <c r="G7863" s="336">
        <v>43778</v>
      </c>
      <c r="H7863" s="334" t="s">
        <v>16772</v>
      </c>
      <c r="I7863" s="426">
        <v>13816010225</v>
      </c>
      <c r="J7863" s="348" t="s">
        <v>16773</v>
      </c>
      <c r="K7863" s="337"/>
      <c r="L7863" s="338"/>
      <c r="M7863" s="334">
        <v>10272</v>
      </c>
      <c r="N7863" s="362">
        <f t="shared" si="270"/>
        <v>10272</v>
      </c>
      <c r="X7863" s="339"/>
    </row>
    <row r="7864" s="330" customFormat="1" ht="15" customHeight="1" spans="1:24">
      <c r="A7864" s="550" t="s">
        <v>6616</v>
      </c>
      <c r="B7864" s="334" t="s">
        <v>137</v>
      </c>
      <c r="C7864" s="348" t="s">
        <v>411</v>
      </c>
      <c r="D7864" s="334" t="s">
        <v>443</v>
      </c>
      <c r="E7864" s="336">
        <v>43780</v>
      </c>
      <c r="F7864" s="336">
        <v>43745</v>
      </c>
      <c r="G7864" s="399">
        <v>43779</v>
      </c>
      <c r="H7864" s="334" t="s">
        <v>16774</v>
      </c>
      <c r="I7864" s="444">
        <v>15201505421</v>
      </c>
      <c r="J7864" s="348" t="s">
        <v>16775</v>
      </c>
      <c r="K7864" s="452">
        <v>2000</v>
      </c>
      <c r="L7864" s="334">
        <f>-990+8633</f>
        <v>7643</v>
      </c>
      <c r="M7864" s="334">
        <v>990</v>
      </c>
      <c r="N7864" s="362">
        <f t="shared" ref="N7864:N7927" si="271">L7864+M7864</f>
        <v>8633</v>
      </c>
      <c r="X7864" s="339"/>
    </row>
    <row r="7865" s="330" customFormat="1" ht="15" customHeight="1" spans="1:24">
      <c r="A7865" s="550" t="s">
        <v>16776</v>
      </c>
      <c r="B7865" s="334" t="s">
        <v>153</v>
      </c>
      <c r="C7865" s="348" t="s">
        <v>302</v>
      </c>
      <c r="D7865" s="334" t="s">
        <v>337</v>
      </c>
      <c r="E7865" s="336">
        <v>43780</v>
      </c>
      <c r="F7865" s="336">
        <v>43779</v>
      </c>
      <c r="G7865" s="399">
        <v>43779</v>
      </c>
      <c r="H7865" s="334" t="s">
        <v>16777</v>
      </c>
      <c r="I7865" s="334">
        <v>13381729379</v>
      </c>
      <c r="J7865" s="348" t="s">
        <v>16778</v>
      </c>
      <c r="K7865" s="452">
        <v>99</v>
      </c>
      <c r="L7865" s="334">
        <v>7293</v>
      </c>
      <c r="M7865" s="338"/>
      <c r="N7865" s="362">
        <f t="shared" si="271"/>
        <v>7293</v>
      </c>
      <c r="X7865" s="339"/>
    </row>
    <row r="7866" s="330" customFormat="1" ht="15" customHeight="1" spans="1:24">
      <c r="A7866" s="348"/>
      <c r="B7866" s="334" t="s">
        <v>147</v>
      </c>
      <c r="C7866" s="348" t="s">
        <v>13719</v>
      </c>
      <c r="D7866" s="334" t="s">
        <v>237</v>
      </c>
      <c r="E7866" s="336">
        <v>43799</v>
      </c>
      <c r="F7866" s="336">
        <v>43779</v>
      </c>
      <c r="G7866" s="336">
        <v>43798</v>
      </c>
      <c r="H7866" s="334" t="s">
        <v>16779</v>
      </c>
      <c r="I7866" s="444">
        <v>13585836418</v>
      </c>
      <c r="J7866" s="348" t="s">
        <v>16780</v>
      </c>
      <c r="K7866" s="452">
        <v>13635</v>
      </c>
      <c r="L7866" s="334">
        <v>13635</v>
      </c>
      <c r="M7866" s="338"/>
      <c r="N7866" s="362">
        <f t="shared" si="271"/>
        <v>13635</v>
      </c>
      <c r="X7866" s="339"/>
    </row>
    <row r="7867" s="330" customFormat="1" ht="15" customHeight="1" spans="1:24">
      <c r="A7867" s="550" t="s">
        <v>16781</v>
      </c>
      <c r="B7867" s="334" t="s">
        <v>185</v>
      </c>
      <c r="C7867" s="348" t="s">
        <v>1204</v>
      </c>
      <c r="D7867" s="335" t="s">
        <v>44</v>
      </c>
      <c r="E7867" s="336">
        <v>43799</v>
      </c>
      <c r="F7867" s="336">
        <v>43779</v>
      </c>
      <c r="G7867" s="336">
        <v>43799</v>
      </c>
      <c r="H7867" s="334" t="s">
        <v>16782</v>
      </c>
      <c r="I7867" s="444">
        <v>17721340827</v>
      </c>
      <c r="J7867" s="348" t="s">
        <v>16783</v>
      </c>
      <c r="K7867" s="452">
        <v>1000</v>
      </c>
      <c r="L7867" s="334">
        <v>9683</v>
      </c>
      <c r="M7867" s="338"/>
      <c r="N7867" s="362">
        <f t="shared" si="271"/>
        <v>9683</v>
      </c>
      <c r="X7867" s="339"/>
    </row>
    <row r="7868" s="330" customFormat="1" ht="15" customHeight="1" spans="1:24">
      <c r="A7868" s="348"/>
      <c r="B7868" s="334" t="s">
        <v>315</v>
      </c>
      <c r="C7868" s="348" t="s">
        <v>722</v>
      </c>
      <c r="D7868" s="334" t="s">
        <v>149</v>
      </c>
      <c r="E7868" s="336">
        <v>43794</v>
      </c>
      <c r="F7868" s="336">
        <v>43779</v>
      </c>
      <c r="G7868" s="336">
        <v>43793</v>
      </c>
      <c r="H7868" s="334" t="s">
        <v>16784</v>
      </c>
      <c r="I7868" s="444">
        <v>13917804737</v>
      </c>
      <c r="J7868" s="348" t="s">
        <v>16785</v>
      </c>
      <c r="K7868" s="452">
        <v>1000</v>
      </c>
      <c r="L7868" s="334">
        <v>4858</v>
      </c>
      <c r="M7868" s="338"/>
      <c r="N7868" s="362">
        <f t="shared" si="271"/>
        <v>4858</v>
      </c>
      <c r="X7868" s="339"/>
    </row>
    <row r="7869" s="330" customFormat="1" ht="15" customHeight="1" spans="1:24">
      <c r="A7869" s="550" t="s">
        <v>16786</v>
      </c>
      <c r="B7869" s="334" t="s">
        <v>315</v>
      </c>
      <c r="C7869" s="348" t="s">
        <v>722</v>
      </c>
      <c r="D7869" s="334" t="s">
        <v>149</v>
      </c>
      <c r="E7869" s="336">
        <v>43794</v>
      </c>
      <c r="F7869" s="336">
        <v>43779</v>
      </c>
      <c r="G7869" s="336">
        <v>43784</v>
      </c>
      <c r="H7869" s="334" t="s">
        <v>16787</v>
      </c>
      <c r="I7869" s="444">
        <v>18701833117</v>
      </c>
      <c r="J7869" s="348" t="s">
        <v>16788</v>
      </c>
      <c r="K7869" s="452">
        <v>1000</v>
      </c>
      <c r="L7869" s="334">
        <v>4999</v>
      </c>
      <c r="M7869" s="338"/>
      <c r="N7869" s="362">
        <f t="shared" si="271"/>
        <v>4999</v>
      </c>
      <c r="X7869" s="339"/>
    </row>
    <row r="7870" s="330" customFormat="1" ht="15" customHeight="1" spans="1:24">
      <c r="A7870" s="550" t="s">
        <v>16789</v>
      </c>
      <c r="B7870" s="334" t="s">
        <v>66</v>
      </c>
      <c r="C7870" s="348" t="s">
        <v>505</v>
      </c>
      <c r="D7870" s="334" t="s">
        <v>2302</v>
      </c>
      <c r="E7870" s="336">
        <v>43792</v>
      </c>
      <c r="F7870" s="336">
        <v>43779</v>
      </c>
      <c r="G7870" s="336">
        <v>43792</v>
      </c>
      <c r="H7870" s="334" t="s">
        <v>16790</v>
      </c>
      <c r="I7870" s="444">
        <v>13764668966</v>
      </c>
      <c r="J7870" s="348" t="s">
        <v>16791</v>
      </c>
      <c r="K7870" s="452">
        <v>14979</v>
      </c>
      <c r="L7870" s="334">
        <v>14979</v>
      </c>
      <c r="M7870" s="338"/>
      <c r="N7870" s="362">
        <f t="shared" si="271"/>
        <v>14979</v>
      </c>
      <c r="P7870" s="330" t="s">
        <v>52</v>
      </c>
      <c r="X7870" s="339"/>
    </row>
    <row r="7871" s="330" customFormat="1" ht="15" customHeight="1" spans="1:24">
      <c r="A7871" s="550" t="s">
        <v>9824</v>
      </c>
      <c r="B7871" s="334" t="s">
        <v>137</v>
      </c>
      <c r="C7871" s="348" t="s">
        <v>411</v>
      </c>
      <c r="D7871" s="335" t="s">
        <v>427</v>
      </c>
      <c r="E7871" s="336">
        <v>43780</v>
      </c>
      <c r="F7871" s="336">
        <v>43779</v>
      </c>
      <c r="G7871" s="399"/>
      <c r="H7871" s="334" t="s">
        <v>16792</v>
      </c>
      <c r="I7871" s="444">
        <v>13764000563</v>
      </c>
      <c r="J7871" s="348" t="s">
        <v>16793</v>
      </c>
      <c r="K7871" s="452">
        <v>8100</v>
      </c>
      <c r="L7871" s="338"/>
      <c r="M7871" s="338"/>
      <c r="N7871" s="362">
        <f t="shared" si="271"/>
        <v>0</v>
      </c>
      <c r="Q7871" s="353" t="s">
        <v>21</v>
      </c>
      <c r="X7871" s="339"/>
    </row>
    <row r="7872" s="330" customFormat="1" ht="15" customHeight="1" spans="1:24">
      <c r="A7872" s="550" t="s">
        <v>16794</v>
      </c>
      <c r="B7872" s="334" t="s">
        <v>315</v>
      </c>
      <c r="C7872" s="348" t="s">
        <v>230</v>
      </c>
      <c r="D7872" s="335" t="s">
        <v>182</v>
      </c>
      <c r="E7872" s="336">
        <v>43799</v>
      </c>
      <c r="F7872" s="336">
        <v>43779</v>
      </c>
      <c r="G7872" s="336">
        <v>43797</v>
      </c>
      <c r="H7872" s="334" t="s">
        <v>3819</v>
      </c>
      <c r="I7872" s="444">
        <v>13816380435</v>
      </c>
      <c r="J7872" s="348" t="s">
        <v>16795</v>
      </c>
      <c r="K7872" s="356">
        <v>39452</v>
      </c>
      <c r="L7872" s="334">
        <v>39452</v>
      </c>
      <c r="M7872" s="338"/>
      <c r="N7872" s="362">
        <f t="shared" si="271"/>
        <v>39452</v>
      </c>
      <c r="X7872" s="339"/>
    </row>
    <row r="7873" s="330" customFormat="1" ht="15" customHeight="1" spans="1:24">
      <c r="A7873" s="550" t="s">
        <v>16796</v>
      </c>
      <c r="B7873" s="334" t="s">
        <v>315</v>
      </c>
      <c r="C7873" s="348" t="s">
        <v>230</v>
      </c>
      <c r="D7873" s="335" t="s">
        <v>182</v>
      </c>
      <c r="E7873" s="336">
        <v>43780</v>
      </c>
      <c r="F7873" s="336">
        <v>43779</v>
      </c>
      <c r="G7873" s="399"/>
      <c r="H7873" s="334" t="s">
        <v>16797</v>
      </c>
      <c r="I7873" s="444">
        <v>1801981547</v>
      </c>
      <c r="J7873" s="348" t="s">
        <v>16798</v>
      </c>
      <c r="K7873" s="452">
        <v>1000</v>
      </c>
      <c r="L7873" s="338"/>
      <c r="M7873" s="338"/>
      <c r="N7873" s="362">
        <f t="shared" si="271"/>
        <v>0</v>
      </c>
      <c r="X7873" s="339"/>
    </row>
    <row r="7874" s="330" customFormat="1" ht="15" customHeight="1" spans="1:24">
      <c r="A7874" s="550" t="s">
        <v>16799</v>
      </c>
      <c r="B7874" s="334" t="s">
        <v>185</v>
      </c>
      <c r="C7874" s="348" t="s">
        <v>1204</v>
      </c>
      <c r="D7874" s="335" t="s">
        <v>44</v>
      </c>
      <c r="E7874" s="336">
        <v>43794</v>
      </c>
      <c r="F7874" s="336">
        <v>43779</v>
      </c>
      <c r="G7874" s="336">
        <v>43793</v>
      </c>
      <c r="H7874" s="334" t="s">
        <v>16800</v>
      </c>
      <c r="I7874" s="444">
        <v>13167093916</v>
      </c>
      <c r="J7874" s="348" t="s">
        <v>16801</v>
      </c>
      <c r="K7874" s="452">
        <v>1000</v>
      </c>
      <c r="L7874" s="334">
        <v>7353</v>
      </c>
      <c r="M7874" s="338"/>
      <c r="N7874" s="362">
        <f t="shared" si="271"/>
        <v>7353</v>
      </c>
      <c r="X7874" s="339"/>
    </row>
    <row r="7875" s="330" customFormat="1" ht="15" customHeight="1" spans="1:24">
      <c r="A7875" s="550" t="s">
        <v>8170</v>
      </c>
      <c r="B7875" s="334" t="s">
        <v>31</v>
      </c>
      <c r="C7875" s="348" t="s">
        <v>377</v>
      </c>
      <c r="D7875" s="335" t="s">
        <v>221</v>
      </c>
      <c r="E7875" s="336">
        <v>43813</v>
      </c>
      <c r="F7875" s="336">
        <v>43779</v>
      </c>
      <c r="G7875" s="336">
        <v>43812</v>
      </c>
      <c r="H7875" s="334" t="s">
        <v>16802</v>
      </c>
      <c r="I7875" s="444">
        <v>15921029605</v>
      </c>
      <c r="J7875" s="348" t="s">
        <v>16803</v>
      </c>
      <c r="K7875" s="452">
        <v>1000</v>
      </c>
      <c r="L7875" s="334">
        <v>10000</v>
      </c>
      <c r="M7875" s="338"/>
      <c r="N7875" s="362">
        <f t="shared" si="271"/>
        <v>10000</v>
      </c>
      <c r="X7875" s="339"/>
    </row>
    <row r="7876" s="330" customFormat="1" ht="15" customHeight="1" spans="1:24">
      <c r="A7876" s="550" t="s">
        <v>16804</v>
      </c>
      <c r="B7876" s="334" t="s">
        <v>31</v>
      </c>
      <c r="C7876" s="348" t="s">
        <v>251</v>
      </c>
      <c r="D7876" s="334" t="s">
        <v>221</v>
      </c>
      <c r="E7876" s="336">
        <v>43818</v>
      </c>
      <c r="F7876" s="336">
        <v>43779</v>
      </c>
      <c r="G7876" s="336">
        <v>43817</v>
      </c>
      <c r="H7876" s="334" t="s">
        <v>16805</v>
      </c>
      <c r="I7876" s="444">
        <v>13916842201</v>
      </c>
      <c r="J7876" s="348" t="s">
        <v>16806</v>
      </c>
      <c r="K7876" s="452">
        <v>1000</v>
      </c>
      <c r="L7876" s="334">
        <v>8138</v>
      </c>
      <c r="M7876" s="338"/>
      <c r="N7876" s="362">
        <f t="shared" si="271"/>
        <v>8138</v>
      </c>
      <c r="X7876" s="339"/>
    </row>
    <row r="7877" s="330" customFormat="1" ht="15" customHeight="1" spans="1:24">
      <c r="A7877" s="550" t="s">
        <v>6872</v>
      </c>
      <c r="B7877" s="334" t="s">
        <v>31</v>
      </c>
      <c r="C7877" s="348" t="s">
        <v>419</v>
      </c>
      <c r="D7877" s="334" t="s">
        <v>954</v>
      </c>
      <c r="E7877" s="336">
        <v>43799</v>
      </c>
      <c r="F7877" s="336">
        <v>43779</v>
      </c>
      <c r="G7877" s="336">
        <v>43799</v>
      </c>
      <c r="H7877" s="334" t="s">
        <v>16807</v>
      </c>
      <c r="I7877" s="444">
        <v>13044190480</v>
      </c>
      <c r="J7877" s="438" t="s">
        <v>16808</v>
      </c>
      <c r="K7877" s="452">
        <v>1000</v>
      </c>
      <c r="L7877" s="334">
        <v>7324</v>
      </c>
      <c r="M7877" s="338"/>
      <c r="N7877" s="362">
        <f t="shared" si="271"/>
        <v>7324</v>
      </c>
      <c r="X7877" s="339"/>
    </row>
    <row r="7878" s="330" customFormat="1" ht="15" customHeight="1" spans="1:24">
      <c r="A7878" s="550" t="s">
        <v>16809</v>
      </c>
      <c r="B7878" s="334" t="s">
        <v>73</v>
      </c>
      <c r="C7878" s="348" t="s">
        <v>74</v>
      </c>
      <c r="D7878" s="352" t="s">
        <v>75</v>
      </c>
      <c r="E7878" s="336">
        <v>43780</v>
      </c>
      <c r="F7878" s="336">
        <v>43778</v>
      </c>
      <c r="G7878" s="399"/>
      <c r="H7878" s="334" t="s">
        <v>16810</v>
      </c>
      <c r="I7878" s="444">
        <v>13818183252</v>
      </c>
      <c r="J7878" s="348" t="s">
        <v>16811</v>
      </c>
      <c r="K7878" s="452">
        <v>1000</v>
      </c>
      <c r="L7878" s="338"/>
      <c r="M7878" s="338"/>
      <c r="N7878" s="362">
        <f t="shared" si="271"/>
        <v>0</v>
      </c>
      <c r="O7878" s="405" t="s">
        <v>52</v>
      </c>
      <c r="P7878" s="331"/>
      <c r="X7878" s="339"/>
    </row>
    <row r="7879" s="330" customFormat="1" ht="15" customHeight="1" spans="1:24">
      <c r="A7879" s="550" t="s">
        <v>16812</v>
      </c>
      <c r="B7879" s="334" t="s">
        <v>73</v>
      </c>
      <c r="C7879" s="348" t="s">
        <v>178</v>
      </c>
      <c r="D7879" s="334" t="s">
        <v>427</v>
      </c>
      <c r="E7879" s="336">
        <v>43789</v>
      </c>
      <c r="F7879" s="336">
        <v>43779</v>
      </c>
      <c r="G7879" s="336">
        <v>43787</v>
      </c>
      <c r="H7879" s="334" t="s">
        <v>16813</v>
      </c>
      <c r="I7879" s="444">
        <v>18621556842</v>
      </c>
      <c r="J7879" s="348" t="s">
        <v>16814</v>
      </c>
      <c r="K7879" s="452">
        <v>1000</v>
      </c>
      <c r="L7879" s="334">
        <v>25888</v>
      </c>
      <c r="M7879" s="338"/>
      <c r="N7879" s="362">
        <f t="shared" si="271"/>
        <v>25888</v>
      </c>
      <c r="X7879" s="339"/>
    </row>
    <row r="7880" s="330" customFormat="1" ht="15" customHeight="1" spans="1:24">
      <c r="A7880" s="550" t="s">
        <v>16815</v>
      </c>
      <c r="B7880" s="334" t="s">
        <v>73</v>
      </c>
      <c r="C7880" s="348" t="s">
        <v>178</v>
      </c>
      <c r="D7880" s="334" t="s">
        <v>44</v>
      </c>
      <c r="E7880" s="336">
        <v>43823</v>
      </c>
      <c r="F7880" s="336">
        <v>43779</v>
      </c>
      <c r="G7880" s="336">
        <v>43822</v>
      </c>
      <c r="H7880" s="334" t="s">
        <v>15269</v>
      </c>
      <c r="I7880" s="555" t="s">
        <v>16816</v>
      </c>
      <c r="J7880" s="348" t="s">
        <v>16817</v>
      </c>
      <c r="K7880" s="452">
        <v>1000</v>
      </c>
      <c r="L7880" s="334">
        <v>19981</v>
      </c>
      <c r="M7880" s="338"/>
      <c r="N7880" s="362">
        <f t="shared" si="271"/>
        <v>19981</v>
      </c>
      <c r="P7880" s="366" t="s">
        <v>52</v>
      </c>
      <c r="X7880" s="339"/>
    </row>
    <row r="7881" s="330" customFormat="1" ht="15" customHeight="1" spans="1:24">
      <c r="A7881" s="550" t="s">
        <v>9177</v>
      </c>
      <c r="B7881" s="334" t="s">
        <v>73</v>
      </c>
      <c r="C7881" s="348" t="s">
        <v>74</v>
      </c>
      <c r="D7881" s="352" t="s">
        <v>75</v>
      </c>
      <c r="E7881" s="336">
        <v>43780</v>
      </c>
      <c r="F7881" s="336">
        <v>43779</v>
      </c>
      <c r="G7881" s="399" t="s">
        <v>69</v>
      </c>
      <c r="H7881" s="334" t="s">
        <v>16818</v>
      </c>
      <c r="I7881" s="444">
        <v>17702192323</v>
      </c>
      <c r="J7881" s="348" t="s">
        <v>16819</v>
      </c>
      <c r="K7881" s="452">
        <v>1000</v>
      </c>
      <c r="L7881" s="338"/>
      <c r="M7881" s="338"/>
      <c r="N7881" s="362">
        <f t="shared" si="271"/>
        <v>0</v>
      </c>
      <c r="P7881" s="366" t="s">
        <v>52</v>
      </c>
      <c r="X7881" s="339"/>
    </row>
    <row r="7882" s="330" customFormat="1" ht="15" customHeight="1" spans="1:24">
      <c r="A7882" s="550" t="s">
        <v>9164</v>
      </c>
      <c r="B7882" s="334" t="s">
        <v>73</v>
      </c>
      <c r="C7882" s="348" t="s">
        <v>74</v>
      </c>
      <c r="D7882" s="334" t="s">
        <v>427</v>
      </c>
      <c r="E7882" s="336">
        <v>43799</v>
      </c>
      <c r="F7882" s="336">
        <v>43779</v>
      </c>
      <c r="G7882" s="336">
        <v>43799</v>
      </c>
      <c r="H7882" s="334" t="s">
        <v>16820</v>
      </c>
      <c r="I7882" s="444">
        <v>13918345576</v>
      </c>
      <c r="J7882" s="438" t="s">
        <v>16821</v>
      </c>
      <c r="K7882" s="452">
        <v>1000</v>
      </c>
      <c r="L7882" s="334">
        <v>24058</v>
      </c>
      <c r="M7882" s="338"/>
      <c r="N7882" s="362">
        <f t="shared" si="271"/>
        <v>24058</v>
      </c>
      <c r="P7882" s="366" t="s">
        <v>52</v>
      </c>
      <c r="X7882" s="339"/>
    </row>
    <row r="7883" s="330" customFormat="1" ht="15" customHeight="1" spans="1:24">
      <c r="A7883" s="550" t="s">
        <v>16822</v>
      </c>
      <c r="B7883" s="334" t="s">
        <v>137</v>
      </c>
      <c r="C7883" s="348" t="s">
        <v>138</v>
      </c>
      <c r="D7883" s="335" t="s">
        <v>139</v>
      </c>
      <c r="E7883" s="336">
        <v>43795</v>
      </c>
      <c r="F7883" s="336">
        <v>43779</v>
      </c>
      <c r="G7883" s="336">
        <v>43795</v>
      </c>
      <c r="H7883" s="334" t="s">
        <v>16823</v>
      </c>
      <c r="I7883" s="444">
        <v>13681797361</v>
      </c>
      <c r="J7883" s="348" t="s">
        <v>16824</v>
      </c>
      <c r="K7883" s="452">
        <v>1000</v>
      </c>
      <c r="L7883" s="334">
        <v>8900</v>
      </c>
      <c r="M7883" s="338"/>
      <c r="N7883" s="362">
        <f t="shared" si="271"/>
        <v>8900</v>
      </c>
      <c r="R7883" s="330">
        <v>1</v>
      </c>
      <c r="X7883" s="339"/>
    </row>
    <row r="7884" s="330" customFormat="1" ht="15" customHeight="1" spans="1:24">
      <c r="A7884" s="550" t="s">
        <v>7398</v>
      </c>
      <c r="B7884" s="334" t="s">
        <v>58</v>
      </c>
      <c r="C7884" s="348" t="s">
        <v>342</v>
      </c>
      <c r="D7884" s="335" t="s">
        <v>343</v>
      </c>
      <c r="E7884" s="336">
        <v>43780</v>
      </c>
      <c r="F7884" s="336">
        <v>43779</v>
      </c>
      <c r="G7884" s="399"/>
      <c r="H7884" s="334" t="s">
        <v>16825</v>
      </c>
      <c r="I7884" s="444">
        <v>18516373183</v>
      </c>
      <c r="J7884" s="348" t="s">
        <v>16826</v>
      </c>
      <c r="K7884" s="452">
        <v>500</v>
      </c>
      <c r="L7884" s="338"/>
      <c r="M7884" s="338"/>
      <c r="N7884" s="362">
        <f t="shared" si="271"/>
        <v>0</v>
      </c>
      <c r="Q7884" s="365" t="s">
        <v>52</v>
      </c>
      <c r="X7884" s="339"/>
    </row>
    <row r="7885" s="330" customFormat="1" ht="15" customHeight="1" spans="1:24">
      <c r="A7885" s="550" t="s">
        <v>8366</v>
      </c>
      <c r="B7885" s="334" t="s">
        <v>73</v>
      </c>
      <c r="C7885" s="348" t="s">
        <v>74</v>
      </c>
      <c r="D7885" s="334" t="s">
        <v>427</v>
      </c>
      <c r="E7885" s="336">
        <v>43791</v>
      </c>
      <c r="F7885" s="336">
        <v>43779</v>
      </c>
      <c r="G7885" s="336">
        <v>43791</v>
      </c>
      <c r="H7885" s="334" t="s">
        <v>2549</v>
      </c>
      <c r="I7885" s="444">
        <v>13916009720</v>
      </c>
      <c r="J7885" s="348" t="s">
        <v>16827</v>
      </c>
      <c r="K7885" s="452">
        <v>1000</v>
      </c>
      <c r="L7885" s="334">
        <v>8331</v>
      </c>
      <c r="M7885" s="338"/>
      <c r="N7885" s="362">
        <f t="shared" si="271"/>
        <v>8331</v>
      </c>
      <c r="P7885" s="366" t="s">
        <v>52</v>
      </c>
      <c r="X7885" s="339"/>
    </row>
    <row r="7886" s="330" customFormat="1" ht="15" customHeight="1" spans="1:24">
      <c r="A7886" s="550" t="s">
        <v>1638</v>
      </c>
      <c r="B7886" s="334" t="s">
        <v>31</v>
      </c>
      <c r="C7886" s="348" t="s">
        <v>3186</v>
      </c>
      <c r="D7886" s="335" t="s">
        <v>221</v>
      </c>
      <c r="E7886" s="336">
        <v>43780</v>
      </c>
      <c r="F7886" s="336">
        <v>43779</v>
      </c>
      <c r="G7886" s="399"/>
      <c r="H7886" s="334" t="s">
        <v>16828</v>
      </c>
      <c r="I7886" s="444">
        <v>18121189826</v>
      </c>
      <c r="J7886" s="348" t="s">
        <v>16829</v>
      </c>
      <c r="K7886" s="452">
        <v>1000</v>
      </c>
      <c r="L7886" s="338"/>
      <c r="M7886" s="338"/>
      <c r="N7886" s="362">
        <f t="shared" si="271"/>
        <v>0</v>
      </c>
      <c r="Q7886" s="366" t="s">
        <v>52</v>
      </c>
      <c r="X7886" s="339"/>
    </row>
    <row r="7887" s="330" customFormat="1" ht="15" customHeight="1" spans="1:24">
      <c r="A7887" s="550" t="s">
        <v>8469</v>
      </c>
      <c r="B7887" s="334" t="s">
        <v>31</v>
      </c>
      <c r="C7887" s="348" t="s">
        <v>3186</v>
      </c>
      <c r="D7887" s="334" t="s">
        <v>33</v>
      </c>
      <c r="E7887" s="336">
        <v>43820</v>
      </c>
      <c r="F7887" s="336">
        <v>43779</v>
      </c>
      <c r="G7887" s="336">
        <v>43817</v>
      </c>
      <c r="H7887" s="334" t="s">
        <v>16830</v>
      </c>
      <c r="I7887" s="444">
        <v>13917064865</v>
      </c>
      <c r="J7887" s="348" t="s">
        <v>16831</v>
      </c>
      <c r="K7887" s="452">
        <v>1000</v>
      </c>
      <c r="L7887" s="334">
        <v>6890</v>
      </c>
      <c r="M7887" s="338"/>
      <c r="N7887" s="362">
        <f t="shared" si="271"/>
        <v>6890</v>
      </c>
      <c r="X7887" s="339"/>
    </row>
    <row r="7888" s="330" customFormat="1" ht="15" customHeight="1" spans="1:24">
      <c r="A7888" s="550" t="s">
        <v>8094</v>
      </c>
      <c r="B7888" s="334" t="s">
        <v>73</v>
      </c>
      <c r="C7888" s="348" t="s">
        <v>74</v>
      </c>
      <c r="D7888" s="335" t="s">
        <v>125</v>
      </c>
      <c r="E7888" s="336">
        <v>43797</v>
      </c>
      <c r="F7888" s="336">
        <v>43778</v>
      </c>
      <c r="G7888" s="336">
        <v>43795</v>
      </c>
      <c r="H7888" s="334" t="s">
        <v>16832</v>
      </c>
      <c r="I7888" s="444">
        <v>13501974120</v>
      </c>
      <c r="J7888" s="348" t="s">
        <v>16833</v>
      </c>
      <c r="K7888" s="452">
        <v>1000</v>
      </c>
      <c r="L7888" s="334">
        <v>21000</v>
      </c>
      <c r="M7888" s="338"/>
      <c r="N7888" s="362">
        <f t="shared" si="271"/>
        <v>21000</v>
      </c>
      <c r="P7888" s="366" t="s">
        <v>52</v>
      </c>
      <c r="X7888" s="339"/>
    </row>
    <row r="7889" s="330" customFormat="1" ht="15" customHeight="1" spans="1:24">
      <c r="A7889" s="550" t="s">
        <v>4886</v>
      </c>
      <c r="B7889" s="334" t="s">
        <v>73</v>
      </c>
      <c r="C7889" s="348" t="s">
        <v>74</v>
      </c>
      <c r="D7889" s="334" t="s">
        <v>132</v>
      </c>
      <c r="E7889" s="336">
        <v>43797</v>
      </c>
      <c r="F7889" s="336">
        <v>43778</v>
      </c>
      <c r="G7889" s="336">
        <v>43796</v>
      </c>
      <c r="H7889" s="334" t="s">
        <v>16834</v>
      </c>
      <c r="I7889" s="444">
        <v>13621621870</v>
      </c>
      <c r="J7889" s="348" t="s">
        <v>16835</v>
      </c>
      <c r="K7889" s="452">
        <v>1000</v>
      </c>
      <c r="L7889" s="334">
        <v>18287</v>
      </c>
      <c r="M7889" s="338"/>
      <c r="N7889" s="362">
        <f t="shared" si="271"/>
        <v>18287</v>
      </c>
      <c r="R7889" s="366" t="s">
        <v>52</v>
      </c>
      <c r="X7889" s="339"/>
    </row>
    <row r="7890" s="330" customFormat="1" ht="15" customHeight="1" spans="1:24">
      <c r="A7890" s="348"/>
      <c r="B7890" s="334" t="s">
        <v>315</v>
      </c>
      <c r="C7890" s="348" t="s">
        <v>722</v>
      </c>
      <c r="D7890" s="335" t="s">
        <v>132</v>
      </c>
      <c r="E7890" s="336">
        <v>43780</v>
      </c>
      <c r="F7890" s="336">
        <v>43779</v>
      </c>
      <c r="G7890" s="399"/>
      <c r="H7890" s="334" t="s">
        <v>16836</v>
      </c>
      <c r="I7890" s="444">
        <v>18643515102</v>
      </c>
      <c r="J7890" s="348" t="s">
        <v>16837</v>
      </c>
      <c r="K7890" s="452">
        <v>1000</v>
      </c>
      <c r="L7890" s="338"/>
      <c r="M7890" s="338"/>
      <c r="N7890" s="362">
        <f t="shared" si="271"/>
        <v>0</v>
      </c>
      <c r="O7890" s="330">
        <v>1</v>
      </c>
      <c r="X7890" s="339"/>
    </row>
    <row r="7891" s="330" customFormat="1" ht="15" customHeight="1" spans="1:24">
      <c r="A7891" s="550" t="s">
        <v>16838</v>
      </c>
      <c r="B7891" s="334" t="s">
        <v>73</v>
      </c>
      <c r="C7891" s="348" t="s">
        <v>74</v>
      </c>
      <c r="D7891" s="334" t="s">
        <v>44</v>
      </c>
      <c r="E7891" s="336">
        <v>43783</v>
      </c>
      <c r="F7891" s="336">
        <v>43778</v>
      </c>
      <c r="G7891" s="336">
        <v>43782</v>
      </c>
      <c r="H7891" s="334" t="s">
        <v>16839</v>
      </c>
      <c r="I7891" s="444">
        <v>18917935408</v>
      </c>
      <c r="J7891" s="348" t="s">
        <v>16840</v>
      </c>
      <c r="K7891" s="452">
        <v>1000</v>
      </c>
      <c r="L7891" s="334">
        <v>20008</v>
      </c>
      <c r="M7891" s="338"/>
      <c r="N7891" s="362">
        <f t="shared" si="271"/>
        <v>20008</v>
      </c>
      <c r="X7891" s="339"/>
    </row>
    <row r="7892" s="330" customFormat="1" ht="15" customHeight="1" spans="1:24">
      <c r="A7892" s="550" t="s">
        <v>8807</v>
      </c>
      <c r="B7892" s="334" t="s">
        <v>73</v>
      </c>
      <c r="C7892" s="348" t="s">
        <v>74</v>
      </c>
      <c r="D7892" s="352" t="s">
        <v>75</v>
      </c>
      <c r="E7892" s="336">
        <v>43780</v>
      </c>
      <c r="F7892" s="336">
        <v>43778</v>
      </c>
      <c r="G7892" s="399" t="s">
        <v>69</v>
      </c>
      <c r="H7892" s="334" t="s">
        <v>16841</v>
      </c>
      <c r="I7892" s="444">
        <v>13764756195</v>
      </c>
      <c r="J7892" s="348" t="s">
        <v>16842</v>
      </c>
      <c r="K7892" s="452">
        <v>1000</v>
      </c>
      <c r="L7892" s="338"/>
      <c r="M7892" s="338"/>
      <c r="N7892" s="362">
        <f t="shared" si="271"/>
        <v>0</v>
      </c>
      <c r="O7892" s="366" t="s">
        <v>52</v>
      </c>
      <c r="X7892" s="339"/>
    </row>
    <row r="7893" s="330" customFormat="1" ht="15" customHeight="1" spans="1:24">
      <c r="A7893" s="550" t="s">
        <v>8088</v>
      </c>
      <c r="B7893" s="334" t="s">
        <v>73</v>
      </c>
      <c r="C7893" s="348" t="s">
        <v>178</v>
      </c>
      <c r="D7893" s="334" t="s">
        <v>427</v>
      </c>
      <c r="E7893" s="336">
        <v>43835</v>
      </c>
      <c r="F7893" s="336">
        <v>43778</v>
      </c>
      <c r="G7893" s="336">
        <v>43834</v>
      </c>
      <c r="H7893" s="334" t="s">
        <v>16843</v>
      </c>
      <c r="I7893" s="444">
        <v>13621624780</v>
      </c>
      <c r="J7893" s="348" t="s">
        <v>16844</v>
      </c>
      <c r="K7893" s="452">
        <v>1000</v>
      </c>
      <c r="L7893" s="334">
        <v>11200</v>
      </c>
      <c r="M7893" s="338"/>
      <c r="N7893" s="362">
        <f t="shared" si="271"/>
        <v>11200</v>
      </c>
      <c r="O7893" s="366" t="s">
        <v>52</v>
      </c>
      <c r="X7893" s="339"/>
    </row>
    <row r="7894" s="330" customFormat="1" ht="15" customHeight="1" spans="1:24">
      <c r="A7894" s="550" t="s">
        <v>16845</v>
      </c>
      <c r="B7894" s="334" t="s">
        <v>31</v>
      </c>
      <c r="C7894" s="348" t="s">
        <v>3186</v>
      </c>
      <c r="D7894" s="335" t="s">
        <v>221</v>
      </c>
      <c r="E7894" s="336">
        <v>43780</v>
      </c>
      <c r="F7894" s="336">
        <v>43779</v>
      </c>
      <c r="G7894" s="399"/>
      <c r="H7894" s="334" t="s">
        <v>16846</v>
      </c>
      <c r="I7894" s="444">
        <v>15900877020</v>
      </c>
      <c r="J7894" s="348" t="s">
        <v>16847</v>
      </c>
      <c r="K7894" s="452">
        <v>1000</v>
      </c>
      <c r="L7894" s="338"/>
      <c r="M7894" s="338"/>
      <c r="N7894" s="362">
        <f t="shared" si="271"/>
        <v>0</v>
      </c>
      <c r="O7894" s="366" t="s">
        <v>52</v>
      </c>
      <c r="X7894" s="339"/>
    </row>
    <row r="7895" s="330" customFormat="1" ht="15" customHeight="1" spans="1:24">
      <c r="A7895" s="550" t="s">
        <v>8094</v>
      </c>
      <c r="B7895" s="334" t="s">
        <v>73</v>
      </c>
      <c r="C7895" s="348" t="s">
        <v>74</v>
      </c>
      <c r="D7895" s="352" t="s">
        <v>75</v>
      </c>
      <c r="E7895" s="336">
        <v>43780</v>
      </c>
      <c r="F7895" s="336">
        <v>43778</v>
      </c>
      <c r="G7895" s="399" t="s">
        <v>69</v>
      </c>
      <c r="H7895" s="334" t="s">
        <v>16848</v>
      </c>
      <c r="I7895" s="444">
        <v>13821849451</v>
      </c>
      <c r="J7895" s="348" t="s">
        <v>16849</v>
      </c>
      <c r="K7895" s="452">
        <v>1000</v>
      </c>
      <c r="L7895" s="338"/>
      <c r="M7895" s="338"/>
      <c r="N7895" s="362">
        <f t="shared" si="271"/>
        <v>0</v>
      </c>
      <c r="O7895" s="366" t="s">
        <v>52</v>
      </c>
      <c r="X7895" s="339"/>
    </row>
    <row r="7896" s="330" customFormat="1" ht="15" customHeight="1" spans="1:24">
      <c r="A7896" s="550" t="s">
        <v>16850</v>
      </c>
      <c r="B7896" s="334" t="s">
        <v>185</v>
      </c>
      <c r="C7896" s="348" t="s">
        <v>186</v>
      </c>
      <c r="D7896" s="335" t="s">
        <v>187</v>
      </c>
      <c r="E7896" s="336">
        <v>43798</v>
      </c>
      <c r="F7896" s="336">
        <v>43779</v>
      </c>
      <c r="G7896" s="336">
        <v>43798</v>
      </c>
      <c r="H7896" s="334" t="s">
        <v>16851</v>
      </c>
      <c r="I7896" s="444">
        <v>18321579710</v>
      </c>
      <c r="J7896" s="348" t="s">
        <v>16852</v>
      </c>
      <c r="K7896" s="452">
        <v>1000</v>
      </c>
      <c r="L7896" s="334">
        <v>7500</v>
      </c>
      <c r="M7896" s="338"/>
      <c r="N7896" s="362">
        <f t="shared" si="271"/>
        <v>7500</v>
      </c>
      <c r="X7896" s="339"/>
    </row>
    <row r="7897" s="330" customFormat="1" ht="15" customHeight="1" spans="1:24">
      <c r="A7897" s="550" t="s">
        <v>16853</v>
      </c>
      <c r="B7897" s="334" t="s">
        <v>185</v>
      </c>
      <c r="C7897" s="348" t="s">
        <v>186</v>
      </c>
      <c r="D7897" s="335" t="s">
        <v>187</v>
      </c>
      <c r="E7897" s="336">
        <v>43780</v>
      </c>
      <c r="F7897" s="336">
        <v>43779</v>
      </c>
      <c r="G7897" s="399"/>
      <c r="H7897" s="334" t="s">
        <v>16854</v>
      </c>
      <c r="I7897" s="444">
        <v>13816853967</v>
      </c>
      <c r="J7897" s="348" t="s">
        <v>16855</v>
      </c>
      <c r="K7897" s="452">
        <v>1000</v>
      </c>
      <c r="L7897" s="338"/>
      <c r="M7897" s="338"/>
      <c r="N7897" s="362">
        <f t="shared" si="271"/>
        <v>0</v>
      </c>
      <c r="O7897" s="356" t="s">
        <v>52</v>
      </c>
      <c r="X7897" s="339"/>
    </row>
    <row r="7898" s="330" customFormat="1" ht="15" customHeight="1" spans="1:24">
      <c r="A7898" s="550" t="s">
        <v>16856</v>
      </c>
      <c r="B7898" s="334" t="s">
        <v>726</v>
      </c>
      <c r="C7898" s="348" t="s">
        <v>12699</v>
      </c>
      <c r="D7898" s="334" t="s">
        <v>271</v>
      </c>
      <c r="E7898" s="336">
        <v>43798</v>
      </c>
      <c r="F7898" s="336">
        <v>43779</v>
      </c>
      <c r="G7898" s="336">
        <v>43798</v>
      </c>
      <c r="H7898" s="334" t="s">
        <v>16857</v>
      </c>
      <c r="I7898" s="444">
        <v>13901621266</v>
      </c>
      <c r="J7898" s="348" t="s">
        <v>16858</v>
      </c>
      <c r="K7898" s="452">
        <v>12115</v>
      </c>
      <c r="L7898" s="334">
        <v>12115</v>
      </c>
      <c r="M7898" s="338"/>
      <c r="N7898" s="362">
        <f t="shared" si="271"/>
        <v>12115</v>
      </c>
      <c r="X7898" s="339"/>
    </row>
    <row r="7899" s="330" customFormat="1" ht="15" customHeight="1" spans="1:24">
      <c r="A7899" s="550" t="s">
        <v>7362</v>
      </c>
      <c r="B7899" s="334" t="s">
        <v>87</v>
      </c>
      <c r="C7899" s="348" t="s">
        <v>466</v>
      </c>
      <c r="D7899" s="335" t="s">
        <v>89</v>
      </c>
      <c r="E7899" s="336">
        <v>43793</v>
      </c>
      <c r="F7899" s="336">
        <v>43779</v>
      </c>
      <c r="G7899" s="336">
        <v>43791</v>
      </c>
      <c r="H7899" s="334" t="s">
        <v>16859</v>
      </c>
      <c r="I7899" s="444">
        <v>13301615316</v>
      </c>
      <c r="J7899" s="348" t="s">
        <v>16860</v>
      </c>
      <c r="K7899" s="452">
        <v>1000</v>
      </c>
      <c r="L7899" s="334">
        <v>25351</v>
      </c>
      <c r="M7899" s="338"/>
      <c r="N7899" s="362">
        <f t="shared" si="271"/>
        <v>25351</v>
      </c>
      <c r="X7899" s="339"/>
    </row>
    <row r="7900" s="330" customFormat="1" ht="15" customHeight="1" spans="1:24">
      <c r="A7900" s="550" t="s">
        <v>16861</v>
      </c>
      <c r="B7900" s="334" t="s">
        <v>185</v>
      </c>
      <c r="C7900" s="348" t="s">
        <v>1620</v>
      </c>
      <c r="D7900" s="335" t="s">
        <v>44</v>
      </c>
      <c r="E7900" s="336">
        <v>43799</v>
      </c>
      <c r="F7900" s="336">
        <v>43779</v>
      </c>
      <c r="G7900" s="336">
        <v>43797</v>
      </c>
      <c r="H7900" s="334" t="s">
        <v>16862</v>
      </c>
      <c r="I7900" s="444">
        <v>15955198469</v>
      </c>
      <c r="J7900" s="348" t="s">
        <v>16863</v>
      </c>
      <c r="K7900" s="452">
        <v>1000</v>
      </c>
      <c r="L7900" s="334">
        <v>15988</v>
      </c>
      <c r="M7900" s="338"/>
      <c r="N7900" s="362">
        <f t="shared" si="271"/>
        <v>15988</v>
      </c>
      <c r="X7900" s="339"/>
    </row>
    <row r="7901" s="330" customFormat="1" ht="15" customHeight="1" spans="1:24">
      <c r="A7901" s="550" t="s">
        <v>8624</v>
      </c>
      <c r="B7901" s="334" t="s">
        <v>73</v>
      </c>
      <c r="C7901" s="348" t="s">
        <v>178</v>
      </c>
      <c r="D7901" s="334" t="s">
        <v>44</v>
      </c>
      <c r="E7901" s="336">
        <v>43799</v>
      </c>
      <c r="F7901" s="336">
        <v>43778</v>
      </c>
      <c r="G7901" s="336">
        <v>43797</v>
      </c>
      <c r="H7901" s="334" t="s">
        <v>16864</v>
      </c>
      <c r="I7901" s="444">
        <v>13817683566</v>
      </c>
      <c r="J7901" s="348" t="s">
        <v>16865</v>
      </c>
      <c r="K7901" s="452">
        <v>1000</v>
      </c>
      <c r="L7901" s="334">
        <v>50386</v>
      </c>
      <c r="M7901" s="338"/>
      <c r="N7901" s="362">
        <f t="shared" si="271"/>
        <v>50386</v>
      </c>
      <c r="O7901" s="366" t="s">
        <v>52</v>
      </c>
      <c r="X7901" s="339"/>
    </row>
    <row r="7902" s="330" customFormat="1" ht="15" customHeight="1" spans="1:24">
      <c r="A7902" s="550" t="s">
        <v>10629</v>
      </c>
      <c r="B7902" s="334" t="s">
        <v>185</v>
      </c>
      <c r="C7902" s="348" t="s">
        <v>1620</v>
      </c>
      <c r="D7902" s="335" t="s">
        <v>44</v>
      </c>
      <c r="E7902" s="336">
        <v>43784</v>
      </c>
      <c r="F7902" s="336">
        <v>43779</v>
      </c>
      <c r="G7902" s="336">
        <v>43782</v>
      </c>
      <c r="H7902" s="334" t="s">
        <v>16866</v>
      </c>
      <c r="I7902" s="444">
        <v>17721145157</v>
      </c>
      <c r="J7902" s="348" t="s">
        <v>16867</v>
      </c>
      <c r="K7902" s="452">
        <v>1000</v>
      </c>
      <c r="L7902" s="334">
        <v>9800</v>
      </c>
      <c r="M7902" s="338"/>
      <c r="N7902" s="362">
        <f t="shared" si="271"/>
        <v>9800</v>
      </c>
      <c r="X7902" s="339"/>
    </row>
    <row r="7903" s="330" customFormat="1" ht="15" customHeight="1" spans="1:24">
      <c r="A7903" s="550" t="s">
        <v>8101</v>
      </c>
      <c r="B7903" s="334" t="s">
        <v>73</v>
      </c>
      <c r="C7903" s="348" t="s">
        <v>178</v>
      </c>
      <c r="D7903" s="352" t="s">
        <v>75</v>
      </c>
      <c r="E7903" s="336">
        <v>43780</v>
      </c>
      <c r="F7903" s="336">
        <v>43778</v>
      </c>
      <c r="G7903" s="399"/>
      <c r="H7903" s="334" t="s">
        <v>16868</v>
      </c>
      <c r="I7903" s="444">
        <v>18621914207</v>
      </c>
      <c r="J7903" s="348" t="s">
        <v>16869</v>
      </c>
      <c r="K7903" s="452">
        <v>1000</v>
      </c>
      <c r="L7903" s="338"/>
      <c r="M7903" s="338"/>
      <c r="N7903" s="362">
        <f t="shared" si="271"/>
        <v>0</v>
      </c>
      <c r="O7903" s="366" t="s">
        <v>52</v>
      </c>
      <c r="X7903" s="339"/>
    </row>
    <row r="7904" s="330" customFormat="1" ht="15" customHeight="1" spans="1:24">
      <c r="A7904" s="550" t="s">
        <v>9126</v>
      </c>
      <c r="B7904" s="334" t="s">
        <v>73</v>
      </c>
      <c r="C7904" s="348" t="s">
        <v>74</v>
      </c>
      <c r="D7904" s="335" t="s">
        <v>75</v>
      </c>
      <c r="E7904" s="336">
        <v>43784</v>
      </c>
      <c r="F7904" s="336">
        <v>43780</v>
      </c>
      <c r="G7904" s="399"/>
      <c r="H7904" s="334" t="s">
        <v>16870</v>
      </c>
      <c r="I7904" s="444">
        <v>13120966314</v>
      </c>
      <c r="J7904" s="348" t="s">
        <v>16871</v>
      </c>
      <c r="K7904" s="452">
        <v>1000</v>
      </c>
      <c r="L7904" s="338"/>
      <c r="M7904" s="338"/>
      <c r="N7904" s="362">
        <f t="shared" si="271"/>
        <v>0</v>
      </c>
      <c r="O7904" s="366" t="s">
        <v>52</v>
      </c>
      <c r="X7904" s="339"/>
    </row>
    <row r="7905" s="330" customFormat="1" ht="15" customHeight="1" spans="1:24">
      <c r="A7905" s="348"/>
      <c r="B7905" s="334" t="s">
        <v>87</v>
      </c>
      <c r="C7905" s="348" t="s">
        <v>199</v>
      </c>
      <c r="D7905" s="335" t="s">
        <v>89</v>
      </c>
      <c r="E7905" s="336">
        <v>43787</v>
      </c>
      <c r="F7905" s="336">
        <v>43779</v>
      </c>
      <c r="G7905" s="336">
        <v>43787</v>
      </c>
      <c r="H7905" s="334" t="s">
        <v>16872</v>
      </c>
      <c r="I7905" s="444">
        <v>15710183715</v>
      </c>
      <c r="J7905" s="348" t="s">
        <v>16873</v>
      </c>
      <c r="K7905" s="452">
        <v>5799</v>
      </c>
      <c r="L7905" s="334">
        <v>7332</v>
      </c>
      <c r="M7905" s="338"/>
      <c r="N7905" s="362">
        <f t="shared" si="271"/>
        <v>7332</v>
      </c>
      <c r="X7905" s="339"/>
    </row>
    <row r="7906" s="330" customFormat="1" ht="15" customHeight="1" spans="1:24">
      <c r="A7906" s="348"/>
      <c r="B7906" s="334" t="s">
        <v>87</v>
      </c>
      <c r="C7906" s="348" t="s">
        <v>199</v>
      </c>
      <c r="D7906" s="335" t="s">
        <v>89</v>
      </c>
      <c r="E7906" s="336">
        <v>43827</v>
      </c>
      <c r="F7906" s="336">
        <v>43779</v>
      </c>
      <c r="G7906" s="336">
        <v>43827</v>
      </c>
      <c r="H7906" s="334" t="s">
        <v>16874</v>
      </c>
      <c r="I7906" s="444">
        <v>13072195858</v>
      </c>
      <c r="J7906" s="348" t="s">
        <v>16875</v>
      </c>
      <c r="K7906" s="452">
        <v>4799</v>
      </c>
      <c r="L7906" s="334">
        <v>5200</v>
      </c>
      <c r="M7906" s="338"/>
      <c r="N7906" s="362">
        <f t="shared" si="271"/>
        <v>5200</v>
      </c>
      <c r="P7906" s="411" t="s">
        <v>52</v>
      </c>
      <c r="V7906" s="353" t="s">
        <v>1768</v>
      </c>
      <c r="X7906" s="339"/>
    </row>
    <row r="7907" s="330" customFormat="1" ht="15" customHeight="1" spans="1:24">
      <c r="A7907" s="550" t="s">
        <v>16876</v>
      </c>
      <c r="B7907" s="334" t="s">
        <v>153</v>
      </c>
      <c r="C7907" s="348" t="s">
        <v>302</v>
      </c>
      <c r="D7907" s="335" t="s">
        <v>155</v>
      </c>
      <c r="E7907" s="336">
        <v>43788</v>
      </c>
      <c r="F7907" s="336">
        <v>43779</v>
      </c>
      <c r="G7907" s="336">
        <v>43788</v>
      </c>
      <c r="H7907" s="334" t="s">
        <v>16877</v>
      </c>
      <c r="I7907" s="444">
        <v>13641735431</v>
      </c>
      <c r="J7907" s="348" t="s">
        <v>16878</v>
      </c>
      <c r="K7907" s="452">
        <v>1000</v>
      </c>
      <c r="L7907" s="334">
        <v>6496</v>
      </c>
      <c r="M7907" s="334">
        <v>1360</v>
      </c>
      <c r="N7907" s="362">
        <f t="shared" si="271"/>
        <v>7856</v>
      </c>
      <c r="V7907" s="330" t="s">
        <v>2494</v>
      </c>
      <c r="X7907" s="339"/>
    </row>
    <row r="7908" s="330" customFormat="1" ht="15" customHeight="1" spans="1:24">
      <c r="A7908" s="550" t="s">
        <v>10058</v>
      </c>
      <c r="B7908" s="334" t="s">
        <v>205</v>
      </c>
      <c r="C7908" s="348" t="s">
        <v>1467</v>
      </c>
      <c r="D7908" s="334" t="s">
        <v>207</v>
      </c>
      <c r="E7908" s="336">
        <v>43798</v>
      </c>
      <c r="F7908" s="336">
        <v>43779</v>
      </c>
      <c r="G7908" s="336">
        <v>43798</v>
      </c>
      <c r="H7908" s="334" t="s">
        <v>16879</v>
      </c>
      <c r="I7908" s="444">
        <v>13816863386</v>
      </c>
      <c r="J7908" s="348" t="s">
        <v>16880</v>
      </c>
      <c r="K7908" s="452">
        <v>20000</v>
      </c>
      <c r="L7908" s="334">
        <v>20000</v>
      </c>
      <c r="M7908" s="338"/>
      <c r="N7908" s="362">
        <f t="shared" si="271"/>
        <v>20000</v>
      </c>
      <c r="X7908" s="339"/>
    </row>
    <row r="7909" s="330" customFormat="1" ht="15" customHeight="1" spans="1:24">
      <c r="A7909" s="550" t="s">
        <v>16881</v>
      </c>
      <c r="B7909" s="334" t="s">
        <v>66</v>
      </c>
      <c r="C7909" s="348" t="s">
        <v>119</v>
      </c>
      <c r="D7909" s="334" t="s">
        <v>1436</v>
      </c>
      <c r="E7909" s="336">
        <v>43793</v>
      </c>
      <c r="F7909" s="336">
        <v>43779</v>
      </c>
      <c r="G7909" s="336">
        <v>43786</v>
      </c>
      <c r="H7909" s="334" t="s">
        <v>9481</v>
      </c>
      <c r="I7909" s="444">
        <v>15221724007</v>
      </c>
      <c r="J7909" s="348" t="s">
        <v>16882</v>
      </c>
      <c r="K7909" s="452">
        <v>2940</v>
      </c>
      <c r="L7909" s="334">
        <v>15490</v>
      </c>
      <c r="M7909" s="338"/>
      <c r="N7909" s="362">
        <f t="shared" si="271"/>
        <v>15490</v>
      </c>
      <c r="X7909" s="339"/>
    </row>
    <row r="7910" s="330" customFormat="1" ht="15" customHeight="1" spans="1:24">
      <c r="A7910" s="550" t="s">
        <v>16883</v>
      </c>
      <c r="B7910" s="334" t="s">
        <v>137</v>
      </c>
      <c r="C7910" s="348" t="s">
        <v>480</v>
      </c>
      <c r="D7910" s="335" t="s">
        <v>139</v>
      </c>
      <c r="E7910" s="336">
        <v>43780</v>
      </c>
      <c r="F7910" s="336">
        <v>43779</v>
      </c>
      <c r="G7910" s="399"/>
      <c r="H7910" s="334" t="s">
        <v>16884</v>
      </c>
      <c r="I7910" s="555" t="s">
        <v>16885</v>
      </c>
      <c r="J7910" s="348" t="s">
        <v>16886</v>
      </c>
      <c r="K7910" s="452">
        <v>18000</v>
      </c>
      <c r="L7910" s="338"/>
      <c r="M7910" s="338"/>
      <c r="N7910" s="362">
        <f t="shared" si="271"/>
        <v>0</v>
      </c>
      <c r="Q7910" s="353" t="s">
        <v>21</v>
      </c>
      <c r="X7910" s="339"/>
    </row>
    <row r="7911" s="330" customFormat="1" ht="15" customHeight="1" spans="1:24">
      <c r="A7911" s="348">
        <v>2019343</v>
      </c>
      <c r="B7911" s="334" t="s">
        <v>185</v>
      </c>
      <c r="C7911" s="348" t="s">
        <v>12765</v>
      </c>
      <c r="D7911" s="334" t="s">
        <v>207</v>
      </c>
      <c r="E7911" s="336">
        <v>43794</v>
      </c>
      <c r="F7911" s="336">
        <v>43779</v>
      </c>
      <c r="G7911" s="336">
        <v>43794</v>
      </c>
      <c r="H7911" s="334" t="s">
        <v>16887</v>
      </c>
      <c r="I7911" s="444">
        <v>13817773340</v>
      </c>
      <c r="J7911" s="348" t="s">
        <v>16888</v>
      </c>
      <c r="K7911" s="452">
        <v>1500</v>
      </c>
      <c r="L7911" s="334">
        <v>5864</v>
      </c>
      <c r="M7911" s="338"/>
      <c r="N7911" s="362">
        <f t="shared" si="271"/>
        <v>5864</v>
      </c>
      <c r="X7911" s="339"/>
    </row>
    <row r="7912" s="330" customFormat="1" ht="15" customHeight="1" spans="1:24">
      <c r="A7912" s="550" t="s">
        <v>16889</v>
      </c>
      <c r="B7912" s="334" t="s">
        <v>66</v>
      </c>
      <c r="C7912" s="348" t="s">
        <v>951</v>
      </c>
      <c r="D7912" s="335" t="s">
        <v>68</v>
      </c>
      <c r="E7912" s="336">
        <v>43780</v>
      </c>
      <c r="F7912" s="336">
        <v>43779</v>
      </c>
      <c r="G7912" s="399"/>
      <c r="H7912" s="334" t="s">
        <v>16890</v>
      </c>
      <c r="I7912" s="444">
        <v>18721759497</v>
      </c>
      <c r="J7912" s="348" t="s">
        <v>16891</v>
      </c>
      <c r="K7912" s="452">
        <v>2940</v>
      </c>
      <c r="L7912" s="338"/>
      <c r="M7912" s="338"/>
      <c r="N7912" s="362">
        <f t="shared" si="271"/>
        <v>0</v>
      </c>
      <c r="X7912" s="339"/>
    </row>
    <row r="7913" s="330" customFormat="1" ht="15" customHeight="1" spans="1:24">
      <c r="A7913" s="550" t="s">
        <v>16892</v>
      </c>
      <c r="B7913" s="334" t="s">
        <v>58</v>
      </c>
      <c r="C7913" s="348" t="s">
        <v>342</v>
      </c>
      <c r="D7913" s="335" t="s">
        <v>343</v>
      </c>
      <c r="E7913" s="336">
        <v>43795</v>
      </c>
      <c r="F7913" s="336">
        <v>43779</v>
      </c>
      <c r="G7913" s="336">
        <v>43795</v>
      </c>
      <c r="H7913" s="334" t="s">
        <v>16893</v>
      </c>
      <c r="I7913" s="444">
        <v>15201713436</v>
      </c>
      <c r="J7913" s="348" t="s">
        <v>16894</v>
      </c>
      <c r="K7913" s="452">
        <v>22500</v>
      </c>
      <c r="L7913" s="334">
        <v>14000</v>
      </c>
      <c r="M7913" s="338"/>
      <c r="N7913" s="362">
        <f t="shared" si="271"/>
        <v>14000</v>
      </c>
      <c r="R7913" s="365" t="s">
        <v>52</v>
      </c>
      <c r="X7913" s="339"/>
    </row>
    <row r="7914" s="330" customFormat="1" ht="15" customHeight="1" spans="1:24">
      <c r="A7914" s="550" t="s">
        <v>13419</v>
      </c>
      <c r="B7914" s="334" t="s">
        <v>35</v>
      </c>
      <c r="C7914" s="348" t="s">
        <v>36</v>
      </c>
      <c r="D7914" s="335" t="s">
        <v>37</v>
      </c>
      <c r="E7914" s="336">
        <v>43780</v>
      </c>
      <c r="F7914" s="336">
        <v>43779</v>
      </c>
      <c r="G7914" s="399"/>
      <c r="H7914" s="334" t="s">
        <v>16895</v>
      </c>
      <c r="I7914" s="555" t="s">
        <v>16896</v>
      </c>
      <c r="J7914" s="348" t="s">
        <v>16897</v>
      </c>
      <c r="K7914" s="452">
        <v>1000</v>
      </c>
      <c r="L7914" s="338"/>
      <c r="M7914" s="338"/>
      <c r="N7914" s="362">
        <f t="shared" si="271"/>
        <v>0</v>
      </c>
      <c r="O7914" s="356" t="s">
        <v>52</v>
      </c>
      <c r="X7914" s="339"/>
    </row>
    <row r="7915" s="330" customFormat="1" ht="15" customHeight="1" spans="1:24">
      <c r="A7915" s="550" t="s">
        <v>15125</v>
      </c>
      <c r="B7915" s="334" t="s">
        <v>137</v>
      </c>
      <c r="C7915" s="348" t="s">
        <v>861</v>
      </c>
      <c r="D7915" s="334" t="s">
        <v>443</v>
      </c>
      <c r="E7915" s="336">
        <v>43799</v>
      </c>
      <c r="F7915" s="336">
        <v>43779</v>
      </c>
      <c r="G7915" s="336">
        <v>43799</v>
      </c>
      <c r="H7915" s="334" t="s">
        <v>16898</v>
      </c>
      <c r="I7915" s="444">
        <v>18621860097</v>
      </c>
      <c r="J7915" s="348" t="s">
        <v>16899</v>
      </c>
      <c r="K7915" s="452">
        <v>12600</v>
      </c>
      <c r="L7915" s="334">
        <v>12600</v>
      </c>
      <c r="M7915" s="338"/>
      <c r="N7915" s="362">
        <f t="shared" si="271"/>
        <v>12600</v>
      </c>
      <c r="S7915" s="330">
        <v>1</v>
      </c>
      <c r="X7915" s="339"/>
    </row>
    <row r="7916" s="330" customFormat="1" ht="15" customHeight="1" spans="1:24">
      <c r="A7916" s="550" t="s">
        <v>10552</v>
      </c>
      <c r="B7916" s="334" t="s">
        <v>137</v>
      </c>
      <c r="C7916" s="348" t="s">
        <v>861</v>
      </c>
      <c r="D7916" s="334" t="s">
        <v>2381</v>
      </c>
      <c r="E7916" s="336">
        <v>43793</v>
      </c>
      <c r="F7916" s="336">
        <v>43779</v>
      </c>
      <c r="G7916" s="336">
        <v>43792</v>
      </c>
      <c r="H7916" s="334" t="s">
        <v>16900</v>
      </c>
      <c r="I7916" s="444">
        <v>18616285793</v>
      </c>
      <c r="J7916" s="348" t="s">
        <v>16901</v>
      </c>
      <c r="K7916" s="452">
        <v>12600</v>
      </c>
      <c r="L7916" s="334">
        <v>14763</v>
      </c>
      <c r="M7916" s="338"/>
      <c r="N7916" s="362">
        <f t="shared" si="271"/>
        <v>14763</v>
      </c>
      <c r="T7916" s="330">
        <v>1</v>
      </c>
      <c r="X7916" s="339"/>
    </row>
    <row r="7917" s="330" customFormat="1" ht="15" customHeight="1" spans="1:24">
      <c r="A7917" s="550" t="s">
        <v>16902</v>
      </c>
      <c r="B7917" s="334" t="s">
        <v>315</v>
      </c>
      <c r="C7917" s="348" t="s">
        <v>230</v>
      </c>
      <c r="D7917" s="335" t="s">
        <v>182</v>
      </c>
      <c r="E7917" s="336">
        <v>43799</v>
      </c>
      <c r="F7917" s="336">
        <v>43779</v>
      </c>
      <c r="G7917" s="336">
        <v>43799</v>
      </c>
      <c r="H7917" s="334" t="s">
        <v>16903</v>
      </c>
      <c r="I7917" s="444">
        <v>18621614413</v>
      </c>
      <c r="J7917" s="348" t="s">
        <v>16904</v>
      </c>
      <c r="K7917" s="452">
        <v>1000</v>
      </c>
      <c r="L7917" s="334">
        <v>13200</v>
      </c>
      <c r="M7917" s="338"/>
      <c r="N7917" s="362">
        <f t="shared" si="271"/>
        <v>13200</v>
      </c>
      <c r="X7917" s="339"/>
    </row>
    <row r="7918" s="330" customFormat="1" ht="15" customHeight="1" spans="1:24">
      <c r="A7918" s="550" t="s">
        <v>16905</v>
      </c>
      <c r="B7918" s="334" t="s">
        <v>726</v>
      </c>
      <c r="C7918" s="348" t="s">
        <v>727</v>
      </c>
      <c r="D7918" s="334" t="s">
        <v>271</v>
      </c>
      <c r="E7918" s="336">
        <v>43831</v>
      </c>
      <c r="F7918" s="336">
        <v>43779</v>
      </c>
      <c r="G7918" s="336">
        <v>43826</v>
      </c>
      <c r="H7918" s="334" t="s">
        <v>16906</v>
      </c>
      <c r="I7918" s="444">
        <v>15900578621</v>
      </c>
      <c r="J7918" s="348" t="s">
        <v>16907</v>
      </c>
      <c r="K7918" s="452">
        <v>5000</v>
      </c>
      <c r="L7918" s="334">
        <v>18558</v>
      </c>
      <c r="M7918" s="338"/>
      <c r="N7918" s="362">
        <f t="shared" si="271"/>
        <v>18558</v>
      </c>
      <c r="O7918" s="467" t="s">
        <v>52</v>
      </c>
      <c r="X7918" s="339"/>
    </row>
    <row r="7919" s="330" customFormat="1" ht="15" customHeight="1" spans="1:24">
      <c r="A7919" s="348"/>
      <c r="B7919" s="334" t="s">
        <v>147</v>
      </c>
      <c r="C7919" s="348" t="s">
        <v>148</v>
      </c>
      <c r="D7919" s="335" t="s">
        <v>149</v>
      </c>
      <c r="E7919" s="336">
        <v>43780</v>
      </c>
      <c r="F7919" s="336">
        <v>43779</v>
      </c>
      <c r="G7919" s="399"/>
      <c r="H7919" s="334" t="s">
        <v>16908</v>
      </c>
      <c r="I7919" s="444">
        <v>18918583826</v>
      </c>
      <c r="J7919" s="348" t="s">
        <v>16909</v>
      </c>
      <c r="K7919" s="452">
        <v>1000</v>
      </c>
      <c r="L7919" s="338"/>
      <c r="M7919" s="338"/>
      <c r="N7919" s="362">
        <f t="shared" si="271"/>
        <v>0</v>
      </c>
      <c r="X7919" s="339"/>
    </row>
    <row r="7920" s="330" customFormat="1" ht="15" customHeight="1" spans="1:24">
      <c r="A7920" s="550" t="s">
        <v>16671</v>
      </c>
      <c r="B7920" s="334" t="s">
        <v>58</v>
      </c>
      <c r="C7920" s="348" t="s">
        <v>109</v>
      </c>
      <c r="D7920" s="335" t="s">
        <v>110</v>
      </c>
      <c r="E7920" s="336">
        <v>43786</v>
      </c>
      <c r="F7920" s="336">
        <v>43779</v>
      </c>
      <c r="G7920" s="336">
        <v>43785</v>
      </c>
      <c r="H7920" s="334" t="s">
        <v>16910</v>
      </c>
      <c r="I7920" s="444">
        <v>13816770283</v>
      </c>
      <c r="J7920" s="348" t="s">
        <v>16911</v>
      </c>
      <c r="K7920" s="452">
        <v>36000</v>
      </c>
      <c r="L7920" s="334">
        <v>37000</v>
      </c>
      <c r="M7920" s="338"/>
      <c r="N7920" s="362">
        <f t="shared" si="271"/>
        <v>37000</v>
      </c>
      <c r="X7920" s="339"/>
    </row>
    <row r="7921" s="330" customFormat="1" ht="15" customHeight="1" spans="1:24">
      <c r="A7921" s="550" t="s">
        <v>16533</v>
      </c>
      <c r="B7921" s="334" t="s">
        <v>58</v>
      </c>
      <c r="C7921" s="348" t="s">
        <v>109</v>
      </c>
      <c r="D7921" s="335" t="s">
        <v>110</v>
      </c>
      <c r="E7921" s="336">
        <v>43788</v>
      </c>
      <c r="F7921" s="336">
        <v>43779</v>
      </c>
      <c r="G7921" s="336">
        <v>43787</v>
      </c>
      <c r="H7921" s="334" t="s">
        <v>16912</v>
      </c>
      <c r="I7921" s="444">
        <v>13817702770</v>
      </c>
      <c r="J7921" s="348" t="s">
        <v>16913</v>
      </c>
      <c r="K7921" s="452">
        <v>11700</v>
      </c>
      <c r="L7921" s="334">
        <v>12588</v>
      </c>
      <c r="M7921" s="338"/>
      <c r="N7921" s="362">
        <f t="shared" si="271"/>
        <v>12588</v>
      </c>
      <c r="X7921" s="339"/>
    </row>
    <row r="7922" s="330" customFormat="1" ht="15" customHeight="1" spans="1:24">
      <c r="A7922" s="550" t="s">
        <v>16914</v>
      </c>
      <c r="B7922" s="334" t="s">
        <v>58</v>
      </c>
      <c r="C7922" s="348" t="s">
        <v>109</v>
      </c>
      <c r="D7922" s="335" t="s">
        <v>110</v>
      </c>
      <c r="E7922" s="336">
        <v>43803</v>
      </c>
      <c r="F7922" s="336">
        <v>43779</v>
      </c>
      <c r="G7922" s="336">
        <v>43803</v>
      </c>
      <c r="H7922" s="334" t="s">
        <v>16915</v>
      </c>
      <c r="I7922" s="444">
        <v>19896562785</v>
      </c>
      <c r="J7922" s="348" t="s">
        <v>16916</v>
      </c>
      <c r="K7922" s="452">
        <v>1000</v>
      </c>
      <c r="L7922" s="334">
        <v>4111</v>
      </c>
      <c r="M7922" s="338"/>
      <c r="N7922" s="362">
        <f t="shared" si="271"/>
        <v>4111</v>
      </c>
      <c r="P7922" s="365" t="s">
        <v>52</v>
      </c>
      <c r="X7922" s="339"/>
    </row>
    <row r="7923" s="330" customFormat="1" ht="15" customHeight="1" spans="1:24">
      <c r="A7923" s="348"/>
      <c r="B7923" s="334" t="s">
        <v>147</v>
      </c>
      <c r="C7923" s="348" t="s">
        <v>13719</v>
      </c>
      <c r="D7923" s="334" t="s">
        <v>237</v>
      </c>
      <c r="E7923" s="336">
        <v>43799</v>
      </c>
      <c r="F7923" s="336">
        <v>43779</v>
      </c>
      <c r="G7923" s="336">
        <v>43798</v>
      </c>
      <c r="H7923" s="334" t="s">
        <v>16917</v>
      </c>
      <c r="I7923" s="444">
        <v>13010600732</v>
      </c>
      <c r="J7923" s="348" t="s">
        <v>16918</v>
      </c>
      <c r="K7923" s="452">
        <v>12000</v>
      </c>
      <c r="L7923" s="334">
        <v>12000</v>
      </c>
      <c r="M7923" s="338"/>
      <c r="N7923" s="362">
        <f t="shared" si="271"/>
        <v>12000</v>
      </c>
      <c r="X7923" s="339"/>
    </row>
    <row r="7924" s="330" customFormat="1" ht="15" customHeight="1" spans="1:24">
      <c r="A7924" s="550" t="s">
        <v>5853</v>
      </c>
      <c r="B7924" s="334" t="s">
        <v>147</v>
      </c>
      <c r="C7924" s="348" t="s">
        <v>13719</v>
      </c>
      <c r="D7924" s="334" t="s">
        <v>237</v>
      </c>
      <c r="E7924" s="336">
        <v>43799</v>
      </c>
      <c r="F7924" s="336">
        <v>43779</v>
      </c>
      <c r="G7924" s="336">
        <v>43798</v>
      </c>
      <c r="H7924" s="334" t="s">
        <v>16919</v>
      </c>
      <c r="I7924" s="444">
        <v>13701620654</v>
      </c>
      <c r="J7924" s="348" t="s">
        <v>16920</v>
      </c>
      <c r="K7924" s="452">
        <v>20000</v>
      </c>
      <c r="L7924" s="334">
        <v>20000</v>
      </c>
      <c r="M7924" s="338"/>
      <c r="N7924" s="362">
        <f t="shared" si="271"/>
        <v>20000</v>
      </c>
      <c r="X7924" s="339"/>
    </row>
    <row r="7925" s="330" customFormat="1" ht="15" customHeight="1" spans="1:24">
      <c r="A7925" s="550" t="s">
        <v>9089</v>
      </c>
      <c r="B7925" s="334" t="s">
        <v>153</v>
      </c>
      <c r="C7925" s="348" t="s">
        <v>154</v>
      </c>
      <c r="D7925" s="335" t="s">
        <v>155</v>
      </c>
      <c r="E7925" s="336">
        <v>43799</v>
      </c>
      <c r="F7925" s="336">
        <v>43779</v>
      </c>
      <c r="G7925" s="336">
        <v>43799</v>
      </c>
      <c r="H7925" s="334" t="s">
        <v>16921</v>
      </c>
      <c r="I7925" s="444">
        <v>15800866726</v>
      </c>
      <c r="J7925" s="348" t="s">
        <v>16922</v>
      </c>
      <c r="K7925" s="452">
        <v>13000</v>
      </c>
      <c r="L7925" s="334">
        <v>23000</v>
      </c>
      <c r="M7925" s="338"/>
      <c r="N7925" s="362">
        <f t="shared" si="271"/>
        <v>23000</v>
      </c>
      <c r="V7925" s="330" t="s">
        <v>16923</v>
      </c>
      <c r="X7925" s="339"/>
    </row>
    <row r="7926" s="330" customFormat="1" ht="15" customHeight="1" spans="1:24">
      <c r="A7926" s="550" t="s">
        <v>16924</v>
      </c>
      <c r="B7926" s="334" t="s">
        <v>354</v>
      </c>
      <c r="C7926" s="348" t="s">
        <v>355</v>
      </c>
      <c r="D7926" s="334" t="s">
        <v>343</v>
      </c>
      <c r="E7926" s="336">
        <v>43796</v>
      </c>
      <c r="F7926" s="336">
        <v>43779</v>
      </c>
      <c r="G7926" s="336">
        <v>43795</v>
      </c>
      <c r="H7926" s="334" t="s">
        <v>16925</v>
      </c>
      <c r="I7926" s="444">
        <v>13916249750</v>
      </c>
      <c r="J7926" s="348" t="s">
        <v>16926</v>
      </c>
      <c r="K7926" s="452">
        <v>23900</v>
      </c>
      <c r="L7926" s="334">
        <v>36930</v>
      </c>
      <c r="M7926" s="338"/>
      <c r="N7926" s="362">
        <f t="shared" si="271"/>
        <v>36930</v>
      </c>
      <c r="X7926" s="339"/>
    </row>
    <row r="7927" s="330" customFormat="1" ht="15" customHeight="1" spans="1:24">
      <c r="A7927" s="550" t="s">
        <v>16530</v>
      </c>
      <c r="B7927" s="334" t="s">
        <v>137</v>
      </c>
      <c r="C7927" s="348" t="s">
        <v>406</v>
      </c>
      <c r="D7927" s="334" t="s">
        <v>139</v>
      </c>
      <c r="E7927" s="336">
        <v>43796</v>
      </c>
      <c r="F7927" s="336">
        <v>43779</v>
      </c>
      <c r="G7927" s="336">
        <v>43796</v>
      </c>
      <c r="H7927" s="334" t="s">
        <v>16927</v>
      </c>
      <c r="I7927" s="444">
        <v>17717691828</v>
      </c>
      <c r="J7927" s="348" t="s">
        <v>16928</v>
      </c>
      <c r="K7927" s="452">
        <v>18000</v>
      </c>
      <c r="L7927" s="334">
        <v>18000</v>
      </c>
      <c r="M7927" s="338"/>
      <c r="N7927" s="362">
        <f t="shared" ref="N7927:N7990" si="272">L7927+M7927</f>
        <v>18000</v>
      </c>
      <c r="T7927" s="330">
        <v>1</v>
      </c>
      <c r="X7927" s="339"/>
    </row>
    <row r="7928" s="330" customFormat="1" ht="15" customHeight="1" spans="1:24">
      <c r="A7928" s="348"/>
      <c r="B7928" s="334" t="s">
        <v>354</v>
      </c>
      <c r="C7928" s="348" t="s">
        <v>355</v>
      </c>
      <c r="D7928" s="334" t="s">
        <v>237</v>
      </c>
      <c r="E7928" s="336">
        <v>43828</v>
      </c>
      <c r="F7928" s="336">
        <v>43774</v>
      </c>
      <c r="G7928" s="336">
        <v>43828</v>
      </c>
      <c r="H7928" s="334" t="s">
        <v>16929</v>
      </c>
      <c r="I7928" s="444">
        <v>18221395172</v>
      </c>
      <c r="J7928" s="348" t="s">
        <v>16930</v>
      </c>
      <c r="K7928" s="452">
        <v>5200</v>
      </c>
      <c r="L7928" s="334">
        <v>5140</v>
      </c>
      <c r="M7928" s="338"/>
      <c r="N7928" s="362">
        <f t="shared" si="272"/>
        <v>5140</v>
      </c>
      <c r="O7928" s="356" t="s">
        <v>52</v>
      </c>
      <c r="X7928" s="339"/>
    </row>
    <row r="7929" s="330" customFormat="1" ht="15" customHeight="1" spans="1:24">
      <c r="A7929" s="550" t="s">
        <v>9743</v>
      </c>
      <c r="B7929" s="334" t="s">
        <v>137</v>
      </c>
      <c r="C7929" s="348" t="s">
        <v>2705</v>
      </c>
      <c r="D7929" s="334" t="s">
        <v>139</v>
      </c>
      <c r="E7929" s="336">
        <v>43787</v>
      </c>
      <c r="F7929" s="336">
        <v>43779</v>
      </c>
      <c r="G7929" s="336">
        <v>43785</v>
      </c>
      <c r="H7929" s="334" t="s">
        <v>16931</v>
      </c>
      <c r="I7929" s="444">
        <v>15317026691</v>
      </c>
      <c r="J7929" s="348" t="s">
        <v>16932</v>
      </c>
      <c r="K7929" s="452">
        <v>12600</v>
      </c>
      <c r="L7929" s="334">
        <v>16948</v>
      </c>
      <c r="M7929" s="338"/>
      <c r="N7929" s="362">
        <f t="shared" si="272"/>
        <v>16948</v>
      </c>
      <c r="X7929" s="339"/>
    </row>
    <row r="7930" s="330" customFormat="1" ht="15" customHeight="1" spans="1:24">
      <c r="A7930" s="550" t="s">
        <v>16526</v>
      </c>
      <c r="B7930" s="334" t="s">
        <v>137</v>
      </c>
      <c r="C7930" s="348" t="s">
        <v>2705</v>
      </c>
      <c r="D7930" s="334" t="s">
        <v>2381</v>
      </c>
      <c r="E7930" s="336">
        <v>43795</v>
      </c>
      <c r="F7930" s="336">
        <v>43779</v>
      </c>
      <c r="G7930" s="336">
        <v>43793</v>
      </c>
      <c r="H7930" s="334" t="s">
        <v>16933</v>
      </c>
      <c r="I7930" s="444">
        <v>15618490907</v>
      </c>
      <c r="J7930" s="348" t="s">
        <v>16934</v>
      </c>
      <c r="K7930" s="452">
        <v>9000</v>
      </c>
      <c r="L7930" s="334">
        <v>8706</v>
      </c>
      <c r="M7930" s="338"/>
      <c r="N7930" s="362">
        <f t="shared" si="272"/>
        <v>8706</v>
      </c>
      <c r="R7930" s="330">
        <v>1</v>
      </c>
      <c r="X7930" s="339"/>
    </row>
    <row r="7931" s="330" customFormat="1" ht="15" customHeight="1" spans="1:24">
      <c r="A7931" s="550" t="s">
        <v>9852</v>
      </c>
      <c r="B7931" s="334" t="s">
        <v>137</v>
      </c>
      <c r="C7931" s="348" t="s">
        <v>2705</v>
      </c>
      <c r="D7931" s="334" t="s">
        <v>2381</v>
      </c>
      <c r="E7931" s="336">
        <v>43786</v>
      </c>
      <c r="F7931" s="336">
        <v>43779</v>
      </c>
      <c r="G7931" s="336">
        <v>43786</v>
      </c>
      <c r="H7931" s="334" t="s">
        <v>16935</v>
      </c>
      <c r="I7931" s="444">
        <v>13501861689</v>
      </c>
      <c r="J7931" s="348" t="s">
        <v>16936</v>
      </c>
      <c r="K7931" s="452">
        <v>14400</v>
      </c>
      <c r="L7931" s="334">
        <v>15632</v>
      </c>
      <c r="M7931" s="338"/>
      <c r="N7931" s="362">
        <f t="shared" si="272"/>
        <v>15632</v>
      </c>
      <c r="X7931" s="339"/>
    </row>
    <row r="7932" s="330" customFormat="1" ht="15" customHeight="1" spans="1:24">
      <c r="A7932" s="550" t="s">
        <v>10162</v>
      </c>
      <c r="B7932" s="334" t="s">
        <v>205</v>
      </c>
      <c r="C7932" s="348" t="s">
        <v>1467</v>
      </c>
      <c r="D7932" s="334" t="s">
        <v>207</v>
      </c>
      <c r="E7932" s="336">
        <v>43795</v>
      </c>
      <c r="F7932" s="336">
        <v>43779</v>
      </c>
      <c r="G7932" s="336">
        <v>43795</v>
      </c>
      <c r="H7932" s="334" t="s">
        <v>16937</v>
      </c>
      <c r="I7932" s="444">
        <v>15921128990</v>
      </c>
      <c r="J7932" s="348" t="s">
        <v>16938</v>
      </c>
      <c r="K7932" s="452">
        <v>6916</v>
      </c>
      <c r="L7932" s="334">
        <v>6916</v>
      </c>
      <c r="M7932" s="338"/>
      <c r="N7932" s="362">
        <f t="shared" si="272"/>
        <v>6916</v>
      </c>
      <c r="X7932" s="339"/>
    </row>
    <row r="7933" s="330" customFormat="1" ht="15" customHeight="1" spans="1:24">
      <c r="A7933" s="550" t="s">
        <v>16939</v>
      </c>
      <c r="B7933" s="334" t="s">
        <v>58</v>
      </c>
      <c r="C7933" s="348" t="s">
        <v>794</v>
      </c>
      <c r="D7933" s="334" t="s">
        <v>271</v>
      </c>
      <c r="E7933" s="336">
        <v>43836</v>
      </c>
      <c r="F7933" s="336">
        <v>43779</v>
      </c>
      <c r="G7933" s="336">
        <v>43829</v>
      </c>
      <c r="H7933" s="334" t="s">
        <v>16940</v>
      </c>
      <c r="I7933" s="444">
        <v>15802116390</v>
      </c>
      <c r="J7933" s="348" t="s">
        <v>16941</v>
      </c>
      <c r="K7933" s="452">
        <v>19800</v>
      </c>
      <c r="L7933" s="334">
        <v>19800</v>
      </c>
      <c r="M7933" s="338"/>
      <c r="N7933" s="362">
        <f t="shared" si="272"/>
        <v>19800</v>
      </c>
      <c r="O7933" s="365" t="s">
        <v>52</v>
      </c>
      <c r="X7933" s="339"/>
    </row>
    <row r="7934" s="330" customFormat="1" ht="15" customHeight="1" spans="1:24">
      <c r="A7934" s="550" t="s">
        <v>16942</v>
      </c>
      <c r="B7934" s="334" t="s">
        <v>58</v>
      </c>
      <c r="C7934" s="348" t="s">
        <v>794</v>
      </c>
      <c r="D7934" s="335" t="s">
        <v>110</v>
      </c>
      <c r="E7934" s="336">
        <v>43780</v>
      </c>
      <c r="F7934" s="336">
        <v>43779</v>
      </c>
      <c r="G7934" s="399"/>
      <c r="H7934" s="334" t="s">
        <v>16943</v>
      </c>
      <c r="I7934" s="444">
        <v>13804746101</v>
      </c>
      <c r="J7934" s="348" t="s">
        <v>16944</v>
      </c>
      <c r="K7934" s="452">
        <v>4500</v>
      </c>
      <c r="L7934" s="338"/>
      <c r="M7934" s="338"/>
      <c r="N7934" s="362">
        <f t="shared" si="272"/>
        <v>0</v>
      </c>
      <c r="P7934" s="365"/>
      <c r="Q7934" s="365" t="s">
        <v>52</v>
      </c>
      <c r="X7934" s="339"/>
    </row>
    <row r="7935" s="330" customFormat="1" ht="15" customHeight="1" spans="1:24">
      <c r="A7935" s="550" t="s">
        <v>16945</v>
      </c>
      <c r="B7935" s="334" t="s">
        <v>58</v>
      </c>
      <c r="C7935" s="348" t="s">
        <v>794</v>
      </c>
      <c r="D7935" s="334" t="s">
        <v>271</v>
      </c>
      <c r="E7935" s="336">
        <v>43824</v>
      </c>
      <c r="F7935" s="336">
        <v>43778</v>
      </c>
      <c r="G7935" s="336">
        <v>43821</v>
      </c>
      <c r="H7935" s="334" t="s">
        <v>16946</v>
      </c>
      <c r="I7935" s="444">
        <v>13816575901</v>
      </c>
      <c r="J7935" s="348" t="s">
        <v>16947</v>
      </c>
      <c r="K7935" s="452">
        <v>21999</v>
      </c>
      <c r="L7935" s="334">
        <v>22517</v>
      </c>
      <c r="M7935" s="338"/>
      <c r="N7935" s="362">
        <f t="shared" si="272"/>
        <v>22517</v>
      </c>
      <c r="P7935" s="365" t="s">
        <v>52</v>
      </c>
      <c r="X7935" s="339"/>
    </row>
    <row r="7936" s="330" customFormat="1" ht="15" customHeight="1" spans="1:24">
      <c r="A7936" s="550" t="s">
        <v>16948</v>
      </c>
      <c r="B7936" s="334" t="s">
        <v>58</v>
      </c>
      <c r="C7936" s="348" t="s">
        <v>794</v>
      </c>
      <c r="D7936" s="335" t="s">
        <v>110</v>
      </c>
      <c r="E7936" s="336">
        <v>43792</v>
      </c>
      <c r="F7936" s="336">
        <v>43779</v>
      </c>
      <c r="G7936" s="336">
        <v>43792</v>
      </c>
      <c r="H7936" s="334" t="s">
        <v>16949</v>
      </c>
      <c r="I7936" s="444">
        <v>13761932640</v>
      </c>
      <c r="J7936" s="348" t="s">
        <v>16950</v>
      </c>
      <c r="K7936" s="452">
        <v>8100</v>
      </c>
      <c r="L7936" s="334">
        <v>8692</v>
      </c>
      <c r="M7936" s="338"/>
      <c r="N7936" s="362">
        <f t="shared" si="272"/>
        <v>8692</v>
      </c>
      <c r="Q7936" s="365" t="s">
        <v>52</v>
      </c>
      <c r="X7936" s="339"/>
    </row>
    <row r="7937" s="330" customFormat="1" ht="15" customHeight="1" spans="1:24">
      <c r="A7937" s="550" t="s">
        <v>16951</v>
      </c>
      <c r="B7937" s="334" t="s">
        <v>66</v>
      </c>
      <c r="C7937" s="348" t="s">
        <v>505</v>
      </c>
      <c r="D7937" s="335" t="s">
        <v>1436</v>
      </c>
      <c r="E7937" s="336">
        <v>43780</v>
      </c>
      <c r="F7937" s="336">
        <v>43779</v>
      </c>
      <c r="G7937" s="399"/>
      <c r="H7937" s="334" t="s">
        <v>16952</v>
      </c>
      <c r="I7937" s="444">
        <v>15269982377</v>
      </c>
      <c r="J7937" s="348" t="s">
        <v>16953</v>
      </c>
      <c r="K7937" s="452">
        <v>3510</v>
      </c>
      <c r="L7937" s="338"/>
      <c r="M7937" s="338"/>
      <c r="N7937" s="362">
        <f t="shared" si="272"/>
        <v>0</v>
      </c>
      <c r="X7937" s="339"/>
    </row>
    <row r="7938" s="330" customFormat="1" ht="15" customHeight="1" spans="1:24">
      <c r="A7938" s="348"/>
      <c r="B7938" s="334" t="s">
        <v>185</v>
      </c>
      <c r="C7938" s="348" t="s">
        <v>886</v>
      </c>
      <c r="D7938" s="334" t="s">
        <v>44</v>
      </c>
      <c r="E7938" s="336">
        <v>43792</v>
      </c>
      <c r="F7938" s="336">
        <v>43779</v>
      </c>
      <c r="G7938" s="336">
        <v>43790</v>
      </c>
      <c r="H7938" s="334" t="s">
        <v>16954</v>
      </c>
      <c r="I7938" s="444">
        <v>15000368763</v>
      </c>
      <c r="J7938" s="348" t="s">
        <v>16955</v>
      </c>
      <c r="K7938" s="452">
        <v>1000</v>
      </c>
      <c r="L7938" s="334">
        <v>7907</v>
      </c>
      <c r="M7938" s="338"/>
      <c r="N7938" s="362">
        <f t="shared" si="272"/>
        <v>7907</v>
      </c>
      <c r="X7938" s="339"/>
    </row>
    <row r="7939" s="330" customFormat="1" ht="15" customHeight="1" spans="1:24">
      <c r="A7939" s="550" t="s">
        <v>16956</v>
      </c>
      <c r="B7939" s="334" t="s">
        <v>66</v>
      </c>
      <c r="C7939" s="348" t="s">
        <v>505</v>
      </c>
      <c r="D7939" s="335" t="s">
        <v>1436</v>
      </c>
      <c r="E7939" s="336">
        <v>43780</v>
      </c>
      <c r="F7939" s="336">
        <v>43779</v>
      </c>
      <c r="G7939" s="399"/>
      <c r="H7939" s="334" t="s">
        <v>16957</v>
      </c>
      <c r="I7939" s="444"/>
      <c r="J7939" s="348" t="s">
        <v>16958</v>
      </c>
      <c r="K7939" s="452">
        <v>2835</v>
      </c>
      <c r="L7939" s="338"/>
      <c r="M7939" s="338"/>
      <c r="N7939" s="362">
        <f t="shared" si="272"/>
        <v>0</v>
      </c>
      <c r="O7939" s="330" t="s">
        <v>2997</v>
      </c>
      <c r="X7939" s="339"/>
    </row>
    <row r="7940" s="330" customFormat="1" ht="15" customHeight="1" spans="1:24">
      <c r="A7940" s="550" t="s">
        <v>699</v>
      </c>
      <c r="B7940" s="334" t="s">
        <v>66</v>
      </c>
      <c r="C7940" s="348" t="s">
        <v>15301</v>
      </c>
      <c r="D7940" s="334" t="s">
        <v>68</v>
      </c>
      <c r="E7940" s="336">
        <v>43793</v>
      </c>
      <c r="F7940" s="336">
        <v>43779</v>
      </c>
      <c r="G7940" s="336">
        <v>43792</v>
      </c>
      <c r="H7940" s="334" t="s">
        <v>16959</v>
      </c>
      <c r="I7940" s="444">
        <v>15221486086</v>
      </c>
      <c r="J7940" s="348" t="s">
        <v>16960</v>
      </c>
      <c r="K7940" s="452">
        <v>2646</v>
      </c>
      <c r="L7940" s="334">
        <v>19101</v>
      </c>
      <c r="M7940" s="338"/>
      <c r="N7940" s="362">
        <f t="shared" si="272"/>
        <v>19101</v>
      </c>
      <c r="X7940" s="339"/>
    </row>
    <row r="7941" s="330" customFormat="1" ht="15" customHeight="1" spans="1:24">
      <c r="A7941" s="550" t="s">
        <v>16961</v>
      </c>
      <c r="B7941" s="334" t="s">
        <v>66</v>
      </c>
      <c r="C7941" s="348" t="s">
        <v>15301</v>
      </c>
      <c r="D7941" s="334" t="s">
        <v>2302</v>
      </c>
      <c r="E7941" s="336">
        <v>43791</v>
      </c>
      <c r="F7941" s="336">
        <v>43779</v>
      </c>
      <c r="G7941" s="336">
        <v>43791</v>
      </c>
      <c r="H7941" s="334" t="s">
        <v>16962</v>
      </c>
      <c r="I7941" s="444">
        <v>18501792495</v>
      </c>
      <c r="J7941" s="348" t="s">
        <v>16963</v>
      </c>
      <c r="K7941" s="452">
        <v>2940</v>
      </c>
      <c r="L7941" s="334">
        <v>6487</v>
      </c>
      <c r="M7941" s="338"/>
      <c r="N7941" s="362">
        <f t="shared" si="272"/>
        <v>6487</v>
      </c>
      <c r="U7941" s="330" t="s">
        <v>16964</v>
      </c>
      <c r="X7941" s="339"/>
    </row>
    <row r="7942" s="330" customFormat="1" ht="15" customHeight="1" spans="1:24">
      <c r="A7942" s="550" t="s">
        <v>3680</v>
      </c>
      <c r="B7942" s="334" t="s">
        <v>66</v>
      </c>
      <c r="C7942" s="348" t="s">
        <v>15301</v>
      </c>
      <c r="D7942" s="335" t="s">
        <v>1436</v>
      </c>
      <c r="E7942" s="336">
        <v>43780</v>
      </c>
      <c r="F7942" s="336">
        <v>43779</v>
      </c>
      <c r="G7942" s="399"/>
      <c r="H7942" s="334" t="s">
        <v>2904</v>
      </c>
      <c r="I7942" s="444">
        <v>15618096591</v>
      </c>
      <c r="J7942" s="348" t="s">
        <v>16965</v>
      </c>
      <c r="K7942" s="452">
        <v>2940</v>
      </c>
      <c r="L7942" s="338"/>
      <c r="M7942" s="338"/>
      <c r="N7942" s="362">
        <f t="shared" si="272"/>
        <v>0</v>
      </c>
      <c r="R7942" s="330" t="s">
        <v>52</v>
      </c>
      <c r="X7942" s="339"/>
    </row>
    <row r="7943" s="330" customFormat="1" ht="15" customHeight="1" spans="1:24">
      <c r="A7943" s="550" t="s">
        <v>1284</v>
      </c>
      <c r="B7943" s="334" t="s">
        <v>66</v>
      </c>
      <c r="C7943" s="348" t="s">
        <v>505</v>
      </c>
      <c r="D7943" s="334" t="s">
        <v>2302</v>
      </c>
      <c r="E7943" s="336">
        <v>43824</v>
      </c>
      <c r="F7943" s="336">
        <v>43779</v>
      </c>
      <c r="G7943" s="336">
        <v>43824</v>
      </c>
      <c r="H7943" s="334" t="s">
        <v>16966</v>
      </c>
      <c r="I7943" s="444">
        <v>18668600585</v>
      </c>
      <c r="J7943" s="348" t="s">
        <v>16967</v>
      </c>
      <c r="K7943" s="452">
        <v>1680</v>
      </c>
      <c r="L7943" s="334">
        <v>1980</v>
      </c>
      <c r="M7943" s="338"/>
      <c r="N7943" s="362">
        <f t="shared" si="272"/>
        <v>1980</v>
      </c>
      <c r="P7943" s="330" t="s">
        <v>52</v>
      </c>
      <c r="X7943" s="339"/>
    </row>
    <row r="7944" s="330" customFormat="1" ht="15" customHeight="1" spans="1:24">
      <c r="A7944" s="550" t="s">
        <v>16968</v>
      </c>
      <c r="B7944" s="334" t="s">
        <v>58</v>
      </c>
      <c r="C7944" s="348" t="s">
        <v>347</v>
      </c>
      <c r="D7944" s="335" t="s">
        <v>343</v>
      </c>
      <c r="E7944" s="336">
        <v>43790</v>
      </c>
      <c r="F7944" s="336">
        <v>43779</v>
      </c>
      <c r="G7944" s="336">
        <v>43788</v>
      </c>
      <c r="H7944" s="334" t="s">
        <v>16969</v>
      </c>
      <c r="I7944" s="444">
        <v>15501501903</v>
      </c>
      <c r="J7944" s="348" t="s">
        <v>16970</v>
      </c>
      <c r="K7944" s="452">
        <v>1000</v>
      </c>
      <c r="L7944" s="334">
        <v>11556</v>
      </c>
      <c r="M7944" s="338"/>
      <c r="N7944" s="362">
        <f t="shared" si="272"/>
        <v>11556</v>
      </c>
      <c r="X7944" s="339"/>
    </row>
    <row r="7945" s="330" customFormat="1" ht="15" customHeight="1" spans="1:24">
      <c r="A7945" s="550" t="s">
        <v>1060</v>
      </c>
      <c r="B7945" s="334" t="s">
        <v>58</v>
      </c>
      <c r="C7945" s="348" t="s">
        <v>347</v>
      </c>
      <c r="D7945" s="335" t="s">
        <v>343</v>
      </c>
      <c r="E7945" s="336">
        <v>43799</v>
      </c>
      <c r="F7945" s="336">
        <v>43779</v>
      </c>
      <c r="G7945" s="336">
        <v>43799</v>
      </c>
      <c r="H7945" s="334" t="s">
        <v>16971</v>
      </c>
      <c r="I7945" s="444">
        <v>13701621217</v>
      </c>
      <c r="J7945" s="348" t="s">
        <v>16972</v>
      </c>
      <c r="K7945" s="452">
        <v>1000</v>
      </c>
      <c r="L7945" s="334">
        <v>18475</v>
      </c>
      <c r="M7945" s="338"/>
      <c r="N7945" s="362">
        <f t="shared" si="272"/>
        <v>18475</v>
      </c>
      <c r="R7945" s="365" t="s">
        <v>52</v>
      </c>
      <c r="S7945" s="365"/>
      <c r="X7945" s="339"/>
    </row>
    <row r="7946" s="330" customFormat="1" ht="15" customHeight="1" spans="1:24">
      <c r="A7946" s="550" t="s">
        <v>16973</v>
      </c>
      <c r="B7946" s="334" t="s">
        <v>58</v>
      </c>
      <c r="C7946" s="348" t="s">
        <v>347</v>
      </c>
      <c r="D7946" s="335" t="s">
        <v>343</v>
      </c>
      <c r="E7946" s="336">
        <v>43780</v>
      </c>
      <c r="F7946" s="336">
        <v>43779</v>
      </c>
      <c r="G7946" s="399"/>
      <c r="H7946" s="334" t="s">
        <v>16974</v>
      </c>
      <c r="I7946" s="444">
        <v>13601668847</v>
      </c>
      <c r="J7946" s="348" t="s">
        <v>16975</v>
      </c>
      <c r="K7946" s="452">
        <v>1000</v>
      </c>
      <c r="L7946" s="338"/>
      <c r="M7946" s="338"/>
      <c r="N7946" s="362">
        <f t="shared" si="272"/>
        <v>0</v>
      </c>
      <c r="O7946" s="365" t="s">
        <v>52</v>
      </c>
      <c r="X7946" s="339"/>
    </row>
    <row r="7947" s="330" customFormat="1" ht="15" customHeight="1" spans="1:24">
      <c r="A7947" s="550" t="s">
        <v>14866</v>
      </c>
      <c r="B7947" s="334" t="s">
        <v>58</v>
      </c>
      <c r="C7947" s="348" t="s">
        <v>347</v>
      </c>
      <c r="D7947" s="335" t="s">
        <v>343</v>
      </c>
      <c r="E7947" s="336">
        <v>43827</v>
      </c>
      <c r="F7947" s="336">
        <v>43779</v>
      </c>
      <c r="G7947" s="336">
        <v>43827</v>
      </c>
      <c r="H7947" s="334" t="s">
        <v>16976</v>
      </c>
      <c r="I7947" s="444">
        <v>13901835556</v>
      </c>
      <c r="J7947" s="348" t="s">
        <v>16977</v>
      </c>
      <c r="K7947" s="452">
        <v>75996</v>
      </c>
      <c r="L7947" s="334">
        <v>84440</v>
      </c>
      <c r="M7947" s="338"/>
      <c r="N7947" s="362">
        <f t="shared" si="272"/>
        <v>84440</v>
      </c>
      <c r="Q7947" s="365"/>
      <c r="V7947" s="471">
        <v>43829</v>
      </c>
      <c r="X7947" s="339"/>
    </row>
    <row r="7948" s="330" customFormat="1" ht="15" customHeight="1" spans="1:24">
      <c r="A7948" s="550" t="s">
        <v>16978</v>
      </c>
      <c r="B7948" s="334" t="s">
        <v>31</v>
      </c>
      <c r="C7948" s="348" t="s">
        <v>220</v>
      </c>
      <c r="D7948" s="334" t="s">
        <v>33</v>
      </c>
      <c r="E7948" s="336">
        <v>43793</v>
      </c>
      <c r="F7948" s="336">
        <v>43780</v>
      </c>
      <c r="G7948" s="336">
        <v>43792</v>
      </c>
      <c r="H7948" s="334" t="s">
        <v>16979</v>
      </c>
      <c r="I7948" s="444">
        <v>18621655998</v>
      </c>
      <c r="J7948" s="348" t="s">
        <v>16980</v>
      </c>
      <c r="K7948" s="452">
        <v>8486</v>
      </c>
      <c r="L7948" s="334">
        <v>9623</v>
      </c>
      <c r="M7948" s="338"/>
      <c r="N7948" s="362">
        <f t="shared" si="272"/>
        <v>9623</v>
      </c>
      <c r="X7948" s="339"/>
    </row>
    <row r="7949" s="330" customFormat="1" ht="15" customHeight="1" spans="1:24">
      <c r="A7949" s="550" t="s">
        <v>16981</v>
      </c>
      <c r="B7949" s="334" t="s">
        <v>405</v>
      </c>
      <c r="C7949" s="348" t="s">
        <v>823</v>
      </c>
      <c r="D7949" s="335" t="s">
        <v>407</v>
      </c>
      <c r="E7949" s="336">
        <v>43785</v>
      </c>
      <c r="F7949" s="336">
        <v>43779</v>
      </c>
      <c r="G7949" s="336">
        <v>43776</v>
      </c>
      <c r="H7949" s="334" t="s">
        <v>16982</v>
      </c>
      <c r="I7949" s="444">
        <v>19921850835</v>
      </c>
      <c r="J7949" s="348" t="s">
        <v>16983</v>
      </c>
      <c r="K7949" s="452">
        <v>1000</v>
      </c>
      <c r="L7949" s="334">
        <v>2919</v>
      </c>
      <c r="M7949" s="338"/>
      <c r="N7949" s="362">
        <f t="shared" si="272"/>
        <v>2919</v>
      </c>
      <c r="X7949" s="339"/>
    </row>
    <row r="7950" s="330" customFormat="1" ht="15" customHeight="1" spans="1:24">
      <c r="A7950" s="550" t="s">
        <v>4849</v>
      </c>
      <c r="B7950" s="334" t="s">
        <v>153</v>
      </c>
      <c r="C7950" s="348" t="s">
        <v>154</v>
      </c>
      <c r="D7950" s="335" t="s">
        <v>155</v>
      </c>
      <c r="E7950" s="336">
        <v>43799</v>
      </c>
      <c r="F7950" s="336">
        <v>43779</v>
      </c>
      <c r="G7950" s="336">
        <v>43799</v>
      </c>
      <c r="H7950" s="334" t="s">
        <v>16984</v>
      </c>
      <c r="I7950" s="444">
        <v>13774204589</v>
      </c>
      <c r="J7950" s="348" t="s">
        <v>16985</v>
      </c>
      <c r="K7950" s="452">
        <v>5000</v>
      </c>
      <c r="L7950" s="334">
        <v>7000</v>
      </c>
      <c r="M7950" s="338"/>
      <c r="N7950" s="362">
        <f t="shared" si="272"/>
        <v>7000</v>
      </c>
      <c r="X7950" s="339"/>
    </row>
    <row r="7951" s="330" customFormat="1" ht="15" customHeight="1" spans="1:24">
      <c r="A7951" s="550" t="s">
        <v>16986</v>
      </c>
      <c r="B7951" s="334" t="s">
        <v>315</v>
      </c>
      <c r="C7951" s="348" t="s">
        <v>181</v>
      </c>
      <c r="D7951" s="334" t="s">
        <v>162</v>
      </c>
      <c r="E7951" s="336">
        <v>43796</v>
      </c>
      <c r="F7951" s="336">
        <v>43778</v>
      </c>
      <c r="G7951" s="336">
        <v>43796</v>
      </c>
      <c r="H7951" s="334" t="s">
        <v>16987</v>
      </c>
      <c r="I7951" s="444">
        <v>13601900303</v>
      </c>
      <c r="J7951" s="348" t="s">
        <v>16988</v>
      </c>
      <c r="K7951" s="452">
        <v>1000</v>
      </c>
      <c r="L7951" s="334">
        <v>5269</v>
      </c>
      <c r="M7951" s="338"/>
      <c r="N7951" s="362">
        <f t="shared" si="272"/>
        <v>5269</v>
      </c>
      <c r="X7951" s="339"/>
    </row>
    <row r="7952" s="330" customFormat="1" ht="15" customHeight="1" spans="1:24">
      <c r="A7952" s="550" t="s">
        <v>1529</v>
      </c>
      <c r="B7952" s="334" t="s">
        <v>58</v>
      </c>
      <c r="C7952" s="348" t="s">
        <v>342</v>
      </c>
      <c r="D7952" s="335" t="s">
        <v>343</v>
      </c>
      <c r="E7952" s="336">
        <v>43824</v>
      </c>
      <c r="F7952" s="336">
        <v>43779</v>
      </c>
      <c r="G7952" s="336">
        <v>43821</v>
      </c>
      <c r="H7952" s="334" t="s">
        <v>517</v>
      </c>
      <c r="I7952" s="444">
        <v>18621187676</v>
      </c>
      <c r="J7952" s="348" t="s">
        <v>16989</v>
      </c>
      <c r="K7952" s="452">
        <v>4201</v>
      </c>
      <c r="L7952" s="334">
        <v>6977</v>
      </c>
      <c r="M7952" s="334">
        <v>19374</v>
      </c>
      <c r="N7952" s="362">
        <f t="shared" si="272"/>
        <v>26351</v>
      </c>
      <c r="Q7952" s="365" t="s">
        <v>52</v>
      </c>
      <c r="X7952" s="339"/>
    </row>
    <row r="7953" s="330" customFormat="1" ht="15" customHeight="1" spans="1:24">
      <c r="A7953" s="550" t="s">
        <v>9274</v>
      </c>
      <c r="B7953" s="334" t="s">
        <v>169</v>
      </c>
      <c r="C7953" s="348" t="s">
        <v>634</v>
      </c>
      <c r="D7953" s="335" t="s">
        <v>635</v>
      </c>
      <c r="E7953" s="336">
        <v>43792</v>
      </c>
      <c r="F7953" s="336">
        <v>43778</v>
      </c>
      <c r="G7953" s="336">
        <v>43792</v>
      </c>
      <c r="H7953" s="334" t="s">
        <v>16990</v>
      </c>
      <c r="I7953" s="444">
        <v>15618935185</v>
      </c>
      <c r="J7953" s="348" t="s">
        <v>15937</v>
      </c>
      <c r="K7953" s="452">
        <v>8100</v>
      </c>
      <c r="L7953" s="334">
        <v>9726</v>
      </c>
      <c r="M7953" s="338"/>
      <c r="N7953" s="362">
        <f t="shared" si="272"/>
        <v>9726</v>
      </c>
      <c r="X7953" s="339"/>
    </row>
    <row r="7954" s="330" customFormat="1" ht="15" customHeight="1" spans="1:24">
      <c r="A7954" s="550" t="s">
        <v>15264</v>
      </c>
      <c r="B7954" s="334" t="s">
        <v>153</v>
      </c>
      <c r="C7954" s="348" t="s">
        <v>154</v>
      </c>
      <c r="D7954" s="335" t="s">
        <v>155</v>
      </c>
      <c r="E7954" s="336">
        <v>43807</v>
      </c>
      <c r="F7954" s="336">
        <v>43779</v>
      </c>
      <c r="G7954" s="336">
        <v>43806</v>
      </c>
      <c r="H7954" s="334" t="s">
        <v>16991</v>
      </c>
      <c r="I7954" s="444">
        <v>18019744132</v>
      </c>
      <c r="J7954" s="348" t="s">
        <v>16992</v>
      </c>
      <c r="K7954" s="452">
        <v>1000</v>
      </c>
      <c r="L7954" s="334">
        <v>10664</v>
      </c>
      <c r="M7954" s="338"/>
      <c r="N7954" s="362">
        <f t="shared" si="272"/>
        <v>10664</v>
      </c>
      <c r="Q7954" s="330" t="s">
        <v>52</v>
      </c>
      <c r="X7954" s="339"/>
    </row>
    <row r="7955" s="330" customFormat="1" ht="15" customHeight="1" spans="1:24">
      <c r="A7955" s="550" t="s">
        <v>16993</v>
      </c>
      <c r="B7955" s="334" t="s">
        <v>31</v>
      </c>
      <c r="C7955" s="348" t="s">
        <v>220</v>
      </c>
      <c r="D7955" s="334" t="s">
        <v>33</v>
      </c>
      <c r="E7955" s="336">
        <v>43796</v>
      </c>
      <c r="F7955" s="336">
        <v>43770</v>
      </c>
      <c r="G7955" s="336">
        <v>43794</v>
      </c>
      <c r="H7955" s="334" t="s">
        <v>16994</v>
      </c>
      <c r="I7955" s="444">
        <v>18001919516</v>
      </c>
      <c r="J7955" s="348" t="s">
        <v>16995</v>
      </c>
      <c r="K7955" s="452">
        <v>1998</v>
      </c>
      <c r="L7955" s="334">
        <v>7532</v>
      </c>
      <c r="M7955" s="338"/>
      <c r="N7955" s="362">
        <f t="shared" si="272"/>
        <v>7532</v>
      </c>
      <c r="X7955" s="339"/>
    </row>
    <row r="7956" s="330" customFormat="1" ht="15" customHeight="1" spans="1:24">
      <c r="A7956" s="550" t="s">
        <v>8755</v>
      </c>
      <c r="B7956" s="334" t="s">
        <v>354</v>
      </c>
      <c r="C7956" s="348" t="s">
        <v>355</v>
      </c>
      <c r="D7956" s="334" t="s">
        <v>237</v>
      </c>
      <c r="E7956" s="336">
        <v>43784</v>
      </c>
      <c r="F7956" s="336">
        <v>43780</v>
      </c>
      <c r="G7956" s="336">
        <v>43784</v>
      </c>
      <c r="H7956" s="334" t="s">
        <v>16996</v>
      </c>
      <c r="I7956" s="444">
        <v>13818818924</v>
      </c>
      <c r="J7956" s="348" t="s">
        <v>16997</v>
      </c>
      <c r="K7956" s="452">
        <v>8998</v>
      </c>
      <c r="L7956" s="334">
        <v>9093</v>
      </c>
      <c r="M7956" s="338"/>
      <c r="N7956" s="362">
        <f t="shared" si="272"/>
        <v>9093</v>
      </c>
      <c r="X7956" s="339"/>
    </row>
    <row r="7957" s="330" customFormat="1" ht="15" customHeight="1" spans="1:24">
      <c r="A7957" s="348"/>
      <c r="B7957" s="334" t="s">
        <v>87</v>
      </c>
      <c r="C7957" s="348" t="s">
        <v>199</v>
      </c>
      <c r="D7957" s="335" t="s">
        <v>89</v>
      </c>
      <c r="E7957" s="336">
        <v>43780</v>
      </c>
      <c r="F7957" s="336">
        <v>43780</v>
      </c>
      <c r="G7957" s="399"/>
      <c r="H7957" s="334" t="s">
        <v>16998</v>
      </c>
      <c r="I7957" s="444">
        <v>13818692747</v>
      </c>
      <c r="J7957" s="348" t="s">
        <v>16999</v>
      </c>
      <c r="K7957" s="452">
        <v>999</v>
      </c>
      <c r="L7957" s="338"/>
      <c r="M7957" s="338"/>
      <c r="N7957" s="362">
        <f t="shared" si="272"/>
        <v>0</v>
      </c>
      <c r="Q7957" s="411" t="s">
        <v>52</v>
      </c>
      <c r="U7957" s="353" t="s">
        <v>12</v>
      </c>
      <c r="X7957" s="339"/>
    </row>
    <row r="7958" s="330" customFormat="1" ht="15" customHeight="1" spans="1:24">
      <c r="A7958" s="550" t="s">
        <v>15239</v>
      </c>
      <c r="B7958" s="334" t="s">
        <v>153</v>
      </c>
      <c r="C7958" s="348" t="s">
        <v>154</v>
      </c>
      <c r="D7958" s="335" t="s">
        <v>155</v>
      </c>
      <c r="E7958" s="336">
        <v>43785</v>
      </c>
      <c r="F7958" s="336">
        <v>43779</v>
      </c>
      <c r="G7958" s="336">
        <v>43784</v>
      </c>
      <c r="H7958" s="334" t="s">
        <v>17000</v>
      </c>
      <c r="I7958" s="444">
        <v>13564516375</v>
      </c>
      <c r="J7958" s="348" t="s">
        <v>17001</v>
      </c>
      <c r="K7958" s="452">
        <v>1698</v>
      </c>
      <c r="L7958" s="334">
        <v>7000</v>
      </c>
      <c r="M7958" s="338"/>
      <c r="N7958" s="362">
        <f t="shared" si="272"/>
        <v>7000</v>
      </c>
      <c r="X7958" s="339"/>
    </row>
    <row r="7959" s="330" customFormat="1" ht="15" customHeight="1" spans="1:24">
      <c r="A7959" s="550" t="s">
        <v>17002</v>
      </c>
      <c r="B7959" s="334" t="s">
        <v>153</v>
      </c>
      <c r="C7959" s="348" t="s">
        <v>154</v>
      </c>
      <c r="D7959" s="335" t="s">
        <v>155</v>
      </c>
      <c r="E7959" s="336">
        <v>43799</v>
      </c>
      <c r="F7959" s="336">
        <v>43780</v>
      </c>
      <c r="G7959" s="336">
        <v>43799</v>
      </c>
      <c r="H7959" s="334" t="s">
        <v>17003</v>
      </c>
      <c r="I7959" s="444">
        <v>13571188663</v>
      </c>
      <c r="J7959" s="348" t="s">
        <v>17004</v>
      </c>
      <c r="K7959" s="452">
        <v>1000</v>
      </c>
      <c r="L7959" s="334">
        <v>12131</v>
      </c>
      <c r="M7959" s="338"/>
      <c r="N7959" s="362">
        <f t="shared" si="272"/>
        <v>12131</v>
      </c>
      <c r="V7959" s="330" t="s">
        <v>1328</v>
      </c>
      <c r="X7959" s="339"/>
    </row>
    <row r="7960" s="330" customFormat="1" ht="15" customHeight="1" spans="1:24">
      <c r="A7960" s="550" t="s">
        <v>17005</v>
      </c>
      <c r="B7960" s="334" t="s">
        <v>66</v>
      </c>
      <c r="C7960" s="348" t="s">
        <v>505</v>
      </c>
      <c r="D7960" s="335" t="s">
        <v>1436</v>
      </c>
      <c r="E7960" s="336">
        <v>43780</v>
      </c>
      <c r="F7960" s="336">
        <v>43770</v>
      </c>
      <c r="G7960" s="399"/>
      <c r="H7960" s="334" t="s">
        <v>17006</v>
      </c>
      <c r="I7960" s="444">
        <v>13916968201</v>
      </c>
      <c r="J7960" s="348" t="s">
        <v>17007</v>
      </c>
      <c r="K7960" s="452">
        <v>3899</v>
      </c>
      <c r="L7960" s="338"/>
      <c r="M7960" s="338"/>
      <c r="N7960" s="362">
        <f t="shared" si="272"/>
        <v>0</v>
      </c>
      <c r="X7960" s="339"/>
    </row>
    <row r="7961" s="330" customFormat="1" ht="15" customHeight="1" spans="1:24">
      <c r="A7961" s="550" t="s">
        <v>17008</v>
      </c>
      <c r="B7961" s="334" t="s">
        <v>315</v>
      </c>
      <c r="C7961" s="348" t="s">
        <v>161</v>
      </c>
      <c r="D7961" s="334" t="s">
        <v>149</v>
      </c>
      <c r="E7961" s="336">
        <v>43813</v>
      </c>
      <c r="F7961" s="336">
        <v>43780</v>
      </c>
      <c r="G7961" s="336">
        <v>43812</v>
      </c>
      <c r="H7961" s="334" t="s">
        <v>17009</v>
      </c>
      <c r="I7961" s="444">
        <v>13817659195</v>
      </c>
      <c r="J7961" s="348" t="s">
        <v>17010</v>
      </c>
      <c r="K7961" s="452">
        <v>1299</v>
      </c>
      <c r="L7961" s="334">
        <v>3297</v>
      </c>
      <c r="M7961" s="338"/>
      <c r="N7961" s="362">
        <f t="shared" si="272"/>
        <v>3297</v>
      </c>
      <c r="P7961" s="330">
        <v>1</v>
      </c>
      <c r="X7961" s="339"/>
    </row>
    <row r="7962" s="330" customFormat="1" ht="15" customHeight="1" spans="1:24">
      <c r="A7962" s="550" t="s">
        <v>17011</v>
      </c>
      <c r="B7962" s="334" t="s">
        <v>31</v>
      </c>
      <c r="C7962" s="348" t="s">
        <v>220</v>
      </c>
      <c r="D7962" s="334" t="s">
        <v>954</v>
      </c>
      <c r="E7962" s="336">
        <v>43793</v>
      </c>
      <c r="F7962" s="336">
        <v>43780</v>
      </c>
      <c r="G7962" s="336">
        <v>43792</v>
      </c>
      <c r="H7962" s="334" t="s">
        <v>17012</v>
      </c>
      <c r="I7962" s="444">
        <v>13761079337</v>
      </c>
      <c r="J7962" s="348" t="s">
        <v>17013</v>
      </c>
      <c r="K7962" s="452">
        <v>1999</v>
      </c>
      <c r="L7962" s="334">
        <f>1799+4309</f>
        <v>6108</v>
      </c>
      <c r="M7962" s="338"/>
      <c r="N7962" s="362">
        <f t="shared" si="272"/>
        <v>6108</v>
      </c>
      <c r="X7962" s="339"/>
    </row>
    <row r="7963" s="330" customFormat="1" ht="15" customHeight="1" spans="1:24">
      <c r="A7963" s="550" t="s">
        <v>1427</v>
      </c>
      <c r="B7963" s="334" t="s">
        <v>87</v>
      </c>
      <c r="C7963" s="348" t="s">
        <v>199</v>
      </c>
      <c r="D7963" s="335" t="s">
        <v>89</v>
      </c>
      <c r="E7963" s="336">
        <v>43780</v>
      </c>
      <c r="F7963" s="336">
        <v>43777</v>
      </c>
      <c r="G7963" s="399"/>
      <c r="H7963" s="334" t="s">
        <v>3801</v>
      </c>
      <c r="I7963" s="444">
        <v>18601342416</v>
      </c>
      <c r="J7963" s="348" t="s">
        <v>17014</v>
      </c>
      <c r="K7963" s="452">
        <v>1000</v>
      </c>
      <c r="L7963" s="338"/>
      <c r="M7963" s="338"/>
      <c r="N7963" s="362">
        <f t="shared" si="272"/>
        <v>0</v>
      </c>
      <c r="Q7963" s="411" t="s">
        <v>52</v>
      </c>
      <c r="V7963" s="353" t="s">
        <v>98</v>
      </c>
      <c r="X7963" s="339"/>
    </row>
    <row r="7964" s="330" customFormat="1" ht="15" customHeight="1" spans="1:24">
      <c r="A7964" s="550" t="s">
        <v>1457</v>
      </c>
      <c r="B7964" s="334" t="s">
        <v>87</v>
      </c>
      <c r="C7964" s="348" t="s">
        <v>1757</v>
      </c>
      <c r="D7964" s="335" t="s">
        <v>89</v>
      </c>
      <c r="E7964" s="336">
        <v>43781</v>
      </c>
      <c r="F7964" s="336">
        <v>43779</v>
      </c>
      <c r="G7964" s="399"/>
      <c r="H7964" s="444" t="s">
        <v>17015</v>
      </c>
      <c r="I7964" s="450">
        <v>15216768405</v>
      </c>
      <c r="J7964" s="348" t="s">
        <v>17016</v>
      </c>
      <c r="K7964" s="452">
        <v>1000</v>
      </c>
      <c r="L7964" s="338"/>
      <c r="M7964" s="338"/>
      <c r="N7964" s="362">
        <f t="shared" si="272"/>
        <v>0</v>
      </c>
      <c r="O7964" s="411" t="s">
        <v>52</v>
      </c>
      <c r="X7964" s="339"/>
    </row>
    <row r="7965" s="330" customFormat="1" ht="15" customHeight="1" spans="1:24">
      <c r="A7965" s="550" t="s">
        <v>1454</v>
      </c>
      <c r="B7965" s="334" t="s">
        <v>87</v>
      </c>
      <c r="C7965" s="348" t="s">
        <v>1757</v>
      </c>
      <c r="D7965" s="335" t="s">
        <v>89</v>
      </c>
      <c r="E7965" s="336">
        <v>43830</v>
      </c>
      <c r="F7965" s="336">
        <v>43779</v>
      </c>
      <c r="G7965" s="336">
        <v>43828</v>
      </c>
      <c r="H7965" s="334" t="s">
        <v>17017</v>
      </c>
      <c r="I7965" s="444">
        <v>18016029627</v>
      </c>
      <c r="J7965" s="348" t="s">
        <v>17018</v>
      </c>
      <c r="K7965" s="452">
        <v>2099</v>
      </c>
      <c r="L7965" s="334">
        <v>15751</v>
      </c>
      <c r="M7965" s="338"/>
      <c r="N7965" s="362">
        <f t="shared" si="272"/>
        <v>15751</v>
      </c>
      <c r="Q7965" s="411" t="s">
        <v>52</v>
      </c>
      <c r="X7965" s="339"/>
    </row>
    <row r="7966" s="330" customFormat="1" ht="15" customHeight="1" spans="1:24">
      <c r="A7966" s="550" t="s">
        <v>17019</v>
      </c>
      <c r="B7966" s="334" t="s">
        <v>87</v>
      </c>
      <c r="C7966" s="348" t="s">
        <v>1757</v>
      </c>
      <c r="D7966" s="335" t="s">
        <v>89</v>
      </c>
      <c r="E7966" s="336">
        <v>43781</v>
      </c>
      <c r="F7966" s="336">
        <v>43777</v>
      </c>
      <c r="G7966" s="399"/>
      <c r="H7966" s="334" t="s">
        <v>17020</v>
      </c>
      <c r="I7966" s="444">
        <v>17811802881</v>
      </c>
      <c r="J7966" s="348" t="s">
        <v>17021</v>
      </c>
      <c r="K7966" s="452">
        <v>2099</v>
      </c>
      <c r="L7966" s="338"/>
      <c r="M7966" s="338"/>
      <c r="N7966" s="362">
        <f t="shared" si="272"/>
        <v>0</v>
      </c>
      <c r="O7966" s="411" t="s">
        <v>52</v>
      </c>
      <c r="X7966" s="339"/>
    </row>
    <row r="7967" s="330" customFormat="1" ht="15" customHeight="1" spans="1:24">
      <c r="A7967" s="550" t="s">
        <v>17022</v>
      </c>
      <c r="B7967" s="334" t="s">
        <v>87</v>
      </c>
      <c r="C7967" s="348" t="s">
        <v>1757</v>
      </c>
      <c r="D7967" s="335" t="s">
        <v>89</v>
      </c>
      <c r="E7967" s="336">
        <v>43781</v>
      </c>
      <c r="F7967" s="336">
        <v>43780</v>
      </c>
      <c r="G7967" s="399"/>
      <c r="H7967" s="334" t="s">
        <v>17023</v>
      </c>
      <c r="I7967" s="444">
        <v>18601786961</v>
      </c>
      <c r="J7967" s="348" t="s">
        <v>17024</v>
      </c>
      <c r="K7967" s="452">
        <v>3898</v>
      </c>
      <c r="L7967" s="338"/>
      <c r="M7967" s="338"/>
      <c r="N7967" s="362">
        <f t="shared" si="272"/>
        <v>0</v>
      </c>
      <c r="U7967" s="330" t="s">
        <v>12</v>
      </c>
      <c r="X7967" s="339"/>
    </row>
    <row r="7968" s="330" customFormat="1" ht="15" customHeight="1" spans="1:24">
      <c r="A7968" s="348"/>
      <c r="B7968" s="334" t="s">
        <v>87</v>
      </c>
      <c r="C7968" s="348" t="s">
        <v>199</v>
      </c>
      <c r="D7968" s="335" t="s">
        <v>89</v>
      </c>
      <c r="E7968" s="336">
        <v>43791</v>
      </c>
      <c r="F7968" s="336">
        <v>43780</v>
      </c>
      <c r="G7968" s="336">
        <v>43791</v>
      </c>
      <c r="H7968" s="334" t="s">
        <v>17025</v>
      </c>
      <c r="I7968" s="444">
        <v>13661703414</v>
      </c>
      <c r="J7968" s="348" t="s">
        <v>17026</v>
      </c>
      <c r="K7968" s="452">
        <v>15415.63</v>
      </c>
      <c r="L7968" s="334">
        <v>23567.63</v>
      </c>
      <c r="M7968" s="338"/>
      <c r="N7968" s="362">
        <f t="shared" si="272"/>
        <v>23567.63</v>
      </c>
      <c r="X7968" s="339"/>
    </row>
    <row r="7969" s="330" customFormat="1" ht="15" customHeight="1" spans="1:24">
      <c r="A7969" s="550" t="s">
        <v>10999</v>
      </c>
      <c r="B7969" s="334" t="s">
        <v>185</v>
      </c>
      <c r="C7969" s="348" t="s">
        <v>1204</v>
      </c>
      <c r="D7969" s="335" t="s">
        <v>44</v>
      </c>
      <c r="E7969" s="336">
        <v>43797</v>
      </c>
      <c r="F7969" s="336">
        <v>43780</v>
      </c>
      <c r="G7969" s="336">
        <v>43796</v>
      </c>
      <c r="H7969" s="334" t="s">
        <v>17027</v>
      </c>
      <c r="I7969" s="444">
        <v>13761795623</v>
      </c>
      <c r="J7969" s="348" t="s">
        <v>17028</v>
      </c>
      <c r="K7969" s="452">
        <v>4414</v>
      </c>
      <c r="L7969" s="334">
        <v>4414</v>
      </c>
      <c r="M7969" s="338"/>
      <c r="N7969" s="362">
        <f t="shared" si="272"/>
        <v>4414</v>
      </c>
      <c r="X7969" s="339"/>
    </row>
    <row r="7970" s="330" customFormat="1" ht="15" customHeight="1" spans="1:24">
      <c r="A7970" s="348">
        <v>2024278</v>
      </c>
      <c r="B7970" s="334" t="s">
        <v>335</v>
      </c>
      <c r="C7970" s="348" t="s">
        <v>1765</v>
      </c>
      <c r="D7970" s="334" t="s">
        <v>44</v>
      </c>
      <c r="E7970" s="336">
        <v>43798</v>
      </c>
      <c r="F7970" s="336">
        <v>43780</v>
      </c>
      <c r="G7970" s="336">
        <v>43797</v>
      </c>
      <c r="H7970" s="334" t="s">
        <v>975</v>
      </c>
      <c r="I7970" s="444">
        <v>13918173970</v>
      </c>
      <c r="J7970" s="348" t="s">
        <v>17029</v>
      </c>
      <c r="K7970" s="452">
        <v>1000</v>
      </c>
      <c r="L7970" s="334">
        <v>32900</v>
      </c>
      <c r="M7970" s="338"/>
      <c r="N7970" s="362">
        <f t="shared" si="272"/>
        <v>32900</v>
      </c>
      <c r="X7970" s="339"/>
    </row>
    <row r="7971" s="330" customFormat="1" ht="15" customHeight="1" spans="1:24">
      <c r="A7971" s="550" t="s">
        <v>17030</v>
      </c>
      <c r="B7971" s="334" t="s">
        <v>335</v>
      </c>
      <c r="C7971" s="348" t="s">
        <v>399</v>
      </c>
      <c r="D7971" s="335" t="s">
        <v>337</v>
      </c>
      <c r="E7971" s="336">
        <v>43781</v>
      </c>
      <c r="F7971" s="336">
        <v>43780</v>
      </c>
      <c r="G7971" s="399"/>
      <c r="H7971" s="334" t="s">
        <v>17031</v>
      </c>
      <c r="I7971" s="444">
        <v>15692142677</v>
      </c>
      <c r="J7971" s="348" t="s">
        <v>17032</v>
      </c>
      <c r="K7971" s="452">
        <v>1000</v>
      </c>
      <c r="L7971" s="338"/>
      <c r="M7971" s="338"/>
      <c r="N7971" s="362">
        <f t="shared" si="272"/>
        <v>0</v>
      </c>
      <c r="P7971" s="353"/>
      <c r="R7971" s="353" t="s">
        <v>17033</v>
      </c>
      <c r="X7971" s="339"/>
    </row>
    <row r="7972" s="330" customFormat="1" ht="15" customHeight="1" spans="1:24">
      <c r="A7972" s="550" t="s">
        <v>14379</v>
      </c>
      <c r="B7972" s="334" t="s">
        <v>335</v>
      </c>
      <c r="C7972" s="348" t="s">
        <v>399</v>
      </c>
      <c r="D7972" s="335" t="s">
        <v>337</v>
      </c>
      <c r="E7972" s="336">
        <v>43782</v>
      </c>
      <c r="F7972" s="336">
        <v>43780</v>
      </c>
      <c r="G7972" s="336">
        <v>43780</v>
      </c>
      <c r="H7972" s="334" t="s">
        <v>1212</v>
      </c>
      <c r="I7972" s="444">
        <v>18721406089</v>
      </c>
      <c r="J7972" s="348" t="s">
        <v>17034</v>
      </c>
      <c r="K7972" s="452">
        <v>1000</v>
      </c>
      <c r="L7972" s="334">
        <v>5540</v>
      </c>
      <c r="M7972" s="338"/>
      <c r="N7972" s="362">
        <f t="shared" si="272"/>
        <v>5540</v>
      </c>
      <c r="X7972" s="339"/>
    </row>
    <row r="7973" s="330" customFormat="1" ht="15" customHeight="1" spans="1:24">
      <c r="A7973" s="550" t="s">
        <v>11296</v>
      </c>
      <c r="B7973" s="334" t="s">
        <v>335</v>
      </c>
      <c r="C7973" s="348" t="s">
        <v>1765</v>
      </c>
      <c r="D7973" s="335" t="s">
        <v>337</v>
      </c>
      <c r="E7973" s="336">
        <v>43786</v>
      </c>
      <c r="F7973" s="336">
        <v>43780</v>
      </c>
      <c r="G7973" s="336">
        <v>43785</v>
      </c>
      <c r="H7973" s="334" t="s">
        <v>17035</v>
      </c>
      <c r="I7973" s="444">
        <v>13501907170</v>
      </c>
      <c r="J7973" s="348" t="s">
        <v>17036</v>
      </c>
      <c r="K7973" s="452">
        <v>1099</v>
      </c>
      <c r="L7973" s="334">
        <v>4592</v>
      </c>
      <c r="M7973" s="338"/>
      <c r="N7973" s="362">
        <f t="shared" si="272"/>
        <v>4592</v>
      </c>
      <c r="X7973" s="339"/>
    </row>
    <row r="7974" s="330" customFormat="1" ht="15" customHeight="1" spans="1:24">
      <c r="A7974" s="550" t="s">
        <v>7144</v>
      </c>
      <c r="B7974" s="334" t="s">
        <v>185</v>
      </c>
      <c r="C7974" s="348" t="s">
        <v>1204</v>
      </c>
      <c r="D7974" s="335" t="s">
        <v>44</v>
      </c>
      <c r="E7974" s="336">
        <v>43797</v>
      </c>
      <c r="F7974" s="336">
        <v>43780</v>
      </c>
      <c r="G7974" s="336">
        <v>43796</v>
      </c>
      <c r="H7974" s="334" t="s">
        <v>17037</v>
      </c>
      <c r="I7974" s="444">
        <v>18521033693</v>
      </c>
      <c r="J7974" s="348" t="s">
        <v>17038</v>
      </c>
      <c r="K7974" s="452">
        <v>4733</v>
      </c>
      <c r="L7974" s="334">
        <v>4733</v>
      </c>
      <c r="M7974" s="338"/>
      <c r="N7974" s="362">
        <f t="shared" si="272"/>
        <v>4733</v>
      </c>
      <c r="X7974" s="339"/>
    </row>
    <row r="7975" s="330" customFormat="1" ht="15" customHeight="1" spans="1:24">
      <c r="A7975" s="348">
        <v>2019346</v>
      </c>
      <c r="B7975" s="334" t="s">
        <v>42</v>
      </c>
      <c r="C7975" s="348" t="s">
        <v>12765</v>
      </c>
      <c r="D7975" s="334" t="s">
        <v>237</v>
      </c>
      <c r="E7975" s="336">
        <v>43792</v>
      </c>
      <c r="F7975" s="336">
        <v>43780</v>
      </c>
      <c r="G7975" s="336">
        <v>43791</v>
      </c>
      <c r="H7975" s="334" t="s">
        <v>16966</v>
      </c>
      <c r="I7975" s="444">
        <v>17701690995</v>
      </c>
      <c r="J7975" s="348" t="s">
        <v>17039</v>
      </c>
      <c r="K7975" s="452">
        <v>999</v>
      </c>
      <c r="L7975" s="334">
        <v>1567</v>
      </c>
      <c r="M7975" s="338"/>
      <c r="N7975" s="362">
        <f t="shared" si="272"/>
        <v>1567</v>
      </c>
      <c r="X7975" s="339"/>
    </row>
    <row r="7976" s="330" customFormat="1" ht="15" customHeight="1" spans="1:24">
      <c r="A7976" s="550" t="s">
        <v>17040</v>
      </c>
      <c r="B7976" s="334" t="s">
        <v>315</v>
      </c>
      <c r="C7976" s="348" t="s">
        <v>275</v>
      </c>
      <c r="D7976" s="335" t="s">
        <v>162</v>
      </c>
      <c r="E7976" s="336">
        <v>43781</v>
      </c>
      <c r="F7976" s="336">
        <v>43780</v>
      </c>
      <c r="G7976" s="399"/>
      <c r="H7976" s="334" t="s">
        <v>17041</v>
      </c>
      <c r="I7976" s="444">
        <v>15618855063</v>
      </c>
      <c r="J7976" s="348" t="s">
        <v>17042</v>
      </c>
      <c r="K7976" s="452">
        <v>1000</v>
      </c>
      <c r="L7976" s="338"/>
      <c r="M7976" s="338"/>
      <c r="N7976" s="362">
        <f t="shared" si="272"/>
        <v>0</v>
      </c>
      <c r="P7976" s="330">
        <v>1</v>
      </c>
      <c r="U7976" s="353" t="s">
        <v>12</v>
      </c>
      <c r="X7976" s="339"/>
    </row>
    <row r="7977" s="330" customFormat="1" ht="15" customHeight="1" spans="1:24">
      <c r="A7977" s="550" t="s">
        <v>8807</v>
      </c>
      <c r="B7977" s="334" t="s">
        <v>123</v>
      </c>
      <c r="C7977" s="348" t="s">
        <v>32</v>
      </c>
      <c r="D7977" s="335" t="s">
        <v>125</v>
      </c>
      <c r="E7977" s="336">
        <v>43791</v>
      </c>
      <c r="F7977" s="336">
        <v>43780</v>
      </c>
      <c r="G7977" s="336">
        <v>43791</v>
      </c>
      <c r="H7977" s="334" t="s">
        <v>17043</v>
      </c>
      <c r="I7977" s="444">
        <v>18616567121</v>
      </c>
      <c r="J7977" s="348" t="s">
        <v>17044</v>
      </c>
      <c r="K7977" s="452">
        <v>1000</v>
      </c>
      <c r="L7977" s="334">
        <v>6298</v>
      </c>
      <c r="M7977" s="338"/>
      <c r="N7977" s="362">
        <f t="shared" si="272"/>
        <v>6298</v>
      </c>
      <c r="X7977" s="339"/>
    </row>
    <row r="7978" s="330" customFormat="1" ht="15" customHeight="1" spans="1:24">
      <c r="A7978" s="550" t="s">
        <v>5195</v>
      </c>
      <c r="B7978" s="334" t="s">
        <v>31</v>
      </c>
      <c r="C7978" s="348" t="s">
        <v>377</v>
      </c>
      <c r="D7978" s="335" t="s">
        <v>221</v>
      </c>
      <c r="E7978" s="336">
        <v>43781</v>
      </c>
      <c r="F7978" s="336">
        <v>43780</v>
      </c>
      <c r="G7978" s="399"/>
      <c r="H7978" s="334" t="s">
        <v>17045</v>
      </c>
      <c r="I7978" s="444">
        <v>18951009086</v>
      </c>
      <c r="J7978" s="348" t="s">
        <v>17046</v>
      </c>
      <c r="K7978" s="452">
        <v>2534</v>
      </c>
      <c r="L7978" s="338"/>
      <c r="M7978" s="338"/>
      <c r="N7978" s="362">
        <f t="shared" si="272"/>
        <v>0</v>
      </c>
      <c r="O7978" s="366" t="s">
        <v>52</v>
      </c>
      <c r="X7978" s="339"/>
    </row>
    <row r="7979" s="330" customFormat="1" ht="15" customHeight="1" spans="1:24">
      <c r="A7979" s="550" t="s">
        <v>17047</v>
      </c>
      <c r="B7979" s="334" t="s">
        <v>123</v>
      </c>
      <c r="C7979" s="348" t="s">
        <v>32</v>
      </c>
      <c r="D7979" s="335" t="s">
        <v>125</v>
      </c>
      <c r="E7979" s="336">
        <v>43781</v>
      </c>
      <c r="F7979" s="336">
        <v>43780</v>
      </c>
      <c r="G7979" s="399"/>
      <c r="H7979" s="334" t="s">
        <v>17048</v>
      </c>
      <c r="I7979" s="444">
        <v>15501529203</v>
      </c>
      <c r="J7979" s="348" t="s">
        <v>17049</v>
      </c>
      <c r="K7979" s="452">
        <v>1999</v>
      </c>
      <c r="L7979" s="338"/>
      <c r="M7979" s="338"/>
      <c r="N7979" s="362">
        <f t="shared" si="272"/>
        <v>0</v>
      </c>
      <c r="Q7979" s="353" t="s">
        <v>21</v>
      </c>
      <c r="R7979" s="486"/>
      <c r="X7979" s="339"/>
    </row>
    <row r="7980" s="330" customFormat="1" ht="15" customHeight="1" spans="1:24">
      <c r="A7980" s="348"/>
      <c r="B7980" s="334" t="s">
        <v>87</v>
      </c>
      <c r="C7980" s="348" t="s">
        <v>466</v>
      </c>
      <c r="D7980" s="335" t="s">
        <v>89</v>
      </c>
      <c r="E7980" s="336">
        <v>43781</v>
      </c>
      <c r="F7980" s="336">
        <v>43780</v>
      </c>
      <c r="G7980" s="399"/>
      <c r="H7980" s="334" t="s">
        <v>3801</v>
      </c>
      <c r="I7980" s="444">
        <v>18601347416</v>
      </c>
      <c r="J7980" s="348" t="s">
        <v>17050</v>
      </c>
      <c r="K7980" s="452">
        <v>1998</v>
      </c>
      <c r="L7980" s="338"/>
      <c r="M7980" s="338"/>
      <c r="N7980" s="362">
        <f t="shared" si="272"/>
        <v>0</v>
      </c>
      <c r="O7980" s="411" t="s">
        <v>52</v>
      </c>
      <c r="U7980" s="415" t="s">
        <v>40</v>
      </c>
      <c r="X7980" s="339"/>
    </row>
    <row r="7981" s="330" customFormat="1" ht="15" customHeight="1" spans="1:24">
      <c r="A7981" s="348"/>
      <c r="B7981" s="334" t="s">
        <v>147</v>
      </c>
      <c r="C7981" s="348" t="s">
        <v>13719</v>
      </c>
      <c r="D7981" s="335" t="s">
        <v>149</v>
      </c>
      <c r="E7981" s="336">
        <v>43781</v>
      </c>
      <c r="F7981" s="336">
        <v>43780</v>
      </c>
      <c r="G7981" s="399"/>
      <c r="H7981" s="334" t="s">
        <v>17051</v>
      </c>
      <c r="I7981" s="444">
        <v>13816812973</v>
      </c>
      <c r="J7981" s="348" t="s">
        <v>17052</v>
      </c>
      <c r="K7981" s="452">
        <v>1000</v>
      </c>
      <c r="L7981" s="338"/>
      <c r="M7981" s="338"/>
      <c r="N7981" s="362">
        <f t="shared" si="272"/>
        <v>0</v>
      </c>
      <c r="X7981" s="339"/>
    </row>
    <row r="7982" s="330" customFormat="1" ht="15" customHeight="1" spans="1:24">
      <c r="A7982" s="348"/>
      <c r="B7982" s="334" t="s">
        <v>87</v>
      </c>
      <c r="C7982" s="348" t="s">
        <v>199</v>
      </c>
      <c r="D7982" s="335" t="s">
        <v>89</v>
      </c>
      <c r="E7982" s="336">
        <v>43786</v>
      </c>
      <c r="F7982" s="336">
        <v>43780</v>
      </c>
      <c r="G7982" s="336">
        <v>43785</v>
      </c>
      <c r="H7982" s="334" t="s">
        <v>17053</v>
      </c>
      <c r="I7982" s="444">
        <v>15618254160</v>
      </c>
      <c r="J7982" s="348" t="s">
        <v>17054</v>
      </c>
      <c r="K7982" s="452">
        <v>5259</v>
      </c>
      <c r="L7982" s="334">
        <v>5259</v>
      </c>
      <c r="M7982" s="338"/>
      <c r="N7982" s="362">
        <f t="shared" si="272"/>
        <v>5259</v>
      </c>
      <c r="X7982" s="339"/>
    </row>
    <row r="7983" s="330" customFormat="1" ht="15" customHeight="1" spans="1:24">
      <c r="A7983" s="550" t="s">
        <v>15424</v>
      </c>
      <c r="B7983" s="334" t="s">
        <v>58</v>
      </c>
      <c r="C7983" s="348" t="s">
        <v>347</v>
      </c>
      <c r="D7983" s="335" t="s">
        <v>343</v>
      </c>
      <c r="E7983" s="336">
        <v>43834</v>
      </c>
      <c r="F7983" s="336">
        <v>43780</v>
      </c>
      <c r="G7983" s="336">
        <v>43820</v>
      </c>
      <c r="H7983" s="334" t="s">
        <v>17055</v>
      </c>
      <c r="I7983" s="444">
        <v>13585663381</v>
      </c>
      <c r="J7983" s="348" t="s">
        <v>17056</v>
      </c>
      <c r="K7983" s="452">
        <v>1000</v>
      </c>
      <c r="L7983" s="334">
        <v>9483</v>
      </c>
      <c r="M7983" s="338"/>
      <c r="N7983" s="362">
        <f t="shared" si="272"/>
        <v>9483</v>
      </c>
      <c r="O7983" s="365" t="s">
        <v>52</v>
      </c>
      <c r="X7983" s="339"/>
    </row>
    <row r="7984" s="330" customFormat="1" ht="15" customHeight="1" spans="1:24">
      <c r="A7984" s="550" t="s">
        <v>5375</v>
      </c>
      <c r="B7984" s="334" t="s">
        <v>31</v>
      </c>
      <c r="C7984" s="348" t="s">
        <v>251</v>
      </c>
      <c r="D7984" s="335" t="s">
        <v>33</v>
      </c>
      <c r="E7984" s="336">
        <v>43781</v>
      </c>
      <c r="F7984" s="336">
        <v>43780</v>
      </c>
      <c r="G7984" s="399"/>
      <c r="H7984" s="334" t="s">
        <v>17057</v>
      </c>
      <c r="I7984" s="444">
        <v>18930510515</v>
      </c>
      <c r="J7984" s="348" t="s">
        <v>17058</v>
      </c>
      <c r="K7984" s="452">
        <v>2000</v>
      </c>
      <c r="L7984" s="338"/>
      <c r="M7984" s="338"/>
      <c r="N7984" s="362">
        <f t="shared" si="272"/>
        <v>0</v>
      </c>
      <c r="U7984" s="330" t="s">
        <v>12</v>
      </c>
      <c r="X7984" s="339"/>
    </row>
    <row r="7985" s="330" customFormat="1" ht="15" customHeight="1" spans="1:24">
      <c r="A7985" s="348">
        <v>2024279</v>
      </c>
      <c r="B7985" s="334" t="s">
        <v>335</v>
      </c>
      <c r="C7985" s="348" t="s">
        <v>615</v>
      </c>
      <c r="D7985" s="335" t="s">
        <v>337</v>
      </c>
      <c r="E7985" s="336">
        <v>43832</v>
      </c>
      <c r="F7985" s="336">
        <v>43779</v>
      </c>
      <c r="G7985" s="336">
        <v>43831</v>
      </c>
      <c r="H7985" s="334" t="s">
        <v>17059</v>
      </c>
      <c r="I7985" s="444">
        <v>15601870812</v>
      </c>
      <c r="J7985" s="348" t="s">
        <v>17060</v>
      </c>
      <c r="K7985" s="452">
        <v>1000</v>
      </c>
      <c r="L7985" s="334">
        <v>20542</v>
      </c>
      <c r="M7985" s="338"/>
      <c r="N7985" s="362">
        <f t="shared" si="272"/>
        <v>20542</v>
      </c>
      <c r="R7985" s="356" t="s">
        <v>22</v>
      </c>
      <c r="X7985" s="339"/>
    </row>
    <row r="7986" s="330" customFormat="1" ht="15" customHeight="1" spans="1:24">
      <c r="A7986" s="348">
        <v>2024281</v>
      </c>
      <c r="B7986" s="334" t="s">
        <v>335</v>
      </c>
      <c r="C7986" s="348" t="s">
        <v>615</v>
      </c>
      <c r="D7986" s="335" t="s">
        <v>337</v>
      </c>
      <c r="E7986" s="336">
        <v>43811</v>
      </c>
      <c r="F7986" s="336">
        <v>43779</v>
      </c>
      <c r="G7986" s="336">
        <v>43810</v>
      </c>
      <c r="H7986" s="334" t="s">
        <v>17061</v>
      </c>
      <c r="I7986" s="444">
        <v>13916122132</v>
      </c>
      <c r="J7986" s="348" t="s">
        <v>17062</v>
      </c>
      <c r="K7986" s="452">
        <v>1000</v>
      </c>
      <c r="L7986" s="334">
        <v>11900</v>
      </c>
      <c r="M7986" s="338"/>
      <c r="N7986" s="362">
        <f t="shared" si="272"/>
        <v>11900</v>
      </c>
      <c r="X7986" s="339"/>
    </row>
    <row r="7987" s="330" customFormat="1" ht="15" customHeight="1" spans="1:24">
      <c r="A7987" s="550" t="s">
        <v>17063</v>
      </c>
      <c r="B7987" s="334" t="s">
        <v>31</v>
      </c>
      <c r="C7987" s="348" t="s">
        <v>220</v>
      </c>
      <c r="D7987" s="334" t="s">
        <v>33</v>
      </c>
      <c r="E7987" s="336">
        <v>43808</v>
      </c>
      <c r="F7987" s="336">
        <v>43780</v>
      </c>
      <c r="G7987" s="336">
        <v>43807</v>
      </c>
      <c r="H7987" s="334" t="s">
        <v>17064</v>
      </c>
      <c r="I7987" s="444">
        <v>18616377397</v>
      </c>
      <c r="J7987" s="348" t="s">
        <v>17065</v>
      </c>
      <c r="K7987" s="452">
        <v>10000</v>
      </c>
      <c r="L7987" s="334">
        <v>12999</v>
      </c>
      <c r="M7987" s="338"/>
      <c r="N7987" s="362">
        <f t="shared" si="272"/>
        <v>12999</v>
      </c>
      <c r="X7987" s="339"/>
    </row>
    <row r="7988" s="330" customFormat="1" ht="15" customHeight="1" spans="1:24">
      <c r="A7988" s="550" t="s">
        <v>8652</v>
      </c>
      <c r="B7988" s="334" t="s">
        <v>315</v>
      </c>
      <c r="C7988" s="348" t="s">
        <v>161</v>
      </c>
      <c r="D7988" s="335" t="s">
        <v>162</v>
      </c>
      <c r="E7988" s="336">
        <v>43781</v>
      </c>
      <c r="F7988" s="336">
        <v>43779</v>
      </c>
      <c r="G7988" s="399"/>
      <c r="H7988" s="334" t="s">
        <v>401</v>
      </c>
      <c r="I7988" s="444">
        <v>13701819101</v>
      </c>
      <c r="J7988" s="348" t="s">
        <v>17066</v>
      </c>
      <c r="K7988" s="452">
        <v>500</v>
      </c>
      <c r="L7988" s="338"/>
      <c r="M7988" s="338"/>
      <c r="N7988" s="362">
        <f t="shared" si="272"/>
        <v>0</v>
      </c>
      <c r="T7988" s="330">
        <v>1</v>
      </c>
      <c r="X7988" s="339"/>
    </row>
    <row r="7989" s="330" customFormat="1" ht="15" customHeight="1" spans="1:24">
      <c r="A7989" s="550" t="s">
        <v>8652</v>
      </c>
      <c r="B7989" s="334" t="s">
        <v>315</v>
      </c>
      <c r="C7989" s="348" t="s">
        <v>161</v>
      </c>
      <c r="D7989" s="335" t="s">
        <v>162</v>
      </c>
      <c r="E7989" s="336">
        <v>43781</v>
      </c>
      <c r="F7989" s="336">
        <v>43779</v>
      </c>
      <c r="G7989" s="399"/>
      <c r="H7989" s="334" t="s">
        <v>401</v>
      </c>
      <c r="I7989" s="444">
        <v>13701819101</v>
      </c>
      <c r="J7989" s="348" t="s">
        <v>17066</v>
      </c>
      <c r="K7989" s="452">
        <v>500</v>
      </c>
      <c r="L7989" s="338"/>
      <c r="M7989" s="338"/>
      <c r="N7989" s="362">
        <f t="shared" si="272"/>
        <v>0</v>
      </c>
      <c r="T7989" s="330">
        <v>1</v>
      </c>
      <c r="X7989" s="339"/>
    </row>
    <row r="7990" s="330" customFormat="1" ht="15" customHeight="1" spans="1:24">
      <c r="A7990" s="348"/>
      <c r="B7990" s="334" t="s">
        <v>315</v>
      </c>
      <c r="C7990" s="348" t="s">
        <v>161</v>
      </c>
      <c r="D7990" s="335" t="s">
        <v>162</v>
      </c>
      <c r="E7990" s="336">
        <v>43781</v>
      </c>
      <c r="F7990" s="336">
        <v>43780</v>
      </c>
      <c r="G7990" s="399" t="s">
        <v>69</v>
      </c>
      <c r="H7990" s="334" t="s">
        <v>17067</v>
      </c>
      <c r="I7990" s="444">
        <v>13916501768</v>
      </c>
      <c r="J7990" s="348" t="s">
        <v>17068</v>
      </c>
      <c r="K7990" s="452">
        <v>9595</v>
      </c>
      <c r="L7990" s="338"/>
      <c r="M7990" s="338"/>
      <c r="N7990" s="362">
        <f t="shared" si="272"/>
        <v>0</v>
      </c>
      <c r="X7990" s="339"/>
    </row>
    <row r="7991" s="330" customFormat="1" ht="15" customHeight="1" spans="1:24">
      <c r="A7991" s="348">
        <v>2024276</v>
      </c>
      <c r="B7991" s="334" t="s">
        <v>335</v>
      </c>
      <c r="C7991" s="348" t="s">
        <v>615</v>
      </c>
      <c r="D7991" s="335" t="s">
        <v>337</v>
      </c>
      <c r="E7991" s="336">
        <v>43781</v>
      </c>
      <c r="F7991" s="336">
        <v>43779</v>
      </c>
      <c r="G7991" s="399"/>
      <c r="H7991" s="334" t="s">
        <v>17069</v>
      </c>
      <c r="I7991" s="444">
        <v>18521365406</v>
      </c>
      <c r="J7991" s="348" t="s">
        <v>17070</v>
      </c>
      <c r="K7991" s="452">
        <v>2099</v>
      </c>
      <c r="L7991" s="338"/>
      <c r="M7991" s="338"/>
      <c r="N7991" s="362">
        <f>L7991+M7991</f>
        <v>0</v>
      </c>
      <c r="R7991" s="356" t="s">
        <v>22</v>
      </c>
      <c r="X7991" s="339"/>
    </row>
    <row r="7992" s="330" customFormat="1" ht="15" customHeight="1" spans="1:24">
      <c r="A7992" s="348">
        <v>2024277</v>
      </c>
      <c r="B7992" s="334" t="s">
        <v>335</v>
      </c>
      <c r="C7992" s="348" t="s">
        <v>615</v>
      </c>
      <c r="D7992" s="335" t="s">
        <v>337</v>
      </c>
      <c r="E7992" s="336">
        <v>43811</v>
      </c>
      <c r="F7992" s="336">
        <v>43779</v>
      </c>
      <c r="G7992" s="336">
        <v>43811</v>
      </c>
      <c r="H7992" s="334" t="s">
        <v>17071</v>
      </c>
      <c r="I7992" s="444">
        <v>18601776330</v>
      </c>
      <c r="J7992" s="348" t="s">
        <v>17072</v>
      </c>
      <c r="K7992" s="452">
        <v>1099</v>
      </c>
      <c r="L7992" s="334">
        <v>8137</v>
      </c>
      <c r="M7992" s="338"/>
      <c r="N7992" s="362">
        <f>L7992+M7992</f>
        <v>8137</v>
      </c>
      <c r="X7992" s="339"/>
    </row>
    <row r="7993" s="330" customFormat="1" ht="15" customHeight="1" spans="1:24">
      <c r="A7993" s="550" t="s">
        <v>17073</v>
      </c>
      <c r="B7993" s="334" t="s">
        <v>87</v>
      </c>
      <c r="C7993" s="348" t="s">
        <v>10921</v>
      </c>
      <c r="D7993" s="335" t="s">
        <v>89</v>
      </c>
      <c r="E7993" s="336">
        <v>43781</v>
      </c>
      <c r="F7993" s="336">
        <v>43779</v>
      </c>
      <c r="G7993" s="399"/>
      <c r="H7993" s="334" t="s">
        <v>17074</v>
      </c>
      <c r="I7993" s="444">
        <v>17779185556</v>
      </c>
      <c r="J7993" s="348" t="s">
        <v>17075</v>
      </c>
      <c r="K7993" s="452">
        <v>1000</v>
      </c>
      <c r="L7993" s="338"/>
      <c r="M7993" s="338"/>
      <c r="N7993" s="362">
        <f t="shared" ref="N7993:N8036" si="273">L7993+M7993</f>
        <v>0</v>
      </c>
      <c r="U7993" s="330" t="s">
        <v>17076</v>
      </c>
      <c r="X7993" s="339"/>
    </row>
    <row r="7994" s="330" customFormat="1" ht="15" customHeight="1" spans="1:24">
      <c r="A7994" s="550" t="s">
        <v>10231</v>
      </c>
      <c r="B7994" s="334" t="s">
        <v>87</v>
      </c>
      <c r="C7994" s="348" t="s">
        <v>10921</v>
      </c>
      <c r="D7994" s="335" t="s">
        <v>89</v>
      </c>
      <c r="E7994" s="336">
        <v>43830</v>
      </c>
      <c r="F7994" s="336">
        <v>43779</v>
      </c>
      <c r="G7994" s="336">
        <v>43830</v>
      </c>
      <c r="H7994" s="334" t="s">
        <v>17077</v>
      </c>
      <c r="I7994" s="444">
        <v>18221171270</v>
      </c>
      <c r="J7994" s="348" t="s">
        <v>17078</v>
      </c>
      <c r="K7994" s="452">
        <v>1399</v>
      </c>
      <c r="L7994" s="334">
        <v>4106</v>
      </c>
      <c r="M7994" s="338"/>
      <c r="N7994" s="362">
        <f t="shared" si="273"/>
        <v>4106</v>
      </c>
      <c r="X7994" s="339"/>
    </row>
    <row r="7995" s="330" customFormat="1" ht="15" customHeight="1" spans="1:24">
      <c r="A7995" s="348"/>
      <c r="B7995" s="334" t="s">
        <v>315</v>
      </c>
      <c r="C7995" s="334" t="s">
        <v>161</v>
      </c>
      <c r="D7995" s="334" t="s">
        <v>1431</v>
      </c>
      <c r="E7995" s="336">
        <v>43791</v>
      </c>
      <c r="F7995" s="336">
        <v>43780</v>
      </c>
      <c r="G7995" s="336">
        <v>43791</v>
      </c>
      <c r="H7995" s="334" t="s">
        <v>17079</v>
      </c>
      <c r="I7995" s="555" t="s">
        <v>17080</v>
      </c>
      <c r="J7995" s="348" t="s">
        <v>17081</v>
      </c>
      <c r="K7995" s="452">
        <v>1667</v>
      </c>
      <c r="L7995" s="334">
        <v>2050</v>
      </c>
      <c r="M7995" s="338"/>
      <c r="N7995" s="362">
        <f t="shared" si="273"/>
        <v>2050</v>
      </c>
      <c r="X7995" s="339"/>
    </row>
    <row r="7996" s="330" customFormat="1" ht="15" customHeight="1" spans="1:24">
      <c r="A7996" s="550" t="s">
        <v>10055</v>
      </c>
      <c r="B7996" s="334" t="s">
        <v>66</v>
      </c>
      <c r="C7996" s="348" t="s">
        <v>3954</v>
      </c>
      <c r="D7996" s="335" t="s">
        <v>1436</v>
      </c>
      <c r="E7996" s="336">
        <v>43781</v>
      </c>
      <c r="F7996" s="336">
        <v>43779</v>
      </c>
      <c r="G7996" s="399"/>
      <c r="H7996" s="334" t="s">
        <v>17082</v>
      </c>
      <c r="I7996" s="444">
        <v>13918503436</v>
      </c>
      <c r="J7996" s="348" t="s">
        <v>17083</v>
      </c>
      <c r="K7996" s="452">
        <v>2940</v>
      </c>
      <c r="L7996" s="338"/>
      <c r="M7996" s="338"/>
      <c r="N7996" s="362">
        <f t="shared" si="273"/>
        <v>0</v>
      </c>
      <c r="U7996" s="330" t="s">
        <v>12</v>
      </c>
      <c r="X7996" s="339"/>
    </row>
    <row r="7997" s="330" customFormat="1" ht="15" customHeight="1" spans="1:24">
      <c r="A7997" s="550" t="s">
        <v>16068</v>
      </c>
      <c r="B7997" s="334" t="s">
        <v>87</v>
      </c>
      <c r="C7997" s="348" t="s">
        <v>10921</v>
      </c>
      <c r="D7997" s="335" t="s">
        <v>89</v>
      </c>
      <c r="E7997" s="336">
        <v>43781</v>
      </c>
      <c r="F7997" s="336">
        <v>43779</v>
      </c>
      <c r="G7997" s="399"/>
      <c r="H7997" s="334" t="s">
        <v>17084</v>
      </c>
      <c r="I7997" s="444">
        <v>13641887172</v>
      </c>
      <c r="J7997" s="348" t="s">
        <v>17085</v>
      </c>
      <c r="K7997" s="452">
        <v>1000</v>
      </c>
      <c r="L7997" s="338"/>
      <c r="M7997" s="338"/>
      <c r="N7997" s="362">
        <f t="shared" si="273"/>
        <v>0</v>
      </c>
      <c r="O7997" s="356" t="s">
        <v>52</v>
      </c>
      <c r="X7997" s="339"/>
    </row>
    <row r="7998" s="330" customFormat="1" ht="15" customHeight="1" spans="1:24">
      <c r="A7998" s="348">
        <v>2018299</v>
      </c>
      <c r="B7998" s="334" t="s">
        <v>315</v>
      </c>
      <c r="C7998" s="348" t="s">
        <v>161</v>
      </c>
      <c r="D7998" s="334" t="s">
        <v>1431</v>
      </c>
      <c r="E7998" s="336">
        <v>43791</v>
      </c>
      <c r="F7998" s="336">
        <v>43780</v>
      </c>
      <c r="G7998" s="336">
        <v>43791</v>
      </c>
      <c r="H7998" s="334" t="s">
        <v>17086</v>
      </c>
      <c r="I7998" s="444">
        <v>17621436617</v>
      </c>
      <c r="J7998" s="348" t="s">
        <v>17087</v>
      </c>
      <c r="K7998" s="452">
        <v>1767</v>
      </c>
      <c r="L7998" s="334">
        <v>2090</v>
      </c>
      <c r="M7998" s="338"/>
      <c r="N7998" s="362">
        <f t="shared" si="273"/>
        <v>2090</v>
      </c>
      <c r="X7998" s="339"/>
    </row>
    <row r="7999" s="330" customFormat="1" ht="15" customHeight="1" spans="1:24">
      <c r="A7999" s="550" t="s">
        <v>1451</v>
      </c>
      <c r="B7999" s="334" t="s">
        <v>87</v>
      </c>
      <c r="C7999" s="348" t="s">
        <v>10921</v>
      </c>
      <c r="D7999" s="335" t="s">
        <v>89</v>
      </c>
      <c r="E7999" s="336">
        <v>43781</v>
      </c>
      <c r="F7999" s="336">
        <v>43778</v>
      </c>
      <c r="G7999" s="399"/>
      <c r="H7999" s="334" t="s">
        <v>17088</v>
      </c>
      <c r="I7999" s="444">
        <v>18621007475</v>
      </c>
      <c r="J7999" s="348" t="s">
        <v>17089</v>
      </c>
      <c r="K7999" s="452">
        <v>1000</v>
      </c>
      <c r="L7999" s="338"/>
      <c r="M7999" s="338"/>
      <c r="N7999" s="362">
        <f t="shared" si="273"/>
        <v>0</v>
      </c>
      <c r="U7999" s="330" t="s">
        <v>12</v>
      </c>
      <c r="X7999" s="339"/>
    </row>
    <row r="8000" s="330" customFormat="1" ht="15" customHeight="1" spans="1:24">
      <c r="A8000" s="550" t="s">
        <v>16727</v>
      </c>
      <c r="B8000" s="334" t="s">
        <v>137</v>
      </c>
      <c r="C8000" s="348" t="s">
        <v>406</v>
      </c>
      <c r="D8000" s="334" t="s">
        <v>139</v>
      </c>
      <c r="E8000" s="336">
        <v>43782</v>
      </c>
      <c r="F8000" s="336">
        <v>43780</v>
      </c>
      <c r="G8000" s="336">
        <v>43780</v>
      </c>
      <c r="H8000" s="334" t="s">
        <v>17090</v>
      </c>
      <c r="I8000" s="444">
        <v>13788970351</v>
      </c>
      <c r="J8000" s="348" t="s">
        <v>17091</v>
      </c>
      <c r="K8000" s="452">
        <v>17378</v>
      </c>
      <c r="L8000" s="334">
        <v>17318</v>
      </c>
      <c r="M8000" s="338"/>
      <c r="N8000" s="362">
        <f t="shared" si="273"/>
        <v>17318</v>
      </c>
      <c r="X8000" s="339"/>
    </row>
    <row r="8001" s="330" customFormat="1" ht="15" customHeight="1" spans="1:24">
      <c r="A8001" s="550" t="s">
        <v>14906</v>
      </c>
      <c r="B8001" s="334" t="s">
        <v>169</v>
      </c>
      <c r="C8001" s="348" t="s">
        <v>634</v>
      </c>
      <c r="D8001" s="335" t="s">
        <v>635</v>
      </c>
      <c r="E8001" s="336">
        <v>43781</v>
      </c>
      <c r="F8001" s="336">
        <v>43779</v>
      </c>
      <c r="G8001" s="399"/>
      <c r="H8001" s="334" t="s">
        <v>9090</v>
      </c>
      <c r="I8001" s="444">
        <v>15221868367</v>
      </c>
      <c r="J8001" s="348" t="s">
        <v>17092</v>
      </c>
      <c r="K8001" s="452">
        <v>6400</v>
      </c>
      <c r="L8001" s="338"/>
      <c r="M8001" s="338"/>
      <c r="N8001" s="362">
        <f t="shared" si="273"/>
        <v>0</v>
      </c>
      <c r="O8001" s="353"/>
      <c r="P8001" s="330" t="s">
        <v>52</v>
      </c>
      <c r="V8001" s="353" t="s">
        <v>14703</v>
      </c>
      <c r="X8001" s="339"/>
    </row>
    <row r="8002" s="330" customFormat="1" ht="15" customHeight="1" spans="1:24">
      <c r="A8002" s="550" t="s">
        <v>7392</v>
      </c>
      <c r="B8002" s="334" t="s">
        <v>169</v>
      </c>
      <c r="C8002" s="348" t="s">
        <v>634</v>
      </c>
      <c r="D8002" s="335" t="s">
        <v>635</v>
      </c>
      <c r="E8002" s="336">
        <v>43781</v>
      </c>
      <c r="F8002" s="336">
        <v>43779</v>
      </c>
      <c r="G8002" s="399"/>
      <c r="H8002" s="334" t="s">
        <v>17093</v>
      </c>
      <c r="I8002" s="444">
        <v>15901870153</v>
      </c>
      <c r="J8002" s="348" t="s">
        <v>17094</v>
      </c>
      <c r="K8002" s="452">
        <v>1000</v>
      </c>
      <c r="L8002" s="338"/>
      <c r="M8002" s="338"/>
      <c r="N8002" s="362">
        <f t="shared" si="273"/>
        <v>0</v>
      </c>
      <c r="U8002" s="330" t="s">
        <v>12</v>
      </c>
      <c r="X8002" s="339"/>
    </row>
    <row r="8003" s="330" customFormat="1" ht="15" customHeight="1" spans="1:24">
      <c r="A8003" s="550" t="s">
        <v>14281</v>
      </c>
      <c r="B8003" s="334" t="s">
        <v>169</v>
      </c>
      <c r="C8003" s="348" t="s">
        <v>634</v>
      </c>
      <c r="D8003" s="335" t="s">
        <v>635</v>
      </c>
      <c r="E8003" s="336">
        <v>43781</v>
      </c>
      <c r="F8003" s="336">
        <v>43777</v>
      </c>
      <c r="G8003" s="399"/>
      <c r="H8003" s="334" t="s">
        <v>17095</v>
      </c>
      <c r="I8003" s="444">
        <v>13817543168</v>
      </c>
      <c r="J8003" s="348" t="s">
        <v>17096</v>
      </c>
      <c r="K8003" s="452">
        <v>1000</v>
      </c>
      <c r="L8003" s="338"/>
      <c r="M8003" s="338"/>
      <c r="N8003" s="362">
        <f t="shared" si="273"/>
        <v>0</v>
      </c>
      <c r="O8003" s="353"/>
      <c r="P8003" s="330" t="s">
        <v>52</v>
      </c>
      <c r="V8003" s="353" t="s">
        <v>14703</v>
      </c>
      <c r="X8003" s="339"/>
    </row>
    <row r="8004" s="330" customFormat="1" ht="15" customHeight="1" spans="1:24">
      <c r="A8004" s="550" t="s">
        <v>1305</v>
      </c>
      <c r="B8004" s="334" t="s">
        <v>315</v>
      </c>
      <c r="C8004" s="348" t="s">
        <v>181</v>
      </c>
      <c r="D8004" s="335" t="s">
        <v>182</v>
      </c>
      <c r="E8004" s="336">
        <v>43786</v>
      </c>
      <c r="F8004" s="336">
        <v>43774</v>
      </c>
      <c r="G8004" s="336">
        <v>43785</v>
      </c>
      <c r="H8004" s="334" t="s">
        <v>17097</v>
      </c>
      <c r="I8004" s="444">
        <v>13003223518</v>
      </c>
      <c r="J8004" s="348" t="s">
        <v>17098</v>
      </c>
      <c r="K8004" s="452">
        <v>1000</v>
      </c>
      <c r="L8004" s="334">
        <v>35680</v>
      </c>
      <c r="M8004" s="338"/>
      <c r="N8004" s="362">
        <f t="shared" si="273"/>
        <v>35680</v>
      </c>
      <c r="X8004" s="339"/>
    </row>
    <row r="8005" s="330" customFormat="1" ht="15" customHeight="1" spans="1:24">
      <c r="A8005" s="550" t="s">
        <v>8822</v>
      </c>
      <c r="B8005" s="334" t="s">
        <v>315</v>
      </c>
      <c r="C8005" s="348" t="s">
        <v>181</v>
      </c>
      <c r="D8005" s="335" t="s">
        <v>182</v>
      </c>
      <c r="E8005" s="336">
        <v>43797</v>
      </c>
      <c r="F8005" s="336">
        <v>43780</v>
      </c>
      <c r="G8005" s="336">
        <v>43797</v>
      </c>
      <c r="H8005" s="334" t="s">
        <v>17099</v>
      </c>
      <c r="I8005" s="444">
        <v>18916485428</v>
      </c>
      <c r="J8005" s="348" t="s">
        <v>17100</v>
      </c>
      <c r="K8005" s="452">
        <v>20000</v>
      </c>
      <c r="L8005" s="334">
        <v>20000</v>
      </c>
      <c r="M8005" s="338"/>
      <c r="N8005" s="362">
        <f t="shared" si="273"/>
        <v>20000</v>
      </c>
      <c r="X8005" s="339"/>
    </row>
    <row r="8006" s="330" customFormat="1" ht="15" customHeight="1" spans="1:24">
      <c r="A8006" s="348">
        <v>2023346</v>
      </c>
      <c r="B8006" s="334" t="s">
        <v>243</v>
      </c>
      <c r="C8006" s="348" t="s">
        <v>304</v>
      </c>
      <c r="D8006" s="335" t="s">
        <v>49</v>
      </c>
      <c r="E8006" s="336">
        <v>43787</v>
      </c>
      <c r="F8006" s="336">
        <v>43780</v>
      </c>
      <c r="G8006" s="336">
        <v>43780</v>
      </c>
      <c r="H8006" s="334" t="s">
        <v>17101</v>
      </c>
      <c r="I8006" s="444">
        <v>13127568999</v>
      </c>
      <c r="J8006" s="348" t="s">
        <v>17102</v>
      </c>
      <c r="K8006" s="452">
        <v>5000</v>
      </c>
      <c r="L8006" s="334">
        <v>21653</v>
      </c>
      <c r="M8006" s="338"/>
      <c r="N8006" s="362">
        <f t="shared" si="273"/>
        <v>21653</v>
      </c>
      <c r="X8006" s="339"/>
    </row>
    <row r="8007" s="330" customFormat="1" ht="15" customHeight="1" spans="1:24">
      <c r="A8007" s="348">
        <v>2017299</v>
      </c>
      <c r="B8007" s="334" t="s">
        <v>315</v>
      </c>
      <c r="C8007" s="348" t="s">
        <v>161</v>
      </c>
      <c r="D8007" s="335" t="s">
        <v>162</v>
      </c>
      <c r="E8007" s="336">
        <v>43781</v>
      </c>
      <c r="F8007" s="336">
        <v>43780</v>
      </c>
      <c r="G8007" s="399"/>
      <c r="H8007" s="334" t="s">
        <v>17103</v>
      </c>
      <c r="I8007" s="444">
        <v>18930133922</v>
      </c>
      <c r="J8007" s="348" t="s">
        <v>17104</v>
      </c>
      <c r="K8007" s="452">
        <v>2285.84</v>
      </c>
      <c r="L8007" s="338"/>
      <c r="M8007" s="338"/>
      <c r="N8007" s="362">
        <f t="shared" si="273"/>
        <v>0</v>
      </c>
      <c r="U8007" s="330" t="s">
        <v>17105</v>
      </c>
      <c r="X8007" s="339"/>
    </row>
    <row r="8008" s="330" customFormat="1" ht="15" customHeight="1" spans="1:24">
      <c r="A8008" s="550" t="s">
        <v>17106</v>
      </c>
      <c r="B8008" s="334" t="s">
        <v>66</v>
      </c>
      <c r="C8008" s="348" t="s">
        <v>505</v>
      </c>
      <c r="D8008" s="334" t="s">
        <v>2302</v>
      </c>
      <c r="E8008" s="336">
        <v>43798</v>
      </c>
      <c r="F8008" s="336">
        <v>43780</v>
      </c>
      <c r="G8008" s="336">
        <v>43798</v>
      </c>
      <c r="H8008" s="334" t="s">
        <v>17107</v>
      </c>
      <c r="I8008" s="444">
        <v>13121709009</v>
      </c>
      <c r="J8008" s="348" t="s">
        <v>17108</v>
      </c>
      <c r="K8008" s="452">
        <v>2097</v>
      </c>
      <c r="L8008" s="334">
        <v>8269</v>
      </c>
      <c r="M8008" s="338"/>
      <c r="N8008" s="362">
        <f t="shared" si="273"/>
        <v>8269</v>
      </c>
      <c r="Q8008" s="330" t="s">
        <v>52</v>
      </c>
      <c r="X8008" s="339"/>
    </row>
    <row r="8009" s="330" customFormat="1" ht="15" customHeight="1" spans="1:24">
      <c r="A8009" s="550" t="s">
        <v>3699</v>
      </c>
      <c r="B8009" s="334" t="s">
        <v>66</v>
      </c>
      <c r="C8009" s="348" t="s">
        <v>1749</v>
      </c>
      <c r="D8009" s="335" t="s">
        <v>68</v>
      </c>
      <c r="E8009" s="336">
        <v>43781</v>
      </c>
      <c r="F8009" s="336">
        <v>43780</v>
      </c>
      <c r="G8009" s="362" t="s">
        <v>69</v>
      </c>
      <c r="H8009" s="334" t="s">
        <v>17109</v>
      </c>
      <c r="I8009" s="444">
        <v>13636325004</v>
      </c>
      <c r="J8009" s="348" t="s">
        <v>17110</v>
      </c>
      <c r="K8009" s="452">
        <v>6839</v>
      </c>
      <c r="L8009" s="338"/>
      <c r="M8009" s="338"/>
      <c r="N8009" s="362">
        <f t="shared" si="273"/>
        <v>0</v>
      </c>
      <c r="R8009" s="330" t="s">
        <v>52</v>
      </c>
      <c r="X8009" s="339"/>
    </row>
    <row r="8010" s="330" customFormat="1" ht="15" customHeight="1" spans="1:24">
      <c r="A8010" s="550" t="s">
        <v>17111</v>
      </c>
      <c r="B8010" s="334" t="s">
        <v>315</v>
      </c>
      <c r="C8010" s="348" t="s">
        <v>161</v>
      </c>
      <c r="D8010" s="335" t="s">
        <v>162</v>
      </c>
      <c r="E8010" s="336">
        <v>43781</v>
      </c>
      <c r="F8010" s="336">
        <v>43779</v>
      </c>
      <c r="G8010" s="399"/>
      <c r="H8010" s="334" t="s">
        <v>17112</v>
      </c>
      <c r="I8010" s="444">
        <v>13621634487</v>
      </c>
      <c r="J8010" s="348" t="s">
        <v>17113</v>
      </c>
      <c r="K8010" s="452">
        <v>1000</v>
      </c>
      <c r="L8010" s="338"/>
      <c r="M8010" s="338"/>
      <c r="N8010" s="362">
        <f t="shared" si="273"/>
        <v>0</v>
      </c>
      <c r="O8010" s="330">
        <v>1</v>
      </c>
      <c r="X8010" s="339"/>
    </row>
    <row r="8011" s="330" customFormat="1" ht="15" customHeight="1" spans="1:24">
      <c r="A8011" s="550" t="s">
        <v>17114</v>
      </c>
      <c r="B8011" s="334" t="s">
        <v>405</v>
      </c>
      <c r="C8011" s="348" t="s">
        <v>823</v>
      </c>
      <c r="D8011" s="335" t="s">
        <v>407</v>
      </c>
      <c r="E8011" s="336">
        <v>43814</v>
      </c>
      <c r="F8011" s="336">
        <v>43780</v>
      </c>
      <c r="G8011" s="336">
        <v>43807</v>
      </c>
      <c r="H8011" s="334" t="s">
        <v>17115</v>
      </c>
      <c r="I8011" s="444">
        <v>18621710739</v>
      </c>
      <c r="J8011" s="348" t="s">
        <v>17116</v>
      </c>
      <c r="K8011" s="452">
        <v>1000</v>
      </c>
      <c r="L8011" s="334">
        <v>6578</v>
      </c>
      <c r="M8011" s="338"/>
      <c r="N8011" s="362">
        <f t="shared" si="273"/>
        <v>6578</v>
      </c>
      <c r="P8011" s="502" t="s">
        <v>52</v>
      </c>
      <c r="X8011" s="339"/>
    </row>
    <row r="8012" s="330" customFormat="1" ht="15" customHeight="1" spans="1:24">
      <c r="A8012" s="550" t="s">
        <v>17117</v>
      </c>
      <c r="B8012" s="334" t="s">
        <v>31</v>
      </c>
      <c r="C8012" s="348" t="s">
        <v>419</v>
      </c>
      <c r="D8012" s="335" t="s">
        <v>221</v>
      </c>
      <c r="E8012" s="336">
        <v>43787</v>
      </c>
      <c r="F8012" s="336">
        <v>43780</v>
      </c>
      <c r="G8012" s="336">
        <v>43787</v>
      </c>
      <c r="H8012" s="334" t="s">
        <v>17118</v>
      </c>
      <c r="I8012" s="444">
        <v>15618292038</v>
      </c>
      <c r="J8012" s="348" t="s">
        <v>17119</v>
      </c>
      <c r="K8012" s="452">
        <v>3479</v>
      </c>
      <c r="L8012" s="334">
        <v>6131</v>
      </c>
      <c r="M8012" s="338"/>
      <c r="N8012" s="362">
        <f t="shared" si="273"/>
        <v>6131</v>
      </c>
      <c r="X8012" s="339"/>
    </row>
    <row r="8013" s="330" customFormat="1" ht="15" customHeight="1" spans="1:24">
      <c r="A8013" s="550" t="s">
        <v>9862</v>
      </c>
      <c r="B8013" s="334" t="s">
        <v>185</v>
      </c>
      <c r="C8013" s="348" t="s">
        <v>886</v>
      </c>
      <c r="D8013" s="335" t="s">
        <v>187</v>
      </c>
      <c r="E8013" s="336">
        <v>43829</v>
      </c>
      <c r="F8013" s="336">
        <v>43780</v>
      </c>
      <c r="G8013" s="336">
        <v>43829</v>
      </c>
      <c r="H8013" s="334" t="s">
        <v>17120</v>
      </c>
      <c r="I8013" s="444">
        <v>13816169664</v>
      </c>
      <c r="J8013" s="348" t="s">
        <v>17121</v>
      </c>
      <c r="K8013" s="452">
        <v>1000</v>
      </c>
      <c r="L8013" s="334">
        <v>22949</v>
      </c>
      <c r="M8013" s="338"/>
      <c r="N8013" s="362">
        <f t="shared" si="273"/>
        <v>22949</v>
      </c>
      <c r="V8013" s="471">
        <v>43825</v>
      </c>
      <c r="X8013" s="339"/>
    </row>
    <row r="8014" s="330" customFormat="1" ht="15" customHeight="1" spans="1:24">
      <c r="A8014" s="348"/>
      <c r="B8014" s="334" t="s">
        <v>87</v>
      </c>
      <c r="C8014" s="348" t="s">
        <v>199</v>
      </c>
      <c r="D8014" s="335" t="s">
        <v>89</v>
      </c>
      <c r="E8014" s="336">
        <v>43817</v>
      </c>
      <c r="F8014" s="336">
        <v>43780</v>
      </c>
      <c r="G8014" s="336">
        <v>43816</v>
      </c>
      <c r="H8014" s="334" t="s">
        <v>17122</v>
      </c>
      <c r="I8014" s="444">
        <v>15907150762</v>
      </c>
      <c r="J8014" s="348" t="s">
        <v>17123</v>
      </c>
      <c r="K8014" s="452">
        <v>3360</v>
      </c>
      <c r="L8014" s="334">
        <v>8271</v>
      </c>
      <c r="M8014" s="338"/>
      <c r="N8014" s="362">
        <f t="shared" si="273"/>
        <v>8271</v>
      </c>
      <c r="O8014" s="356" t="s">
        <v>52</v>
      </c>
      <c r="X8014" s="339"/>
    </row>
    <row r="8015" s="330" customFormat="1" ht="15" customHeight="1" spans="1:24">
      <c r="A8015" s="550" t="s">
        <v>6209</v>
      </c>
      <c r="B8015" s="334" t="s">
        <v>185</v>
      </c>
      <c r="C8015" s="348" t="s">
        <v>4146</v>
      </c>
      <c r="D8015" s="335" t="s">
        <v>187</v>
      </c>
      <c r="E8015" s="336">
        <v>43812</v>
      </c>
      <c r="F8015" s="336">
        <v>43780</v>
      </c>
      <c r="G8015" s="336">
        <v>43809</v>
      </c>
      <c r="H8015" s="334" t="s">
        <v>17124</v>
      </c>
      <c r="I8015" s="444">
        <v>18917601589</v>
      </c>
      <c r="J8015" s="348" t="s">
        <v>17125</v>
      </c>
      <c r="K8015" s="452">
        <v>1000</v>
      </c>
      <c r="L8015" s="334">
        <v>9500</v>
      </c>
      <c r="M8015" s="338"/>
      <c r="N8015" s="362">
        <f t="shared" si="273"/>
        <v>9500</v>
      </c>
      <c r="X8015" s="339"/>
    </row>
    <row r="8016" s="330" customFormat="1" ht="15" customHeight="1" spans="1:24">
      <c r="A8016" s="550" t="s">
        <v>17126</v>
      </c>
      <c r="B8016" s="334" t="s">
        <v>185</v>
      </c>
      <c r="C8016" s="348" t="s">
        <v>4146</v>
      </c>
      <c r="D8016" s="335" t="s">
        <v>187</v>
      </c>
      <c r="E8016" s="336">
        <v>43828</v>
      </c>
      <c r="F8016" s="336">
        <v>43780</v>
      </c>
      <c r="G8016" s="336">
        <v>43825</v>
      </c>
      <c r="H8016" s="334" t="s">
        <v>17127</v>
      </c>
      <c r="I8016" s="444">
        <v>15000158034</v>
      </c>
      <c r="J8016" s="348" t="s">
        <v>17128</v>
      </c>
      <c r="K8016" s="452">
        <v>1000</v>
      </c>
      <c r="L8016" s="334">
        <v>16600</v>
      </c>
      <c r="M8016" s="338"/>
      <c r="N8016" s="362">
        <f t="shared" si="273"/>
        <v>16600</v>
      </c>
      <c r="X8016" s="339"/>
    </row>
    <row r="8017" s="330" customFormat="1" ht="15" customHeight="1" spans="1:24">
      <c r="A8017" s="550" t="s">
        <v>5041</v>
      </c>
      <c r="B8017" s="334" t="s">
        <v>185</v>
      </c>
      <c r="C8017" s="348" t="s">
        <v>4146</v>
      </c>
      <c r="D8017" s="335" t="s">
        <v>187</v>
      </c>
      <c r="E8017" s="336">
        <v>43816</v>
      </c>
      <c r="F8017" s="336">
        <v>43780</v>
      </c>
      <c r="G8017" s="336">
        <v>43815</v>
      </c>
      <c r="H8017" s="334" t="s">
        <v>17129</v>
      </c>
      <c r="I8017" s="444">
        <v>13601803285</v>
      </c>
      <c r="J8017" s="348" t="s">
        <v>17130</v>
      </c>
      <c r="K8017" s="452">
        <v>1000</v>
      </c>
      <c r="L8017" s="334">
        <v>7473</v>
      </c>
      <c r="M8017" s="338"/>
      <c r="N8017" s="362">
        <f t="shared" si="273"/>
        <v>7473</v>
      </c>
      <c r="X8017" s="339"/>
    </row>
    <row r="8018" s="330" customFormat="1" ht="15" customHeight="1" spans="1:24">
      <c r="A8018" s="550" t="s">
        <v>17131</v>
      </c>
      <c r="B8018" s="334" t="s">
        <v>405</v>
      </c>
      <c r="C8018" s="348" t="s">
        <v>1234</v>
      </c>
      <c r="D8018" s="334" t="s">
        <v>407</v>
      </c>
      <c r="E8018" s="336">
        <v>43782</v>
      </c>
      <c r="F8018" s="336">
        <v>43780</v>
      </c>
      <c r="G8018" s="336">
        <v>43776</v>
      </c>
      <c r="H8018" s="334" t="s">
        <v>17132</v>
      </c>
      <c r="I8018" s="444">
        <v>13661601946</v>
      </c>
      <c r="J8018" s="348" t="s">
        <v>17133</v>
      </c>
      <c r="K8018" s="452">
        <f>1000+1000</f>
        <v>2000</v>
      </c>
      <c r="L8018" s="334">
        <v>6095</v>
      </c>
      <c r="M8018" s="338"/>
      <c r="N8018" s="362">
        <f t="shared" si="273"/>
        <v>6095</v>
      </c>
      <c r="X8018" s="339"/>
    </row>
    <row r="8019" s="330" customFormat="1" ht="15" customHeight="1" spans="1:24">
      <c r="A8019" s="550" t="s">
        <v>4857</v>
      </c>
      <c r="B8019" s="334" t="s">
        <v>185</v>
      </c>
      <c r="C8019" s="348" t="s">
        <v>4146</v>
      </c>
      <c r="D8019" s="335" t="s">
        <v>187</v>
      </c>
      <c r="E8019" s="336">
        <v>43836</v>
      </c>
      <c r="F8019" s="336">
        <v>43780</v>
      </c>
      <c r="G8019" s="336">
        <v>43835</v>
      </c>
      <c r="H8019" s="334" t="s">
        <v>17134</v>
      </c>
      <c r="I8019" s="444">
        <v>13918057380</v>
      </c>
      <c r="J8019" s="348" t="s">
        <v>17135</v>
      </c>
      <c r="K8019" s="452">
        <v>1000</v>
      </c>
      <c r="L8019" s="334">
        <v>10800</v>
      </c>
      <c r="M8019" s="338"/>
      <c r="N8019" s="362">
        <f t="shared" si="273"/>
        <v>10800</v>
      </c>
      <c r="Q8019" s="356" t="s">
        <v>52</v>
      </c>
      <c r="X8019" s="339"/>
    </row>
    <row r="8020" s="330" customFormat="1" ht="15" customHeight="1" spans="1:24">
      <c r="A8020" s="550" t="s">
        <v>5178</v>
      </c>
      <c r="B8020" s="334" t="s">
        <v>185</v>
      </c>
      <c r="C8020" s="348" t="s">
        <v>4146</v>
      </c>
      <c r="D8020" s="335" t="s">
        <v>187</v>
      </c>
      <c r="E8020" s="336">
        <v>43791</v>
      </c>
      <c r="F8020" s="336">
        <v>43780</v>
      </c>
      <c r="G8020" s="336">
        <v>43788</v>
      </c>
      <c r="H8020" s="334" t="s">
        <v>17136</v>
      </c>
      <c r="I8020" s="444">
        <v>13916276480</v>
      </c>
      <c r="J8020" s="348" t="s">
        <v>17137</v>
      </c>
      <c r="K8020" s="452">
        <v>1000</v>
      </c>
      <c r="L8020" s="334">
        <v>15500</v>
      </c>
      <c r="M8020" s="338"/>
      <c r="N8020" s="362">
        <f t="shared" si="273"/>
        <v>15500</v>
      </c>
      <c r="X8020" s="339"/>
    </row>
    <row r="8021" s="330" customFormat="1" ht="15" customHeight="1" spans="1:24">
      <c r="A8021" s="550" t="s">
        <v>17138</v>
      </c>
      <c r="B8021" s="334" t="s">
        <v>31</v>
      </c>
      <c r="C8021" s="348" t="s">
        <v>419</v>
      </c>
      <c r="D8021" s="334" t="s">
        <v>33</v>
      </c>
      <c r="E8021" s="336">
        <v>43789</v>
      </c>
      <c r="F8021" s="336">
        <v>43780</v>
      </c>
      <c r="G8021" s="336">
        <v>43788</v>
      </c>
      <c r="H8021" s="334" t="s">
        <v>17139</v>
      </c>
      <c r="I8021" s="444">
        <v>13524029428</v>
      </c>
      <c r="J8021" s="348" t="s">
        <v>17140</v>
      </c>
      <c r="K8021" s="452">
        <v>1000</v>
      </c>
      <c r="L8021" s="334">
        <v>13870</v>
      </c>
      <c r="M8021" s="338"/>
      <c r="N8021" s="362">
        <f t="shared" si="273"/>
        <v>13870</v>
      </c>
      <c r="X8021" s="339"/>
    </row>
    <row r="8022" s="330" customFormat="1" ht="15" customHeight="1" spans="1:24">
      <c r="A8022" s="550" t="s">
        <v>17141</v>
      </c>
      <c r="B8022" s="334" t="s">
        <v>405</v>
      </c>
      <c r="C8022" s="348" t="s">
        <v>823</v>
      </c>
      <c r="D8022" s="335" t="s">
        <v>407</v>
      </c>
      <c r="E8022" s="336">
        <v>43795</v>
      </c>
      <c r="F8022" s="336">
        <v>43780</v>
      </c>
      <c r="G8022" s="336">
        <v>43794</v>
      </c>
      <c r="H8022" s="334" t="s">
        <v>17142</v>
      </c>
      <c r="I8022" s="444">
        <v>15618398668</v>
      </c>
      <c r="J8022" s="348" t="s">
        <v>17143</v>
      </c>
      <c r="K8022" s="452">
        <v>1000</v>
      </c>
      <c r="L8022" s="334">
        <v>11720</v>
      </c>
      <c r="M8022" s="338"/>
      <c r="N8022" s="362">
        <f t="shared" si="273"/>
        <v>11720</v>
      </c>
      <c r="R8022" s="502" t="s">
        <v>52</v>
      </c>
      <c r="X8022" s="339"/>
    </row>
    <row r="8023" s="330" customFormat="1" ht="15" customHeight="1" spans="1:24">
      <c r="A8023" s="550" t="s">
        <v>4857</v>
      </c>
      <c r="B8023" s="334" t="s">
        <v>185</v>
      </c>
      <c r="C8023" s="348" t="s">
        <v>886</v>
      </c>
      <c r="D8023" s="335" t="s">
        <v>187</v>
      </c>
      <c r="E8023" s="336">
        <v>43786</v>
      </c>
      <c r="F8023" s="336">
        <v>43779</v>
      </c>
      <c r="G8023" s="336">
        <v>43785</v>
      </c>
      <c r="H8023" s="334" t="s">
        <v>17144</v>
      </c>
      <c r="I8023" s="444">
        <v>13764898096</v>
      </c>
      <c r="J8023" s="348" t="s">
        <v>17145</v>
      </c>
      <c r="K8023" s="452">
        <v>1000</v>
      </c>
      <c r="L8023" s="334">
        <v>6300</v>
      </c>
      <c r="M8023" s="338"/>
      <c r="N8023" s="362">
        <f t="shared" si="273"/>
        <v>6300</v>
      </c>
      <c r="X8023" s="339"/>
    </row>
    <row r="8024" s="330" customFormat="1" ht="15" customHeight="1" spans="1:24">
      <c r="A8024" s="550" t="s">
        <v>17002</v>
      </c>
      <c r="B8024" s="334" t="s">
        <v>137</v>
      </c>
      <c r="C8024" s="348" t="s">
        <v>480</v>
      </c>
      <c r="D8024" s="335" t="s">
        <v>139</v>
      </c>
      <c r="E8024" s="336">
        <v>43781</v>
      </c>
      <c r="F8024" s="336">
        <v>43780</v>
      </c>
      <c r="G8024" s="399"/>
      <c r="H8024" s="334" t="s">
        <v>9280</v>
      </c>
      <c r="I8024" s="444"/>
      <c r="J8024" s="348" t="s">
        <v>17146</v>
      </c>
      <c r="K8024" s="452">
        <v>3597</v>
      </c>
      <c r="L8024" s="338"/>
      <c r="M8024" s="338"/>
      <c r="N8024" s="362">
        <f t="shared" si="273"/>
        <v>0</v>
      </c>
      <c r="P8024" s="330">
        <v>1</v>
      </c>
      <c r="U8024" s="372" t="s">
        <v>12</v>
      </c>
      <c r="X8024" s="339"/>
    </row>
    <row r="8025" s="330" customFormat="1" ht="15" customHeight="1" spans="1:24">
      <c r="A8025" s="550" t="s">
        <v>3632</v>
      </c>
      <c r="B8025" s="334" t="s">
        <v>405</v>
      </c>
      <c r="C8025" s="348" t="s">
        <v>823</v>
      </c>
      <c r="D8025" s="335" t="s">
        <v>407</v>
      </c>
      <c r="E8025" s="336">
        <v>43781</v>
      </c>
      <c r="F8025" s="336">
        <v>43780</v>
      </c>
      <c r="G8025" s="399"/>
      <c r="H8025" s="334" t="s">
        <v>144</v>
      </c>
      <c r="I8025" s="444">
        <v>13641600910</v>
      </c>
      <c r="J8025" s="348" t="s">
        <v>17147</v>
      </c>
      <c r="K8025" s="452">
        <v>1000</v>
      </c>
      <c r="L8025" s="338"/>
      <c r="M8025" s="338"/>
      <c r="N8025" s="362">
        <f t="shared" si="273"/>
        <v>0</v>
      </c>
      <c r="Q8025" s="503" t="s">
        <v>52</v>
      </c>
      <c r="X8025" s="339"/>
    </row>
    <row r="8026" s="330" customFormat="1" ht="15" customHeight="1" spans="1:24">
      <c r="A8026" s="550" t="s">
        <v>17148</v>
      </c>
      <c r="B8026" s="334" t="s">
        <v>405</v>
      </c>
      <c r="C8026" s="348" t="s">
        <v>823</v>
      </c>
      <c r="D8026" s="335" t="s">
        <v>407</v>
      </c>
      <c r="E8026" s="336">
        <v>43781</v>
      </c>
      <c r="F8026" s="336">
        <v>43780</v>
      </c>
      <c r="G8026" s="399" t="s">
        <v>69</v>
      </c>
      <c r="H8026" s="334" t="s">
        <v>17149</v>
      </c>
      <c r="I8026" s="444">
        <v>18021621918</v>
      </c>
      <c r="J8026" s="348" t="s">
        <v>17150</v>
      </c>
      <c r="K8026" s="452">
        <v>1000</v>
      </c>
      <c r="L8026" s="338"/>
      <c r="M8026" s="338"/>
      <c r="N8026" s="362">
        <f t="shared" si="273"/>
        <v>0</v>
      </c>
      <c r="X8026" s="339"/>
    </row>
    <row r="8027" s="330" customFormat="1" ht="15" customHeight="1" spans="1:24">
      <c r="A8027" s="550" t="s">
        <v>8882</v>
      </c>
      <c r="B8027" s="334" t="s">
        <v>315</v>
      </c>
      <c r="C8027" s="348" t="s">
        <v>161</v>
      </c>
      <c r="D8027" s="335" t="s">
        <v>162</v>
      </c>
      <c r="E8027" s="336">
        <v>43781</v>
      </c>
      <c r="F8027" s="336">
        <v>43780</v>
      </c>
      <c r="G8027" s="399"/>
      <c r="H8027" s="334" t="s">
        <v>17151</v>
      </c>
      <c r="I8027" s="444">
        <v>13524187679</v>
      </c>
      <c r="J8027" s="348" t="s">
        <v>17152</v>
      </c>
      <c r="K8027" s="452">
        <v>1000</v>
      </c>
      <c r="L8027" s="338"/>
      <c r="M8027" s="338"/>
      <c r="N8027" s="362">
        <f t="shared" si="273"/>
        <v>0</v>
      </c>
      <c r="O8027" s="330">
        <v>1</v>
      </c>
      <c r="X8027" s="339"/>
    </row>
    <row r="8028" s="330" customFormat="1" ht="15" customHeight="1" spans="1:24">
      <c r="A8028" s="550" t="s">
        <v>17153</v>
      </c>
      <c r="B8028" s="334" t="s">
        <v>185</v>
      </c>
      <c r="C8028" s="348" t="s">
        <v>886</v>
      </c>
      <c r="D8028" s="335" t="s">
        <v>187</v>
      </c>
      <c r="E8028" s="440">
        <v>43839</v>
      </c>
      <c r="F8028" s="336">
        <v>43780</v>
      </c>
      <c r="G8028" s="440">
        <v>43835</v>
      </c>
      <c r="H8028" s="334" t="s">
        <v>17154</v>
      </c>
      <c r="I8028" s="444">
        <v>18516099398</v>
      </c>
      <c r="J8028" s="348" t="s">
        <v>17155</v>
      </c>
      <c r="K8028" s="452">
        <v>1000</v>
      </c>
      <c r="L8028" s="439">
        <v>14528</v>
      </c>
      <c r="M8028" s="338"/>
      <c r="N8028" s="362">
        <f t="shared" si="273"/>
        <v>14528</v>
      </c>
      <c r="Q8028" s="356" t="s">
        <v>52</v>
      </c>
      <c r="X8028" s="339"/>
    </row>
    <row r="8029" s="330" customFormat="1" ht="15" customHeight="1" spans="1:24">
      <c r="A8029" s="550" t="s">
        <v>17156</v>
      </c>
      <c r="B8029" s="334" t="s">
        <v>405</v>
      </c>
      <c r="C8029" s="348" t="s">
        <v>14070</v>
      </c>
      <c r="D8029" s="335" t="s">
        <v>407</v>
      </c>
      <c r="E8029" s="336">
        <v>43781</v>
      </c>
      <c r="F8029" s="336">
        <v>43780</v>
      </c>
      <c r="G8029" s="399"/>
      <c r="H8029" s="334" t="s">
        <v>3233</v>
      </c>
      <c r="I8029" s="444">
        <v>13611622189</v>
      </c>
      <c r="J8029" s="348" t="s">
        <v>17157</v>
      </c>
      <c r="K8029" s="452">
        <v>10000</v>
      </c>
      <c r="L8029" s="338"/>
      <c r="M8029" s="338"/>
      <c r="N8029" s="362">
        <f t="shared" si="273"/>
        <v>0</v>
      </c>
      <c r="U8029" s="330" t="s">
        <v>63</v>
      </c>
      <c r="X8029" s="339"/>
    </row>
    <row r="8030" s="330" customFormat="1" ht="15" customHeight="1" spans="1:24">
      <c r="A8030" s="550" t="s">
        <v>7734</v>
      </c>
      <c r="B8030" s="334" t="s">
        <v>405</v>
      </c>
      <c r="C8030" s="348" t="s">
        <v>14070</v>
      </c>
      <c r="D8030" s="334" t="s">
        <v>110</v>
      </c>
      <c r="E8030" s="336">
        <v>43784</v>
      </c>
      <c r="F8030" s="336">
        <v>43776</v>
      </c>
      <c r="G8030" s="336">
        <v>43779</v>
      </c>
      <c r="H8030" s="334" t="s">
        <v>17158</v>
      </c>
      <c r="I8030" s="555" t="s">
        <v>17159</v>
      </c>
      <c r="J8030" s="348" t="s">
        <v>17160</v>
      </c>
      <c r="K8030" s="452">
        <v>200</v>
      </c>
      <c r="L8030" s="334">
        <v>6872</v>
      </c>
      <c r="M8030" s="338"/>
      <c r="N8030" s="362">
        <f t="shared" si="273"/>
        <v>6872</v>
      </c>
      <c r="X8030" s="339"/>
    </row>
    <row r="8031" s="330" customFormat="1" ht="15" customHeight="1" spans="1:24">
      <c r="A8031" s="550" t="s">
        <v>3851</v>
      </c>
      <c r="B8031" s="334" t="s">
        <v>66</v>
      </c>
      <c r="C8031" s="348" t="s">
        <v>1749</v>
      </c>
      <c r="D8031" s="335" t="s">
        <v>68</v>
      </c>
      <c r="E8031" s="336">
        <v>43781</v>
      </c>
      <c r="F8031" s="336">
        <v>43780</v>
      </c>
      <c r="G8031" s="399"/>
      <c r="H8031" s="334" t="s">
        <v>17161</v>
      </c>
      <c r="I8031" s="444">
        <v>13916909273</v>
      </c>
      <c r="J8031" s="348" t="s">
        <v>17162</v>
      </c>
      <c r="K8031" s="452">
        <v>2499</v>
      </c>
      <c r="L8031" s="338"/>
      <c r="M8031" s="338"/>
      <c r="N8031" s="362">
        <f t="shared" si="273"/>
        <v>0</v>
      </c>
      <c r="T8031" s="330" t="s">
        <v>52</v>
      </c>
      <c r="X8031" s="339"/>
    </row>
    <row r="8032" s="330" customFormat="1" ht="15" customHeight="1" spans="1:24">
      <c r="A8032" s="550" t="s">
        <v>3673</v>
      </c>
      <c r="B8032" s="334" t="s">
        <v>405</v>
      </c>
      <c r="C8032" s="348" t="s">
        <v>14070</v>
      </c>
      <c r="D8032" s="335" t="s">
        <v>407</v>
      </c>
      <c r="E8032" s="336">
        <v>43781</v>
      </c>
      <c r="F8032" s="336">
        <v>43779</v>
      </c>
      <c r="G8032" s="399"/>
      <c r="H8032" s="334" t="s">
        <v>17163</v>
      </c>
      <c r="I8032" s="444">
        <v>18616577107</v>
      </c>
      <c r="J8032" s="348" t="s">
        <v>17164</v>
      </c>
      <c r="K8032" s="452">
        <v>1000</v>
      </c>
      <c r="L8032" s="338"/>
      <c r="M8032" s="338"/>
      <c r="N8032" s="362">
        <f t="shared" si="273"/>
        <v>0</v>
      </c>
      <c r="P8032" s="502" t="s">
        <v>52</v>
      </c>
      <c r="X8032" s="339"/>
    </row>
    <row r="8033" s="330" customFormat="1" ht="15" customHeight="1" spans="1:24">
      <c r="A8033" s="550" t="s">
        <v>14637</v>
      </c>
      <c r="B8033" s="334" t="s">
        <v>405</v>
      </c>
      <c r="C8033" s="348" t="s">
        <v>14070</v>
      </c>
      <c r="D8033" s="334" t="s">
        <v>407</v>
      </c>
      <c r="E8033" s="336">
        <v>43782</v>
      </c>
      <c r="F8033" s="336">
        <v>43779</v>
      </c>
      <c r="G8033" s="336">
        <v>43782</v>
      </c>
      <c r="H8033" s="334" t="s">
        <v>17165</v>
      </c>
      <c r="I8033" s="444">
        <v>13472883049</v>
      </c>
      <c r="J8033" s="348" t="s">
        <v>17166</v>
      </c>
      <c r="K8033" s="452">
        <v>1000</v>
      </c>
      <c r="L8033" s="334">
        <v>7518</v>
      </c>
      <c r="M8033" s="338"/>
      <c r="N8033" s="362">
        <f t="shared" si="273"/>
        <v>7518</v>
      </c>
      <c r="X8033" s="339"/>
    </row>
    <row r="8034" s="330" customFormat="1" ht="15" customHeight="1" spans="1:24">
      <c r="A8034" s="348"/>
      <c r="B8034" s="334" t="s">
        <v>315</v>
      </c>
      <c r="C8034" s="348" t="s">
        <v>161</v>
      </c>
      <c r="D8034" s="335" t="s">
        <v>162</v>
      </c>
      <c r="E8034" s="336">
        <v>43822</v>
      </c>
      <c r="F8034" s="336">
        <v>43780</v>
      </c>
      <c r="G8034" s="336">
        <v>43821</v>
      </c>
      <c r="H8034" s="334" t="s">
        <v>17167</v>
      </c>
      <c r="I8034" s="444">
        <v>13916306145</v>
      </c>
      <c r="J8034" s="348" t="s">
        <v>17168</v>
      </c>
      <c r="K8034" s="452">
        <v>1000</v>
      </c>
      <c r="L8034" s="334">
        <v>6661</v>
      </c>
      <c r="M8034" s="338"/>
      <c r="N8034" s="362">
        <f t="shared" si="273"/>
        <v>6661</v>
      </c>
      <c r="O8034" s="330">
        <v>1</v>
      </c>
      <c r="X8034" s="339"/>
    </row>
    <row r="8035" s="330" customFormat="1" ht="15" customHeight="1" spans="1:24">
      <c r="A8035" s="550" t="s">
        <v>17169</v>
      </c>
      <c r="B8035" s="334" t="s">
        <v>405</v>
      </c>
      <c r="C8035" s="348" t="s">
        <v>14070</v>
      </c>
      <c r="D8035" s="335" t="s">
        <v>407</v>
      </c>
      <c r="E8035" s="336">
        <v>43828</v>
      </c>
      <c r="F8035" s="336">
        <v>43779</v>
      </c>
      <c r="G8035" s="336">
        <v>43828</v>
      </c>
      <c r="H8035" s="334" t="s">
        <v>17170</v>
      </c>
      <c r="I8035" s="444">
        <v>13614833064</v>
      </c>
      <c r="J8035" s="348" t="s">
        <v>17171</v>
      </c>
      <c r="K8035" s="452">
        <v>1000</v>
      </c>
      <c r="L8035" s="334">
        <v>5897</v>
      </c>
      <c r="M8035" s="338"/>
      <c r="N8035" s="362">
        <f t="shared" si="273"/>
        <v>5897</v>
      </c>
      <c r="R8035" s="502" t="s">
        <v>52</v>
      </c>
      <c r="W8035" s="353" t="s">
        <v>17172</v>
      </c>
      <c r="X8035" s="339"/>
    </row>
    <row r="8036" s="330" customFormat="1" ht="15" customHeight="1" spans="1:24">
      <c r="A8036" s="550" t="s">
        <v>7770</v>
      </c>
      <c r="B8036" s="334" t="s">
        <v>185</v>
      </c>
      <c r="C8036" s="348" t="s">
        <v>886</v>
      </c>
      <c r="D8036" s="335" t="s">
        <v>187</v>
      </c>
      <c r="E8036" s="336">
        <v>43781</v>
      </c>
      <c r="F8036" s="336">
        <v>43780</v>
      </c>
      <c r="G8036" s="399"/>
      <c r="H8036" s="334" t="s">
        <v>17173</v>
      </c>
      <c r="I8036" s="444">
        <v>13601702714</v>
      </c>
      <c r="J8036" s="348" t="s">
        <v>17174</v>
      </c>
      <c r="K8036" s="452">
        <v>1000</v>
      </c>
      <c r="L8036" s="338"/>
      <c r="M8036" s="338"/>
      <c r="N8036" s="362">
        <f t="shared" si="273"/>
        <v>0</v>
      </c>
      <c r="Q8036" s="356" t="s">
        <v>52</v>
      </c>
      <c r="X8036" s="339"/>
    </row>
    <row r="8037" s="330" customFormat="1" ht="15" customHeight="1" spans="1:24">
      <c r="A8037" s="550" t="s">
        <v>17175</v>
      </c>
      <c r="B8037" s="334" t="s">
        <v>31</v>
      </c>
      <c r="C8037" s="348" t="s">
        <v>377</v>
      </c>
      <c r="D8037" s="335" t="s">
        <v>221</v>
      </c>
      <c r="E8037" s="336">
        <v>43781</v>
      </c>
      <c r="F8037" s="336">
        <v>43780</v>
      </c>
      <c r="G8037" s="399"/>
      <c r="H8037" s="334" t="s">
        <v>17176</v>
      </c>
      <c r="I8037" s="444">
        <v>13818041203</v>
      </c>
      <c r="J8037" s="348" t="s">
        <v>17177</v>
      </c>
      <c r="K8037" s="452">
        <v>6057</v>
      </c>
      <c r="L8037" s="338"/>
      <c r="M8037" s="338"/>
      <c r="N8037" s="362">
        <f t="shared" ref="N8037:N8063" si="274">L8037+M8037</f>
        <v>0</v>
      </c>
      <c r="Q8037" s="366" t="s">
        <v>52</v>
      </c>
      <c r="X8037" s="339"/>
    </row>
    <row r="8038" s="330" customFormat="1" ht="15" customHeight="1" spans="1:24">
      <c r="A8038" s="550" t="s">
        <v>11600</v>
      </c>
      <c r="B8038" s="334" t="s">
        <v>185</v>
      </c>
      <c r="C8038" s="348" t="s">
        <v>886</v>
      </c>
      <c r="D8038" s="335" t="s">
        <v>187</v>
      </c>
      <c r="E8038" s="336">
        <v>43835</v>
      </c>
      <c r="F8038" s="336">
        <v>43779</v>
      </c>
      <c r="G8038" s="336">
        <v>43835</v>
      </c>
      <c r="H8038" s="334" t="s">
        <v>17178</v>
      </c>
      <c r="I8038" s="444">
        <v>15800839618</v>
      </c>
      <c r="J8038" s="348" t="s">
        <v>17179</v>
      </c>
      <c r="K8038" s="452">
        <v>1000</v>
      </c>
      <c r="L8038" s="334">
        <f>8366-536</f>
        <v>7830</v>
      </c>
      <c r="M8038" s="338"/>
      <c r="N8038" s="362">
        <f t="shared" si="274"/>
        <v>7830</v>
      </c>
      <c r="Q8038" s="356" t="s">
        <v>52</v>
      </c>
      <c r="X8038" s="339"/>
    </row>
    <row r="8039" s="330" customFormat="1" ht="15" customHeight="1" spans="1:24">
      <c r="A8039" s="550" t="s">
        <v>17180</v>
      </c>
      <c r="B8039" s="334" t="s">
        <v>185</v>
      </c>
      <c r="C8039" s="348" t="s">
        <v>886</v>
      </c>
      <c r="D8039" s="335" t="s">
        <v>187</v>
      </c>
      <c r="E8039" s="336">
        <v>43799</v>
      </c>
      <c r="F8039" s="336">
        <v>43780</v>
      </c>
      <c r="G8039" s="336">
        <v>43799</v>
      </c>
      <c r="H8039" s="334" t="s">
        <v>17181</v>
      </c>
      <c r="I8039" s="444">
        <v>13916799715</v>
      </c>
      <c r="J8039" s="348" t="s">
        <v>17182</v>
      </c>
      <c r="K8039" s="452">
        <v>1655</v>
      </c>
      <c r="L8039" s="334">
        <v>4346</v>
      </c>
      <c r="M8039" s="338"/>
      <c r="N8039" s="362">
        <f t="shared" si="274"/>
        <v>4346</v>
      </c>
      <c r="X8039" s="339"/>
    </row>
    <row r="8040" s="330" customFormat="1" ht="15" customHeight="1" spans="1:24">
      <c r="A8040" s="550" t="s">
        <v>3903</v>
      </c>
      <c r="B8040" s="334" t="s">
        <v>169</v>
      </c>
      <c r="C8040" s="348" t="s">
        <v>542</v>
      </c>
      <c r="D8040" s="335" t="s">
        <v>171</v>
      </c>
      <c r="E8040" s="336">
        <v>43781</v>
      </c>
      <c r="F8040" s="336">
        <v>43779</v>
      </c>
      <c r="G8040" s="399"/>
      <c r="H8040" s="334" t="s">
        <v>17183</v>
      </c>
      <c r="I8040" s="444">
        <v>15921530700</v>
      </c>
      <c r="J8040" s="348" t="s">
        <v>17184</v>
      </c>
      <c r="K8040" s="452">
        <v>1000</v>
      </c>
      <c r="L8040" s="338"/>
      <c r="M8040" s="338"/>
      <c r="N8040" s="362">
        <f t="shared" si="274"/>
        <v>0</v>
      </c>
      <c r="U8040" s="330" t="s">
        <v>12</v>
      </c>
      <c r="X8040" s="339"/>
    </row>
    <row r="8041" s="330" customFormat="1" ht="15" customHeight="1" spans="1:24">
      <c r="A8041" s="348"/>
      <c r="B8041" s="334" t="s">
        <v>315</v>
      </c>
      <c r="C8041" s="348" t="s">
        <v>722</v>
      </c>
      <c r="D8041" s="335" t="s">
        <v>132</v>
      </c>
      <c r="E8041" s="336">
        <v>43781</v>
      </c>
      <c r="F8041" s="336">
        <v>43780</v>
      </c>
      <c r="G8041" s="399"/>
      <c r="H8041" s="334" t="s">
        <v>17185</v>
      </c>
      <c r="I8041" s="444">
        <v>17701681387</v>
      </c>
      <c r="J8041" s="348" t="s">
        <v>17186</v>
      </c>
      <c r="K8041" s="452">
        <v>1000</v>
      </c>
      <c r="L8041" s="338"/>
      <c r="M8041" s="338"/>
      <c r="N8041" s="362">
        <f t="shared" si="274"/>
        <v>0</v>
      </c>
      <c r="O8041" s="330">
        <v>1</v>
      </c>
      <c r="X8041" s="339"/>
    </row>
    <row r="8042" s="330" customFormat="1" ht="15" customHeight="1" spans="1:24">
      <c r="A8042" s="348"/>
      <c r="B8042" s="334" t="s">
        <v>315</v>
      </c>
      <c r="C8042" s="348" t="s">
        <v>161</v>
      </c>
      <c r="D8042" s="335" t="s">
        <v>162</v>
      </c>
      <c r="E8042" s="336">
        <v>43798</v>
      </c>
      <c r="F8042" s="336">
        <v>43780</v>
      </c>
      <c r="G8042" s="336">
        <v>43798</v>
      </c>
      <c r="H8042" s="334" t="s">
        <v>17187</v>
      </c>
      <c r="I8042" s="444">
        <v>17717336669</v>
      </c>
      <c r="J8042" s="348" t="s">
        <v>17188</v>
      </c>
      <c r="K8042" s="452">
        <v>5040</v>
      </c>
      <c r="L8042" s="334">
        <v>6939</v>
      </c>
      <c r="M8042" s="338"/>
      <c r="N8042" s="362">
        <f t="shared" si="274"/>
        <v>6939</v>
      </c>
      <c r="O8042" s="330">
        <v>1</v>
      </c>
      <c r="X8042" s="339"/>
    </row>
    <row r="8043" s="330" customFormat="1" ht="15" customHeight="1" spans="1:24">
      <c r="A8043" s="550" t="s">
        <v>967</v>
      </c>
      <c r="B8043" s="334" t="s">
        <v>66</v>
      </c>
      <c r="C8043" s="348" t="s">
        <v>505</v>
      </c>
      <c r="D8043" s="334" t="s">
        <v>2302</v>
      </c>
      <c r="E8043" s="336">
        <v>43786</v>
      </c>
      <c r="F8043" s="336">
        <v>43780</v>
      </c>
      <c r="G8043" s="336">
        <v>43785</v>
      </c>
      <c r="H8043" s="334" t="s">
        <v>17189</v>
      </c>
      <c r="I8043" s="444">
        <v>13721412973</v>
      </c>
      <c r="J8043" s="348" t="s">
        <v>17190</v>
      </c>
      <c r="K8043" s="452">
        <v>3198</v>
      </c>
      <c r="L8043" s="334">
        <v>8455</v>
      </c>
      <c r="M8043" s="338"/>
      <c r="N8043" s="362">
        <f t="shared" si="274"/>
        <v>8455</v>
      </c>
      <c r="X8043" s="339"/>
    </row>
    <row r="8044" s="330" customFormat="1" ht="15" customHeight="1" spans="1:24">
      <c r="A8044" s="550" t="s">
        <v>3316</v>
      </c>
      <c r="B8044" s="334" t="s">
        <v>726</v>
      </c>
      <c r="C8044" s="348" t="s">
        <v>12699</v>
      </c>
      <c r="D8044" s="334" t="s">
        <v>271</v>
      </c>
      <c r="E8044" s="336">
        <v>43830</v>
      </c>
      <c r="F8044" s="336">
        <v>43780</v>
      </c>
      <c r="G8044" s="336">
        <v>43830</v>
      </c>
      <c r="H8044" s="334" t="s">
        <v>17191</v>
      </c>
      <c r="I8044" s="444">
        <v>13661555450</v>
      </c>
      <c r="J8044" s="348" t="s">
        <v>17192</v>
      </c>
      <c r="K8044" s="452">
        <v>4197</v>
      </c>
      <c r="L8044" s="334">
        <v>4197</v>
      </c>
      <c r="M8044" s="338"/>
      <c r="N8044" s="362">
        <f t="shared" si="274"/>
        <v>4197</v>
      </c>
      <c r="O8044" s="467" t="s">
        <v>52</v>
      </c>
      <c r="X8044" s="339"/>
    </row>
    <row r="8045" s="330" customFormat="1" ht="15" customHeight="1" spans="1:24">
      <c r="A8045" s="550" t="s">
        <v>12752</v>
      </c>
      <c r="B8045" s="334" t="s">
        <v>137</v>
      </c>
      <c r="C8045" s="348" t="s">
        <v>480</v>
      </c>
      <c r="D8045" s="335" t="s">
        <v>139</v>
      </c>
      <c r="E8045" s="336">
        <v>43781</v>
      </c>
      <c r="F8045" s="336">
        <v>43780</v>
      </c>
      <c r="G8045" s="399"/>
      <c r="H8045" s="334" t="s">
        <v>17193</v>
      </c>
      <c r="I8045" s="444">
        <v>13681953304</v>
      </c>
      <c r="J8045" s="348" t="s">
        <v>17194</v>
      </c>
      <c r="K8045" s="452">
        <v>1999</v>
      </c>
      <c r="L8045" s="338"/>
      <c r="M8045" s="338"/>
      <c r="N8045" s="362">
        <f t="shared" si="274"/>
        <v>0</v>
      </c>
      <c r="P8045" s="330">
        <v>1</v>
      </c>
      <c r="U8045" s="372" t="s">
        <v>12</v>
      </c>
      <c r="X8045" s="339"/>
    </row>
    <row r="8046" s="330" customFormat="1" ht="15" customHeight="1" spans="1:24">
      <c r="A8046" s="550" t="s">
        <v>3381</v>
      </c>
      <c r="B8046" s="334" t="s">
        <v>123</v>
      </c>
      <c r="C8046" s="348" t="s">
        <v>32</v>
      </c>
      <c r="D8046" s="335" t="s">
        <v>125</v>
      </c>
      <c r="E8046" s="336">
        <v>43781</v>
      </c>
      <c r="F8046" s="336">
        <v>43780</v>
      </c>
      <c r="G8046" s="399"/>
      <c r="H8046" s="334" t="s">
        <v>17195</v>
      </c>
      <c r="I8046" s="444">
        <v>13916670452</v>
      </c>
      <c r="J8046" s="348" t="s">
        <v>17196</v>
      </c>
      <c r="K8046" s="452">
        <v>999</v>
      </c>
      <c r="L8046" s="338"/>
      <c r="M8046" s="338"/>
      <c r="N8046" s="362">
        <f t="shared" si="274"/>
        <v>0</v>
      </c>
      <c r="U8046" s="362" t="s">
        <v>17197</v>
      </c>
      <c r="X8046" s="339"/>
    </row>
    <row r="8047" s="330" customFormat="1" ht="15" customHeight="1" spans="1:24">
      <c r="A8047" s="550" t="s">
        <v>3491</v>
      </c>
      <c r="B8047" s="334" t="s">
        <v>123</v>
      </c>
      <c r="C8047" s="348" t="s">
        <v>32</v>
      </c>
      <c r="D8047" s="335" t="s">
        <v>125</v>
      </c>
      <c r="E8047" s="336">
        <v>43797</v>
      </c>
      <c r="F8047" s="336">
        <v>43780</v>
      </c>
      <c r="G8047" s="336">
        <v>43787</v>
      </c>
      <c r="H8047" s="334" t="s">
        <v>17198</v>
      </c>
      <c r="I8047" s="444">
        <v>13391120828</v>
      </c>
      <c r="J8047" s="348" t="s">
        <v>17199</v>
      </c>
      <c r="K8047" s="452">
        <v>1680</v>
      </c>
      <c r="L8047" s="334">
        <v>10807</v>
      </c>
      <c r="M8047" s="338"/>
      <c r="N8047" s="362">
        <f t="shared" si="274"/>
        <v>10807</v>
      </c>
      <c r="X8047" s="339"/>
    </row>
    <row r="8048" s="330" customFormat="1" ht="15" customHeight="1" spans="1:24">
      <c r="A8048" s="550" t="s">
        <v>17200</v>
      </c>
      <c r="B8048" s="334" t="s">
        <v>58</v>
      </c>
      <c r="C8048" s="348" t="s">
        <v>59</v>
      </c>
      <c r="D8048" s="335" t="s">
        <v>271</v>
      </c>
      <c r="E8048" s="336">
        <v>43799</v>
      </c>
      <c r="F8048" s="336">
        <v>43778</v>
      </c>
      <c r="G8048" s="336">
        <v>43799</v>
      </c>
      <c r="H8048" s="334" t="s">
        <v>17201</v>
      </c>
      <c r="I8048" s="444">
        <v>18918967711</v>
      </c>
      <c r="J8048" s="348" t="s">
        <v>17202</v>
      </c>
      <c r="K8048" s="452">
        <v>1000</v>
      </c>
      <c r="L8048" s="334">
        <v>9325</v>
      </c>
      <c r="M8048" s="338"/>
      <c r="N8048" s="362">
        <f t="shared" si="274"/>
        <v>9325</v>
      </c>
      <c r="X8048" s="339"/>
    </row>
    <row r="8049" s="330" customFormat="1" ht="15" customHeight="1" spans="1:24">
      <c r="A8049" s="550" t="s">
        <v>1635</v>
      </c>
      <c r="B8049" s="334" t="s">
        <v>58</v>
      </c>
      <c r="C8049" s="348" t="s">
        <v>59</v>
      </c>
      <c r="D8049" s="334" t="s">
        <v>110</v>
      </c>
      <c r="E8049" s="336">
        <v>43809</v>
      </c>
      <c r="F8049" s="336">
        <v>43780</v>
      </c>
      <c r="G8049" s="336">
        <v>43806</v>
      </c>
      <c r="H8049" s="334" t="s">
        <v>17203</v>
      </c>
      <c r="I8049" s="444">
        <v>18017339261</v>
      </c>
      <c r="J8049" s="348" t="s">
        <v>17204</v>
      </c>
      <c r="K8049" s="452">
        <v>3000</v>
      </c>
      <c r="L8049" s="334">
        <v>9524</v>
      </c>
      <c r="M8049" s="338"/>
      <c r="N8049" s="362">
        <f t="shared" si="274"/>
        <v>9524</v>
      </c>
      <c r="X8049" s="339"/>
    </row>
    <row r="8050" s="330" customFormat="1" ht="15" customHeight="1" spans="1:24">
      <c r="A8050" s="550" t="s">
        <v>9398</v>
      </c>
      <c r="B8050" s="334" t="s">
        <v>58</v>
      </c>
      <c r="C8050" s="348" t="s">
        <v>59</v>
      </c>
      <c r="D8050" s="334" t="s">
        <v>110</v>
      </c>
      <c r="E8050" s="336">
        <v>43829</v>
      </c>
      <c r="F8050" s="336">
        <v>43779</v>
      </c>
      <c r="G8050" s="336">
        <v>43828</v>
      </c>
      <c r="H8050" s="334" t="s">
        <v>17205</v>
      </c>
      <c r="I8050" s="444">
        <v>13661672474</v>
      </c>
      <c r="J8050" s="348" t="s">
        <v>17206</v>
      </c>
      <c r="K8050" s="452">
        <v>3000</v>
      </c>
      <c r="L8050" s="334">
        <v>15185</v>
      </c>
      <c r="M8050" s="338"/>
      <c r="N8050" s="362">
        <f t="shared" si="274"/>
        <v>15185</v>
      </c>
      <c r="W8050" s="471">
        <v>43825</v>
      </c>
      <c r="X8050" s="339"/>
    </row>
    <row r="8051" s="330" customFormat="1" ht="15" customHeight="1" spans="1:24">
      <c r="A8051" s="550" t="s">
        <v>10927</v>
      </c>
      <c r="B8051" s="334" t="s">
        <v>185</v>
      </c>
      <c r="C8051" s="348" t="s">
        <v>886</v>
      </c>
      <c r="D8051" s="335" t="s">
        <v>187</v>
      </c>
      <c r="E8051" s="336">
        <v>43781</v>
      </c>
      <c r="F8051" s="336">
        <v>43780</v>
      </c>
      <c r="G8051" s="399"/>
      <c r="H8051" s="334" t="s">
        <v>17207</v>
      </c>
      <c r="I8051" s="444">
        <v>13817104211</v>
      </c>
      <c r="J8051" s="348" t="s">
        <v>17208</v>
      </c>
      <c r="K8051" s="452">
        <v>1299</v>
      </c>
      <c r="L8051" s="338"/>
      <c r="M8051" s="338"/>
      <c r="N8051" s="362">
        <f t="shared" si="274"/>
        <v>0</v>
      </c>
      <c r="Q8051" s="356" t="s">
        <v>52</v>
      </c>
      <c r="W8051" s="471">
        <v>43835</v>
      </c>
      <c r="X8051" s="339"/>
    </row>
    <row r="8052" s="330" customFormat="1" ht="15" customHeight="1" spans="1:24">
      <c r="A8052" s="550" t="s">
        <v>3687</v>
      </c>
      <c r="B8052" s="334" t="s">
        <v>66</v>
      </c>
      <c r="C8052" s="348" t="s">
        <v>951</v>
      </c>
      <c r="D8052" s="335" t="s">
        <v>68</v>
      </c>
      <c r="E8052" s="336">
        <v>43781</v>
      </c>
      <c r="F8052" s="336">
        <v>43780</v>
      </c>
      <c r="G8052" s="399"/>
      <c r="H8052" s="334" t="s">
        <v>9280</v>
      </c>
      <c r="I8052" s="444">
        <v>1376410087</v>
      </c>
      <c r="J8052" s="348" t="s">
        <v>17209</v>
      </c>
      <c r="K8052" s="452">
        <v>1680</v>
      </c>
      <c r="L8052" s="338"/>
      <c r="M8052" s="338"/>
      <c r="N8052" s="362">
        <f t="shared" si="274"/>
        <v>0</v>
      </c>
      <c r="X8052" s="339"/>
    </row>
    <row r="8053" s="330" customFormat="1" ht="15" customHeight="1" spans="1:24">
      <c r="A8053" s="550" t="s">
        <v>4783</v>
      </c>
      <c r="B8053" s="334" t="s">
        <v>185</v>
      </c>
      <c r="C8053" s="348" t="s">
        <v>886</v>
      </c>
      <c r="D8053" s="335" t="s">
        <v>187</v>
      </c>
      <c r="E8053" s="336">
        <v>43781</v>
      </c>
      <c r="F8053" s="336">
        <v>43780</v>
      </c>
      <c r="G8053" s="399"/>
      <c r="H8053" s="334" t="s">
        <v>17210</v>
      </c>
      <c r="I8053" s="444">
        <v>13346183339</v>
      </c>
      <c r="J8053" s="348" t="s">
        <v>17211</v>
      </c>
      <c r="K8053" s="452">
        <v>1000</v>
      </c>
      <c r="L8053" s="338"/>
      <c r="M8053" s="338"/>
      <c r="N8053" s="362">
        <f t="shared" si="274"/>
        <v>0</v>
      </c>
      <c r="Q8053" s="356" t="s">
        <v>52</v>
      </c>
      <c r="W8053" s="471">
        <v>43838</v>
      </c>
      <c r="X8053" s="339"/>
    </row>
    <row r="8054" s="330" customFormat="1" ht="15" customHeight="1" spans="1:24">
      <c r="A8054" s="550" t="s">
        <v>15102</v>
      </c>
      <c r="B8054" s="334" t="s">
        <v>137</v>
      </c>
      <c r="C8054" s="348" t="s">
        <v>406</v>
      </c>
      <c r="D8054" s="334" t="s">
        <v>139</v>
      </c>
      <c r="E8054" s="336">
        <v>43785</v>
      </c>
      <c r="F8054" s="336">
        <v>43780</v>
      </c>
      <c r="G8054" s="336">
        <v>43785</v>
      </c>
      <c r="H8054" s="334" t="s">
        <v>17212</v>
      </c>
      <c r="I8054" s="444">
        <v>13585566374</v>
      </c>
      <c r="J8054" s="348" t="s">
        <v>17213</v>
      </c>
      <c r="K8054" s="452">
        <v>1000</v>
      </c>
      <c r="L8054" s="334">
        <v>6520</v>
      </c>
      <c r="M8054" s="338"/>
      <c r="N8054" s="362">
        <f t="shared" si="274"/>
        <v>6520</v>
      </c>
      <c r="X8054" s="339"/>
    </row>
    <row r="8055" s="330" customFormat="1" ht="15" customHeight="1" spans="1:24">
      <c r="A8055" s="550" t="s">
        <v>2089</v>
      </c>
      <c r="B8055" s="334" t="s">
        <v>31</v>
      </c>
      <c r="C8055" s="348" t="s">
        <v>419</v>
      </c>
      <c r="D8055" s="334" t="s">
        <v>2381</v>
      </c>
      <c r="E8055" s="336">
        <v>43795</v>
      </c>
      <c r="F8055" s="336">
        <v>43780</v>
      </c>
      <c r="G8055" s="336">
        <v>43795</v>
      </c>
      <c r="H8055" s="334" t="s">
        <v>17214</v>
      </c>
      <c r="I8055" s="444">
        <v>15026769151</v>
      </c>
      <c r="J8055" s="348" t="s">
        <v>17215</v>
      </c>
      <c r="K8055" s="452">
        <v>99</v>
      </c>
      <c r="L8055" s="334">
        <v>6392</v>
      </c>
      <c r="M8055" s="334">
        <v>2998</v>
      </c>
      <c r="N8055" s="362">
        <f t="shared" si="274"/>
        <v>9390</v>
      </c>
      <c r="X8055" s="339"/>
    </row>
    <row r="8056" s="330" customFormat="1" ht="15" customHeight="1" spans="1:24">
      <c r="A8056" s="550" t="s">
        <v>17216</v>
      </c>
      <c r="B8056" s="334" t="s">
        <v>315</v>
      </c>
      <c r="C8056" s="348" t="s">
        <v>14638</v>
      </c>
      <c r="D8056" s="335" t="s">
        <v>182</v>
      </c>
      <c r="E8056" s="336">
        <v>43781</v>
      </c>
      <c r="F8056" s="336">
        <v>43780</v>
      </c>
      <c r="G8056" s="399"/>
      <c r="H8056" s="334" t="s">
        <v>17217</v>
      </c>
      <c r="I8056" s="444">
        <v>18217005205</v>
      </c>
      <c r="J8056" s="348" t="s">
        <v>17218</v>
      </c>
      <c r="K8056" s="452">
        <v>1000</v>
      </c>
      <c r="L8056" s="338"/>
      <c r="M8056" s="338"/>
      <c r="N8056" s="362">
        <f t="shared" si="274"/>
        <v>0</v>
      </c>
      <c r="O8056" s="330">
        <v>1</v>
      </c>
      <c r="X8056" s="339"/>
    </row>
    <row r="8057" s="330" customFormat="1" ht="15" customHeight="1" spans="1:24">
      <c r="A8057" s="550" t="s">
        <v>17219</v>
      </c>
      <c r="B8057" s="334" t="s">
        <v>73</v>
      </c>
      <c r="C8057" s="334" t="s">
        <v>74</v>
      </c>
      <c r="D8057" s="334" t="s">
        <v>75</v>
      </c>
      <c r="E8057" s="336">
        <v>43828</v>
      </c>
      <c r="F8057" s="336">
        <v>43780</v>
      </c>
      <c r="G8057" s="336">
        <v>43828</v>
      </c>
      <c r="H8057" s="334" t="s">
        <v>17220</v>
      </c>
      <c r="I8057" s="444">
        <v>13816082903</v>
      </c>
      <c r="J8057" s="348" t="s">
        <v>17221</v>
      </c>
      <c r="K8057" s="452">
        <v>1000</v>
      </c>
      <c r="L8057" s="334">
        <v>14800</v>
      </c>
      <c r="M8057" s="338"/>
      <c r="N8057" s="362">
        <f t="shared" si="274"/>
        <v>14800</v>
      </c>
      <c r="P8057" s="330">
        <v>1</v>
      </c>
      <c r="X8057" s="339"/>
    </row>
    <row r="8058" s="330" customFormat="1" ht="15" customHeight="1" spans="1:24">
      <c r="A8058" s="550" t="s">
        <v>17222</v>
      </c>
      <c r="B8058" s="334" t="s">
        <v>58</v>
      </c>
      <c r="C8058" s="348" t="s">
        <v>59</v>
      </c>
      <c r="D8058" s="335" t="s">
        <v>271</v>
      </c>
      <c r="E8058" s="336">
        <v>43781</v>
      </c>
      <c r="F8058" s="336">
        <v>43780</v>
      </c>
      <c r="G8058" s="399"/>
      <c r="H8058" s="334" t="s">
        <v>17223</v>
      </c>
      <c r="I8058" s="444">
        <v>13818084815</v>
      </c>
      <c r="J8058" s="348" t="s">
        <v>17224</v>
      </c>
      <c r="K8058" s="452">
        <v>1000</v>
      </c>
      <c r="L8058" s="338"/>
      <c r="M8058" s="338"/>
      <c r="N8058" s="362">
        <f t="shared" si="274"/>
        <v>0</v>
      </c>
      <c r="O8058" s="365" t="s">
        <v>52</v>
      </c>
      <c r="U8058" s="413">
        <v>43824</v>
      </c>
      <c r="X8058" s="339"/>
    </row>
    <row r="8059" s="330" customFormat="1" ht="15" customHeight="1" spans="1:24">
      <c r="A8059" s="550" t="s">
        <v>17225</v>
      </c>
      <c r="B8059" s="334" t="s">
        <v>315</v>
      </c>
      <c r="C8059" s="348" t="s">
        <v>14638</v>
      </c>
      <c r="D8059" s="334" t="s">
        <v>182</v>
      </c>
      <c r="E8059" s="336">
        <v>43815</v>
      </c>
      <c r="F8059" s="336">
        <v>43780</v>
      </c>
      <c r="G8059" s="336">
        <v>43812</v>
      </c>
      <c r="H8059" s="334" t="s">
        <v>13446</v>
      </c>
      <c r="I8059" s="444">
        <v>13901710857</v>
      </c>
      <c r="J8059" s="348" t="s">
        <v>17226</v>
      </c>
      <c r="K8059" s="452">
        <v>1000</v>
      </c>
      <c r="L8059" s="334">
        <v>38380</v>
      </c>
      <c r="M8059" s="338"/>
      <c r="N8059" s="362">
        <f t="shared" si="274"/>
        <v>38380</v>
      </c>
      <c r="P8059" s="330">
        <v>1</v>
      </c>
      <c r="X8059" s="339"/>
    </row>
    <row r="8060" s="330" customFormat="1" ht="15" customHeight="1" spans="1:24">
      <c r="A8060" s="550" t="s">
        <v>12616</v>
      </c>
      <c r="B8060" s="334" t="s">
        <v>137</v>
      </c>
      <c r="C8060" s="348" t="s">
        <v>411</v>
      </c>
      <c r="D8060" s="335" t="s">
        <v>427</v>
      </c>
      <c r="E8060" s="336">
        <v>43781</v>
      </c>
      <c r="F8060" s="336">
        <v>43780</v>
      </c>
      <c r="G8060" s="399"/>
      <c r="H8060" s="334" t="s">
        <v>17227</v>
      </c>
      <c r="I8060" s="444">
        <v>17811941416</v>
      </c>
      <c r="J8060" s="348" t="s">
        <v>17228</v>
      </c>
      <c r="K8060" s="452">
        <v>1000</v>
      </c>
      <c r="L8060" s="338"/>
      <c r="M8060" s="338"/>
      <c r="N8060" s="362">
        <f t="shared" si="274"/>
        <v>0</v>
      </c>
      <c r="O8060" s="353"/>
      <c r="P8060" s="353" t="s">
        <v>17229</v>
      </c>
      <c r="X8060" s="339"/>
    </row>
    <row r="8061" s="330" customFormat="1" ht="15" customHeight="1" spans="1:24">
      <c r="A8061" s="550" t="s">
        <v>6156</v>
      </c>
      <c r="B8061" s="334" t="s">
        <v>31</v>
      </c>
      <c r="C8061" s="348" t="s">
        <v>2716</v>
      </c>
      <c r="D8061" s="334" t="s">
        <v>954</v>
      </c>
      <c r="E8061" s="336">
        <v>43813</v>
      </c>
      <c r="F8061" s="336">
        <v>43780</v>
      </c>
      <c r="G8061" s="336">
        <v>43813</v>
      </c>
      <c r="H8061" s="334" t="s">
        <v>1131</v>
      </c>
      <c r="I8061" s="444">
        <v>17701758999</v>
      </c>
      <c r="J8061" s="348" t="s">
        <v>17230</v>
      </c>
      <c r="K8061" s="452">
        <v>999</v>
      </c>
      <c r="L8061" s="334">
        <v>2841</v>
      </c>
      <c r="M8061" s="338"/>
      <c r="N8061" s="362">
        <f t="shared" si="274"/>
        <v>2841</v>
      </c>
      <c r="X8061" s="339"/>
    </row>
    <row r="8062" s="330" customFormat="1" ht="15" customHeight="1" spans="1:24">
      <c r="A8062" s="550" t="s">
        <v>8506</v>
      </c>
      <c r="B8062" s="334" t="s">
        <v>31</v>
      </c>
      <c r="C8062" s="348" t="s">
        <v>2716</v>
      </c>
      <c r="D8062" s="335" t="s">
        <v>33</v>
      </c>
      <c r="E8062" s="336">
        <v>43781</v>
      </c>
      <c r="F8062" s="336">
        <v>43780</v>
      </c>
      <c r="G8062" s="399"/>
      <c r="H8062" s="334" t="s">
        <v>17231</v>
      </c>
      <c r="I8062" s="444">
        <v>13611983754</v>
      </c>
      <c r="J8062" s="348" t="s">
        <v>17232</v>
      </c>
      <c r="K8062" s="452">
        <v>1000</v>
      </c>
      <c r="L8062" s="338"/>
      <c r="M8062" s="338"/>
      <c r="N8062" s="362">
        <f t="shared" si="274"/>
        <v>0</v>
      </c>
      <c r="O8062" s="366" t="s">
        <v>52</v>
      </c>
      <c r="X8062" s="339"/>
    </row>
    <row r="8063" s="330" customFormat="1" ht="15" customHeight="1" spans="1:24">
      <c r="A8063" s="348"/>
      <c r="B8063" s="334" t="s">
        <v>147</v>
      </c>
      <c r="C8063" s="348" t="s">
        <v>15901</v>
      </c>
      <c r="D8063" s="335" t="s">
        <v>149</v>
      </c>
      <c r="E8063" s="336">
        <v>43799</v>
      </c>
      <c r="F8063" s="336">
        <v>43780</v>
      </c>
      <c r="G8063" s="336">
        <v>43799</v>
      </c>
      <c r="H8063" s="334" t="s">
        <v>17233</v>
      </c>
      <c r="I8063" s="444">
        <v>13641953785</v>
      </c>
      <c r="J8063" s="348" t="s">
        <v>17234</v>
      </c>
      <c r="K8063" s="452">
        <v>1000</v>
      </c>
      <c r="L8063" s="334">
        <v>4859</v>
      </c>
      <c r="M8063" s="338"/>
      <c r="N8063" s="362">
        <f t="shared" si="274"/>
        <v>4859</v>
      </c>
      <c r="X8063" s="339"/>
    </row>
    <row r="8064" s="330" customFormat="1" ht="15" customHeight="1" spans="1:24">
      <c r="A8064" s="550" t="s">
        <v>15155</v>
      </c>
      <c r="B8064" s="334" t="s">
        <v>236</v>
      </c>
      <c r="C8064" s="348" t="s">
        <v>195</v>
      </c>
      <c r="D8064" s="334" t="s">
        <v>207</v>
      </c>
      <c r="E8064" s="336">
        <v>43801</v>
      </c>
      <c r="F8064" s="336">
        <v>43779</v>
      </c>
      <c r="G8064" s="336">
        <v>43800</v>
      </c>
      <c r="H8064" s="334" t="s">
        <v>17235</v>
      </c>
      <c r="I8064" s="444">
        <v>13817950717</v>
      </c>
      <c r="J8064" s="348" t="s">
        <v>17236</v>
      </c>
      <c r="K8064" s="452">
        <v>2000</v>
      </c>
      <c r="L8064" s="334">
        <v>14728</v>
      </c>
      <c r="M8064" s="338"/>
      <c r="N8064" s="362">
        <f t="shared" ref="N8064:N8112" si="275">L8064+M8064</f>
        <v>14728</v>
      </c>
      <c r="X8064" s="339"/>
    </row>
    <row r="8065" s="330" customFormat="1" ht="15" customHeight="1" spans="1:24">
      <c r="A8065" s="550" t="s">
        <v>17237</v>
      </c>
      <c r="B8065" s="334" t="s">
        <v>236</v>
      </c>
      <c r="C8065" s="348" t="s">
        <v>703</v>
      </c>
      <c r="D8065" s="335" t="s">
        <v>125</v>
      </c>
      <c r="E8065" s="336">
        <v>43786</v>
      </c>
      <c r="F8065" s="336">
        <v>43779</v>
      </c>
      <c r="G8065" s="336">
        <v>43785</v>
      </c>
      <c r="H8065" s="334" t="s">
        <v>17238</v>
      </c>
      <c r="I8065" s="444">
        <v>18964139025</v>
      </c>
      <c r="J8065" s="348" t="s">
        <v>17239</v>
      </c>
      <c r="K8065" s="452">
        <v>5997</v>
      </c>
      <c r="L8065" s="334">
        <v>9066</v>
      </c>
      <c r="M8065" s="338"/>
      <c r="N8065" s="362">
        <f t="shared" si="275"/>
        <v>9066</v>
      </c>
      <c r="X8065" s="339"/>
    </row>
    <row r="8066" s="330" customFormat="1" ht="15" customHeight="1" spans="1:24">
      <c r="A8066" s="550" t="s">
        <v>14670</v>
      </c>
      <c r="B8066" s="334" t="s">
        <v>405</v>
      </c>
      <c r="C8066" s="348" t="s">
        <v>14070</v>
      </c>
      <c r="D8066" s="335" t="s">
        <v>407</v>
      </c>
      <c r="E8066" s="336">
        <v>43781</v>
      </c>
      <c r="F8066" s="336">
        <v>43780</v>
      </c>
      <c r="G8066" s="399"/>
      <c r="H8066" s="334" t="s">
        <v>17240</v>
      </c>
      <c r="I8066" s="444">
        <v>18621727101</v>
      </c>
      <c r="J8066" s="348" t="s">
        <v>17241</v>
      </c>
      <c r="K8066" s="452">
        <v>1680</v>
      </c>
      <c r="L8066" s="338"/>
      <c r="M8066" s="338"/>
      <c r="N8066" s="362">
        <f t="shared" si="275"/>
        <v>0</v>
      </c>
      <c r="O8066" s="502" t="s">
        <v>52</v>
      </c>
      <c r="X8066" s="339"/>
    </row>
    <row r="8067" s="330" customFormat="1" ht="15" customHeight="1" spans="1:24">
      <c r="A8067" s="550" t="s">
        <v>10882</v>
      </c>
      <c r="B8067" s="334" t="s">
        <v>185</v>
      </c>
      <c r="C8067" s="348" t="s">
        <v>186</v>
      </c>
      <c r="D8067" s="335" t="s">
        <v>187</v>
      </c>
      <c r="E8067" s="336">
        <v>43781</v>
      </c>
      <c r="F8067" s="336">
        <v>43780</v>
      </c>
      <c r="G8067" s="399"/>
      <c r="H8067" s="334" t="s">
        <v>17242</v>
      </c>
      <c r="I8067" s="444">
        <v>18917343789</v>
      </c>
      <c r="J8067" s="348" t="s">
        <v>17243</v>
      </c>
      <c r="K8067" s="452">
        <v>1000</v>
      </c>
      <c r="L8067" s="338"/>
      <c r="M8067" s="338"/>
      <c r="N8067" s="362">
        <f t="shared" si="275"/>
        <v>0</v>
      </c>
      <c r="O8067" s="467" t="s">
        <v>52</v>
      </c>
      <c r="X8067" s="339"/>
    </row>
    <row r="8068" s="330" customFormat="1" ht="15" customHeight="1" spans="1:24">
      <c r="A8068" s="550" t="s">
        <v>14587</v>
      </c>
      <c r="B8068" s="334" t="s">
        <v>236</v>
      </c>
      <c r="C8068" s="348" t="s">
        <v>703</v>
      </c>
      <c r="D8068" s="334" t="s">
        <v>207</v>
      </c>
      <c r="E8068" s="336">
        <v>43807</v>
      </c>
      <c r="F8068" s="336">
        <v>43780</v>
      </c>
      <c r="G8068" s="336">
        <v>43806</v>
      </c>
      <c r="H8068" s="334" t="s">
        <v>17244</v>
      </c>
      <c r="I8068" s="444">
        <v>18501716709</v>
      </c>
      <c r="J8068" s="348" t="s">
        <v>17245</v>
      </c>
      <c r="K8068" s="452">
        <v>3779</v>
      </c>
      <c r="L8068" s="334">
        <v>4112</v>
      </c>
      <c r="M8068" s="338"/>
      <c r="N8068" s="362">
        <f t="shared" si="275"/>
        <v>4112</v>
      </c>
      <c r="X8068" s="339"/>
    </row>
    <row r="8069" s="330" customFormat="1" ht="15" customHeight="1" spans="1:24">
      <c r="A8069" s="550" t="s">
        <v>10885</v>
      </c>
      <c r="B8069" s="334" t="s">
        <v>185</v>
      </c>
      <c r="C8069" s="348" t="s">
        <v>1620</v>
      </c>
      <c r="D8069" s="335" t="s">
        <v>44</v>
      </c>
      <c r="E8069" s="336">
        <v>43796</v>
      </c>
      <c r="F8069" s="336">
        <v>43780</v>
      </c>
      <c r="G8069" s="336">
        <v>43795</v>
      </c>
      <c r="H8069" s="334" t="s">
        <v>17246</v>
      </c>
      <c r="I8069" s="444">
        <v>18018658883</v>
      </c>
      <c r="J8069" s="348" t="s">
        <v>17247</v>
      </c>
      <c r="K8069" s="452">
        <v>1000</v>
      </c>
      <c r="L8069" s="334">
        <v>17266</v>
      </c>
      <c r="M8069" s="338"/>
      <c r="N8069" s="362">
        <f t="shared" si="275"/>
        <v>17266</v>
      </c>
      <c r="X8069" s="339"/>
    </row>
    <row r="8070" s="330" customFormat="1" customHeight="1" spans="1:24">
      <c r="A8070" s="550" t="s">
        <v>16362</v>
      </c>
      <c r="B8070" s="334" t="s">
        <v>236</v>
      </c>
      <c r="C8070" s="348" t="s">
        <v>195</v>
      </c>
      <c r="D8070" s="335" t="s">
        <v>237</v>
      </c>
      <c r="E8070" s="336">
        <v>43781</v>
      </c>
      <c r="F8070" s="336">
        <v>43779</v>
      </c>
      <c r="G8070" s="353" t="s">
        <v>69</v>
      </c>
      <c r="H8070" s="334" t="s">
        <v>11164</v>
      </c>
      <c r="I8070" s="444">
        <v>13671530710</v>
      </c>
      <c r="J8070" s="348" t="s">
        <v>17248</v>
      </c>
      <c r="K8070" s="452">
        <v>10776</v>
      </c>
      <c r="L8070" s="338"/>
      <c r="M8070" s="338"/>
      <c r="N8070" s="362">
        <f t="shared" si="275"/>
        <v>0</v>
      </c>
      <c r="X8070" s="339"/>
    </row>
    <row r="8071" s="330" customFormat="1" ht="15" customHeight="1" spans="1:24">
      <c r="A8071" s="550" t="s">
        <v>1632</v>
      </c>
      <c r="B8071" s="334" t="s">
        <v>236</v>
      </c>
      <c r="C8071" s="348" t="s">
        <v>703</v>
      </c>
      <c r="D8071" s="335" t="s">
        <v>125</v>
      </c>
      <c r="E8071" s="336">
        <v>43799</v>
      </c>
      <c r="F8071" s="336">
        <v>43779</v>
      </c>
      <c r="G8071" s="336">
        <v>43798</v>
      </c>
      <c r="H8071" s="334" t="s">
        <v>17249</v>
      </c>
      <c r="I8071" s="444">
        <v>18018661186</v>
      </c>
      <c r="J8071" s="348" t="s">
        <v>17250</v>
      </c>
      <c r="K8071" s="452">
        <v>10080</v>
      </c>
      <c r="L8071" s="334">
        <v>10080</v>
      </c>
      <c r="M8071" s="338"/>
      <c r="N8071" s="362">
        <f t="shared" si="275"/>
        <v>10080</v>
      </c>
      <c r="X8071" s="339"/>
    </row>
    <row r="8072" s="330" customFormat="1" ht="15" customHeight="1" spans="1:24">
      <c r="A8072" s="550" t="s">
        <v>17251</v>
      </c>
      <c r="B8072" s="334" t="s">
        <v>5435</v>
      </c>
      <c r="C8072" s="348" t="s">
        <v>1728</v>
      </c>
      <c r="D8072" s="335" t="s">
        <v>149</v>
      </c>
      <c r="E8072" s="336">
        <v>43781</v>
      </c>
      <c r="F8072" s="336">
        <v>43780</v>
      </c>
      <c r="G8072" s="399"/>
      <c r="H8072" s="334" t="s">
        <v>17252</v>
      </c>
      <c r="I8072" s="444">
        <v>15921986522</v>
      </c>
      <c r="J8072" s="348" t="s">
        <v>17253</v>
      </c>
      <c r="K8072" s="452">
        <v>2000</v>
      </c>
      <c r="L8072" s="338"/>
      <c r="M8072" s="338"/>
      <c r="N8072" s="362">
        <f t="shared" si="275"/>
        <v>0</v>
      </c>
      <c r="R8072" s="467" t="s">
        <v>52</v>
      </c>
      <c r="X8072" s="339"/>
    </row>
    <row r="8073" s="330" customFormat="1" ht="15" customHeight="1" spans="1:24">
      <c r="A8073" s="550" t="s">
        <v>17254</v>
      </c>
      <c r="B8073" s="334" t="s">
        <v>31</v>
      </c>
      <c r="C8073" s="348" t="s">
        <v>377</v>
      </c>
      <c r="D8073" s="335" t="s">
        <v>221</v>
      </c>
      <c r="E8073" s="336">
        <v>43797</v>
      </c>
      <c r="F8073" s="336">
        <v>43780</v>
      </c>
      <c r="G8073" s="336">
        <v>43795</v>
      </c>
      <c r="H8073" s="334" t="s">
        <v>17255</v>
      </c>
      <c r="I8073" s="444">
        <v>18217252915</v>
      </c>
      <c r="J8073" s="348" t="s">
        <v>17256</v>
      </c>
      <c r="K8073" s="452">
        <v>8712</v>
      </c>
      <c r="L8073" s="334">
        <v>8700</v>
      </c>
      <c r="M8073" s="338"/>
      <c r="N8073" s="362">
        <f t="shared" si="275"/>
        <v>8700</v>
      </c>
      <c r="X8073" s="339"/>
    </row>
    <row r="8074" s="330" customFormat="1" ht="15" customHeight="1" spans="1:24">
      <c r="A8074" s="550" t="s">
        <v>14797</v>
      </c>
      <c r="B8074" s="334" t="s">
        <v>58</v>
      </c>
      <c r="C8074" s="348" t="s">
        <v>59</v>
      </c>
      <c r="D8074" s="335" t="s">
        <v>271</v>
      </c>
      <c r="E8074" s="336">
        <v>43781</v>
      </c>
      <c r="F8074" s="336">
        <v>43780</v>
      </c>
      <c r="G8074" s="399"/>
      <c r="H8074" s="334" t="s">
        <v>17257</v>
      </c>
      <c r="I8074" s="444">
        <v>15026828541</v>
      </c>
      <c r="J8074" s="348" t="s">
        <v>17258</v>
      </c>
      <c r="K8074" s="452">
        <v>3000</v>
      </c>
      <c r="L8074" s="338"/>
      <c r="M8074" s="338"/>
      <c r="N8074" s="362">
        <f t="shared" si="275"/>
        <v>0</v>
      </c>
      <c r="O8074" s="365" t="s">
        <v>52</v>
      </c>
      <c r="U8074" s="413">
        <v>43824</v>
      </c>
      <c r="X8074" s="339"/>
    </row>
    <row r="8075" s="330" customFormat="1" ht="15" customHeight="1" spans="1:24">
      <c r="A8075" s="550" t="s">
        <v>5813</v>
      </c>
      <c r="B8075" s="334" t="s">
        <v>31</v>
      </c>
      <c r="C8075" s="348" t="s">
        <v>3186</v>
      </c>
      <c r="D8075" s="335" t="s">
        <v>221</v>
      </c>
      <c r="E8075" s="336">
        <v>43781</v>
      </c>
      <c r="F8075" s="336">
        <v>43780</v>
      </c>
      <c r="G8075" s="399"/>
      <c r="H8075" s="334" t="s">
        <v>17259</v>
      </c>
      <c r="I8075" s="444">
        <v>13761877254</v>
      </c>
      <c r="J8075" s="348" t="s">
        <v>17260</v>
      </c>
      <c r="K8075" s="452">
        <v>999</v>
      </c>
      <c r="L8075" s="338"/>
      <c r="M8075" s="338"/>
      <c r="N8075" s="362">
        <f t="shared" si="275"/>
        <v>0</v>
      </c>
      <c r="P8075" s="366" t="s">
        <v>52</v>
      </c>
      <c r="X8075" s="339"/>
    </row>
    <row r="8076" s="330" customFormat="1" ht="15" customHeight="1" spans="1:24">
      <c r="A8076" s="550" t="s">
        <v>17261</v>
      </c>
      <c r="B8076" s="334" t="s">
        <v>31</v>
      </c>
      <c r="C8076" s="348" t="s">
        <v>377</v>
      </c>
      <c r="D8076" s="335" t="s">
        <v>221</v>
      </c>
      <c r="E8076" s="336">
        <v>43781</v>
      </c>
      <c r="F8076" s="336">
        <v>43780</v>
      </c>
      <c r="G8076" s="399"/>
      <c r="H8076" s="334" t="s">
        <v>6217</v>
      </c>
      <c r="I8076" s="444">
        <v>18917506602</v>
      </c>
      <c r="J8076" s="348" t="s">
        <v>17262</v>
      </c>
      <c r="K8076" s="452">
        <v>1000</v>
      </c>
      <c r="L8076" s="338"/>
      <c r="M8076" s="338"/>
      <c r="N8076" s="362">
        <f t="shared" si="275"/>
        <v>0</v>
      </c>
      <c r="O8076" s="366" t="s">
        <v>52</v>
      </c>
      <c r="X8076" s="339"/>
    </row>
    <row r="8077" s="330" customFormat="1" ht="15" customHeight="1" spans="1:24">
      <c r="A8077" s="550" t="s">
        <v>17263</v>
      </c>
      <c r="B8077" s="334" t="s">
        <v>185</v>
      </c>
      <c r="C8077" s="348" t="s">
        <v>1204</v>
      </c>
      <c r="D8077" s="335" t="s">
        <v>44</v>
      </c>
      <c r="E8077" s="336">
        <v>43781</v>
      </c>
      <c r="F8077" s="336">
        <v>43778</v>
      </c>
      <c r="G8077" s="399"/>
      <c r="H8077" s="334" t="s">
        <v>17264</v>
      </c>
      <c r="I8077" s="444">
        <v>15900870211</v>
      </c>
      <c r="J8077" s="348" t="s">
        <v>17265</v>
      </c>
      <c r="K8077" s="452">
        <v>1000</v>
      </c>
      <c r="L8077" s="338"/>
      <c r="M8077" s="338"/>
      <c r="N8077" s="362">
        <f t="shared" si="275"/>
        <v>0</v>
      </c>
      <c r="O8077" s="467" t="s">
        <v>52</v>
      </c>
      <c r="X8077" s="339"/>
    </row>
    <row r="8078" s="330" customFormat="1" ht="15" customHeight="1" spans="1:24">
      <c r="A8078" s="550" t="s">
        <v>11155</v>
      </c>
      <c r="B8078" s="334" t="s">
        <v>335</v>
      </c>
      <c r="C8078" s="348" t="s">
        <v>615</v>
      </c>
      <c r="D8078" s="335" t="s">
        <v>337</v>
      </c>
      <c r="E8078" s="336">
        <v>43813</v>
      </c>
      <c r="F8078" s="336">
        <v>43780</v>
      </c>
      <c r="G8078" s="336">
        <v>43811</v>
      </c>
      <c r="H8078" s="334" t="s">
        <v>17266</v>
      </c>
      <c r="I8078" s="444">
        <v>13818881988</v>
      </c>
      <c r="J8078" s="348" t="s">
        <v>17267</v>
      </c>
      <c r="K8078" s="452">
        <v>1000</v>
      </c>
      <c r="L8078" s="334">
        <v>39000</v>
      </c>
      <c r="M8078" s="338"/>
      <c r="N8078" s="362">
        <f t="shared" si="275"/>
        <v>39000</v>
      </c>
      <c r="X8078" s="339"/>
    </row>
    <row r="8079" s="330" customFormat="1" ht="15" customHeight="1" spans="1:24">
      <c r="A8079" s="550" t="s">
        <v>9174</v>
      </c>
      <c r="B8079" s="334" t="s">
        <v>73</v>
      </c>
      <c r="C8079" s="348" t="s">
        <v>74</v>
      </c>
      <c r="D8079" s="334" t="s">
        <v>427</v>
      </c>
      <c r="E8079" s="336">
        <v>43799</v>
      </c>
      <c r="F8079" s="336">
        <v>43780</v>
      </c>
      <c r="G8079" s="336">
        <v>43799</v>
      </c>
      <c r="H8079" s="334" t="s">
        <v>17268</v>
      </c>
      <c r="I8079" s="444">
        <v>13671772871</v>
      </c>
      <c r="J8079" s="348" t="s">
        <v>17269</v>
      </c>
      <c r="K8079" s="452">
        <v>1000</v>
      </c>
      <c r="L8079" s="334">
        <v>19500</v>
      </c>
      <c r="M8079" s="338"/>
      <c r="N8079" s="362">
        <f t="shared" si="275"/>
        <v>19500</v>
      </c>
      <c r="O8079" s="366" t="s">
        <v>52</v>
      </c>
      <c r="X8079" s="339"/>
    </row>
    <row r="8080" s="330" customFormat="1" ht="15" customHeight="1" spans="1:24">
      <c r="A8080" s="550" t="s">
        <v>9640</v>
      </c>
      <c r="B8080" s="334" t="s">
        <v>35</v>
      </c>
      <c r="C8080" s="348" t="s">
        <v>392</v>
      </c>
      <c r="D8080" s="335" t="s">
        <v>37</v>
      </c>
      <c r="E8080" s="336">
        <v>43781</v>
      </c>
      <c r="F8080" s="336">
        <v>43777</v>
      </c>
      <c r="G8080" s="399"/>
      <c r="H8080" s="334" t="s">
        <v>17270</v>
      </c>
      <c r="I8080" s="444">
        <v>18901616169</v>
      </c>
      <c r="J8080" s="348" t="s">
        <v>17271</v>
      </c>
      <c r="K8080" s="452">
        <v>2000</v>
      </c>
      <c r="L8080" s="338"/>
      <c r="M8080" s="338"/>
      <c r="N8080" s="362">
        <f t="shared" si="275"/>
        <v>0</v>
      </c>
      <c r="U8080" s="330" t="s">
        <v>40</v>
      </c>
      <c r="X8080" s="339"/>
    </row>
    <row r="8081" s="330" customFormat="1" ht="15" customHeight="1" spans="1:24">
      <c r="A8081" s="550" t="s">
        <v>4428</v>
      </c>
      <c r="B8081" s="334" t="s">
        <v>35</v>
      </c>
      <c r="C8081" s="348" t="s">
        <v>392</v>
      </c>
      <c r="D8081" s="334" t="s">
        <v>37</v>
      </c>
      <c r="E8081" s="336">
        <v>43782</v>
      </c>
      <c r="F8081" s="336">
        <v>43780</v>
      </c>
      <c r="G8081" s="336">
        <v>43779</v>
      </c>
      <c r="H8081" s="334" t="s">
        <v>5516</v>
      </c>
      <c r="I8081" s="444">
        <v>18516117551</v>
      </c>
      <c r="J8081" s="348" t="s">
        <v>17272</v>
      </c>
      <c r="K8081" s="452">
        <v>1000</v>
      </c>
      <c r="L8081" s="334">
        <v>14328</v>
      </c>
      <c r="M8081" s="338"/>
      <c r="N8081" s="362">
        <f t="shared" si="275"/>
        <v>14328</v>
      </c>
      <c r="X8081" s="339"/>
    </row>
    <row r="8082" s="330" customFormat="1" ht="15" customHeight="1" spans="1:24">
      <c r="A8082" s="348"/>
      <c r="B8082" s="334" t="s">
        <v>35</v>
      </c>
      <c r="C8082" s="348" t="s">
        <v>392</v>
      </c>
      <c r="D8082" s="335" t="s">
        <v>37</v>
      </c>
      <c r="E8082" s="336">
        <v>43792</v>
      </c>
      <c r="F8082" s="336">
        <v>43780</v>
      </c>
      <c r="G8082" s="336">
        <v>43790</v>
      </c>
      <c r="H8082" s="334" t="s">
        <v>17273</v>
      </c>
      <c r="I8082" s="444">
        <v>18201726562</v>
      </c>
      <c r="J8082" s="348" t="s">
        <v>17274</v>
      </c>
      <c r="K8082" s="452">
        <v>1000</v>
      </c>
      <c r="L8082" s="334">
        <v>7240</v>
      </c>
      <c r="M8082" s="338"/>
      <c r="N8082" s="362">
        <f t="shared" si="275"/>
        <v>7240</v>
      </c>
      <c r="R8082" s="356" t="s">
        <v>52</v>
      </c>
      <c r="X8082" s="339"/>
    </row>
    <row r="8083" s="330" customFormat="1" ht="15" customHeight="1" spans="1:24">
      <c r="A8083" s="550" t="s">
        <v>17275</v>
      </c>
      <c r="B8083" s="334" t="s">
        <v>315</v>
      </c>
      <c r="C8083" s="348" t="s">
        <v>161</v>
      </c>
      <c r="D8083" s="335" t="s">
        <v>162</v>
      </c>
      <c r="E8083" s="336">
        <v>43796</v>
      </c>
      <c r="F8083" s="336">
        <v>43780</v>
      </c>
      <c r="G8083" s="336">
        <v>43796</v>
      </c>
      <c r="H8083" s="334" t="s">
        <v>17276</v>
      </c>
      <c r="I8083" s="444">
        <v>13611909329</v>
      </c>
      <c r="J8083" s="348" t="s">
        <v>17277</v>
      </c>
      <c r="K8083" s="452">
        <v>1000</v>
      </c>
      <c r="L8083" s="334">
        <v>9026</v>
      </c>
      <c r="M8083" s="338"/>
      <c r="N8083" s="362">
        <f t="shared" si="275"/>
        <v>9026</v>
      </c>
      <c r="S8083" s="330">
        <v>1</v>
      </c>
      <c r="X8083" s="339"/>
    </row>
    <row r="8084" s="330" customFormat="1" ht="15" customHeight="1" spans="1:24">
      <c r="A8084" s="550" t="s">
        <v>17278</v>
      </c>
      <c r="B8084" s="334" t="s">
        <v>405</v>
      </c>
      <c r="C8084" s="348" t="s">
        <v>1234</v>
      </c>
      <c r="D8084" s="335" t="s">
        <v>407</v>
      </c>
      <c r="E8084" s="336">
        <v>43781</v>
      </c>
      <c r="F8084" s="336">
        <v>43780</v>
      </c>
      <c r="G8084" s="399"/>
      <c r="H8084" s="334" t="s">
        <v>17279</v>
      </c>
      <c r="I8084" s="444">
        <v>15921146520</v>
      </c>
      <c r="J8084" s="348" t="s">
        <v>17280</v>
      </c>
      <c r="K8084" s="452">
        <v>1000</v>
      </c>
      <c r="L8084" s="338"/>
      <c r="M8084" s="338"/>
      <c r="N8084" s="362">
        <f t="shared" si="275"/>
        <v>0</v>
      </c>
      <c r="O8084" s="502" t="s">
        <v>52</v>
      </c>
      <c r="X8084" s="339"/>
    </row>
    <row r="8085" s="330" customFormat="1" ht="15" customHeight="1" spans="1:24">
      <c r="A8085" s="550" t="s">
        <v>17281</v>
      </c>
      <c r="B8085" s="334" t="s">
        <v>405</v>
      </c>
      <c r="C8085" s="348" t="s">
        <v>1234</v>
      </c>
      <c r="D8085" s="335" t="s">
        <v>407</v>
      </c>
      <c r="E8085" s="336">
        <v>43781</v>
      </c>
      <c r="F8085" s="336">
        <v>43780</v>
      </c>
      <c r="G8085" s="399"/>
      <c r="H8085" s="334" t="s">
        <v>17282</v>
      </c>
      <c r="I8085" s="444">
        <v>13564741060</v>
      </c>
      <c r="J8085" s="348" t="s">
        <v>17283</v>
      </c>
      <c r="K8085" s="452">
        <v>1000</v>
      </c>
      <c r="L8085" s="338"/>
      <c r="M8085" s="338"/>
      <c r="N8085" s="362">
        <f t="shared" si="275"/>
        <v>0</v>
      </c>
      <c r="O8085" s="502" t="s">
        <v>52</v>
      </c>
      <c r="X8085" s="339"/>
    </row>
    <row r="8086" s="330" customFormat="1" ht="15" customHeight="1" spans="1:24">
      <c r="A8086" s="348">
        <v>2018307</v>
      </c>
      <c r="B8086" s="334" t="s">
        <v>315</v>
      </c>
      <c r="C8086" s="348" t="s">
        <v>181</v>
      </c>
      <c r="D8086" s="335" t="s">
        <v>182</v>
      </c>
      <c r="E8086" s="336">
        <v>43781</v>
      </c>
      <c r="F8086" s="336">
        <v>43780</v>
      </c>
      <c r="G8086" s="399"/>
      <c r="H8086" s="334" t="s">
        <v>17284</v>
      </c>
      <c r="I8086" s="444">
        <v>18918316896</v>
      </c>
      <c r="J8086" s="348" t="s">
        <v>17285</v>
      </c>
      <c r="K8086" s="452">
        <v>1000</v>
      </c>
      <c r="L8086" s="338"/>
      <c r="M8086" s="338"/>
      <c r="N8086" s="362">
        <f t="shared" si="275"/>
        <v>0</v>
      </c>
      <c r="O8086" s="330">
        <v>1</v>
      </c>
      <c r="X8086" s="339"/>
    </row>
    <row r="8087" s="330" customFormat="1" ht="15" customHeight="1" spans="1:24">
      <c r="A8087" s="348">
        <v>2018308</v>
      </c>
      <c r="B8087" s="334" t="s">
        <v>315</v>
      </c>
      <c r="C8087" s="348" t="s">
        <v>181</v>
      </c>
      <c r="D8087" s="335" t="s">
        <v>182</v>
      </c>
      <c r="E8087" s="336">
        <v>43781</v>
      </c>
      <c r="F8087" s="336">
        <v>43780</v>
      </c>
      <c r="G8087" s="399"/>
      <c r="H8087" s="334" t="s">
        <v>17286</v>
      </c>
      <c r="I8087" s="444">
        <v>13917471531</v>
      </c>
      <c r="J8087" s="348" t="s">
        <v>17287</v>
      </c>
      <c r="K8087" s="452">
        <v>1000</v>
      </c>
      <c r="L8087" s="338"/>
      <c r="M8087" s="338"/>
      <c r="N8087" s="362">
        <f t="shared" si="275"/>
        <v>0</v>
      </c>
      <c r="O8087" s="330">
        <v>1</v>
      </c>
      <c r="X8087" s="339"/>
    </row>
    <row r="8088" s="330" customFormat="1" ht="15" customHeight="1" spans="1:24">
      <c r="A8088" s="550" t="s">
        <v>17288</v>
      </c>
      <c r="B8088" s="334" t="s">
        <v>66</v>
      </c>
      <c r="C8088" s="348" t="s">
        <v>119</v>
      </c>
      <c r="D8088" s="334" t="s">
        <v>1436</v>
      </c>
      <c r="E8088" s="336">
        <v>43793</v>
      </c>
      <c r="F8088" s="336">
        <v>43780</v>
      </c>
      <c r="G8088" s="336">
        <v>43792</v>
      </c>
      <c r="H8088" s="334" t="s">
        <v>17289</v>
      </c>
      <c r="I8088" s="444">
        <v>18516108652</v>
      </c>
      <c r="J8088" s="348" t="s">
        <v>17290</v>
      </c>
      <c r="K8088" s="452">
        <v>3099</v>
      </c>
      <c r="L8088" s="334">
        <v>11052</v>
      </c>
      <c r="M8088" s="338"/>
      <c r="N8088" s="362">
        <f t="shared" si="275"/>
        <v>11052</v>
      </c>
      <c r="X8088" s="339" t="s">
        <v>2494</v>
      </c>
    </row>
    <row r="8089" s="330" customFormat="1" ht="15" customHeight="1" spans="1:24">
      <c r="A8089" s="550" t="s">
        <v>4974</v>
      </c>
      <c r="B8089" s="334" t="s">
        <v>31</v>
      </c>
      <c r="C8089" s="348" t="s">
        <v>251</v>
      </c>
      <c r="D8089" s="335" t="s">
        <v>33</v>
      </c>
      <c r="E8089" s="336">
        <v>43781</v>
      </c>
      <c r="F8089" s="336">
        <v>43779</v>
      </c>
      <c r="G8089" s="399"/>
      <c r="H8089" s="334" t="s">
        <v>17291</v>
      </c>
      <c r="I8089" s="444">
        <v>18668805856</v>
      </c>
      <c r="J8089" s="348" t="s">
        <v>17292</v>
      </c>
      <c r="K8089" s="452">
        <v>3000</v>
      </c>
      <c r="L8089" s="338"/>
      <c r="M8089" s="338"/>
      <c r="N8089" s="362">
        <f t="shared" si="275"/>
        <v>0</v>
      </c>
      <c r="Q8089" s="366" t="s">
        <v>52</v>
      </c>
      <c r="X8089" s="339"/>
    </row>
    <row r="8090" s="330" customFormat="1" ht="15" customHeight="1" spans="1:24">
      <c r="A8090" s="550" t="s">
        <v>17293</v>
      </c>
      <c r="B8090" s="334" t="s">
        <v>35</v>
      </c>
      <c r="C8090" s="348" t="s">
        <v>392</v>
      </c>
      <c r="D8090" s="335" t="s">
        <v>37</v>
      </c>
      <c r="E8090" s="336">
        <v>43781</v>
      </c>
      <c r="F8090" s="336">
        <v>43780</v>
      </c>
      <c r="G8090" s="399"/>
      <c r="H8090" s="334" t="s">
        <v>17294</v>
      </c>
      <c r="I8090" s="444">
        <v>13472432083</v>
      </c>
      <c r="J8090" s="348" t="s">
        <v>17295</v>
      </c>
      <c r="K8090" s="452">
        <v>1000</v>
      </c>
      <c r="L8090" s="338"/>
      <c r="M8090" s="338"/>
      <c r="N8090" s="362">
        <f t="shared" si="275"/>
        <v>0</v>
      </c>
      <c r="P8090" s="356" t="s">
        <v>52</v>
      </c>
      <c r="X8090" s="339"/>
    </row>
    <row r="8091" s="330" customFormat="1" ht="15" customHeight="1" spans="1:24">
      <c r="A8091" s="550" t="s">
        <v>17296</v>
      </c>
      <c r="B8091" s="334" t="s">
        <v>35</v>
      </c>
      <c r="C8091" s="348" t="s">
        <v>392</v>
      </c>
      <c r="D8091" s="335" t="s">
        <v>37</v>
      </c>
      <c r="E8091" s="336">
        <v>43792</v>
      </c>
      <c r="F8091" s="336">
        <v>43778</v>
      </c>
      <c r="G8091" s="336">
        <v>43786</v>
      </c>
      <c r="H8091" s="334" t="s">
        <v>3801</v>
      </c>
      <c r="I8091" s="444">
        <v>18516516400</v>
      </c>
      <c r="J8091" s="348" t="s">
        <v>17297</v>
      </c>
      <c r="K8091" s="452">
        <v>1000</v>
      </c>
      <c r="L8091" s="334">
        <v>5549</v>
      </c>
      <c r="M8091" s="334">
        <v>800</v>
      </c>
      <c r="N8091" s="362">
        <f t="shared" si="275"/>
        <v>6349</v>
      </c>
      <c r="X8091" s="339"/>
    </row>
    <row r="8092" s="330" customFormat="1" ht="15" customHeight="1" spans="1:24">
      <c r="A8092" s="550" t="s">
        <v>13416</v>
      </c>
      <c r="B8092" s="334" t="s">
        <v>35</v>
      </c>
      <c r="C8092" s="348" t="s">
        <v>36</v>
      </c>
      <c r="D8092" s="335" t="s">
        <v>37</v>
      </c>
      <c r="E8092" s="336">
        <v>43781</v>
      </c>
      <c r="F8092" s="336">
        <v>43780</v>
      </c>
      <c r="G8092" s="399"/>
      <c r="H8092" s="334" t="s">
        <v>427</v>
      </c>
      <c r="I8092" s="444">
        <v>13023138088</v>
      </c>
      <c r="J8092" s="348" t="s">
        <v>17298</v>
      </c>
      <c r="K8092" s="452">
        <v>1000</v>
      </c>
      <c r="L8092" s="338"/>
      <c r="M8092" s="338"/>
      <c r="N8092" s="362">
        <f t="shared" si="275"/>
        <v>0</v>
      </c>
      <c r="O8092" s="356" t="s">
        <v>52</v>
      </c>
      <c r="X8092" s="339"/>
    </row>
    <row r="8093" s="330" customFormat="1" ht="15" customHeight="1" spans="1:24">
      <c r="A8093" s="550" t="s">
        <v>15836</v>
      </c>
      <c r="B8093" s="334" t="s">
        <v>35</v>
      </c>
      <c r="C8093" s="348" t="s">
        <v>392</v>
      </c>
      <c r="D8093" s="335" t="s">
        <v>37</v>
      </c>
      <c r="E8093" s="336">
        <v>43781</v>
      </c>
      <c r="F8093" s="336">
        <v>43779</v>
      </c>
      <c r="G8093" s="399"/>
      <c r="H8093" s="334" t="s">
        <v>6529</v>
      </c>
      <c r="I8093" s="444">
        <v>13661549186</v>
      </c>
      <c r="J8093" s="348" t="s">
        <v>17299</v>
      </c>
      <c r="K8093" s="452">
        <v>1000</v>
      </c>
      <c r="L8093" s="338"/>
      <c r="M8093" s="338"/>
      <c r="N8093" s="362">
        <f t="shared" si="275"/>
        <v>0</v>
      </c>
      <c r="O8093" s="356" t="s">
        <v>52</v>
      </c>
      <c r="P8093" s="356"/>
      <c r="X8093" s="339"/>
    </row>
    <row r="8094" s="330" customFormat="1" ht="15" customHeight="1" spans="1:24">
      <c r="A8094" s="550" t="s">
        <v>17300</v>
      </c>
      <c r="B8094" s="334" t="s">
        <v>35</v>
      </c>
      <c r="C8094" s="348" t="s">
        <v>392</v>
      </c>
      <c r="D8094" s="335" t="s">
        <v>37</v>
      </c>
      <c r="E8094" s="336">
        <v>43802</v>
      </c>
      <c r="F8094" s="336">
        <v>43780</v>
      </c>
      <c r="G8094" s="336">
        <v>43801</v>
      </c>
      <c r="H8094" s="334" t="s">
        <v>17301</v>
      </c>
      <c r="I8094" s="444">
        <v>18930405855</v>
      </c>
      <c r="J8094" s="348" t="s">
        <v>17302</v>
      </c>
      <c r="K8094" s="452">
        <v>1000</v>
      </c>
      <c r="L8094" s="334">
        <v>32000</v>
      </c>
      <c r="M8094" s="338"/>
      <c r="N8094" s="362">
        <f t="shared" si="275"/>
        <v>32000</v>
      </c>
      <c r="P8094" s="356" t="s">
        <v>52</v>
      </c>
      <c r="X8094" s="339"/>
    </row>
    <row r="8095" s="330" customFormat="1" ht="15" customHeight="1" spans="1:24">
      <c r="A8095" s="550" t="s">
        <v>4779</v>
      </c>
      <c r="B8095" s="334" t="s">
        <v>35</v>
      </c>
      <c r="C8095" s="348" t="s">
        <v>392</v>
      </c>
      <c r="D8095" s="335" t="s">
        <v>37</v>
      </c>
      <c r="E8095" s="336">
        <v>43830</v>
      </c>
      <c r="F8095" s="336">
        <v>43779</v>
      </c>
      <c r="G8095" s="336">
        <v>43830</v>
      </c>
      <c r="H8095" s="334" t="s">
        <v>17303</v>
      </c>
      <c r="I8095" s="444">
        <v>13524523333</v>
      </c>
      <c r="J8095" s="348" t="s">
        <v>17304</v>
      </c>
      <c r="K8095" s="452">
        <v>1000</v>
      </c>
      <c r="L8095" s="334">
        <v>15627</v>
      </c>
      <c r="M8095" s="338"/>
      <c r="N8095" s="362">
        <f t="shared" si="275"/>
        <v>15627</v>
      </c>
      <c r="P8095" s="356" t="s">
        <v>52</v>
      </c>
      <c r="X8095" s="339"/>
    </row>
    <row r="8096" s="330" customFormat="1" ht="15" customHeight="1" spans="1:24">
      <c r="A8096" s="550" t="s">
        <v>17305</v>
      </c>
      <c r="B8096" s="334" t="s">
        <v>35</v>
      </c>
      <c r="C8096" s="348" t="s">
        <v>392</v>
      </c>
      <c r="D8096" s="335" t="s">
        <v>37</v>
      </c>
      <c r="E8096" s="336">
        <v>43794</v>
      </c>
      <c r="F8096" s="336">
        <v>43779</v>
      </c>
      <c r="G8096" s="336">
        <v>43792</v>
      </c>
      <c r="H8096" s="334" t="s">
        <v>17306</v>
      </c>
      <c r="I8096" s="444">
        <v>15021368812</v>
      </c>
      <c r="J8096" s="348" t="s">
        <v>17307</v>
      </c>
      <c r="K8096" s="452">
        <v>3000</v>
      </c>
      <c r="L8096" s="334">
        <v>20500</v>
      </c>
      <c r="M8096" s="338"/>
      <c r="N8096" s="362">
        <f t="shared" si="275"/>
        <v>20500</v>
      </c>
      <c r="Q8096" s="356" t="s">
        <v>52</v>
      </c>
      <c r="X8096" s="339"/>
    </row>
    <row r="8097" s="330" customFormat="1" ht="15" customHeight="1" spans="1:24">
      <c r="A8097" s="550" t="s">
        <v>17308</v>
      </c>
      <c r="B8097" s="334" t="s">
        <v>35</v>
      </c>
      <c r="C8097" s="348" t="s">
        <v>392</v>
      </c>
      <c r="D8097" s="334" t="s">
        <v>37</v>
      </c>
      <c r="E8097" s="336">
        <v>43782</v>
      </c>
      <c r="F8097" s="336">
        <v>43780</v>
      </c>
      <c r="G8097" s="336">
        <v>43779</v>
      </c>
      <c r="H8097" s="334" t="s">
        <v>17309</v>
      </c>
      <c r="I8097" s="444">
        <v>13661686038</v>
      </c>
      <c r="J8097" s="348" t="s">
        <v>17310</v>
      </c>
      <c r="K8097" s="452">
        <v>1000</v>
      </c>
      <c r="L8097" s="334">
        <v>11083</v>
      </c>
      <c r="M8097" s="338"/>
      <c r="N8097" s="362">
        <f t="shared" si="275"/>
        <v>11083</v>
      </c>
      <c r="X8097" s="339"/>
    </row>
    <row r="8098" s="330" customFormat="1" ht="15" customHeight="1" spans="1:24">
      <c r="A8098" s="550" t="s">
        <v>446</v>
      </c>
      <c r="B8098" s="334" t="s">
        <v>35</v>
      </c>
      <c r="C8098" s="348" t="s">
        <v>392</v>
      </c>
      <c r="D8098" s="335" t="s">
        <v>37</v>
      </c>
      <c r="E8098" s="336">
        <v>43792</v>
      </c>
      <c r="F8098" s="336">
        <v>43779</v>
      </c>
      <c r="G8098" s="336">
        <v>43788</v>
      </c>
      <c r="H8098" s="334" t="s">
        <v>17311</v>
      </c>
      <c r="I8098" s="444">
        <v>18001897303</v>
      </c>
      <c r="J8098" s="348" t="s">
        <v>17312</v>
      </c>
      <c r="K8098" s="452">
        <v>10000</v>
      </c>
      <c r="L8098" s="334">
        <v>14375</v>
      </c>
      <c r="M8098" s="338"/>
      <c r="N8098" s="362">
        <f t="shared" si="275"/>
        <v>14375</v>
      </c>
      <c r="Q8098" s="356" t="s">
        <v>52</v>
      </c>
      <c r="X8098" s="339"/>
    </row>
    <row r="8099" s="330" customFormat="1" ht="15" customHeight="1" spans="1:24">
      <c r="A8099" s="550" t="s">
        <v>17313</v>
      </c>
      <c r="B8099" s="334" t="s">
        <v>35</v>
      </c>
      <c r="C8099" s="348" t="s">
        <v>392</v>
      </c>
      <c r="D8099" s="335" t="s">
        <v>37</v>
      </c>
      <c r="E8099" s="336">
        <v>43806</v>
      </c>
      <c r="F8099" s="336">
        <v>43779</v>
      </c>
      <c r="G8099" s="336">
        <v>43801</v>
      </c>
      <c r="H8099" s="334" t="s">
        <v>2717</v>
      </c>
      <c r="I8099" s="444">
        <v>13524010609</v>
      </c>
      <c r="J8099" s="438" t="s">
        <v>17314</v>
      </c>
      <c r="K8099" s="452">
        <v>1000</v>
      </c>
      <c r="L8099" s="334">
        <v>15500</v>
      </c>
      <c r="M8099" s="338"/>
      <c r="N8099" s="362">
        <f t="shared" si="275"/>
        <v>15500</v>
      </c>
      <c r="P8099" s="356" t="s">
        <v>52</v>
      </c>
      <c r="X8099" s="339"/>
    </row>
    <row r="8100" s="330" customFormat="1" ht="15" customHeight="1" spans="1:24">
      <c r="A8100" s="550" t="s">
        <v>17315</v>
      </c>
      <c r="B8100" s="334" t="s">
        <v>35</v>
      </c>
      <c r="C8100" s="348" t="s">
        <v>392</v>
      </c>
      <c r="D8100" s="335" t="s">
        <v>37</v>
      </c>
      <c r="E8100" s="336">
        <v>43822</v>
      </c>
      <c r="F8100" s="336">
        <v>43772</v>
      </c>
      <c r="G8100" s="336">
        <v>43821</v>
      </c>
      <c r="H8100" s="334" t="s">
        <v>17316</v>
      </c>
      <c r="I8100" s="444">
        <v>13601688520</v>
      </c>
      <c r="J8100" s="348" t="s">
        <v>17317</v>
      </c>
      <c r="K8100" s="452">
        <v>1000</v>
      </c>
      <c r="L8100" s="334">
        <v>29999</v>
      </c>
      <c r="M8100" s="338"/>
      <c r="N8100" s="362">
        <f t="shared" si="275"/>
        <v>29999</v>
      </c>
      <c r="R8100" s="356" t="s">
        <v>52</v>
      </c>
      <c r="X8100" s="339"/>
    </row>
    <row r="8101" s="330" customFormat="1" ht="15" customHeight="1" spans="1:24">
      <c r="A8101" s="550" t="s">
        <v>17318</v>
      </c>
      <c r="B8101" s="334" t="s">
        <v>73</v>
      </c>
      <c r="C8101" s="348" t="s">
        <v>74</v>
      </c>
      <c r="D8101" s="334" t="s">
        <v>75</v>
      </c>
      <c r="E8101" s="336">
        <v>43797</v>
      </c>
      <c r="F8101" s="336">
        <v>43780</v>
      </c>
      <c r="G8101" s="336">
        <v>43797</v>
      </c>
      <c r="H8101" s="334" t="s">
        <v>17319</v>
      </c>
      <c r="I8101" s="444">
        <v>13818812617</v>
      </c>
      <c r="J8101" s="348" t="s">
        <v>17320</v>
      </c>
      <c r="K8101" s="452">
        <v>1000</v>
      </c>
      <c r="L8101" s="334">
        <v>11357</v>
      </c>
      <c r="M8101" s="338"/>
      <c r="N8101" s="362">
        <f t="shared" si="275"/>
        <v>11357</v>
      </c>
      <c r="O8101" s="366" t="s">
        <v>52</v>
      </c>
      <c r="X8101" s="339"/>
    </row>
    <row r="8102" s="330" customFormat="1" ht="15" customHeight="1" spans="1:24">
      <c r="A8102" s="550" t="s">
        <v>17321</v>
      </c>
      <c r="B8102" s="334" t="s">
        <v>66</v>
      </c>
      <c r="C8102" s="348" t="s">
        <v>1749</v>
      </c>
      <c r="D8102" s="334" t="s">
        <v>1436</v>
      </c>
      <c r="E8102" s="336">
        <v>43782</v>
      </c>
      <c r="F8102" s="336">
        <v>43778</v>
      </c>
      <c r="G8102" s="336">
        <v>43779</v>
      </c>
      <c r="H8102" s="334" t="s">
        <v>17322</v>
      </c>
      <c r="I8102" s="444">
        <v>13795245392</v>
      </c>
      <c r="J8102" s="348" t="s">
        <v>17323</v>
      </c>
      <c r="K8102" s="452">
        <v>7900</v>
      </c>
      <c r="L8102" s="334">
        <v>7900</v>
      </c>
      <c r="M8102" s="338"/>
      <c r="N8102" s="362">
        <f t="shared" si="275"/>
        <v>7900</v>
      </c>
      <c r="X8102" s="339"/>
    </row>
    <row r="8103" s="330" customFormat="1" ht="15" customHeight="1" spans="1:24">
      <c r="A8103" s="550" t="s">
        <v>17324</v>
      </c>
      <c r="B8103" s="334" t="s">
        <v>66</v>
      </c>
      <c r="C8103" s="348" t="s">
        <v>1749</v>
      </c>
      <c r="D8103" s="335" t="s">
        <v>68</v>
      </c>
      <c r="E8103" s="336">
        <v>43798</v>
      </c>
      <c r="F8103" s="336">
        <v>43780</v>
      </c>
      <c r="G8103" s="336">
        <v>43797</v>
      </c>
      <c r="H8103" s="334" t="s">
        <v>17325</v>
      </c>
      <c r="I8103" s="444">
        <v>13817671059</v>
      </c>
      <c r="J8103" s="348" t="s">
        <v>17326</v>
      </c>
      <c r="K8103" s="452">
        <v>10000</v>
      </c>
      <c r="L8103" s="334">
        <v>10000</v>
      </c>
      <c r="M8103" s="338"/>
      <c r="N8103" s="362">
        <f t="shared" si="275"/>
        <v>10000</v>
      </c>
      <c r="R8103" s="330" t="s">
        <v>52</v>
      </c>
      <c r="X8103" s="339"/>
    </row>
    <row r="8104" s="330" customFormat="1" ht="15" customHeight="1" spans="1:24">
      <c r="A8104" s="550" t="s">
        <v>8869</v>
      </c>
      <c r="B8104" s="334" t="s">
        <v>66</v>
      </c>
      <c r="C8104" s="348" t="s">
        <v>1749</v>
      </c>
      <c r="D8104" s="335" t="s">
        <v>68</v>
      </c>
      <c r="E8104" s="336">
        <v>43798</v>
      </c>
      <c r="F8104" s="336">
        <v>43780</v>
      </c>
      <c r="G8104" s="336">
        <v>43797</v>
      </c>
      <c r="H8104" s="334" t="s">
        <v>2236</v>
      </c>
      <c r="I8104" s="555" t="s">
        <v>17327</v>
      </c>
      <c r="J8104" s="348" t="s">
        <v>17328</v>
      </c>
      <c r="K8104" s="452">
        <v>10000</v>
      </c>
      <c r="L8104" s="334">
        <v>10000</v>
      </c>
      <c r="M8104" s="338"/>
      <c r="N8104" s="362">
        <f t="shared" si="275"/>
        <v>10000</v>
      </c>
      <c r="R8104" s="330" t="s">
        <v>52</v>
      </c>
      <c r="X8104" s="339"/>
    </row>
    <row r="8105" s="330" customFormat="1" ht="15" customHeight="1" spans="1:24">
      <c r="A8105" s="348">
        <v>2024273</v>
      </c>
      <c r="B8105" s="334" t="s">
        <v>335</v>
      </c>
      <c r="C8105" s="348" t="s">
        <v>615</v>
      </c>
      <c r="D8105" s="334" t="s">
        <v>44</v>
      </c>
      <c r="E8105" s="336">
        <v>43781</v>
      </c>
      <c r="F8105" s="336">
        <v>43778</v>
      </c>
      <c r="G8105" s="399">
        <v>43778</v>
      </c>
      <c r="H8105" s="334" t="s">
        <v>17329</v>
      </c>
      <c r="I8105" s="444">
        <v>13852867804</v>
      </c>
      <c r="J8105" s="348" t="s">
        <v>17330</v>
      </c>
      <c r="K8105" s="452">
        <v>10986</v>
      </c>
      <c r="L8105" s="452">
        <v>10986</v>
      </c>
      <c r="M8105" s="338"/>
      <c r="N8105" s="362">
        <f t="shared" si="275"/>
        <v>10986</v>
      </c>
      <c r="X8105" s="339"/>
    </row>
    <row r="8106" s="330" customFormat="1" ht="15" customHeight="1" spans="1:24">
      <c r="A8106" s="348">
        <v>2018306</v>
      </c>
      <c r="B8106" s="334" t="s">
        <v>315</v>
      </c>
      <c r="C8106" s="348" t="s">
        <v>161</v>
      </c>
      <c r="D8106" s="335" t="s">
        <v>162</v>
      </c>
      <c r="E8106" s="336">
        <v>43832</v>
      </c>
      <c r="F8106" s="336">
        <v>43749</v>
      </c>
      <c r="G8106" s="336">
        <v>43832</v>
      </c>
      <c r="H8106" s="425" t="s">
        <v>17331</v>
      </c>
      <c r="I8106" s="444">
        <v>15921222290</v>
      </c>
      <c r="J8106" s="348" t="s">
        <v>17332</v>
      </c>
      <c r="K8106" s="452">
        <v>1000</v>
      </c>
      <c r="L8106" s="334">
        <v>4581</v>
      </c>
      <c r="M8106" s="338"/>
      <c r="N8106" s="362">
        <f t="shared" si="275"/>
        <v>4581</v>
      </c>
      <c r="O8106" s="330">
        <v>1</v>
      </c>
      <c r="X8106" s="339"/>
    </row>
    <row r="8107" s="330" customFormat="1" ht="15" customHeight="1" spans="1:24">
      <c r="A8107" s="550" t="s">
        <v>15339</v>
      </c>
      <c r="B8107" s="334" t="s">
        <v>153</v>
      </c>
      <c r="C8107" s="334" t="s">
        <v>154</v>
      </c>
      <c r="D8107" s="334" t="s">
        <v>155</v>
      </c>
      <c r="E8107" s="336">
        <v>43781</v>
      </c>
      <c r="F8107" s="336">
        <v>43780</v>
      </c>
      <c r="G8107" s="399">
        <v>43780</v>
      </c>
      <c r="H8107" s="334" t="s">
        <v>17333</v>
      </c>
      <c r="I8107" s="444">
        <v>13917692309</v>
      </c>
      <c r="J8107" s="348" t="s">
        <v>17334</v>
      </c>
      <c r="K8107" s="452">
        <v>1899</v>
      </c>
      <c r="L8107" s="334">
        <v>4000</v>
      </c>
      <c r="M8107" s="338"/>
      <c r="N8107" s="362">
        <f t="shared" si="275"/>
        <v>4000</v>
      </c>
      <c r="X8107" s="339"/>
    </row>
    <row r="8108" s="330" customFormat="1" ht="15" customHeight="1" spans="1:24">
      <c r="A8108" s="550" t="s">
        <v>4170</v>
      </c>
      <c r="B8108" s="334" t="s">
        <v>87</v>
      </c>
      <c r="C8108" s="348" t="s">
        <v>199</v>
      </c>
      <c r="D8108" s="334" t="s">
        <v>8334</v>
      </c>
      <c r="E8108" s="336">
        <v>43781</v>
      </c>
      <c r="F8108" s="336">
        <v>43780</v>
      </c>
      <c r="G8108" s="399">
        <v>43780</v>
      </c>
      <c r="H8108" s="334" t="s">
        <v>17335</v>
      </c>
      <c r="I8108" s="334">
        <v>18116016891</v>
      </c>
      <c r="J8108" s="348" t="s">
        <v>17336</v>
      </c>
      <c r="K8108" s="452">
        <v>16000</v>
      </c>
      <c r="L8108" s="334">
        <v>16000</v>
      </c>
      <c r="M8108" s="338"/>
      <c r="N8108" s="362">
        <f t="shared" si="275"/>
        <v>16000</v>
      </c>
      <c r="X8108" s="339"/>
    </row>
    <row r="8109" s="330" customFormat="1" ht="15" customHeight="1" spans="1:24">
      <c r="A8109" s="550" t="s">
        <v>17337</v>
      </c>
      <c r="B8109" s="334" t="s">
        <v>335</v>
      </c>
      <c r="C8109" s="348" t="s">
        <v>399</v>
      </c>
      <c r="D8109" s="335" t="s">
        <v>337</v>
      </c>
      <c r="E8109" s="336">
        <v>43781</v>
      </c>
      <c r="F8109" s="336">
        <v>43780</v>
      </c>
      <c r="G8109" s="399"/>
      <c r="H8109" s="334" t="s">
        <v>17338</v>
      </c>
      <c r="I8109" s="444">
        <v>13561289145</v>
      </c>
      <c r="J8109" s="348" t="s">
        <v>17339</v>
      </c>
      <c r="K8109" s="452">
        <v>1000</v>
      </c>
      <c r="L8109" s="338"/>
      <c r="M8109" s="338"/>
      <c r="N8109" s="362">
        <f t="shared" si="275"/>
        <v>0</v>
      </c>
      <c r="O8109" s="353" t="s">
        <v>17340</v>
      </c>
      <c r="X8109" s="339"/>
    </row>
    <row r="8110" s="330" customFormat="1" ht="15" customHeight="1" spans="1:24">
      <c r="A8110" s="550" t="s">
        <v>1707</v>
      </c>
      <c r="B8110" s="334" t="s">
        <v>335</v>
      </c>
      <c r="C8110" s="348" t="s">
        <v>399</v>
      </c>
      <c r="D8110" s="335" t="s">
        <v>337</v>
      </c>
      <c r="E8110" s="336">
        <v>43781</v>
      </c>
      <c r="F8110" s="336">
        <v>43780</v>
      </c>
      <c r="G8110" s="399"/>
      <c r="H8110" s="334" t="s">
        <v>17341</v>
      </c>
      <c r="I8110" s="444">
        <v>18917194505</v>
      </c>
      <c r="J8110" s="348" t="s">
        <v>17342</v>
      </c>
      <c r="K8110" s="452">
        <v>1000</v>
      </c>
      <c r="L8110" s="338"/>
      <c r="M8110" s="338"/>
      <c r="N8110" s="362">
        <f t="shared" si="275"/>
        <v>0</v>
      </c>
      <c r="O8110" s="353" t="s">
        <v>17340</v>
      </c>
      <c r="X8110" s="339"/>
    </row>
    <row r="8111" s="330" customFormat="1" ht="15" customHeight="1" spans="1:24">
      <c r="A8111" s="550" t="s">
        <v>17343</v>
      </c>
      <c r="B8111" s="334" t="s">
        <v>335</v>
      </c>
      <c r="C8111" s="348" t="s">
        <v>399</v>
      </c>
      <c r="D8111" s="335" t="s">
        <v>337</v>
      </c>
      <c r="E8111" s="336">
        <v>43781</v>
      </c>
      <c r="F8111" s="336">
        <v>43780</v>
      </c>
      <c r="G8111" s="399"/>
      <c r="H8111" s="334" t="s">
        <v>17344</v>
      </c>
      <c r="I8111" s="444">
        <v>13989679022</v>
      </c>
      <c r="J8111" s="348" t="s">
        <v>17345</v>
      </c>
      <c r="K8111" s="452">
        <v>1000</v>
      </c>
      <c r="L8111" s="338"/>
      <c r="M8111" s="338"/>
      <c r="N8111" s="362">
        <f t="shared" si="275"/>
        <v>0</v>
      </c>
      <c r="O8111" s="353" t="s">
        <v>17340</v>
      </c>
      <c r="X8111" s="339"/>
    </row>
    <row r="8112" s="330" customFormat="1" ht="15" customHeight="1" spans="1:24">
      <c r="A8112" s="348"/>
      <c r="B8112" s="334" t="s">
        <v>335</v>
      </c>
      <c r="C8112" s="348" t="s">
        <v>399</v>
      </c>
      <c r="D8112" s="335" t="s">
        <v>337</v>
      </c>
      <c r="E8112" s="336">
        <v>43781</v>
      </c>
      <c r="F8112" s="336">
        <v>43780</v>
      </c>
      <c r="G8112" s="399"/>
      <c r="H8112" s="334" t="s">
        <v>10922</v>
      </c>
      <c r="I8112" s="444">
        <v>15921911565</v>
      </c>
      <c r="J8112" s="348" t="s">
        <v>17346</v>
      </c>
      <c r="K8112" s="452">
        <v>1000</v>
      </c>
      <c r="L8112" s="338"/>
      <c r="M8112" s="338"/>
      <c r="N8112" s="362">
        <f t="shared" ref="N8112:N8175" si="276">L8112+M8112</f>
        <v>0</v>
      </c>
      <c r="O8112" s="353" t="s">
        <v>17340</v>
      </c>
      <c r="X8112" s="339"/>
    </row>
    <row r="8113" s="330" customFormat="1" ht="15" customHeight="1" spans="1:24">
      <c r="A8113" s="550" t="s">
        <v>12154</v>
      </c>
      <c r="B8113" s="334" t="s">
        <v>335</v>
      </c>
      <c r="C8113" s="348" t="s">
        <v>399</v>
      </c>
      <c r="D8113" s="335" t="s">
        <v>337</v>
      </c>
      <c r="E8113" s="336">
        <v>43781</v>
      </c>
      <c r="F8113" s="336">
        <v>43780</v>
      </c>
      <c r="G8113" s="399"/>
      <c r="H8113" s="334" t="s">
        <v>17347</v>
      </c>
      <c r="I8113" s="444">
        <v>13061614978</v>
      </c>
      <c r="J8113" s="452" t="s">
        <v>17348</v>
      </c>
      <c r="K8113" s="450">
        <v>1000</v>
      </c>
      <c r="L8113" s="338"/>
      <c r="M8113" s="338"/>
      <c r="N8113" s="362">
        <f t="shared" si="276"/>
        <v>0</v>
      </c>
      <c r="O8113" s="353" t="s">
        <v>17340</v>
      </c>
      <c r="X8113" s="339"/>
    </row>
    <row r="8114" s="330" customFormat="1" ht="15" customHeight="1" spans="1:24">
      <c r="A8114" s="550" t="s">
        <v>2465</v>
      </c>
      <c r="B8114" s="334" t="s">
        <v>31</v>
      </c>
      <c r="C8114" s="348" t="s">
        <v>419</v>
      </c>
      <c r="D8114" s="334" t="s">
        <v>33</v>
      </c>
      <c r="E8114" s="336">
        <v>43814</v>
      </c>
      <c r="F8114" s="336">
        <v>43780</v>
      </c>
      <c r="G8114" s="336">
        <v>43814</v>
      </c>
      <c r="H8114" s="334" t="s">
        <v>17349</v>
      </c>
      <c r="I8114" s="444">
        <v>13764835219</v>
      </c>
      <c r="J8114" s="348" t="s">
        <v>17350</v>
      </c>
      <c r="K8114" s="452">
        <v>1680</v>
      </c>
      <c r="L8114" s="334">
        <v>2019</v>
      </c>
      <c r="M8114" s="338"/>
      <c r="N8114" s="362">
        <f t="shared" si="276"/>
        <v>2019</v>
      </c>
      <c r="X8114" s="339"/>
    </row>
    <row r="8115" s="330" customFormat="1" ht="15" customHeight="1" spans="1:24">
      <c r="A8115" s="550" t="s">
        <v>17351</v>
      </c>
      <c r="B8115" s="334" t="s">
        <v>58</v>
      </c>
      <c r="C8115" s="348" t="s">
        <v>794</v>
      </c>
      <c r="D8115" s="335" t="s">
        <v>110</v>
      </c>
      <c r="E8115" s="336">
        <v>43781</v>
      </c>
      <c r="F8115" s="336">
        <v>43780</v>
      </c>
      <c r="G8115" s="399"/>
      <c r="H8115" s="334" t="s">
        <v>17352</v>
      </c>
      <c r="I8115" s="444">
        <v>13764504562</v>
      </c>
      <c r="J8115" s="348" t="s">
        <v>17353</v>
      </c>
      <c r="K8115" s="452">
        <v>4596</v>
      </c>
      <c r="L8115" s="338"/>
      <c r="M8115" s="338"/>
      <c r="N8115" s="362">
        <f t="shared" si="276"/>
        <v>0</v>
      </c>
      <c r="O8115" s="365" t="s">
        <v>52</v>
      </c>
      <c r="U8115" s="471">
        <v>43809</v>
      </c>
      <c r="X8115" s="339"/>
    </row>
    <row r="8116" s="330" customFormat="1" ht="15" customHeight="1" spans="1:24">
      <c r="A8116" s="550" t="s">
        <v>8543</v>
      </c>
      <c r="B8116" s="334" t="s">
        <v>73</v>
      </c>
      <c r="C8116" s="348" t="s">
        <v>74</v>
      </c>
      <c r="D8116" s="334" t="s">
        <v>44</v>
      </c>
      <c r="E8116" s="336">
        <v>43798</v>
      </c>
      <c r="F8116" s="336">
        <v>43781</v>
      </c>
      <c r="G8116" s="336">
        <v>43798</v>
      </c>
      <c r="H8116" s="334" t="s">
        <v>17354</v>
      </c>
      <c r="I8116" s="444">
        <v>13701876182</v>
      </c>
      <c r="J8116" s="348" t="s">
        <v>17355</v>
      </c>
      <c r="K8116" s="452">
        <v>1000</v>
      </c>
      <c r="L8116" s="334">
        <v>11750</v>
      </c>
      <c r="M8116" s="338"/>
      <c r="N8116" s="362">
        <f t="shared" si="276"/>
        <v>11750</v>
      </c>
      <c r="O8116" s="366" t="s">
        <v>52</v>
      </c>
      <c r="X8116" s="339"/>
    </row>
    <row r="8117" s="330" customFormat="1" ht="15" customHeight="1" spans="1:24">
      <c r="A8117" s="550" t="s">
        <v>9158</v>
      </c>
      <c r="B8117" s="334" t="s">
        <v>73</v>
      </c>
      <c r="C8117" s="348" t="s">
        <v>178</v>
      </c>
      <c r="D8117" s="334" t="s">
        <v>132</v>
      </c>
      <c r="E8117" s="336">
        <v>43799</v>
      </c>
      <c r="F8117" s="336">
        <v>43781</v>
      </c>
      <c r="G8117" s="336">
        <v>43799</v>
      </c>
      <c r="H8117" s="334" t="s">
        <v>17356</v>
      </c>
      <c r="I8117" s="444">
        <v>13817372652</v>
      </c>
      <c r="J8117" s="348" t="s">
        <v>17357</v>
      </c>
      <c r="K8117" s="452">
        <v>1000</v>
      </c>
      <c r="L8117" s="334">
        <v>18948</v>
      </c>
      <c r="M8117" s="338"/>
      <c r="N8117" s="362">
        <f t="shared" si="276"/>
        <v>18948</v>
      </c>
      <c r="O8117" s="366" t="s">
        <v>52</v>
      </c>
      <c r="X8117" s="339"/>
    </row>
    <row r="8118" s="330" customFormat="1" ht="15" customHeight="1" spans="1:24">
      <c r="A8118" s="550" t="s">
        <v>17358</v>
      </c>
      <c r="B8118" s="334" t="s">
        <v>123</v>
      </c>
      <c r="C8118" s="348" t="s">
        <v>32</v>
      </c>
      <c r="D8118" s="335" t="s">
        <v>125</v>
      </c>
      <c r="E8118" s="336">
        <v>43785</v>
      </c>
      <c r="F8118" s="336">
        <v>43781</v>
      </c>
      <c r="G8118" s="336">
        <v>43784</v>
      </c>
      <c r="H8118" s="334" t="s">
        <v>17359</v>
      </c>
      <c r="I8118" s="444">
        <v>13816721707</v>
      </c>
      <c r="J8118" s="348" t="s">
        <v>17360</v>
      </c>
      <c r="K8118" s="452">
        <v>2798</v>
      </c>
      <c r="L8118" s="334">
        <v>4008</v>
      </c>
      <c r="M8118" s="338"/>
      <c r="N8118" s="362">
        <f t="shared" si="276"/>
        <v>4008</v>
      </c>
      <c r="X8118" s="339"/>
    </row>
    <row r="8119" s="330" customFormat="1" ht="15" customHeight="1" spans="1:24">
      <c r="A8119" s="348"/>
      <c r="B8119" s="334" t="s">
        <v>2625</v>
      </c>
      <c r="C8119" s="348" t="s">
        <v>2626</v>
      </c>
      <c r="D8119" s="334" t="s">
        <v>337</v>
      </c>
      <c r="E8119" s="336">
        <v>43793</v>
      </c>
      <c r="F8119" s="336">
        <v>43779</v>
      </c>
      <c r="G8119" s="336">
        <v>43792</v>
      </c>
      <c r="H8119" s="334" t="s">
        <v>17361</v>
      </c>
      <c r="I8119" s="444">
        <v>13917635612</v>
      </c>
      <c r="J8119" s="348" t="s">
        <v>17362</v>
      </c>
      <c r="K8119" s="452">
        <v>3000</v>
      </c>
      <c r="L8119" s="334">
        <v>18000</v>
      </c>
      <c r="M8119" s="338"/>
      <c r="N8119" s="362">
        <f t="shared" si="276"/>
        <v>18000</v>
      </c>
      <c r="R8119" s="477" t="s">
        <v>4631</v>
      </c>
      <c r="X8119" s="339"/>
    </row>
    <row r="8120" s="330" customFormat="1" ht="15" customHeight="1" spans="1:24">
      <c r="A8120" s="550" t="s">
        <v>16720</v>
      </c>
      <c r="B8120" s="334" t="s">
        <v>137</v>
      </c>
      <c r="C8120" s="348" t="s">
        <v>480</v>
      </c>
      <c r="D8120" s="334" t="s">
        <v>2381</v>
      </c>
      <c r="E8120" s="336">
        <v>43822</v>
      </c>
      <c r="F8120" s="336">
        <v>43781</v>
      </c>
      <c r="G8120" s="336">
        <v>43821</v>
      </c>
      <c r="H8120" s="334" t="s">
        <v>14232</v>
      </c>
      <c r="I8120" s="444">
        <v>13917540195</v>
      </c>
      <c r="J8120" s="348" t="s">
        <v>17363</v>
      </c>
      <c r="K8120" s="452">
        <v>1998</v>
      </c>
      <c r="L8120" s="334">
        <v>7537</v>
      </c>
      <c r="M8120" s="338"/>
      <c r="N8120" s="362">
        <f t="shared" si="276"/>
        <v>7537</v>
      </c>
      <c r="R8120" s="330">
        <v>1</v>
      </c>
      <c r="X8120" s="339"/>
    </row>
    <row r="8121" s="330" customFormat="1" ht="15" customHeight="1" spans="1:24">
      <c r="A8121" s="550" t="s">
        <v>17364</v>
      </c>
      <c r="B8121" s="334" t="s">
        <v>2625</v>
      </c>
      <c r="C8121" s="348" t="s">
        <v>2626</v>
      </c>
      <c r="D8121" s="334" t="s">
        <v>337</v>
      </c>
      <c r="E8121" s="336">
        <v>43782</v>
      </c>
      <c r="F8121" s="336">
        <v>43780</v>
      </c>
      <c r="G8121" s="336">
        <v>43781</v>
      </c>
      <c r="H8121" s="334" t="s">
        <v>17365</v>
      </c>
      <c r="I8121" s="444">
        <v>13717178741</v>
      </c>
      <c r="J8121" s="348" t="s">
        <v>17366</v>
      </c>
      <c r="K8121" s="452">
        <v>1000</v>
      </c>
      <c r="L8121" s="334">
        <v>3779</v>
      </c>
      <c r="M8121" s="338"/>
      <c r="N8121" s="362">
        <f t="shared" si="276"/>
        <v>3779</v>
      </c>
      <c r="X8121" s="339"/>
    </row>
    <row r="8122" s="330" customFormat="1" ht="15" customHeight="1" spans="1:24">
      <c r="A8122" s="550" t="s">
        <v>17367</v>
      </c>
      <c r="B8122" s="334" t="s">
        <v>2625</v>
      </c>
      <c r="C8122" s="348" t="s">
        <v>2626</v>
      </c>
      <c r="D8122" s="335" t="s">
        <v>44</v>
      </c>
      <c r="E8122" s="336">
        <v>43781</v>
      </c>
      <c r="F8122" s="336">
        <v>43781</v>
      </c>
      <c r="G8122" s="399"/>
      <c r="H8122" s="334" t="s">
        <v>17368</v>
      </c>
      <c r="I8122" s="444">
        <v>13801701495</v>
      </c>
      <c r="J8122" s="348" t="s">
        <v>17369</v>
      </c>
      <c r="K8122" s="452">
        <v>1000</v>
      </c>
      <c r="L8122" s="338"/>
      <c r="M8122" s="338"/>
      <c r="N8122" s="362">
        <f t="shared" si="276"/>
        <v>0</v>
      </c>
      <c r="O8122" s="330" t="s">
        <v>19</v>
      </c>
      <c r="X8122" s="339"/>
    </row>
    <row r="8123" s="330" customFormat="1" ht="15" customHeight="1" spans="1:24">
      <c r="A8123" s="348" t="s">
        <v>13074</v>
      </c>
      <c r="B8123" s="334" t="s">
        <v>137</v>
      </c>
      <c r="C8123" s="348" t="s">
        <v>138</v>
      </c>
      <c r="D8123" s="334" t="s">
        <v>443</v>
      </c>
      <c r="E8123" s="336">
        <v>43799</v>
      </c>
      <c r="F8123" s="336">
        <v>43780</v>
      </c>
      <c r="G8123" s="336">
        <v>43799</v>
      </c>
      <c r="H8123" s="334" t="s">
        <v>2198</v>
      </c>
      <c r="I8123" s="444">
        <v>13816782797</v>
      </c>
      <c r="J8123" s="348" t="s">
        <v>17370</v>
      </c>
      <c r="K8123" s="452">
        <v>5601</v>
      </c>
      <c r="L8123" s="334">
        <v>5781</v>
      </c>
      <c r="M8123" s="338"/>
      <c r="N8123" s="362">
        <f t="shared" si="276"/>
        <v>5781</v>
      </c>
      <c r="P8123" s="330">
        <v>1</v>
      </c>
      <c r="X8123" s="339"/>
    </row>
    <row r="8124" s="330" customFormat="1" ht="15" customHeight="1" spans="1:24">
      <c r="A8124" s="348" t="s">
        <v>13074</v>
      </c>
      <c r="B8124" s="334" t="s">
        <v>137</v>
      </c>
      <c r="C8124" s="348" t="s">
        <v>138</v>
      </c>
      <c r="D8124" s="335" t="s">
        <v>139</v>
      </c>
      <c r="E8124" s="336">
        <v>43781</v>
      </c>
      <c r="F8124" s="336">
        <v>43780</v>
      </c>
      <c r="G8124" s="399"/>
      <c r="H8124" s="334" t="s">
        <v>17371</v>
      </c>
      <c r="I8124" s="444">
        <v>18001756100</v>
      </c>
      <c r="J8124" s="348" t="s">
        <v>17372</v>
      </c>
      <c r="K8124" s="452">
        <v>4660</v>
      </c>
      <c r="L8124" s="338"/>
      <c r="M8124" s="338"/>
      <c r="N8124" s="362">
        <f t="shared" si="276"/>
        <v>0</v>
      </c>
      <c r="Q8124" s="330">
        <v>1</v>
      </c>
      <c r="U8124" s="353" t="s">
        <v>889</v>
      </c>
      <c r="X8124" s="339"/>
    </row>
    <row r="8125" s="330" customFormat="1" ht="15" customHeight="1" spans="1:24">
      <c r="A8125" s="348" t="s">
        <v>13074</v>
      </c>
      <c r="B8125" s="334" t="s">
        <v>137</v>
      </c>
      <c r="C8125" s="348" t="s">
        <v>138</v>
      </c>
      <c r="D8125" s="334" t="s">
        <v>2381</v>
      </c>
      <c r="E8125" s="336">
        <v>43821</v>
      </c>
      <c r="F8125" s="336">
        <v>43780</v>
      </c>
      <c r="G8125" s="336">
        <v>43820</v>
      </c>
      <c r="H8125" s="334" t="s">
        <v>17373</v>
      </c>
      <c r="I8125" s="444">
        <v>13564487708</v>
      </c>
      <c r="J8125" s="348" t="s">
        <v>17374</v>
      </c>
      <c r="K8125" s="452">
        <v>3999</v>
      </c>
      <c r="L8125" s="334">
        <v>6407</v>
      </c>
      <c r="M8125" s="338"/>
      <c r="N8125" s="362">
        <f t="shared" si="276"/>
        <v>6407</v>
      </c>
      <c r="Q8125" s="330">
        <v>1</v>
      </c>
      <c r="X8125" s="339"/>
    </row>
    <row r="8126" s="330" customFormat="1" ht="15" customHeight="1" spans="1:24">
      <c r="A8126" s="550" t="s">
        <v>16288</v>
      </c>
      <c r="B8126" s="334" t="s">
        <v>153</v>
      </c>
      <c r="C8126" s="348" t="s">
        <v>302</v>
      </c>
      <c r="D8126" s="335" t="s">
        <v>155</v>
      </c>
      <c r="E8126" s="336">
        <v>43799</v>
      </c>
      <c r="F8126" s="336">
        <v>43780</v>
      </c>
      <c r="G8126" s="336">
        <v>43799</v>
      </c>
      <c r="H8126" s="334" t="s">
        <v>17375</v>
      </c>
      <c r="I8126" s="444">
        <v>17898818762</v>
      </c>
      <c r="J8126" s="348" t="s">
        <v>17376</v>
      </c>
      <c r="K8126" s="452">
        <v>6895</v>
      </c>
      <c r="L8126" s="334">
        <v>6895</v>
      </c>
      <c r="M8126" s="338"/>
      <c r="N8126" s="362">
        <f t="shared" si="276"/>
        <v>6895</v>
      </c>
      <c r="X8126" s="339"/>
    </row>
    <row r="8127" s="330" customFormat="1" ht="15" customHeight="1" spans="1:24">
      <c r="A8127" s="348">
        <v>2021818</v>
      </c>
      <c r="B8127" s="334" t="s">
        <v>35</v>
      </c>
      <c r="C8127" s="348" t="s">
        <v>36</v>
      </c>
      <c r="D8127" s="335" t="s">
        <v>37</v>
      </c>
      <c r="E8127" s="336">
        <v>43781</v>
      </c>
      <c r="F8127" s="336">
        <v>43780</v>
      </c>
      <c r="G8127" s="399"/>
      <c r="H8127" s="334" t="s">
        <v>8460</v>
      </c>
      <c r="I8127" s="444">
        <v>15800344556</v>
      </c>
      <c r="J8127" s="348" t="s">
        <v>17377</v>
      </c>
      <c r="K8127" s="452">
        <v>4197</v>
      </c>
      <c r="L8127" s="338"/>
      <c r="M8127" s="338"/>
      <c r="N8127" s="362">
        <f t="shared" si="276"/>
        <v>0</v>
      </c>
      <c r="O8127" s="356" t="s">
        <v>52</v>
      </c>
      <c r="P8127" s="356"/>
      <c r="X8127" s="339"/>
    </row>
    <row r="8128" s="330" customFormat="1" ht="15" customHeight="1" spans="1:24">
      <c r="A8128" s="550" t="s">
        <v>17378</v>
      </c>
      <c r="B8128" s="334" t="s">
        <v>315</v>
      </c>
      <c r="C8128" s="348" t="s">
        <v>181</v>
      </c>
      <c r="D8128" s="335" t="s">
        <v>182</v>
      </c>
      <c r="E8128" s="336">
        <v>43781</v>
      </c>
      <c r="F8128" s="336">
        <v>43780</v>
      </c>
      <c r="G8128" s="399"/>
      <c r="H8128" s="334" t="s">
        <v>17379</v>
      </c>
      <c r="I8128" s="444">
        <v>18930145862</v>
      </c>
      <c r="J8128" s="348" t="s">
        <v>17380</v>
      </c>
      <c r="K8128" s="452">
        <v>1399</v>
      </c>
      <c r="L8128" s="338"/>
      <c r="M8128" s="338"/>
      <c r="N8128" s="362">
        <f t="shared" si="276"/>
        <v>0</v>
      </c>
      <c r="S8128" s="330">
        <v>1</v>
      </c>
      <c r="X8128" s="339"/>
    </row>
    <row r="8129" s="330" customFormat="1" ht="15" customHeight="1" spans="1:24">
      <c r="A8129" s="550" t="s">
        <v>17381</v>
      </c>
      <c r="B8129" s="334" t="s">
        <v>315</v>
      </c>
      <c r="C8129" s="348" t="s">
        <v>161</v>
      </c>
      <c r="D8129" s="335" t="s">
        <v>162</v>
      </c>
      <c r="E8129" s="336">
        <v>43786</v>
      </c>
      <c r="F8129" s="336">
        <v>43780</v>
      </c>
      <c r="G8129" s="336">
        <v>43785</v>
      </c>
      <c r="H8129" s="334" t="s">
        <v>17382</v>
      </c>
      <c r="I8129" s="444">
        <v>13816095649</v>
      </c>
      <c r="J8129" s="348" t="s">
        <v>17383</v>
      </c>
      <c r="K8129" s="452">
        <v>7297</v>
      </c>
      <c r="L8129" s="334">
        <v>15049</v>
      </c>
      <c r="M8129" s="338"/>
      <c r="N8129" s="362">
        <f t="shared" si="276"/>
        <v>15049</v>
      </c>
      <c r="X8129" s="339"/>
    </row>
    <row r="8130" s="330" customFormat="1" ht="15" customHeight="1" spans="1:24">
      <c r="A8130" s="550" t="s">
        <v>17384</v>
      </c>
      <c r="B8130" s="334" t="s">
        <v>147</v>
      </c>
      <c r="C8130" s="348" t="s">
        <v>15901</v>
      </c>
      <c r="D8130" s="335" t="s">
        <v>149</v>
      </c>
      <c r="E8130" s="336">
        <v>43781</v>
      </c>
      <c r="F8130" s="336">
        <v>43780</v>
      </c>
      <c r="G8130" s="399"/>
      <c r="H8130" s="334" t="s">
        <v>3152</v>
      </c>
      <c r="I8130" s="444">
        <v>13661502625</v>
      </c>
      <c r="J8130" s="348" t="s">
        <v>17385</v>
      </c>
      <c r="K8130" s="452">
        <v>1000</v>
      </c>
      <c r="L8130" s="338"/>
      <c r="M8130" s="338"/>
      <c r="N8130" s="362">
        <f t="shared" si="276"/>
        <v>0</v>
      </c>
      <c r="X8130" s="339"/>
    </row>
    <row r="8131" s="330" customFormat="1" ht="15" customHeight="1" spans="1:24">
      <c r="A8131" s="550" t="s">
        <v>5165</v>
      </c>
      <c r="B8131" s="334" t="s">
        <v>123</v>
      </c>
      <c r="C8131" s="348" t="s">
        <v>32</v>
      </c>
      <c r="D8131" s="335" t="s">
        <v>125</v>
      </c>
      <c r="E8131" s="336">
        <v>43789</v>
      </c>
      <c r="F8131" s="336">
        <v>43780</v>
      </c>
      <c r="G8131" s="336">
        <v>43789</v>
      </c>
      <c r="H8131" s="334" t="s">
        <v>17386</v>
      </c>
      <c r="I8131" s="444">
        <v>18018695292</v>
      </c>
      <c r="J8131" s="348" t="s">
        <v>17387</v>
      </c>
      <c r="K8131" s="452">
        <v>3599</v>
      </c>
      <c r="L8131" s="334">
        <v>4441</v>
      </c>
      <c r="M8131" s="338"/>
      <c r="N8131" s="362">
        <f t="shared" si="276"/>
        <v>4441</v>
      </c>
      <c r="X8131" s="339"/>
    </row>
    <row r="8132" s="330" customFormat="1" ht="15" customHeight="1" spans="1:24">
      <c r="A8132" s="550" t="s">
        <v>17388</v>
      </c>
      <c r="B8132" s="334" t="s">
        <v>123</v>
      </c>
      <c r="C8132" s="348" t="s">
        <v>32</v>
      </c>
      <c r="D8132" s="335" t="s">
        <v>125</v>
      </c>
      <c r="E8132" s="336">
        <v>43833</v>
      </c>
      <c r="F8132" s="336">
        <v>43780</v>
      </c>
      <c r="G8132" s="336">
        <v>43832</v>
      </c>
      <c r="H8132" s="334" t="s">
        <v>17389</v>
      </c>
      <c r="I8132" s="444">
        <v>13817381192</v>
      </c>
      <c r="J8132" s="348" t="s">
        <v>17390</v>
      </c>
      <c r="K8132" s="452">
        <v>1000</v>
      </c>
      <c r="L8132" s="334">
        <v>6100</v>
      </c>
      <c r="M8132" s="338"/>
      <c r="N8132" s="362">
        <f t="shared" si="276"/>
        <v>6100</v>
      </c>
      <c r="R8132" s="486" t="s">
        <v>52</v>
      </c>
      <c r="V8132" s="353" t="s">
        <v>98</v>
      </c>
      <c r="X8132" s="339"/>
    </row>
    <row r="8133" s="330" customFormat="1" ht="15" customHeight="1" spans="1:24">
      <c r="A8133" s="550" t="s">
        <v>17391</v>
      </c>
      <c r="B8133" s="334" t="s">
        <v>123</v>
      </c>
      <c r="C8133" s="348" t="s">
        <v>32</v>
      </c>
      <c r="D8133" s="335" t="s">
        <v>125</v>
      </c>
      <c r="E8133" s="336">
        <v>43786</v>
      </c>
      <c r="F8133" s="336">
        <v>43780</v>
      </c>
      <c r="G8133" s="336">
        <v>43785</v>
      </c>
      <c r="H8133" s="334" t="s">
        <v>17392</v>
      </c>
      <c r="I8133" s="444">
        <v>13701806474</v>
      </c>
      <c r="J8133" s="348" t="s">
        <v>17393</v>
      </c>
      <c r="K8133" s="452">
        <v>5797</v>
      </c>
      <c r="L8133" s="334">
        <v>9734</v>
      </c>
      <c r="M8133" s="338"/>
      <c r="N8133" s="362">
        <f t="shared" si="276"/>
        <v>9734</v>
      </c>
      <c r="X8133" s="339"/>
    </row>
    <row r="8134" s="330" customFormat="1" ht="15" customHeight="1" spans="1:24">
      <c r="A8134" s="550" t="s">
        <v>16111</v>
      </c>
      <c r="B8134" s="334" t="s">
        <v>315</v>
      </c>
      <c r="C8134" s="348" t="s">
        <v>181</v>
      </c>
      <c r="D8134" s="335" t="s">
        <v>182</v>
      </c>
      <c r="E8134" s="336">
        <v>43781</v>
      </c>
      <c r="F8134" s="336">
        <v>43780</v>
      </c>
      <c r="G8134" s="399"/>
      <c r="H8134" s="334" t="s">
        <v>17394</v>
      </c>
      <c r="I8134" s="444">
        <v>13918710221</v>
      </c>
      <c r="J8134" s="348" t="s">
        <v>17395</v>
      </c>
      <c r="K8134" s="452">
        <v>1399</v>
      </c>
      <c r="L8134" s="338"/>
      <c r="M8134" s="338"/>
      <c r="N8134" s="362">
        <f t="shared" si="276"/>
        <v>0</v>
      </c>
      <c r="O8134" s="330">
        <v>1</v>
      </c>
      <c r="X8134" s="339"/>
    </row>
    <row r="8135" s="330" customFormat="1" ht="15" customHeight="1" spans="1:24">
      <c r="A8135" s="550" t="s">
        <v>16905</v>
      </c>
      <c r="B8135" s="334" t="s">
        <v>315</v>
      </c>
      <c r="C8135" s="348" t="s">
        <v>181</v>
      </c>
      <c r="D8135" s="335" t="s">
        <v>1431</v>
      </c>
      <c r="E8135" s="336">
        <v>43808</v>
      </c>
      <c r="F8135" s="336">
        <v>43780</v>
      </c>
      <c r="G8135" s="336">
        <v>43807</v>
      </c>
      <c r="H8135" s="334" t="s">
        <v>17396</v>
      </c>
      <c r="I8135" s="444">
        <v>13816797340</v>
      </c>
      <c r="J8135" s="438" t="s">
        <v>17397</v>
      </c>
      <c r="K8135" s="452">
        <v>1000</v>
      </c>
      <c r="L8135" s="334">
        <v>9342</v>
      </c>
      <c r="M8135" s="338"/>
      <c r="N8135" s="362">
        <f t="shared" si="276"/>
        <v>9342</v>
      </c>
      <c r="O8135" s="330">
        <v>1</v>
      </c>
      <c r="X8135" s="339"/>
    </row>
    <row r="8136" s="330" customFormat="1" ht="15" customHeight="1" spans="1:24">
      <c r="A8136" s="550" t="s">
        <v>6503</v>
      </c>
      <c r="B8136" s="334" t="s">
        <v>185</v>
      </c>
      <c r="C8136" s="348" t="s">
        <v>43</v>
      </c>
      <c r="D8136" s="335" t="s">
        <v>44</v>
      </c>
      <c r="E8136" s="336">
        <v>43781</v>
      </c>
      <c r="F8136" s="336">
        <v>43780</v>
      </c>
      <c r="G8136" s="399"/>
      <c r="H8136" s="334" t="s">
        <v>4863</v>
      </c>
      <c r="I8136" s="444">
        <v>13957755706</v>
      </c>
      <c r="J8136" s="348" t="s">
        <v>17398</v>
      </c>
      <c r="K8136" s="452"/>
      <c r="L8136" s="338"/>
      <c r="M8136" s="338"/>
      <c r="N8136" s="362">
        <f t="shared" si="276"/>
        <v>0</v>
      </c>
      <c r="X8136" s="339"/>
    </row>
    <row r="8137" s="330" customFormat="1" ht="15" customHeight="1" spans="1:24">
      <c r="A8137" s="550" t="s">
        <v>247</v>
      </c>
      <c r="B8137" s="334" t="s">
        <v>405</v>
      </c>
      <c r="C8137" s="348" t="s">
        <v>823</v>
      </c>
      <c r="D8137" s="334" t="s">
        <v>407</v>
      </c>
      <c r="E8137" s="336">
        <v>43782</v>
      </c>
      <c r="F8137" s="336">
        <v>43780</v>
      </c>
      <c r="G8137" s="336">
        <v>43776</v>
      </c>
      <c r="H8137" s="334" t="s">
        <v>17399</v>
      </c>
      <c r="I8137" s="444">
        <v>15802177248</v>
      </c>
      <c r="J8137" s="348" t="s">
        <v>17400</v>
      </c>
      <c r="K8137" s="452">
        <v>32266</v>
      </c>
      <c r="L8137" s="334">
        <v>32266</v>
      </c>
      <c r="M8137" s="338"/>
      <c r="N8137" s="362">
        <f t="shared" si="276"/>
        <v>32266</v>
      </c>
      <c r="X8137" s="339"/>
    </row>
    <row r="8138" s="330" customFormat="1" ht="15" customHeight="1" spans="1:24">
      <c r="A8138" s="550" t="s">
        <v>17401</v>
      </c>
      <c r="B8138" s="334" t="s">
        <v>31</v>
      </c>
      <c r="C8138" s="348" t="s">
        <v>2716</v>
      </c>
      <c r="D8138" s="334" t="s">
        <v>221</v>
      </c>
      <c r="E8138" s="336">
        <v>43799</v>
      </c>
      <c r="F8138" s="336">
        <v>43780</v>
      </c>
      <c r="G8138" s="336">
        <v>43795</v>
      </c>
      <c r="H8138" s="334" t="s">
        <v>17402</v>
      </c>
      <c r="I8138" s="444">
        <v>13611859999</v>
      </c>
      <c r="J8138" s="348" t="s">
        <v>17403</v>
      </c>
      <c r="K8138" s="452">
        <v>7796</v>
      </c>
      <c r="L8138" s="334">
        <v>28801</v>
      </c>
      <c r="M8138" s="338"/>
      <c r="N8138" s="362">
        <f t="shared" si="276"/>
        <v>28801</v>
      </c>
      <c r="X8138" s="339"/>
    </row>
    <row r="8139" s="330" customFormat="1" ht="15" customHeight="1" spans="1:24">
      <c r="A8139" s="550" t="s">
        <v>17404</v>
      </c>
      <c r="B8139" s="334" t="s">
        <v>66</v>
      </c>
      <c r="C8139" s="348" t="s">
        <v>15301</v>
      </c>
      <c r="D8139" s="335" t="s">
        <v>1436</v>
      </c>
      <c r="E8139" s="336">
        <v>43781</v>
      </c>
      <c r="F8139" s="336">
        <v>43780</v>
      </c>
      <c r="G8139" s="399"/>
      <c r="H8139" s="334" t="s">
        <v>17405</v>
      </c>
      <c r="I8139" s="444">
        <v>13611818178</v>
      </c>
      <c r="J8139" s="348" t="s">
        <v>17406</v>
      </c>
      <c r="K8139" s="452">
        <v>1000</v>
      </c>
      <c r="L8139" s="338"/>
      <c r="M8139" s="338"/>
      <c r="N8139" s="362">
        <f t="shared" si="276"/>
        <v>0</v>
      </c>
      <c r="U8139" s="330" t="s">
        <v>63</v>
      </c>
      <c r="X8139" s="339"/>
    </row>
    <row r="8140" s="330" customFormat="1" ht="15" customHeight="1" spans="1:24">
      <c r="A8140" s="550" t="s">
        <v>17407</v>
      </c>
      <c r="B8140" s="334" t="s">
        <v>315</v>
      </c>
      <c r="C8140" s="348" t="s">
        <v>161</v>
      </c>
      <c r="D8140" s="335" t="s">
        <v>162</v>
      </c>
      <c r="E8140" s="336">
        <v>43795</v>
      </c>
      <c r="F8140" s="336">
        <v>43780</v>
      </c>
      <c r="G8140" s="336">
        <v>43795</v>
      </c>
      <c r="H8140" s="334" t="s">
        <v>17408</v>
      </c>
      <c r="I8140" s="444">
        <v>13764581397</v>
      </c>
      <c r="J8140" s="348" t="s">
        <v>17409</v>
      </c>
      <c r="K8140" s="452">
        <v>23607</v>
      </c>
      <c r="L8140" s="334">
        <v>24695</v>
      </c>
      <c r="M8140" s="338"/>
      <c r="N8140" s="362">
        <f t="shared" si="276"/>
        <v>24695</v>
      </c>
      <c r="X8140" s="339"/>
    </row>
    <row r="8141" s="330" customFormat="1" ht="15" customHeight="1" spans="1:24">
      <c r="A8141" s="550" t="s">
        <v>17410</v>
      </c>
      <c r="B8141" s="334" t="s">
        <v>315</v>
      </c>
      <c r="C8141" s="348" t="s">
        <v>161</v>
      </c>
      <c r="D8141" s="335" t="s">
        <v>162</v>
      </c>
      <c r="E8141" s="336">
        <v>43795</v>
      </c>
      <c r="F8141" s="336">
        <v>43780</v>
      </c>
      <c r="G8141" s="336">
        <v>43795</v>
      </c>
      <c r="H8141" s="348" t="s">
        <v>17411</v>
      </c>
      <c r="I8141" s="444">
        <v>18916629739</v>
      </c>
      <c r="J8141" s="348" t="s">
        <v>17412</v>
      </c>
      <c r="K8141" s="452">
        <v>9947</v>
      </c>
      <c r="L8141" s="334">
        <v>9947</v>
      </c>
      <c r="M8141" s="338"/>
      <c r="N8141" s="362">
        <f t="shared" si="276"/>
        <v>9947</v>
      </c>
      <c r="X8141" s="339"/>
    </row>
    <row r="8142" s="330" customFormat="1" ht="15" customHeight="1" spans="1:24">
      <c r="A8142" s="550" t="s">
        <v>15909</v>
      </c>
      <c r="B8142" s="334" t="s">
        <v>153</v>
      </c>
      <c r="C8142" s="348" t="s">
        <v>302</v>
      </c>
      <c r="D8142" s="335" t="s">
        <v>155</v>
      </c>
      <c r="E8142" s="336">
        <v>43781</v>
      </c>
      <c r="F8142" s="336">
        <v>43780</v>
      </c>
      <c r="G8142" s="399"/>
      <c r="H8142" s="334" t="s">
        <v>17413</v>
      </c>
      <c r="I8142" s="444">
        <v>18918552680</v>
      </c>
      <c r="J8142" s="348" t="s">
        <v>17414</v>
      </c>
      <c r="K8142" s="452">
        <v>1000</v>
      </c>
      <c r="L8142" s="338"/>
      <c r="M8142" s="338"/>
      <c r="N8142" s="362">
        <f t="shared" si="276"/>
        <v>0</v>
      </c>
      <c r="U8142" s="353">
        <v>12.23</v>
      </c>
      <c r="X8142" s="339"/>
    </row>
    <row r="8143" s="330" customFormat="1" ht="15" customHeight="1" spans="1:24">
      <c r="A8143" s="550" t="s">
        <v>11683</v>
      </c>
      <c r="B8143" s="334" t="s">
        <v>66</v>
      </c>
      <c r="C8143" s="348" t="s">
        <v>15301</v>
      </c>
      <c r="D8143" s="334" t="s">
        <v>68</v>
      </c>
      <c r="E8143" s="336">
        <v>43785</v>
      </c>
      <c r="F8143" s="336">
        <v>43780</v>
      </c>
      <c r="G8143" s="336">
        <v>43783</v>
      </c>
      <c r="H8143" s="334" t="s">
        <v>7809</v>
      </c>
      <c r="I8143" s="444">
        <v>17811918992</v>
      </c>
      <c r="J8143" s="348" t="s">
        <v>17415</v>
      </c>
      <c r="K8143" s="452">
        <v>2700</v>
      </c>
      <c r="L8143" s="334">
        <v>3866</v>
      </c>
      <c r="M8143" s="338"/>
      <c r="N8143" s="362">
        <f t="shared" si="276"/>
        <v>3866</v>
      </c>
      <c r="X8143" s="339"/>
    </row>
    <row r="8144" s="330" customFormat="1" ht="15" customHeight="1" spans="1:24">
      <c r="A8144" s="550" t="s">
        <v>3759</v>
      </c>
      <c r="B8144" s="334" t="s">
        <v>66</v>
      </c>
      <c r="C8144" s="348" t="s">
        <v>951</v>
      </c>
      <c r="D8144" s="335" t="s">
        <v>68</v>
      </c>
      <c r="E8144" s="336">
        <v>43781</v>
      </c>
      <c r="F8144" s="336">
        <v>43780</v>
      </c>
      <c r="G8144" s="399"/>
      <c r="H8144" s="334" t="s">
        <v>17416</v>
      </c>
      <c r="I8144" s="444">
        <v>15821698949</v>
      </c>
      <c r="J8144" s="348" t="s">
        <v>17417</v>
      </c>
      <c r="K8144" s="452">
        <v>10000</v>
      </c>
      <c r="L8144" s="338"/>
      <c r="M8144" s="338"/>
      <c r="N8144" s="362">
        <f t="shared" si="276"/>
        <v>0</v>
      </c>
      <c r="X8144" s="339"/>
    </row>
    <row r="8145" s="330" customFormat="1" ht="15" customHeight="1" spans="1:24">
      <c r="A8145" s="550" t="s">
        <v>13583</v>
      </c>
      <c r="B8145" s="334" t="s">
        <v>35</v>
      </c>
      <c r="C8145" s="348" t="s">
        <v>328</v>
      </c>
      <c r="D8145" s="335" t="s">
        <v>37</v>
      </c>
      <c r="E8145" s="336">
        <v>43786</v>
      </c>
      <c r="F8145" s="336">
        <v>43780</v>
      </c>
      <c r="G8145" s="336">
        <v>43786</v>
      </c>
      <c r="H8145" s="334" t="s">
        <v>17418</v>
      </c>
      <c r="I8145" s="444">
        <v>17502108040</v>
      </c>
      <c r="J8145" s="348" t="s">
        <v>17419</v>
      </c>
      <c r="K8145" s="452">
        <v>4901</v>
      </c>
      <c r="L8145" s="334">
        <v>5087</v>
      </c>
      <c r="M8145" s="338"/>
      <c r="N8145" s="362">
        <f t="shared" si="276"/>
        <v>5087</v>
      </c>
      <c r="X8145" s="339"/>
    </row>
    <row r="8146" s="330" customFormat="1" ht="15" customHeight="1" spans="1:24">
      <c r="A8146" s="550" t="s">
        <v>11710</v>
      </c>
      <c r="B8146" s="334" t="s">
        <v>185</v>
      </c>
      <c r="C8146" s="348" t="s">
        <v>4146</v>
      </c>
      <c r="D8146" s="335" t="s">
        <v>187</v>
      </c>
      <c r="E8146" s="336">
        <v>43781</v>
      </c>
      <c r="F8146" s="336">
        <v>43780</v>
      </c>
      <c r="G8146" s="399"/>
      <c r="H8146" s="334" t="s">
        <v>15351</v>
      </c>
      <c r="I8146" s="444">
        <v>13695651671</v>
      </c>
      <c r="J8146" s="348" t="s">
        <v>17420</v>
      </c>
      <c r="K8146" s="452">
        <v>1000</v>
      </c>
      <c r="L8146" s="338"/>
      <c r="M8146" s="338"/>
      <c r="N8146" s="362">
        <f t="shared" si="276"/>
        <v>0</v>
      </c>
      <c r="P8146" s="467" t="s">
        <v>52</v>
      </c>
      <c r="X8146" s="339"/>
    </row>
    <row r="8147" s="330" customFormat="1" ht="15" customHeight="1" spans="1:24">
      <c r="A8147" s="348">
        <v>2018308</v>
      </c>
      <c r="B8147" s="334" t="s">
        <v>315</v>
      </c>
      <c r="C8147" s="348" t="s">
        <v>498</v>
      </c>
      <c r="D8147" s="335" t="s">
        <v>132</v>
      </c>
      <c r="E8147" s="336">
        <v>43781</v>
      </c>
      <c r="F8147" s="336">
        <v>43780</v>
      </c>
      <c r="G8147" s="399"/>
      <c r="H8147" s="334" t="s">
        <v>17286</v>
      </c>
      <c r="I8147" s="444">
        <v>13917471531</v>
      </c>
      <c r="J8147" s="348" t="s">
        <v>17421</v>
      </c>
      <c r="K8147" s="452">
        <v>1000</v>
      </c>
      <c r="L8147" s="338"/>
      <c r="M8147" s="338"/>
      <c r="N8147" s="362">
        <f t="shared" si="276"/>
        <v>0</v>
      </c>
      <c r="X8147" s="339"/>
    </row>
    <row r="8148" s="330" customFormat="1" ht="15" customHeight="1" spans="1:24">
      <c r="A8148" s="550" t="s">
        <v>17422</v>
      </c>
      <c r="B8148" s="334" t="s">
        <v>315</v>
      </c>
      <c r="C8148" s="348" t="s">
        <v>181</v>
      </c>
      <c r="D8148" s="335" t="s">
        <v>182</v>
      </c>
      <c r="E8148" s="336">
        <v>43781</v>
      </c>
      <c r="F8148" s="336">
        <v>43780</v>
      </c>
      <c r="G8148" s="399"/>
      <c r="H8148" s="334" t="s">
        <v>17423</v>
      </c>
      <c r="I8148" s="444">
        <v>17701861506</v>
      </c>
      <c r="J8148" s="348" t="s">
        <v>17424</v>
      </c>
      <c r="K8148" s="452">
        <v>1000</v>
      </c>
      <c r="L8148" s="338"/>
      <c r="M8148" s="338"/>
      <c r="N8148" s="362">
        <f t="shared" si="276"/>
        <v>0</v>
      </c>
      <c r="O8148" s="330">
        <v>1</v>
      </c>
      <c r="X8148" s="339"/>
    </row>
    <row r="8149" s="330" customFormat="1" ht="15" customHeight="1" spans="1:24">
      <c r="A8149" s="550" t="s">
        <v>17425</v>
      </c>
      <c r="B8149" s="334" t="s">
        <v>66</v>
      </c>
      <c r="C8149" s="348" t="s">
        <v>1749</v>
      </c>
      <c r="D8149" s="334" t="s">
        <v>1436</v>
      </c>
      <c r="E8149" s="336">
        <v>43809</v>
      </c>
      <c r="F8149" s="336">
        <v>43780</v>
      </c>
      <c r="G8149" s="336">
        <v>43809</v>
      </c>
      <c r="H8149" s="334" t="s">
        <v>17426</v>
      </c>
      <c r="I8149" s="444">
        <v>13917328407</v>
      </c>
      <c r="J8149" s="348" t="s">
        <v>17427</v>
      </c>
      <c r="K8149" s="452">
        <v>1997</v>
      </c>
      <c r="L8149" s="334">
        <v>8797</v>
      </c>
      <c r="M8149" s="338"/>
      <c r="N8149" s="362">
        <f t="shared" si="276"/>
        <v>8797</v>
      </c>
      <c r="P8149" s="330" t="s">
        <v>52</v>
      </c>
      <c r="X8149" s="339"/>
    </row>
    <row r="8150" s="330" customFormat="1" ht="15" customHeight="1" spans="1:24">
      <c r="A8150" s="550" t="s">
        <v>6332</v>
      </c>
      <c r="B8150" s="334" t="s">
        <v>87</v>
      </c>
      <c r="C8150" s="348" t="s">
        <v>14185</v>
      </c>
      <c r="D8150" s="334" t="s">
        <v>187</v>
      </c>
      <c r="E8150" s="336">
        <v>43794</v>
      </c>
      <c r="F8150" s="336">
        <v>43780</v>
      </c>
      <c r="G8150" s="336">
        <v>43793</v>
      </c>
      <c r="H8150" s="334" t="s">
        <v>17428</v>
      </c>
      <c r="I8150" s="444">
        <v>13122500985</v>
      </c>
      <c r="J8150" s="348" t="s">
        <v>17429</v>
      </c>
      <c r="K8150" s="452">
        <v>1000</v>
      </c>
      <c r="L8150" s="334">
        <v>15100</v>
      </c>
      <c r="M8150" s="338"/>
      <c r="N8150" s="362">
        <f t="shared" si="276"/>
        <v>15100</v>
      </c>
      <c r="X8150" s="339"/>
    </row>
    <row r="8151" s="330" customFormat="1" ht="15" customHeight="1" spans="1:24">
      <c r="A8151" s="550" t="s">
        <v>16005</v>
      </c>
      <c r="B8151" s="334" t="s">
        <v>153</v>
      </c>
      <c r="C8151" s="348" t="s">
        <v>302</v>
      </c>
      <c r="D8151" s="335" t="s">
        <v>155</v>
      </c>
      <c r="E8151" s="336">
        <v>43794</v>
      </c>
      <c r="F8151" s="336">
        <v>43780</v>
      </c>
      <c r="G8151" s="336">
        <v>43792</v>
      </c>
      <c r="H8151" s="334" t="s">
        <v>17430</v>
      </c>
      <c r="I8151" s="444">
        <v>19921610791</v>
      </c>
      <c r="J8151" s="348" t="s">
        <v>17431</v>
      </c>
      <c r="K8151" s="452">
        <v>1000</v>
      </c>
      <c r="L8151" s="334">
        <v>8653</v>
      </c>
      <c r="M8151" s="338"/>
      <c r="N8151" s="362">
        <f t="shared" si="276"/>
        <v>8653</v>
      </c>
      <c r="V8151" s="330" t="s">
        <v>2494</v>
      </c>
      <c r="X8151" s="339"/>
    </row>
    <row r="8152" s="330" customFormat="1" ht="15" customHeight="1" spans="1:24">
      <c r="A8152" s="550" t="s">
        <v>15906</v>
      </c>
      <c r="B8152" s="334" t="s">
        <v>153</v>
      </c>
      <c r="C8152" s="348" t="s">
        <v>302</v>
      </c>
      <c r="D8152" s="335" t="s">
        <v>155</v>
      </c>
      <c r="E8152" s="336">
        <v>43781</v>
      </c>
      <c r="F8152" s="336">
        <v>43780</v>
      </c>
      <c r="G8152" s="399"/>
      <c r="H8152" s="334" t="s">
        <v>17432</v>
      </c>
      <c r="I8152" s="444">
        <v>18301906842</v>
      </c>
      <c r="J8152" s="348" t="s">
        <v>17433</v>
      </c>
      <c r="K8152" s="452">
        <v>1000</v>
      </c>
      <c r="L8152" s="338"/>
      <c r="M8152" s="338"/>
      <c r="N8152" s="362">
        <f t="shared" si="276"/>
        <v>0</v>
      </c>
      <c r="O8152" s="353" t="s">
        <v>17434</v>
      </c>
      <c r="X8152" s="339"/>
    </row>
    <row r="8153" s="330" customFormat="1" ht="15" customHeight="1" spans="1:24">
      <c r="A8153" s="348"/>
      <c r="B8153" s="334" t="s">
        <v>147</v>
      </c>
      <c r="C8153" s="348" t="s">
        <v>13719</v>
      </c>
      <c r="D8153" s="335" t="s">
        <v>149</v>
      </c>
      <c r="E8153" s="336">
        <v>43781</v>
      </c>
      <c r="F8153" s="336">
        <v>43780</v>
      </c>
      <c r="G8153" s="399"/>
      <c r="H8153" s="334" t="s">
        <v>1428</v>
      </c>
      <c r="I8153" s="444">
        <v>15221754452</v>
      </c>
      <c r="J8153" s="348" t="s">
        <v>17435</v>
      </c>
      <c r="K8153" s="452">
        <v>1000</v>
      </c>
      <c r="L8153" s="338"/>
      <c r="M8153" s="338"/>
      <c r="N8153" s="362">
        <f t="shared" si="276"/>
        <v>0</v>
      </c>
      <c r="X8153" s="339"/>
    </row>
    <row r="8154" s="330" customFormat="1" ht="15" customHeight="1" spans="1:24">
      <c r="A8154" s="550" t="s">
        <v>6865</v>
      </c>
      <c r="B8154" s="334" t="s">
        <v>4009</v>
      </c>
      <c r="C8154" s="348" t="s">
        <v>466</v>
      </c>
      <c r="D8154" s="349" t="s">
        <v>207</v>
      </c>
      <c r="E8154" s="336">
        <v>43781</v>
      </c>
      <c r="F8154" s="336">
        <v>43780</v>
      </c>
      <c r="G8154" s="399"/>
      <c r="H8154" s="334" t="s">
        <v>17436</v>
      </c>
      <c r="I8154" s="444">
        <v>13386106619</v>
      </c>
      <c r="J8154" s="348" t="s">
        <v>17437</v>
      </c>
      <c r="K8154" s="452">
        <v>5960</v>
      </c>
      <c r="L8154" s="338"/>
      <c r="M8154" s="338"/>
      <c r="N8154" s="362">
        <f t="shared" si="276"/>
        <v>0</v>
      </c>
      <c r="X8154" s="339"/>
    </row>
    <row r="8155" s="330" customFormat="1" ht="15" customHeight="1" spans="1:24">
      <c r="A8155" s="550" t="s">
        <v>17438</v>
      </c>
      <c r="B8155" s="334" t="s">
        <v>185</v>
      </c>
      <c r="C8155" s="348" t="s">
        <v>186</v>
      </c>
      <c r="D8155" s="335" t="s">
        <v>187</v>
      </c>
      <c r="E8155" s="336">
        <v>43829</v>
      </c>
      <c r="F8155" s="336">
        <v>43780</v>
      </c>
      <c r="G8155" s="336">
        <v>43827</v>
      </c>
      <c r="H8155" s="334" t="s">
        <v>17439</v>
      </c>
      <c r="I8155" s="444">
        <v>13774454089</v>
      </c>
      <c r="J8155" s="348" t="s">
        <v>17440</v>
      </c>
      <c r="K8155" s="452">
        <v>1680</v>
      </c>
      <c r="L8155" s="334">
        <v>7641</v>
      </c>
      <c r="M8155" s="338"/>
      <c r="N8155" s="362">
        <f t="shared" si="276"/>
        <v>7641</v>
      </c>
      <c r="R8155" s="467" t="s">
        <v>52</v>
      </c>
      <c r="X8155" s="339"/>
    </row>
    <row r="8156" s="330" customFormat="1" ht="15" customHeight="1" spans="1:24">
      <c r="A8156" s="550" t="s">
        <v>17441</v>
      </c>
      <c r="B8156" s="334" t="s">
        <v>66</v>
      </c>
      <c r="C8156" s="348" t="s">
        <v>505</v>
      </c>
      <c r="D8156" s="334" t="s">
        <v>2302</v>
      </c>
      <c r="E8156" s="336">
        <v>43799</v>
      </c>
      <c r="F8156" s="336">
        <v>43780</v>
      </c>
      <c r="G8156" s="336">
        <v>43799</v>
      </c>
      <c r="H8156" s="334" t="s">
        <v>10532</v>
      </c>
      <c r="I8156" s="444">
        <v>18916886247</v>
      </c>
      <c r="J8156" s="348" t="s">
        <v>17442</v>
      </c>
      <c r="K8156" s="452">
        <v>4099</v>
      </c>
      <c r="L8156" s="334">
        <v>4099</v>
      </c>
      <c r="M8156" s="338"/>
      <c r="N8156" s="362">
        <f t="shared" si="276"/>
        <v>4099</v>
      </c>
      <c r="Q8156" s="330" t="s">
        <v>52</v>
      </c>
      <c r="X8156" s="339"/>
    </row>
    <row r="8157" s="330" customFormat="1" ht="15" customHeight="1" spans="1:24">
      <c r="A8157" s="550" t="s">
        <v>11346</v>
      </c>
      <c r="B8157" s="334" t="s">
        <v>42</v>
      </c>
      <c r="C8157" s="348" t="s">
        <v>12765</v>
      </c>
      <c r="D8157" s="334" t="s">
        <v>207</v>
      </c>
      <c r="E8157" s="336">
        <v>43798</v>
      </c>
      <c r="F8157" s="336">
        <v>43780</v>
      </c>
      <c r="G8157" s="336">
        <v>43798</v>
      </c>
      <c r="H8157" s="334" t="s">
        <v>17443</v>
      </c>
      <c r="I8157" s="444">
        <v>1781180736</v>
      </c>
      <c r="J8157" s="348" t="s">
        <v>17444</v>
      </c>
      <c r="K8157" s="452">
        <v>8385</v>
      </c>
      <c r="L8157" s="334">
        <v>8268</v>
      </c>
      <c r="M8157" s="338"/>
      <c r="N8157" s="362">
        <f t="shared" si="276"/>
        <v>8268</v>
      </c>
      <c r="X8157" s="339"/>
    </row>
    <row r="8158" s="330" customFormat="1" ht="15" customHeight="1" spans="1:24">
      <c r="A8158" s="550" t="s">
        <v>17445</v>
      </c>
      <c r="B8158" s="334" t="s">
        <v>66</v>
      </c>
      <c r="C8158" s="348" t="s">
        <v>7029</v>
      </c>
      <c r="D8158" s="334" t="s">
        <v>2302</v>
      </c>
      <c r="E8158" s="336">
        <v>43799</v>
      </c>
      <c r="F8158" s="336">
        <v>43780</v>
      </c>
      <c r="G8158" s="336">
        <v>43799</v>
      </c>
      <c r="H8158" s="334" t="s">
        <v>17446</v>
      </c>
      <c r="I8158" s="444">
        <v>13472535440</v>
      </c>
      <c r="J8158" s="348" t="s">
        <v>17447</v>
      </c>
      <c r="K8158" s="452">
        <v>20000</v>
      </c>
      <c r="L8158" s="334">
        <v>20000</v>
      </c>
      <c r="M8158" s="338"/>
      <c r="N8158" s="362">
        <f t="shared" si="276"/>
        <v>20000</v>
      </c>
      <c r="X8158" s="339"/>
    </row>
    <row r="8159" s="330" customFormat="1" ht="15" customHeight="1" spans="1:24">
      <c r="A8159" s="348" t="s">
        <v>13074</v>
      </c>
      <c r="B8159" s="334" t="s">
        <v>66</v>
      </c>
      <c r="C8159" s="334" t="s">
        <v>7029</v>
      </c>
      <c r="D8159" s="334" t="s">
        <v>2302</v>
      </c>
      <c r="E8159" s="336">
        <v>43799</v>
      </c>
      <c r="F8159" s="336">
        <v>43780</v>
      </c>
      <c r="G8159" s="336">
        <v>43799</v>
      </c>
      <c r="H8159" s="334" t="s">
        <v>17448</v>
      </c>
      <c r="I8159" s="444">
        <v>13564328824</v>
      </c>
      <c r="J8159" s="348" t="s">
        <v>17449</v>
      </c>
      <c r="K8159" s="452">
        <v>2000</v>
      </c>
      <c r="L8159" s="334">
        <v>20000</v>
      </c>
      <c r="M8159" s="338"/>
      <c r="N8159" s="362">
        <f t="shared" si="276"/>
        <v>20000</v>
      </c>
      <c r="X8159" s="339"/>
    </row>
    <row r="8160" s="330" customFormat="1" ht="15" customHeight="1" spans="1:24">
      <c r="A8160" s="550" t="s">
        <v>9053</v>
      </c>
      <c r="B8160" s="334" t="s">
        <v>31</v>
      </c>
      <c r="C8160" s="348" t="s">
        <v>419</v>
      </c>
      <c r="D8160" s="335" t="s">
        <v>221</v>
      </c>
      <c r="E8160" s="336">
        <v>43781</v>
      </c>
      <c r="F8160" s="336">
        <v>43780</v>
      </c>
      <c r="G8160" s="399"/>
      <c r="H8160" s="334" t="s">
        <v>11991</v>
      </c>
      <c r="I8160" s="444">
        <v>18621705756</v>
      </c>
      <c r="J8160" s="348" t="s">
        <v>17450</v>
      </c>
      <c r="K8160" s="452">
        <v>1000</v>
      </c>
      <c r="L8160" s="338"/>
      <c r="M8160" s="338"/>
      <c r="N8160" s="362">
        <f t="shared" si="276"/>
        <v>0</v>
      </c>
      <c r="U8160" s="353" t="s">
        <v>40</v>
      </c>
      <c r="X8160" s="339"/>
    </row>
    <row r="8161" s="330" customFormat="1" ht="15" customHeight="1" spans="1:24">
      <c r="A8161" s="550" t="s">
        <v>17451</v>
      </c>
      <c r="B8161" s="334" t="s">
        <v>185</v>
      </c>
      <c r="C8161" s="348" t="s">
        <v>886</v>
      </c>
      <c r="D8161" s="335" t="s">
        <v>187</v>
      </c>
      <c r="E8161" s="336">
        <v>43781</v>
      </c>
      <c r="F8161" s="336">
        <v>43779</v>
      </c>
      <c r="G8161" s="399"/>
      <c r="H8161" s="334" t="s">
        <v>17452</v>
      </c>
      <c r="I8161" s="444">
        <v>13817159885</v>
      </c>
      <c r="J8161" s="348" t="s">
        <v>17453</v>
      </c>
      <c r="K8161" s="452">
        <v>1000</v>
      </c>
      <c r="L8161" s="338"/>
      <c r="M8161" s="338"/>
      <c r="N8161" s="362">
        <f t="shared" si="276"/>
        <v>0</v>
      </c>
      <c r="O8161" s="467" t="s">
        <v>52</v>
      </c>
      <c r="X8161" s="339"/>
    </row>
    <row r="8162" s="330" customFormat="1" ht="15" customHeight="1" spans="1:24">
      <c r="A8162" s="550" t="s">
        <v>5195</v>
      </c>
      <c r="B8162" s="334" t="s">
        <v>185</v>
      </c>
      <c r="C8162" s="348" t="s">
        <v>886</v>
      </c>
      <c r="D8162" s="335" t="s">
        <v>187</v>
      </c>
      <c r="E8162" s="336">
        <v>43781</v>
      </c>
      <c r="F8162" s="336">
        <v>43779</v>
      </c>
      <c r="G8162" s="399"/>
      <c r="H8162" s="334" t="s">
        <v>17454</v>
      </c>
      <c r="I8162" s="444">
        <v>18101876067</v>
      </c>
      <c r="J8162" s="348" t="s">
        <v>17455</v>
      </c>
      <c r="K8162" s="452">
        <v>1000</v>
      </c>
      <c r="L8162" s="338"/>
      <c r="M8162" s="338"/>
      <c r="N8162" s="362">
        <f t="shared" si="276"/>
        <v>0</v>
      </c>
      <c r="O8162" s="467" t="s">
        <v>52</v>
      </c>
      <c r="X8162" s="339"/>
    </row>
    <row r="8163" s="330" customFormat="1" ht="15" customHeight="1" spans="1:24">
      <c r="A8163" s="550" t="s">
        <v>5041</v>
      </c>
      <c r="B8163" s="334" t="s">
        <v>31</v>
      </c>
      <c r="C8163" s="348" t="s">
        <v>3186</v>
      </c>
      <c r="D8163" s="335" t="s">
        <v>221</v>
      </c>
      <c r="E8163" s="336">
        <v>43781</v>
      </c>
      <c r="F8163" s="336">
        <v>43780</v>
      </c>
      <c r="G8163" s="399"/>
      <c r="H8163" s="334" t="s">
        <v>17456</v>
      </c>
      <c r="I8163" s="444">
        <v>13916023797</v>
      </c>
      <c r="J8163" s="348" t="s">
        <v>17457</v>
      </c>
      <c r="K8163" s="452">
        <v>2734</v>
      </c>
      <c r="L8163" s="338"/>
      <c r="M8163" s="338"/>
      <c r="N8163" s="362">
        <f t="shared" si="276"/>
        <v>0</v>
      </c>
      <c r="O8163" s="467" t="s">
        <v>52</v>
      </c>
      <c r="X8163" s="339"/>
    </row>
    <row r="8164" s="330" customFormat="1" ht="15" customHeight="1" spans="1:24">
      <c r="A8164" s="550" t="s">
        <v>17458</v>
      </c>
      <c r="B8164" s="334" t="s">
        <v>315</v>
      </c>
      <c r="C8164" s="348" t="s">
        <v>161</v>
      </c>
      <c r="D8164" s="335" t="s">
        <v>162</v>
      </c>
      <c r="E8164" s="336">
        <v>43781</v>
      </c>
      <c r="F8164" s="336">
        <v>43780</v>
      </c>
      <c r="G8164" s="399"/>
      <c r="H8164" s="334" t="s">
        <v>6957</v>
      </c>
      <c r="I8164" s="444"/>
      <c r="J8164" s="348" t="s">
        <v>17459</v>
      </c>
      <c r="K8164" s="452">
        <v>1299</v>
      </c>
      <c r="L8164" s="338"/>
      <c r="M8164" s="338"/>
      <c r="N8164" s="362">
        <f t="shared" si="276"/>
        <v>0</v>
      </c>
      <c r="O8164" s="330">
        <v>1</v>
      </c>
      <c r="X8164" s="339"/>
    </row>
    <row r="8165" s="330" customFormat="1" ht="15" customHeight="1" spans="1:24">
      <c r="A8165" s="550" t="s">
        <v>17460</v>
      </c>
      <c r="B8165" s="334" t="s">
        <v>315</v>
      </c>
      <c r="C8165" s="348" t="s">
        <v>161</v>
      </c>
      <c r="D8165" s="334" t="s">
        <v>182</v>
      </c>
      <c r="E8165" s="336">
        <v>43797</v>
      </c>
      <c r="F8165" s="336">
        <v>43780</v>
      </c>
      <c r="G8165" s="336">
        <v>43795</v>
      </c>
      <c r="H8165" s="334" t="s">
        <v>17461</v>
      </c>
      <c r="I8165" s="444">
        <v>15000724676</v>
      </c>
      <c r="J8165" s="348" t="s">
        <v>17462</v>
      </c>
      <c r="K8165" s="452">
        <v>1000</v>
      </c>
      <c r="L8165" s="334">
        <v>13196</v>
      </c>
      <c r="M8165" s="334">
        <v>-1854</v>
      </c>
      <c r="N8165" s="362">
        <f t="shared" si="276"/>
        <v>11342</v>
      </c>
      <c r="S8165" s="330">
        <v>1</v>
      </c>
      <c r="X8165" s="339"/>
    </row>
    <row r="8166" s="330" customFormat="1" ht="15" customHeight="1" spans="1:24">
      <c r="A8166" s="550" t="s">
        <v>13600</v>
      </c>
      <c r="B8166" s="334" t="s">
        <v>35</v>
      </c>
      <c r="C8166" s="348" t="s">
        <v>36</v>
      </c>
      <c r="D8166" s="335" t="s">
        <v>37</v>
      </c>
      <c r="E8166" s="336">
        <v>43783</v>
      </c>
      <c r="F8166" s="336">
        <v>43780</v>
      </c>
      <c r="G8166" s="336">
        <v>43780</v>
      </c>
      <c r="H8166" s="334" t="s">
        <v>17463</v>
      </c>
      <c r="I8166" s="444">
        <v>18101815313</v>
      </c>
      <c r="J8166" s="348" t="s">
        <v>17464</v>
      </c>
      <c r="K8166" s="452">
        <v>8600</v>
      </c>
      <c r="L8166" s="334">
        <v>8600</v>
      </c>
      <c r="M8166" s="338"/>
      <c r="N8166" s="362">
        <f t="shared" si="276"/>
        <v>8600</v>
      </c>
      <c r="X8166" s="339"/>
    </row>
    <row r="8167" s="330" customFormat="1" ht="15" customHeight="1" spans="1:24">
      <c r="A8167" s="550" t="s">
        <v>7970</v>
      </c>
      <c r="B8167" s="334" t="s">
        <v>35</v>
      </c>
      <c r="C8167" s="348" t="s">
        <v>328</v>
      </c>
      <c r="D8167" s="335" t="s">
        <v>37</v>
      </c>
      <c r="E8167" s="336">
        <v>43794</v>
      </c>
      <c r="F8167" s="336">
        <v>43780</v>
      </c>
      <c r="G8167" s="336">
        <v>43792</v>
      </c>
      <c r="H8167" s="334" t="s">
        <v>17465</v>
      </c>
      <c r="I8167" s="444">
        <v>18613580673</v>
      </c>
      <c r="J8167" s="348" t="s">
        <v>16153</v>
      </c>
      <c r="K8167" s="452">
        <v>9000</v>
      </c>
      <c r="L8167" s="334">
        <v>14149</v>
      </c>
      <c r="M8167" s="334">
        <v>1000</v>
      </c>
      <c r="N8167" s="362">
        <f t="shared" si="276"/>
        <v>15149</v>
      </c>
      <c r="Q8167" s="356" t="s">
        <v>52</v>
      </c>
      <c r="X8167" s="339"/>
    </row>
    <row r="8168" s="330" customFormat="1" ht="15" customHeight="1" spans="1:24">
      <c r="A8168" s="550" t="s">
        <v>13578</v>
      </c>
      <c r="B8168" s="334" t="s">
        <v>35</v>
      </c>
      <c r="C8168" s="348" t="s">
        <v>328</v>
      </c>
      <c r="D8168" s="335" t="s">
        <v>37</v>
      </c>
      <c r="E8168" s="336">
        <v>43784</v>
      </c>
      <c r="F8168" s="336">
        <v>43780</v>
      </c>
      <c r="G8168" s="336">
        <v>43784</v>
      </c>
      <c r="H8168" s="334" t="s">
        <v>17466</v>
      </c>
      <c r="I8168" s="444">
        <v>18930143682</v>
      </c>
      <c r="J8168" s="348" t="s">
        <v>17467</v>
      </c>
      <c r="K8168" s="452">
        <v>9000</v>
      </c>
      <c r="L8168" s="334">
        <v>8037</v>
      </c>
      <c r="M8168" s="338"/>
      <c r="N8168" s="362">
        <f t="shared" si="276"/>
        <v>8037</v>
      </c>
      <c r="X8168" s="339"/>
    </row>
    <row r="8169" s="330" customFormat="1" ht="15" customHeight="1" spans="1:24">
      <c r="A8169" s="550" t="s">
        <v>17468</v>
      </c>
      <c r="B8169" s="334" t="s">
        <v>335</v>
      </c>
      <c r="C8169" s="348" t="s">
        <v>615</v>
      </c>
      <c r="D8169" s="335" t="s">
        <v>337</v>
      </c>
      <c r="E8169" s="336">
        <v>43784</v>
      </c>
      <c r="F8169" s="336">
        <v>43780</v>
      </c>
      <c r="G8169" s="336">
        <v>43782</v>
      </c>
      <c r="H8169" s="334" t="s">
        <v>17469</v>
      </c>
      <c r="I8169" s="444">
        <v>13585794601</v>
      </c>
      <c r="J8169" s="348" t="s">
        <v>17470</v>
      </c>
      <c r="K8169" s="452">
        <v>1000</v>
      </c>
      <c r="L8169" s="334">
        <v>6681</v>
      </c>
      <c r="M8169" s="338"/>
      <c r="N8169" s="362">
        <f t="shared" si="276"/>
        <v>6681</v>
      </c>
      <c r="X8169" s="339"/>
    </row>
    <row r="8170" s="330" customFormat="1" ht="15" customHeight="1" spans="1:24">
      <c r="A8170" s="550" t="s">
        <v>17471</v>
      </c>
      <c r="B8170" s="334" t="s">
        <v>726</v>
      </c>
      <c r="C8170" s="348" t="s">
        <v>727</v>
      </c>
      <c r="D8170" s="334" t="s">
        <v>271</v>
      </c>
      <c r="E8170" s="336">
        <v>43798</v>
      </c>
      <c r="F8170" s="336">
        <v>43780</v>
      </c>
      <c r="G8170" s="336">
        <v>43798</v>
      </c>
      <c r="H8170" s="334" t="s">
        <v>17472</v>
      </c>
      <c r="I8170" s="444">
        <v>18916078216</v>
      </c>
      <c r="J8170" s="348" t="s">
        <v>17473</v>
      </c>
      <c r="K8170" s="452">
        <v>36378</v>
      </c>
      <c r="L8170" s="334">
        <v>36378</v>
      </c>
      <c r="M8170" s="338"/>
      <c r="N8170" s="362">
        <f t="shared" si="276"/>
        <v>36378</v>
      </c>
      <c r="P8170" s="467" t="s">
        <v>52</v>
      </c>
      <c r="X8170" s="339"/>
    </row>
    <row r="8171" s="330" customFormat="1" ht="15" customHeight="1" spans="1:24">
      <c r="A8171" s="550" t="s">
        <v>5808</v>
      </c>
      <c r="B8171" s="334" t="s">
        <v>31</v>
      </c>
      <c r="C8171" s="348" t="s">
        <v>3186</v>
      </c>
      <c r="D8171" s="335" t="s">
        <v>221</v>
      </c>
      <c r="E8171" s="336">
        <v>43781</v>
      </c>
      <c r="F8171" s="336">
        <v>43780</v>
      </c>
      <c r="G8171" s="399"/>
      <c r="H8171" s="334" t="s">
        <v>17474</v>
      </c>
      <c r="I8171" s="444">
        <v>13162183323</v>
      </c>
      <c r="J8171" s="444" t="s">
        <v>17475</v>
      </c>
      <c r="K8171" s="452">
        <v>999</v>
      </c>
      <c r="L8171" s="338"/>
      <c r="M8171" s="338"/>
      <c r="N8171" s="362">
        <f t="shared" si="276"/>
        <v>0</v>
      </c>
      <c r="P8171" s="467" t="s">
        <v>52</v>
      </c>
      <c r="X8171" s="339"/>
    </row>
    <row r="8172" s="330" customFormat="1" ht="15" customHeight="1" spans="1:24">
      <c r="A8172" s="550" t="s">
        <v>11046</v>
      </c>
      <c r="B8172" s="334" t="s">
        <v>185</v>
      </c>
      <c r="C8172" s="348" t="s">
        <v>886</v>
      </c>
      <c r="D8172" s="335" t="s">
        <v>187</v>
      </c>
      <c r="E8172" s="336">
        <v>43781</v>
      </c>
      <c r="F8172" s="336">
        <v>43780</v>
      </c>
      <c r="G8172" s="399"/>
      <c r="H8172" s="334" t="s">
        <v>17476</v>
      </c>
      <c r="I8172" s="444">
        <v>13636692616</v>
      </c>
      <c r="J8172" s="348" t="s">
        <v>17477</v>
      </c>
      <c r="K8172" s="452">
        <v>999</v>
      </c>
      <c r="L8172" s="338"/>
      <c r="M8172" s="338"/>
      <c r="N8172" s="362">
        <f t="shared" si="276"/>
        <v>0</v>
      </c>
      <c r="O8172" s="467" t="s">
        <v>52</v>
      </c>
      <c r="X8172" s="339"/>
    </row>
    <row r="8173" s="330" customFormat="1" ht="15" customHeight="1" spans="1:24">
      <c r="A8173" s="550" t="s">
        <v>108</v>
      </c>
      <c r="B8173" s="334" t="s">
        <v>35</v>
      </c>
      <c r="C8173" s="348" t="s">
        <v>328</v>
      </c>
      <c r="D8173" s="335" t="s">
        <v>37</v>
      </c>
      <c r="E8173" s="336">
        <v>43781</v>
      </c>
      <c r="F8173" s="336">
        <v>43780</v>
      </c>
      <c r="G8173" s="399"/>
      <c r="H8173" s="334" t="s">
        <v>8963</v>
      </c>
      <c r="I8173" s="444">
        <v>15921288099</v>
      </c>
      <c r="J8173" s="348"/>
      <c r="K8173" s="452">
        <v>1799</v>
      </c>
      <c r="L8173" s="338"/>
      <c r="M8173" s="338"/>
      <c r="N8173" s="362">
        <f t="shared" si="276"/>
        <v>0</v>
      </c>
      <c r="P8173" s="356" t="s">
        <v>52</v>
      </c>
      <c r="Q8173" s="356"/>
      <c r="X8173" s="339"/>
    </row>
    <row r="8174" s="330" customFormat="1" ht="15" customHeight="1" spans="1:24">
      <c r="A8174" s="550" t="s">
        <v>17478</v>
      </c>
      <c r="B8174" s="334" t="s">
        <v>66</v>
      </c>
      <c r="C8174" s="348" t="s">
        <v>1749</v>
      </c>
      <c r="D8174" s="335" t="s">
        <v>68</v>
      </c>
      <c r="E8174" s="336">
        <v>43799</v>
      </c>
      <c r="F8174" s="336">
        <v>43780</v>
      </c>
      <c r="G8174" s="336">
        <v>43799</v>
      </c>
      <c r="H8174" s="334" t="s">
        <v>17479</v>
      </c>
      <c r="I8174" s="444">
        <v>15221691588</v>
      </c>
      <c r="J8174" s="348" t="s">
        <v>17480</v>
      </c>
      <c r="K8174" s="452">
        <v>3000</v>
      </c>
      <c r="L8174" s="334">
        <v>3000</v>
      </c>
      <c r="M8174" s="338"/>
      <c r="N8174" s="362">
        <f t="shared" ref="N8174:N8231" si="277">L8174+M8174</f>
        <v>3000</v>
      </c>
      <c r="R8174" s="330" t="s">
        <v>52</v>
      </c>
      <c r="X8174" s="339"/>
    </row>
    <row r="8175" s="330" customFormat="1" ht="15" customHeight="1" spans="1:24">
      <c r="A8175" s="348">
        <v>1660227</v>
      </c>
      <c r="B8175" s="334" t="s">
        <v>87</v>
      </c>
      <c r="C8175" s="348" t="s">
        <v>466</v>
      </c>
      <c r="D8175" s="334" t="s">
        <v>89</v>
      </c>
      <c r="E8175" s="336">
        <v>43781</v>
      </c>
      <c r="F8175" s="336">
        <v>43780</v>
      </c>
      <c r="G8175" s="336">
        <v>43780</v>
      </c>
      <c r="H8175" s="334" t="s">
        <v>17481</v>
      </c>
      <c r="I8175" s="444">
        <v>13918874832</v>
      </c>
      <c r="J8175" s="348" t="s">
        <v>17482</v>
      </c>
      <c r="K8175" s="452">
        <v>11198</v>
      </c>
      <c r="L8175" s="334">
        <v>11192</v>
      </c>
      <c r="M8175" s="338"/>
      <c r="N8175" s="362">
        <f t="shared" si="277"/>
        <v>11192</v>
      </c>
      <c r="X8175" s="339"/>
    </row>
    <row r="8176" s="330" customFormat="1" ht="15" customHeight="1" spans="1:24">
      <c r="A8176" s="550" t="s">
        <v>17483</v>
      </c>
      <c r="B8176" s="334" t="s">
        <v>405</v>
      </c>
      <c r="C8176" s="334" t="s">
        <v>1234</v>
      </c>
      <c r="D8176" s="335" t="s">
        <v>407</v>
      </c>
      <c r="E8176" s="336">
        <v>43785</v>
      </c>
      <c r="F8176" s="336">
        <v>43780</v>
      </c>
      <c r="G8176" s="336">
        <v>43779</v>
      </c>
      <c r="H8176" s="334" t="s">
        <v>17484</v>
      </c>
      <c r="I8176" s="444">
        <v>18914625566</v>
      </c>
      <c r="J8176" s="348" t="s">
        <v>17485</v>
      </c>
      <c r="K8176" s="452">
        <v>1000</v>
      </c>
      <c r="L8176" s="334">
        <v>12070</v>
      </c>
      <c r="M8176" s="338"/>
      <c r="N8176" s="362">
        <f t="shared" si="277"/>
        <v>12070</v>
      </c>
      <c r="X8176" s="339"/>
    </row>
    <row r="8177" s="330" customFormat="1" ht="15" customHeight="1" spans="1:24">
      <c r="A8177" s="550" t="s">
        <v>7892</v>
      </c>
      <c r="B8177" s="334" t="s">
        <v>4009</v>
      </c>
      <c r="C8177" s="348" t="s">
        <v>466</v>
      </c>
      <c r="D8177" s="349" t="s">
        <v>207</v>
      </c>
      <c r="E8177" s="336">
        <v>43781</v>
      </c>
      <c r="F8177" s="336">
        <v>43780</v>
      </c>
      <c r="G8177" s="399"/>
      <c r="H8177" s="334" t="s">
        <v>17486</v>
      </c>
      <c r="I8177" s="444">
        <v>13701879125</v>
      </c>
      <c r="J8177" s="348" t="s">
        <v>17487</v>
      </c>
      <c r="K8177" s="452">
        <v>3800</v>
      </c>
      <c r="L8177" s="338"/>
      <c r="M8177" s="338"/>
      <c r="N8177" s="362">
        <f t="shared" si="277"/>
        <v>0</v>
      </c>
      <c r="X8177" s="339"/>
    </row>
    <row r="8178" s="330" customFormat="1" ht="15" customHeight="1" spans="1:24">
      <c r="A8178" s="348"/>
      <c r="B8178" s="334" t="s">
        <v>87</v>
      </c>
      <c r="C8178" s="348" t="s">
        <v>466</v>
      </c>
      <c r="D8178" s="334" t="s">
        <v>89</v>
      </c>
      <c r="E8178" s="336">
        <v>43830</v>
      </c>
      <c r="F8178" s="336">
        <v>43780</v>
      </c>
      <c r="G8178" s="336">
        <v>43830</v>
      </c>
      <c r="H8178" s="334" t="s">
        <v>17488</v>
      </c>
      <c r="I8178" s="444">
        <v>17821718406</v>
      </c>
      <c r="J8178" s="348" t="s">
        <v>17489</v>
      </c>
      <c r="K8178" s="452">
        <v>2874</v>
      </c>
      <c r="L8178" s="334">
        <v>9235</v>
      </c>
      <c r="M8178" s="338"/>
      <c r="N8178" s="362">
        <f t="shared" si="277"/>
        <v>9235</v>
      </c>
      <c r="X8178" s="339"/>
    </row>
    <row r="8179" s="330" customFormat="1" ht="15" customHeight="1" spans="1:24">
      <c r="A8179" s="550" t="s">
        <v>17490</v>
      </c>
      <c r="B8179" s="334" t="s">
        <v>87</v>
      </c>
      <c r="C8179" s="348" t="s">
        <v>466</v>
      </c>
      <c r="D8179" s="334" t="s">
        <v>89</v>
      </c>
      <c r="E8179" s="336">
        <v>43822</v>
      </c>
      <c r="F8179" s="336">
        <v>43780</v>
      </c>
      <c r="G8179" s="336">
        <v>43822</v>
      </c>
      <c r="H8179" s="334" t="s">
        <v>11821</v>
      </c>
      <c r="I8179" s="444">
        <v>13916735675</v>
      </c>
      <c r="J8179" s="348" t="s">
        <v>17491</v>
      </c>
      <c r="K8179" s="452">
        <v>1000</v>
      </c>
      <c r="L8179" s="334">
        <v>3639</v>
      </c>
      <c r="M8179" s="338"/>
      <c r="N8179" s="362">
        <f t="shared" si="277"/>
        <v>3639</v>
      </c>
      <c r="X8179" s="339"/>
    </row>
    <row r="8180" s="330" customFormat="1" ht="15" customHeight="1" spans="1:24">
      <c r="A8180" s="550" t="s">
        <v>15503</v>
      </c>
      <c r="B8180" s="334" t="s">
        <v>58</v>
      </c>
      <c r="C8180" s="348" t="s">
        <v>794</v>
      </c>
      <c r="D8180" s="335" t="s">
        <v>110</v>
      </c>
      <c r="E8180" s="336">
        <v>43781</v>
      </c>
      <c r="F8180" s="336">
        <v>43780</v>
      </c>
      <c r="G8180" s="399"/>
      <c r="H8180" s="334" t="s">
        <v>17492</v>
      </c>
      <c r="I8180" s="444">
        <v>18001608666</v>
      </c>
      <c r="J8180" s="348" t="s">
        <v>17493</v>
      </c>
      <c r="K8180" s="452">
        <v>2199</v>
      </c>
      <c r="L8180" s="338"/>
      <c r="M8180" s="338"/>
      <c r="N8180" s="362">
        <f t="shared" si="277"/>
        <v>0</v>
      </c>
      <c r="O8180" s="365" t="s">
        <v>52</v>
      </c>
      <c r="X8180" s="339"/>
    </row>
    <row r="8181" s="330" customFormat="1" ht="15" customHeight="1" spans="1:24">
      <c r="A8181" s="550" t="s">
        <v>8860</v>
      </c>
      <c r="B8181" s="334" t="s">
        <v>58</v>
      </c>
      <c r="C8181" s="348" t="s">
        <v>794</v>
      </c>
      <c r="D8181" s="335" t="s">
        <v>110</v>
      </c>
      <c r="E8181" s="336">
        <v>43781</v>
      </c>
      <c r="F8181" s="336">
        <v>43780</v>
      </c>
      <c r="G8181" s="399"/>
      <c r="H8181" s="334" t="s">
        <v>17494</v>
      </c>
      <c r="I8181" s="444">
        <v>13816031050</v>
      </c>
      <c r="J8181" s="348" t="s">
        <v>17495</v>
      </c>
      <c r="K8181" s="452">
        <v>4397</v>
      </c>
      <c r="L8181" s="338"/>
      <c r="M8181" s="338"/>
      <c r="N8181" s="362">
        <f t="shared" si="277"/>
        <v>0</v>
      </c>
      <c r="P8181" s="365" t="s">
        <v>52</v>
      </c>
      <c r="X8181" s="339"/>
    </row>
    <row r="8182" s="330" customFormat="1" ht="15" customHeight="1" spans="1:24">
      <c r="A8182" s="348"/>
      <c r="B8182" s="334" t="s">
        <v>153</v>
      </c>
      <c r="C8182" s="334" t="s">
        <v>302</v>
      </c>
      <c r="D8182" s="334" t="s">
        <v>155</v>
      </c>
      <c r="E8182" s="336">
        <v>43781</v>
      </c>
      <c r="F8182" s="336">
        <v>43780</v>
      </c>
      <c r="G8182" s="336">
        <v>43780</v>
      </c>
      <c r="H8182" s="334" t="s">
        <v>17496</v>
      </c>
      <c r="I8182" s="444">
        <v>13621760681</v>
      </c>
      <c r="J8182" s="348" t="s">
        <v>11830</v>
      </c>
      <c r="K8182" s="452">
        <v>99</v>
      </c>
      <c r="L8182" s="334">
        <v>11300</v>
      </c>
      <c r="M8182" s="338"/>
      <c r="N8182" s="362">
        <f t="shared" si="277"/>
        <v>11300</v>
      </c>
      <c r="X8182" s="339"/>
    </row>
    <row r="8183" s="330" customFormat="1" ht="15" customHeight="1" spans="1:24">
      <c r="A8183" s="550" t="s">
        <v>1752</v>
      </c>
      <c r="B8183" s="334" t="s">
        <v>335</v>
      </c>
      <c r="C8183" s="348" t="s">
        <v>399</v>
      </c>
      <c r="D8183" s="335" t="s">
        <v>337</v>
      </c>
      <c r="E8183" s="336">
        <v>43781</v>
      </c>
      <c r="F8183" s="336">
        <v>43780</v>
      </c>
      <c r="G8183" s="399"/>
      <c r="H8183" s="334" t="s">
        <v>17497</v>
      </c>
      <c r="I8183" s="444">
        <v>13501986937</v>
      </c>
      <c r="J8183" s="348" t="s">
        <v>17498</v>
      </c>
      <c r="K8183" s="452">
        <v>1000</v>
      </c>
      <c r="L8183" s="338"/>
      <c r="M8183" s="338"/>
      <c r="N8183" s="362">
        <f t="shared" si="277"/>
        <v>0</v>
      </c>
      <c r="O8183" s="353" t="s">
        <v>17340</v>
      </c>
      <c r="X8183" s="339"/>
    </row>
    <row r="8184" s="330" customFormat="1" ht="15" customHeight="1" spans="1:24">
      <c r="A8184" s="550" t="s">
        <v>12137</v>
      </c>
      <c r="B8184" s="334" t="s">
        <v>335</v>
      </c>
      <c r="C8184" s="348" t="s">
        <v>399</v>
      </c>
      <c r="D8184" s="335" t="s">
        <v>337</v>
      </c>
      <c r="E8184" s="336">
        <v>43781</v>
      </c>
      <c r="F8184" s="336">
        <v>43780</v>
      </c>
      <c r="G8184" s="399"/>
      <c r="H8184" s="334" t="s">
        <v>6510</v>
      </c>
      <c r="I8184" s="444">
        <v>18201728095</v>
      </c>
      <c r="J8184" s="348" t="s">
        <v>17499</v>
      </c>
      <c r="K8184" s="452">
        <v>1000</v>
      </c>
      <c r="L8184" s="338"/>
      <c r="M8184" s="338"/>
      <c r="N8184" s="362">
        <f t="shared" si="277"/>
        <v>0</v>
      </c>
      <c r="O8184" s="353" t="s">
        <v>17340</v>
      </c>
      <c r="X8184" s="339"/>
    </row>
    <row r="8185" s="330" customFormat="1" ht="15" customHeight="1" spans="1:24">
      <c r="A8185" s="550" t="s">
        <v>12019</v>
      </c>
      <c r="B8185" s="334" t="s">
        <v>335</v>
      </c>
      <c r="C8185" s="348" t="s">
        <v>399</v>
      </c>
      <c r="D8185" s="335" t="s">
        <v>337</v>
      </c>
      <c r="E8185" s="336">
        <v>43781</v>
      </c>
      <c r="F8185" s="336">
        <v>43780</v>
      </c>
      <c r="G8185" s="399"/>
      <c r="H8185" s="334" t="s">
        <v>17500</v>
      </c>
      <c r="I8185" s="444">
        <v>13311871871</v>
      </c>
      <c r="J8185" s="348" t="s">
        <v>17501</v>
      </c>
      <c r="K8185" s="452">
        <v>1000</v>
      </c>
      <c r="L8185" s="338"/>
      <c r="M8185" s="338"/>
      <c r="N8185" s="362">
        <f t="shared" si="277"/>
        <v>0</v>
      </c>
      <c r="O8185" s="353" t="s">
        <v>17340</v>
      </c>
      <c r="X8185" s="339"/>
    </row>
    <row r="8186" s="330" customFormat="1" ht="15" customHeight="1" spans="1:24">
      <c r="A8186" s="550" t="s">
        <v>11999</v>
      </c>
      <c r="B8186" s="334" t="s">
        <v>335</v>
      </c>
      <c r="C8186" s="348" t="s">
        <v>399</v>
      </c>
      <c r="D8186" s="335" t="s">
        <v>337</v>
      </c>
      <c r="E8186" s="336">
        <v>43781</v>
      </c>
      <c r="F8186" s="336">
        <v>43780</v>
      </c>
      <c r="G8186" s="399"/>
      <c r="H8186" s="334" t="s">
        <v>17502</v>
      </c>
      <c r="I8186" s="444">
        <v>18502125799</v>
      </c>
      <c r="J8186" s="348" t="s">
        <v>17503</v>
      </c>
      <c r="K8186" s="452">
        <v>1000</v>
      </c>
      <c r="L8186" s="338"/>
      <c r="M8186" s="338"/>
      <c r="N8186" s="362">
        <f t="shared" si="277"/>
        <v>0</v>
      </c>
      <c r="O8186" s="353" t="s">
        <v>17340</v>
      </c>
      <c r="X8186" s="339"/>
    </row>
    <row r="8187" s="330" customFormat="1" ht="15" customHeight="1" spans="1:24">
      <c r="A8187" s="550" t="s">
        <v>11907</v>
      </c>
      <c r="B8187" s="334" t="s">
        <v>335</v>
      </c>
      <c r="C8187" s="348" t="s">
        <v>399</v>
      </c>
      <c r="D8187" s="335" t="s">
        <v>337</v>
      </c>
      <c r="E8187" s="336">
        <v>43781</v>
      </c>
      <c r="F8187" s="336">
        <v>43780</v>
      </c>
      <c r="G8187" s="399"/>
      <c r="H8187" s="334" t="s">
        <v>2899</v>
      </c>
      <c r="I8187" s="444">
        <v>13816038694</v>
      </c>
      <c r="J8187" s="348" t="s">
        <v>17504</v>
      </c>
      <c r="K8187" s="452">
        <v>1000</v>
      </c>
      <c r="L8187" s="338"/>
      <c r="M8187" s="338"/>
      <c r="N8187" s="362">
        <f t="shared" si="277"/>
        <v>0</v>
      </c>
      <c r="O8187" s="353" t="s">
        <v>17340</v>
      </c>
      <c r="X8187" s="339"/>
    </row>
    <row r="8188" s="330" customFormat="1" ht="15" customHeight="1" spans="1:24">
      <c r="A8188" s="550" t="s">
        <v>12239</v>
      </c>
      <c r="B8188" s="334" t="s">
        <v>335</v>
      </c>
      <c r="C8188" s="348" t="s">
        <v>399</v>
      </c>
      <c r="D8188" s="335" t="s">
        <v>337</v>
      </c>
      <c r="E8188" s="336">
        <v>43781</v>
      </c>
      <c r="F8188" s="336">
        <v>43780</v>
      </c>
      <c r="G8188" s="399"/>
      <c r="H8188" s="334" t="s">
        <v>1131</v>
      </c>
      <c r="I8188" s="444">
        <v>13162820428</v>
      </c>
      <c r="J8188" s="348" t="s">
        <v>17505</v>
      </c>
      <c r="K8188" s="452">
        <v>1000</v>
      </c>
      <c r="L8188" s="338"/>
      <c r="M8188" s="338"/>
      <c r="N8188" s="362">
        <f t="shared" si="277"/>
        <v>0</v>
      </c>
      <c r="O8188" s="353" t="s">
        <v>17340</v>
      </c>
      <c r="X8188" s="339"/>
    </row>
    <row r="8189" s="330" customFormat="1" ht="15" customHeight="1" spans="1:24">
      <c r="A8189" s="550" t="s">
        <v>11637</v>
      </c>
      <c r="B8189" s="334" t="s">
        <v>335</v>
      </c>
      <c r="C8189" s="348" t="s">
        <v>399</v>
      </c>
      <c r="D8189" s="335" t="s">
        <v>337</v>
      </c>
      <c r="E8189" s="336">
        <v>43781</v>
      </c>
      <c r="F8189" s="336">
        <v>43780</v>
      </c>
      <c r="G8189" s="399"/>
      <c r="H8189" s="334" t="s">
        <v>17506</v>
      </c>
      <c r="I8189" s="444">
        <v>13136280983</v>
      </c>
      <c r="J8189" s="348" t="s">
        <v>17507</v>
      </c>
      <c r="K8189" s="452">
        <v>1000</v>
      </c>
      <c r="L8189" s="338"/>
      <c r="M8189" s="338"/>
      <c r="N8189" s="362">
        <f t="shared" si="277"/>
        <v>0</v>
      </c>
      <c r="O8189" s="353" t="s">
        <v>17340</v>
      </c>
      <c r="X8189" s="339"/>
    </row>
    <row r="8190" s="330" customFormat="1" ht="15" customHeight="1" spans="1:24">
      <c r="A8190" s="550" t="s">
        <v>11640</v>
      </c>
      <c r="B8190" s="334" t="s">
        <v>335</v>
      </c>
      <c r="C8190" s="348" t="s">
        <v>399</v>
      </c>
      <c r="D8190" s="335" t="s">
        <v>337</v>
      </c>
      <c r="E8190" s="336">
        <v>43781</v>
      </c>
      <c r="F8190" s="336">
        <v>43780</v>
      </c>
      <c r="G8190" s="399"/>
      <c r="H8190" s="334" t="s">
        <v>17508</v>
      </c>
      <c r="I8190" s="444"/>
      <c r="J8190" s="348" t="s">
        <v>17509</v>
      </c>
      <c r="K8190" s="452">
        <v>1000</v>
      </c>
      <c r="L8190" s="338"/>
      <c r="M8190" s="338"/>
      <c r="N8190" s="362">
        <f t="shared" si="277"/>
        <v>0</v>
      </c>
      <c r="O8190" s="353" t="s">
        <v>17340</v>
      </c>
      <c r="X8190" s="339"/>
    </row>
    <row r="8191" s="330" customFormat="1" ht="15" customHeight="1" spans="1:24">
      <c r="A8191" s="550" t="s">
        <v>17510</v>
      </c>
      <c r="B8191" s="334" t="s">
        <v>335</v>
      </c>
      <c r="C8191" s="348" t="s">
        <v>399</v>
      </c>
      <c r="D8191" s="335" t="s">
        <v>337</v>
      </c>
      <c r="E8191" s="336">
        <v>43781</v>
      </c>
      <c r="F8191" s="336">
        <v>43780</v>
      </c>
      <c r="G8191" s="399"/>
      <c r="H8191" s="334" t="s">
        <v>17511</v>
      </c>
      <c r="I8191" s="444">
        <v>13818163049</v>
      </c>
      <c r="J8191" s="348" t="s">
        <v>17512</v>
      </c>
      <c r="K8191" s="452">
        <v>1000</v>
      </c>
      <c r="L8191" s="338"/>
      <c r="M8191" s="338"/>
      <c r="N8191" s="362">
        <f t="shared" si="277"/>
        <v>0</v>
      </c>
      <c r="O8191" s="353" t="s">
        <v>17340</v>
      </c>
      <c r="X8191" s="339"/>
    </row>
    <row r="8192" s="330" customFormat="1" ht="15" customHeight="1" spans="1:24">
      <c r="A8192" s="550" t="s">
        <v>11317</v>
      </c>
      <c r="B8192" s="334" t="s">
        <v>335</v>
      </c>
      <c r="C8192" s="348" t="s">
        <v>399</v>
      </c>
      <c r="D8192" s="335" t="s">
        <v>337</v>
      </c>
      <c r="E8192" s="336">
        <v>43781</v>
      </c>
      <c r="F8192" s="336">
        <v>43780</v>
      </c>
      <c r="G8192" s="399"/>
      <c r="H8192" s="334" t="s">
        <v>17513</v>
      </c>
      <c r="I8192" s="444">
        <v>13564335505</v>
      </c>
      <c r="J8192" s="348" t="s">
        <v>17514</v>
      </c>
      <c r="K8192" s="452">
        <v>1000</v>
      </c>
      <c r="L8192" s="338"/>
      <c r="M8192" s="338"/>
      <c r="N8192" s="362">
        <f t="shared" si="277"/>
        <v>0</v>
      </c>
      <c r="O8192" s="353" t="s">
        <v>17340</v>
      </c>
      <c r="X8192" s="339"/>
    </row>
    <row r="8193" s="330" customFormat="1" ht="15" customHeight="1" spans="1:24">
      <c r="A8193" s="550" t="s">
        <v>17515</v>
      </c>
      <c r="B8193" s="334" t="s">
        <v>335</v>
      </c>
      <c r="C8193" s="348" t="s">
        <v>399</v>
      </c>
      <c r="D8193" s="335" t="s">
        <v>337</v>
      </c>
      <c r="E8193" s="336">
        <v>43781</v>
      </c>
      <c r="F8193" s="336">
        <v>43780</v>
      </c>
      <c r="G8193" s="399"/>
      <c r="H8193" s="334" t="s">
        <v>17516</v>
      </c>
      <c r="I8193" s="444">
        <v>17321492075</v>
      </c>
      <c r="J8193" s="348" t="s">
        <v>17517</v>
      </c>
      <c r="K8193" s="452">
        <v>1000</v>
      </c>
      <c r="L8193" s="338"/>
      <c r="M8193" s="338"/>
      <c r="N8193" s="362">
        <f t="shared" si="277"/>
        <v>0</v>
      </c>
      <c r="O8193" s="353" t="s">
        <v>17340</v>
      </c>
      <c r="X8193" s="339"/>
    </row>
    <row r="8194" s="330" customFormat="1" ht="15" customHeight="1" spans="1:24">
      <c r="A8194" s="550" t="s">
        <v>11322</v>
      </c>
      <c r="B8194" s="334" t="s">
        <v>335</v>
      </c>
      <c r="C8194" s="348" t="s">
        <v>399</v>
      </c>
      <c r="D8194" s="335" t="s">
        <v>337</v>
      </c>
      <c r="E8194" s="336">
        <v>43781</v>
      </c>
      <c r="F8194" s="336">
        <v>43780</v>
      </c>
      <c r="G8194" s="399"/>
      <c r="H8194" s="334" t="s">
        <v>17518</v>
      </c>
      <c r="I8194" s="444">
        <v>18621522297</v>
      </c>
      <c r="J8194" s="348" t="s">
        <v>17519</v>
      </c>
      <c r="K8194" s="452">
        <v>1000</v>
      </c>
      <c r="L8194" s="338"/>
      <c r="M8194" s="338"/>
      <c r="N8194" s="362">
        <f t="shared" si="277"/>
        <v>0</v>
      </c>
      <c r="O8194" s="353" t="s">
        <v>17340</v>
      </c>
      <c r="X8194" s="339"/>
    </row>
    <row r="8195" s="330" customFormat="1" ht="15" customHeight="1" spans="1:24">
      <c r="A8195" s="550" t="s">
        <v>11437</v>
      </c>
      <c r="B8195" s="334" t="s">
        <v>335</v>
      </c>
      <c r="C8195" s="348" t="s">
        <v>399</v>
      </c>
      <c r="D8195" s="335" t="s">
        <v>337</v>
      </c>
      <c r="E8195" s="336">
        <v>43781</v>
      </c>
      <c r="F8195" s="336">
        <v>43780</v>
      </c>
      <c r="G8195" s="399"/>
      <c r="H8195" s="334" t="s">
        <v>17520</v>
      </c>
      <c r="I8195" s="444">
        <v>13917512039</v>
      </c>
      <c r="J8195" s="348" t="s">
        <v>17521</v>
      </c>
      <c r="K8195" s="452">
        <v>1000</v>
      </c>
      <c r="L8195" s="338"/>
      <c r="M8195" s="338"/>
      <c r="N8195" s="362">
        <f t="shared" si="277"/>
        <v>0</v>
      </c>
      <c r="O8195" s="353" t="s">
        <v>17340</v>
      </c>
      <c r="X8195" s="339"/>
    </row>
    <row r="8196" s="330" customFormat="1" ht="15" customHeight="1" spans="1:24">
      <c r="A8196" s="550" t="s">
        <v>11458</v>
      </c>
      <c r="B8196" s="334" t="s">
        <v>335</v>
      </c>
      <c r="C8196" s="348" t="s">
        <v>399</v>
      </c>
      <c r="D8196" s="335" t="s">
        <v>337</v>
      </c>
      <c r="E8196" s="336">
        <v>43781</v>
      </c>
      <c r="F8196" s="336">
        <v>43780</v>
      </c>
      <c r="G8196" s="399"/>
      <c r="H8196" s="334" t="s">
        <v>17522</v>
      </c>
      <c r="I8196" s="444">
        <v>18501660803</v>
      </c>
      <c r="J8196" s="348" t="s">
        <v>17523</v>
      </c>
      <c r="K8196" s="452">
        <v>1000</v>
      </c>
      <c r="L8196" s="338"/>
      <c r="M8196" s="338"/>
      <c r="N8196" s="362">
        <f t="shared" si="277"/>
        <v>0</v>
      </c>
      <c r="O8196" s="353" t="s">
        <v>17340</v>
      </c>
      <c r="X8196" s="339"/>
    </row>
    <row r="8197" s="330" customFormat="1" ht="15" customHeight="1" spans="1:24">
      <c r="A8197" s="550" t="s">
        <v>17524</v>
      </c>
      <c r="B8197" s="334" t="s">
        <v>335</v>
      </c>
      <c r="C8197" s="348" t="s">
        <v>399</v>
      </c>
      <c r="D8197" s="335" t="s">
        <v>337</v>
      </c>
      <c r="E8197" s="336">
        <v>43781</v>
      </c>
      <c r="F8197" s="336">
        <v>43780</v>
      </c>
      <c r="G8197" s="399"/>
      <c r="H8197" s="334" t="s">
        <v>17525</v>
      </c>
      <c r="I8197" s="444">
        <v>13917351780</v>
      </c>
      <c r="J8197" s="348" t="s">
        <v>17526</v>
      </c>
      <c r="K8197" s="452">
        <v>1000</v>
      </c>
      <c r="L8197" s="338"/>
      <c r="M8197" s="338"/>
      <c r="N8197" s="362">
        <f t="shared" si="277"/>
        <v>0</v>
      </c>
      <c r="O8197" s="353" t="s">
        <v>17340</v>
      </c>
      <c r="X8197" s="339"/>
    </row>
    <row r="8198" s="330" customFormat="1" ht="15" customHeight="1" spans="1:24">
      <c r="A8198" s="550" t="s">
        <v>1599</v>
      </c>
      <c r="B8198" s="334" t="s">
        <v>335</v>
      </c>
      <c r="C8198" s="348" t="s">
        <v>399</v>
      </c>
      <c r="D8198" s="335" t="s">
        <v>337</v>
      </c>
      <c r="E8198" s="336">
        <v>43781</v>
      </c>
      <c r="F8198" s="336">
        <v>43780</v>
      </c>
      <c r="G8198" s="399"/>
      <c r="H8198" s="334" t="s">
        <v>17527</v>
      </c>
      <c r="I8198" s="444">
        <v>18605121000</v>
      </c>
      <c r="J8198" s="348" t="s">
        <v>17528</v>
      </c>
      <c r="K8198" s="452">
        <v>1000</v>
      </c>
      <c r="L8198" s="338"/>
      <c r="M8198" s="338"/>
      <c r="N8198" s="362">
        <f t="shared" si="277"/>
        <v>0</v>
      </c>
      <c r="O8198" s="353" t="s">
        <v>17340</v>
      </c>
      <c r="X8198" s="339"/>
    </row>
    <row r="8199" s="330" customFormat="1" ht="15" customHeight="1" spans="1:24">
      <c r="A8199" s="550" t="s">
        <v>17529</v>
      </c>
      <c r="B8199" s="334" t="s">
        <v>335</v>
      </c>
      <c r="C8199" s="348" t="s">
        <v>399</v>
      </c>
      <c r="D8199" s="335" t="s">
        <v>337</v>
      </c>
      <c r="E8199" s="336">
        <v>43781</v>
      </c>
      <c r="F8199" s="336">
        <v>43780</v>
      </c>
      <c r="G8199" s="399"/>
      <c r="H8199" s="334" t="s">
        <v>17530</v>
      </c>
      <c r="I8199" s="444">
        <v>13917215772</v>
      </c>
      <c r="J8199" s="348" t="s">
        <v>17531</v>
      </c>
      <c r="K8199" s="452">
        <v>1000</v>
      </c>
      <c r="L8199" s="338"/>
      <c r="M8199" s="338"/>
      <c r="N8199" s="362">
        <f t="shared" si="277"/>
        <v>0</v>
      </c>
      <c r="O8199" s="353" t="s">
        <v>17340</v>
      </c>
      <c r="X8199" s="339"/>
    </row>
    <row r="8200" s="330" customFormat="1" ht="15" customHeight="1" spans="1:24">
      <c r="A8200" s="550" t="s">
        <v>17532</v>
      </c>
      <c r="B8200" s="334" t="s">
        <v>335</v>
      </c>
      <c r="C8200" s="348" t="s">
        <v>399</v>
      </c>
      <c r="D8200" s="335" t="s">
        <v>337</v>
      </c>
      <c r="E8200" s="336">
        <v>43781</v>
      </c>
      <c r="F8200" s="336">
        <v>43780</v>
      </c>
      <c r="G8200" s="399"/>
      <c r="H8200" s="334" t="s">
        <v>17533</v>
      </c>
      <c r="I8200" s="444">
        <v>15921089782</v>
      </c>
      <c r="J8200" s="348" t="s">
        <v>17534</v>
      </c>
      <c r="K8200" s="452">
        <v>1000</v>
      </c>
      <c r="L8200" s="338"/>
      <c r="M8200" s="338"/>
      <c r="N8200" s="362">
        <f t="shared" si="277"/>
        <v>0</v>
      </c>
      <c r="O8200" s="353" t="s">
        <v>17340</v>
      </c>
      <c r="X8200" s="339"/>
    </row>
    <row r="8201" s="330" customFormat="1" ht="15" customHeight="1" spans="1:24">
      <c r="A8201" s="550" t="s">
        <v>425</v>
      </c>
      <c r="B8201" s="334" t="s">
        <v>335</v>
      </c>
      <c r="C8201" s="348" t="s">
        <v>399</v>
      </c>
      <c r="D8201" s="335" t="s">
        <v>337</v>
      </c>
      <c r="E8201" s="336">
        <v>43781</v>
      </c>
      <c r="F8201" s="336">
        <v>43780</v>
      </c>
      <c r="G8201" s="399"/>
      <c r="H8201" s="334" t="s">
        <v>13194</v>
      </c>
      <c r="I8201" s="444">
        <v>17749724607</v>
      </c>
      <c r="J8201" s="348" t="s">
        <v>17535</v>
      </c>
      <c r="K8201" s="452">
        <v>1000</v>
      </c>
      <c r="L8201" s="338"/>
      <c r="M8201" s="338"/>
      <c r="N8201" s="362">
        <f t="shared" si="277"/>
        <v>0</v>
      </c>
      <c r="O8201" s="353" t="s">
        <v>17340</v>
      </c>
      <c r="X8201" s="339"/>
    </row>
    <row r="8202" s="330" customFormat="1" ht="15" customHeight="1" spans="1:24">
      <c r="A8202" s="550" t="s">
        <v>12229</v>
      </c>
      <c r="B8202" s="334" t="s">
        <v>335</v>
      </c>
      <c r="C8202" s="348" t="s">
        <v>399</v>
      </c>
      <c r="D8202" s="335" t="s">
        <v>337</v>
      </c>
      <c r="E8202" s="336">
        <v>43781</v>
      </c>
      <c r="F8202" s="336">
        <v>43780</v>
      </c>
      <c r="G8202" s="399"/>
      <c r="H8202" s="334" t="s">
        <v>17536</v>
      </c>
      <c r="I8202" s="444">
        <v>18621820169</v>
      </c>
      <c r="J8202" s="348" t="s">
        <v>17537</v>
      </c>
      <c r="K8202" s="452">
        <v>1000</v>
      </c>
      <c r="L8202" s="338"/>
      <c r="M8202" s="338"/>
      <c r="N8202" s="362">
        <f t="shared" si="277"/>
        <v>0</v>
      </c>
      <c r="O8202" s="353" t="s">
        <v>17340</v>
      </c>
      <c r="X8202" s="339"/>
    </row>
    <row r="8203" s="330" customFormat="1" ht="15" customHeight="1" spans="1:24">
      <c r="A8203" s="550" t="s">
        <v>11868</v>
      </c>
      <c r="B8203" s="334" t="s">
        <v>335</v>
      </c>
      <c r="C8203" s="348" t="s">
        <v>399</v>
      </c>
      <c r="D8203" s="335" t="s">
        <v>337</v>
      </c>
      <c r="E8203" s="336">
        <v>43781</v>
      </c>
      <c r="F8203" s="336">
        <v>43780</v>
      </c>
      <c r="G8203" s="399"/>
      <c r="H8203" s="334" t="s">
        <v>17538</v>
      </c>
      <c r="I8203" s="444">
        <v>13486103825</v>
      </c>
      <c r="J8203" s="348" t="s">
        <v>17512</v>
      </c>
      <c r="K8203" s="452">
        <v>1000</v>
      </c>
      <c r="L8203" s="338"/>
      <c r="M8203" s="338"/>
      <c r="N8203" s="362">
        <f t="shared" si="277"/>
        <v>0</v>
      </c>
      <c r="O8203" s="353" t="s">
        <v>17340</v>
      </c>
      <c r="X8203" s="339"/>
    </row>
    <row r="8204" s="330" customFormat="1" ht="15" customHeight="1" spans="1:24">
      <c r="A8204" s="550" t="s">
        <v>11432</v>
      </c>
      <c r="B8204" s="334" t="s">
        <v>335</v>
      </c>
      <c r="C8204" s="348" t="s">
        <v>399</v>
      </c>
      <c r="D8204" s="335" t="s">
        <v>337</v>
      </c>
      <c r="E8204" s="336">
        <v>43781</v>
      </c>
      <c r="F8204" s="336">
        <v>43780</v>
      </c>
      <c r="G8204" s="399"/>
      <c r="H8204" s="334" t="s">
        <v>635</v>
      </c>
      <c r="I8204" s="444">
        <v>13636345436</v>
      </c>
      <c r="J8204" s="348" t="s">
        <v>17539</v>
      </c>
      <c r="K8204" s="452">
        <v>1000</v>
      </c>
      <c r="L8204" s="338"/>
      <c r="M8204" s="338"/>
      <c r="N8204" s="362">
        <f t="shared" si="277"/>
        <v>0</v>
      </c>
      <c r="O8204" s="353" t="s">
        <v>17340</v>
      </c>
      <c r="X8204" s="339"/>
    </row>
    <row r="8205" s="330" customFormat="1" ht="15" customHeight="1" spans="1:24">
      <c r="A8205" s="550" t="s">
        <v>1397</v>
      </c>
      <c r="B8205" s="334" t="s">
        <v>315</v>
      </c>
      <c r="C8205" s="348" t="s">
        <v>161</v>
      </c>
      <c r="D8205" s="335" t="s">
        <v>162</v>
      </c>
      <c r="E8205" s="336">
        <v>43781</v>
      </c>
      <c r="F8205" s="336">
        <v>43781</v>
      </c>
      <c r="G8205" s="399"/>
      <c r="H8205" s="334" t="s">
        <v>17540</v>
      </c>
      <c r="I8205" s="444">
        <v>18721956646</v>
      </c>
      <c r="J8205" s="348" t="s">
        <v>17541</v>
      </c>
      <c r="K8205" s="452">
        <v>1000</v>
      </c>
      <c r="L8205" s="338"/>
      <c r="M8205" s="338"/>
      <c r="N8205" s="362">
        <f t="shared" si="277"/>
        <v>0</v>
      </c>
      <c r="O8205" s="330">
        <v>1</v>
      </c>
      <c r="X8205" s="339"/>
    </row>
    <row r="8206" s="330" customFormat="1" ht="15" customHeight="1" spans="1:24">
      <c r="A8206" s="550" t="s">
        <v>6923</v>
      </c>
      <c r="B8206" s="334" t="s">
        <v>35</v>
      </c>
      <c r="C8206" s="348" t="s">
        <v>328</v>
      </c>
      <c r="D8206" s="335" t="s">
        <v>37</v>
      </c>
      <c r="E8206" s="336">
        <v>43781</v>
      </c>
      <c r="F8206" s="336">
        <v>43780</v>
      </c>
      <c r="G8206" s="399"/>
      <c r="H8206" s="334" t="s">
        <v>12612</v>
      </c>
      <c r="I8206" s="444">
        <v>17811866790</v>
      </c>
      <c r="J8206" s="348" t="s">
        <v>17542</v>
      </c>
      <c r="K8206" s="452">
        <v>2299</v>
      </c>
      <c r="L8206" s="338"/>
      <c r="M8206" s="338"/>
      <c r="N8206" s="362">
        <f t="shared" si="277"/>
        <v>0</v>
      </c>
      <c r="O8206" s="356" t="s">
        <v>52</v>
      </c>
      <c r="P8206" s="356"/>
      <c r="X8206" s="339"/>
    </row>
    <row r="8207" s="330" customFormat="1" ht="15" customHeight="1" spans="1:24">
      <c r="A8207" s="550" t="s">
        <v>17543</v>
      </c>
      <c r="B8207" s="334" t="s">
        <v>169</v>
      </c>
      <c r="C8207" s="348" t="s">
        <v>634</v>
      </c>
      <c r="D8207" s="335" t="s">
        <v>635</v>
      </c>
      <c r="E8207" s="336">
        <v>43787</v>
      </c>
      <c r="F8207" s="336">
        <v>43781</v>
      </c>
      <c r="G8207" s="336">
        <v>43786</v>
      </c>
      <c r="H8207" s="334" t="s">
        <v>17544</v>
      </c>
      <c r="I8207" s="444">
        <v>13681990821</v>
      </c>
      <c r="J8207" s="348" t="s">
        <v>17545</v>
      </c>
      <c r="K8207" s="452">
        <v>5747</v>
      </c>
      <c r="L8207" s="334">
        <f>-10+9574</f>
        <v>9564</v>
      </c>
      <c r="M8207" s="334">
        <v>1999</v>
      </c>
      <c r="N8207" s="362">
        <f t="shared" si="277"/>
        <v>11563</v>
      </c>
      <c r="X8207" s="339"/>
    </row>
    <row r="8208" s="330" customFormat="1" ht="15" customHeight="1" spans="1:24">
      <c r="A8208" s="550" t="s">
        <v>17546</v>
      </c>
      <c r="B8208" s="334" t="s">
        <v>58</v>
      </c>
      <c r="C8208" s="348" t="s">
        <v>59</v>
      </c>
      <c r="D8208" s="334" t="s">
        <v>110</v>
      </c>
      <c r="E8208" s="336">
        <v>43828</v>
      </c>
      <c r="F8208" s="336">
        <v>43780</v>
      </c>
      <c r="G8208" s="336">
        <v>43828</v>
      </c>
      <c r="H8208" s="334" t="s">
        <v>17547</v>
      </c>
      <c r="I8208" s="444">
        <v>13961508880</v>
      </c>
      <c r="J8208" s="348" t="s">
        <v>17548</v>
      </c>
      <c r="K8208" s="452">
        <f>15000+500</f>
        <v>15500</v>
      </c>
      <c r="L8208" s="334">
        <v>14940</v>
      </c>
      <c r="M8208" s="338"/>
      <c r="N8208" s="362">
        <f t="shared" si="277"/>
        <v>14940</v>
      </c>
      <c r="O8208" s="365"/>
      <c r="W8208" s="471">
        <v>43829</v>
      </c>
      <c r="X8208" s="339"/>
    </row>
    <row r="8209" s="330" customFormat="1" ht="15" customHeight="1" spans="1:24">
      <c r="A8209" s="348"/>
      <c r="B8209" s="334" t="s">
        <v>42</v>
      </c>
      <c r="C8209" s="348" t="s">
        <v>43</v>
      </c>
      <c r="D8209" s="335" t="s">
        <v>44</v>
      </c>
      <c r="E8209" s="336">
        <v>43785</v>
      </c>
      <c r="F8209" s="336">
        <v>43780</v>
      </c>
      <c r="G8209" s="336">
        <v>43783</v>
      </c>
      <c r="H8209" s="334" t="s">
        <v>17549</v>
      </c>
      <c r="I8209" s="555" t="s">
        <v>17550</v>
      </c>
      <c r="J8209" s="348" t="s">
        <v>17551</v>
      </c>
      <c r="K8209" s="452">
        <v>11000</v>
      </c>
      <c r="L8209" s="334">
        <v>11756</v>
      </c>
      <c r="M8209" s="338"/>
      <c r="N8209" s="362">
        <f t="shared" si="277"/>
        <v>11756</v>
      </c>
      <c r="X8209" s="339"/>
    </row>
    <row r="8210" s="330" customFormat="1" ht="15" customHeight="1" spans="1:24">
      <c r="A8210" s="348" t="s">
        <v>13074</v>
      </c>
      <c r="B8210" s="334" t="s">
        <v>58</v>
      </c>
      <c r="C8210" s="348" t="s">
        <v>59</v>
      </c>
      <c r="D8210" s="335" t="s">
        <v>271</v>
      </c>
      <c r="E8210" s="336">
        <v>43798</v>
      </c>
      <c r="F8210" s="336">
        <v>43779</v>
      </c>
      <c r="G8210" s="336">
        <v>43797</v>
      </c>
      <c r="H8210" s="334" t="s">
        <v>17552</v>
      </c>
      <c r="I8210" s="444">
        <v>13816021176</v>
      </c>
      <c r="J8210" s="334" t="s">
        <v>17553</v>
      </c>
      <c r="K8210" s="334">
        <v>19000</v>
      </c>
      <c r="L8210" s="334">
        <v>17100</v>
      </c>
      <c r="M8210" s="338"/>
      <c r="N8210" s="362">
        <f t="shared" si="277"/>
        <v>17100</v>
      </c>
      <c r="X8210" s="339"/>
    </row>
    <row r="8211" s="330" customFormat="1" ht="15" customHeight="1" spans="1:24">
      <c r="A8211" s="550" t="s">
        <v>11928</v>
      </c>
      <c r="B8211" s="334" t="s">
        <v>58</v>
      </c>
      <c r="C8211" s="348" t="s">
        <v>59</v>
      </c>
      <c r="D8211" s="334" t="s">
        <v>110</v>
      </c>
      <c r="E8211" s="336">
        <v>43809</v>
      </c>
      <c r="F8211" s="336">
        <v>43780</v>
      </c>
      <c r="G8211" s="336">
        <v>43807</v>
      </c>
      <c r="H8211" s="334" t="s">
        <v>17554</v>
      </c>
      <c r="I8211" s="444">
        <v>13512131687</v>
      </c>
      <c r="J8211" s="348" t="s">
        <v>17555</v>
      </c>
      <c r="K8211" s="452">
        <v>3000</v>
      </c>
      <c r="L8211" s="334">
        <v>12745</v>
      </c>
      <c r="M8211" s="338"/>
      <c r="N8211" s="362">
        <f t="shared" si="277"/>
        <v>12745</v>
      </c>
      <c r="X8211" s="339"/>
    </row>
    <row r="8212" s="330" customFormat="1" ht="15" customHeight="1" spans="1:24">
      <c r="A8212" s="550" t="s">
        <v>17556</v>
      </c>
      <c r="B8212" s="334" t="s">
        <v>405</v>
      </c>
      <c r="C8212" s="348" t="s">
        <v>1234</v>
      </c>
      <c r="D8212" s="335" t="s">
        <v>407</v>
      </c>
      <c r="E8212" s="336">
        <v>43781</v>
      </c>
      <c r="F8212" s="336">
        <v>43780</v>
      </c>
      <c r="G8212" s="399"/>
      <c r="H8212" s="334" t="s">
        <v>534</v>
      </c>
      <c r="I8212" s="444">
        <v>18994371360</v>
      </c>
      <c r="J8212" s="348" t="s">
        <v>17557</v>
      </c>
      <c r="K8212" s="452">
        <v>1000</v>
      </c>
      <c r="L8212" s="338"/>
      <c r="M8212" s="338"/>
      <c r="N8212" s="362">
        <f t="shared" si="277"/>
        <v>0</v>
      </c>
      <c r="P8212" s="502"/>
      <c r="R8212" s="502" t="s">
        <v>52</v>
      </c>
      <c r="X8212" s="339"/>
    </row>
    <row r="8213" s="330" customFormat="1" ht="15" customHeight="1" spans="1:24">
      <c r="A8213" s="550" t="s">
        <v>17558</v>
      </c>
      <c r="B8213" s="334" t="s">
        <v>58</v>
      </c>
      <c r="C8213" s="348" t="s">
        <v>342</v>
      </c>
      <c r="D8213" s="335" t="s">
        <v>343</v>
      </c>
      <c r="E8213" s="336">
        <v>43794</v>
      </c>
      <c r="F8213" s="336">
        <v>43780</v>
      </c>
      <c r="G8213" s="336">
        <v>43794</v>
      </c>
      <c r="H8213" s="334" t="s">
        <v>17559</v>
      </c>
      <c r="I8213" s="444">
        <v>13671660939</v>
      </c>
      <c r="J8213" s="348" t="s">
        <v>17560</v>
      </c>
      <c r="K8213" s="452">
        <v>1000</v>
      </c>
      <c r="L8213" s="334">
        <v>3060</v>
      </c>
      <c r="M8213" s="338"/>
      <c r="N8213" s="362">
        <f t="shared" si="277"/>
        <v>3060</v>
      </c>
      <c r="P8213" s="365" t="s">
        <v>52</v>
      </c>
      <c r="X8213" s="339"/>
    </row>
    <row r="8214" s="330" customFormat="1" ht="15" customHeight="1" spans="1:24">
      <c r="A8214" s="550" t="s">
        <v>1187</v>
      </c>
      <c r="B8214" s="334" t="s">
        <v>58</v>
      </c>
      <c r="C8214" s="348" t="s">
        <v>342</v>
      </c>
      <c r="D8214" s="335" t="s">
        <v>343</v>
      </c>
      <c r="E8214" s="336">
        <v>43781</v>
      </c>
      <c r="F8214" s="336">
        <v>43779</v>
      </c>
      <c r="G8214" s="399"/>
      <c r="H8214" s="334" t="s">
        <v>17561</v>
      </c>
      <c r="I8214" s="444">
        <v>18019725068</v>
      </c>
      <c r="J8214" s="348" t="s">
        <v>17562</v>
      </c>
      <c r="K8214" s="452">
        <v>1000</v>
      </c>
      <c r="L8214" s="338"/>
      <c r="M8214" s="338"/>
      <c r="N8214" s="362">
        <f t="shared" si="277"/>
        <v>0</v>
      </c>
      <c r="P8214" s="365" t="s">
        <v>52</v>
      </c>
      <c r="X8214" s="339"/>
    </row>
    <row r="8215" s="330" customFormat="1" ht="15" customHeight="1" spans="1:24">
      <c r="A8215" s="550" t="s">
        <v>17563</v>
      </c>
      <c r="B8215" s="334" t="s">
        <v>58</v>
      </c>
      <c r="C8215" s="348" t="s">
        <v>342</v>
      </c>
      <c r="D8215" s="335" t="s">
        <v>343</v>
      </c>
      <c r="E8215" s="336">
        <v>43799</v>
      </c>
      <c r="F8215" s="336">
        <v>43772</v>
      </c>
      <c r="G8215" s="336">
        <v>43799</v>
      </c>
      <c r="H8215" s="334" t="s">
        <v>17564</v>
      </c>
      <c r="I8215" s="444">
        <v>17301640501</v>
      </c>
      <c r="J8215" s="348" t="s">
        <v>17565</v>
      </c>
      <c r="K8215" s="452">
        <v>23000</v>
      </c>
      <c r="L8215" s="334">
        <v>22869</v>
      </c>
      <c r="M8215" s="338"/>
      <c r="N8215" s="362">
        <f t="shared" si="277"/>
        <v>22869</v>
      </c>
      <c r="P8215" s="365" t="s">
        <v>52</v>
      </c>
      <c r="X8215" s="339"/>
    </row>
    <row r="8216" s="330" customFormat="1" ht="15" customHeight="1" spans="1:24">
      <c r="A8216" s="550" t="s">
        <v>17566</v>
      </c>
      <c r="B8216" s="334" t="s">
        <v>315</v>
      </c>
      <c r="C8216" s="348" t="s">
        <v>275</v>
      </c>
      <c r="D8216" s="334" t="s">
        <v>1431</v>
      </c>
      <c r="E8216" s="336">
        <v>43789</v>
      </c>
      <c r="F8216" s="336">
        <v>43780</v>
      </c>
      <c r="G8216" s="336">
        <v>43789</v>
      </c>
      <c r="H8216" s="334" t="s">
        <v>17567</v>
      </c>
      <c r="I8216" s="444">
        <v>13564664112</v>
      </c>
      <c r="J8216" s="348" t="s">
        <v>17568</v>
      </c>
      <c r="K8216" s="452">
        <v>1367</v>
      </c>
      <c r="L8216" s="334">
        <v>3999</v>
      </c>
      <c r="M8216" s="338"/>
      <c r="N8216" s="362">
        <f t="shared" si="277"/>
        <v>3999</v>
      </c>
      <c r="X8216" s="339"/>
    </row>
    <row r="8217" s="330" customFormat="1" ht="15" customHeight="1" spans="1:24">
      <c r="A8217" s="348" t="s">
        <v>13074</v>
      </c>
      <c r="B8217" s="334" t="s">
        <v>58</v>
      </c>
      <c r="C8217" s="348" t="s">
        <v>109</v>
      </c>
      <c r="D8217" s="335" t="s">
        <v>110</v>
      </c>
      <c r="E8217" s="336">
        <v>43807</v>
      </c>
      <c r="F8217" s="336">
        <v>43780</v>
      </c>
      <c r="G8217" s="336">
        <v>43806</v>
      </c>
      <c r="H8217" s="334" t="s">
        <v>17569</v>
      </c>
      <c r="I8217" s="444">
        <v>13761108487</v>
      </c>
      <c r="J8217" s="348" t="s">
        <v>17570</v>
      </c>
      <c r="K8217" s="452">
        <v>3797</v>
      </c>
      <c r="L8217" s="334">
        <v>6333</v>
      </c>
      <c r="M8217" s="338"/>
      <c r="N8217" s="362">
        <f t="shared" si="277"/>
        <v>6333</v>
      </c>
      <c r="P8217" s="365" t="s">
        <v>52</v>
      </c>
      <c r="X8217" s="339"/>
    </row>
    <row r="8218" s="330" customFormat="1" ht="15" customHeight="1" spans="1:24">
      <c r="A8218" s="550" t="s">
        <v>17571</v>
      </c>
      <c r="B8218" s="334" t="s">
        <v>315</v>
      </c>
      <c r="C8218" s="348" t="s">
        <v>275</v>
      </c>
      <c r="D8218" s="335" t="s">
        <v>162</v>
      </c>
      <c r="E8218" s="336">
        <v>43781</v>
      </c>
      <c r="F8218" s="336">
        <v>43780</v>
      </c>
      <c r="G8218" s="399"/>
      <c r="H8218" s="334" t="s">
        <v>17572</v>
      </c>
      <c r="I8218" s="444">
        <v>13917093718</v>
      </c>
      <c r="J8218" s="348" t="s">
        <v>17573</v>
      </c>
      <c r="K8218" s="452">
        <v>1999</v>
      </c>
      <c r="L8218" s="338"/>
      <c r="M8218" s="338"/>
      <c r="N8218" s="362">
        <f t="shared" si="277"/>
        <v>0</v>
      </c>
      <c r="O8218" s="330">
        <v>1</v>
      </c>
      <c r="U8218" s="353" t="s">
        <v>12</v>
      </c>
      <c r="X8218" s="339"/>
    </row>
    <row r="8219" s="330" customFormat="1" ht="15" customHeight="1" spans="1:24">
      <c r="A8219" s="550" t="s">
        <v>1366</v>
      </c>
      <c r="B8219" s="334" t="s">
        <v>315</v>
      </c>
      <c r="C8219" s="348" t="s">
        <v>275</v>
      </c>
      <c r="D8219" s="335" t="s">
        <v>162</v>
      </c>
      <c r="E8219" s="336">
        <v>43799</v>
      </c>
      <c r="F8219" s="336">
        <v>43780</v>
      </c>
      <c r="G8219" s="336">
        <v>43795</v>
      </c>
      <c r="H8219" s="334" t="s">
        <v>17574</v>
      </c>
      <c r="I8219" s="444">
        <v>13818762407</v>
      </c>
      <c r="J8219" s="348" t="s">
        <v>17575</v>
      </c>
      <c r="K8219" s="452">
        <v>10000</v>
      </c>
      <c r="L8219" s="334">
        <v>21200</v>
      </c>
      <c r="M8219" s="338"/>
      <c r="N8219" s="362">
        <f t="shared" si="277"/>
        <v>21200</v>
      </c>
      <c r="S8219" s="330">
        <v>1</v>
      </c>
      <c r="X8219" s="339"/>
    </row>
    <row r="8220" s="330" customFormat="1" ht="15" customHeight="1" spans="1:24">
      <c r="A8220" s="550" t="s">
        <v>17384</v>
      </c>
      <c r="B8220" s="334" t="s">
        <v>185</v>
      </c>
      <c r="C8220" s="348" t="s">
        <v>886</v>
      </c>
      <c r="D8220" s="335" t="s">
        <v>187</v>
      </c>
      <c r="E8220" s="336">
        <v>43786</v>
      </c>
      <c r="F8220" s="336">
        <v>43780</v>
      </c>
      <c r="G8220" s="336">
        <v>43784</v>
      </c>
      <c r="H8220" s="334" t="s">
        <v>17576</v>
      </c>
      <c r="I8220" s="444">
        <v>13472657177</v>
      </c>
      <c r="J8220" s="348" t="s">
        <v>17577</v>
      </c>
      <c r="K8220" s="452">
        <v>7935</v>
      </c>
      <c r="L8220" s="334">
        <v>8435</v>
      </c>
      <c r="M8220" s="338"/>
      <c r="N8220" s="362">
        <f t="shared" si="277"/>
        <v>8435</v>
      </c>
      <c r="X8220" s="339"/>
    </row>
    <row r="8221" s="330" customFormat="1" ht="15" customHeight="1" spans="1:24">
      <c r="A8221" s="550" t="s">
        <v>17578</v>
      </c>
      <c r="B8221" s="334" t="s">
        <v>169</v>
      </c>
      <c r="C8221" s="348" t="s">
        <v>634</v>
      </c>
      <c r="D8221" s="335" t="s">
        <v>635</v>
      </c>
      <c r="E8221" s="336">
        <v>43781</v>
      </c>
      <c r="F8221" s="336">
        <v>43780</v>
      </c>
      <c r="G8221" s="399"/>
      <c r="H8221" s="334" t="s">
        <v>17579</v>
      </c>
      <c r="I8221" s="444">
        <v>15201967401</v>
      </c>
      <c r="J8221" s="348" t="s">
        <v>17580</v>
      </c>
      <c r="K8221" s="452">
        <v>2749</v>
      </c>
      <c r="L8221" s="338"/>
      <c r="M8221" s="338"/>
      <c r="N8221" s="362">
        <f t="shared" si="277"/>
        <v>0</v>
      </c>
      <c r="O8221" s="353"/>
      <c r="P8221" s="330" t="s">
        <v>52</v>
      </c>
      <c r="V8221" s="353" t="s">
        <v>14703</v>
      </c>
      <c r="X8221" s="339"/>
    </row>
    <row r="8222" s="330" customFormat="1" ht="15" customHeight="1" spans="1:24">
      <c r="A8222" s="550" t="s">
        <v>9134</v>
      </c>
      <c r="B8222" s="334" t="s">
        <v>354</v>
      </c>
      <c r="C8222" s="348" t="s">
        <v>355</v>
      </c>
      <c r="D8222" s="334" t="s">
        <v>162</v>
      </c>
      <c r="E8222" s="336">
        <v>43803</v>
      </c>
      <c r="F8222" s="336">
        <v>43780</v>
      </c>
      <c r="G8222" s="336">
        <v>43802</v>
      </c>
      <c r="H8222" s="334" t="s">
        <v>17581</v>
      </c>
      <c r="I8222" s="444">
        <v>18017726262</v>
      </c>
      <c r="J8222" s="348" t="s">
        <v>17582</v>
      </c>
      <c r="K8222" s="452">
        <v>4500</v>
      </c>
      <c r="L8222" s="334">
        <v>9779</v>
      </c>
      <c r="M8222" s="338"/>
      <c r="N8222" s="362">
        <f t="shared" si="277"/>
        <v>9779</v>
      </c>
      <c r="X8222" s="339"/>
    </row>
    <row r="8223" s="330" customFormat="1" ht="15" customHeight="1" spans="1:24">
      <c r="A8223" s="550" t="s">
        <v>10966</v>
      </c>
      <c r="B8223" s="334" t="s">
        <v>137</v>
      </c>
      <c r="C8223" s="348" t="s">
        <v>480</v>
      </c>
      <c r="D8223" s="335" t="s">
        <v>139</v>
      </c>
      <c r="E8223" s="336">
        <v>43798</v>
      </c>
      <c r="F8223" s="336">
        <v>43781</v>
      </c>
      <c r="G8223" s="336">
        <v>43798</v>
      </c>
      <c r="H8223" s="334" t="s">
        <v>17583</v>
      </c>
      <c r="I8223" s="444">
        <v>15026965636</v>
      </c>
      <c r="J8223" s="348" t="s">
        <v>17584</v>
      </c>
      <c r="K8223" s="452">
        <v>6858</v>
      </c>
      <c r="L8223" s="334">
        <v>6858</v>
      </c>
      <c r="M8223" s="338"/>
      <c r="N8223" s="362">
        <f t="shared" si="277"/>
        <v>6858</v>
      </c>
      <c r="Q8223" s="330">
        <v>1</v>
      </c>
      <c r="X8223" s="339"/>
    </row>
    <row r="8224" s="330" customFormat="1" ht="15" customHeight="1" spans="1:24">
      <c r="A8224" s="550" t="s">
        <v>1596</v>
      </c>
      <c r="B8224" s="334" t="s">
        <v>137</v>
      </c>
      <c r="C8224" s="348" t="s">
        <v>406</v>
      </c>
      <c r="D8224" s="335" t="s">
        <v>443</v>
      </c>
      <c r="E8224" s="336">
        <v>43781</v>
      </c>
      <c r="F8224" s="336">
        <v>43780</v>
      </c>
      <c r="G8224" s="399"/>
      <c r="H8224" s="334" t="s">
        <v>17585</v>
      </c>
      <c r="I8224" s="444">
        <v>13501861566</v>
      </c>
      <c r="J8224" s="348" t="s">
        <v>17586</v>
      </c>
      <c r="K8224" s="452">
        <v>1000</v>
      </c>
      <c r="L8224" s="338"/>
      <c r="M8224" s="338"/>
      <c r="N8224" s="362">
        <f t="shared" si="277"/>
        <v>0</v>
      </c>
      <c r="R8224" s="330">
        <v>1</v>
      </c>
      <c r="U8224" s="353" t="s">
        <v>889</v>
      </c>
      <c r="X8224" s="339"/>
    </row>
    <row r="8225" s="330" customFormat="1" ht="15" customHeight="1" spans="1:24">
      <c r="A8225" s="550" t="s">
        <v>11327</v>
      </c>
      <c r="B8225" s="334" t="s">
        <v>137</v>
      </c>
      <c r="C8225" s="348" t="s">
        <v>480</v>
      </c>
      <c r="D8225" s="335" t="s">
        <v>139</v>
      </c>
      <c r="E8225" s="336">
        <v>43798</v>
      </c>
      <c r="F8225" s="336">
        <v>43781</v>
      </c>
      <c r="G8225" s="336">
        <v>43798</v>
      </c>
      <c r="H8225" s="334" t="s">
        <v>17587</v>
      </c>
      <c r="I8225" s="444">
        <v>18521093112</v>
      </c>
      <c r="J8225" s="348" t="s">
        <v>17588</v>
      </c>
      <c r="K8225" s="452">
        <v>6720</v>
      </c>
      <c r="L8225" s="334">
        <v>6720</v>
      </c>
      <c r="M8225" s="338"/>
      <c r="N8225" s="362">
        <f t="shared" si="277"/>
        <v>6720</v>
      </c>
      <c r="R8225" s="330">
        <v>1</v>
      </c>
      <c r="X8225" s="339"/>
    </row>
    <row r="8226" s="330" customFormat="1" ht="15" customHeight="1" spans="1:24">
      <c r="A8226" s="348"/>
      <c r="B8226" s="334" t="s">
        <v>87</v>
      </c>
      <c r="C8226" s="348" t="s">
        <v>10921</v>
      </c>
      <c r="D8226" s="335" t="s">
        <v>89</v>
      </c>
      <c r="E8226" s="336">
        <v>43795</v>
      </c>
      <c r="F8226" s="336">
        <v>43780</v>
      </c>
      <c r="G8226" s="336">
        <v>43794</v>
      </c>
      <c r="H8226" s="334" t="s">
        <v>17589</v>
      </c>
      <c r="I8226" s="444">
        <v>18601769865</v>
      </c>
      <c r="J8226" s="348" t="s">
        <v>17590</v>
      </c>
      <c r="K8226" s="452">
        <v>3897</v>
      </c>
      <c r="L8226" s="334">
        <v>6753</v>
      </c>
      <c r="M8226" s="338"/>
      <c r="N8226" s="362">
        <f t="shared" si="277"/>
        <v>6753</v>
      </c>
      <c r="X8226" s="339"/>
    </row>
    <row r="8227" s="330" customFormat="1" ht="15" customHeight="1" spans="1:24">
      <c r="A8227" s="348"/>
      <c r="B8227" s="334" t="s">
        <v>87</v>
      </c>
      <c r="C8227" s="348" t="s">
        <v>10921</v>
      </c>
      <c r="D8227" s="335" t="s">
        <v>89</v>
      </c>
      <c r="E8227" s="336">
        <v>43794</v>
      </c>
      <c r="F8227" s="336">
        <v>43780</v>
      </c>
      <c r="G8227" s="336">
        <v>43793</v>
      </c>
      <c r="H8227" s="334" t="s">
        <v>17591</v>
      </c>
      <c r="I8227" s="444">
        <v>13761167826</v>
      </c>
      <c r="J8227" s="348" t="s">
        <v>17592</v>
      </c>
      <c r="K8227" s="452">
        <v>4901</v>
      </c>
      <c r="L8227" s="334">
        <v>9261</v>
      </c>
      <c r="M8227" s="338"/>
      <c r="N8227" s="362">
        <f t="shared" si="277"/>
        <v>9261</v>
      </c>
      <c r="X8227" s="339"/>
    </row>
    <row r="8228" s="330" customFormat="1" ht="15" customHeight="1" spans="1:24">
      <c r="A8228" s="550" t="s">
        <v>17593</v>
      </c>
      <c r="B8228" s="334" t="s">
        <v>87</v>
      </c>
      <c r="C8228" s="348" t="s">
        <v>199</v>
      </c>
      <c r="D8228" s="335" t="s">
        <v>89</v>
      </c>
      <c r="E8228" s="336">
        <v>43829</v>
      </c>
      <c r="F8228" s="336">
        <v>43780</v>
      </c>
      <c r="G8228" s="336">
        <v>43829</v>
      </c>
      <c r="H8228" s="334" t="s">
        <v>17594</v>
      </c>
      <c r="I8228" s="444">
        <v>18800377316</v>
      </c>
      <c r="J8228" s="348" t="s">
        <v>17595</v>
      </c>
      <c r="K8228" s="452">
        <v>2000</v>
      </c>
      <c r="L8228" s="334">
        <f>3698+2000</f>
        <v>5698</v>
      </c>
      <c r="M8228" s="338"/>
      <c r="N8228" s="362">
        <f t="shared" si="277"/>
        <v>5698</v>
      </c>
      <c r="P8228" s="356" t="s">
        <v>52</v>
      </c>
      <c r="V8228" s="353" t="s">
        <v>98</v>
      </c>
      <c r="X8228" s="339"/>
    </row>
    <row r="8229" s="330" customFormat="1" ht="15" customHeight="1" spans="1:24">
      <c r="A8229" s="550" t="s">
        <v>17596</v>
      </c>
      <c r="B8229" s="334" t="s">
        <v>153</v>
      </c>
      <c r="C8229" s="348" t="s">
        <v>498</v>
      </c>
      <c r="D8229" s="335" t="s">
        <v>155</v>
      </c>
      <c r="E8229" s="336">
        <v>43781</v>
      </c>
      <c r="F8229" s="336">
        <v>43779</v>
      </c>
      <c r="G8229" s="399"/>
      <c r="H8229" s="334" t="s">
        <v>17597</v>
      </c>
      <c r="I8229" s="444">
        <v>1500610087</v>
      </c>
      <c r="J8229" s="348" t="s">
        <v>17598</v>
      </c>
      <c r="K8229" s="452">
        <v>1000</v>
      </c>
      <c r="L8229" s="338"/>
      <c r="M8229" s="338"/>
      <c r="N8229" s="362">
        <f t="shared" si="277"/>
        <v>0</v>
      </c>
      <c r="U8229" s="353">
        <v>12.17</v>
      </c>
      <c r="X8229" s="339"/>
    </row>
    <row r="8230" s="330" customFormat="1" ht="15" customHeight="1" spans="1:24">
      <c r="A8230" s="550" t="s">
        <v>4365</v>
      </c>
      <c r="B8230" s="334" t="s">
        <v>153</v>
      </c>
      <c r="C8230" s="348" t="s">
        <v>498</v>
      </c>
      <c r="D8230" s="335" t="s">
        <v>155</v>
      </c>
      <c r="E8230" s="336">
        <v>43781</v>
      </c>
      <c r="F8230" s="336">
        <v>43779</v>
      </c>
      <c r="G8230" s="399"/>
      <c r="H8230" s="334" t="s">
        <v>17599</v>
      </c>
      <c r="I8230" s="444">
        <v>13901768042</v>
      </c>
      <c r="J8230" s="348" t="s">
        <v>17600</v>
      </c>
      <c r="K8230" s="452">
        <v>1000</v>
      </c>
      <c r="L8230" s="338"/>
      <c r="M8230" s="338"/>
      <c r="N8230" s="362">
        <f t="shared" si="277"/>
        <v>0</v>
      </c>
      <c r="O8230" s="353" t="s">
        <v>52</v>
      </c>
      <c r="X8230" s="339"/>
    </row>
    <row r="8231" s="330" customFormat="1" ht="15" customHeight="1" spans="1:24">
      <c r="A8231" s="550" t="s">
        <v>11845</v>
      </c>
      <c r="B8231" s="334" t="s">
        <v>153</v>
      </c>
      <c r="C8231" s="348" t="s">
        <v>498</v>
      </c>
      <c r="D8231" s="335" t="s">
        <v>155</v>
      </c>
      <c r="E8231" s="336">
        <v>43781</v>
      </c>
      <c r="F8231" s="336">
        <v>43779</v>
      </c>
      <c r="G8231" s="399"/>
      <c r="H8231" s="334" t="s">
        <v>17601</v>
      </c>
      <c r="I8231" s="444">
        <v>18616350678</v>
      </c>
      <c r="J8231" s="348" t="s">
        <v>17602</v>
      </c>
      <c r="K8231" s="452">
        <v>1000</v>
      </c>
      <c r="L8231" s="338"/>
      <c r="M8231" s="338"/>
      <c r="N8231" s="362">
        <f t="shared" si="277"/>
        <v>0</v>
      </c>
      <c r="Q8231" s="330" t="s">
        <v>52</v>
      </c>
      <c r="X8231" s="339"/>
    </row>
    <row r="8232" s="330" customFormat="1" ht="15" customHeight="1" spans="1:24">
      <c r="A8232" s="334"/>
      <c r="B8232" s="334" t="s">
        <v>4009</v>
      </c>
      <c r="C8232" s="334" t="s">
        <v>6401</v>
      </c>
      <c r="D8232" s="334" t="s">
        <v>8334</v>
      </c>
      <c r="E8232" s="336">
        <v>43781</v>
      </c>
      <c r="F8232" s="336"/>
      <c r="G8232" s="336">
        <v>43779</v>
      </c>
      <c r="H8232" s="334" t="s">
        <v>17603</v>
      </c>
      <c r="I8232" s="334">
        <v>13918704960</v>
      </c>
      <c r="J8232" s="348" t="s">
        <v>17604</v>
      </c>
      <c r="K8232" s="337"/>
      <c r="L8232" s="334">
        <v>2760</v>
      </c>
      <c r="M8232" s="338"/>
      <c r="N8232" s="362">
        <f t="shared" ref="N8232:N8266" si="278">L8232+M8232</f>
        <v>2760</v>
      </c>
      <c r="X8232" s="339"/>
    </row>
    <row r="8233" s="330" customFormat="1" ht="15" customHeight="1" spans="1:24">
      <c r="A8233" s="334"/>
      <c r="B8233" s="334" t="s">
        <v>5435</v>
      </c>
      <c r="C8233" s="334" t="s">
        <v>1728</v>
      </c>
      <c r="D8233" s="334" t="s">
        <v>237</v>
      </c>
      <c r="E8233" s="336">
        <v>43781</v>
      </c>
      <c r="F8233" s="336"/>
      <c r="G8233" s="336">
        <v>43780</v>
      </c>
      <c r="H8233" s="334" t="s">
        <v>17605</v>
      </c>
      <c r="I8233" s="334">
        <v>1750212882</v>
      </c>
      <c r="J8233" s="348" t="s">
        <v>17606</v>
      </c>
      <c r="K8233" s="337"/>
      <c r="L8233" s="334">
        <v>4150</v>
      </c>
      <c r="M8233" s="338"/>
      <c r="N8233" s="362">
        <f t="shared" si="278"/>
        <v>4150</v>
      </c>
      <c r="X8233" s="339"/>
    </row>
    <row r="8234" s="330" customFormat="1" ht="15" customHeight="1" spans="1:24">
      <c r="A8234" s="334"/>
      <c r="B8234" s="334" t="s">
        <v>726</v>
      </c>
      <c r="C8234" s="334" t="s">
        <v>12699</v>
      </c>
      <c r="D8234" s="334" t="s">
        <v>271</v>
      </c>
      <c r="E8234" s="336">
        <v>43781</v>
      </c>
      <c r="F8234" s="336"/>
      <c r="G8234" s="336">
        <v>43780</v>
      </c>
      <c r="H8234" s="334" t="s">
        <v>17607</v>
      </c>
      <c r="I8234" s="334">
        <v>13636352243</v>
      </c>
      <c r="J8234" s="348" t="s">
        <v>17608</v>
      </c>
      <c r="K8234" s="337"/>
      <c r="L8234" s="334">
        <v>4558</v>
      </c>
      <c r="M8234" s="338"/>
      <c r="N8234" s="362">
        <f t="shared" si="278"/>
        <v>4558</v>
      </c>
      <c r="X8234" s="339"/>
    </row>
    <row r="8235" s="330" customFormat="1" ht="15" customHeight="1" spans="1:24">
      <c r="A8235" s="334"/>
      <c r="B8235" s="334" t="s">
        <v>31</v>
      </c>
      <c r="C8235" s="334" t="s">
        <v>220</v>
      </c>
      <c r="D8235" s="334" t="s">
        <v>33</v>
      </c>
      <c r="E8235" s="336">
        <v>43781</v>
      </c>
      <c r="F8235" s="336"/>
      <c r="G8235" s="336">
        <v>43780</v>
      </c>
      <c r="H8235" s="334" t="s">
        <v>12186</v>
      </c>
      <c r="I8235" s="334">
        <v>13917317739</v>
      </c>
      <c r="J8235" s="348" t="s">
        <v>17609</v>
      </c>
      <c r="K8235" s="337"/>
      <c r="L8235" s="334">
        <v>4913</v>
      </c>
      <c r="M8235" s="338"/>
      <c r="N8235" s="362">
        <f t="shared" si="278"/>
        <v>4913</v>
      </c>
      <c r="X8235" s="339"/>
    </row>
    <row r="8236" s="330" customFormat="1" ht="15" customHeight="1" spans="1:24">
      <c r="A8236" s="334"/>
      <c r="B8236" s="334" t="s">
        <v>4009</v>
      </c>
      <c r="C8236" s="334" t="s">
        <v>6401</v>
      </c>
      <c r="D8236" s="334" t="s">
        <v>207</v>
      </c>
      <c r="E8236" s="336">
        <v>43781</v>
      </c>
      <c r="F8236" s="336"/>
      <c r="G8236" s="336">
        <v>43779</v>
      </c>
      <c r="H8236" s="334" t="s">
        <v>17610</v>
      </c>
      <c r="I8236" s="334">
        <v>13916652789</v>
      </c>
      <c r="J8236" s="348" t="s">
        <v>17611</v>
      </c>
      <c r="K8236" s="337"/>
      <c r="L8236" s="334">
        <v>16374</v>
      </c>
      <c r="M8236" s="338"/>
      <c r="N8236" s="362">
        <f t="shared" si="278"/>
        <v>16374</v>
      </c>
      <c r="X8236" s="339"/>
    </row>
    <row r="8237" s="330" customFormat="1" ht="15" customHeight="1" spans="1:24">
      <c r="A8237" s="334"/>
      <c r="B8237" s="334" t="s">
        <v>31</v>
      </c>
      <c r="C8237" s="334" t="s">
        <v>419</v>
      </c>
      <c r="D8237" s="334" t="s">
        <v>221</v>
      </c>
      <c r="E8237" s="336">
        <v>43780</v>
      </c>
      <c r="F8237" s="336"/>
      <c r="G8237" s="336">
        <v>43779</v>
      </c>
      <c r="H8237" s="334" t="s">
        <v>13665</v>
      </c>
      <c r="I8237" s="334">
        <v>18621902583</v>
      </c>
      <c r="J8237" s="348" t="s">
        <v>17612</v>
      </c>
      <c r="K8237" s="337"/>
      <c r="L8237" s="338"/>
      <c r="M8237" s="334">
        <v>1558</v>
      </c>
      <c r="N8237" s="362">
        <f t="shared" si="278"/>
        <v>1558</v>
      </c>
      <c r="X8237" s="339"/>
    </row>
    <row r="8238" s="330" customFormat="1" ht="15" customHeight="1" spans="1:24">
      <c r="A8238" s="334"/>
      <c r="B8238" s="334" t="s">
        <v>805</v>
      </c>
      <c r="C8238" s="334" t="s">
        <v>4935</v>
      </c>
      <c r="D8238" s="334" t="s">
        <v>171</v>
      </c>
      <c r="E8238" s="336">
        <v>43780</v>
      </c>
      <c r="F8238" s="336"/>
      <c r="G8238" s="336">
        <v>43766</v>
      </c>
      <c r="H8238" s="334" t="s">
        <v>13925</v>
      </c>
      <c r="I8238" s="334">
        <v>18018509739</v>
      </c>
      <c r="J8238" s="334" t="s">
        <v>13926</v>
      </c>
      <c r="K8238" s="337"/>
      <c r="L8238" s="338"/>
      <c r="M8238" s="334">
        <v>2000</v>
      </c>
      <c r="N8238" s="362">
        <f t="shared" si="278"/>
        <v>2000</v>
      </c>
      <c r="X8238" s="339"/>
    </row>
    <row r="8239" s="330" customFormat="1" ht="15" customHeight="1" spans="1:24">
      <c r="A8239" s="334"/>
      <c r="B8239" s="334" t="s">
        <v>66</v>
      </c>
      <c r="C8239" s="334" t="s">
        <v>3954</v>
      </c>
      <c r="D8239" s="334" t="s">
        <v>2302</v>
      </c>
      <c r="E8239" s="336">
        <v>43780</v>
      </c>
      <c r="F8239" s="336"/>
      <c r="G8239" s="336">
        <v>43778</v>
      </c>
      <c r="H8239" s="334" t="s">
        <v>13624</v>
      </c>
      <c r="I8239" s="334">
        <v>18665887854</v>
      </c>
      <c r="J8239" s="334" t="s">
        <v>13625</v>
      </c>
      <c r="K8239" s="337"/>
      <c r="L8239" s="338"/>
      <c r="M8239" s="334">
        <v>4274</v>
      </c>
      <c r="N8239" s="362">
        <f t="shared" si="278"/>
        <v>4274</v>
      </c>
      <c r="X8239" s="339"/>
    </row>
    <row r="8240" s="330" customFormat="1" ht="15" customHeight="1" spans="1:24">
      <c r="A8240" s="334"/>
      <c r="B8240" s="334" t="s">
        <v>137</v>
      </c>
      <c r="C8240" s="334" t="s">
        <v>411</v>
      </c>
      <c r="D8240" s="334" t="s">
        <v>139</v>
      </c>
      <c r="E8240" s="336">
        <v>43780</v>
      </c>
      <c r="F8240" s="336"/>
      <c r="G8240" s="336">
        <v>43778</v>
      </c>
      <c r="H8240" s="334" t="s">
        <v>4827</v>
      </c>
      <c r="I8240" s="444">
        <v>19945684883</v>
      </c>
      <c r="J8240" s="348" t="s">
        <v>4828</v>
      </c>
      <c r="K8240" s="337"/>
      <c r="L8240" s="338"/>
      <c r="M8240" s="334">
        <v>7568</v>
      </c>
      <c r="N8240" s="362">
        <f t="shared" si="278"/>
        <v>7568</v>
      </c>
      <c r="X8240" s="339"/>
    </row>
    <row r="8241" s="330" customFormat="1" ht="15" customHeight="1" spans="1:24">
      <c r="A8241" s="334"/>
      <c r="B8241" s="334" t="s">
        <v>315</v>
      </c>
      <c r="C8241" s="334" t="s">
        <v>181</v>
      </c>
      <c r="D8241" s="334" t="s">
        <v>207</v>
      </c>
      <c r="E8241" s="336">
        <v>43780</v>
      </c>
      <c r="F8241" s="336"/>
      <c r="G8241" s="336">
        <v>43776</v>
      </c>
      <c r="H8241" s="334" t="s">
        <v>13618</v>
      </c>
      <c r="I8241" s="426">
        <v>13818003395</v>
      </c>
      <c r="J8241" s="334" t="s">
        <v>13619</v>
      </c>
      <c r="K8241" s="337"/>
      <c r="L8241" s="338"/>
      <c r="M8241" s="334">
        <v>1919</v>
      </c>
      <c r="N8241" s="362">
        <f t="shared" si="278"/>
        <v>1919</v>
      </c>
      <c r="X8241" s="339"/>
    </row>
    <row r="8242" s="330" customFormat="1" ht="15" customHeight="1" spans="1:24">
      <c r="A8242" s="334"/>
      <c r="B8242" s="334" t="s">
        <v>73</v>
      </c>
      <c r="C8242" s="334" t="s">
        <v>178</v>
      </c>
      <c r="D8242" s="334" t="s">
        <v>75</v>
      </c>
      <c r="E8242" s="336">
        <v>43780</v>
      </c>
      <c r="F8242" s="336"/>
      <c r="G8242" s="336">
        <v>43779</v>
      </c>
      <c r="H8242" s="334" t="s">
        <v>16028</v>
      </c>
      <c r="I8242" s="444">
        <v>15900615886</v>
      </c>
      <c r="J8242" s="348" t="s">
        <v>16029</v>
      </c>
      <c r="K8242" s="337"/>
      <c r="L8242" s="338"/>
      <c r="M8242" s="334">
        <v>263</v>
      </c>
      <c r="N8242" s="362">
        <f t="shared" si="278"/>
        <v>263</v>
      </c>
      <c r="X8242" s="339"/>
    </row>
    <row r="8243" s="330" customFormat="1" ht="15" customHeight="1" spans="1:24">
      <c r="A8243" s="334"/>
      <c r="B8243" s="334" t="s">
        <v>5435</v>
      </c>
      <c r="C8243" s="334" t="s">
        <v>1728</v>
      </c>
      <c r="D8243" s="334" t="s">
        <v>149</v>
      </c>
      <c r="E8243" s="336">
        <v>43780</v>
      </c>
      <c r="F8243" s="336"/>
      <c r="G8243" s="336">
        <v>43776</v>
      </c>
      <c r="H8243" s="334" t="s">
        <v>14751</v>
      </c>
      <c r="I8243" s="444">
        <v>13764426158</v>
      </c>
      <c r="J8243" s="348" t="s">
        <v>14752</v>
      </c>
      <c r="K8243" s="337"/>
      <c r="L8243" s="338"/>
      <c r="M8243" s="334">
        <v>-99</v>
      </c>
      <c r="N8243" s="362">
        <f t="shared" si="278"/>
        <v>-99</v>
      </c>
      <c r="X8243" s="339"/>
    </row>
    <row r="8244" s="330" customFormat="1" ht="15" customHeight="1" spans="1:24">
      <c r="A8244" s="334"/>
      <c r="B8244" s="334" t="s">
        <v>315</v>
      </c>
      <c r="C8244" s="334" t="s">
        <v>181</v>
      </c>
      <c r="D8244" s="334" t="s">
        <v>182</v>
      </c>
      <c r="E8244" s="336">
        <v>43780</v>
      </c>
      <c r="F8244" s="336"/>
      <c r="G8244" s="336">
        <v>43747</v>
      </c>
      <c r="H8244" s="334" t="s">
        <v>11342</v>
      </c>
      <c r="I8244" s="334">
        <v>13162035919</v>
      </c>
      <c r="J8244" s="334" t="s">
        <v>11343</v>
      </c>
      <c r="K8244" s="337"/>
      <c r="L8244" s="338"/>
      <c r="M8244" s="334">
        <v>9752</v>
      </c>
      <c r="N8244" s="362">
        <f t="shared" si="278"/>
        <v>9752</v>
      </c>
      <c r="X8244" s="339"/>
    </row>
    <row r="8245" s="330" customFormat="1" ht="15" customHeight="1" spans="1:24">
      <c r="A8245" s="334"/>
      <c r="B8245" s="334" t="s">
        <v>31</v>
      </c>
      <c r="C8245" s="334" t="s">
        <v>419</v>
      </c>
      <c r="D8245" s="334" t="s">
        <v>33</v>
      </c>
      <c r="E8245" s="336">
        <v>43780</v>
      </c>
      <c r="F8245" s="336"/>
      <c r="G8245" s="336">
        <v>43779</v>
      </c>
      <c r="H8245" s="334" t="s">
        <v>3508</v>
      </c>
      <c r="I8245" s="426">
        <v>13501861062</v>
      </c>
      <c r="J8245" s="334" t="s">
        <v>17613</v>
      </c>
      <c r="K8245" s="337"/>
      <c r="L8245" s="338"/>
      <c r="M8245" s="334">
        <v>3369</v>
      </c>
      <c r="N8245" s="362">
        <f t="shared" si="278"/>
        <v>3369</v>
      </c>
      <c r="X8245" s="339"/>
    </row>
    <row r="8246" s="330" customFormat="1" ht="15" customHeight="1" spans="1:24">
      <c r="A8246" s="334"/>
      <c r="B8246" s="334" t="s">
        <v>58</v>
      </c>
      <c r="C8246" s="334" t="s">
        <v>342</v>
      </c>
      <c r="D8246" s="334" t="s">
        <v>343</v>
      </c>
      <c r="E8246" s="336">
        <v>43780</v>
      </c>
      <c r="F8246" s="336"/>
      <c r="G8246" s="336">
        <v>43779</v>
      </c>
      <c r="H8246" s="334" t="s">
        <v>11649</v>
      </c>
      <c r="I8246" s="426">
        <v>13917874959</v>
      </c>
      <c r="J8246" s="334" t="s">
        <v>11650</v>
      </c>
      <c r="K8246" s="337"/>
      <c r="L8246" s="338"/>
      <c r="M8246" s="334">
        <v>6588</v>
      </c>
      <c r="N8246" s="362">
        <f t="shared" si="278"/>
        <v>6588</v>
      </c>
      <c r="X8246" s="339"/>
    </row>
    <row r="8247" s="330" customFormat="1" ht="15" customHeight="1" spans="1:24">
      <c r="A8247" s="334"/>
      <c r="B8247" s="334" t="s">
        <v>31</v>
      </c>
      <c r="C8247" s="334" t="s">
        <v>419</v>
      </c>
      <c r="D8247" s="334" t="s">
        <v>33</v>
      </c>
      <c r="E8247" s="336">
        <v>43780</v>
      </c>
      <c r="F8247" s="336"/>
      <c r="G8247" s="336">
        <v>43779</v>
      </c>
      <c r="H8247" s="334" t="s">
        <v>5378</v>
      </c>
      <c r="I8247" s="334">
        <v>13761605117</v>
      </c>
      <c r="J8247" s="334" t="s">
        <v>5379</v>
      </c>
      <c r="K8247" s="337"/>
      <c r="L8247" s="338"/>
      <c r="M8247" s="334">
        <v>10411</v>
      </c>
      <c r="N8247" s="362">
        <f t="shared" si="278"/>
        <v>10411</v>
      </c>
      <c r="X8247" s="339"/>
    </row>
    <row r="8248" s="330" customFormat="1" ht="15" customHeight="1" spans="1:24">
      <c r="A8248" s="334"/>
      <c r="B8248" s="334" t="s">
        <v>58</v>
      </c>
      <c r="C8248" s="334" t="s">
        <v>342</v>
      </c>
      <c r="D8248" s="334" t="s">
        <v>343</v>
      </c>
      <c r="E8248" s="336">
        <v>43780</v>
      </c>
      <c r="F8248" s="336"/>
      <c r="G8248" s="336">
        <v>43779</v>
      </c>
      <c r="H8248" s="334" t="s">
        <v>9065</v>
      </c>
      <c r="I8248" s="426">
        <v>13918339507</v>
      </c>
      <c r="J8248" s="334" t="s">
        <v>17614</v>
      </c>
      <c r="K8248" s="337"/>
      <c r="L8248" s="338"/>
      <c r="M8248" s="334">
        <v>16054</v>
      </c>
      <c r="N8248" s="362">
        <f t="shared" si="278"/>
        <v>16054</v>
      </c>
      <c r="X8248" s="339"/>
    </row>
    <row r="8249" s="330" customFormat="1" ht="15" customHeight="1" spans="1:24">
      <c r="A8249" s="334"/>
      <c r="B8249" s="334" t="s">
        <v>31</v>
      </c>
      <c r="C8249" s="334" t="s">
        <v>3186</v>
      </c>
      <c r="D8249" s="334" t="s">
        <v>33</v>
      </c>
      <c r="E8249" s="336">
        <v>43780</v>
      </c>
      <c r="F8249" s="336"/>
      <c r="G8249" s="336">
        <v>43747</v>
      </c>
      <c r="H8249" s="334" t="s">
        <v>5811</v>
      </c>
      <c r="I8249" s="334">
        <v>13524554275</v>
      </c>
      <c r="J8249" s="334" t="s">
        <v>5812</v>
      </c>
      <c r="K8249" s="337"/>
      <c r="L8249" s="338"/>
      <c r="M8249" s="334">
        <v>-4100</v>
      </c>
      <c r="N8249" s="362">
        <f t="shared" si="278"/>
        <v>-4100</v>
      </c>
      <c r="X8249" s="339"/>
    </row>
    <row r="8250" s="330" customFormat="1" ht="15" customHeight="1" spans="1:24">
      <c r="A8250" s="334"/>
      <c r="B8250" s="334" t="s">
        <v>335</v>
      </c>
      <c r="C8250" s="334" t="s">
        <v>399</v>
      </c>
      <c r="D8250" s="334" t="s">
        <v>337</v>
      </c>
      <c r="E8250" s="336">
        <v>43780</v>
      </c>
      <c r="F8250" s="336"/>
      <c r="G8250" s="336">
        <v>43778</v>
      </c>
      <c r="H8250" s="334" t="s">
        <v>16772</v>
      </c>
      <c r="I8250" s="426">
        <v>13816010225</v>
      </c>
      <c r="J8250" s="348" t="s">
        <v>16773</v>
      </c>
      <c r="K8250" s="337"/>
      <c r="L8250" s="338"/>
      <c r="M8250" s="334">
        <v>10000</v>
      </c>
      <c r="N8250" s="362">
        <f t="shared" si="278"/>
        <v>10000</v>
      </c>
      <c r="X8250" s="339"/>
    </row>
    <row r="8251" s="330" customFormat="1" ht="15" customHeight="1" spans="1:24">
      <c r="A8251" s="334"/>
      <c r="B8251" s="334" t="s">
        <v>66</v>
      </c>
      <c r="C8251" s="334" t="s">
        <v>1749</v>
      </c>
      <c r="D8251" s="334" t="s">
        <v>1436</v>
      </c>
      <c r="E8251" s="336">
        <v>43780</v>
      </c>
      <c r="F8251" s="336"/>
      <c r="G8251" s="336">
        <v>43779</v>
      </c>
      <c r="H8251" s="334" t="s">
        <v>12744</v>
      </c>
      <c r="I8251" s="334">
        <v>13918394875</v>
      </c>
      <c r="J8251" s="334" t="s">
        <v>12745</v>
      </c>
      <c r="K8251" s="337"/>
      <c r="L8251" s="338"/>
      <c r="M8251" s="334">
        <v>9492</v>
      </c>
      <c r="N8251" s="362">
        <f t="shared" si="278"/>
        <v>9492</v>
      </c>
      <c r="X8251" s="339"/>
    </row>
    <row r="8252" s="330" customFormat="1" ht="15" customHeight="1" spans="1:24">
      <c r="A8252" s="334"/>
      <c r="B8252" s="334" t="s">
        <v>137</v>
      </c>
      <c r="C8252" s="334" t="s">
        <v>138</v>
      </c>
      <c r="D8252" s="334" t="s">
        <v>343</v>
      </c>
      <c r="E8252" s="336">
        <v>43780</v>
      </c>
      <c r="F8252" s="336"/>
      <c r="G8252" s="336">
        <v>43779</v>
      </c>
      <c r="H8252" s="334" t="s">
        <v>16374</v>
      </c>
      <c r="I8252" s="426">
        <v>13801729745</v>
      </c>
      <c r="J8252" s="348" t="s">
        <v>17615</v>
      </c>
      <c r="K8252" s="337"/>
      <c r="L8252" s="338"/>
      <c r="M8252" s="334">
        <v>0</v>
      </c>
      <c r="N8252" s="362">
        <f t="shared" si="278"/>
        <v>0</v>
      </c>
      <c r="X8252" s="339"/>
    </row>
    <row r="8253" s="330" customFormat="1" ht="15" customHeight="1" spans="1:24">
      <c r="A8253" s="334"/>
      <c r="B8253" s="334" t="s">
        <v>5435</v>
      </c>
      <c r="C8253" s="334" t="s">
        <v>1728</v>
      </c>
      <c r="D8253" s="334" t="s">
        <v>237</v>
      </c>
      <c r="E8253" s="336">
        <v>43780</v>
      </c>
      <c r="F8253" s="336"/>
      <c r="G8253" s="336">
        <v>43779</v>
      </c>
      <c r="H8253" s="334" t="s">
        <v>14829</v>
      </c>
      <c r="I8253" s="444">
        <v>13761794707</v>
      </c>
      <c r="J8253" s="348" t="s">
        <v>14830</v>
      </c>
      <c r="K8253" s="337"/>
      <c r="L8253" s="338"/>
      <c r="M8253" s="334">
        <v>581</v>
      </c>
      <c r="N8253" s="362">
        <f t="shared" si="278"/>
        <v>581</v>
      </c>
      <c r="X8253" s="339"/>
    </row>
    <row r="8254" s="330" customFormat="1" ht="15" customHeight="1" spans="1:24">
      <c r="A8254" s="334"/>
      <c r="B8254" s="334" t="s">
        <v>58</v>
      </c>
      <c r="C8254" s="334" t="s">
        <v>347</v>
      </c>
      <c r="D8254" s="334" t="s">
        <v>343</v>
      </c>
      <c r="E8254" s="336">
        <v>43780</v>
      </c>
      <c r="F8254" s="336"/>
      <c r="G8254" s="336">
        <v>43779</v>
      </c>
      <c r="H8254" s="334" t="s">
        <v>10183</v>
      </c>
      <c r="I8254" s="444">
        <v>13671706255</v>
      </c>
      <c r="J8254" s="348" t="s">
        <v>10184</v>
      </c>
      <c r="K8254" s="337"/>
      <c r="L8254" s="338"/>
      <c r="M8254" s="334">
        <v>300</v>
      </c>
      <c r="N8254" s="362">
        <f t="shared" si="278"/>
        <v>300</v>
      </c>
      <c r="X8254" s="339"/>
    </row>
    <row r="8255" s="330" customFormat="1" ht="15" customHeight="1" spans="1:24">
      <c r="A8255" s="334"/>
      <c r="B8255" s="334" t="s">
        <v>58</v>
      </c>
      <c r="C8255" s="334" t="s">
        <v>347</v>
      </c>
      <c r="D8255" s="334" t="s">
        <v>343</v>
      </c>
      <c r="E8255" s="336">
        <v>43780</v>
      </c>
      <c r="F8255" s="336"/>
      <c r="G8255" s="336">
        <v>43779</v>
      </c>
      <c r="H8255" s="334" t="s">
        <v>11246</v>
      </c>
      <c r="I8255" s="426">
        <v>13918227495</v>
      </c>
      <c r="J8255" s="334" t="s">
        <v>13765</v>
      </c>
      <c r="K8255" s="337"/>
      <c r="L8255" s="338"/>
      <c r="M8255" s="334">
        <v>25400</v>
      </c>
      <c r="N8255" s="362">
        <f t="shared" si="278"/>
        <v>25400</v>
      </c>
      <c r="X8255" s="339"/>
    </row>
    <row r="8256" s="330" customFormat="1" ht="15" customHeight="1" spans="1:24">
      <c r="A8256" s="334"/>
      <c r="B8256" s="334" t="s">
        <v>73</v>
      </c>
      <c r="C8256" s="334" t="s">
        <v>74</v>
      </c>
      <c r="D8256" s="334" t="s">
        <v>132</v>
      </c>
      <c r="E8256" s="336">
        <v>43781</v>
      </c>
      <c r="F8256" s="336"/>
      <c r="G8256" s="336">
        <v>43778</v>
      </c>
      <c r="H8256" s="334" t="s">
        <v>7992</v>
      </c>
      <c r="I8256" s="334">
        <v>17701842805</v>
      </c>
      <c r="J8256" s="334" t="s">
        <v>7993</v>
      </c>
      <c r="K8256" s="337"/>
      <c r="L8256" s="338"/>
      <c r="M8256" s="334">
        <v>5714</v>
      </c>
      <c r="N8256" s="362">
        <f t="shared" si="278"/>
        <v>5714</v>
      </c>
      <c r="X8256" s="339"/>
    </row>
    <row r="8257" s="330" customFormat="1" ht="15" customHeight="1" spans="1:24">
      <c r="A8257" s="334"/>
      <c r="B8257" s="334" t="s">
        <v>315</v>
      </c>
      <c r="C8257" s="334" t="s">
        <v>722</v>
      </c>
      <c r="D8257" s="334" t="s">
        <v>149</v>
      </c>
      <c r="E8257" s="336">
        <v>43781</v>
      </c>
      <c r="F8257" s="336"/>
      <c r="G8257" s="336">
        <v>43778</v>
      </c>
      <c r="H8257" s="334" t="s">
        <v>17616</v>
      </c>
      <c r="I8257" s="496">
        <v>18121062266</v>
      </c>
      <c r="J8257" s="496" t="s">
        <v>17617</v>
      </c>
      <c r="K8257" s="337"/>
      <c r="L8257" s="338"/>
      <c r="M8257" s="334">
        <v>893</v>
      </c>
      <c r="N8257" s="362">
        <f t="shared" si="278"/>
        <v>893</v>
      </c>
      <c r="X8257" s="339"/>
    </row>
    <row r="8258" s="330" customFormat="1" ht="15" customHeight="1" spans="1:24">
      <c r="A8258" s="334"/>
      <c r="B8258" s="334" t="s">
        <v>354</v>
      </c>
      <c r="C8258" s="334" t="s">
        <v>355</v>
      </c>
      <c r="D8258" s="334" t="s">
        <v>162</v>
      </c>
      <c r="E8258" s="336">
        <v>43781</v>
      </c>
      <c r="F8258" s="336"/>
      <c r="G8258" s="336">
        <v>43779</v>
      </c>
      <c r="H8258" s="334" t="s">
        <v>12095</v>
      </c>
      <c r="I8258" s="334">
        <v>15921983279</v>
      </c>
      <c r="J8258" s="334" t="s">
        <v>17618</v>
      </c>
      <c r="K8258" s="337"/>
      <c r="L8258" s="338"/>
      <c r="M8258" s="334">
        <v>15369</v>
      </c>
      <c r="N8258" s="362">
        <f t="shared" si="278"/>
        <v>15369</v>
      </c>
      <c r="X8258" s="339"/>
    </row>
    <row r="8259" s="330" customFormat="1" ht="15" customHeight="1" spans="1:24">
      <c r="A8259" s="334"/>
      <c r="B8259" s="334" t="s">
        <v>31</v>
      </c>
      <c r="C8259" s="334" t="s">
        <v>13171</v>
      </c>
      <c r="D8259" s="334" t="s">
        <v>954</v>
      </c>
      <c r="E8259" s="336">
        <v>43781</v>
      </c>
      <c r="F8259" s="336"/>
      <c r="G8259" s="336">
        <v>43780</v>
      </c>
      <c r="H8259" s="334" t="s">
        <v>15397</v>
      </c>
      <c r="I8259" s="334">
        <v>18930673138</v>
      </c>
      <c r="J8259" s="348" t="s">
        <v>15398</v>
      </c>
      <c r="K8259" s="337"/>
      <c r="L8259" s="338"/>
      <c r="M8259" s="334">
        <v>3300</v>
      </c>
      <c r="N8259" s="362">
        <f t="shared" si="278"/>
        <v>3300</v>
      </c>
      <c r="X8259" s="339"/>
    </row>
    <row r="8260" s="330" customFormat="1" ht="15" customHeight="1" spans="1:24">
      <c r="A8260" s="334"/>
      <c r="B8260" s="334" t="s">
        <v>137</v>
      </c>
      <c r="C8260" s="334" t="s">
        <v>406</v>
      </c>
      <c r="D8260" s="334" t="s">
        <v>443</v>
      </c>
      <c r="E8260" s="336">
        <v>43781</v>
      </c>
      <c r="F8260" s="336"/>
      <c r="G8260" s="336">
        <v>43780</v>
      </c>
      <c r="H8260" s="334" t="s">
        <v>13467</v>
      </c>
      <c r="I8260" s="334">
        <v>13817980468</v>
      </c>
      <c r="J8260" s="334" t="s">
        <v>17619</v>
      </c>
      <c r="K8260" s="337"/>
      <c r="L8260" s="338"/>
      <c r="M8260" s="334">
        <v>-16491</v>
      </c>
      <c r="N8260" s="362">
        <f t="shared" si="278"/>
        <v>-16491</v>
      </c>
      <c r="X8260" s="339"/>
    </row>
    <row r="8261" s="330" customFormat="1" ht="15" customHeight="1" spans="1:24">
      <c r="A8261" s="334"/>
      <c r="B8261" s="334" t="s">
        <v>726</v>
      </c>
      <c r="C8261" s="334" t="s">
        <v>727</v>
      </c>
      <c r="D8261" s="334" t="s">
        <v>271</v>
      </c>
      <c r="E8261" s="336">
        <v>43781</v>
      </c>
      <c r="F8261" s="336"/>
      <c r="G8261" s="336">
        <v>43775</v>
      </c>
      <c r="H8261" s="334" t="s">
        <v>13509</v>
      </c>
      <c r="I8261" s="334">
        <v>13641892711</v>
      </c>
      <c r="J8261" s="334" t="s">
        <v>17620</v>
      </c>
      <c r="K8261" s="337"/>
      <c r="L8261" s="338"/>
      <c r="M8261" s="334">
        <v>13416</v>
      </c>
      <c r="N8261" s="362">
        <f t="shared" si="278"/>
        <v>13416</v>
      </c>
      <c r="X8261" s="339"/>
    </row>
    <row r="8262" s="330" customFormat="1" ht="15" customHeight="1" spans="1:24">
      <c r="A8262" s="334"/>
      <c r="B8262" s="334" t="s">
        <v>137</v>
      </c>
      <c r="C8262" s="334" t="s">
        <v>138</v>
      </c>
      <c r="D8262" s="334" t="s">
        <v>139</v>
      </c>
      <c r="E8262" s="336">
        <v>43781</v>
      </c>
      <c r="F8262" s="336"/>
      <c r="G8262" s="336">
        <v>43780</v>
      </c>
      <c r="H8262" s="334" t="s">
        <v>12385</v>
      </c>
      <c r="I8262" s="334">
        <v>13817545732</v>
      </c>
      <c r="J8262" s="334" t="s">
        <v>12386</v>
      </c>
      <c r="K8262" s="337"/>
      <c r="L8262" s="338"/>
      <c r="M8262" s="334">
        <v>2466</v>
      </c>
      <c r="N8262" s="362">
        <f t="shared" si="278"/>
        <v>2466</v>
      </c>
      <c r="X8262" s="339"/>
    </row>
    <row r="8263" s="330" customFormat="1" ht="15" customHeight="1" spans="1:24">
      <c r="A8263" s="334"/>
      <c r="B8263" s="334" t="s">
        <v>87</v>
      </c>
      <c r="C8263" s="348" t="s">
        <v>466</v>
      </c>
      <c r="D8263" s="334" t="s">
        <v>89</v>
      </c>
      <c r="E8263" s="336">
        <v>43781</v>
      </c>
      <c r="F8263" s="336"/>
      <c r="G8263" s="336">
        <v>43779</v>
      </c>
      <c r="H8263" s="334" t="s">
        <v>9326</v>
      </c>
      <c r="I8263" s="444">
        <v>18221009880</v>
      </c>
      <c r="J8263" s="348" t="s">
        <v>9327</v>
      </c>
      <c r="K8263" s="337"/>
      <c r="L8263" s="338"/>
      <c r="M8263" s="334">
        <v>522</v>
      </c>
      <c r="N8263" s="362">
        <f t="shared" si="278"/>
        <v>522</v>
      </c>
      <c r="X8263" s="339"/>
    </row>
    <row r="8264" s="330" customFormat="1" ht="15" customHeight="1" spans="1:24">
      <c r="A8264" s="334"/>
      <c r="B8264" s="334" t="s">
        <v>137</v>
      </c>
      <c r="C8264" s="334" t="s">
        <v>138</v>
      </c>
      <c r="D8264" s="334" t="s">
        <v>139</v>
      </c>
      <c r="E8264" s="336">
        <v>43781</v>
      </c>
      <c r="F8264" s="336"/>
      <c r="G8264" s="336">
        <v>43779</v>
      </c>
      <c r="H8264" s="334" t="s">
        <v>11406</v>
      </c>
      <c r="I8264" s="334">
        <v>13817795846</v>
      </c>
      <c r="J8264" s="348" t="s">
        <v>11407</v>
      </c>
      <c r="K8264" s="337"/>
      <c r="L8264" s="338"/>
      <c r="M8264" s="334">
        <v>5609</v>
      </c>
      <c r="N8264" s="362">
        <f t="shared" si="278"/>
        <v>5609</v>
      </c>
      <c r="X8264" s="339"/>
    </row>
    <row r="8265" s="330" customFormat="1" ht="15" customHeight="1" spans="1:24">
      <c r="A8265" s="334"/>
      <c r="B8265" s="334" t="s">
        <v>137</v>
      </c>
      <c r="C8265" s="334" t="s">
        <v>138</v>
      </c>
      <c r="D8265" s="334" t="s">
        <v>427</v>
      </c>
      <c r="E8265" s="336">
        <v>43781</v>
      </c>
      <c r="F8265" s="336"/>
      <c r="G8265" s="336">
        <v>43780</v>
      </c>
      <c r="H8265" s="334" t="s">
        <v>17621</v>
      </c>
      <c r="I8265" s="334">
        <v>18915944109</v>
      </c>
      <c r="J8265" s="348" t="s">
        <v>17622</v>
      </c>
      <c r="K8265" s="337"/>
      <c r="L8265" s="338"/>
      <c r="M8265" s="334">
        <v>819</v>
      </c>
      <c r="N8265" s="362">
        <f t="shared" si="278"/>
        <v>819</v>
      </c>
      <c r="X8265" s="339"/>
    </row>
    <row r="8266" s="330" customFormat="1" ht="15" customHeight="1" spans="1:24">
      <c r="A8266" s="334"/>
      <c r="B8266" s="334" t="s">
        <v>315</v>
      </c>
      <c r="C8266" s="334" t="s">
        <v>275</v>
      </c>
      <c r="D8266" s="334" t="s">
        <v>162</v>
      </c>
      <c r="E8266" s="336">
        <v>43781</v>
      </c>
      <c r="F8266" s="336"/>
      <c r="G8266" s="336">
        <v>43777</v>
      </c>
      <c r="H8266" s="334" t="s">
        <v>13614</v>
      </c>
      <c r="I8266" s="334">
        <v>13917839405</v>
      </c>
      <c r="J8266" s="348" t="s">
        <v>13615</v>
      </c>
      <c r="K8266" s="337"/>
      <c r="L8266" s="338"/>
      <c r="M8266" s="334">
        <v>7200</v>
      </c>
      <c r="N8266" s="362">
        <f t="shared" si="278"/>
        <v>7200</v>
      </c>
      <c r="X8266" s="339"/>
    </row>
    <row r="8267" s="330" customFormat="1" ht="15" customHeight="1" spans="1:24">
      <c r="A8267" s="348"/>
      <c r="B8267" s="334" t="s">
        <v>47</v>
      </c>
      <c r="C8267" s="348" t="s">
        <v>53</v>
      </c>
      <c r="D8267" s="335" t="s">
        <v>49</v>
      </c>
      <c r="E8267" s="336">
        <v>43782</v>
      </c>
      <c r="F8267" s="336">
        <v>43778</v>
      </c>
      <c r="G8267" s="399">
        <v>43781</v>
      </c>
      <c r="H8267" s="334" t="s">
        <v>17623</v>
      </c>
      <c r="I8267" s="444">
        <v>18017392572</v>
      </c>
      <c r="J8267" s="348" t="s">
        <v>17624</v>
      </c>
      <c r="K8267" s="452">
        <v>6675</v>
      </c>
      <c r="L8267" s="334">
        <v>6675</v>
      </c>
      <c r="M8267" s="338"/>
      <c r="N8267" s="362">
        <f t="shared" ref="N8267:N8298" si="279">L8267+M8267</f>
        <v>6675</v>
      </c>
      <c r="X8267" s="339"/>
    </row>
    <row r="8268" s="330" customFormat="1" ht="15" customHeight="1" spans="1:24">
      <c r="A8268" s="348"/>
      <c r="B8268" s="334" t="s">
        <v>47</v>
      </c>
      <c r="C8268" s="334" t="s">
        <v>80</v>
      </c>
      <c r="D8268" s="335" t="s">
        <v>49</v>
      </c>
      <c r="E8268" s="336">
        <v>43782</v>
      </c>
      <c r="F8268" s="336">
        <v>43778</v>
      </c>
      <c r="G8268" s="399">
        <v>43780</v>
      </c>
      <c r="H8268" s="334" t="s">
        <v>17625</v>
      </c>
      <c r="I8268" s="334">
        <v>13564724277</v>
      </c>
      <c r="J8268" s="348" t="s">
        <v>17626</v>
      </c>
      <c r="K8268" s="452">
        <v>5924</v>
      </c>
      <c r="L8268" s="334">
        <v>5924</v>
      </c>
      <c r="M8268" s="338"/>
      <c r="N8268" s="362">
        <f t="shared" si="279"/>
        <v>5924</v>
      </c>
      <c r="X8268" s="339"/>
    </row>
    <row r="8269" s="330" customFormat="1" ht="15" customHeight="1" spans="1:24">
      <c r="A8269" s="348">
        <v>20688434</v>
      </c>
      <c r="B8269" s="334" t="s">
        <v>47</v>
      </c>
      <c r="C8269" s="348" t="s">
        <v>53</v>
      </c>
      <c r="D8269" s="335" t="s">
        <v>49</v>
      </c>
      <c r="E8269" s="336">
        <v>43782</v>
      </c>
      <c r="F8269" s="336">
        <v>43781</v>
      </c>
      <c r="G8269" s="399">
        <v>43781</v>
      </c>
      <c r="H8269" s="334" t="s">
        <v>17627</v>
      </c>
      <c r="I8269" s="444">
        <v>15618511991</v>
      </c>
      <c r="J8269" s="348" t="s">
        <v>17628</v>
      </c>
      <c r="K8269" s="452">
        <v>1000</v>
      </c>
      <c r="L8269" s="334">
        <v>8478</v>
      </c>
      <c r="M8269" s="338"/>
      <c r="N8269" s="362">
        <f t="shared" si="279"/>
        <v>8478</v>
      </c>
      <c r="X8269" s="339"/>
    </row>
    <row r="8270" s="330" customFormat="1" ht="15" customHeight="1" spans="1:24">
      <c r="A8270" s="348"/>
      <c r="B8270" s="334" t="s">
        <v>47</v>
      </c>
      <c r="C8270" s="348" t="s">
        <v>80</v>
      </c>
      <c r="D8270" s="335" t="s">
        <v>49</v>
      </c>
      <c r="E8270" s="336">
        <v>43782</v>
      </c>
      <c r="F8270" s="336">
        <v>43775</v>
      </c>
      <c r="G8270" s="399">
        <v>43782</v>
      </c>
      <c r="H8270" s="334" t="s">
        <v>17629</v>
      </c>
      <c r="I8270" s="334">
        <v>15921570776</v>
      </c>
      <c r="J8270" s="348" t="s">
        <v>17630</v>
      </c>
      <c r="K8270" s="452">
        <v>7800</v>
      </c>
      <c r="L8270" s="334">
        <v>7800</v>
      </c>
      <c r="M8270" s="338"/>
      <c r="N8270" s="362">
        <f t="shared" si="279"/>
        <v>7800</v>
      </c>
      <c r="X8270" s="339"/>
    </row>
    <row r="8271" s="330" customFormat="1" ht="15" customHeight="1" spans="1:24">
      <c r="A8271" s="348"/>
      <c r="B8271" s="334" t="s">
        <v>47</v>
      </c>
      <c r="C8271" s="348" t="s">
        <v>53</v>
      </c>
      <c r="D8271" s="335" t="s">
        <v>49</v>
      </c>
      <c r="E8271" s="336">
        <v>43782</v>
      </c>
      <c r="F8271" s="336">
        <v>43777</v>
      </c>
      <c r="G8271" s="399"/>
      <c r="H8271" s="334" t="s">
        <v>1133</v>
      </c>
      <c r="I8271" s="444">
        <v>13916599865</v>
      </c>
      <c r="J8271" s="348" t="s">
        <v>17631</v>
      </c>
      <c r="K8271" s="452">
        <v>1000</v>
      </c>
      <c r="L8271" s="338"/>
      <c r="M8271" s="338"/>
      <c r="N8271" s="362">
        <f t="shared" si="279"/>
        <v>0</v>
      </c>
      <c r="P8271" s="356"/>
      <c r="Q8271" s="356" t="s">
        <v>52</v>
      </c>
      <c r="X8271" s="339"/>
    </row>
    <row r="8272" s="330" customFormat="1" ht="15" customHeight="1" spans="1:24">
      <c r="A8272" s="348"/>
      <c r="B8272" s="334" t="s">
        <v>47</v>
      </c>
      <c r="C8272" s="348" t="s">
        <v>53</v>
      </c>
      <c r="D8272" s="335" t="s">
        <v>49</v>
      </c>
      <c r="E8272" s="336">
        <v>43795</v>
      </c>
      <c r="F8272" s="336">
        <v>43779</v>
      </c>
      <c r="G8272" s="336">
        <v>43795</v>
      </c>
      <c r="H8272" s="334" t="s">
        <v>17632</v>
      </c>
      <c r="I8272" s="444">
        <v>13918388429</v>
      </c>
      <c r="J8272" s="348" t="s">
        <v>17633</v>
      </c>
      <c r="K8272" s="452">
        <v>5000</v>
      </c>
      <c r="L8272" s="334">
        <v>30736</v>
      </c>
      <c r="M8272" s="338"/>
      <c r="N8272" s="362">
        <f t="shared" si="279"/>
        <v>30736</v>
      </c>
      <c r="S8272" s="356" t="s">
        <v>52</v>
      </c>
      <c r="X8272" s="339"/>
    </row>
    <row r="8273" s="330" customFormat="1" ht="15" customHeight="1" spans="1:24">
      <c r="A8273" s="348"/>
      <c r="B8273" s="334" t="s">
        <v>47</v>
      </c>
      <c r="C8273" s="348" t="s">
        <v>80</v>
      </c>
      <c r="D8273" s="335" t="s">
        <v>49</v>
      </c>
      <c r="E8273" s="336">
        <v>43790</v>
      </c>
      <c r="F8273" s="336">
        <v>43771</v>
      </c>
      <c r="G8273" s="336">
        <v>43790</v>
      </c>
      <c r="H8273" s="334" t="s">
        <v>17634</v>
      </c>
      <c r="I8273" s="444">
        <v>17821750201</v>
      </c>
      <c r="J8273" s="348" t="s">
        <v>17635</v>
      </c>
      <c r="K8273" s="452">
        <v>8000</v>
      </c>
      <c r="L8273" s="334">
        <v>9000</v>
      </c>
      <c r="M8273" s="338"/>
      <c r="N8273" s="362">
        <f t="shared" si="279"/>
        <v>9000</v>
      </c>
      <c r="S8273" s="356" t="s">
        <v>52</v>
      </c>
      <c r="X8273" s="339"/>
    </row>
    <row r="8274" s="330" customFormat="1" ht="15" customHeight="1" spans="1:24">
      <c r="A8274" s="348"/>
      <c r="B8274" s="334" t="s">
        <v>47</v>
      </c>
      <c r="C8274" s="348" t="s">
        <v>80</v>
      </c>
      <c r="D8274" s="335" t="s">
        <v>49</v>
      </c>
      <c r="E8274" s="336">
        <v>43784</v>
      </c>
      <c r="F8274" s="336">
        <v>43774</v>
      </c>
      <c r="G8274" s="336">
        <v>43784</v>
      </c>
      <c r="H8274" s="334" t="s">
        <v>17636</v>
      </c>
      <c r="I8274" s="444">
        <v>18116236195</v>
      </c>
      <c r="J8274" s="348" t="s">
        <v>17637</v>
      </c>
      <c r="K8274" s="452">
        <v>12000</v>
      </c>
      <c r="L8274" s="334">
        <v>12000</v>
      </c>
      <c r="M8274" s="338"/>
      <c r="N8274" s="362">
        <f t="shared" si="279"/>
        <v>12000</v>
      </c>
      <c r="X8274" s="339"/>
    </row>
    <row r="8275" s="330" customFormat="1" ht="15" customHeight="1" spans="1:24">
      <c r="A8275" s="348"/>
      <c r="B8275" s="334" t="s">
        <v>47</v>
      </c>
      <c r="C8275" s="348" t="s">
        <v>80</v>
      </c>
      <c r="D8275" s="335" t="s">
        <v>49</v>
      </c>
      <c r="E8275" s="336">
        <v>43807</v>
      </c>
      <c r="F8275" s="336">
        <v>43775</v>
      </c>
      <c r="G8275" s="336">
        <v>43807</v>
      </c>
      <c r="H8275" s="334" t="s">
        <v>17638</v>
      </c>
      <c r="I8275" s="444">
        <v>13621945321</v>
      </c>
      <c r="J8275" s="348" t="s">
        <v>17639</v>
      </c>
      <c r="K8275" s="452">
        <v>7381</v>
      </c>
      <c r="L8275" s="334">
        <v>14000</v>
      </c>
      <c r="M8275" s="338"/>
      <c r="N8275" s="362">
        <f t="shared" si="279"/>
        <v>14000</v>
      </c>
      <c r="R8275" s="356" t="s">
        <v>52</v>
      </c>
      <c r="X8275" s="339"/>
    </row>
    <row r="8276" s="330" customFormat="1" ht="15" customHeight="1" spans="1:24">
      <c r="A8276" s="348"/>
      <c r="B8276" s="334" t="s">
        <v>47</v>
      </c>
      <c r="C8276" s="348" t="s">
        <v>80</v>
      </c>
      <c r="D8276" s="335" t="s">
        <v>49</v>
      </c>
      <c r="E8276" s="336">
        <v>43785</v>
      </c>
      <c r="F8276" s="336">
        <v>43779</v>
      </c>
      <c r="G8276" s="336">
        <v>43785</v>
      </c>
      <c r="H8276" s="334" t="s">
        <v>868</v>
      </c>
      <c r="I8276" s="444">
        <v>13964571027</v>
      </c>
      <c r="J8276" s="348" t="s">
        <v>17640</v>
      </c>
      <c r="K8276" s="452">
        <v>2000</v>
      </c>
      <c r="L8276" s="334">
        <v>19000</v>
      </c>
      <c r="M8276" s="338"/>
      <c r="N8276" s="362">
        <f t="shared" si="279"/>
        <v>19000</v>
      </c>
      <c r="X8276" s="339"/>
    </row>
    <row r="8277" s="330" customFormat="1" ht="15" customHeight="1" spans="1:24">
      <c r="A8277" s="550" t="s">
        <v>17641</v>
      </c>
      <c r="B8277" s="334" t="s">
        <v>359</v>
      </c>
      <c r="C8277" s="348" t="s">
        <v>3018</v>
      </c>
      <c r="D8277" s="335" t="s">
        <v>361</v>
      </c>
      <c r="E8277" s="336">
        <v>43805</v>
      </c>
      <c r="F8277" s="336">
        <v>43782</v>
      </c>
      <c r="G8277" s="336">
        <v>43805</v>
      </c>
      <c r="H8277" s="334" t="s">
        <v>17642</v>
      </c>
      <c r="I8277" s="444">
        <v>15921488765</v>
      </c>
      <c r="J8277" s="348" t="s">
        <v>17643</v>
      </c>
      <c r="K8277" s="452">
        <v>1000</v>
      </c>
      <c r="L8277" s="334">
        <v>9820</v>
      </c>
      <c r="M8277" s="338"/>
      <c r="N8277" s="362">
        <f t="shared" si="279"/>
        <v>9820</v>
      </c>
      <c r="X8277" s="339"/>
    </row>
    <row r="8278" s="330" customFormat="1" ht="15" customHeight="1" spans="1:24">
      <c r="A8278" s="348"/>
      <c r="B8278" s="334" t="s">
        <v>47</v>
      </c>
      <c r="C8278" s="348" t="s">
        <v>80</v>
      </c>
      <c r="D8278" s="335" t="s">
        <v>49</v>
      </c>
      <c r="E8278" s="336">
        <v>43782</v>
      </c>
      <c r="F8278" s="336">
        <v>43779</v>
      </c>
      <c r="G8278" s="399"/>
      <c r="H8278" s="334" t="s">
        <v>3435</v>
      </c>
      <c r="I8278" s="444">
        <v>18621762187</v>
      </c>
      <c r="J8278" s="348" t="s">
        <v>17644</v>
      </c>
      <c r="K8278" s="452">
        <v>1000</v>
      </c>
      <c r="L8278" s="338"/>
      <c r="M8278" s="338"/>
      <c r="N8278" s="362">
        <f t="shared" si="279"/>
        <v>0</v>
      </c>
      <c r="Q8278" s="356"/>
      <c r="R8278" s="356" t="s">
        <v>52</v>
      </c>
      <c r="X8278" s="339"/>
    </row>
    <row r="8279" s="330" customFormat="1" ht="15" customHeight="1" spans="1:24">
      <c r="A8279" s="348"/>
      <c r="B8279" s="334" t="s">
        <v>47</v>
      </c>
      <c r="C8279" s="348" t="s">
        <v>80</v>
      </c>
      <c r="D8279" s="335" t="s">
        <v>49</v>
      </c>
      <c r="E8279" s="336">
        <v>43782</v>
      </c>
      <c r="F8279" s="336">
        <v>43779</v>
      </c>
      <c r="G8279" s="399"/>
      <c r="H8279" s="334" t="s">
        <v>12573</v>
      </c>
      <c r="I8279" s="444">
        <v>18916463669</v>
      </c>
      <c r="J8279" s="348" t="s">
        <v>17645</v>
      </c>
      <c r="K8279" s="452">
        <v>1000</v>
      </c>
      <c r="L8279" s="338"/>
      <c r="M8279" s="338"/>
      <c r="N8279" s="362">
        <f t="shared" si="279"/>
        <v>0</v>
      </c>
      <c r="Q8279" s="356"/>
      <c r="R8279" s="356"/>
      <c r="S8279" s="356" t="s">
        <v>52</v>
      </c>
      <c r="X8279" s="339"/>
    </row>
    <row r="8280" s="330" customFormat="1" ht="15" customHeight="1" spans="1:24">
      <c r="A8280" s="348">
        <v>2066537</v>
      </c>
      <c r="B8280" s="334" t="s">
        <v>243</v>
      </c>
      <c r="C8280" s="348" t="s">
        <v>309</v>
      </c>
      <c r="D8280" s="335" t="s">
        <v>49</v>
      </c>
      <c r="E8280" s="336">
        <v>43790</v>
      </c>
      <c r="F8280" s="336">
        <v>43780</v>
      </c>
      <c r="G8280" s="336">
        <v>43790</v>
      </c>
      <c r="H8280" s="334" t="s">
        <v>17646</v>
      </c>
      <c r="I8280" s="444">
        <v>18516729369</v>
      </c>
      <c r="J8280" s="348" t="s">
        <v>17647</v>
      </c>
      <c r="K8280" s="452">
        <v>4601</v>
      </c>
      <c r="L8280" s="334">
        <v>4982</v>
      </c>
      <c r="M8280" s="338"/>
      <c r="N8280" s="362">
        <f t="shared" si="279"/>
        <v>4982</v>
      </c>
      <c r="X8280" s="339"/>
    </row>
    <row r="8281" s="330" customFormat="1" ht="15" customHeight="1" spans="1:24">
      <c r="A8281" s="348"/>
      <c r="B8281" s="334" t="s">
        <v>243</v>
      </c>
      <c r="C8281" s="348" t="s">
        <v>304</v>
      </c>
      <c r="D8281" s="335" t="s">
        <v>49</v>
      </c>
      <c r="E8281" s="336">
        <v>43782</v>
      </c>
      <c r="F8281" s="336">
        <v>43780</v>
      </c>
      <c r="G8281" s="399"/>
      <c r="H8281" s="334" t="s">
        <v>17648</v>
      </c>
      <c r="I8281" s="444">
        <v>13391410080</v>
      </c>
      <c r="J8281" s="348" t="s">
        <v>17649</v>
      </c>
      <c r="K8281" s="452">
        <v>3997</v>
      </c>
      <c r="L8281" s="338"/>
      <c r="M8281" s="338"/>
      <c r="N8281" s="362">
        <f t="shared" si="279"/>
        <v>0</v>
      </c>
      <c r="O8281" s="356" t="s">
        <v>52</v>
      </c>
      <c r="Q8281" s="356"/>
      <c r="X8281" s="339"/>
    </row>
    <row r="8282" s="330" customFormat="1" ht="15" customHeight="1" spans="1:24">
      <c r="A8282" s="348">
        <v>2023349</v>
      </c>
      <c r="B8282" s="334" t="s">
        <v>243</v>
      </c>
      <c r="C8282" s="348" t="s">
        <v>309</v>
      </c>
      <c r="D8282" s="335" t="s">
        <v>49</v>
      </c>
      <c r="E8282" s="336">
        <v>43782</v>
      </c>
      <c r="F8282" s="336">
        <v>43782</v>
      </c>
      <c r="G8282" s="399"/>
      <c r="H8282" s="334" t="s">
        <v>5542</v>
      </c>
      <c r="I8282" s="444">
        <v>13601791989</v>
      </c>
      <c r="J8282" s="348" t="s">
        <v>17650</v>
      </c>
      <c r="K8282" s="452">
        <v>3000</v>
      </c>
      <c r="L8282" s="338"/>
      <c r="M8282" s="338"/>
      <c r="N8282" s="362">
        <f t="shared" si="279"/>
        <v>0</v>
      </c>
      <c r="P8282" s="356" t="s">
        <v>52</v>
      </c>
      <c r="X8282" s="339"/>
    </row>
    <row r="8283" s="330" customFormat="1" ht="15" customHeight="1" spans="1:24">
      <c r="A8283" s="550" t="s">
        <v>17651</v>
      </c>
      <c r="B8283" s="334" t="s">
        <v>281</v>
      </c>
      <c r="C8283" s="348" t="s">
        <v>491</v>
      </c>
      <c r="D8283" s="335" t="s">
        <v>49</v>
      </c>
      <c r="E8283" s="336">
        <v>43782</v>
      </c>
      <c r="F8283" s="336">
        <v>43780</v>
      </c>
      <c r="G8283" s="399"/>
      <c r="H8283" s="334" t="s">
        <v>17652</v>
      </c>
      <c r="I8283" s="444">
        <v>18939899527</v>
      </c>
      <c r="J8283" s="348" t="s">
        <v>17653</v>
      </c>
      <c r="K8283" s="452">
        <v>500</v>
      </c>
      <c r="L8283" s="338"/>
      <c r="M8283" s="338"/>
      <c r="N8283" s="362">
        <f t="shared" si="279"/>
        <v>0</v>
      </c>
      <c r="X8283" s="339"/>
    </row>
    <row r="8284" s="330" customFormat="1" ht="15" customHeight="1" spans="1:24">
      <c r="A8284" s="550" t="s">
        <v>17654</v>
      </c>
      <c r="B8284" s="334" t="s">
        <v>281</v>
      </c>
      <c r="C8284" s="348" t="s">
        <v>491</v>
      </c>
      <c r="D8284" s="335" t="s">
        <v>49</v>
      </c>
      <c r="E8284" s="336">
        <v>43782</v>
      </c>
      <c r="F8284" s="336">
        <v>43780</v>
      </c>
      <c r="G8284" s="399"/>
      <c r="H8284" s="334" t="s">
        <v>5270</v>
      </c>
      <c r="I8284" s="444">
        <v>18674834590</v>
      </c>
      <c r="J8284" s="348" t="s">
        <v>17655</v>
      </c>
      <c r="K8284" s="452">
        <v>5040</v>
      </c>
      <c r="L8284" s="338"/>
      <c r="M8284" s="338"/>
      <c r="N8284" s="362">
        <f t="shared" si="279"/>
        <v>0</v>
      </c>
      <c r="X8284" s="339"/>
    </row>
    <row r="8285" s="330" customFormat="1" ht="15" customHeight="1" spans="1:24">
      <c r="A8285" s="550" t="s">
        <v>17656</v>
      </c>
      <c r="B8285" s="334" t="s">
        <v>359</v>
      </c>
      <c r="C8285" s="348" t="s">
        <v>3018</v>
      </c>
      <c r="D8285" s="335" t="s">
        <v>361</v>
      </c>
      <c r="E8285" s="336">
        <v>43788</v>
      </c>
      <c r="F8285" s="336">
        <v>43780</v>
      </c>
      <c r="G8285" s="336">
        <v>43788</v>
      </c>
      <c r="H8285" s="334" t="s">
        <v>17657</v>
      </c>
      <c r="I8285" s="444">
        <v>13391266991</v>
      </c>
      <c r="J8285" s="348" t="s">
        <v>17658</v>
      </c>
      <c r="K8285" s="452">
        <v>1000</v>
      </c>
      <c r="L8285" s="334">
        <v>5687</v>
      </c>
      <c r="M8285" s="338"/>
      <c r="N8285" s="362">
        <f t="shared" si="279"/>
        <v>5687</v>
      </c>
      <c r="X8285" s="339"/>
    </row>
    <row r="8286" s="330" customFormat="1" ht="15" customHeight="1" spans="1:24">
      <c r="A8286" s="550" t="s">
        <v>17659</v>
      </c>
      <c r="B8286" s="334" t="s">
        <v>805</v>
      </c>
      <c r="C8286" s="348" t="s">
        <v>4935</v>
      </c>
      <c r="D8286" s="334" t="s">
        <v>171</v>
      </c>
      <c r="E8286" s="336">
        <v>43790</v>
      </c>
      <c r="F8286" s="336">
        <v>43782</v>
      </c>
      <c r="G8286" s="336">
        <v>43787</v>
      </c>
      <c r="H8286" s="334" t="s">
        <v>17660</v>
      </c>
      <c r="I8286" s="444">
        <v>18519283622</v>
      </c>
      <c r="J8286" s="348" t="s">
        <v>17661</v>
      </c>
      <c r="K8286" s="452">
        <v>1000</v>
      </c>
      <c r="L8286" s="334">
        <v>9720</v>
      </c>
      <c r="M8286" s="338"/>
      <c r="N8286" s="362">
        <f t="shared" si="279"/>
        <v>9720</v>
      </c>
      <c r="X8286" s="339"/>
    </row>
    <row r="8287" s="330" customFormat="1" ht="15" customHeight="1" spans="1:24">
      <c r="A8287" s="550" t="s">
        <v>17662</v>
      </c>
      <c r="B8287" s="334" t="s">
        <v>805</v>
      </c>
      <c r="C8287" s="348" t="s">
        <v>4935</v>
      </c>
      <c r="D8287" s="335" t="s">
        <v>635</v>
      </c>
      <c r="E8287" s="336">
        <v>43782</v>
      </c>
      <c r="F8287" s="336">
        <v>43782</v>
      </c>
      <c r="G8287" s="399"/>
      <c r="H8287" s="334" t="s">
        <v>16611</v>
      </c>
      <c r="I8287" s="444">
        <v>13167089876</v>
      </c>
      <c r="J8287" s="348" t="s">
        <v>17663</v>
      </c>
      <c r="K8287" s="452">
        <v>1000</v>
      </c>
      <c r="L8287" s="338"/>
      <c r="M8287" s="338"/>
      <c r="N8287" s="362">
        <f t="shared" si="279"/>
        <v>0</v>
      </c>
      <c r="P8287" s="467" t="s">
        <v>52</v>
      </c>
      <c r="X8287" s="339"/>
    </row>
    <row r="8288" s="330" customFormat="1" ht="15" customHeight="1" spans="1:24">
      <c r="A8288" s="550" t="s">
        <v>17664</v>
      </c>
      <c r="B8288" s="334" t="s">
        <v>805</v>
      </c>
      <c r="C8288" s="348" t="s">
        <v>4935</v>
      </c>
      <c r="D8288" s="335" t="s">
        <v>635</v>
      </c>
      <c r="E8288" s="336">
        <v>43782</v>
      </c>
      <c r="F8288" s="336">
        <v>43782</v>
      </c>
      <c r="G8288" s="476">
        <v>43793</v>
      </c>
      <c r="H8288" s="334" t="s">
        <v>17665</v>
      </c>
      <c r="I8288" s="444">
        <v>18616808595</v>
      </c>
      <c r="J8288" s="348" t="s">
        <v>17666</v>
      </c>
      <c r="K8288" s="452">
        <v>1000</v>
      </c>
      <c r="L8288" s="338"/>
      <c r="M8288" s="338"/>
      <c r="N8288" s="362">
        <f t="shared" si="279"/>
        <v>0</v>
      </c>
      <c r="V8288" s="471">
        <v>43804</v>
      </c>
      <c r="X8288" s="339"/>
    </row>
    <row r="8289" s="330" customFormat="1" ht="15" customHeight="1" spans="1:24">
      <c r="A8289" s="550" t="s">
        <v>17667</v>
      </c>
      <c r="B8289" s="334" t="s">
        <v>805</v>
      </c>
      <c r="C8289" s="348" t="s">
        <v>4935</v>
      </c>
      <c r="D8289" s="335" t="s">
        <v>635</v>
      </c>
      <c r="E8289" s="336">
        <v>43782</v>
      </c>
      <c r="F8289" s="336">
        <v>43782</v>
      </c>
      <c r="G8289" s="399"/>
      <c r="H8289" s="334" t="s">
        <v>17668</v>
      </c>
      <c r="I8289" s="444">
        <v>13381889918</v>
      </c>
      <c r="J8289" s="348" t="s">
        <v>17669</v>
      </c>
      <c r="K8289" s="452">
        <v>5000</v>
      </c>
      <c r="L8289" s="338"/>
      <c r="M8289" s="338"/>
      <c r="N8289" s="362">
        <f t="shared" si="279"/>
        <v>0</v>
      </c>
      <c r="O8289" s="467"/>
      <c r="P8289" s="467" t="s">
        <v>52</v>
      </c>
      <c r="X8289" s="339"/>
    </row>
    <row r="8290" s="330" customFormat="1" ht="15" customHeight="1" spans="1:24">
      <c r="A8290" s="348"/>
      <c r="B8290" s="334" t="s">
        <v>805</v>
      </c>
      <c r="C8290" s="348" t="s">
        <v>4935</v>
      </c>
      <c r="D8290" s="335" t="s">
        <v>635</v>
      </c>
      <c r="E8290" s="336">
        <v>43782</v>
      </c>
      <c r="F8290" s="336">
        <v>43782</v>
      </c>
      <c r="G8290" s="399"/>
      <c r="H8290" s="334" t="s">
        <v>17670</v>
      </c>
      <c r="I8290" s="444">
        <v>18643201637</v>
      </c>
      <c r="J8290" s="348" t="s">
        <v>17671</v>
      </c>
      <c r="K8290" s="452">
        <v>5000</v>
      </c>
      <c r="L8290" s="338"/>
      <c r="M8290" s="338"/>
      <c r="N8290" s="362">
        <f t="shared" si="279"/>
        <v>0</v>
      </c>
      <c r="O8290" s="467"/>
      <c r="X8290" s="339"/>
    </row>
    <row r="8291" s="330" customFormat="1" ht="15" customHeight="1" spans="1:24">
      <c r="A8291" s="348"/>
      <c r="B8291" s="334" t="s">
        <v>805</v>
      </c>
      <c r="C8291" s="348" t="s">
        <v>4935</v>
      </c>
      <c r="D8291" s="334" t="s">
        <v>171</v>
      </c>
      <c r="E8291" s="336">
        <v>43787</v>
      </c>
      <c r="F8291" s="336">
        <v>43782</v>
      </c>
      <c r="G8291" s="336">
        <v>43786</v>
      </c>
      <c r="H8291" s="334" t="s">
        <v>17672</v>
      </c>
      <c r="I8291" s="444">
        <v>13918858616</v>
      </c>
      <c r="J8291" s="348" t="s">
        <v>17673</v>
      </c>
      <c r="K8291" s="452">
        <v>1000</v>
      </c>
      <c r="L8291" s="334">
        <v>8150</v>
      </c>
      <c r="M8291" s="338"/>
      <c r="N8291" s="362">
        <f t="shared" si="279"/>
        <v>8150</v>
      </c>
      <c r="X8291" s="339"/>
    </row>
    <row r="8292" s="330" customFormat="1" ht="15" customHeight="1" spans="1:24">
      <c r="A8292" s="348"/>
      <c r="B8292" s="334" t="s">
        <v>805</v>
      </c>
      <c r="C8292" s="348" t="s">
        <v>4935</v>
      </c>
      <c r="D8292" s="334" t="s">
        <v>427</v>
      </c>
      <c r="E8292" s="336">
        <v>43794</v>
      </c>
      <c r="F8292" s="336">
        <v>43782</v>
      </c>
      <c r="G8292" s="336">
        <v>43793</v>
      </c>
      <c r="H8292" s="334" t="s">
        <v>17674</v>
      </c>
      <c r="I8292" s="444">
        <v>17717910525</v>
      </c>
      <c r="J8292" s="348" t="s">
        <v>17675</v>
      </c>
      <c r="K8292" s="452">
        <v>1000</v>
      </c>
      <c r="L8292" s="334">
        <v>7500</v>
      </c>
      <c r="M8292" s="338"/>
      <c r="N8292" s="362">
        <f t="shared" si="279"/>
        <v>7500</v>
      </c>
      <c r="X8292" s="339"/>
    </row>
    <row r="8293" s="330" customFormat="1" ht="15" customHeight="1" spans="1:24">
      <c r="A8293" s="550" t="s">
        <v>17676</v>
      </c>
      <c r="B8293" s="334" t="s">
        <v>805</v>
      </c>
      <c r="C8293" s="348" t="s">
        <v>4935</v>
      </c>
      <c r="D8293" s="335" t="s">
        <v>635</v>
      </c>
      <c r="E8293" s="336">
        <v>43782</v>
      </c>
      <c r="F8293" s="336">
        <v>43782</v>
      </c>
      <c r="G8293" s="399"/>
      <c r="H8293" s="334" t="s">
        <v>17677</v>
      </c>
      <c r="I8293" s="444">
        <v>13818575080</v>
      </c>
      <c r="J8293" s="348" t="s">
        <v>17678</v>
      </c>
      <c r="K8293" s="452">
        <v>30000</v>
      </c>
      <c r="L8293" s="338"/>
      <c r="M8293" s="338"/>
      <c r="N8293" s="362">
        <f t="shared" si="279"/>
        <v>0</v>
      </c>
      <c r="O8293" s="467"/>
      <c r="P8293" s="467" t="s">
        <v>52</v>
      </c>
      <c r="X8293" s="339"/>
    </row>
    <row r="8294" s="330" customFormat="1" ht="15" customHeight="1" spans="1:24">
      <c r="A8294" s="550" t="s">
        <v>6549</v>
      </c>
      <c r="B8294" s="334" t="s">
        <v>94</v>
      </c>
      <c r="C8294" s="348" t="s">
        <v>101</v>
      </c>
      <c r="D8294" s="335" t="s">
        <v>49</v>
      </c>
      <c r="E8294" s="336">
        <v>43793</v>
      </c>
      <c r="F8294" s="336">
        <v>43782</v>
      </c>
      <c r="G8294" s="336">
        <v>43791</v>
      </c>
      <c r="H8294" s="334" t="s">
        <v>8072</v>
      </c>
      <c r="I8294" s="444">
        <v>13764146885</v>
      </c>
      <c r="J8294" s="348" t="s">
        <v>17679</v>
      </c>
      <c r="K8294" s="452">
        <v>1000</v>
      </c>
      <c r="L8294" s="334">
        <v>22594</v>
      </c>
      <c r="M8294" s="338"/>
      <c r="N8294" s="362">
        <f t="shared" si="279"/>
        <v>22594</v>
      </c>
      <c r="X8294" s="339"/>
    </row>
    <row r="8295" s="330" customFormat="1" ht="15" customHeight="1" spans="1:24">
      <c r="A8295" s="550" t="s">
        <v>17680</v>
      </c>
      <c r="B8295" s="334" t="s">
        <v>94</v>
      </c>
      <c r="C8295" s="348" t="s">
        <v>95</v>
      </c>
      <c r="D8295" s="335" t="s">
        <v>49</v>
      </c>
      <c r="E8295" s="336">
        <v>43782</v>
      </c>
      <c r="F8295" s="336">
        <v>43779</v>
      </c>
      <c r="G8295" s="399"/>
      <c r="H8295" s="334" t="s">
        <v>17681</v>
      </c>
      <c r="I8295" s="444">
        <v>18616338805</v>
      </c>
      <c r="J8295" s="348" t="s">
        <v>17682</v>
      </c>
      <c r="K8295" s="452">
        <v>3000</v>
      </c>
      <c r="L8295" s="338"/>
      <c r="M8295" s="338"/>
      <c r="N8295" s="362">
        <f t="shared" si="279"/>
        <v>0</v>
      </c>
      <c r="O8295" s="467"/>
      <c r="P8295" s="467" t="s">
        <v>52</v>
      </c>
      <c r="W8295" s="353"/>
      <c r="X8295" s="339"/>
    </row>
    <row r="8296" s="330" customFormat="1" ht="15" customHeight="1" spans="1:24">
      <c r="A8296" s="550" t="s">
        <v>6434</v>
      </c>
      <c r="B8296" s="334" t="s">
        <v>94</v>
      </c>
      <c r="C8296" s="348" t="s">
        <v>101</v>
      </c>
      <c r="D8296" s="335" t="s">
        <v>49</v>
      </c>
      <c r="E8296" s="336">
        <v>43782</v>
      </c>
      <c r="F8296" s="336">
        <v>43782</v>
      </c>
      <c r="G8296" s="399"/>
      <c r="H8296" s="334" t="s">
        <v>17683</v>
      </c>
      <c r="I8296" s="444">
        <v>13918677506</v>
      </c>
      <c r="J8296" s="348" t="s">
        <v>17684</v>
      </c>
      <c r="K8296" s="452">
        <v>1000</v>
      </c>
      <c r="L8296" s="338"/>
      <c r="M8296" s="338"/>
      <c r="N8296" s="362">
        <f t="shared" si="279"/>
        <v>0</v>
      </c>
      <c r="P8296" s="467" t="s">
        <v>52</v>
      </c>
      <c r="X8296" s="339"/>
    </row>
    <row r="8297" s="330" customFormat="1" ht="15" customHeight="1" spans="1:24">
      <c r="A8297" s="550" t="s">
        <v>10144</v>
      </c>
      <c r="B8297" s="334" t="s">
        <v>94</v>
      </c>
      <c r="C8297" s="348" t="s">
        <v>95</v>
      </c>
      <c r="D8297" s="335" t="s">
        <v>49</v>
      </c>
      <c r="E8297" s="336">
        <v>43799</v>
      </c>
      <c r="F8297" s="336">
        <v>43779</v>
      </c>
      <c r="G8297" s="336">
        <v>43799</v>
      </c>
      <c r="H8297" s="334" t="s">
        <v>17685</v>
      </c>
      <c r="I8297" s="444">
        <v>13262891710</v>
      </c>
      <c r="J8297" s="348" t="s">
        <v>17686</v>
      </c>
      <c r="K8297" s="452">
        <v>2000</v>
      </c>
      <c r="L8297" s="334">
        <v>5069</v>
      </c>
      <c r="M8297" s="338"/>
      <c r="N8297" s="362">
        <f t="shared" si="279"/>
        <v>5069</v>
      </c>
      <c r="R8297" s="467" t="s">
        <v>52</v>
      </c>
      <c r="X8297" s="339"/>
    </row>
    <row r="8298" s="330" customFormat="1" ht="15" customHeight="1" spans="1:24">
      <c r="A8298" s="348">
        <v>2023292</v>
      </c>
      <c r="B8298" s="334" t="s">
        <v>94</v>
      </c>
      <c r="C8298" s="348" t="s">
        <v>3196</v>
      </c>
      <c r="D8298" s="335" t="s">
        <v>49</v>
      </c>
      <c r="E8298" s="336">
        <v>43782</v>
      </c>
      <c r="F8298" s="336">
        <v>43782</v>
      </c>
      <c r="G8298" s="399"/>
      <c r="H8298" s="334" t="s">
        <v>17687</v>
      </c>
      <c r="I8298" s="444">
        <v>13774234034</v>
      </c>
      <c r="J8298" s="348" t="s">
        <v>17688</v>
      </c>
      <c r="K8298" s="452">
        <v>2000</v>
      </c>
      <c r="L8298" s="338"/>
      <c r="M8298" s="338"/>
      <c r="N8298" s="362">
        <f t="shared" si="279"/>
        <v>0</v>
      </c>
      <c r="P8298" s="467" t="s">
        <v>52</v>
      </c>
      <c r="X8298" s="339"/>
    </row>
    <row r="8299" s="330" customFormat="1" ht="15" customHeight="1" spans="1:24">
      <c r="A8299" s="550" t="s">
        <v>17689</v>
      </c>
      <c r="B8299" s="334" t="s">
        <v>94</v>
      </c>
      <c r="C8299" s="348" t="s">
        <v>95</v>
      </c>
      <c r="D8299" s="335" t="s">
        <v>49</v>
      </c>
      <c r="E8299" s="336">
        <v>43806</v>
      </c>
      <c r="F8299" s="336">
        <v>43782</v>
      </c>
      <c r="G8299" s="336">
        <v>43806</v>
      </c>
      <c r="H8299" s="334" t="s">
        <v>17690</v>
      </c>
      <c r="I8299" s="444">
        <v>13761616126</v>
      </c>
      <c r="J8299" s="348" t="s">
        <v>17691</v>
      </c>
      <c r="K8299" s="452">
        <v>2000</v>
      </c>
      <c r="L8299" s="334">
        <v>17280</v>
      </c>
      <c r="M8299" s="338"/>
      <c r="N8299" s="362">
        <f t="shared" ref="N8299:N8335" si="280">L8299+M8299</f>
        <v>17280</v>
      </c>
      <c r="P8299" s="467" t="s">
        <v>52</v>
      </c>
      <c r="X8299" s="339"/>
    </row>
    <row r="8300" s="330" customFormat="1" ht="15" customHeight="1" spans="1:24">
      <c r="A8300" s="348"/>
      <c r="B8300" s="334" t="s">
        <v>805</v>
      </c>
      <c r="C8300" s="348" t="s">
        <v>4935</v>
      </c>
      <c r="D8300" s="334" t="s">
        <v>171</v>
      </c>
      <c r="E8300" s="336">
        <v>43783</v>
      </c>
      <c r="F8300" s="336">
        <v>43782</v>
      </c>
      <c r="G8300" s="336">
        <v>43781</v>
      </c>
      <c r="H8300" s="334" t="s">
        <v>17692</v>
      </c>
      <c r="I8300" s="444">
        <v>15813359421</v>
      </c>
      <c r="J8300" s="348" t="s">
        <v>17693</v>
      </c>
      <c r="K8300" s="452">
        <v>5000</v>
      </c>
      <c r="L8300" s="334">
        <v>12353</v>
      </c>
      <c r="M8300" s="338"/>
      <c r="N8300" s="362">
        <f t="shared" si="280"/>
        <v>12353</v>
      </c>
      <c r="X8300" s="339"/>
    </row>
    <row r="8301" s="330" customFormat="1" ht="15" customHeight="1" spans="1:24">
      <c r="A8301" s="348"/>
      <c r="B8301" s="334" t="s">
        <v>805</v>
      </c>
      <c r="C8301" s="348" t="s">
        <v>4935</v>
      </c>
      <c r="D8301" s="335" t="s">
        <v>635</v>
      </c>
      <c r="E8301" s="336">
        <v>43782</v>
      </c>
      <c r="F8301" s="336">
        <v>43782</v>
      </c>
      <c r="G8301" s="399"/>
      <c r="H8301" s="334" t="s">
        <v>17694</v>
      </c>
      <c r="I8301" s="444"/>
      <c r="J8301" s="348" t="s">
        <v>17695</v>
      </c>
      <c r="K8301" s="452">
        <v>1000</v>
      </c>
      <c r="L8301" s="338"/>
      <c r="M8301" s="338"/>
      <c r="N8301" s="362">
        <f t="shared" si="280"/>
        <v>0</v>
      </c>
      <c r="O8301" s="467"/>
      <c r="P8301" s="467" t="s">
        <v>52</v>
      </c>
      <c r="X8301" s="339"/>
    </row>
    <row r="8302" s="330" customFormat="1" ht="15" customHeight="1" spans="1:24">
      <c r="A8302" s="348"/>
      <c r="B8302" s="334" t="s">
        <v>6313</v>
      </c>
      <c r="C8302" s="334" t="s">
        <v>7818</v>
      </c>
      <c r="D8302" s="445" t="s">
        <v>7871</v>
      </c>
      <c r="E8302" s="336">
        <v>43794</v>
      </c>
      <c r="F8302" s="336">
        <v>43779</v>
      </c>
      <c r="G8302" s="336">
        <v>43792</v>
      </c>
      <c r="H8302" s="334" t="s">
        <v>17696</v>
      </c>
      <c r="I8302" s="444">
        <v>13585972985</v>
      </c>
      <c r="J8302" s="348" t="s">
        <v>17697</v>
      </c>
      <c r="K8302" s="452">
        <v>2000</v>
      </c>
      <c r="L8302" s="334">
        <v>20626</v>
      </c>
      <c r="M8302" s="338"/>
      <c r="N8302" s="362">
        <f t="shared" si="280"/>
        <v>20626</v>
      </c>
      <c r="X8302" s="339"/>
    </row>
    <row r="8303" s="330" customFormat="1" ht="15" customHeight="1" spans="1:24">
      <c r="A8303" s="348"/>
      <c r="B8303" s="334" t="s">
        <v>6313</v>
      </c>
      <c r="C8303" s="348" t="s">
        <v>7871</v>
      </c>
      <c r="D8303" s="445" t="s">
        <v>7871</v>
      </c>
      <c r="E8303" s="336">
        <v>43814</v>
      </c>
      <c r="F8303" s="336">
        <v>43782</v>
      </c>
      <c r="G8303" s="336">
        <v>43809</v>
      </c>
      <c r="H8303" s="334" t="s">
        <v>17698</v>
      </c>
      <c r="I8303" s="444">
        <v>15921388022</v>
      </c>
      <c r="J8303" s="348" t="s">
        <v>17699</v>
      </c>
      <c r="K8303" s="452">
        <v>1500</v>
      </c>
      <c r="L8303" s="334">
        <v>7500</v>
      </c>
      <c r="M8303" s="338"/>
      <c r="N8303" s="362">
        <f t="shared" si="280"/>
        <v>7500</v>
      </c>
      <c r="X8303" s="339"/>
    </row>
    <row r="8304" s="330" customFormat="1" ht="15" customHeight="1" spans="1:24">
      <c r="A8304" s="550" t="s">
        <v>6451</v>
      </c>
      <c r="B8304" s="334" t="s">
        <v>94</v>
      </c>
      <c r="C8304" s="348" t="s">
        <v>101</v>
      </c>
      <c r="D8304" s="335" t="s">
        <v>49</v>
      </c>
      <c r="E8304" s="336">
        <v>43782</v>
      </c>
      <c r="F8304" s="336">
        <v>43782</v>
      </c>
      <c r="G8304" s="399"/>
      <c r="H8304" s="334" t="s">
        <v>17700</v>
      </c>
      <c r="I8304" s="444">
        <v>13916534222</v>
      </c>
      <c r="J8304" s="348" t="s">
        <v>17701</v>
      </c>
      <c r="K8304" s="452">
        <v>1000</v>
      </c>
      <c r="L8304" s="338"/>
      <c r="M8304" s="338"/>
      <c r="N8304" s="362">
        <f t="shared" si="280"/>
        <v>0</v>
      </c>
      <c r="P8304" s="467" t="s">
        <v>52</v>
      </c>
      <c r="X8304" s="339"/>
    </row>
    <row r="8305" s="330" customFormat="1" ht="15" customHeight="1" spans="1:24">
      <c r="A8305" s="550" t="s">
        <v>10147</v>
      </c>
      <c r="B8305" s="334" t="s">
        <v>94</v>
      </c>
      <c r="C8305" s="348" t="s">
        <v>3196</v>
      </c>
      <c r="D8305" s="335" t="s">
        <v>49</v>
      </c>
      <c r="E8305" s="336">
        <v>43782</v>
      </c>
      <c r="F8305" s="336">
        <v>43779</v>
      </c>
      <c r="G8305" s="399"/>
      <c r="H8305" s="334" t="s">
        <v>17702</v>
      </c>
      <c r="I8305" s="444">
        <v>18817761042</v>
      </c>
      <c r="J8305" s="348" t="s">
        <v>17703</v>
      </c>
      <c r="K8305" s="452">
        <v>1000</v>
      </c>
      <c r="L8305" s="338"/>
      <c r="M8305" s="338"/>
      <c r="N8305" s="362">
        <f t="shared" si="280"/>
        <v>0</v>
      </c>
      <c r="R8305" s="467" t="s">
        <v>52</v>
      </c>
      <c r="X8305" s="339"/>
    </row>
    <row r="8306" s="330" customFormat="1" ht="15" customHeight="1" spans="1:24">
      <c r="A8306" s="550" t="s">
        <v>17704</v>
      </c>
      <c r="B8306" s="334" t="s">
        <v>94</v>
      </c>
      <c r="C8306" s="348" t="s">
        <v>101</v>
      </c>
      <c r="D8306" s="335" t="s">
        <v>49</v>
      </c>
      <c r="E8306" s="336">
        <v>43784</v>
      </c>
      <c r="F8306" s="336">
        <v>43782</v>
      </c>
      <c r="G8306" s="336">
        <v>43782</v>
      </c>
      <c r="H8306" s="334" t="s">
        <v>17705</v>
      </c>
      <c r="I8306" s="444">
        <v>13795389036</v>
      </c>
      <c r="J8306" s="348" t="s">
        <v>17706</v>
      </c>
      <c r="K8306" s="452">
        <v>2000</v>
      </c>
      <c r="L8306" s="334">
        <v>18341</v>
      </c>
      <c r="M8306" s="338"/>
      <c r="N8306" s="362">
        <f t="shared" si="280"/>
        <v>18341</v>
      </c>
      <c r="X8306" s="339"/>
    </row>
    <row r="8307" s="330" customFormat="1" ht="15" customHeight="1" spans="1:24">
      <c r="A8307" s="550" t="s">
        <v>17707</v>
      </c>
      <c r="B8307" s="334" t="s">
        <v>94</v>
      </c>
      <c r="C8307" s="348" t="s">
        <v>95</v>
      </c>
      <c r="D8307" s="335" t="s">
        <v>49</v>
      </c>
      <c r="E8307" s="336">
        <v>43782</v>
      </c>
      <c r="F8307" s="336">
        <v>43779</v>
      </c>
      <c r="G8307" s="399"/>
      <c r="H8307" s="334" t="s">
        <v>17708</v>
      </c>
      <c r="I8307" s="444">
        <v>13636550580</v>
      </c>
      <c r="J8307" s="348" t="s">
        <v>17709</v>
      </c>
      <c r="K8307" s="452">
        <v>2000</v>
      </c>
      <c r="L8307" s="338"/>
      <c r="M8307" s="338"/>
      <c r="N8307" s="362">
        <f t="shared" si="280"/>
        <v>0</v>
      </c>
      <c r="Q8307" s="467"/>
      <c r="R8307" s="467" t="s">
        <v>52</v>
      </c>
      <c r="X8307" s="339"/>
    </row>
    <row r="8308" s="330" customFormat="1" ht="15" customHeight="1" spans="1:24">
      <c r="A8308" s="550" t="s">
        <v>17710</v>
      </c>
      <c r="B8308" s="334" t="s">
        <v>359</v>
      </c>
      <c r="C8308" s="348" t="s">
        <v>3018</v>
      </c>
      <c r="D8308" s="335" t="s">
        <v>361</v>
      </c>
      <c r="E8308" s="336">
        <v>43786</v>
      </c>
      <c r="F8308" s="336">
        <v>43779</v>
      </c>
      <c r="G8308" s="336">
        <v>43785</v>
      </c>
      <c r="H8308" s="334" t="s">
        <v>7055</v>
      </c>
      <c r="I8308" s="444">
        <v>18721848568</v>
      </c>
      <c r="J8308" s="348" t="s">
        <v>17711</v>
      </c>
      <c r="K8308" s="452">
        <v>1000</v>
      </c>
      <c r="L8308" s="334">
        <v>12000</v>
      </c>
      <c r="M8308" s="338"/>
      <c r="N8308" s="362">
        <f t="shared" si="280"/>
        <v>12000</v>
      </c>
      <c r="X8308" s="339"/>
    </row>
    <row r="8309" s="330" customFormat="1" ht="15" customHeight="1" spans="1:24">
      <c r="A8309" s="550" t="s">
        <v>17712</v>
      </c>
      <c r="B8309" s="334" t="s">
        <v>281</v>
      </c>
      <c r="C8309" s="348" t="s">
        <v>491</v>
      </c>
      <c r="D8309" s="335" t="s">
        <v>49</v>
      </c>
      <c r="E8309" s="336">
        <v>43782</v>
      </c>
      <c r="F8309" s="336">
        <v>43779</v>
      </c>
      <c r="G8309" s="399"/>
      <c r="H8309" s="334" t="s">
        <v>17713</v>
      </c>
      <c r="I8309" s="444">
        <v>13757769655</v>
      </c>
      <c r="J8309" s="348" t="s">
        <v>17714</v>
      </c>
      <c r="K8309" s="452">
        <v>1000</v>
      </c>
      <c r="L8309" s="338"/>
      <c r="M8309" s="338"/>
      <c r="N8309" s="362">
        <f t="shared" si="280"/>
        <v>0</v>
      </c>
      <c r="P8309" s="356" t="s">
        <v>52</v>
      </c>
      <c r="X8309" s="339"/>
    </row>
    <row r="8310" s="330" customFormat="1" ht="15" customHeight="1" spans="1:24">
      <c r="A8310" s="550" t="s">
        <v>17715</v>
      </c>
      <c r="B8310" s="334" t="s">
        <v>281</v>
      </c>
      <c r="C8310" s="348" t="s">
        <v>491</v>
      </c>
      <c r="D8310" s="335" t="s">
        <v>49</v>
      </c>
      <c r="E8310" s="336">
        <v>43782</v>
      </c>
      <c r="F8310" s="336">
        <v>43779</v>
      </c>
      <c r="G8310" s="399"/>
      <c r="H8310" s="334" t="s">
        <v>17716</v>
      </c>
      <c r="I8310" s="444">
        <v>18918265976</v>
      </c>
      <c r="J8310" s="348" t="s">
        <v>17717</v>
      </c>
      <c r="K8310" s="452">
        <v>1000</v>
      </c>
      <c r="L8310" s="338"/>
      <c r="M8310" s="338"/>
      <c r="N8310" s="362">
        <f t="shared" si="280"/>
        <v>0</v>
      </c>
      <c r="O8310" s="356" t="s">
        <v>52</v>
      </c>
      <c r="X8310" s="339"/>
    </row>
    <row r="8311" s="330" customFormat="1" ht="15" customHeight="1" spans="1:24">
      <c r="A8311" s="550" t="s">
        <v>17718</v>
      </c>
      <c r="B8311" s="334" t="s">
        <v>281</v>
      </c>
      <c r="C8311" s="348" t="s">
        <v>491</v>
      </c>
      <c r="D8311" s="335" t="s">
        <v>49</v>
      </c>
      <c r="E8311" s="336">
        <v>43782</v>
      </c>
      <c r="F8311" s="336">
        <v>43779</v>
      </c>
      <c r="G8311" s="399"/>
      <c r="H8311" s="334" t="s">
        <v>17719</v>
      </c>
      <c r="I8311" s="444">
        <v>13501757251</v>
      </c>
      <c r="J8311" s="348" t="s">
        <v>17720</v>
      </c>
      <c r="K8311" s="452">
        <v>5000</v>
      </c>
      <c r="L8311" s="338"/>
      <c r="M8311" s="338"/>
      <c r="N8311" s="362">
        <f t="shared" si="280"/>
        <v>0</v>
      </c>
      <c r="O8311" s="356" t="s">
        <v>52</v>
      </c>
      <c r="X8311" s="339"/>
    </row>
    <row r="8312" s="330" customFormat="1" ht="15" customHeight="1" spans="1:24">
      <c r="A8312" s="550" t="s">
        <v>17721</v>
      </c>
      <c r="B8312" s="334" t="s">
        <v>281</v>
      </c>
      <c r="C8312" s="348" t="s">
        <v>491</v>
      </c>
      <c r="D8312" s="334" t="s">
        <v>518</v>
      </c>
      <c r="E8312" s="336">
        <v>43782</v>
      </c>
      <c r="F8312" s="336">
        <v>43779</v>
      </c>
      <c r="G8312" s="399">
        <v>43782</v>
      </c>
      <c r="H8312" s="334" t="s">
        <v>17722</v>
      </c>
      <c r="I8312" s="444">
        <v>13761837061</v>
      </c>
      <c r="J8312" s="348" t="s">
        <v>17723</v>
      </c>
      <c r="K8312" s="452">
        <v>2000</v>
      </c>
      <c r="L8312" s="452">
        <v>12000</v>
      </c>
      <c r="M8312" s="338"/>
      <c r="N8312" s="362">
        <f t="shared" si="280"/>
        <v>12000</v>
      </c>
      <c r="X8312" s="339"/>
    </row>
    <row r="8313" s="330" customFormat="1" ht="15" customHeight="1" spans="1:24">
      <c r="A8313" s="348"/>
      <c r="B8313" s="334" t="s">
        <v>243</v>
      </c>
      <c r="C8313" s="348" t="s">
        <v>309</v>
      </c>
      <c r="D8313" s="335" t="s">
        <v>49</v>
      </c>
      <c r="E8313" s="336">
        <v>43782</v>
      </c>
      <c r="F8313" s="336">
        <v>43778</v>
      </c>
      <c r="G8313" s="399"/>
      <c r="H8313" s="334" t="s">
        <v>17724</v>
      </c>
      <c r="I8313" s="444">
        <v>13916740006</v>
      </c>
      <c r="J8313" s="348" t="s">
        <v>17725</v>
      </c>
      <c r="K8313" s="452">
        <v>3000</v>
      </c>
      <c r="L8313" s="338"/>
      <c r="M8313" s="338"/>
      <c r="N8313" s="362">
        <f t="shared" si="280"/>
        <v>0</v>
      </c>
      <c r="R8313" s="356" t="s">
        <v>52</v>
      </c>
      <c r="X8313" s="339"/>
    </row>
    <row r="8314" s="330" customFormat="1" ht="15" customHeight="1" spans="1:24">
      <c r="A8314" s="348"/>
      <c r="B8314" s="334" t="s">
        <v>4009</v>
      </c>
      <c r="C8314" s="348" t="s">
        <v>466</v>
      </c>
      <c r="D8314" s="349" t="s">
        <v>207</v>
      </c>
      <c r="E8314" s="336">
        <v>43782</v>
      </c>
      <c r="F8314" s="336">
        <v>43780</v>
      </c>
      <c r="G8314" s="399"/>
      <c r="H8314" s="334" t="s">
        <v>17726</v>
      </c>
      <c r="I8314" s="444">
        <v>13818281862</v>
      </c>
      <c r="J8314" s="348" t="s">
        <v>17727</v>
      </c>
      <c r="K8314" s="452">
        <v>3366</v>
      </c>
      <c r="L8314" s="338"/>
      <c r="M8314" s="338"/>
      <c r="N8314" s="362">
        <f t="shared" si="280"/>
        <v>0</v>
      </c>
      <c r="X8314" s="339"/>
    </row>
    <row r="8315" s="330" customFormat="1" ht="15" customHeight="1" spans="1:24">
      <c r="A8315" s="348" t="s">
        <v>17728</v>
      </c>
      <c r="B8315" s="334" t="s">
        <v>58</v>
      </c>
      <c r="C8315" s="348" t="s">
        <v>59</v>
      </c>
      <c r="D8315" s="335" t="s">
        <v>271</v>
      </c>
      <c r="E8315" s="336">
        <v>43782</v>
      </c>
      <c r="F8315" s="336">
        <v>43780</v>
      </c>
      <c r="G8315" s="399"/>
      <c r="H8315" s="334" t="s">
        <v>12973</v>
      </c>
      <c r="I8315" s="444"/>
      <c r="J8315" s="348" t="s">
        <v>17729</v>
      </c>
      <c r="K8315" s="452">
        <v>1998</v>
      </c>
      <c r="L8315" s="338"/>
      <c r="M8315" s="338"/>
      <c r="N8315" s="362">
        <f t="shared" si="280"/>
        <v>0</v>
      </c>
      <c r="O8315" s="365" t="s">
        <v>52</v>
      </c>
      <c r="X8315" s="339"/>
    </row>
    <row r="8316" s="330" customFormat="1" ht="15" customHeight="1" spans="1:24">
      <c r="A8316" s="348" t="s">
        <v>17730</v>
      </c>
      <c r="B8316" s="334" t="s">
        <v>58</v>
      </c>
      <c r="C8316" s="348" t="s">
        <v>59</v>
      </c>
      <c r="D8316" s="335" t="s">
        <v>271</v>
      </c>
      <c r="E8316" s="336">
        <v>43782</v>
      </c>
      <c r="F8316" s="336">
        <v>43780</v>
      </c>
      <c r="G8316" s="399"/>
      <c r="H8316" s="334" t="s">
        <v>11179</v>
      </c>
      <c r="I8316" s="444">
        <v>13817700511</v>
      </c>
      <c r="J8316" s="348" t="s">
        <v>17731</v>
      </c>
      <c r="K8316" s="452">
        <v>1000</v>
      </c>
      <c r="L8316" s="338"/>
      <c r="M8316" s="338"/>
      <c r="N8316" s="362">
        <f t="shared" si="280"/>
        <v>0</v>
      </c>
      <c r="Q8316" s="365" t="s">
        <v>52</v>
      </c>
      <c r="X8316" s="339"/>
    </row>
    <row r="8317" s="330" customFormat="1" ht="15" customHeight="1" spans="1:24">
      <c r="A8317" s="348" t="s">
        <v>17732</v>
      </c>
      <c r="B8317" s="334" t="s">
        <v>58</v>
      </c>
      <c r="C8317" s="348" t="s">
        <v>342</v>
      </c>
      <c r="D8317" s="335" t="s">
        <v>343</v>
      </c>
      <c r="E8317" s="336">
        <v>43782</v>
      </c>
      <c r="F8317" s="336">
        <v>43781</v>
      </c>
      <c r="G8317" s="399"/>
      <c r="H8317" s="334" t="s">
        <v>17733</v>
      </c>
      <c r="I8317" s="444">
        <v>13585858755</v>
      </c>
      <c r="J8317" s="348" t="s">
        <v>17734</v>
      </c>
      <c r="K8317" s="452">
        <v>1000</v>
      </c>
      <c r="L8317" s="338"/>
      <c r="M8317" s="338"/>
      <c r="N8317" s="362">
        <f t="shared" si="280"/>
        <v>0</v>
      </c>
      <c r="O8317" s="365" t="s">
        <v>52</v>
      </c>
      <c r="X8317" s="339"/>
    </row>
    <row r="8318" s="330" customFormat="1" ht="15" customHeight="1" spans="1:24">
      <c r="A8318" s="348" t="s">
        <v>17735</v>
      </c>
      <c r="B8318" s="334" t="s">
        <v>169</v>
      </c>
      <c r="C8318" s="348" t="s">
        <v>634</v>
      </c>
      <c r="D8318" s="335" t="s">
        <v>635</v>
      </c>
      <c r="E8318" s="336">
        <v>43785</v>
      </c>
      <c r="F8318" s="336">
        <v>43780</v>
      </c>
      <c r="G8318" s="336">
        <v>43785</v>
      </c>
      <c r="H8318" s="334" t="s">
        <v>17736</v>
      </c>
      <c r="I8318" s="444">
        <v>13816687801</v>
      </c>
      <c r="J8318" s="348" t="s">
        <v>17737</v>
      </c>
      <c r="K8318" s="452">
        <v>1000</v>
      </c>
      <c r="L8318" s="334">
        <f>-1290+13778</f>
        <v>12488</v>
      </c>
      <c r="M8318" s="334">
        <v>1290</v>
      </c>
      <c r="N8318" s="362">
        <f t="shared" si="280"/>
        <v>13778</v>
      </c>
      <c r="X8318" s="339"/>
    </row>
    <row r="8319" s="330" customFormat="1" ht="15" customHeight="1" spans="1:24">
      <c r="A8319" s="348" t="s">
        <v>3251</v>
      </c>
      <c r="B8319" s="334" t="s">
        <v>4009</v>
      </c>
      <c r="C8319" s="348" t="s">
        <v>466</v>
      </c>
      <c r="D8319" s="349" t="s">
        <v>207</v>
      </c>
      <c r="E8319" s="336">
        <v>43782</v>
      </c>
      <c r="F8319" s="336">
        <v>43781</v>
      </c>
      <c r="G8319" s="399"/>
      <c r="H8319" s="334" t="s">
        <v>17738</v>
      </c>
      <c r="I8319" s="444">
        <v>18937725505</v>
      </c>
      <c r="J8319" s="348" t="s">
        <v>17739</v>
      </c>
      <c r="K8319" s="452">
        <v>4719</v>
      </c>
      <c r="L8319" s="338"/>
      <c r="M8319" s="338"/>
      <c r="N8319" s="362">
        <f t="shared" si="280"/>
        <v>0</v>
      </c>
      <c r="X8319" s="339"/>
    </row>
    <row r="8320" s="330" customFormat="1" ht="15" customHeight="1" spans="1:24">
      <c r="A8320" s="348" t="s">
        <v>17740</v>
      </c>
      <c r="B8320" s="334" t="s">
        <v>137</v>
      </c>
      <c r="C8320" s="348" t="s">
        <v>406</v>
      </c>
      <c r="D8320" s="335" t="s">
        <v>443</v>
      </c>
      <c r="E8320" s="336">
        <v>43833</v>
      </c>
      <c r="F8320" s="336">
        <v>43780</v>
      </c>
      <c r="G8320" s="336">
        <v>43833</v>
      </c>
      <c r="H8320" s="334" t="s">
        <v>17741</v>
      </c>
      <c r="I8320" s="444">
        <v>13607696932</v>
      </c>
      <c r="J8320" s="348" t="s">
        <v>17742</v>
      </c>
      <c r="K8320" s="452">
        <v>1000</v>
      </c>
      <c r="L8320" s="334">
        <v>12946</v>
      </c>
      <c r="M8320" s="338"/>
      <c r="N8320" s="362">
        <f t="shared" si="280"/>
        <v>12946</v>
      </c>
      <c r="O8320" s="330" t="s">
        <v>19</v>
      </c>
      <c r="X8320" s="339"/>
    </row>
    <row r="8321" s="330" customFormat="1" ht="15" customHeight="1" spans="1:24">
      <c r="A8321" s="348" t="s">
        <v>17743</v>
      </c>
      <c r="B8321" s="334" t="s">
        <v>137</v>
      </c>
      <c r="C8321" s="348" t="s">
        <v>406</v>
      </c>
      <c r="D8321" s="334" t="s">
        <v>139</v>
      </c>
      <c r="E8321" s="336">
        <v>43782</v>
      </c>
      <c r="F8321" s="336">
        <v>43781</v>
      </c>
      <c r="G8321" s="336">
        <v>43781</v>
      </c>
      <c r="H8321" s="334" t="s">
        <v>17744</v>
      </c>
      <c r="I8321" s="444">
        <v>17621740261</v>
      </c>
      <c r="J8321" s="348" t="s">
        <v>17745</v>
      </c>
      <c r="K8321" s="452">
        <v>5922</v>
      </c>
      <c r="L8321" s="334">
        <v>5922</v>
      </c>
      <c r="M8321" s="338"/>
      <c r="N8321" s="362">
        <f t="shared" si="280"/>
        <v>5922</v>
      </c>
      <c r="X8321" s="339"/>
    </row>
    <row r="8322" s="330" customFormat="1" ht="15" customHeight="1" spans="1:24">
      <c r="A8322" s="348" t="s">
        <v>17746</v>
      </c>
      <c r="B8322" s="334" t="s">
        <v>281</v>
      </c>
      <c r="C8322" s="348" t="s">
        <v>491</v>
      </c>
      <c r="D8322" s="335" t="s">
        <v>49</v>
      </c>
      <c r="E8322" s="336">
        <v>43782</v>
      </c>
      <c r="F8322" s="336">
        <v>43780</v>
      </c>
      <c r="G8322" s="399"/>
      <c r="H8322" s="334" t="s">
        <v>17747</v>
      </c>
      <c r="I8322" s="444">
        <v>18616360599</v>
      </c>
      <c r="J8322" s="348" t="s">
        <v>17748</v>
      </c>
      <c r="K8322" s="452">
        <v>2199</v>
      </c>
      <c r="L8322" s="338"/>
      <c r="M8322" s="338"/>
      <c r="N8322" s="362">
        <f t="shared" si="280"/>
        <v>0</v>
      </c>
      <c r="O8322" s="356" t="s">
        <v>52</v>
      </c>
      <c r="X8322" s="339"/>
    </row>
    <row r="8323" s="330" customFormat="1" ht="15" customHeight="1" spans="1:24">
      <c r="A8323" s="550" t="s">
        <v>6144</v>
      </c>
      <c r="B8323" s="334" t="s">
        <v>185</v>
      </c>
      <c r="C8323" s="348" t="s">
        <v>886</v>
      </c>
      <c r="D8323" s="335" t="s">
        <v>187</v>
      </c>
      <c r="E8323" s="336">
        <v>43806</v>
      </c>
      <c r="F8323" s="336">
        <v>43781</v>
      </c>
      <c r="G8323" s="336">
        <v>43805</v>
      </c>
      <c r="H8323" s="334" t="s">
        <v>17749</v>
      </c>
      <c r="I8323" s="444">
        <v>18651618423</v>
      </c>
      <c r="J8323" s="348" t="s">
        <v>17750</v>
      </c>
      <c r="K8323" s="452">
        <v>3998</v>
      </c>
      <c r="L8323" s="334">
        <v>14210</v>
      </c>
      <c r="M8323" s="338"/>
      <c r="N8323" s="362">
        <f t="shared" si="280"/>
        <v>14210</v>
      </c>
      <c r="X8323" s="339"/>
    </row>
    <row r="8324" s="330" customFormat="1" ht="15" customHeight="1" spans="1:24">
      <c r="A8324" s="550" t="s">
        <v>17751</v>
      </c>
      <c r="B8324" s="334" t="s">
        <v>169</v>
      </c>
      <c r="C8324" s="348" t="s">
        <v>542</v>
      </c>
      <c r="D8324" s="335" t="s">
        <v>171</v>
      </c>
      <c r="E8324" s="336">
        <v>43786</v>
      </c>
      <c r="F8324" s="336">
        <v>43782</v>
      </c>
      <c r="G8324" s="336">
        <v>43786</v>
      </c>
      <c r="H8324" s="334" t="s">
        <v>17752</v>
      </c>
      <c r="I8324" s="444">
        <v>13916179201</v>
      </c>
      <c r="J8324" s="348" t="s">
        <v>17753</v>
      </c>
      <c r="K8324" s="452">
        <v>1000</v>
      </c>
      <c r="L8324" s="334">
        <v>14012</v>
      </c>
      <c r="M8324" s="338"/>
      <c r="N8324" s="362">
        <f t="shared" si="280"/>
        <v>14012</v>
      </c>
      <c r="X8324" s="339"/>
    </row>
    <row r="8325" s="330" customFormat="1" ht="15" customHeight="1" spans="1:24">
      <c r="A8325" s="348"/>
      <c r="B8325" s="334" t="s">
        <v>47</v>
      </c>
      <c r="C8325" s="348" t="s">
        <v>80</v>
      </c>
      <c r="D8325" s="335" t="s">
        <v>49</v>
      </c>
      <c r="E8325" s="336">
        <v>43782</v>
      </c>
      <c r="F8325" s="336">
        <v>43780</v>
      </c>
      <c r="G8325" s="399"/>
      <c r="H8325" s="334" t="s">
        <v>6217</v>
      </c>
      <c r="I8325" s="444">
        <v>17717373680</v>
      </c>
      <c r="J8325" s="348" t="s">
        <v>17754</v>
      </c>
      <c r="K8325" s="452">
        <v>1000</v>
      </c>
      <c r="L8325" s="338"/>
      <c r="M8325" s="338"/>
      <c r="N8325" s="362">
        <f t="shared" si="280"/>
        <v>0</v>
      </c>
      <c r="Q8325" s="356"/>
      <c r="S8325" s="356" t="s">
        <v>52</v>
      </c>
      <c r="X8325" s="339"/>
    </row>
    <row r="8326" s="330" customFormat="1" ht="15" customHeight="1" spans="1:24">
      <c r="A8326" s="348">
        <v>2068433</v>
      </c>
      <c r="B8326" s="334" t="s">
        <v>47</v>
      </c>
      <c r="C8326" s="348" t="s">
        <v>80</v>
      </c>
      <c r="D8326" s="335" t="s">
        <v>49</v>
      </c>
      <c r="E8326" s="336">
        <v>43799</v>
      </c>
      <c r="F8326" s="336">
        <v>43780</v>
      </c>
      <c r="G8326" s="336">
        <v>43799</v>
      </c>
      <c r="H8326" s="334" t="s">
        <v>17755</v>
      </c>
      <c r="I8326" s="444">
        <v>18801962846</v>
      </c>
      <c r="J8326" s="348" t="s">
        <v>17756</v>
      </c>
      <c r="K8326" s="452">
        <v>1000</v>
      </c>
      <c r="L8326" s="334">
        <v>15000</v>
      </c>
      <c r="M8326" s="338"/>
      <c r="N8326" s="362">
        <f t="shared" si="280"/>
        <v>15000</v>
      </c>
      <c r="R8326" s="356"/>
      <c r="S8326" s="356" t="s">
        <v>52</v>
      </c>
      <c r="X8326" s="339"/>
    </row>
    <row r="8327" s="330" customFormat="1" ht="15" customHeight="1" spans="1:24">
      <c r="A8327" s="550" t="s">
        <v>17757</v>
      </c>
      <c r="B8327" s="334" t="s">
        <v>281</v>
      </c>
      <c r="C8327" s="348" t="s">
        <v>491</v>
      </c>
      <c r="D8327" s="334" t="s">
        <v>518</v>
      </c>
      <c r="E8327" s="336">
        <v>43796</v>
      </c>
      <c r="F8327" s="336">
        <v>43780</v>
      </c>
      <c r="G8327" s="336">
        <v>43795</v>
      </c>
      <c r="H8327" s="334" t="s">
        <v>17758</v>
      </c>
      <c r="I8327" s="444">
        <v>18017836936</v>
      </c>
      <c r="J8327" s="348" t="s">
        <v>17759</v>
      </c>
      <c r="K8327" s="452">
        <v>5559</v>
      </c>
      <c r="L8327" s="334">
        <v>13844</v>
      </c>
      <c r="M8327" s="338"/>
      <c r="N8327" s="362">
        <f t="shared" si="280"/>
        <v>13844</v>
      </c>
      <c r="X8327" s="339"/>
    </row>
    <row r="8328" s="330" customFormat="1" ht="15" customHeight="1" spans="1:24">
      <c r="A8328" s="550" t="s">
        <v>17760</v>
      </c>
      <c r="B8328" s="334" t="s">
        <v>281</v>
      </c>
      <c r="C8328" s="348" t="s">
        <v>491</v>
      </c>
      <c r="D8328" s="335" t="s">
        <v>49</v>
      </c>
      <c r="E8328" s="336">
        <v>43782</v>
      </c>
      <c r="F8328" s="336">
        <v>43780</v>
      </c>
      <c r="G8328" s="399"/>
      <c r="H8328" s="334" t="s">
        <v>17761</v>
      </c>
      <c r="I8328" s="444">
        <v>13916658600</v>
      </c>
      <c r="J8328" s="348" t="s">
        <v>17762</v>
      </c>
      <c r="K8328" s="452">
        <v>1399</v>
      </c>
      <c r="L8328" s="338"/>
      <c r="M8328" s="338"/>
      <c r="N8328" s="362">
        <f t="shared" si="280"/>
        <v>0</v>
      </c>
      <c r="Q8328" s="356" t="s">
        <v>52</v>
      </c>
      <c r="X8328" s="339"/>
    </row>
    <row r="8329" s="330" customFormat="1" ht="15" customHeight="1" spans="1:24">
      <c r="A8329" s="550" t="s">
        <v>17763</v>
      </c>
      <c r="B8329" s="334" t="s">
        <v>281</v>
      </c>
      <c r="C8329" s="348" t="s">
        <v>491</v>
      </c>
      <c r="D8329" s="335" t="s">
        <v>49</v>
      </c>
      <c r="E8329" s="336">
        <v>43782</v>
      </c>
      <c r="F8329" s="336">
        <v>43780</v>
      </c>
      <c r="G8329" s="399"/>
      <c r="H8329" s="334" t="s">
        <v>17764</v>
      </c>
      <c r="I8329" s="444">
        <v>18121162727</v>
      </c>
      <c r="J8329" s="348" t="s">
        <v>17765</v>
      </c>
      <c r="K8329" s="452">
        <v>1399</v>
      </c>
      <c r="L8329" s="338"/>
      <c r="M8329" s="338"/>
      <c r="N8329" s="362">
        <f t="shared" si="280"/>
        <v>0</v>
      </c>
      <c r="Q8329" s="356" t="s">
        <v>52</v>
      </c>
      <c r="X8329" s="339"/>
    </row>
    <row r="8330" s="330" customFormat="1" ht="15" customHeight="1" spans="1:24">
      <c r="A8330" s="550" t="s">
        <v>17766</v>
      </c>
      <c r="B8330" s="334" t="s">
        <v>281</v>
      </c>
      <c r="C8330" s="348" t="s">
        <v>491</v>
      </c>
      <c r="D8330" s="334" t="s">
        <v>518</v>
      </c>
      <c r="E8330" s="336">
        <v>43796</v>
      </c>
      <c r="F8330" s="336">
        <v>43780</v>
      </c>
      <c r="G8330" s="336">
        <v>43795</v>
      </c>
      <c r="H8330" s="334" t="s">
        <v>17767</v>
      </c>
      <c r="I8330" s="444">
        <v>15921059600</v>
      </c>
      <c r="J8330" s="348" t="s">
        <v>17768</v>
      </c>
      <c r="K8330" s="452">
        <v>6597</v>
      </c>
      <c r="L8330" s="334">
        <v>11540</v>
      </c>
      <c r="M8330" s="338"/>
      <c r="N8330" s="362">
        <f t="shared" si="280"/>
        <v>11540</v>
      </c>
      <c r="X8330" s="339"/>
    </row>
    <row r="8331" s="330" customFormat="1" ht="15" customHeight="1" spans="1:24">
      <c r="A8331" s="348"/>
      <c r="B8331" s="334" t="s">
        <v>87</v>
      </c>
      <c r="C8331" s="348" t="s">
        <v>199</v>
      </c>
      <c r="D8331" s="335" t="s">
        <v>89</v>
      </c>
      <c r="E8331" s="336">
        <v>43799</v>
      </c>
      <c r="F8331" s="336">
        <v>43780</v>
      </c>
      <c r="G8331" s="336">
        <v>43799</v>
      </c>
      <c r="H8331" s="334" t="s">
        <v>17769</v>
      </c>
      <c r="I8331" s="444">
        <v>1397051048</v>
      </c>
      <c r="J8331" s="348" t="s">
        <v>17770</v>
      </c>
      <c r="K8331" s="452">
        <v>1999</v>
      </c>
      <c r="L8331" s="334">
        <v>75149</v>
      </c>
      <c r="M8331" s="338"/>
      <c r="N8331" s="362">
        <f t="shared" si="280"/>
        <v>75149</v>
      </c>
      <c r="R8331" s="356" t="s">
        <v>52</v>
      </c>
      <c r="X8331" s="339"/>
    </row>
    <row r="8332" s="330" customFormat="1" ht="15" customHeight="1" spans="1:24">
      <c r="A8332" s="550" t="s">
        <v>6503</v>
      </c>
      <c r="B8332" s="334" t="s">
        <v>153</v>
      </c>
      <c r="C8332" s="348" t="s">
        <v>15883</v>
      </c>
      <c r="D8332" s="335" t="s">
        <v>155</v>
      </c>
      <c r="E8332" s="336">
        <v>43782</v>
      </c>
      <c r="F8332" s="336">
        <v>43778</v>
      </c>
      <c r="G8332" s="399"/>
      <c r="H8332" s="334" t="s">
        <v>4863</v>
      </c>
      <c r="I8332" s="444">
        <v>13957755706</v>
      </c>
      <c r="J8332" s="348" t="s">
        <v>17771</v>
      </c>
      <c r="K8332" s="452">
        <v>1000</v>
      </c>
      <c r="L8332" s="338"/>
      <c r="M8332" s="338"/>
      <c r="N8332" s="362">
        <f t="shared" si="280"/>
        <v>0</v>
      </c>
      <c r="Q8332" s="330" t="s">
        <v>52</v>
      </c>
      <c r="U8332" s="353">
        <v>1.2</v>
      </c>
      <c r="X8332" s="339"/>
    </row>
    <row r="8333" s="330" customFormat="1" ht="15" customHeight="1" spans="1:24">
      <c r="A8333" s="550" t="s">
        <v>5853</v>
      </c>
      <c r="B8333" s="334" t="s">
        <v>185</v>
      </c>
      <c r="C8333" s="348" t="s">
        <v>1620</v>
      </c>
      <c r="D8333" s="335" t="s">
        <v>44</v>
      </c>
      <c r="E8333" s="336">
        <v>43827</v>
      </c>
      <c r="F8333" s="336">
        <v>43780</v>
      </c>
      <c r="G8333" s="336">
        <v>43827</v>
      </c>
      <c r="H8333" s="334" t="s">
        <v>17772</v>
      </c>
      <c r="I8333" s="444">
        <v>17887920185</v>
      </c>
      <c r="J8333" s="348" t="s">
        <v>17773</v>
      </c>
      <c r="K8333" s="452">
        <v>1000</v>
      </c>
      <c r="L8333" s="334">
        <v>21000</v>
      </c>
      <c r="M8333" s="338"/>
      <c r="N8333" s="362">
        <f t="shared" si="280"/>
        <v>21000</v>
      </c>
      <c r="O8333" s="467" t="s">
        <v>52</v>
      </c>
      <c r="X8333" s="339"/>
    </row>
    <row r="8334" s="330" customFormat="1" ht="15" customHeight="1" spans="1:24">
      <c r="A8334" s="550" t="s">
        <v>14667</v>
      </c>
      <c r="B8334" s="334" t="s">
        <v>405</v>
      </c>
      <c r="C8334" s="348" t="s">
        <v>14070</v>
      </c>
      <c r="D8334" s="335" t="s">
        <v>407</v>
      </c>
      <c r="E8334" s="336">
        <v>43799</v>
      </c>
      <c r="F8334" s="336">
        <v>43780</v>
      </c>
      <c r="G8334" s="336">
        <v>43798</v>
      </c>
      <c r="H8334" s="334" t="s">
        <v>17774</v>
      </c>
      <c r="I8334" s="444">
        <v>13661988886</v>
      </c>
      <c r="J8334" s="348" t="s">
        <v>17775</v>
      </c>
      <c r="K8334" s="452">
        <v>4533</v>
      </c>
      <c r="L8334" s="334">
        <v>11093</v>
      </c>
      <c r="M8334" s="338"/>
      <c r="N8334" s="362">
        <f t="shared" si="280"/>
        <v>11093</v>
      </c>
      <c r="W8334" s="504" t="s">
        <v>17776</v>
      </c>
      <c r="X8334" s="339"/>
    </row>
    <row r="8335" s="330" customFormat="1" ht="15" customHeight="1" spans="1:24">
      <c r="A8335" s="550" t="s">
        <v>16345</v>
      </c>
      <c r="B8335" s="334" t="s">
        <v>315</v>
      </c>
      <c r="C8335" s="348" t="s">
        <v>181</v>
      </c>
      <c r="D8335" s="334" t="s">
        <v>1431</v>
      </c>
      <c r="E8335" s="336">
        <v>43786</v>
      </c>
      <c r="F8335" s="336">
        <v>43780</v>
      </c>
      <c r="G8335" s="336">
        <v>43782</v>
      </c>
      <c r="H8335" s="334" t="s">
        <v>17777</v>
      </c>
      <c r="I8335" s="444">
        <v>15802149853</v>
      </c>
      <c r="J8335" s="348" t="s">
        <v>17778</v>
      </c>
      <c r="K8335" s="452">
        <v>2533</v>
      </c>
      <c r="L8335" s="334">
        <v>4044</v>
      </c>
      <c r="M8335" s="338"/>
      <c r="N8335" s="362">
        <f t="shared" si="280"/>
        <v>4044</v>
      </c>
      <c r="X8335" s="339"/>
    </row>
    <row r="8336" s="330" customFormat="1" ht="15" customHeight="1" spans="1:24">
      <c r="A8336" s="334"/>
      <c r="B8336" s="334" t="s">
        <v>805</v>
      </c>
      <c r="C8336" s="334" t="s">
        <v>806</v>
      </c>
      <c r="D8336" s="334" t="s">
        <v>171</v>
      </c>
      <c r="E8336" s="336">
        <v>43782</v>
      </c>
      <c r="F8336" s="336"/>
      <c r="G8336" s="336">
        <v>43779</v>
      </c>
      <c r="H8336" s="334" t="s">
        <v>17779</v>
      </c>
      <c r="I8336" s="334">
        <v>15201812287</v>
      </c>
      <c r="J8336" s="348" t="s">
        <v>17780</v>
      </c>
      <c r="K8336" s="337"/>
      <c r="L8336" s="334">
        <v>17400</v>
      </c>
      <c r="M8336" s="338"/>
      <c r="N8336" s="362">
        <f t="shared" ref="N8336:N8367" si="281">L8336+M8336</f>
        <v>17400</v>
      </c>
      <c r="X8336" s="339"/>
    </row>
    <row r="8337" s="330" customFormat="1" ht="15" customHeight="1" spans="1:24">
      <c r="A8337" s="334"/>
      <c r="B8337" s="334" t="s">
        <v>6313</v>
      </c>
      <c r="C8337" s="334" t="s">
        <v>7818</v>
      </c>
      <c r="D8337" s="334" t="s">
        <v>7871</v>
      </c>
      <c r="E8337" s="336">
        <v>43782</v>
      </c>
      <c r="F8337" s="336"/>
      <c r="G8337" s="336">
        <v>43780</v>
      </c>
      <c r="H8337" s="334" t="s">
        <v>17781</v>
      </c>
      <c r="I8337" s="334">
        <v>13801685284</v>
      </c>
      <c r="J8337" s="348" t="s">
        <v>17782</v>
      </c>
      <c r="K8337" s="337"/>
      <c r="L8337" s="334">
        <v>19000</v>
      </c>
      <c r="M8337" s="338"/>
      <c r="N8337" s="362">
        <f t="shared" si="281"/>
        <v>19000</v>
      </c>
      <c r="X8337" s="339"/>
    </row>
    <row r="8338" s="330" customFormat="1" ht="15" customHeight="1" spans="1:24">
      <c r="A8338" s="334"/>
      <c r="B8338" s="334" t="s">
        <v>31</v>
      </c>
      <c r="C8338" s="334" t="s">
        <v>2716</v>
      </c>
      <c r="D8338" s="334" t="s">
        <v>954</v>
      </c>
      <c r="E8338" s="336">
        <v>43782</v>
      </c>
      <c r="F8338" s="336"/>
      <c r="G8338" s="336">
        <v>43780</v>
      </c>
      <c r="H8338" s="334" t="s">
        <v>6852</v>
      </c>
      <c r="I8338" s="444">
        <v>15216732886</v>
      </c>
      <c r="J8338" s="348" t="s">
        <v>17783</v>
      </c>
      <c r="K8338" s="337"/>
      <c r="L8338" s="334">
        <v>10398</v>
      </c>
      <c r="M8338" s="338"/>
      <c r="N8338" s="362">
        <f t="shared" si="281"/>
        <v>10398</v>
      </c>
      <c r="X8338" s="339"/>
    </row>
    <row r="8339" s="330" customFormat="1" ht="15" customHeight="1" spans="1:24">
      <c r="A8339" s="334"/>
      <c r="B8339" s="334" t="s">
        <v>66</v>
      </c>
      <c r="C8339" s="334" t="s">
        <v>951</v>
      </c>
      <c r="D8339" s="334" t="s">
        <v>2302</v>
      </c>
      <c r="E8339" s="336">
        <v>43782</v>
      </c>
      <c r="F8339" s="336"/>
      <c r="G8339" s="336">
        <v>43782</v>
      </c>
      <c r="H8339" s="334" t="s">
        <v>17784</v>
      </c>
      <c r="I8339" s="426">
        <v>17717821693</v>
      </c>
      <c r="J8339" s="334" t="s">
        <v>12918</v>
      </c>
      <c r="K8339" s="337"/>
      <c r="L8339" s="334">
        <v>17384</v>
      </c>
      <c r="M8339" s="338"/>
      <c r="N8339" s="362">
        <f t="shared" si="281"/>
        <v>17384</v>
      </c>
      <c r="X8339" s="339"/>
    </row>
    <row r="8340" s="330" customFormat="1" ht="15" customHeight="1" spans="1:24">
      <c r="A8340" s="334"/>
      <c r="B8340" s="487" t="s">
        <v>4009</v>
      </c>
      <c r="C8340" s="334" t="s">
        <v>6401</v>
      </c>
      <c r="D8340" s="334" t="s">
        <v>8334</v>
      </c>
      <c r="E8340" s="336">
        <v>43782</v>
      </c>
      <c r="F8340" s="336"/>
      <c r="G8340" s="336">
        <v>43780</v>
      </c>
      <c r="H8340" s="334" t="s">
        <v>14714</v>
      </c>
      <c r="I8340" s="426">
        <v>13916905259</v>
      </c>
      <c r="J8340" s="334" t="s">
        <v>17785</v>
      </c>
      <c r="K8340" s="337"/>
      <c r="L8340" s="334">
        <v>2760</v>
      </c>
      <c r="M8340" s="338"/>
      <c r="N8340" s="362">
        <f t="shared" si="281"/>
        <v>2760</v>
      </c>
      <c r="X8340" s="339"/>
    </row>
    <row r="8341" s="330" customFormat="1" ht="15" customHeight="1" spans="1:24">
      <c r="A8341" s="334"/>
      <c r="B8341" s="334" t="s">
        <v>4009</v>
      </c>
      <c r="C8341" s="334" t="s">
        <v>6401</v>
      </c>
      <c r="D8341" s="334" t="s">
        <v>207</v>
      </c>
      <c r="E8341" s="336">
        <v>43782</v>
      </c>
      <c r="F8341" s="336"/>
      <c r="G8341" s="336">
        <v>43780</v>
      </c>
      <c r="H8341" s="334" t="s">
        <v>17786</v>
      </c>
      <c r="I8341" s="426">
        <v>13585722184</v>
      </c>
      <c r="J8341" s="334" t="s">
        <v>17787</v>
      </c>
      <c r="K8341" s="337"/>
      <c r="L8341" s="334">
        <v>4140</v>
      </c>
      <c r="M8341" s="338"/>
      <c r="N8341" s="362">
        <f t="shared" si="281"/>
        <v>4140</v>
      </c>
      <c r="X8341" s="339"/>
    </row>
    <row r="8342" s="330" customFormat="1" ht="15" customHeight="1" spans="1:24">
      <c r="A8342" s="334"/>
      <c r="B8342" s="334" t="s">
        <v>281</v>
      </c>
      <c r="C8342" s="334" t="s">
        <v>491</v>
      </c>
      <c r="D8342" s="334" t="s">
        <v>518</v>
      </c>
      <c r="E8342" s="336">
        <v>43782</v>
      </c>
      <c r="F8342" s="336"/>
      <c r="G8342" s="336">
        <v>43782</v>
      </c>
      <c r="H8342" s="334" t="s">
        <v>17788</v>
      </c>
      <c r="I8342" s="444">
        <v>15900990569</v>
      </c>
      <c r="J8342" s="348" t="s">
        <v>17789</v>
      </c>
      <c r="K8342" s="337"/>
      <c r="L8342" s="334">
        <v>19316</v>
      </c>
      <c r="M8342" s="338"/>
      <c r="N8342" s="362">
        <f t="shared" si="281"/>
        <v>19316</v>
      </c>
      <c r="X8342" s="339"/>
    </row>
    <row r="8343" s="330" customFormat="1" ht="15" customHeight="1" spans="1:24">
      <c r="A8343" s="334"/>
      <c r="B8343" s="334" t="s">
        <v>354</v>
      </c>
      <c r="C8343" s="334" t="s">
        <v>355</v>
      </c>
      <c r="D8343" s="334" t="s">
        <v>343</v>
      </c>
      <c r="E8343" s="336">
        <v>43782</v>
      </c>
      <c r="F8343" s="336"/>
      <c r="G8343" s="336">
        <v>43779</v>
      </c>
      <c r="H8343" s="334" t="s">
        <v>17790</v>
      </c>
      <c r="I8343" s="444">
        <v>13818140589</v>
      </c>
      <c r="J8343" s="348" t="s">
        <v>17791</v>
      </c>
      <c r="K8343" s="337"/>
      <c r="L8343" s="334">
        <v>8565</v>
      </c>
      <c r="M8343" s="334">
        <v>8942</v>
      </c>
      <c r="N8343" s="362">
        <f t="shared" si="281"/>
        <v>17507</v>
      </c>
      <c r="X8343" s="339"/>
    </row>
    <row r="8344" s="330" customFormat="1" ht="15" customHeight="1" spans="1:24">
      <c r="A8344" s="334"/>
      <c r="B8344" s="334" t="s">
        <v>315</v>
      </c>
      <c r="C8344" s="334" t="s">
        <v>230</v>
      </c>
      <c r="D8344" s="334" t="s">
        <v>182</v>
      </c>
      <c r="E8344" s="336">
        <v>43782</v>
      </c>
      <c r="F8344" s="336"/>
      <c r="G8344" s="336">
        <v>43780</v>
      </c>
      <c r="H8344" s="334" t="s">
        <v>17792</v>
      </c>
      <c r="I8344" s="444">
        <v>18217392373</v>
      </c>
      <c r="J8344" s="348" t="s">
        <v>17793</v>
      </c>
      <c r="K8344" s="337"/>
      <c r="L8344" s="334">
        <v>9835</v>
      </c>
      <c r="M8344" s="338"/>
      <c r="N8344" s="362">
        <f t="shared" si="281"/>
        <v>9835</v>
      </c>
      <c r="X8344" s="339"/>
    </row>
    <row r="8345" s="330" customFormat="1" ht="15" customHeight="1" spans="1:24">
      <c r="A8345" s="334"/>
      <c r="B8345" s="334" t="s">
        <v>205</v>
      </c>
      <c r="C8345" s="334" t="s">
        <v>1467</v>
      </c>
      <c r="D8345" s="334" t="s">
        <v>207</v>
      </c>
      <c r="E8345" s="336">
        <v>43782</v>
      </c>
      <c r="F8345" s="336"/>
      <c r="G8345" s="336">
        <v>43782</v>
      </c>
      <c r="H8345" s="334" t="s">
        <v>17794</v>
      </c>
      <c r="I8345" s="444">
        <v>13564953237</v>
      </c>
      <c r="J8345" s="348" t="s">
        <v>17795</v>
      </c>
      <c r="K8345" s="337"/>
      <c r="L8345" s="334">
        <v>8529</v>
      </c>
      <c r="M8345" s="338"/>
      <c r="N8345" s="362">
        <f t="shared" si="281"/>
        <v>8529</v>
      </c>
      <c r="X8345" s="339"/>
    </row>
    <row r="8346" s="330" customFormat="1" ht="15" customHeight="1" spans="1:24">
      <c r="A8346" s="334"/>
      <c r="B8346" s="334" t="s">
        <v>805</v>
      </c>
      <c r="C8346" s="334" t="s">
        <v>4935</v>
      </c>
      <c r="D8346" s="334" t="s">
        <v>171</v>
      </c>
      <c r="E8346" s="336">
        <v>43782</v>
      </c>
      <c r="F8346" s="336"/>
      <c r="G8346" s="336">
        <v>43778</v>
      </c>
      <c r="H8346" s="334" t="s">
        <v>10540</v>
      </c>
      <c r="I8346" s="334">
        <v>13795453711</v>
      </c>
      <c r="J8346" s="334" t="s">
        <v>17796</v>
      </c>
      <c r="K8346" s="337"/>
      <c r="L8346" s="338"/>
      <c r="M8346" s="334">
        <v>1620</v>
      </c>
      <c r="N8346" s="362">
        <f t="shared" si="281"/>
        <v>1620</v>
      </c>
      <c r="X8346" s="339"/>
    </row>
    <row r="8347" s="330" customFormat="1" ht="15" customHeight="1" spans="1:24">
      <c r="A8347" s="334"/>
      <c r="B8347" s="334" t="s">
        <v>243</v>
      </c>
      <c r="C8347" s="334" t="s">
        <v>309</v>
      </c>
      <c r="D8347" s="334" t="s">
        <v>49</v>
      </c>
      <c r="E8347" s="336">
        <v>43782</v>
      </c>
      <c r="F8347" s="336"/>
      <c r="G8347" s="336">
        <v>43780</v>
      </c>
      <c r="H8347" s="334" t="s">
        <v>3510</v>
      </c>
      <c r="I8347" s="444">
        <v>15121181826</v>
      </c>
      <c r="J8347" s="348" t="s">
        <v>3512</v>
      </c>
      <c r="K8347" s="337"/>
      <c r="L8347" s="338"/>
      <c r="M8347" s="334">
        <v>1366</v>
      </c>
      <c r="N8347" s="362">
        <f t="shared" si="281"/>
        <v>1366</v>
      </c>
      <c r="X8347" s="339"/>
    </row>
    <row r="8348" s="330" customFormat="1" ht="15" customHeight="1" spans="1:24">
      <c r="A8348" s="334"/>
      <c r="B8348" s="334" t="s">
        <v>805</v>
      </c>
      <c r="C8348" s="334" t="s">
        <v>806</v>
      </c>
      <c r="D8348" s="334" t="s">
        <v>427</v>
      </c>
      <c r="E8348" s="336">
        <v>43782</v>
      </c>
      <c r="F8348" s="336"/>
      <c r="G8348" s="336">
        <v>43781</v>
      </c>
      <c r="H8348" s="334" t="s">
        <v>11975</v>
      </c>
      <c r="I8348" s="334">
        <v>13472721297</v>
      </c>
      <c r="J8348" s="334" t="s">
        <v>11976</v>
      </c>
      <c r="K8348" s="337"/>
      <c r="L8348" s="338"/>
      <c r="M8348" s="334">
        <v>56695</v>
      </c>
      <c r="N8348" s="362">
        <f t="shared" si="281"/>
        <v>56695</v>
      </c>
      <c r="X8348" s="339"/>
    </row>
    <row r="8349" s="330" customFormat="1" ht="15" customHeight="1" spans="1:24">
      <c r="A8349" s="334"/>
      <c r="B8349" s="334" t="s">
        <v>137</v>
      </c>
      <c r="C8349" s="334" t="s">
        <v>480</v>
      </c>
      <c r="D8349" s="334" t="s">
        <v>139</v>
      </c>
      <c r="E8349" s="336">
        <v>43782</v>
      </c>
      <c r="F8349" s="336"/>
      <c r="G8349" s="336">
        <v>43781</v>
      </c>
      <c r="H8349" s="334" t="s">
        <v>13154</v>
      </c>
      <c r="I8349" s="356">
        <v>13761825189</v>
      </c>
      <c r="J8349" s="348" t="s">
        <v>17797</v>
      </c>
      <c r="K8349" s="337"/>
      <c r="L8349" s="338"/>
      <c r="M8349" s="334">
        <v>2936</v>
      </c>
      <c r="N8349" s="362">
        <f t="shared" si="281"/>
        <v>2936</v>
      </c>
      <c r="X8349" s="339"/>
    </row>
    <row r="8350" s="330" customFormat="1" ht="15" customHeight="1" spans="1:24">
      <c r="A8350" s="334"/>
      <c r="B8350" s="334" t="s">
        <v>87</v>
      </c>
      <c r="C8350" s="334" t="s">
        <v>466</v>
      </c>
      <c r="D8350" s="334" t="s">
        <v>89</v>
      </c>
      <c r="E8350" s="336">
        <v>43782</v>
      </c>
      <c r="F8350" s="336"/>
      <c r="G8350" s="336">
        <v>43781</v>
      </c>
      <c r="H8350" s="334" t="s">
        <v>17798</v>
      </c>
      <c r="I8350" s="426" t="s">
        <v>17799</v>
      </c>
      <c r="J8350" s="334" t="s">
        <v>12994</v>
      </c>
      <c r="K8350" s="337"/>
      <c r="L8350" s="338"/>
      <c r="M8350" s="334">
        <v>1380</v>
      </c>
      <c r="N8350" s="362">
        <f t="shared" si="281"/>
        <v>1380</v>
      </c>
      <c r="X8350" s="339"/>
    </row>
    <row r="8351" s="330" customFormat="1" ht="15" customHeight="1" spans="1:24">
      <c r="A8351" s="334"/>
      <c r="B8351" s="334" t="s">
        <v>315</v>
      </c>
      <c r="C8351" s="334" t="s">
        <v>275</v>
      </c>
      <c r="D8351" s="334" t="s">
        <v>1431</v>
      </c>
      <c r="E8351" s="336">
        <v>43782</v>
      </c>
      <c r="F8351" s="336"/>
      <c r="G8351" s="336">
        <v>43780</v>
      </c>
      <c r="H8351" s="334" t="s">
        <v>10388</v>
      </c>
      <c r="I8351" s="426">
        <v>13764878947</v>
      </c>
      <c r="J8351" s="334" t="s">
        <v>10389</v>
      </c>
      <c r="K8351" s="337"/>
      <c r="L8351" s="338"/>
      <c r="M8351" s="334">
        <v>800</v>
      </c>
      <c r="N8351" s="362">
        <f t="shared" si="281"/>
        <v>800</v>
      </c>
      <c r="X8351" s="339"/>
    </row>
    <row r="8352" s="330" customFormat="1" ht="15" customHeight="1" spans="1:24">
      <c r="A8352" s="334"/>
      <c r="B8352" s="334" t="s">
        <v>137</v>
      </c>
      <c r="C8352" s="334" t="s">
        <v>861</v>
      </c>
      <c r="D8352" s="334" t="s">
        <v>443</v>
      </c>
      <c r="E8352" s="336">
        <v>43782</v>
      </c>
      <c r="F8352" s="336"/>
      <c r="G8352" s="336">
        <v>43777</v>
      </c>
      <c r="H8352" s="334" t="s">
        <v>17800</v>
      </c>
      <c r="I8352" s="356">
        <v>13818357233</v>
      </c>
      <c r="J8352" s="348" t="s">
        <v>6943</v>
      </c>
      <c r="K8352" s="337"/>
      <c r="L8352" s="338"/>
      <c r="M8352" s="334">
        <v>2846</v>
      </c>
      <c r="N8352" s="362">
        <f t="shared" si="281"/>
        <v>2846</v>
      </c>
      <c r="X8352" s="339"/>
    </row>
    <row r="8353" s="330" customFormat="1" ht="15" customHeight="1" spans="1:24">
      <c r="A8353" s="334"/>
      <c r="B8353" s="334" t="s">
        <v>137</v>
      </c>
      <c r="C8353" s="334" t="s">
        <v>411</v>
      </c>
      <c r="D8353" s="334" t="s">
        <v>443</v>
      </c>
      <c r="E8353" s="336">
        <v>43782</v>
      </c>
      <c r="F8353" s="336"/>
      <c r="G8353" s="336">
        <v>43782</v>
      </c>
      <c r="H8353" s="334" t="s">
        <v>12371</v>
      </c>
      <c r="I8353" s="334">
        <v>13052237487</v>
      </c>
      <c r="J8353" s="334" t="s">
        <v>12372</v>
      </c>
      <c r="K8353" s="337"/>
      <c r="L8353" s="338"/>
      <c r="M8353" s="334">
        <v>234</v>
      </c>
      <c r="N8353" s="362">
        <f t="shared" si="281"/>
        <v>234</v>
      </c>
      <c r="X8353" s="339"/>
    </row>
    <row r="8354" s="330" customFormat="1" ht="15" customHeight="1" spans="1:24">
      <c r="A8354" s="334"/>
      <c r="B8354" s="334" t="s">
        <v>31</v>
      </c>
      <c r="C8354" s="334" t="s">
        <v>419</v>
      </c>
      <c r="D8354" s="334" t="s">
        <v>33</v>
      </c>
      <c r="E8354" s="336">
        <v>43782</v>
      </c>
      <c r="F8354" s="336"/>
      <c r="G8354" s="336">
        <v>43782</v>
      </c>
      <c r="H8354" s="334" t="s">
        <v>15110</v>
      </c>
      <c r="I8354" s="444">
        <v>13636471793</v>
      </c>
      <c r="J8354" s="348" t="s">
        <v>15111</v>
      </c>
      <c r="K8354" s="337"/>
      <c r="L8354" s="338"/>
      <c r="M8354" s="334">
        <v>766</v>
      </c>
      <c r="N8354" s="362">
        <f t="shared" si="281"/>
        <v>766</v>
      </c>
      <c r="X8354" s="339"/>
    </row>
    <row r="8355" s="330" customFormat="1" ht="15" customHeight="1" spans="1:24">
      <c r="A8355" s="334"/>
      <c r="B8355" s="334" t="s">
        <v>137</v>
      </c>
      <c r="C8355" s="334" t="s">
        <v>411</v>
      </c>
      <c r="D8355" s="334" t="s">
        <v>2381</v>
      </c>
      <c r="E8355" s="336">
        <v>43782</v>
      </c>
      <c r="F8355" s="336"/>
      <c r="G8355" s="336">
        <v>43781</v>
      </c>
      <c r="H8355" s="334" t="s">
        <v>17801</v>
      </c>
      <c r="I8355" s="426">
        <v>18078346906</v>
      </c>
      <c r="J8355" s="334" t="s">
        <v>17802</v>
      </c>
      <c r="K8355" s="337"/>
      <c r="L8355" s="338"/>
      <c r="M8355" s="334">
        <v>5529</v>
      </c>
      <c r="N8355" s="362">
        <f t="shared" si="281"/>
        <v>5529</v>
      </c>
      <c r="X8355" s="339"/>
    </row>
    <row r="8356" s="330" customFormat="1" ht="15" customHeight="1" spans="1:24">
      <c r="A8356" s="334"/>
      <c r="B8356" s="334" t="s">
        <v>354</v>
      </c>
      <c r="C8356" s="334" t="s">
        <v>355</v>
      </c>
      <c r="D8356" s="334" t="s">
        <v>207</v>
      </c>
      <c r="E8356" s="336">
        <v>43782</v>
      </c>
      <c r="F8356" s="336"/>
      <c r="G8356" s="336">
        <v>43780</v>
      </c>
      <c r="H8356" s="334" t="s">
        <v>10871</v>
      </c>
      <c r="I8356" s="426">
        <v>13901608305</v>
      </c>
      <c r="J8356" s="334" t="s">
        <v>17803</v>
      </c>
      <c r="K8356" s="337"/>
      <c r="L8356" s="338"/>
      <c r="M8356" s="334">
        <v>995</v>
      </c>
      <c r="N8356" s="362">
        <f t="shared" si="281"/>
        <v>995</v>
      </c>
      <c r="X8356" s="339"/>
    </row>
    <row r="8357" s="330" customFormat="1" ht="15" customHeight="1" spans="1:24">
      <c r="A8357" s="334"/>
      <c r="B8357" s="334" t="s">
        <v>31</v>
      </c>
      <c r="C8357" s="334" t="s">
        <v>377</v>
      </c>
      <c r="D8357" s="334" t="s">
        <v>221</v>
      </c>
      <c r="E8357" s="336">
        <v>43782</v>
      </c>
      <c r="F8357" s="336"/>
      <c r="G8357" s="336">
        <v>43780</v>
      </c>
      <c r="H8357" s="334" t="s">
        <v>11172</v>
      </c>
      <c r="I8357" s="334">
        <v>18101979342</v>
      </c>
      <c r="J8357" s="334" t="s">
        <v>6890</v>
      </c>
      <c r="K8357" s="337"/>
      <c r="L8357" s="338"/>
      <c r="M8357" s="334">
        <v>368</v>
      </c>
      <c r="N8357" s="362">
        <f t="shared" si="281"/>
        <v>368</v>
      </c>
      <c r="X8357" s="339"/>
    </row>
    <row r="8358" s="330" customFormat="1" ht="15" customHeight="1" spans="1:24">
      <c r="A8358" s="334"/>
      <c r="B8358" s="334" t="s">
        <v>123</v>
      </c>
      <c r="C8358" s="334" t="s">
        <v>902</v>
      </c>
      <c r="D8358" s="334" t="s">
        <v>125</v>
      </c>
      <c r="E8358" s="336">
        <v>43782</v>
      </c>
      <c r="F8358" s="336"/>
      <c r="G8358" s="336">
        <v>43777</v>
      </c>
      <c r="H8358" s="334" t="s">
        <v>17804</v>
      </c>
      <c r="I8358" s="334">
        <v>13817909812</v>
      </c>
      <c r="J8358" s="348" t="s">
        <v>17805</v>
      </c>
      <c r="K8358" s="337"/>
      <c r="L8358" s="338"/>
      <c r="M8358" s="334">
        <v>3485</v>
      </c>
      <c r="N8358" s="362">
        <f t="shared" si="281"/>
        <v>3485</v>
      </c>
      <c r="X8358" s="339"/>
    </row>
    <row r="8359" s="330" customFormat="1" ht="15" customHeight="1" spans="1:24">
      <c r="A8359" s="334"/>
      <c r="B8359" s="334" t="s">
        <v>47</v>
      </c>
      <c r="C8359" s="334" t="s">
        <v>53</v>
      </c>
      <c r="D8359" s="334" t="s">
        <v>49</v>
      </c>
      <c r="E8359" s="336">
        <v>43782</v>
      </c>
      <c r="F8359" s="336"/>
      <c r="G8359" s="336">
        <v>43781</v>
      </c>
      <c r="H8359" s="334" t="s">
        <v>14365</v>
      </c>
      <c r="I8359" s="334">
        <v>18018502880</v>
      </c>
      <c r="J8359" s="334" t="s">
        <v>14366</v>
      </c>
      <c r="K8359" s="337"/>
      <c r="L8359" s="338"/>
      <c r="M8359" s="334">
        <v>826</v>
      </c>
      <c r="N8359" s="362">
        <f t="shared" si="281"/>
        <v>826</v>
      </c>
      <c r="X8359" s="339"/>
    </row>
    <row r="8360" s="330" customFormat="1" ht="15" customHeight="1" spans="1:24">
      <c r="A8360" s="334"/>
      <c r="B8360" s="334" t="s">
        <v>66</v>
      </c>
      <c r="C8360" s="334" t="s">
        <v>119</v>
      </c>
      <c r="D8360" s="334" t="s">
        <v>2302</v>
      </c>
      <c r="E8360" s="336">
        <v>43782</v>
      </c>
      <c r="F8360" s="336"/>
      <c r="G8360" s="336">
        <v>43769</v>
      </c>
      <c r="H8360" s="334" t="s">
        <v>806</v>
      </c>
      <c r="I8360" s="334">
        <v>13795001804</v>
      </c>
      <c r="J8360" s="348" t="s">
        <v>16238</v>
      </c>
      <c r="K8360" s="337"/>
      <c r="L8360" s="338"/>
      <c r="M8360" s="334">
        <v>478</v>
      </c>
      <c r="N8360" s="362">
        <f t="shared" si="281"/>
        <v>478</v>
      </c>
      <c r="X8360" s="339"/>
    </row>
    <row r="8361" s="330" customFormat="1" ht="15" customHeight="1" spans="1:24">
      <c r="A8361" s="334"/>
      <c r="B8361" s="334" t="s">
        <v>66</v>
      </c>
      <c r="C8361" s="334" t="s">
        <v>119</v>
      </c>
      <c r="D8361" s="334" t="s">
        <v>68</v>
      </c>
      <c r="E8361" s="336">
        <v>43782</v>
      </c>
      <c r="F8361" s="336"/>
      <c r="G8361" s="336">
        <v>43771</v>
      </c>
      <c r="H8361" s="334" t="s">
        <v>14144</v>
      </c>
      <c r="I8361" s="444">
        <v>13621623479</v>
      </c>
      <c r="J8361" s="348" t="s">
        <v>14145</v>
      </c>
      <c r="K8361" s="337"/>
      <c r="L8361" s="338"/>
      <c r="M8361" s="334">
        <v>655.42</v>
      </c>
      <c r="N8361" s="362">
        <f t="shared" si="281"/>
        <v>655.42</v>
      </c>
      <c r="X8361" s="339"/>
    </row>
    <row r="8362" s="330" customFormat="1" ht="15" customHeight="1" spans="1:24">
      <c r="A8362" s="334"/>
      <c r="B8362" s="334" t="s">
        <v>66</v>
      </c>
      <c r="C8362" s="334" t="s">
        <v>119</v>
      </c>
      <c r="D8362" s="334" t="s">
        <v>2302</v>
      </c>
      <c r="E8362" s="336">
        <v>43782</v>
      </c>
      <c r="F8362" s="336"/>
      <c r="G8362" s="336">
        <v>43767</v>
      </c>
      <c r="H8362" s="334" t="s">
        <v>6226</v>
      </c>
      <c r="I8362" s="444">
        <v>13818093886</v>
      </c>
      <c r="J8362" s="348" t="s">
        <v>6227</v>
      </c>
      <c r="K8362" s="337"/>
      <c r="L8362" s="338"/>
      <c r="M8362" s="334">
        <v>196.48</v>
      </c>
      <c r="N8362" s="362">
        <f t="shared" si="281"/>
        <v>196.48</v>
      </c>
      <c r="X8362" s="339"/>
    </row>
    <row r="8363" s="330" customFormat="1" ht="15" customHeight="1" spans="1:24">
      <c r="A8363" s="334"/>
      <c r="B8363" s="334" t="s">
        <v>66</v>
      </c>
      <c r="C8363" s="334" t="s">
        <v>3954</v>
      </c>
      <c r="D8363" s="334" t="s">
        <v>68</v>
      </c>
      <c r="E8363" s="336">
        <v>43782</v>
      </c>
      <c r="F8363" s="336"/>
      <c r="G8363" s="336">
        <v>43744</v>
      </c>
      <c r="H8363" s="334" t="s">
        <v>13106</v>
      </c>
      <c r="I8363" s="334">
        <v>18101799868</v>
      </c>
      <c r="J8363" s="334" t="s">
        <v>17806</v>
      </c>
      <c r="K8363" s="337"/>
      <c r="L8363" s="338"/>
      <c r="M8363" s="334">
        <v>-200</v>
      </c>
      <c r="N8363" s="362">
        <f t="shared" si="281"/>
        <v>-200</v>
      </c>
      <c r="X8363" s="339"/>
    </row>
    <row r="8364" s="330" customFormat="1" ht="15" customHeight="1" spans="1:24">
      <c r="A8364" s="334"/>
      <c r="B8364" s="334" t="s">
        <v>58</v>
      </c>
      <c r="C8364" s="334" t="s">
        <v>59</v>
      </c>
      <c r="D8364" s="334" t="s">
        <v>271</v>
      </c>
      <c r="E8364" s="336">
        <v>43782</v>
      </c>
      <c r="F8364" s="336"/>
      <c r="G8364" s="336">
        <v>43779</v>
      </c>
      <c r="H8364" s="334" t="s">
        <v>13344</v>
      </c>
      <c r="I8364" s="426">
        <v>18918960081</v>
      </c>
      <c r="J8364" s="334" t="s">
        <v>13345</v>
      </c>
      <c r="K8364" s="337"/>
      <c r="L8364" s="338"/>
      <c r="M8364" s="334">
        <v>493</v>
      </c>
      <c r="N8364" s="362">
        <f t="shared" si="281"/>
        <v>493</v>
      </c>
      <c r="X8364" s="339"/>
    </row>
    <row r="8365" s="330" customFormat="1" ht="15" customHeight="1" spans="1:24">
      <c r="A8365" s="334"/>
      <c r="B8365" s="334" t="s">
        <v>137</v>
      </c>
      <c r="C8365" s="334" t="s">
        <v>411</v>
      </c>
      <c r="D8365" s="334" t="s">
        <v>427</v>
      </c>
      <c r="E8365" s="336">
        <v>43782</v>
      </c>
      <c r="F8365" s="336"/>
      <c r="G8365" s="336">
        <v>43782</v>
      </c>
      <c r="H8365" s="334" t="s">
        <v>12846</v>
      </c>
      <c r="I8365" s="444">
        <v>18017101678</v>
      </c>
      <c r="J8365" s="348" t="s">
        <v>17807</v>
      </c>
      <c r="K8365" s="337"/>
      <c r="L8365" s="338"/>
      <c r="M8365" s="334">
        <v>544</v>
      </c>
      <c r="N8365" s="362">
        <f t="shared" si="281"/>
        <v>544</v>
      </c>
      <c r="X8365" s="339"/>
    </row>
    <row r="8366" s="330" customFormat="1" ht="15" customHeight="1" spans="1:24">
      <c r="A8366" s="334"/>
      <c r="B8366" s="334" t="s">
        <v>66</v>
      </c>
      <c r="C8366" s="334" t="s">
        <v>119</v>
      </c>
      <c r="D8366" s="334" t="s">
        <v>2302</v>
      </c>
      <c r="E8366" s="336">
        <v>43782</v>
      </c>
      <c r="F8366" s="336"/>
      <c r="G8366" s="336">
        <v>43781</v>
      </c>
      <c r="H8366" s="334" t="s">
        <v>7533</v>
      </c>
      <c r="I8366" s="444">
        <v>13524358286</v>
      </c>
      <c r="J8366" s="348" t="s">
        <v>7534</v>
      </c>
      <c r="K8366" s="337"/>
      <c r="L8366" s="338"/>
      <c r="M8366" s="334">
        <v>16909</v>
      </c>
      <c r="N8366" s="362">
        <f t="shared" si="281"/>
        <v>16909</v>
      </c>
      <c r="X8366" s="339"/>
    </row>
    <row r="8367" s="330" customFormat="1" ht="15" customHeight="1" spans="1:24">
      <c r="A8367" s="334"/>
      <c r="B8367" s="334" t="s">
        <v>87</v>
      </c>
      <c r="C8367" s="334" t="s">
        <v>199</v>
      </c>
      <c r="D8367" s="334" t="s">
        <v>89</v>
      </c>
      <c r="E8367" s="336">
        <v>43782</v>
      </c>
      <c r="F8367" s="336"/>
      <c r="G8367" s="336">
        <v>43782</v>
      </c>
      <c r="H8367" s="334" t="s">
        <v>7094</v>
      </c>
      <c r="I8367" s="444">
        <v>18601733349</v>
      </c>
      <c r="J8367" s="348" t="s">
        <v>7095</v>
      </c>
      <c r="K8367" s="337"/>
      <c r="L8367" s="338"/>
      <c r="M8367" s="334">
        <v>2379</v>
      </c>
      <c r="N8367" s="362">
        <f t="shared" si="281"/>
        <v>2379</v>
      </c>
      <c r="X8367" s="339"/>
    </row>
    <row r="8368" s="330" customFormat="1" ht="15" customHeight="1" spans="1:24">
      <c r="A8368" s="334"/>
      <c r="B8368" s="334" t="s">
        <v>281</v>
      </c>
      <c r="C8368" s="334" t="s">
        <v>517</v>
      </c>
      <c r="D8368" s="334" t="s">
        <v>518</v>
      </c>
      <c r="E8368" s="336">
        <v>43782</v>
      </c>
      <c r="F8368" s="336"/>
      <c r="G8368" s="336">
        <v>43782</v>
      </c>
      <c r="H8368" s="334" t="s">
        <v>15467</v>
      </c>
      <c r="I8368" s="444">
        <v>13585845899</v>
      </c>
      <c r="J8368" s="348" t="s">
        <v>15468</v>
      </c>
      <c r="K8368" s="337"/>
      <c r="L8368" s="338"/>
      <c r="M8368" s="334">
        <v>52</v>
      </c>
      <c r="N8368" s="362">
        <f t="shared" ref="N8368:N8391" si="282">L8368+M8368</f>
        <v>52</v>
      </c>
      <c r="X8368" s="339"/>
    </row>
    <row r="8369" s="330" customFormat="1" ht="15" customHeight="1" spans="1:24">
      <c r="A8369" s="334"/>
      <c r="B8369" s="334" t="s">
        <v>185</v>
      </c>
      <c r="C8369" s="334" t="s">
        <v>886</v>
      </c>
      <c r="D8369" s="334" t="s">
        <v>44</v>
      </c>
      <c r="E8369" s="336">
        <v>43782</v>
      </c>
      <c r="F8369" s="336"/>
      <c r="G8369" s="336">
        <v>43780</v>
      </c>
      <c r="H8369" s="334" t="s">
        <v>12208</v>
      </c>
      <c r="I8369" s="334">
        <v>15900629849</v>
      </c>
      <c r="J8369" s="348" t="s">
        <v>14850</v>
      </c>
      <c r="K8369" s="337"/>
      <c r="L8369" s="338"/>
      <c r="M8369" s="334">
        <v>3077</v>
      </c>
      <c r="N8369" s="362">
        <f t="shared" si="282"/>
        <v>3077</v>
      </c>
      <c r="X8369" s="339"/>
    </row>
    <row r="8370" s="330" customFormat="1" ht="15" customHeight="1" spans="1:24">
      <c r="A8370" s="334"/>
      <c r="B8370" s="334" t="s">
        <v>73</v>
      </c>
      <c r="C8370" s="334" t="s">
        <v>178</v>
      </c>
      <c r="D8370" s="334" t="s">
        <v>717</v>
      </c>
      <c r="E8370" s="336">
        <v>43782</v>
      </c>
      <c r="F8370" s="336"/>
      <c r="G8370" s="336">
        <v>43782</v>
      </c>
      <c r="H8370" s="334" t="s">
        <v>17808</v>
      </c>
      <c r="I8370" s="444">
        <v>13002191158</v>
      </c>
      <c r="J8370" s="348" t="s">
        <v>6079</v>
      </c>
      <c r="K8370" s="337"/>
      <c r="L8370" s="338"/>
      <c r="M8370" s="334">
        <v>7585</v>
      </c>
      <c r="N8370" s="362">
        <f t="shared" si="282"/>
        <v>7585</v>
      </c>
      <c r="X8370" s="339"/>
    </row>
    <row r="8371" s="330" customFormat="1" ht="15" customHeight="1" spans="1:24">
      <c r="A8371" s="334"/>
      <c r="B8371" s="334" t="s">
        <v>315</v>
      </c>
      <c r="C8371" s="334" t="s">
        <v>230</v>
      </c>
      <c r="D8371" s="334" t="s">
        <v>182</v>
      </c>
      <c r="E8371" s="336">
        <v>43782</v>
      </c>
      <c r="F8371" s="336"/>
      <c r="G8371" s="336">
        <v>43780</v>
      </c>
      <c r="H8371" s="334" t="s">
        <v>7783</v>
      </c>
      <c r="I8371" s="444">
        <v>15921088962</v>
      </c>
      <c r="J8371" s="334" t="s">
        <v>17809</v>
      </c>
      <c r="K8371" s="337"/>
      <c r="L8371" s="338"/>
      <c r="M8371" s="334">
        <v>38</v>
      </c>
      <c r="N8371" s="362">
        <f t="shared" si="282"/>
        <v>38</v>
      </c>
      <c r="X8371" s="339"/>
    </row>
    <row r="8372" s="330" customFormat="1" ht="15" customHeight="1" spans="1:24">
      <c r="A8372" s="334"/>
      <c r="B8372" s="334" t="s">
        <v>73</v>
      </c>
      <c r="C8372" s="334" t="s">
        <v>74</v>
      </c>
      <c r="D8372" s="334" t="s">
        <v>717</v>
      </c>
      <c r="E8372" s="336">
        <v>43782</v>
      </c>
      <c r="F8372" s="336"/>
      <c r="G8372" s="336">
        <v>43782</v>
      </c>
      <c r="H8372" s="334" t="s">
        <v>17810</v>
      </c>
      <c r="I8372" s="426">
        <v>13801677036</v>
      </c>
      <c r="J8372" s="334" t="s">
        <v>11633</v>
      </c>
      <c r="K8372" s="337"/>
      <c r="L8372" s="338"/>
      <c r="M8372" s="334">
        <v>7693</v>
      </c>
      <c r="N8372" s="362">
        <f t="shared" si="282"/>
        <v>7693</v>
      </c>
      <c r="X8372" s="339"/>
    </row>
    <row r="8373" s="330" customFormat="1" ht="15" customHeight="1" spans="1:24">
      <c r="A8373" s="334"/>
      <c r="B8373" s="334" t="s">
        <v>315</v>
      </c>
      <c r="C8373" s="334" t="s">
        <v>161</v>
      </c>
      <c r="D8373" s="334" t="s">
        <v>162</v>
      </c>
      <c r="E8373" s="336">
        <v>43782</v>
      </c>
      <c r="F8373" s="336"/>
      <c r="G8373" s="336">
        <v>43782</v>
      </c>
      <c r="H8373" s="334" t="s">
        <v>14671</v>
      </c>
      <c r="I8373" s="444">
        <v>13817729129</v>
      </c>
      <c r="J8373" s="348" t="s">
        <v>14672</v>
      </c>
      <c r="K8373" s="337"/>
      <c r="L8373" s="338"/>
      <c r="M8373" s="334">
        <v>3998</v>
      </c>
      <c r="N8373" s="362">
        <f t="shared" si="282"/>
        <v>3998</v>
      </c>
      <c r="X8373" s="339"/>
    </row>
    <row r="8374" s="330" customFormat="1" ht="15" customHeight="1" spans="1:24">
      <c r="A8374" s="334"/>
      <c r="B8374" s="334" t="s">
        <v>147</v>
      </c>
      <c r="C8374" s="334" t="s">
        <v>148</v>
      </c>
      <c r="D8374" s="334" t="s">
        <v>207</v>
      </c>
      <c r="E8374" s="336">
        <v>43782</v>
      </c>
      <c r="F8374" s="336"/>
      <c r="G8374" s="336">
        <v>43778</v>
      </c>
      <c r="H8374" s="334" t="s">
        <v>13057</v>
      </c>
      <c r="I8374" s="444">
        <v>13023262691</v>
      </c>
      <c r="J8374" s="348" t="s">
        <v>13058</v>
      </c>
      <c r="K8374" s="337"/>
      <c r="L8374" s="338"/>
      <c r="M8374" s="334">
        <v>-177</v>
      </c>
      <c r="N8374" s="362">
        <f t="shared" si="282"/>
        <v>-177</v>
      </c>
      <c r="X8374" s="339"/>
    </row>
    <row r="8375" s="330" customFormat="1" ht="15" customHeight="1" spans="1:24">
      <c r="A8375" s="334"/>
      <c r="B8375" s="334" t="s">
        <v>66</v>
      </c>
      <c r="C8375" s="334" t="s">
        <v>119</v>
      </c>
      <c r="D8375" s="334" t="s">
        <v>89</v>
      </c>
      <c r="E8375" s="336">
        <v>43782</v>
      </c>
      <c r="F8375" s="336"/>
      <c r="G8375" s="336">
        <v>43782</v>
      </c>
      <c r="H8375" s="334" t="s">
        <v>3547</v>
      </c>
      <c r="I8375" s="444">
        <v>18017728831</v>
      </c>
      <c r="J8375" s="348" t="s">
        <v>17811</v>
      </c>
      <c r="K8375" s="337"/>
      <c r="L8375" s="338"/>
      <c r="M8375" s="334">
        <v>16458</v>
      </c>
      <c r="N8375" s="362">
        <f t="shared" si="282"/>
        <v>16458</v>
      </c>
      <c r="X8375" s="339"/>
    </row>
    <row r="8376" s="330" customFormat="1" ht="15" customHeight="1" spans="1:24">
      <c r="A8376" s="334"/>
      <c r="B8376" s="334" t="s">
        <v>315</v>
      </c>
      <c r="C8376" s="334" t="s">
        <v>161</v>
      </c>
      <c r="D8376" s="334" t="s">
        <v>207</v>
      </c>
      <c r="E8376" s="336">
        <v>43782</v>
      </c>
      <c r="F8376" s="336"/>
      <c r="G8376" s="336">
        <v>43782</v>
      </c>
      <c r="H8376" s="334" t="s">
        <v>2717</v>
      </c>
      <c r="I8376" s="444">
        <v>18616751553</v>
      </c>
      <c r="J8376" s="348" t="s">
        <v>17812</v>
      </c>
      <c r="K8376" s="337"/>
      <c r="L8376" s="338"/>
      <c r="M8376" s="334">
        <v>4200</v>
      </c>
      <c r="N8376" s="362">
        <f t="shared" si="282"/>
        <v>4200</v>
      </c>
      <c r="X8376" s="339"/>
    </row>
    <row r="8377" s="330" customFormat="1" ht="15" customHeight="1" spans="1:24">
      <c r="A8377" s="550" t="s">
        <v>11622</v>
      </c>
      <c r="B8377" s="334" t="s">
        <v>315</v>
      </c>
      <c r="C8377" s="348" t="s">
        <v>230</v>
      </c>
      <c r="D8377" s="335" t="s">
        <v>182</v>
      </c>
      <c r="E8377" s="336">
        <v>43783</v>
      </c>
      <c r="F8377" s="336">
        <v>43782</v>
      </c>
      <c r="G8377" s="399"/>
      <c r="H8377" s="334" t="s">
        <v>17813</v>
      </c>
      <c r="I8377" s="444">
        <v>13817567440</v>
      </c>
      <c r="J8377" s="348" t="s">
        <v>17814</v>
      </c>
      <c r="K8377" s="452">
        <v>4200</v>
      </c>
      <c r="L8377" s="338"/>
      <c r="M8377" s="338"/>
      <c r="N8377" s="362">
        <f t="shared" si="282"/>
        <v>0</v>
      </c>
      <c r="X8377" s="339"/>
    </row>
    <row r="8378" s="330" customFormat="1" ht="15" customHeight="1" spans="1:24">
      <c r="A8378" s="550" t="s">
        <v>57</v>
      </c>
      <c r="B8378" s="334" t="s">
        <v>137</v>
      </c>
      <c r="C8378" s="348" t="s">
        <v>411</v>
      </c>
      <c r="D8378" s="334" t="s">
        <v>2381</v>
      </c>
      <c r="E8378" s="336">
        <v>43822</v>
      </c>
      <c r="F8378" s="336">
        <v>43780</v>
      </c>
      <c r="G8378" s="336">
        <v>43821</v>
      </c>
      <c r="H8378" s="334" t="s">
        <v>17815</v>
      </c>
      <c r="I8378" s="444">
        <v>13671770845</v>
      </c>
      <c r="J8378" s="348" t="s">
        <v>17816</v>
      </c>
      <c r="K8378" s="452">
        <v>5927</v>
      </c>
      <c r="L8378" s="334">
        <v>10509</v>
      </c>
      <c r="M8378" s="338"/>
      <c r="N8378" s="362">
        <f t="shared" si="282"/>
        <v>10509</v>
      </c>
      <c r="Q8378" s="330">
        <v>1</v>
      </c>
      <c r="X8378" s="339"/>
    </row>
    <row r="8379" s="330" customFormat="1" ht="15" customHeight="1" spans="1:24">
      <c r="A8379" s="550" t="s">
        <v>17817</v>
      </c>
      <c r="B8379" s="334" t="s">
        <v>315</v>
      </c>
      <c r="C8379" s="348" t="s">
        <v>366</v>
      </c>
      <c r="D8379" s="335" t="s">
        <v>132</v>
      </c>
      <c r="E8379" s="336">
        <v>43784</v>
      </c>
      <c r="F8379" s="336">
        <v>43780</v>
      </c>
      <c r="G8379" s="336">
        <v>43784</v>
      </c>
      <c r="H8379" s="334" t="s">
        <v>17818</v>
      </c>
      <c r="I8379" s="444">
        <v>18717958421</v>
      </c>
      <c r="J8379" s="348" t="s">
        <v>17819</v>
      </c>
      <c r="K8379" s="452">
        <v>1998</v>
      </c>
      <c r="L8379" s="334">
        <v>4551</v>
      </c>
      <c r="M8379" s="338"/>
      <c r="N8379" s="362">
        <f t="shared" si="282"/>
        <v>4551</v>
      </c>
      <c r="X8379" s="339"/>
    </row>
    <row r="8380" s="330" customFormat="1" ht="15" customHeight="1" spans="1:24">
      <c r="A8380" s="550" t="s">
        <v>3316</v>
      </c>
      <c r="B8380" s="334" t="s">
        <v>315</v>
      </c>
      <c r="C8380" s="348" t="s">
        <v>366</v>
      </c>
      <c r="D8380" s="335" t="s">
        <v>132</v>
      </c>
      <c r="E8380" s="336">
        <v>43786</v>
      </c>
      <c r="F8380" s="336">
        <v>43780</v>
      </c>
      <c r="G8380" s="336">
        <v>43785</v>
      </c>
      <c r="H8380" s="334" t="s">
        <v>17820</v>
      </c>
      <c r="I8380" s="444">
        <v>15858205616</v>
      </c>
      <c r="J8380" s="348" t="s">
        <v>17821</v>
      </c>
      <c r="K8380" s="452">
        <v>6702</v>
      </c>
      <c r="L8380" s="334">
        <v>5836</v>
      </c>
      <c r="M8380" s="334">
        <v>5598</v>
      </c>
      <c r="N8380" s="362">
        <f t="shared" si="282"/>
        <v>11434</v>
      </c>
      <c r="X8380" s="339"/>
    </row>
    <row r="8381" s="330" customFormat="1" ht="15" customHeight="1" spans="1:24">
      <c r="A8381" s="550" t="s">
        <v>16856</v>
      </c>
      <c r="B8381" s="334" t="s">
        <v>315</v>
      </c>
      <c r="C8381" s="348" t="s">
        <v>366</v>
      </c>
      <c r="D8381" s="335" t="s">
        <v>132</v>
      </c>
      <c r="E8381" s="336">
        <v>43783</v>
      </c>
      <c r="F8381" s="336">
        <v>43780</v>
      </c>
      <c r="G8381" s="399"/>
      <c r="H8381" s="334" t="s">
        <v>17822</v>
      </c>
      <c r="I8381" s="444"/>
      <c r="J8381" s="348" t="s">
        <v>17823</v>
      </c>
      <c r="K8381" s="452">
        <v>2734</v>
      </c>
      <c r="L8381" s="338"/>
      <c r="M8381" s="338"/>
      <c r="N8381" s="362">
        <f t="shared" si="282"/>
        <v>0</v>
      </c>
      <c r="P8381" s="330">
        <v>1</v>
      </c>
      <c r="X8381" s="339"/>
    </row>
    <row r="8382" s="330" customFormat="1" ht="15" customHeight="1" spans="1:24">
      <c r="A8382" s="550" t="s">
        <v>16554</v>
      </c>
      <c r="B8382" s="334" t="s">
        <v>315</v>
      </c>
      <c r="C8382" s="348" t="s">
        <v>366</v>
      </c>
      <c r="D8382" s="335" t="s">
        <v>132</v>
      </c>
      <c r="E8382" s="336">
        <v>43792</v>
      </c>
      <c r="F8382" s="336">
        <v>43780</v>
      </c>
      <c r="G8382" s="336">
        <v>43791</v>
      </c>
      <c r="H8382" s="334" t="s">
        <v>17824</v>
      </c>
      <c r="I8382" s="444">
        <v>15618683177</v>
      </c>
      <c r="J8382" s="348" t="s">
        <v>17825</v>
      </c>
      <c r="K8382" s="452">
        <v>2534</v>
      </c>
      <c r="L8382" s="334">
        <v>2958</v>
      </c>
      <c r="M8382" s="338"/>
      <c r="N8382" s="362">
        <f t="shared" si="282"/>
        <v>2958</v>
      </c>
      <c r="X8382" s="339"/>
    </row>
    <row r="8383" s="330" customFormat="1" ht="15" customHeight="1" spans="1:24">
      <c r="A8383" s="550" t="s">
        <v>17826</v>
      </c>
      <c r="B8383" s="334" t="s">
        <v>315</v>
      </c>
      <c r="C8383" s="348" t="s">
        <v>366</v>
      </c>
      <c r="D8383" s="335" t="s">
        <v>132</v>
      </c>
      <c r="E8383" s="336">
        <v>43783</v>
      </c>
      <c r="F8383" s="336">
        <v>43780</v>
      </c>
      <c r="G8383" s="399"/>
      <c r="H8383" s="334" t="s">
        <v>17240</v>
      </c>
      <c r="I8383" s="444">
        <v>18621727101</v>
      </c>
      <c r="J8383" s="348" t="s">
        <v>17827</v>
      </c>
      <c r="K8383" s="452">
        <v>1680</v>
      </c>
      <c r="L8383" s="338"/>
      <c r="M8383" s="338"/>
      <c r="N8383" s="362">
        <f t="shared" si="282"/>
        <v>0</v>
      </c>
      <c r="O8383" s="330">
        <v>1</v>
      </c>
      <c r="X8383" s="339"/>
    </row>
    <row r="8384" s="330" customFormat="1" ht="15" customHeight="1" spans="1:24">
      <c r="A8384" s="550" t="s">
        <v>8933</v>
      </c>
      <c r="B8384" s="334" t="s">
        <v>315</v>
      </c>
      <c r="C8384" s="348" t="s">
        <v>366</v>
      </c>
      <c r="D8384" s="334" t="s">
        <v>162</v>
      </c>
      <c r="E8384" s="336">
        <v>43809</v>
      </c>
      <c r="F8384" s="336">
        <v>43779</v>
      </c>
      <c r="G8384" s="336">
        <v>43808</v>
      </c>
      <c r="H8384" s="334" t="s">
        <v>17828</v>
      </c>
      <c r="I8384" s="444">
        <v>18621800405</v>
      </c>
      <c r="J8384" s="348" t="s">
        <v>17829</v>
      </c>
      <c r="K8384" s="452">
        <v>1000</v>
      </c>
      <c r="L8384" s="334">
        <v>8900</v>
      </c>
      <c r="M8384" s="338"/>
      <c r="N8384" s="362">
        <f t="shared" si="282"/>
        <v>8900</v>
      </c>
      <c r="S8384" s="330">
        <v>1</v>
      </c>
      <c r="X8384" s="339"/>
    </row>
    <row r="8385" s="330" customFormat="1" ht="15" customHeight="1" spans="1:24">
      <c r="A8385" s="550" t="s">
        <v>17830</v>
      </c>
      <c r="B8385" s="334" t="s">
        <v>315</v>
      </c>
      <c r="C8385" s="348" t="s">
        <v>161</v>
      </c>
      <c r="D8385" s="334" t="s">
        <v>149</v>
      </c>
      <c r="E8385" s="336">
        <v>43794</v>
      </c>
      <c r="F8385" s="336">
        <v>43783</v>
      </c>
      <c r="G8385" s="336">
        <v>43793</v>
      </c>
      <c r="H8385" s="334" t="s">
        <v>17831</v>
      </c>
      <c r="I8385" s="444">
        <v>13764634709</v>
      </c>
      <c r="J8385" s="348" t="s">
        <v>17832</v>
      </c>
      <c r="K8385" s="452">
        <v>7296</v>
      </c>
      <c r="L8385" s="334">
        <v>11685</v>
      </c>
      <c r="M8385" s="338"/>
      <c r="N8385" s="362">
        <f t="shared" si="282"/>
        <v>11685</v>
      </c>
      <c r="X8385" s="339"/>
    </row>
    <row r="8386" s="330" customFormat="1" ht="15" customHeight="1" spans="1:24">
      <c r="A8386" s="550" t="s">
        <v>17833</v>
      </c>
      <c r="B8386" s="334" t="s">
        <v>335</v>
      </c>
      <c r="C8386" s="334" t="s">
        <v>615</v>
      </c>
      <c r="D8386" s="334" t="s">
        <v>427</v>
      </c>
      <c r="E8386" s="336">
        <v>43799</v>
      </c>
      <c r="F8386" s="336">
        <v>43782</v>
      </c>
      <c r="G8386" s="336">
        <v>43799</v>
      </c>
      <c r="H8386" s="348" t="s">
        <v>17834</v>
      </c>
      <c r="I8386" s="444">
        <v>13901734713</v>
      </c>
      <c r="J8386" s="348" t="s">
        <v>17835</v>
      </c>
      <c r="K8386" s="452">
        <v>35000</v>
      </c>
      <c r="L8386" s="334">
        <v>30807</v>
      </c>
      <c r="M8386" s="338"/>
      <c r="N8386" s="362">
        <f t="shared" si="282"/>
        <v>30807</v>
      </c>
      <c r="X8386" s="339"/>
    </row>
    <row r="8387" s="330" customFormat="1" ht="15" customHeight="1" spans="1:24">
      <c r="A8387" s="550" t="s">
        <v>17836</v>
      </c>
      <c r="B8387" s="334" t="s">
        <v>405</v>
      </c>
      <c r="C8387" s="334" t="s">
        <v>1234</v>
      </c>
      <c r="D8387" s="335" t="s">
        <v>407</v>
      </c>
      <c r="E8387" s="336">
        <v>43784</v>
      </c>
      <c r="F8387" s="336">
        <v>43772</v>
      </c>
      <c r="G8387" s="336">
        <v>43783</v>
      </c>
      <c r="H8387" s="334" t="s">
        <v>17837</v>
      </c>
      <c r="I8387" s="444">
        <v>13122290719</v>
      </c>
      <c r="J8387" s="348" t="s">
        <v>17838</v>
      </c>
      <c r="K8387" s="452">
        <v>1000</v>
      </c>
      <c r="L8387" s="334">
        <v>5190</v>
      </c>
      <c r="M8387" s="338"/>
      <c r="N8387" s="362">
        <f t="shared" si="282"/>
        <v>5190</v>
      </c>
      <c r="X8387" s="339"/>
    </row>
    <row r="8388" s="330" customFormat="1" ht="15" customHeight="1" spans="1:24">
      <c r="A8388" s="550" t="s">
        <v>16355</v>
      </c>
      <c r="B8388" s="334" t="s">
        <v>31</v>
      </c>
      <c r="C8388" s="348" t="s">
        <v>3186</v>
      </c>
      <c r="D8388" s="334" t="s">
        <v>33</v>
      </c>
      <c r="E8388" s="336">
        <v>43830</v>
      </c>
      <c r="F8388" s="336">
        <v>43782</v>
      </c>
      <c r="G8388" s="336">
        <v>43826</v>
      </c>
      <c r="H8388" s="334" t="s">
        <v>17839</v>
      </c>
      <c r="I8388" s="444">
        <v>13585826647</v>
      </c>
      <c r="J8388" s="348" t="s">
        <v>17840</v>
      </c>
      <c r="K8388" s="452">
        <v>1000</v>
      </c>
      <c r="L8388" s="334">
        <v>3758</v>
      </c>
      <c r="M8388" s="338"/>
      <c r="N8388" s="362">
        <f t="shared" si="282"/>
        <v>3758</v>
      </c>
      <c r="Q8388" s="467" t="s">
        <v>52</v>
      </c>
      <c r="X8388" s="339"/>
    </row>
    <row r="8389" s="330" customFormat="1" ht="15" customHeight="1" spans="1:24">
      <c r="A8389" s="334"/>
      <c r="B8389" s="334" t="s">
        <v>31</v>
      </c>
      <c r="C8389" s="334" t="s">
        <v>220</v>
      </c>
      <c r="D8389" s="334" t="s">
        <v>221</v>
      </c>
      <c r="E8389" s="336">
        <v>43783</v>
      </c>
      <c r="F8389" s="336"/>
      <c r="G8389" s="336">
        <v>43781</v>
      </c>
      <c r="H8389" s="334" t="s">
        <v>17841</v>
      </c>
      <c r="I8389" s="444">
        <v>18918713250</v>
      </c>
      <c r="J8389" s="348" t="s">
        <v>17842</v>
      </c>
      <c r="K8389" s="337"/>
      <c r="L8389" s="334">
        <v>39294</v>
      </c>
      <c r="M8389" s="338"/>
      <c r="N8389" s="362">
        <f t="shared" ref="N8389:N8400" si="283">L8389+M8389</f>
        <v>39294</v>
      </c>
      <c r="X8389" s="339"/>
    </row>
    <row r="8390" s="330" customFormat="1" ht="15" customHeight="1" spans="1:24">
      <c r="A8390" s="334"/>
      <c r="B8390" s="334" t="s">
        <v>335</v>
      </c>
      <c r="C8390" s="334" t="s">
        <v>615</v>
      </c>
      <c r="D8390" s="334" t="s">
        <v>337</v>
      </c>
      <c r="E8390" s="336">
        <v>43783</v>
      </c>
      <c r="F8390" s="336"/>
      <c r="G8390" s="336">
        <v>43781</v>
      </c>
      <c r="H8390" s="334" t="s">
        <v>17843</v>
      </c>
      <c r="I8390" s="444">
        <v>13501970038</v>
      </c>
      <c r="J8390" s="348" t="s">
        <v>17844</v>
      </c>
      <c r="K8390" s="337"/>
      <c r="L8390" s="334">
        <v>9700</v>
      </c>
      <c r="M8390" s="338"/>
      <c r="N8390" s="362">
        <f t="shared" si="283"/>
        <v>9700</v>
      </c>
      <c r="X8390" s="339"/>
    </row>
    <row r="8391" s="330" customFormat="1" ht="15" customHeight="1" spans="1:24">
      <c r="A8391" s="334"/>
      <c r="B8391" s="334" t="s">
        <v>73</v>
      </c>
      <c r="C8391" s="334" t="s">
        <v>178</v>
      </c>
      <c r="D8391" s="334" t="s">
        <v>187</v>
      </c>
      <c r="E8391" s="336">
        <v>43783</v>
      </c>
      <c r="F8391" s="336"/>
      <c r="G8391" s="336">
        <v>43782</v>
      </c>
      <c r="H8391" s="334" t="s">
        <v>9016</v>
      </c>
      <c r="I8391" s="334">
        <v>13918065176</v>
      </c>
      <c r="J8391" s="348" t="s">
        <v>9017</v>
      </c>
      <c r="K8391" s="337"/>
      <c r="L8391" s="338"/>
      <c r="M8391" s="334">
        <v>1525</v>
      </c>
      <c r="N8391" s="362">
        <f t="shared" si="283"/>
        <v>1525</v>
      </c>
      <c r="X8391" s="339"/>
    </row>
    <row r="8392" s="330" customFormat="1" ht="15" customHeight="1" spans="1:24">
      <c r="A8392" s="334"/>
      <c r="B8392" s="334" t="s">
        <v>123</v>
      </c>
      <c r="C8392" s="334" t="s">
        <v>902</v>
      </c>
      <c r="D8392" s="334" t="s">
        <v>125</v>
      </c>
      <c r="E8392" s="336">
        <v>43783</v>
      </c>
      <c r="F8392" s="336"/>
      <c r="G8392" s="336">
        <v>43783</v>
      </c>
      <c r="H8392" s="334" t="s">
        <v>5910</v>
      </c>
      <c r="I8392" s="356">
        <v>13916383938</v>
      </c>
      <c r="J8392" s="348" t="s">
        <v>17845</v>
      </c>
      <c r="K8392" s="337"/>
      <c r="L8392" s="338"/>
      <c r="M8392" s="334">
        <v>1862</v>
      </c>
      <c r="N8392" s="362">
        <f t="shared" si="283"/>
        <v>1862</v>
      </c>
      <c r="X8392" s="339"/>
    </row>
    <row r="8393" s="330" customFormat="1" ht="15" customHeight="1" spans="1:24">
      <c r="A8393" s="334"/>
      <c r="B8393" s="334" t="s">
        <v>66</v>
      </c>
      <c r="C8393" s="334" t="s">
        <v>7029</v>
      </c>
      <c r="D8393" s="334" t="s">
        <v>1436</v>
      </c>
      <c r="E8393" s="336">
        <v>43783</v>
      </c>
      <c r="F8393" s="336"/>
      <c r="G8393" s="336">
        <v>43781</v>
      </c>
      <c r="H8393" s="334" t="s">
        <v>312</v>
      </c>
      <c r="I8393" s="444">
        <v>13764718067</v>
      </c>
      <c r="J8393" s="348"/>
      <c r="K8393" s="337"/>
      <c r="L8393" s="338"/>
      <c r="M8393" s="334">
        <v>3066</v>
      </c>
      <c r="N8393" s="362">
        <f t="shared" si="283"/>
        <v>3066</v>
      </c>
      <c r="X8393" s="339"/>
    </row>
    <row r="8394" s="330" customFormat="1" ht="15" customHeight="1" spans="1:24">
      <c r="A8394" s="334"/>
      <c r="B8394" s="334" t="s">
        <v>5336</v>
      </c>
      <c r="C8394" s="334" t="s">
        <v>5336</v>
      </c>
      <c r="D8394" s="334" t="s">
        <v>8334</v>
      </c>
      <c r="E8394" s="336">
        <v>43783</v>
      </c>
      <c r="F8394" s="336"/>
      <c r="G8394" s="336">
        <v>43783</v>
      </c>
      <c r="H8394" s="334" t="s">
        <v>3267</v>
      </c>
      <c r="I8394" s="334">
        <v>13916786201</v>
      </c>
      <c r="J8394" s="334" t="s">
        <v>17846</v>
      </c>
      <c r="K8394" s="337"/>
      <c r="L8394" s="338"/>
      <c r="M8394" s="334">
        <v>-114</v>
      </c>
      <c r="N8394" s="362">
        <f t="shared" si="283"/>
        <v>-114</v>
      </c>
      <c r="X8394" s="339"/>
    </row>
    <row r="8395" s="330" customFormat="1" ht="15" customHeight="1" spans="1:24">
      <c r="A8395" s="334"/>
      <c r="B8395" s="334" t="s">
        <v>185</v>
      </c>
      <c r="C8395" s="334" t="s">
        <v>1204</v>
      </c>
      <c r="D8395" s="334" t="s">
        <v>44</v>
      </c>
      <c r="E8395" s="336">
        <v>43783</v>
      </c>
      <c r="F8395" s="336"/>
      <c r="G8395" s="336">
        <v>43783</v>
      </c>
      <c r="H8395" s="334" t="s">
        <v>12609</v>
      </c>
      <c r="I8395" s="334">
        <v>18202180176</v>
      </c>
      <c r="J8395" s="334" t="s">
        <v>17847</v>
      </c>
      <c r="K8395" s="337"/>
      <c r="L8395" s="338"/>
      <c r="M8395" s="334">
        <v>16350</v>
      </c>
      <c r="N8395" s="362">
        <f t="shared" si="283"/>
        <v>16350</v>
      </c>
      <c r="X8395" s="339"/>
    </row>
    <row r="8396" s="330" customFormat="1" ht="15" customHeight="1" spans="1:24">
      <c r="A8396" s="334"/>
      <c r="B8396" s="334" t="s">
        <v>31</v>
      </c>
      <c r="C8396" s="334" t="s">
        <v>377</v>
      </c>
      <c r="D8396" s="334" t="s">
        <v>221</v>
      </c>
      <c r="E8396" s="336">
        <v>43783</v>
      </c>
      <c r="F8396" s="336"/>
      <c r="G8396" s="336">
        <v>43783</v>
      </c>
      <c r="H8396" s="334" t="s">
        <v>11172</v>
      </c>
      <c r="I8396" s="444">
        <v>18101979342</v>
      </c>
      <c r="J8396" s="334" t="s">
        <v>6890</v>
      </c>
      <c r="K8396" s="337"/>
      <c r="L8396" s="338"/>
      <c r="M8396" s="334">
        <v>2831</v>
      </c>
      <c r="N8396" s="362">
        <f t="shared" si="283"/>
        <v>2831</v>
      </c>
      <c r="X8396" s="339"/>
    </row>
    <row r="8397" s="330" customFormat="1" ht="15" customHeight="1" spans="1:24">
      <c r="A8397" s="334"/>
      <c r="B8397" s="334" t="s">
        <v>236</v>
      </c>
      <c r="C8397" s="334" t="s">
        <v>195</v>
      </c>
      <c r="D8397" s="334" t="s">
        <v>207</v>
      </c>
      <c r="E8397" s="336">
        <v>43783</v>
      </c>
      <c r="F8397" s="336"/>
      <c r="G8397" s="336">
        <v>43783</v>
      </c>
      <c r="H8397" s="334" t="s">
        <v>11713</v>
      </c>
      <c r="I8397" s="334">
        <v>18019058199</v>
      </c>
      <c r="J8397" s="334" t="s">
        <v>17848</v>
      </c>
      <c r="K8397" s="337"/>
      <c r="L8397" s="338"/>
      <c r="M8397" s="334">
        <v>-7271</v>
      </c>
      <c r="N8397" s="362">
        <f t="shared" si="283"/>
        <v>-7271</v>
      </c>
      <c r="X8397" s="339"/>
    </row>
    <row r="8398" s="330" customFormat="1" ht="15" customHeight="1" spans="1:24">
      <c r="A8398" s="334"/>
      <c r="B8398" s="334" t="s">
        <v>236</v>
      </c>
      <c r="C8398" s="334" t="s">
        <v>703</v>
      </c>
      <c r="D8398" s="334" t="s">
        <v>207</v>
      </c>
      <c r="E8398" s="336">
        <v>43783</v>
      </c>
      <c r="F8398" s="336"/>
      <c r="G8398" s="336">
        <v>43778</v>
      </c>
      <c r="H8398" s="334" t="s">
        <v>12109</v>
      </c>
      <c r="I8398" s="426">
        <v>17317296478</v>
      </c>
      <c r="J8398" s="334" t="s">
        <v>12110</v>
      </c>
      <c r="K8398" s="337"/>
      <c r="L8398" s="338"/>
      <c r="M8398" s="334">
        <v>8934</v>
      </c>
      <c r="N8398" s="362">
        <f t="shared" si="283"/>
        <v>8934</v>
      </c>
      <c r="X8398" s="339"/>
    </row>
    <row r="8399" s="330" customFormat="1" ht="15" customHeight="1" spans="1:24">
      <c r="A8399" s="334"/>
      <c r="B8399" s="334" t="s">
        <v>31</v>
      </c>
      <c r="C8399" s="334" t="s">
        <v>220</v>
      </c>
      <c r="D8399" s="334" t="s">
        <v>954</v>
      </c>
      <c r="E8399" s="336">
        <v>43783</v>
      </c>
      <c r="F8399" s="336"/>
      <c r="G8399" s="336">
        <v>43783</v>
      </c>
      <c r="H8399" s="334" t="s">
        <v>6399</v>
      </c>
      <c r="I8399" s="444">
        <v>13004119671</v>
      </c>
      <c r="J8399" s="348" t="s">
        <v>6400</v>
      </c>
      <c r="K8399" s="337"/>
      <c r="L8399" s="338"/>
      <c r="M8399" s="334">
        <v>972</v>
      </c>
      <c r="N8399" s="362">
        <f t="shared" si="283"/>
        <v>972</v>
      </c>
      <c r="X8399" s="339"/>
    </row>
    <row r="8400" s="330" customFormat="1" ht="15" customHeight="1" spans="1:24">
      <c r="A8400" s="334"/>
      <c r="B8400" s="334" t="s">
        <v>35</v>
      </c>
      <c r="C8400" s="334" t="s">
        <v>36</v>
      </c>
      <c r="D8400" s="334" t="s">
        <v>37</v>
      </c>
      <c r="E8400" s="336">
        <v>43783</v>
      </c>
      <c r="F8400" s="336"/>
      <c r="G8400" s="336">
        <v>43781</v>
      </c>
      <c r="H8400" s="334" t="s">
        <v>11945</v>
      </c>
      <c r="I8400" s="444">
        <v>13916169924</v>
      </c>
      <c r="J8400" s="348" t="s">
        <v>17849</v>
      </c>
      <c r="K8400" s="337"/>
      <c r="L8400" s="338"/>
      <c r="M8400" s="334">
        <v>10441</v>
      </c>
      <c r="N8400" s="362">
        <f t="shared" si="283"/>
        <v>10441</v>
      </c>
      <c r="X8400" s="339"/>
    </row>
    <row r="8401" s="330" customFormat="1" ht="15" customHeight="1" spans="1:24">
      <c r="A8401" s="550" t="s">
        <v>17850</v>
      </c>
      <c r="B8401" s="334" t="s">
        <v>31</v>
      </c>
      <c r="C8401" s="348" t="s">
        <v>220</v>
      </c>
      <c r="D8401" s="335" t="s">
        <v>221</v>
      </c>
      <c r="E8401" s="336">
        <v>43784</v>
      </c>
      <c r="F8401" s="336">
        <v>43779</v>
      </c>
      <c r="G8401" s="399">
        <v>43779</v>
      </c>
      <c r="H8401" s="334" t="s">
        <v>12186</v>
      </c>
      <c r="I8401" s="334">
        <v>13917317739</v>
      </c>
      <c r="J8401" s="348" t="s">
        <v>17609</v>
      </c>
      <c r="K8401" s="452">
        <v>1000</v>
      </c>
      <c r="L8401" s="338"/>
      <c r="M8401" s="338"/>
      <c r="N8401" s="362">
        <f t="shared" ref="N8401:N8435" si="284">L8401+M8401</f>
        <v>0</v>
      </c>
      <c r="X8401" s="339"/>
    </row>
    <row r="8402" s="330" customFormat="1" ht="15" customHeight="1" spans="1:24">
      <c r="A8402" s="505" t="s">
        <v>7609</v>
      </c>
      <c r="B8402" s="334" t="s">
        <v>31</v>
      </c>
      <c r="C8402" s="348" t="s">
        <v>220</v>
      </c>
      <c r="D8402" s="335" t="s">
        <v>221</v>
      </c>
      <c r="E8402" s="336">
        <v>43784</v>
      </c>
      <c r="F8402" s="336">
        <v>43776</v>
      </c>
      <c r="G8402" s="399">
        <v>43781</v>
      </c>
      <c r="H8402" s="334" t="s">
        <v>17841</v>
      </c>
      <c r="I8402" s="444">
        <v>18918713250</v>
      </c>
      <c r="J8402" s="348" t="s">
        <v>17842</v>
      </c>
      <c r="K8402" s="452">
        <v>1000</v>
      </c>
      <c r="L8402" s="338"/>
      <c r="M8402" s="338"/>
      <c r="N8402" s="362">
        <f t="shared" si="284"/>
        <v>0</v>
      </c>
      <c r="X8402" s="339"/>
    </row>
    <row r="8403" s="330" customFormat="1" ht="15" customHeight="1" spans="1:24">
      <c r="A8403" s="348"/>
      <c r="B8403" s="334" t="s">
        <v>2625</v>
      </c>
      <c r="C8403" s="348" t="s">
        <v>2626</v>
      </c>
      <c r="D8403" s="334" t="s">
        <v>337</v>
      </c>
      <c r="E8403" s="336">
        <v>43786</v>
      </c>
      <c r="F8403" s="336">
        <v>43783</v>
      </c>
      <c r="G8403" s="336">
        <v>43785</v>
      </c>
      <c r="H8403" s="334" t="s">
        <v>17851</v>
      </c>
      <c r="I8403" s="444">
        <v>13817173409</v>
      </c>
      <c r="J8403" s="348" t="s">
        <v>17852</v>
      </c>
      <c r="K8403" s="452">
        <v>1000</v>
      </c>
      <c r="L8403" s="334">
        <v>11700</v>
      </c>
      <c r="M8403" s="338"/>
      <c r="N8403" s="362">
        <f t="shared" si="284"/>
        <v>11700</v>
      </c>
      <c r="X8403" s="339"/>
    </row>
    <row r="8404" s="330" customFormat="1" ht="15" customHeight="1" spans="1:24">
      <c r="A8404" s="550" t="s">
        <v>5808</v>
      </c>
      <c r="B8404" s="334" t="s">
        <v>137</v>
      </c>
      <c r="C8404" s="348" t="s">
        <v>861</v>
      </c>
      <c r="D8404" s="334" t="s">
        <v>139</v>
      </c>
      <c r="E8404" s="336">
        <v>43785</v>
      </c>
      <c r="F8404" s="336">
        <v>43784</v>
      </c>
      <c r="G8404" s="336">
        <v>43784</v>
      </c>
      <c r="H8404" s="334" t="s">
        <v>17853</v>
      </c>
      <c r="I8404" s="444">
        <v>13918636589</v>
      </c>
      <c r="J8404" s="348" t="s">
        <v>17854</v>
      </c>
      <c r="K8404" s="452">
        <v>1000</v>
      </c>
      <c r="L8404" s="334">
        <v>16413</v>
      </c>
      <c r="M8404" s="338"/>
      <c r="N8404" s="362">
        <f t="shared" si="284"/>
        <v>16413</v>
      </c>
      <c r="X8404" s="339"/>
    </row>
    <row r="8405" s="330" customFormat="1" ht="15" customHeight="1" spans="1:24">
      <c r="A8405" s="348"/>
      <c r="B8405" s="334" t="s">
        <v>87</v>
      </c>
      <c r="C8405" s="348" t="s">
        <v>466</v>
      </c>
      <c r="D8405" s="335" t="s">
        <v>89</v>
      </c>
      <c r="E8405" s="336">
        <v>43787</v>
      </c>
      <c r="F8405" s="336">
        <v>43784</v>
      </c>
      <c r="G8405" s="336">
        <v>43787</v>
      </c>
      <c r="H8405" s="334" t="s">
        <v>352</v>
      </c>
      <c r="I8405" s="444">
        <v>13818905285</v>
      </c>
      <c r="J8405" s="348" t="s">
        <v>17855</v>
      </c>
      <c r="K8405" s="452">
        <v>6201</v>
      </c>
      <c r="L8405" s="334">
        <v>6201</v>
      </c>
      <c r="M8405" s="338"/>
      <c r="N8405" s="362">
        <f t="shared" si="284"/>
        <v>6201</v>
      </c>
      <c r="X8405" s="339"/>
    </row>
    <row r="8406" s="330" customFormat="1" ht="15" customHeight="1" spans="1:24">
      <c r="A8406" s="550" t="s">
        <v>772</v>
      </c>
      <c r="B8406" s="334" t="s">
        <v>315</v>
      </c>
      <c r="C8406" s="348" t="s">
        <v>181</v>
      </c>
      <c r="D8406" s="334" t="s">
        <v>1431</v>
      </c>
      <c r="E8406" s="336">
        <v>43806</v>
      </c>
      <c r="F8406" s="336">
        <v>43784</v>
      </c>
      <c r="G8406" s="336">
        <v>43806</v>
      </c>
      <c r="H8406" s="334" t="s">
        <v>17856</v>
      </c>
      <c r="I8406" s="444">
        <v>13917480864</v>
      </c>
      <c r="J8406" s="348" t="s">
        <v>17857</v>
      </c>
      <c r="K8406" s="452">
        <v>1000</v>
      </c>
      <c r="L8406" s="334">
        <v>23322</v>
      </c>
      <c r="M8406" s="338"/>
      <c r="N8406" s="362">
        <f t="shared" si="284"/>
        <v>23322</v>
      </c>
      <c r="X8406" s="339"/>
    </row>
    <row r="8407" s="330" customFormat="1" ht="15" customHeight="1" spans="1:24">
      <c r="A8407" s="550" t="s">
        <v>17858</v>
      </c>
      <c r="B8407" s="334" t="s">
        <v>315</v>
      </c>
      <c r="C8407" s="348" t="s">
        <v>230</v>
      </c>
      <c r="D8407" s="334" t="s">
        <v>1431</v>
      </c>
      <c r="E8407" s="336">
        <v>43805</v>
      </c>
      <c r="F8407" s="336">
        <v>43784</v>
      </c>
      <c r="G8407" s="336">
        <v>43805</v>
      </c>
      <c r="H8407" s="334" t="s">
        <v>17859</v>
      </c>
      <c r="I8407" s="444">
        <v>13621811195</v>
      </c>
      <c r="J8407" s="348" t="s">
        <v>17860</v>
      </c>
      <c r="K8407" s="452">
        <v>1000</v>
      </c>
      <c r="L8407" s="334">
        <v>7705</v>
      </c>
      <c r="M8407" s="338"/>
      <c r="N8407" s="362">
        <f t="shared" si="284"/>
        <v>7705</v>
      </c>
      <c r="X8407" s="339"/>
    </row>
    <row r="8408" s="330" customFormat="1" ht="15" customHeight="1" spans="1:24">
      <c r="A8408" s="550" t="s">
        <v>17861</v>
      </c>
      <c r="B8408" s="334" t="s">
        <v>31</v>
      </c>
      <c r="C8408" s="348" t="s">
        <v>13171</v>
      </c>
      <c r="D8408" s="334" t="s">
        <v>221</v>
      </c>
      <c r="E8408" s="336">
        <v>43785</v>
      </c>
      <c r="F8408" s="336">
        <v>43784</v>
      </c>
      <c r="G8408" s="336">
        <v>43785</v>
      </c>
      <c r="H8408" s="334" t="s">
        <v>17862</v>
      </c>
      <c r="I8408" s="444">
        <v>13818990012</v>
      </c>
      <c r="J8408" s="348" t="s">
        <v>17863</v>
      </c>
      <c r="K8408" s="452">
        <v>2000</v>
      </c>
      <c r="L8408" s="334">
        <v>12725</v>
      </c>
      <c r="M8408" s="338"/>
      <c r="N8408" s="362">
        <f t="shared" si="284"/>
        <v>12725</v>
      </c>
      <c r="X8408" s="339"/>
    </row>
    <row r="8409" s="330" customFormat="1" ht="15" customHeight="1" spans="1:24">
      <c r="A8409" s="550" t="s">
        <v>17864</v>
      </c>
      <c r="B8409" s="334" t="s">
        <v>315</v>
      </c>
      <c r="C8409" s="348" t="s">
        <v>181</v>
      </c>
      <c r="D8409" s="334" t="s">
        <v>1431</v>
      </c>
      <c r="E8409" s="336">
        <v>43784</v>
      </c>
      <c r="F8409" s="336">
        <v>43784</v>
      </c>
      <c r="G8409" s="399">
        <v>43784</v>
      </c>
      <c r="H8409" s="334" t="s">
        <v>17865</v>
      </c>
      <c r="I8409" s="444">
        <v>18621537813</v>
      </c>
      <c r="J8409" s="348" t="s">
        <v>17866</v>
      </c>
      <c r="K8409" s="452">
        <v>8400</v>
      </c>
      <c r="L8409" s="334">
        <v>8400</v>
      </c>
      <c r="M8409" s="338"/>
      <c r="N8409" s="362">
        <f t="shared" si="284"/>
        <v>8400</v>
      </c>
      <c r="X8409" s="339"/>
    </row>
    <row r="8410" s="330" customFormat="1" ht="15" customHeight="1" spans="1:24">
      <c r="A8410" s="550" t="s">
        <v>17867</v>
      </c>
      <c r="B8410" s="334" t="s">
        <v>137</v>
      </c>
      <c r="C8410" s="348" t="s">
        <v>2705</v>
      </c>
      <c r="D8410" s="334" t="s">
        <v>2381</v>
      </c>
      <c r="E8410" s="336">
        <v>43785</v>
      </c>
      <c r="F8410" s="336">
        <v>43782</v>
      </c>
      <c r="G8410" s="336">
        <v>43782</v>
      </c>
      <c r="H8410" s="334" t="s">
        <v>17868</v>
      </c>
      <c r="I8410" s="444">
        <v>13817362196</v>
      </c>
      <c r="J8410" s="348" t="s">
        <v>17869</v>
      </c>
      <c r="K8410" s="452">
        <v>2560</v>
      </c>
      <c r="L8410" s="334">
        <v>2560</v>
      </c>
      <c r="M8410" s="338"/>
      <c r="N8410" s="362">
        <f t="shared" si="284"/>
        <v>2560</v>
      </c>
      <c r="X8410" s="339"/>
    </row>
    <row r="8411" s="330" customFormat="1" ht="15" customHeight="1" spans="1:24">
      <c r="A8411" s="348" t="s">
        <v>13074</v>
      </c>
      <c r="B8411" s="334" t="s">
        <v>243</v>
      </c>
      <c r="C8411" s="348" t="s">
        <v>309</v>
      </c>
      <c r="D8411" s="335" t="s">
        <v>49</v>
      </c>
      <c r="E8411" s="336">
        <v>43785</v>
      </c>
      <c r="F8411" s="336">
        <v>43784</v>
      </c>
      <c r="G8411" s="336">
        <v>43785</v>
      </c>
      <c r="H8411" s="334" t="s">
        <v>17870</v>
      </c>
      <c r="I8411" s="444">
        <v>13681692009</v>
      </c>
      <c r="J8411" s="348" t="s">
        <v>17871</v>
      </c>
      <c r="K8411" s="452">
        <v>2000</v>
      </c>
      <c r="L8411" s="334">
        <v>16058</v>
      </c>
      <c r="M8411" s="338"/>
      <c r="N8411" s="362">
        <f t="shared" si="284"/>
        <v>16058</v>
      </c>
      <c r="X8411" s="339"/>
    </row>
    <row r="8412" s="330" customFormat="1" ht="15" customHeight="1" spans="1:24">
      <c r="A8412" s="550" t="s">
        <v>2142</v>
      </c>
      <c r="B8412" s="334" t="s">
        <v>31</v>
      </c>
      <c r="C8412" s="348" t="s">
        <v>3186</v>
      </c>
      <c r="D8412" s="334" t="s">
        <v>954</v>
      </c>
      <c r="E8412" s="336">
        <v>43784</v>
      </c>
      <c r="F8412" s="336">
        <v>43780</v>
      </c>
      <c r="G8412" s="399">
        <v>43784</v>
      </c>
      <c r="H8412" s="334" t="s">
        <v>17872</v>
      </c>
      <c r="I8412" s="444">
        <v>13321937922</v>
      </c>
      <c r="J8412" s="348" t="s">
        <v>17873</v>
      </c>
      <c r="K8412" s="452">
        <v>1998</v>
      </c>
      <c r="L8412" s="334">
        <v>2298</v>
      </c>
      <c r="M8412" s="338"/>
      <c r="N8412" s="362">
        <f t="shared" si="284"/>
        <v>2298</v>
      </c>
      <c r="X8412" s="339"/>
    </row>
    <row r="8413" s="330" customFormat="1" ht="15" customHeight="1" spans="1:24">
      <c r="A8413" s="550" t="s">
        <v>13884</v>
      </c>
      <c r="B8413" s="334" t="s">
        <v>58</v>
      </c>
      <c r="C8413" s="348" t="s">
        <v>347</v>
      </c>
      <c r="D8413" s="335" t="s">
        <v>343</v>
      </c>
      <c r="E8413" s="336">
        <v>43792</v>
      </c>
      <c r="F8413" s="336">
        <v>43783</v>
      </c>
      <c r="G8413" s="336">
        <v>43784</v>
      </c>
      <c r="H8413" s="334" t="s">
        <v>17874</v>
      </c>
      <c r="I8413" s="444">
        <v>18516005107</v>
      </c>
      <c r="J8413" s="348" t="s">
        <v>17875</v>
      </c>
      <c r="K8413" s="452">
        <v>1000</v>
      </c>
      <c r="L8413" s="334">
        <v>61000</v>
      </c>
      <c r="M8413" s="338"/>
      <c r="N8413" s="362">
        <f t="shared" si="284"/>
        <v>61000</v>
      </c>
      <c r="P8413" s="365" t="s">
        <v>52</v>
      </c>
      <c r="X8413" s="339"/>
    </row>
    <row r="8414" s="330" customFormat="1" ht="15" customHeight="1" spans="1:24">
      <c r="A8414" s="550" t="s">
        <v>17876</v>
      </c>
      <c r="B8414" s="334" t="s">
        <v>58</v>
      </c>
      <c r="C8414" s="348" t="s">
        <v>347</v>
      </c>
      <c r="D8414" s="335" t="s">
        <v>343</v>
      </c>
      <c r="E8414" s="336">
        <v>43787</v>
      </c>
      <c r="F8414" s="336">
        <v>43783</v>
      </c>
      <c r="G8414" s="336">
        <v>43782</v>
      </c>
      <c r="H8414" s="334" t="s">
        <v>17877</v>
      </c>
      <c r="I8414" s="444">
        <v>18801800594</v>
      </c>
      <c r="J8414" s="348" t="s">
        <v>17878</v>
      </c>
      <c r="K8414" s="452">
        <v>21000</v>
      </c>
      <c r="L8414" s="334">
        <v>21000</v>
      </c>
      <c r="M8414" s="338"/>
      <c r="N8414" s="362">
        <f t="shared" si="284"/>
        <v>21000</v>
      </c>
      <c r="X8414" s="339"/>
    </row>
    <row r="8415" s="330" customFormat="1" ht="15" customHeight="1" spans="1:24">
      <c r="A8415" s="550" t="s">
        <v>11577</v>
      </c>
      <c r="B8415" s="334" t="s">
        <v>315</v>
      </c>
      <c r="C8415" s="348" t="s">
        <v>161</v>
      </c>
      <c r="D8415" s="334" t="s">
        <v>182</v>
      </c>
      <c r="E8415" s="336">
        <v>43784</v>
      </c>
      <c r="F8415" s="336">
        <v>43783</v>
      </c>
      <c r="G8415" s="399">
        <v>43783</v>
      </c>
      <c r="H8415" s="334" t="s">
        <v>17879</v>
      </c>
      <c r="I8415" s="444">
        <v>13916504133</v>
      </c>
      <c r="J8415" s="348" t="s">
        <v>17880</v>
      </c>
      <c r="K8415" s="452">
        <v>7200</v>
      </c>
      <c r="L8415" s="334">
        <v>7200</v>
      </c>
      <c r="M8415" s="338"/>
      <c r="N8415" s="362">
        <f t="shared" si="284"/>
        <v>7200</v>
      </c>
      <c r="X8415" s="339"/>
    </row>
    <row r="8416" s="330" customFormat="1" ht="15" customHeight="1" spans="1:24">
      <c r="A8416" s="550" t="s">
        <v>17881</v>
      </c>
      <c r="B8416" s="334" t="s">
        <v>405</v>
      </c>
      <c r="C8416" s="334" t="s">
        <v>14070</v>
      </c>
      <c r="D8416" s="335" t="s">
        <v>407</v>
      </c>
      <c r="E8416" s="336">
        <v>43795</v>
      </c>
      <c r="F8416" s="336">
        <v>43783</v>
      </c>
      <c r="G8416" s="336">
        <v>43791</v>
      </c>
      <c r="H8416" s="334" t="s">
        <v>17882</v>
      </c>
      <c r="I8416" s="444">
        <v>18616706481</v>
      </c>
      <c r="J8416" s="348" t="s">
        <v>17883</v>
      </c>
      <c r="K8416" s="452">
        <v>1000</v>
      </c>
      <c r="L8416" s="334">
        <v>16506</v>
      </c>
      <c r="M8416" s="338"/>
      <c r="N8416" s="362">
        <f t="shared" si="284"/>
        <v>16506</v>
      </c>
      <c r="W8416" s="504">
        <v>11.18</v>
      </c>
      <c r="X8416" s="339"/>
    </row>
    <row r="8417" s="330" customFormat="1" ht="15" customHeight="1" spans="1:24">
      <c r="A8417" s="348">
        <v>2068843</v>
      </c>
      <c r="B8417" s="334" t="s">
        <v>66</v>
      </c>
      <c r="C8417" s="348" t="s">
        <v>505</v>
      </c>
      <c r="D8417" s="334" t="s">
        <v>2302</v>
      </c>
      <c r="E8417" s="336">
        <v>43788</v>
      </c>
      <c r="F8417" s="336">
        <v>43783</v>
      </c>
      <c r="G8417" s="336">
        <v>43788</v>
      </c>
      <c r="H8417" s="334" t="s">
        <v>17884</v>
      </c>
      <c r="I8417" s="444">
        <v>13639108869</v>
      </c>
      <c r="J8417" s="348" t="s">
        <v>17885</v>
      </c>
      <c r="K8417" s="452">
        <v>1000</v>
      </c>
      <c r="L8417" s="334">
        <v>5016</v>
      </c>
      <c r="M8417" s="338"/>
      <c r="N8417" s="362">
        <f t="shared" si="284"/>
        <v>5016</v>
      </c>
      <c r="X8417" s="339"/>
    </row>
    <row r="8418" s="330" customFormat="1" ht="15" customHeight="1" spans="1:24">
      <c r="A8418" s="348"/>
      <c r="B8418" s="334" t="s">
        <v>87</v>
      </c>
      <c r="C8418" s="348" t="s">
        <v>199</v>
      </c>
      <c r="D8418" s="335" t="s">
        <v>89</v>
      </c>
      <c r="E8418" s="336">
        <v>43784</v>
      </c>
      <c r="F8418" s="336">
        <v>43780</v>
      </c>
      <c r="G8418" s="399"/>
      <c r="H8418" s="334" t="s">
        <v>17886</v>
      </c>
      <c r="I8418" s="444">
        <v>15802171272</v>
      </c>
      <c r="J8418" s="348" t="s">
        <v>17887</v>
      </c>
      <c r="K8418" s="452">
        <v>999</v>
      </c>
      <c r="L8418" s="338"/>
      <c r="M8418" s="338"/>
      <c r="N8418" s="362">
        <f t="shared" si="284"/>
        <v>0</v>
      </c>
      <c r="O8418" s="356" t="s">
        <v>52</v>
      </c>
      <c r="P8418" s="356"/>
      <c r="X8418" s="339"/>
    </row>
    <row r="8419" s="330" customFormat="1" ht="15" customHeight="1" spans="1:24">
      <c r="A8419" s="550" t="s">
        <v>17888</v>
      </c>
      <c r="B8419" s="334" t="s">
        <v>405</v>
      </c>
      <c r="C8419" s="348" t="s">
        <v>1234</v>
      </c>
      <c r="D8419" s="335" t="s">
        <v>407</v>
      </c>
      <c r="E8419" s="336">
        <v>43784</v>
      </c>
      <c r="F8419" s="336">
        <v>43780</v>
      </c>
      <c r="G8419" s="399"/>
      <c r="H8419" s="334" t="s">
        <v>17889</v>
      </c>
      <c r="I8419" s="444">
        <v>13524638115</v>
      </c>
      <c r="J8419" s="348" t="s">
        <v>17890</v>
      </c>
      <c r="K8419" s="452">
        <v>1000</v>
      </c>
      <c r="L8419" s="338"/>
      <c r="M8419" s="338"/>
      <c r="N8419" s="362">
        <f t="shared" si="284"/>
        <v>0</v>
      </c>
      <c r="O8419" s="502" t="s">
        <v>52</v>
      </c>
      <c r="X8419" s="339"/>
    </row>
    <row r="8420" s="330" customFormat="1" ht="15" customHeight="1" spans="1:24">
      <c r="A8420" s="550" t="s">
        <v>2135</v>
      </c>
      <c r="B8420" s="334" t="s">
        <v>31</v>
      </c>
      <c r="C8420" s="334" t="s">
        <v>3186</v>
      </c>
      <c r="D8420" s="334" t="s">
        <v>954</v>
      </c>
      <c r="E8420" s="336">
        <v>43784</v>
      </c>
      <c r="F8420" s="336">
        <v>43780</v>
      </c>
      <c r="G8420" s="399">
        <v>43781</v>
      </c>
      <c r="H8420" s="334" t="s">
        <v>17891</v>
      </c>
      <c r="I8420" s="444">
        <v>13917551078</v>
      </c>
      <c r="J8420" s="348" t="s">
        <v>17892</v>
      </c>
      <c r="K8420" s="452">
        <v>1000</v>
      </c>
      <c r="L8420" s="334">
        <v>15573</v>
      </c>
      <c r="M8420" s="334">
        <v>1654</v>
      </c>
      <c r="N8420" s="362">
        <f t="shared" si="284"/>
        <v>17227</v>
      </c>
      <c r="X8420" s="339"/>
    </row>
    <row r="8421" s="330" customFormat="1" ht="15" customHeight="1" spans="1:24">
      <c r="A8421" s="550" t="s">
        <v>4446</v>
      </c>
      <c r="B8421" s="334" t="s">
        <v>153</v>
      </c>
      <c r="C8421" s="334" t="s">
        <v>154</v>
      </c>
      <c r="D8421" s="334" t="s">
        <v>155</v>
      </c>
      <c r="E8421" s="336">
        <v>43784</v>
      </c>
      <c r="F8421" s="336">
        <v>43780</v>
      </c>
      <c r="G8421" s="399">
        <v>43783</v>
      </c>
      <c r="H8421" s="334" t="s">
        <v>17893</v>
      </c>
      <c r="I8421" s="444">
        <v>13585692728</v>
      </c>
      <c r="J8421" s="348" t="s">
        <v>17894</v>
      </c>
      <c r="K8421" s="452">
        <v>3000</v>
      </c>
      <c r="L8421" s="334">
        <v>15500</v>
      </c>
      <c r="M8421" s="338"/>
      <c r="N8421" s="362">
        <f t="shared" si="284"/>
        <v>15500</v>
      </c>
      <c r="X8421" s="339"/>
    </row>
    <row r="8422" s="330" customFormat="1" ht="15" customHeight="1" spans="1:24">
      <c r="A8422" s="550" t="s">
        <v>2120</v>
      </c>
      <c r="B8422" s="334" t="s">
        <v>236</v>
      </c>
      <c r="C8422" s="348" t="s">
        <v>195</v>
      </c>
      <c r="D8422" s="334" t="s">
        <v>207</v>
      </c>
      <c r="E8422" s="336">
        <v>43784</v>
      </c>
      <c r="F8422" s="336">
        <v>43782</v>
      </c>
      <c r="G8422" s="399">
        <v>43783</v>
      </c>
      <c r="H8422" s="334" t="s">
        <v>17895</v>
      </c>
      <c r="I8422" s="444">
        <v>15900868461</v>
      </c>
      <c r="J8422" s="348" t="s">
        <v>17896</v>
      </c>
      <c r="K8422" s="452">
        <v>7600</v>
      </c>
      <c r="L8422" s="334">
        <f>-984+7950</f>
        <v>6966</v>
      </c>
      <c r="M8422" s="334">
        <v>984</v>
      </c>
      <c r="N8422" s="362">
        <f t="shared" si="284"/>
        <v>7950</v>
      </c>
      <c r="X8422" s="339"/>
    </row>
    <row r="8423" s="330" customFormat="1" ht="15" customHeight="1" spans="1:24">
      <c r="A8423" s="550" t="s">
        <v>17897</v>
      </c>
      <c r="B8423" s="334" t="s">
        <v>236</v>
      </c>
      <c r="C8423" s="348" t="s">
        <v>195</v>
      </c>
      <c r="D8423" s="335" t="s">
        <v>125</v>
      </c>
      <c r="E8423" s="336">
        <v>43799</v>
      </c>
      <c r="F8423" s="336">
        <v>43781</v>
      </c>
      <c r="G8423" s="336">
        <v>43798</v>
      </c>
      <c r="H8423" s="334" t="s">
        <v>17898</v>
      </c>
      <c r="I8423" s="444">
        <v>18402172569</v>
      </c>
      <c r="J8423" s="348" t="s">
        <v>17899</v>
      </c>
      <c r="K8423" s="452">
        <v>10742</v>
      </c>
      <c r="L8423" s="334">
        <v>10742</v>
      </c>
      <c r="M8423" s="338"/>
      <c r="N8423" s="362">
        <f t="shared" si="284"/>
        <v>10742</v>
      </c>
      <c r="X8423" s="339"/>
    </row>
    <row r="8424" s="330" customFormat="1" ht="15" customHeight="1" spans="1:24">
      <c r="A8424" s="348">
        <v>2018305</v>
      </c>
      <c r="B8424" s="334" t="s">
        <v>315</v>
      </c>
      <c r="C8424" s="348" t="s">
        <v>722</v>
      </c>
      <c r="D8424" s="335" t="s">
        <v>132</v>
      </c>
      <c r="E8424" s="336">
        <v>43784</v>
      </c>
      <c r="F8424" s="336">
        <v>43780</v>
      </c>
      <c r="G8424" s="399"/>
      <c r="H8424" s="334" t="s">
        <v>17900</v>
      </c>
      <c r="I8424" s="444">
        <v>18017316396</v>
      </c>
      <c r="J8424" s="348" t="s">
        <v>17901</v>
      </c>
      <c r="K8424" s="452">
        <v>1000</v>
      </c>
      <c r="L8424" s="338"/>
      <c r="M8424" s="338"/>
      <c r="N8424" s="362">
        <f t="shared" si="284"/>
        <v>0</v>
      </c>
      <c r="P8424" s="330">
        <v>1</v>
      </c>
      <c r="X8424" s="339"/>
    </row>
    <row r="8425" s="330" customFormat="1" ht="15" customHeight="1" spans="1:24">
      <c r="A8425" s="550" t="s">
        <v>5316</v>
      </c>
      <c r="B8425" s="334" t="s">
        <v>169</v>
      </c>
      <c r="C8425" s="348" t="s">
        <v>634</v>
      </c>
      <c r="D8425" s="334" t="s">
        <v>635</v>
      </c>
      <c r="E8425" s="336">
        <v>43786</v>
      </c>
      <c r="F8425" s="336">
        <v>43784</v>
      </c>
      <c r="G8425" s="336">
        <v>43785</v>
      </c>
      <c r="H8425" s="334" t="s">
        <v>2079</v>
      </c>
      <c r="I8425" s="444">
        <v>15001992129</v>
      </c>
      <c r="J8425" s="348" t="s">
        <v>17902</v>
      </c>
      <c r="K8425" s="452">
        <v>1000</v>
      </c>
      <c r="L8425" s="334">
        <v>15507</v>
      </c>
      <c r="M8425" s="338"/>
      <c r="N8425" s="362">
        <f t="shared" si="284"/>
        <v>15507</v>
      </c>
      <c r="X8425" s="339"/>
    </row>
    <row r="8426" s="330" customFormat="1" ht="15" customHeight="1" spans="1:24">
      <c r="A8426" s="348">
        <v>2023294</v>
      </c>
      <c r="B8426" s="334" t="s">
        <v>94</v>
      </c>
      <c r="C8426" s="348" t="s">
        <v>101</v>
      </c>
      <c r="D8426" s="335" t="s">
        <v>49</v>
      </c>
      <c r="E8426" s="336">
        <v>43784</v>
      </c>
      <c r="F8426" s="336">
        <v>43775</v>
      </c>
      <c r="G8426" s="399">
        <v>43784</v>
      </c>
      <c r="H8426" s="334" t="s">
        <v>17903</v>
      </c>
      <c r="I8426" s="444">
        <v>15316687965</v>
      </c>
      <c r="J8426" s="348" t="s">
        <v>17904</v>
      </c>
      <c r="K8426" s="452">
        <v>22800</v>
      </c>
      <c r="L8426" s="334">
        <v>22800</v>
      </c>
      <c r="M8426" s="338"/>
      <c r="N8426" s="362">
        <f t="shared" si="284"/>
        <v>22800</v>
      </c>
      <c r="X8426" s="339"/>
    </row>
    <row r="8427" s="330" customFormat="1" ht="15" customHeight="1" spans="1:24">
      <c r="A8427" s="550" t="s">
        <v>17905</v>
      </c>
      <c r="B8427" s="334" t="s">
        <v>31</v>
      </c>
      <c r="C8427" s="348" t="s">
        <v>13171</v>
      </c>
      <c r="D8427" s="334" t="s">
        <v>954</v>
      </c>
      <c r="E8427" s="336">
        <v>43793</v>
      </c>
      <c r="F8427" s="336">
        <v>43784</v>
      </c>
      <c r="G8427" s="336">
        <v>43793</v>
      </c>
      <c r="H8427" s="334" t="s">
        <v>17906</v>
      </c>
      <c r="I8427" s="444">
        <v>13816998890</v>
      </c>
      <c r="J8427" s="348" t="s">
        <v>17907</v>
      </c>
      <c r="K8427" s="452">
        <v>3000</v>
      </c>
      <c r="L8427" s="334">
        <v>19582</v>
      </c>
      <c r="M8427" s="338"/>
      <c r="N8427" s="362">
        <f t="shared" si="284"/>
        <v>19582</v>
      </c>
      <c r="X8427" s="339"/>
    </row>
    <row r="8428" s="330" customFormat="1" ht="15" customHeight="1" spans="1:24">
      <c r="A8428" s="550" t="s">
        <v>4708</v>
      </c>
      <c r="B8428" s="334" t="s">
        <v>123</v>
      </c>
      <c r="C8428" s="348" t="s">
        <v>32</v>
      </c>
      <c r="D8428" s="335" t="s">
        <v>125</v>
      </c>
      <c r="E8428" s="336">
        <v>43784</v>
      </c>
      <c r="F8428" s="336">
        <v>43784</v>
      </c>
      <c r="G8428" s="399"/>
      <c r="H8428" s="334" t="s">
        <v>17908</v>
      </c>
      <c r="I8428" s="444">
        <v>13020299336</v>
      </c>
      <c r="J8428" s="348" t="s">
        <v>17909</v>
      </c>
      <c r="K8428" s="452">
        <v>1998</v>
      </c>
      <c r="L8428" s="338"/>
      <c r="M8428" s="338"/>
      <c r="N8428" s="362">
        <f t="shared" si="284"/>
        <v>0</v>
      </c>
      <c r="Q8428" s="353" t="s">
        <v>21</v>
      </c>
      <c r="T8428" s="486"/>
      <c r="X8428" s="339"/>
    </row>
    <row r="8429" s="330" customFormat="1" ht="15" customHeight="1" spans="1:24">
      <c r="A8429" s="550" t="s">
        <v>17910</v>
      </c>
      <c r="B8429" s="334" t="s">
        <v>58</v>
      </c>
      <c r="C8429" s="348" t="s">
        <v>109</v>
      </c>
      <c r="D8429" s="334" t="s">
        <v>110</v>
      </c>
      <c r="E8429" s="336">
        <v>43784</v>
      </c>
      <c r="F8429" s="336">
        <v>43765</v>
      </c>
      <c r="G8429" s="399">
        <v>43783</v>
      </c>
      <c r="H8429" s="334" t="s">
        <v>12850</v>
      </c>
      <c r="I8429" s="444">
        <v>18516198253</v>
      </c>
      <c r="J8429" s="348" t="s">
        <v>17911</v>
      </c>
      <c r="K8429" s="452">
        <v>15000</v>
      </c>
      <c r="L8429" s="334">
        <v>23118</v>
      </c>
      <c r="M8429" s="338"/>
      <c r="N8429" s="362">
        <f t="shared" si="284"/>
        <v>23118</v>
      </c>
      <c r="X8429" s="339"/>
    </row>
    <row r="8430" s="330" customFormat="1" ht="15" customHeight="1" spans="1:24">
      <c r="A8430" s="550" t="s">
        <v>17912</v>
      </c>
      <c r="B8430" s="334" t="s">
        <v>315</v>
      </c>
      <c r="C8430" s="348" t="s">
        <v>366</v>
      </c>
      <c r="D8430" s="334" t="s">
        <v>132</v>
      </c>
      <c r="E8430" s="336">
        <v>43785</v>
      </c>
      <c r="F8430" s="336">
        <v>43784</v>
      </c>
      <c r="G8430" s="336">
        <v>43784</v>
      </c>
      <c r="H8430" s="334" t="s">
        <v>17913</v>
      </c>
      <c r="I8430" s="444">
        <v>13764370123</v>
      </c>
      <c r="J8430" s="348" t="s">
        <v>17914</v>
      </c>
      <c r="K8430" s="452">
        <v>27600</v>
      </c>
      <c r="L8430" s="334">
        <v>27600</v>
      </c>
      <c r="M8430" s="338"/>
      <c r="N8430" s="362">
        <f t="shared" si="284"/>
        <v>27600</v>
      </c>
      <c r="X8430" s="339"/>
    </row>
    <row r="8431" s="330" customFormat="1" ht="15" customHeight="1" spans="1:24">
      <c r="A8431" s="550" t="s">
        <v>17915</v>
      </c>
      <c r="B8431" s="334" t="s">
        <v>31</v>
      </c>
      <c r="C8431" s="348" t="s">
        <v>2716</v>
      </c>
      <c r="D8431" s="335" t="s">
        <v>33</v>
      </c>
      <c r="E8431" s="336">
        <v>43784</v>
      </c>
      <c r="F8431" s="336">
        <v>43784</v>
      </c>
      <c r="G8431" s="399"/>
      <c r="H8431" s="334" t="s">
        <v>17916</v>
      </c>
      <c r="I8431" s="444">
        <v>15657608855</v>
      </c>
      <c r="J8431" s="348" t="s">
        <v>17917</v>
      </c>
      <c r="K8431" s="452">
        <v>1000</v>
      </c>
      <c r="L8431" s="338"/>
      <c r="M8431" s="338"/>
      <c r="N8431" s="362">
        <f t="shared" si="284"/>
        <v>0</v>
      </c>
      <c r="Q8431" s="467" t="s">
        <v>52</v>
      </c>
      <c r="X8431" s="339"/>
    </row>
    <row r="8432" s="330" customFormat="1" ht="15" customHeight="1" spans="1:24">
      <c r="A8432" s="348"/>
      <c r="B8432" s="334" t="s">
        <v>2625</v>
      </c>
      <c r="C8432" s="348" t="s">
        <v>2626</v>
      </c>
      <c r="D8432" s="334" t="s">
        <v>337</v>
      </c>
      <c r="E8432" s="336">
        <v>43796</v>
      </c>
      <c r="F8432" s="336">
        <v>43784</v>
      </c>
      <c r="G8432" s="336">
        <v>43796</v>
      </c>
      <c r="H8432" s="334" t="s">
        <v>17918</v>
      </c>
      <c r="I8432" s="444">
        <v>13301761105</v>
      </c>
      <c r="J8432" s="348" t="s">
        <v>17919</v>
      </c>
      <c r="K8432" s="452">
        <v>3000</v>
      </c>
      <c r="L8432" s="334">
        <v>7796</v>
      </c>
      <c r="M8432" s="338"/>
      <c r="N8432" s="362">
        <f t="shared" si="284"/>
        <v>7796</v>
      </c>
      <c r="R8432" s="477"/>
      <c r="W8432" s="475">
        <v>43796</v>
      </c>
      <c r="X8432" s="339"/>
    </row>
    <row r="8433" s="330" customFormat="1" ht="15" customHeight="1" spans="1:24">
      <c r="A8433" s="550" t="s">
        <v>17920</v>
      </c>
      <c r="B8433" s="334" t="s">
        <v>73</v>
      </c>
      <c r="C8433" s="348" t="s">
        <v>178</v>
      </c>
      <c r="D8433" s="335" t="s">
        <v>75</v>
      </c>
      <c r="E8433" s="336">
        <v>43784</v>
      </c>
      <c r="F8433" s="336">
        <v>43780</v>
      </c>
      <c r="G8433" s="399"/>
      <c r="H8433" s="334" t="s">
        <v>17921</v>
      </c>
      <c r="I8433" s="444">
        <v>13916101689</v>
      </c>
      <c r="J8433" s="348" t="s">
        <v>17922</v>
      </c>
      <c r="K8433" s="452">
        <v>1000</v>
      </c>
      <c r="L8433" s="338"/>
      <c r="M8433" s="338"/>
      <c r="N8433" s="362">
        <f t="shared" si="284"/>
        <v>0</v>
      </c>
      <c r="O8433" s="366" t="s">
        <v>52</v>
      </c>
      <c r="X8433" s="339"/>
    </row>
    <row r="8434" s="330" customFormat="1" ht="15" customHeight="1" spans="1:24">
      <c r="A8434" s="550" t="s">
        <v>17923</v>
      </c>
      <c r="B8434" s="334" t="s">
        <v>73</v>
      </c>
      <c r="C8434" s="348" t="s">
        <v>178</v>
      </c>
      <c r="D8434" s="335" t="s">
        <v>75</v>
      </c>
      <c r="E8434" s="336">
        <v>43784</v>
      </c>
      <c r="F8434" s="336">
        <v>43779</v>
      </c>
      <c r="G8434" s="399"/>
      <c r="H8434" s="334" t="s">
        <v>17924</v>
      </c>
      <c r="I8434" s="444">
        <v>13004105381</v>
      </c>
      <c r="J8434" s="348" t="s">
        <v>17925</v>
      </c>
      <c r="K8434" s="452">
        <v>1000</v>
      </c>
      <c r="L8434" s="338"/>
      <c r="M8434" s="338"/>
      <c r="N8434" s="362">
        <f t="shared" si="284"/>
        <v>0</v>
      </c>
      <c r="O8434" s="366" t="s">
        <v>52</v>
      </c>
      <c r="X8434" s="339"/>
    </row>
    <row r="8435" s="330" customFormat="1" ht="15" customHeight="1" spans="1:24">
      <c r="A8435" s="550" t="s">
        <v>17926</v>
      </c>
      <c r="B8435" s="334" t="s">
        <v>73</v>
      </c>
      <c r="C8435" s="348" t="s">
        <v>74</v>
      </c>
      <c r="D8435" s="335" t="s">
        <v>75</v>
      </c>
      <c r="E8435" s="336">
        <v>43786</v>
      </c>
      <c r="F8435" s="336">
        <v>43785</v>
      </c>
      <c r="G8435" s="399"/>
      <c r="H8435" s="334" t="s">
        <v>17927</v>
      </c>
      <c r="I8435" s="444">
        <v>18916248591</v>
      </c>
      <c r="J8435" s="348" t="s">
        <v>17928</v>
      </c>
      <c r="K8435" s="452">
        <v>1000</v>
      </c>
      <c r="L8435" s="338"/>
      <c r="M8435" s="338"/>
      <c r="N8435" s="362">
        <f t="shared" si="284"/>
        <v>0</v>
      </c>
      <c r="O8435" s="366" t="s">
        <v>52</v>
      </c>
      <c r="X8435" s="339"/>
    </row>
    <row r="8436" s="330" customFormat="1" ht="15" customHeight="1" spans="1:24">
      <c r="A8436" s="334"/>
      <c r="B8436" s="334" t="s">
        <v>805</v>
      </c>
      <c r="C8436" s="334" t="s">
        <v>806</v>
      </c>
      <c r="D8436" s="334" t="s">
        <v>171</v>
      </c>
      <c r="E8436" s="336">
        <v>43784</v>
      </c>
      <c r="F8436" s="336"/>
      <c r="G8436" s="336">
        <v>43782</v>
      </c>
      <c r="H8436" s="334" t="s">
        <v>17929</v>
      </c>
      <c r="I8436" s="444">
        <v>13918318320</v>
      </c>
      <c r="J8436" s="348" t="s">
        <v>17930</v>
      </c>
      <c r="K8436" s="337"/>
      <c r="L8436" s="334">
        <v>60000</v>
      </c>
      <c r="M8436" s="338"/>
      <c r="N8436" s="362">
        <f t="shared" ref="N8436:N8462" si="285">L8436+M8436</f>
        <v>60000</v>
      </c>
      <c r="X8436" s="339"/>
    </row>
    <row r="8437" s="330" customFormat="1" ht="15" customHeight="1" spans="1:24">
      <c r="A8437" s="334"/>
      <c r="B8437" s="334" t="s">
        <v>281</v>
      </c>
      <c r="C8437" s="334" t="s">
        <v>517</v>
      </c>
      <c r="D8437" s="334" t="s">
        <v>518</v>
      </c>
      <c r="E8437" s="336">
        <v>43784</v>
      </c>
      <c r="F8437" s="336"/>
      <c r="G8437" s="336">
        <v>43783</v>
      </c>
      <c r="H8437" s="334" t="s">
        <v>17931</v>
      </c>
      <c r="I8437" s="444">
        <v>15618666697</v>
      </c>
      <c r="J8437" s="348" t="s">
        <v>17932</v>
      </c>
      <c r="K8437" s="337"/>
      <c r="L8437" s="334">
        <v>10513</v>
      </c>
      <c r="M8437" s="338"/>
      <c r="N8437" s="362">
        <f t="shared" si="285"/>
        <v>10513</v>
      </c>
      <c r="X8437" s="339"/>
    </row>
    <row r="8438" s="330" customFormat="1" ht="15" customHeight="1" spans="1:24">
      <c r="A8438" s="334"/>
      <c r="B8438" s="334" t="s">
        <v>243</v>
      </c>
      <c r="C8438" s="334" t="s">
        <v>309</v>
      </c>
      <c r="D8438" s="335" t="s">
        <v>49</v>
      </c>
      <c r="E8438" s="336">
        <v>43784</v>
      </c>
      <c r="F8438" s="336"/>
      <c r="G8438" s="336">
        <v>43784</v>
      </c>
      <c r="H8438" s="334" t="s">
        <v>17933</v>
      </c>
      <c r="I8438" s="444">
        <v>15618262790</v>
      </c>
      <c r="J8438" s="348" t="s">
        <v>17934</v>
      </c>
      <c r="K8438" s="337"/>
      <c r="L8438" s="334">
        <v>7656</v>
      </c>
      <c r="M8438" s="334">
        <v>1813</v>
      </c>
      <c r="N8438" s="362">
        <f t="shared" si="285"/>
        <v>9469</v>
      </c>
      <c r="X8438" s="339"/>
    </row>
    <row r="8439" s="330" customFormat="1" ht="15" customHeight="1" spans="1:24">
      <c r="A8439" s="334"/>
      <c r="B8439" s="334" t="s">
        <v>58</v>
      </c>
      <c r="C8439" s="334" t="s">
        <v>794</v>
      </c>
      <c r="D8439" s="334" t="s">
        <v>110</v>
      </c>
      <c r="E8439" s="336">
        <v>43784</v>
      </c>
      <c r="F8439" s="336"/>
      <c r="G8439" s="336">
        <v>43778</v>
      </c>
      <c r="H8439" s="334" t="s">
        <v>17935</v>
      </c>
      <c r="I8439" s="444">
        <v>13148484246</v>
      </c>
      <c r="J8439" s="348" t="s">
        <v>17936</v>
      </c>
      <c r="K8439" s="337"/>
      <c r="L8439" s="334">
        <v>19447</v>
      </c>
      <c r="M8439" s="338"/>
      <c r="N8439" s="362">
        <f t="shared" si="285"/>
        <v>19447</v>
      </c>
      <c r="X8439" s="339"/>
    </row>
    <row r="8440" s="330" customFormat="1" ht="15" customHeight="1" spans="1:24">
      <c r="A8440" s="334"/>
      <c r="B8440" s="348" t="s">
        <v>153</v>
      </c>
      <c r="C8440" s="348" t="s">
        <v>302</v>
      </c>
      <c r="D8440" s="335" t="s">
        <v>155</v>
      </c>
      <c r="E8440" s="336">
        <v>43784</v>
      </c>
      <c r="F8440" s="336"/>
      <c r="G8440" s="336">
        <v>43772</v>
      </c>
      <c r="H8440" s="334" t="s">
        <v>10116</v>
      </c>
      <c r="I8440" s="444">
        <v>13801708349</v>
      </c>
      <c r="J8440" s="348" t="s">
        <v>17937</v>
      </c>
      <c r="K8440" s="337"/>
      <c r="L8440" s="334">
        <v>13892</v>
      </c>
      <c r="M8440" s="338"/>
      <c r="N8440" s="362">
        <f t="shared" si="285"/>
        <v>13892</v>
      </c>
      <c r="X8440" s="339"/>
    </row>
    <row r="8441" s="330" customFormat="1" ht="15" customHeight="1" spans="1:24">
      <c r="A8441" s="334"/>
      <c r="B8441" s="334" t="s">
        <v>405</v>
      </c>
      <c r="C8441" s="334" t="s">
        <v>14070</v>
      </c>
      <c r="D8441" s="334" t="s">
        <v>407</v>
      </c>
      <c r="E8441" s="336">
        <v>43784</v>
      </c>
      <c r="F8441" s="336"/>
      <c r="G8441" s="336">
        <v>43774</v>
      </c>
      <c r="H8441" s="334" t="s">
        <v>17938</v>
      </c>
      <c r="I8441" s="444">
        <v>15900637117</v>
      </c>
      <c r="J8441" s="348" t="s">
        <v>17939</v>
      </c>
      <c r="K8441" s="337"/>
      <c r="L8441" s="334">
        <v>5018</v>
      </c>
      <c r="M8441" s="338"/>
      <c r="N8441" s="362">
        <f t="shared" si="285"/>
        <v>5018</v>
      </c>
      <c r="X8441" s="339"/>
    </row>
    <row r="8442" s="330" customFormat="1" ht="15" customHeight="1" spans="1:24">
      <c r="A8442" s="334"/>
      <c r="B8442" s="334" t="s">
        <v>6313</v>
      </c>
      <c r="C8442" s="334" t="s">
        <v>7818</v>
      </c>
      <c r="D8442" s="334" t="s">
        <v>7871</v>
      </c>
      <c r="E8442" s="336">
        <v>43784</v>
      </c>
      <c r="F8442" s="336"/>
      <c r="G8442" s="336">
        <v>43779</v>
      </c>
      <c r="H8442" s="334" t="s">
        <v>17940</v>
      </c>
      <c r="I8442" s="444">
        <v>10524154062</v>
      </c>
      <c r="J8442" s="348" t="s">
        <v>17941</v>
      </c>
      <c r="K8442" s="337"/>
      <c r="L8442" s="334">
        <v>11227</v>
      </c>
      <c r="M8442" s="338"/>
      <c r="N8442" s="362">
        <f t="shared" si="285"/>
        <v>11227</v>
      </c>
      <c r="X8442" s="339"/>
    </row>
    <row r="8443" s="330" customFormat="1" ht="15" customHeight="1" spans="1:24">
      <c r="A8443" s="334"/>
      <c r="B8443" s="334" t="s">
        <v>66</v>
      </c>
      <c r="C8443" s="334" t="s">
        <v>1749</v>
      </c>
      <c r="D8443" s="334" t="s">
        <v>68</v>
      </c>
      <c r="E8443" s="336">
        <v>43784</v>
      </c>
      <c r="F8443" s="336"/>
      <c r="G8443" s="336">
        <v>43758</v>
      </c>
      <c r="H8443" s="334" t="s">
        <v>12026</v>
      </c>
      <c r="I8443" s="334">
        <v>13816715809</v>
      </c>
      <c r="J8443" s="334" t="s">
        <v>14726</v>
      </c>
      <c r="K8443" s="337"/>
      <c r="L8443" s="338"/>
      <c r="M8443" s="334">
        <v>-3219</v>
      </c>
      <c r="N8443" s="362">
        <f t="shared" si="285"/>
        <v>-3219</v>
      </c>
      <c r="X8443" s="339"/>
    </row>
    <row r="8444" s="330" customFormat="1" ht="15" customHeight="1" spans="1:24">
      <c r="A8444" s="334"/>
      <c r="B8444" s="334" t="s">
        <v>123</v>
      </c>
      <c r="C8444" s="334" t="s">
        <v>32</v>
      </c>
      <c r="D8444" s="334" t="s">
        <v>125</v>
      </c>
      <c r="E8444" s="336">
        <v>43784</v>
      </c>
      <c r="F8444" s="336"/>
      <c r="G8444" s="336">
        <v>43782</v>
      </c>
      <c r="H8444" s="334" t="s">
        <v>7233</v>
      </c>
      <c r="I8444" s="444">
        <v>13917635830</v>
      </c>
      <c r="J8444" s="348" t="s">
        <v>15498</v>
      </c>
      <c r="K8444" s="337"/>
      <c r="L8444" s="338"/>
      <c r="M8444" s="334">
        <v>1679</v>
      </c>
      <c r="N8444" s="362">
        <f t="shared" si="285"/>
        <v>1679</v>
      </c>
      <c r="X8444" s="339"/>
    </row>
    <row r="8445" s="330" customFormat="1" ht="15" customHeight="1" spans="1:24">
      <c r="A8445" s="334"/>
      <c r="B8445" s="334" t="s">
        <v>87</v>
      </c>
      <c r="C8445" s="334" t="s">
        <v>466</v>
      </c>
      <c r="D8445" s="334" t="s">
        <v>89</v>
      </c>
      <c r="E8445" s="336">
        <v>43784</v>
      </c>
      <c r="F8445" s="336"/>
      <c r="G8445" s="336">
        <v>43784</v>
      </c>
      <c r="H8445" s="334" t="s">
        <v>14445</v>
      </c>
      <c r="I8445" s="444">
        <v>13764511236</v>
      </c>
      <c r="J8445" s="348" t="s">
        <v>14446</v>
      </c>
      <c r="K8445" s="337"/>
      <c r="L8445" s="338"/>
      <c r="M8445" s="334">
        <v>200</v>
      </c>
      <c r="N8445" s="362">
        <f t="shared" si="285"/>
        <v>200</v>
      </c>
      <c r="X8445" s="339"/>
    </row>
    <row r="8446" s="330" customFormat="1" ht="15" customHeight="1" spans="1:24">
      <c r="A8446" s="334"/>
      <c r="B8446" s="334" t="s">
        <v>315</v>
      </c>
      <c r="C8446" s="334" t="s">
        <v>275</v>
      </c>
      <c r="D8446" s="334" t="s">
        <v>162</v>
      </c>
      <c r="E8446" s="336">
        <v>43784</v>
      </c>
      <c r="F8446" s="336"/>
      <c r="G8446" s="336">
        <v>43781</v>
      </c>
      <c r="H8446" s="334" t="s">
        <v>9110</v>
      </c>
      <c r="I8446" s="334">
        <v>15692116911</v>
      </c>
      <c r="J8446" s="334" t="s">
        <v>9111</v>
      </c>
      <c r="K8446" s="337"/>
      <c r="L8446" s="338"/>
      <c r="M8446" s="334">
        <v>5965</v>
      </c>
      <c r="N8446" s="362">
        <f t="shared" si="285"/>
        <v>5965</v>
      </c>
      <c r="X8446" s="339"/>
    </row>
    <row r="8447" s="330" customFormat="1" ht="15" customHeight="1" spans="1:24">
      <c r="A8447" s="334"/>
      <c r="B8447" s="334" t="s">
        <v>315</v>
      </c>
      <c r="C8447" s="334" t="s">
        <v>161</v>
      </c>
      <c r="D8447" s="334" t="s">
        <v>162</v>
      </c>
      <c r="E8447" s="336">
        <v>43784</v>
      </c>
      <c r="F8447" s="336"/>
      <c r="G8447" s="336">
        <v>43783</v>
      </c>
      <c r="H8447" s="334" t="s">
        <v>13638</v>
      </c>
      <c r="I8447" s="426">
        <v>18116337066</v>
      </c>
      <c r="J8447" s="334" t="s">
        <v>15480</v>
      </c>
      <c r="K8447" s="337"/>
      <c r="L8447" s="338"/>
      <c r="M8447" s="334">
        <v>1437</v>
      </c>
      <c r="N8447" s="362">
        <f t="shared" si="285"/>
        <v>1437</v>
      </c>
      <c r="X8447" s="339"/>
    </row>
    <row r="8448" s="330" customFormat="1" ht="15" customHeight="1" spans="1:24">
      <c r="A8448" s="334"/>
      <c r="B8448" s="334" t="s">
        <v>31</v>
      </c>
      <c r="C8448" s="334" t="s">
        <v>419</v>
      </c>
      <c r="D8448" s="334" t="s">
        <v>221</v>
      </c>
      <c r="E8448" s="336">
        <v>43784</v>
      </c>
      <c r="F8448" s="336"/>
      <c r="G8448" s="336">
        <v>43783</v>
      </c>
      <c r="H8448" s="334" t="s">
        <v>5843</v>
      </c>
      <c r="I8448" s="444">
        <v>18516608117</v>
      </c>
      <c r="J8448" s="348" t="s">
        <v>17942</v>
      </c>
      <c r="K8448" s="337"/>
      <c r="L8448" s="338"/>
      <c r="M8448" s="334">
        <v>717</v>
      </c>
      <c r="N8448" s="362">
        <f t="shared" si="285"/>
        <v>717</v>
      </c>
      <c r="X8448" s="339"/>
    </row>
    <row r="8449" s="330" customFormat="1" ht="15" customHeight="1" spans="1:24">
      <c r="A8449" s="334"/>
      <c r="B8449" s="334" t="s">
        <v>31</v>
      </c>
      <c r="C8449" s="334" t="s">
        <v>220</v>
      </c>
      <c r="D8449" s="334" t="s">
        <v>33</v>
      </c>
      <c r="E8449" s="336">
        <v>43784</v>
      </c>
      <c r="F8449" s="336"/>
      <c r="G8449" s="336">
        <v>43783</v>
      </c>
      <c r="H8449" s="334" t="s">
        <v>16092</v>
      </c>
      <c r="I8449" s="444">
        <v>13651774450</v>
      </c>
      <c r="J8449" s="348" t="s">
        <v>17943</v>
      </c>
      <c r="K8449" s="337"/>
      <c r="L8449" s="338"/>
      <c r="M8449" s="334">
        <v>850</v>
      </c>
      <c r="N8449" s="362">
        <f t="shared" si="285"/>
        <v>850</v>
      </c>
      <c r="X8449" s="339"/>
    </row>
    <row r="8450" s="330" customFormat="1" ht="15" customHeight="1" spans="1:24">
      <c r="A8450" s="334"/>
      <c r="B8450" s="334" t="s">
        <v>66</v>
      </c>
      <c r="C8450" s="334" t="s">
        <v>1749</v>
      </c>
      <c r="D8450" s="334" t="s">
        <v>68</v>
      </c>
      <c r="E8450" s="336">
        <v>43784</v>
      </c>
      <c r="F8450" s="336"/>
      <c r="G8450" s="336">
        <v>43783</v>
      </c>
      <c r="H8450" s="334" t="s">
        <v>2390</v>
      </c>
      <c r="I8450" s="444">
        <v>18021079560</v>
      </c>
      <c r="J8450" s="348" t="s">
        <v>17944</v>
      </c>
      <c r="K8450" s="337"/>
      <c r="L8450" s="338"/>
      <c r="M8450" s="334">
        <v>25753</v>
      </c>
      <c r="N8450" s="362">
        <f t="shared" si="285"/>
        <v>25753</v>
      </c>
      <c r="X8450" s="339"/>
    </row>
    <row r="8451" s="330" customFormat="1" ht="15" customHeight="1" spans="1:24">
      <c r="A8451" s="334"/>
      <c r="B8451" s="334" t="s">
        <v>66</v>
      </c>
      <c r="C8451" s="334" t="s">
        <v>119</v>
      </c>
      <c r="D8451" s="334" t="s">
        <v>2302</v>
      </c>
      <c r="E8451" s="336">
        <v>43784</v>
      </c>
      <c r="F8451" s="336"/>
      <c r="G8451" s="336">
        <v>43781</v>
      </c>
      <c r="H8451" s="334" t="s">
        <v>7533</v>
      </c>
      <c r="I8451" s="444">
        <v>13524358286</v>
      </c>
      <c r="J8451" s="348" t="s">
        <v>7534</v>
      </c>
      <c r="K8451" s="337"/>
      <c r="L8451" s="338"/>
      <c r="M8451" s="334">
        <v>-651</v>
      </c>
      <c r="N8451" s="362">
        <f t="shared" si="285"/>
        <v>-651</v>
      </c>
      <c r="X8451" s="339"/>
    </row>
    <row r="8452" s="330" customFormat="1" ht="15" customHeight="1" spans="1:24">
      <c r="A8452" s="334"/>
      <c r="B8452" s="334" t="s">
        <v>73</v>
      </c>
      <c r="C8452" s="334" t="s">
        <v>74</v>
      </c>
      <c r="D8452" s="334" t="s">
        <v>717</v>
      </c>
      <c r="E8452" s="336">
        <v>43784</v>
      </c>
      <c r="F8452" s="336"/>
      <c r="G8452" s="336">
        <v>43783</v>
      </c>
      <c r="H8452" s="334" t="s">
        <v>13864</v>
      </c>
      <c r="I8452" s="444">
        <v>18930635079</v>
      </c>
      <c r="J8452" s="348" t="s">
        <v>13865</v>
      </c>
      <c r="K8452" s="337"/>
      <c r="L8452" s="338"/>
      <c r="M8452" s="334">
        <v>1781</v>
      </c>
      <c r="N8452" s="362">
        <f t="shared" si="285"/>
        <v>1781</v>
      </c>
      <c r="X8452" s="339"/>
    </row>
    <row r="8453" s="330" customFormat="1" ht="15" customHeight="1" spans="1:24">
      <c r="A8453" s="334"/>
      <c r="B8453" s="334" t="s">
        <v>335</v>
      </c>
      <c r="C8453" s="334" t="s">
        <v>615</v>
      </c>
      <c r="D8453" s="334" t="s">
        <v>337</v>
      </c>
      <c r="E8453" s="336">
        <v>43784</v>
      </c>
      <c r="F8453" s="336"/>
      <c r="G8453" s="336">
        <v>43783</v>
      </c>
      <c r="H8453" s="334" t="s">
        <v>11965</v>
      </c>
      <c r="I8453" s="444">
        <v>13482626373</v>
      </c>
      <c r="J8453" s="348" t="s">
        <v>17945</v>
      </c>
      <c r="K8453" s="337"/>
      <c r="L8453" s="338"/>
      <c r="M8453" s="334">
        <v>1100</v>
      </c>
      <c r="N8453" s="362">
        <f t="shared" si="285"/>
        <v>1100</v>
      </c>
      <c r="X8453" s="339"/>
    </row>
    <row r="8454" s="330" customFormat="1" ht="15" customHeight="1" spans="1:24">
      <c r="A8454" s="334"/>
      <c r="B8454" s="334" t="s">
        <v>137</v>
      </c>
      <c r="C8454" s="334" t="s">
        <v>2705</v>
      </c>
      <c r="D8454" s="334" t="s">
        <v>139</v>
      </c>
      <c r="E8454" s="336">
        <v>43784</v>
      </c>
      <c r="F8454" s="336"/>
      <c r="G8454" s="336">
        <v>43783</v>
      </c>
      <c r="H8454" s="334" t="s">
        <v>4698</v>
      </c>
      <c r="I8454" s="444">
        <v>13601900556</v>
      </c>
      <c r="J8454" s="348" t="s">
        <v>4699</v>
      </c>
      <c r="K8454" s="337"/>
      <c r="L8454" s="338"/>
      <c r="M8454" s="334">
        <v>256</v>
      </c>
      <c r="N8454" s="362">
        <f t="shared" si="285"/>
        <v>256</v>
      </c>
      <c r="X8454" s="339"/>
    </row>
    <row r="8455" s="330" customFormat="1" ht="15" customHeight="1" spans="1:24">
      <c r="A8455" s="334"/>
      <c r="B8455" s="334" t="s">
        <v>73</v>
      </c>
      <c r="C8455" s="334" t="s">
        <v>74</v>
      </c>
      <c r="D8455" s="334" t="s">
        <v>132</v>
      </c>
      <c r="E8455" s="336">
        <v>43784</v>
      </c>
      <c r="F8455" s="336"/>
      <c r="G8455" s="336">
        <v>43784</v>
      </c>
      <c r="H8455" s="334" t="s">
        <v>7992</v>
      </c>
      <c r="I8455" s="334">
        <v>17701842805</v>
      </c>
      <c r="J8455" s="334" t="s">
        <v>7993</v>
      </c>
      <c r="K8455" s="337"/>
      <c r="L8455" s="338"/>
      <c r="M8455" s="334">
        <v>1063</v>
      </c>
      <c r="N8455" s="362">
        <f t="shared" si="285"/>
        <v>1063</v>
      </c>
      <c r="X8455" s="339"/>
    </row>
    <row r="8456" s="330" customFormat="1" ht="15" customHeight="1" spans="1:24">
      <c r="A8456" s="334"/>
      <c r="B8456" s="334" t="s">
        <v>47</v>
      </c>
      <c r="C8456" s="334" t="s">
        <v>53</v>
      </c>
      <c r="D8456" s="335" t="s">
        <v>49</v>
      </c>
      <c r="E8456" s="336">
        <v>43784</v>
      </c>
      <c r="F8456" s="336"/>
      <c r="G8456" s="336">
        <v>43784</v>
      </c>
      <c r="H8456" s="334" t="s">
        <v>13679</v>
      </c>
      <c r="I8456" s="426">
        <v>13917127925</v>
      </c>
      <c r="J8456" s="334" t="s">
        <v>13680</v>
      </c>
      <c r="K8456" s="337"/>
      <c r="L8456" s="338"/>
      <c r="M8456" s="334">
        <v>-1364</v>
      </c>
      <c r="N8456" s="362">
        <f t="shared" si="285"/>
        <v>-1364</v>
      </c>
      <c r="X8456" s="339"/>
    </row>
    <row r="8457" s="330" customFormat="1" ht="15" customHeight="1" spans="1:24">
      <c r="A8457" s="334"/>
      <c r="B8457" s="334" t="s">
        <v>315</v>
      </c>
      <c r="C8457" s="334" t="s">
        <v>181</v>
      </c>
      <c r="D8457" s="334" t="s">
        <v>182</v>
      </c>
      <c r="E8457" s="336">
        <v>43784</v>
      </c>
      <c r="F8457" s="336"/>
      <c r="G8457" s="336">
        <v>43784</v>
      </c>
      <c r="H8457" s="334" t="s">
        <v>3379</v>
      </c>
      <c r="I8457" s="334">
        <v>18501618499</v>
      </c>
      <c r="J8457" s="348" t="s">
        <v>3380</v>
      </c>
      <c r="K8457" s="337"/>
      <c r="L8457" s="338"/>
      <c r="M8457" s="334">
        <v>2446</v>
      </c>
      <c r="N8457" s="362">
        <f t="shared" si="285"/>
        <v>2446</v>
      </c>
      <c r="X8457" s="339"/>
    </row>
    <row r="8458" s="330" customFormat="1" ht="15" customHeight="1" spans="1:24">
      <c r="A8458" s="334"/>
      <c r="B8458" s="334" t="s">
        <v>47</v>
      </c>
      <c r="C8458" s="334" t="s">
        <v>53</v>
      </c>
      <c r="D8458" s="335" t="s">
        <v>49</v>
      </c>
      <c r="E8458" s="336">
        <v>43784</v>
      </c>
      <c r="F8458" s="336"/>
      <c r="G8458" s="336">
        <v>43784</v>
      </c>
      <c r="H8458" s="334" t="s">
        <v>14365</v>
      </c>
      <c r="I8458" s="334">
        <v>18018502880</v>
      </c>
      <c r="J8458" s="334" t="s">
        <v>14366</v>
      </c>
      <c r="K8458" s="337"/>
      <c r="L8458" s="338"/>
      <c r="M8458" s="334">
        <v>-5784</v>
      </c>
      <c r="N8458" s="362">
        <f t="shared" si="285"/>
        <v>-5784</v>
      </c>
      <c r="X8458" s="339"/>
    </row>
    <row r="8459" s="330" customFormat="1" ht="15" customHeight="1" spans="1:24">
      <c r="A8459" s="334"/>
      <c r="B8459" s="334" t="s">
        <v>137</v>
      </c>
      <c r="C8459" s="334" t="s">
        <v>138</v>
      </c>
      <c r="D8459" s="335" t="s">
        <v>139</v>
      </c>
      <c r="E8459" s="336">
        <v>43784</v>
      </c>
      <c r="F8459" s="336"/>
      <c r="G8459" s="336">
        <v>43783</v>
      </c>
      <c r="H8459" s="334" t="s">
        <v>11358</v>
      </c>
      <c r="I8459" s="334">
        <v>13801715412</v>
      </c>
      <c r="J8459" s="334" t="s">
        <v>17946</v>
      </c>
      <c r="K8459" s="337"/>
      <c r="L8459" s="338"/>
      <c r="M8459" s="334">
        <v>6911</v>
      </c>
      <c r="N8459" s="362">
        <f t="shared" si="285"/>
        <v>6911</v>
      </c>
      <c r="X8459" s="339"/>
    </row>
    <row r="8460" s="330" customFormat="1" ht="15" customHeight="1" spans="1:24">
      <c r="A8460" s="550" t="s">
        <v>17947</v>
      </c>
      <c r="B8460" s="334" t="s">
        <v>354</v>
      </c>
      <c r="C8460" s="348" t="s">
        <v>355</v>
      </c>
      <c r="D8460" s="334" t="s">
        <v>162</v>
      </c>
      <c r="E8460" s="336">
        <v>43796</v>
      </c>
      <c r="F8460" s="336">
        <v>43785</v>
      </c>
      <c r="G8460" s="336">
        <v>43795</v>
      </c>
      <c r="H8460" s="334" t="s">
        <v>17948</v>
      </c>
      <c r="I8460" s="444">
        <v>18701972285</v>
      </c>
      <c r="J8460" s="348" t="s">
        <v>17949</v>
      </c>
      <c r="K8460" s="452">
        <v>500</v>
      </c>
      <c r="L8460" s="334">
        <v>26333</v>
      </c>
      <c r="M8460" s="334">
        <v>12753</v>
      </c>
      <c r="N8460" s="362">
        <f t="shared" si="285"/>
        <v>39086</v>
      </c>
      <c r="X8460" s="339"/>
    </row>
    <row r="8461" s="330" customFormat="1" ht="15" customHeight="1" spans="1:24">
      <c r="A8461" s="550" t="s">
        <v>8536</v>
      </c>
      <c r="B8461" s="334" t="s">
        <v>354</v>
      </c>
      <c r="C8461" s="348" t="s">
        <v>355</v>
      </c>
      <c r="D8461" s="334" t="s">
        <v>162</v>
      </c>
      <c r="E8461" s="336">
        <v>43799</v>
      </c>
      <c r="F8461" s="336">
        <v>43778</v>
      </c>
      <c r="G8461" s="336">
        <v>43799</v>
      </c>
      <c r="H8461" s="334" t="s">
        <v>17950</v>
      </c>
      <c r="I8461" s="444">
        <v>13631286760</v>
      </c>
      <c r="J8461" s="348" t="s">
        <v>17951</v>
      </c>
      <c r="K8461" s="452">
        <v>10000</v>
      </c>
      <c r="L8461" s="334">
        <v>9961</v>
      </c>
      <c r="M8461" s="338"/>
      <c r="N8461" s="362">
        <f t="shared" si="285"/>
        <v>9961</v>
      </c>
      <c r="X8461" s="339"/>
    </row>
    <row r="8462" s="330" customFormat="1" ht="15" customHeight="1" spans="1:24">
      <c r="A8462" s="348"/>
      <c r="B8462" s="334" t="s">
        <v>2625</v>
      </c>
      <c r="C8462" s="348" t="s">
        <v>2626</v>
      </c>
      <c r="D8462" s="335" t="s">
        <v>44</v>
      </c>
      <c r="E8462" s="336">
        <v>43834</v>
      </c>
      <c r="F8462" s="336">
        <v>43785</v>
      </c>
      <c r="G8462" s="336">
        <v>43833</v>
      </c>
      <c r="H8462" s="334" t="s">
        <v>17259</v>
      </c>
      <c r="I8462" s="444">
        <v>13761877254</v>
      </c>
      <c r="J8462" s="348" t="s">
        <v>17952</v>
      </c>
      <c r="K8462" s="452">
        <v>1999</v>
      </c>
      <c r="L8462" s="334">
        <v>3401</v>
      </c>
      <c r="M8462" s="338"/>
      <c r="N8462" s="362">
        <f t="shared" si="285"/>
        <v>3401</v>
      </c>
      <c r="Q8462" s="477"/>
      <c r="R8462" s="477" t="s">
        <v>3660</v>
      </c>
      <c r="X8462" s="339"/>
    </row>
    <row r="8463" s="330" customFormat="1" ht="15" customHeight="1" spans="1:24">
      <c r="A8463" s="550" t="s">
        <v>17953</v>
      </c>
      <c r="B8463" s="334" t="s">
        <v>66</v>
      </c>
      <c r="C8463" s="348" t="s">
        <v>7029</v>
      </c>
      <c r="D8463" s="334" t="s">
        <v>68</v>
      </c>
      <c r="E8463" s="336">
        <v>43795</v>
      </c>
      <c r="F8463" s="336">
        <v>43785</v>
      </c>
      <c r="G8463" s="336">
        <v>43794</v>
      </c>
      <c r="H8463" s="334" t="s">
        <v>17954</v>
      </c>
      <c r="I8463" s="444">
        <v>13311627159</v>
      </c>
      <c r="J8463" s="348" t="s">
        <v>17955</v>
      </c>
      <c r="K8463" s="452">
        <v>500</v>
      </c>
      <c r="L8463" s="334">
        <v>62626</v>
      </c>
      <c r="M8463" s="334">
        <v>1100</v>
      </c>
      <c r="N8463" s="362">
        <f t="shared" ref="N8463:N8495" si="286">L8463+M8463</f>
        <v>63726</v>
      </c>
      <c r="X8463" s="339"/>
    </row>
    <row r="8464" s="330" customFormat="1" ht="15" customHeight="1" spans="1:24">
      <c r="A8464" s="550" t="s">
        <v>17956</v>
      </c>
      <c r="B8464" s="334" t="s">
        <v>147</v>
      </c>
      <c r="C8464" s="348" t="s">
        <v>148</v>
      </c>
      <c r="D8464" s="334" t="s">
        <v>337</v>
      </c>
      <c r="E8464" s="336">
        <v>43785</v>
      </c>
      <c r="F8464" s="336">
        <v>43777</v>
      </c>
      <c r="G8464" s="399">
        <v>43783</v>
      </c>
      <c r="H8464" s="334" t="s">
        <v>17957</v>
      </c>
      <c r="I8464" s="444">
        <v>13764539920</v>
      </c>
      <c r="J8464" s="348" t="s">
        <v>17958</v>
      </c>
      <c r="K8464" s="452">
        <v>200</v>
      </c>
      <c r="L8464" s="334">
        <v>4450</v>
      </c>
      <c r="M8464" s="338"/>
      <c r="N8464" s="362">
        <f t="shared" si="286"/>
        <v>4450</v>
      </c>
      <c r="X8464" s="339"/>
    </row>
    <row r="8465" s="330" customFormat="1" ht="15" customHeight="1" spans="1:24">
      <c r="A8465" s="550" t="s">
        <v>17959</v>
      </c>
      <c r="B8465" s="334" t="s">
        <v>359</v>
      </c>
      <c r="C8465" s="348" t="s">
        <v>3018</v>
      </c>
      <c r="D8465" s="335" t="s">
        <v>361</v>
      </c>
      <c r="E8465" s="336">
        <v>43800</v>
      </c>
      <c r="F8465" s="336">
        <v>43785</v>
      </c>
      <c r="G8465" s="336">
        <v>43800</v>
      </c>
      <c r="H8465" s="334" t="s">
        <v>17960</v>
      </c>
      <c r="I8465" s="444">
        <v>18136115827</v>
      </c>
      <c r="J8465" s="348" t="s">
        <v>17961</v>
      </c>
      <c r="K8465" s="452">
        <v>1000</v>
      </c>
      <c r="L8465" s="334">
        <v>29650</v>
      </c>
      <c r="M8465" s="338"/>
      <c r="N8465" s="362">
        <f t="shared" si="286"/>
        <v>29650</v>
      </c>
      <c r="X8465" s="339"/>
    </row>
    <row r="8466" s="330" customFormat="1" ht="15" customHeight="1" spans="1:24">
      <c r="A8466" s="348">
        <v>2019347</v>
      </c>
      <c r="B8466" s="334" t="s">
        <v>42</v>
      </c>
      <c r="C8466" s="348" t="s">
        <v>43</v>
      </c>
      <c r="D8466" s="335" t="s">
        <v>44</v>
      </c>
      <c r="E8466" s="336">
        <v>43798</v>
      </c>
      <c r="F8466" s="336">
        <v>43780</v>
      </c>
      <c r="G8466" s="336">
        <v>43798</v>
      </c>
      <c r="H8466" s="334" t="s">
        <v>17962</v>
      </c>
      <c r="I8466" s="444">
        <v>13918267928</v>
      </c>
      <c r="J8466" s="348" t="s">
        <v>17963</v>
      </c>
      <c r="K8466" s="452">
        <v>10780</v>
      </c>
      <c r="L8466" s="334">
        <v>10780</v>
      </c>
      <c r="M8466" s="338"/>
      <c r="N8466" s="362">
        <f t="shared" si="286"/>
        <v>10780</v>
      </c>
      <c r="X8466" s="339"/>
    </row>
    <row r="8467" s="330" customFormat="1" ht="15" customHeight="1" spans="1:24">
      <c r="A8467" s="348"/>
      <c r="B8467" s="334" t="s">
        <v>243</v>
      </c>
      <c r="C8467" s="348" t="s">
        <v>309</v>
      </c>
      <c r="D8467" s="335" t="s">
        <v>49</v>
      </c>
      <c r="E8467" s="336">
        <v>43796</v>
      </c>
      <c r="F8467" s="336">
        <v>43785</v>
      </c>
      <c r="G8467" s="336">
        <v>43786</v>
      </c>
      <c r="H8467" s="334" t="s">
        <v>17964</v>
      </c>
      <c r="I8467" s="444">
        <v>13917022419</v>
      </c>
      <c r="J8467" s="348" t="s">
        <v>17965</v>
      </c>
      <c r="K8467" s="452">
        <v>2000</v>
      </c>
      <c r="L8467" s="334">
        <v>9087</v>
      </c>
      <c r="M8467" s="338"/>
      <c r="N8467" s="362">
        <f t="shared" si="286"/>
        <v>9087</v>
      </c>
      <c r="X8467" s="339"/>
    </row>
    <row r="8468" s="330" customFormat="1" ht="15" customHeight="1" spans="1:24">
      <c r="A8468" s="550" t="s">
        <v>17966</v>
      </c>
      <c r="B8468" s="334" t="s">
        <v>354</v>
      </c>
      <c r="C8468" s="348" t="s">
        <v>355</v>
      </c>
      <c r="D8468" s="334" t="s">
        <v>237</v>
      </c>
      <c r="E8468" s="336">
        <v>43798</v>
      </c>
      <c r="F8468" s="336">
        <v>43785</v>
      </c>
      <c r="G8468" s="336">
        <v>43798</v>
      </c>
      <c r="H8468" s="334" t="s">
        <v>17967</v>
      </c>
      <c r="I8468" s="444">
        <v>18217066253</v>
      </c>
      <c r="J8468" s="348" t="s">
        <v>17968</v>
      </c>
      <c r="K8468" s="452">
        <v>8000</v>
      </c>
      <c r="L8468" s="334">
        <v>7976</v>
      </c>
      <c r="M8468" s="338"/>
      <c r="N8468" s="362">
        <f t="shared" si="286"/>
        <v>7976</v>
      </c>
      <c r="X8468" s="339"/>
    </row>
    <row r="8469" s="330" customFormat="1" ht="15" customHeight="1" spans="1:24">
      <c r="A8469" s="550" t="s">
        <v>17969</v>
      </c>
      <c r="B8469" s="334" t="s">
        <v>169</v>
      </c>
      <c r="C8469" s="348" t="s">
        <v>542</v>
      </c>
      <c r="D8469" s="335" t="s">
        <v>171</v>
      </c>
      <c r="E8469" s="336">
        <v>43785</v>
      </c>
      <c r="F8469" s="336">
        <v>43785</v>
      </c>
      <c r="G8469" s="399"/>
      <c r="H8469" s="334" t="s">
        <v>17970</v>
      </c>
      <c r="I8469" s="444">
        <v>13023289807</v>
      </c>
      <c r="J8469" s="348" t="s">
        <v>17971</v>
      </c>
      <c r="K8469" s="452">
        <v>3334</v>
      </c>
      <c r="L8469" s="338"/>
      <c r="M8469" s="338"/>
      <c r="N8469" s="362">
        <f t="shared" si="286"/>
        <v>0</v>
      </c>
      <c r="O8469" s="356" t="s">
        <v>19</v>
      </c>
      <c r="U8469" s="506" t="s">
        <v>40</v>
      </c>
      <c r="V8469" s="372"/>
      <c r="X8469" s="339"/>
    </row>
    <row r="8470" s="330" customFormat="1" ht="15" customHeight="1" spans="1:24">
      <c r="A8470" s="550" t="s">
        <v>17972</v>
      </c>
      <c r="B8470" s="334" t="s">
        <v>281</v>
      </c>
      <c r="C8470" s="348" t="s">
        <v>13525</v>
      </c>
      <c r="D8470" s="334" t="s">
        <v>518</v>
      </c>
      <c r="E8470" s="336">
        <v>43804</v>
      </c>
      <c r="F8470" s="336">
        <v>43785</v>
      </c>
      <c r="G8470" s="336">
        <v>43803</v>
      </c>
      <c r="H8470" s="334" t="s">
        <v>17973</v>
      </c>
      <c r="I8470" s="444">
        <v>18917252646</v>
      </c>
      <c r="J8470" s="348" t="s">
        <v>17974</v>
      </c>
      <c r="K8470" s="452">
        <v>3000</v>
      </c>
      <c r="L8470" s="334">
        <v>11640</v>
      </c>
      <c r="M8470" s="338"/>
      <c r="N8470" s="362">
        <f t="shared" si="286"/>
        <v>11640</v>
      </c>
      <c r="X8470" s="339"/>
    </row>
    <row r="8471" s="330" customFormat="1" ht="15" customHeight="1" spans="1:24">
      <c r="A8471" s="550" t="s">
        <v>17975</v>
      </c>
      <c r="B8471" s="334" t="s">
        <v>31</v>
      </c>
      <c r="C8471" s="348" t="s">
        <v>377</v>
      </c>
      <c r="D8471" s="334" t="s">
        <v>33</v>
      </c>
      <c r="E8471" s="336">
        <v>43793</v>
      </c>
      <c r="F8471" s="336">
        <v>43785</v>
      </c>
      <c r="G8471" s="336">
        <v>43793</v>
      </c>
      <c r="H8471" s="334" t="s">
        <v>17976</v>
      </c>
      <c r="I8471" s="444">
        <v>15221739818</v>
      </c>
      <c r="J8471" s="348" t="s">
        <v>17977</v>
      </c>
      <c r="K8471" s="452">
        <v>30000</v>
      </c>
      <c r="L8471" s="334">
        <v>40558</v>
      </c>
      <c r="M8471" s="338"/>
      <c r="N8471" s="362">
        <f t="shared" si="286"/>
        <v>40558</v>
      </c>
      <c r="X8471" s="339"/>
    </row>
    <row r="8472" s="330" customFormat="1" ht="15" customHeight="1" spans="1:24">
      <c r="A8472" s="550" t="s">
        <v>17978</v>
      </c>
      <c r="B8472" s="334" t="s">
        <v>58</v>
      </c>
      <c r="C8472" s="348" t="s">
        <v>794</v>
      </c>
      <c r="D8472" s="335" t="s">
        <v>110</v>
      </c>
      <c r="E8472" s="336">
        <v>43785</v>
      </c>
      <c r="F8472" s="336">
        <v>43780</v>
      </c>
      <c r="G8472" s="399"/>
      <c r="H8472" s="334" t="s">
        <v>17979</v>
      </c>
      <c r="I8472" s="444" t="s">
        <v>5114</v>
      </c>
      <c r="J8472" s="348" t="s">
        <v>17980</v>
      </c>
      <c r="K8472" s="452">
        <v>3598</v>
      </c>
      <c r="L8472" s="338"/>
      <c r="M8472" s="338"/>
      <c r="N8472" s="362">
        <f t="shared" si="286"/>
        <v>0</v>
      </c>
      <c r="O8472" s="365" t="s">
        <v>52</v>
      </c>
      <c r="X8472" s="339"/>
    </row>
    <row r="8473" s="330" customFormat="1" ht="15" customHeight="1" spans="1:24">
      <c r="A8473" s="550" t="s">
        <v>17981</v>
      </c>
      <c r="B8473" s="334" t="s">
        <v>31</v>
      </c>
      <c r="C8473" s="348" t="s">
        <v>3186</v>
      </c>
      <c r="D8473" s="335" t="s">
        <v>221</v>
      </c>
      <c r="E8473" s="336">
        <v>43785</v>
      </c>
      <c r="F8473" s="336">
        <v>43770</v>
      </c>
      <c r="G8473" s="399"/>
      <c r="H8473" s="334" t="s">
        <v>17982</v>
      </c>
      <c r="I8473" s="444">
        <v>18516418501</v>
      </c>
      <c r="J8473" s="348" t="s">
        <v>17983</v>
      </c>
      <c r="K8473" s="452">
        <v>1299</v>
      </c>
      <c r="L8473" s="338"/>
      <c r="M8473" s="338"/>
      <c r="N8473" s="362">
        <f t="shared" si="286"/>
        <v>0</v>
      </c>
      <c r="P8473" s="467" t="s">
        <v>52</v>
      </c>
      <c r="X8473" s="339"/>
    </row>
    <row r="8474" s="330" customFormat="1" ht="15" customHeight="1" spans="1:24">
      <c r="A8474" s="550" t="s">
        <v>17984</v>
      </c>
      <c r="B8474" s="334" t="s">
        <v>281</v>
      </c>
      <c r="C8474" s="348" t="s">
        <v>491</v>
      </c>
      <c r="D8474" s="335" t="s">
        <v>49</v>
      </c>
      <c r="E8474" s="336">
        <v>43785</v>
      </c>
      <c r="F8474" s="336">
        <v>43785</v>
      </c>
      <c r="G8474" s="399"/>
      <c r="H8474" s="334" t="s">
        <v>17985</v>
      </c>
      <c r="I8474" s="444">
        <v>13611815158</v>
      </c>
      <c r="J8474" s="348" t="s">
        <v>17986</v>
      </c>
      <c r="K8474" s="452">
        <v>1000</v>
      </c>
      <c r="L8474" s="338"/>
      <c r="M8474" s="338"/>
      <c r="N8474" s="362">
        <f t="shared" si="286"/>
        <v>0</v>
      </c>
      <c r="R8474" s="356" t="s">
        <v>52</v>
      </c>
      <c r="X8474" s="339"/>
    </row>
    <row r="8475" s="330" customFormat="1" ht="15" customHeight="1" spans="1:24">
      <c r="A8475" s="550" t="s">
        <v>17987</v>
      </c>
      <c r="B8475" s="334" t="s">
        <v>281</v>
      </c>
      <c r="C8475" s="348" t="s">
        <v>491</v>
      </c>
      <c r="D8475" s="335" t="s">
        <v>49</v>
      </c>
      <c r="E8475" s="336">
        <v>43785</v>
      </c>
      <c r="F8475" s="336">
        <v>43785</v>
      </c>
      <c r="G8475" s="399"/>
      <c r="H8475" s="334" t="s">
        <v>17988</v>
      </c>
      <c r="I8475" s="444">
        <v>13601778230</v>
      </c>
      <c r="J8475" s="348" t="s">
        <v>17989</v>
      </c>
      <c r="K8475" s="452">
        <v>30000</v>
      </c>
      <c r="L8475" s="338"/>
      <c r="M8475" s="338"/>
      <c r="N8475" s="362">
        <f t="shared" si="286"/>
        <v>0</v>
      </c>
      <c r="R8475" s="356" t="s">
        <v>52</v>
      </c>
      <c r="X8475" s="339"/>
    </row>
    <row r="8476" s="330" customFormat="1" ht="15" customHeight="1" spans="1:24">
      <c r="A8476" s="550" t="s">
        <v>17990</v>
      </c>
      <c r="B8476" s="334" t="s">
        <v>58</v>
      </c>
      <c r="C8476" s="348" t="s">
        <v>794</v>
      </c>
      <c r="D8476" s="335" t="s">
        <v>110</v>
      </c>
      <c r="E8476" s="336">
        <v>43794</v>
      </c>
      <c r="F8476" s="336">
        <v>43785</v>
      </c>
      <c r="G8476" s="336">
        <v>43793</v>
      </c>
      <c r="H8476" s="334" t="s">
        <v>17991</v>
      </c>
      <c r="I8476" s="444">
        <v>18717766761</v>
      </c>
      <c r="J8476" s="348" t="s">
        <v>17992</v>
      </c>
      <c r="K8476" s="452">
        <v>5000</v>
      </c>
      <c r="L8476" s="334">
        <v>10327</v>
      </c>
      <c r="M8476" s="338"/>
      <c r="N8476" s="362">
        <f t="shared" si="286"/>
        <v>10327</v>
      </c>
      <c r="P8476" s="365" t="s">
        <v>52</v>
      </c>
      <c r="X8476" s="339"/>
    </row>
    <row r="8477" s="330" customFormat="1" ht="15" customHeight="1" spans="1:24">
      <c r="A8477" s="550" t="s">
        <v>17993</v>
      </c>
      <c r="B8477" s="334" t="s">
        <v>73</v>
      </c>
      <c r="C8477" s="348" t="s">
        <v>74</v>
      </c>
      <c r="D8477" s="334" t="s">
        <v>427</v>
      </c>
      <c r="E8477" s="336">
        <v>43830</v>
      </c>
      <c r="F8477" s="336">
        <v>43785</v>
      </c>
      <c r="G8477" s="336">
        <v>43830</v>
      </c>
      <c r="H8477" s="334" t="s">
        <v>17994</v>
      </c>
      <c r="I8477" s="444">
        <v>18918106133</v>
      </c>
      <c r="J8477" s="348" t="s">
        <v>17995</v>
      </c>
      <c r="K8477" s="452">
        <f>1000+1000</f>
        <v>2000</v>
      </c>
      <c r="L8477" s="334">
        <v>42854</v>
      </c>
      <c r="M8477" s="338"/>
      <c r="N8477" s="362">
        <f t="shared" si="286"/>
        <v>42854</v>
      </c>
      <c r="O8477" s="366"/>
      <c r="R8477" s="405" t="s">
        <v>52</v>
      </c>
      <c r="X8477" s="339"/>
    </row>
    <row r="8478" s="330" customFormat="1" ht="15" customHeight="1" spans="1:24">
      <c r="A8478" s="550" t="s">
        <v>8612</v>
      </c>
      <c r="B8478" s="334" t="s">
        <v>73</v>
      </c>
      <c r="C8478" s="348" t="s">
        <v>178</v>
      </c>
      <c r="D8478" s="334" t="s">
        <v>427</v>
      </c>
      <c r="E8478" s="336">
        <v>43799</v>
      </c>
      <c r="F8478" s="336">
        <v>43785</v>
      </c>
      <c r="G8478" s="336">
        <v>43799</v>
      </c>
      <c r="H8478" s="334" t="s">
        <v>17996</v>
      </c>
      <c r="I8478" s="444">
        <v>13817204803</v>
      </c>
      <c r="J8478" s="348" t="s">
        <v>17997</v>
      </c>
      <c r="K8478" s="452">
        <v>1000</v>
      </c>
      <c r="L8478" s="334">
        <v>14172</v>
      </c>
      <c r="M8478" s="338"/>
      <c r="N8478" s="362">
        <f t="shared" si="286"/>
        <v>14172</v>
      </c>
      <c r="O8478" s="366" t="s">
        <v>52</v>
      </c>
      <c r="X8478" s="339"/>
    </row>
    <row r="8479" s="330" customFormat="1" ht="15" customHeight="1" spans="1:24">
      <c r="A8479" s="550" t="s">
        <v>17998</v>
      </c>
      <c r="B8479" s="334" t="s">
        <v>73</v>
      </c>
      <c r="C8479" s="348" t="s">
        <v>178</v>
      </c>
      <c r="D8479" s="352" t="s">
        <v>75</v>
      </c>
      <c r="E8479" s="336">
        <v>43830</v>
      </c>
      <c r="F8479" s="336">
        <v>43785</v>
      </c>
      <c r="G8479" s="336">
        <v>43829</v>
      </c>
      <c r="H8479" s="334" t="s">
        <v>17999</v>
      </c>
      <c r="I8479" s="444">
        <v>13816088107</v>
      </c>
      <c r="J8479" s="348" t="s">
        <v>18000</v>
      </c>
      <c r="K8479" s="452">
        <v>1000</v>
      </c>
      <c r="L8479" s="334">
        <v>9370</v>
      </c>
      <c r="M8479" s="338"/>
      <c r="N8479" s="362">
        <f t="shared" si="286"/>
        <v>9370</v>
      </c>
      <c r="O8479" s="366"/>
      <c r="Q8479" s="405" t="s">
        <v>52</v>
      </c>
      <c r="R8479" s="331"/>
      <c r="X8479" s="339"/>
    </row>
    <row r="8480" s="330" customFormat="1" ht="15" customHeight="1" spans="1:24">
      <c r="A8480" s="550" t="s">
        <v>16924</v>
      </c>
      <c r="B8480" s="334" t="s">
        <v>73</v>
      </c>
      <c r="C8480" s="348" t="s">
        <v>178</v>
      </c>
      <c r="D8480" s="334" t="s">
        <v>427</v>
      </c>
      <c r="E8480" s="336">
        <v>43799</v>
      </c>
      <c r="F8480" s="336">
        <v>43785</v>
      </c>
      <c r="G8480" s="336">
        <v>43799</v>
      </c>
      <c r="H8480" s="334" t="s">
        <v>17402</v>
      </c>
      <c r="I8480" s="444">
        <v>18801808518</v>
      </c>
      <c r="J8480" s="348" t="s">
        <v>18001</v>
      </c>
      <c r="K8480" s="452">
        <v>1000</v>
      </c>
      <c r="L8480" s="334">
        <v>22825</v>
      </c>
      <c r="M8480" s="338"/>
      <c r="N8480" s="362">
        <f t="shared" si="286"/>
        <v>22825</v>
      </c>
      <c r="O8480" s="366" t="s">
        <v>52</v>
      </c>
      <c r="X8480" s="339"/>
    </row>
    <row r="8481" s="330" customFormat="1" ht="15" customHeight="1" spans="1:24">
      <c r="A8481" s="348" t="s">
        <v>18002</v>
      </c>
      <c r="B8481" s="334" t="s">
        <v>73</v>
      </c>
      <c r="C8481" s="348" t="s">
        <v>178</v>
      </c>
      <c r="D8481" s="335" t="s">
        <v>75</v>
      </c>
      <c r="E8481" s="336">
        <v>43787</v>
      </c>
      <c r="F8481" s="336">
        <v>43786</v>
      </c>
      <c r="G8481" s="399"/>
      <c r="H8481" s="334" t="s">
        <v>16380</v>
      </c>
      <c r="I8481" s="444">
        <v>13671955751</v>
      </c>
      <c r="J8481" s="348" t="s">
        <v>18003</v>
      </c>
      <c r="K8481" s="452">
        <v>1000</v>
      </c>
      <c r="L8481" s="338"/>
      <c r="M8481" s="338"/>
      <c r="N8481" s="362">
        <f t="shared" si="286"/>
        <v>0</v>
      </c>
      <c r="O8481" s="366" t="s">
        <v>52</v>
      </c>
      <c r="Q8481" s="331"/>
      <c r="X8481" s="339"/>
    </row>
    <row r="8482" s="330" customFormat="1" ht="15" customHeight="1" spans="1:24">
      <c r="A8482" s="550" t="s">
        <v>18004</v>
      </c>
      <c r="B8482" s="334" t="s">
        <v>281</v>
      </c>
      <c r="C8482" s="348" t="s">
        <v>491</v>
      </c>
      <c r="D8482" s="335" t="s">
        <v>49</v>
      </c>
      <c r="E8482" s="336">
        <v>43786</v>
      </c>
      <c r="F8482" s="336">
        <v>43785</v>
      </c>
      <c r="G8482" s="399"/>
      <c r="H8482" s="334" t="s">
        <v>18005</v>
      </c>
      <c r="I8482" s="444">
        <v>15026897827</v>
      </c>
      <c r="J8482" s="348" t="s">
        <v>18006</v>
      </c>
      <c r="K8482" s="452">
        <v>2000</v>
      </c>
      <c r="L8482" s="338"/>
      <c r="M8482" s="338"/>
      <c r="N8482" s="362">
        <f t="shared" si="286"/>
        <v>0</v>
      </c>
      <c r="X8482" s="339"/>
    </row>
    <row r="8483" s="330" customFormat="1" ht="15" customHeight="1" spans="1:24">
      <c r="A8483" s="550" t="s">
        <v>18007</v>
      </c>
      <c r="B8483" s="334" t="s">
        <v>281</v>
      </c>
      <c r="C8483" s="348" t="s">
        <v>491</v>
      </c>
      <c r="D8483" s="334" t="s">
        <v>518</v>
      </c>
      <c r="E8483" s="336">
        <v>43814</v>
      </c>
      <c r="F8483" s="336">
        <v>43785</v>
      </c>
      <c r="G8483" s="336">
        <v>43814</v>
      </c>
      <c r="H8483" s="334" t="s">
        <v>18008</v>
      </c>
      <c r="I8483" s="444">
        <v>13761054265</v>
      </c>
      <c r="J8483" s="348" t="s">
        <v>18009</v>
      </c>
      <c r="K8483" s="452">
        <f>23000+1000</f>
        <v>24000</v>
      </c>
      <c r="L8483" s="334">
        <v>19660</v>
      </c>
      <c r="M8483" s="338"/>
      <c r="N8483" s="362">
        <f t="shared" si="286"/>
        <v>19660</v>
      </c>
      <c r="X8483" s="339"/>
    </row>
    <row r="8484" s="330" customFormat="1" ht="15" customHeight="1" spans="1:24">
      <c r="A8484" s="550" t="s">
        <v>8957</v>
      </c>
      <c r="B8484" s="334" t="s">
        <v>66</v>
      </c>
      <c r="C8484" s="348" t="s">
        <v>1749</v>
      </c>
      <c r="D8484" s="335" t="s">
        <v>68</v>
      </c>
      <c r="E8484" s="336">
        <v>43799</v>
      </c>
      <c r="F8484" s="336">
        <v>43785</v>
      </c>
      <c r="G8484" s="336">
        <v>43799</v>
      </c>
      <c r="H8484" s="334" t="s">
        <v>18010</v>
      </c>
      <c r="I8484" s="444">
        <v>13817697702</v>
      </c>
      <c r="J8484" s="348" t="s">
        <v>18011</v>
      </c>
      <c r="K8484" s="452">
        <v>3000</v>
      </c>
      <c r="L8484" s="334">
        <v>3000</v>
      </c>
      <c r="M8484" s="338"/>
      <c r="N8484" s="362">
        <f t="shared" si="286"/>
        <v>3000</v>
      </c>
      <c r="O8484" s="330" t="s">
        <v>52</v>
      </c>
      <c r="X8484" s="339"/>
    </row>
    <row r="8485" s="330" customFormat="1" ht="15" customHeight="1" spans="1:24">
      <c r="A8485" s="550" t="s">
        <v>9632</v>
      </c>
      <c r="B8485" s="334" t="s">
        <v>137</v>
      </c>
      <c r="C8485" s="348" t="s">
        <v>426</v>
      </c>
      <c r="D8485" s="335" t="s">
        <v>443</v>
      </c>
      <c r="E8485" s="336">
        <v>43829</v>
      </c>
      <c r="F8485" s="336">
        <v>43786</v>
      </c>
      <c r="G8485" s="336">
        <v>43829</v>
      </c>
      <c r="H8485" s="334" t="s">
        <v>18012</v>
      </c>
      <c r="I8485" s="444">
        <v>13817992010</v>
      </c>
      <c r="J8485" s="348" t="s">
        <v>18013</v>
      </c>
      <c r="K8485" s="452">
        <v>1000</v>
      </c>
      <c r="L8485" s="334">
        <v>29319</v>
      </c>
      <c r="M8485" s="338"/>
      <c r="N8485" s="362">
        <f t="shared" si="286"/>
        <v>29319</v>
      </c>
      <c r="T8485" s="330">
        <v>1</v>
      </c>
      <c r="X8485" s="339"/>
    </row>
    <row r="8486" s="330" customFormat="1" ht="15" customHeight="1" spans="1:24">
      <c r="A8486" s="348"/>
      <c r="B8486" s="334" t="s">
        <v>35</v>
      </c>
      <c r="C8486" s="348" t="s">
        <v>328</v>
      </c>
      <c r="D8486" s="335" t="s">
        <v>37</v>
      </c>
      <c r="E8486" s="336">
        <v>43791</v>
      </c>
      <c r="F8486" s="336">
        <v>43780</v>
      </c>
      <c r="G8486" s="336">
        <v>43790</v>
      </c>
      <c r="H8486" s="334" t="s">
        <v>18014</v>
      </c>
      <c r="I8486" s="444">
        <v>15821002600</v>
      </c>
      <c r="J8486" s="348" t="s">
        <v>18015</v>
      </c>
      <c r="K8486" s="452">
        <v>5527</v>
      </c>
      <c r="L8486" s="334">
        <v>7433</v>
      </c>
      <c r="M8486" s="338"/>
      <c r="N8486" s="362">
        <f t="shared" si="286"/>
        <v>7433</v>
      </c>
      <c r="Q8486" s="356" t="s">
        <v>52</v>
      </c>
      <c r="X8486" s="339"/>
    </row>
    <row r="8487" s="330" customFormat="1" ht="15" customHeight="1" spans="1:24">
      <c r="A8487" s="550" t="s">
        <v>18016</v>
      </c>
      <c r="B8487" s="334" t="s">
        <v>66</v>
      </c>
      <c r="C8487" s="348" t="s">
        <v>505</v>
      </c>
      <c r="D8487" s="334" t="s">
        <v>2302</v>
      </c>
      <c r="E8487" s="336">
        <v>43801</v>
      </c>
      <c r="F8487" s="336">
        <v>43780</v>
      </c>
      <c r="G8487" s="336">
        <v>43792</v>
      </c>
      <c r="H8487" s="334" t="s">
        <v>18017</v>
      </c>
      <c r="I8487" s="444">
        <v>13482762543</v>
      </c>
      <c r="J8487" s="348" t="s">
        <v>18018</v>
      </c>
      <c r="K8487" s="452">
        <v>3360</v>
      </c>
      <c r="L8487" s="334">
        <v>4909</v>
      </c>
      <c r="M8487" s="338"/>
      <c r="N8487" s="362">
        <f t="shared" si="286"/>
        <v>4909</v>
      </c>
      <c r="R8487" s="330" t="s">
        <v>52</v>
      </c>
      <c r="X8487" s="339"/>
    </row>
    <row r="8488" s="330" customFormat="1" ht="15" customHeight="1" spans="1:24">
      <c r="A8488" s="550" t="s">
        <v>18019</v>
      </c>
      <c r="B8488" s="334" t="s">
        <v>726</v>
      </c>
      <c r="C8488" s="348" t="s">
        <v>727</v>
      </c>
      <c r="D8488" s="334" t="s">
        <v>271</v>
      </c>
      <c r="E8488" s="336">
        <v>43790</v>
      </c>
      <c r="F8488" s="336">
        <v>43785</v>
      </c>
      <c r="G8488" s="336">
        <v>43789</v>
      </c>
      <c r="H8488" s="334" t="s">
        <v>18020</v>
      </c>
      <c r="I8488" s="444">
        <v>13917927022</v>
      </c>
      <c r="J8488" s="348" t="s">
        <v>18021</v>
      </c>
      <c r="K8488" s="452">
        <v>1000</v>
      </c>
      <c r="L8488" s="334">
        <v>8197</v>
      </c>
      <c r="M8488" s="338"/>
      <c r="N8488" s="362">
        <f t="shared" si="286"/>
        <v>8197</v>
      </c>
      <c r="X8488" s="339"/>
    </row>
    <row r="8489" s="330" customFormat="1" ht="15" customHeight="1" spans="1:24">
      <c r="A8489" s="550" t="s">
        <v>18022</v>
      </c>
      <c r="B8489" s="334" t="s">
        <v>42</v>
      </c>
      <c r="C8489" s="348" t="s">
        <v>12765</v>
      </c>
      <c r="D8489" s="335" t="s">
        <v>44</v>
      </c>
      <c r="E8489" s="336">
        <v>43786</v>
      </c>
      <c r="F8489" s="336">
        <v>43785</v>
      </c>
      <c r="G8489" s="399"/>
      <c r="H8489" s="334" t="s">
        <v>17549</v>
      </c>
      <c r="I8489" s="444">
        <v>15121033231</v>
      </c>
      <c r="J8489" s="348" t="s">
        <v>18023</v>
      </c>
      <c r="K8489" s="452">
        <v>2467</v>
      </c>
      <c r="L8489" s="338"/>
      <c r="M8489" s="338"/>
      <c r="N8489" s="362">
        <f t="shared" si="286"/>
        <v>0</v>
      </c>
      <c r="X8489" s="339"/>
    </row>
    <row r="8490" s="330" customFormat="1" ht="15" customHeight="1" spans="1:24">
      <c r="A8490" s="550" t="s">
        <v>9651</v>
      </c>
      <c r="B8490" s="334" t="s">
        <v>137</v>
      </c>
      <c r="C8490" s="348" t="s">
        <v>426</v>
      </c>
      <c r="D8490" s="335" t="s">
        <v>443</v>
      </c>
      <c r="E8490" s="336">
        <v>43786</v>
      </c>
      <c r="F8490" s="336">
        <v>43786</v>
      </c>
      <c r="G8490" s="399"/>
      <c r="H8490" s="334" t="s">
        <v>18024</v>
      </c>
      <c r="I8490" s="444">
        <v>13817914434</v>
      </c>
      <c r="J8490" s="348" t="s">
        <v>18025</v>
      </c>
      <c r="K8490" s="452">
        <v>1000</v>
      </c>
      <c r="L8490" s="338"/>
      <c r="M8490" s="338"/>
      <c r="N8490" s="362">
        <f t="shared" si="286"/>
        <v>0</v>
      </c>
      <c r="S8490" s="330">
        <v>1</v>
      </c>
      <c r="X8490" s="339"/>
    </row>
    <row r="8491" s="330" customFormat="1" ht="15" customHeight="1" spans="1:24">
      <c r="A8491" s="348" t="s">
        <v>18026</v>
      </c>
      <c r="B8491" s="334" t="s">
        <v>236</v>
      </c>
      <c r="C8491" s="334" t="s">
        <v>195</v>
      </c>
      <c r="D8491" s="334" t="s">
        <v>207</v>
      </c>
      <c r="E8491" s="336">
        <v>43786</v>
      </c>
      <c r="F8491" s="336">
        <v>43785</v>
      </c>
      <c r="G8491" s="399">
        <v>43785</v>
      </c>
      <c r="H8491" s="334" t="s">
        <v>18027</v>
      </c>
      <c r="I8491" s="444">
        <v>13901998413</v>
      </c>
      <c r="J8491" s="348" t="s">
        <v>18028</v>
      </c>
      <c r="K8491" s="452">
        <v>14432</v>
      </c>
      <c r="L8491" s="334">
        <v>14432</v>
      </c>
      <c r="M8491" s="338"/>
      <c r="N8491" s="362">
        <f t="shared" si="286"/>
        <v>14432</v>
      </c>
      <c r="X8491" s="339"/>
    </row>
    <row r="8492" s="330" customFormat="1" ht="15" customHeight="1" spans="1:24">
      <c r="A8492" s="348" t="s">
        <v>146</v>
      </c>
      <c r="B8492" s="334" t="s">
        <v>315</v>
      </c>
      <c r="C8492" s="334" t="s">
        <v>161</v>
      </c>
      <c r="D8492" s="334" t="s">
        <v>207</v>
      </c>
      <c r="E8492" s="336">
        <v>43786</v>
      </c>
      <c r="F8492" s="336">
        <v>43785</v>
      </c>
      <c r="G8492" s="399">
        <v>43785</v>
      </c>
      <c r="H8492" s="334" t="s">
        <v>18029</v>
      </c>
      <c r="I8492" s="444">
        <v>13917016979</v>
      </c>
      <c r="J8492" s="348" t="s">
        <v>18030</v>
      </c>
      <c r="K8492" s="452">
        <v>4740</v>
      </c>
      <c r="L8492" s="334">
        <v>6161</v>
      </c>
      <c r="M8492" s="338"/>
      <c r="N8492" s="362">
        <f t="shared" si="286"/>
        <v>6161</v>
      </c>
      <c r="X8492" s="339"/>
    </row>
    <row r="8493" s="330" customFormat="1" ht="15" customHeight="1" spans="1:24">
      <c r="A8493" s="348" t="s">
        <v>6144</v>
      </c>
      <c r="B8493" s="334" t="s">
        <v>147</v>
      </c>
      <c r="C8493" s="348" t="s">
        <v>13719</v>
      </c>
      <c r="D8493" s="335" t="s">
        <v>149</v>
      </c>
      <c r="E8493" s="336">
        <v>43786</v>
      </c>
      <c r="F8493" s="336">
        <v>43785</v>
      </c>
      <c r="G8493" s="399"/>
      <c r="H8493" s="334" t="s">
        <v>18031</v>
      </c>
      <c r="I8493" s="444">
        <v>1815506847</v>
      </c>
      <c r="J8493" s="348" t="s">
        <v>18032</v>
      </c>
      <c r="K8493" s="452">
        <v>1000</v>
      </c>
      <c r="L8493" s="338"/>
      <c r="M8493" s="338"/>
      <c r="N8493" s="362">
        <f t="shared" si="286"/>
        <v>0</v>
      </c>
      <c r="X8493" s="339"/>
    </row>
    <row r="8494" s="330" customFormat="1" ht="15" customHeight="1" spans="1:24">
      <c r="A8494" s="348"/>
      <c r="B8494" s="334" t="s">
        <v>35</v>
      </c>
      <c r="C8494" s="348" t="s">
        <v>392</v>
      </c>
      <c r="D8494" s="335" t="s">
        <v>37</v>
      </c>
      <c r="E8494" s="336">
        <v>43792</v>
      </c>
      <c r="F8494" s="336">
        <v>43785</v>
      </c>
      <c r="G8494" s="336">
        <v>43791</v>
      </c>
      <c r="H8494" s="334" t="s">
        <v>18033</v>
      </c>
      <c r="I8494" s="444">
        <v>15802179211</v>
      </c>
      <c r="J8494" s="348" t="s">
        <v>18034</v>
      </c>
      <c r="K8494" s="452">
        <v>1000</v>
      </c>
      <c r="L8494" s="334">
        <v>17000</v>
      </c>
      <c r="M8494" s="338"/>
      <c r="N8494" s="362">
        <f t="shared" si="286"/>
        <v>17000</v>
      </c>
      <c r="S8494" s="356" t="s">
        <v>52</v>
      </c>
      <c r="X8494" s="339"/>
    </row>
    <row r="8495" s="330" customFormat="1" ht="15" customHeight="1" spans="1:24">
      <c r="A8495" s="348" t="s">
        <v>9102</v>
      </c>
      <c r="B8495" s="334" t="s">
        <v>315</v>
      </c>
      <c r="C8495" s="348" t="s">
        <v>161</v>
      </c>
      <c r="D8495" s="335" t="s">
        <v>162</v>
      </c>
      <c r="E8495" s="336">
        <v>43786</v>
      </c>
      <c r="F8495" s="336">
        <v>43784</v>
      </c>
      <c r="G8495" s="399"/>
      <c r="H8495" s="334" t="s">
        <v>18035</v>
      </c>
      <c r="I8495" s="444">
        <v>13601909904</v>
      </c>
      <c r="J8495" s="348" t="s">
        <v>18036</v>
      </c>
      <c r="K8495" s="452">
        <v>500</v>
      </c>
      <c r="L8495" s="338"/>
      <c r="M8495" s="338"/>
      <c r="N8495" s="362">
        <f t="shared" si="286"/>
        <v>0</v>
      </c>
      <c r="P8495" s="330">
        <v>1</v>
      </c>
      <c r="X8495" s="339"/>
    </row>
    <row r="8496" s="330" customFormat="1" ht="15" customHeight="1" spans="1:24">
      <c r="A8496" s="348" t="s">
        <v>18037</v>
      </c>
      <c r="B8496" s="334" t="s">
        <v>66</v>
      </c>
      <c r="C8496" s="348" t="s">
        <v>1728</v>
      </c>
      <c r="D8496" s="335" t="s">
        <v>68</v>
      </c>
      <c r="E8496" s="336">
        <v>43786</v>
      </c>
      <c r="F8496" s="336">
        <v>43785</v>
      </c>
      <c r="G8496" s="399"/>
      <c r="H8496" s="334" t="s">
        <v>18038</v>
      </c>
      <c r="I8496" s="444">
        <v>13817825379</v>
      </c>
      <c r="J8496" s="348" t="s">
        <v>18039</v>
      </c>
      <c r="K8496" s="452">
        <v>2000</v>
      </c>
      <c r="L8496" s="338"/>
      <c r="M8496" s="338"/>
      <c r="N8496" s="362">
        <f t="shared" ref="N8496:N8512" si="287">L8496+M8496</f>
        <v>0</v>
      </c>
      <c r="X8496" s="339"/>
    </row>
    <row r="8497" s="330" customFormat="1" ht="15" customHeight="1" spans="1:24">
      <c r="A8497" s="348" t="s">
        <v>4681</v>
      </c>
      <c r="B8497" s="334" t="s">
        <v>5435</v>
      </c>
      <c r="C8497" s="348" t="s">
        <v>1728</v>
      </c>
      <c r="D8497" s="334" t="s">
        <v>237</v>
      </c>
      <c r="E8497" s="336">
        <v>43805</v>
      </c>
      <c r="F8497" s="336">
        <v>43785</v>
      </c>
      <c r="G8497" s="336">
        <v>43804</v>
      </c>
      <c r="H8497" s="334" t="s">
        <v>18040</v>
      </c>
      <c r="I8497" s="444">
        <v>13002155109</v>
      </c>
      <c r="J8497" s="348" t="s">
        <v>18041</v>
      </c>
      <c r="K8497" s="452">
        <v>3689</v>
      </c>
      <c r="L8497" s="334">
        <v>4205</v>
      </c>
      <c r="M8497" s="338"/>
      <c r="N8497" s="362">
        <f t="shared" si="287"/>
        <v>4205</v>
      </c>
      <c r="X8497" s="339"/>
    </row>
    <row r="8498" s="330" customFormat="1" ht="15" customHeight="1" spans="1:24">
      <c r="A8498" s="348" t="s">
        <v>1419</v>
      </c>
      <c r="B8498" s="334" t="s">
        <v>315</v>
      </c>
      <c r="C8498" s="348" t="s">
        <v>181</v>
      </c>
      <c r="D8498" s="334" t="s">
        <v>1431</v>
      </c>
      <c r="E8498" s="336">
        <v>43791</v>
      </c>
      <c r="F8498" s="336">
        <v>43784</v>
      </c>
      <c r="G8498" s="336">
        <v>43790</v>
      </c>
      <c r="H8498" s="334" t="s">
        <v>18042</v>
      </c>
      <c r="I8498" s="444">
        <v>15618239826</v>
      </c>
      <c r="J8498" s="348" t="s">
        <v>18043</v>
      </c>
      <c r="K8498" s="452">
        <v>1000</v>
      </c>
      <c r="L8498" s="334">
        <v>11616</v>
      </c>
      <c r="M8498" s="338"/>
      <c r="N8498" s="362">
        <f t="shared" si="287"/>
        <v>11616</v>
      </c>
      <c r="X8498" s="339"/>
    </row>
    <row r="8499" s="330" customFormat="1" ht="15" customHeight="1" spans="1:24">
      <c r="A8499" s="348">
        <v>2024282</v>
      </c>
      <c r="B8499" s="334" t="s">
        <v>335</v>
      </c>
      <c r="C8499" s="348" t="s">
        <v>615</v>
      </c>
      <c r="D8499" s="334" t="s">
        <v>187</v>
      </c>
      <c r="E8499" s="336">
        <v>43798</v>
      </c>
      <c r="F8499" s="336">
        <v>43785</v>
      </c>
      <c r="G8499" s="336">
        <v>43798</v>
      </c>
      <c r="H8499" s="334" t="s">
        <v>18044</v>
      </c>
      <c r="I8499" s="444">
        <v>18701937223</v>
      </c>
      <c r="J8499" s="348" t="s">
        <v>18045</v>
      </c>
      <c r="K8499" s="452">
        <v>3000</v>
      </c>
      <c r="L8499" s="334">
        <v>16487</v>
      </c>
      <c r="M8499" s="338"/>
      <c r="N8499" s="362">
        <f t="shared" si="287"/>
        <v>16487</v>
      </c>
      <c r="X8499" s="339"/>
    </row>
    <row r="8500" s="330" customFormat="1" ht="15" customHeight="1" spans="1:24">
      <c r="A8500" s="348" t="s">
        <v>10339</v>
      </c>
      <c r="B8500" s="334" t="s">
        <v>185</v>
      </c>
      <c r="C8500" s="348" t="s">
        <v>1620</v>
      </c>
      <c r="D8500" s="335" t="s">
        <v>44</v>
      </c>
      <c r="E8500" s="336">
        <v>43799</v>
      </c>
      <c r="F8500" s="336">
        <v>43785</v>
      </c>
      <c r="G8500" s="336">
        <v>43799</v>
      </c>
      <c r="H8500" s="334" t="s">
        <v>18046</v>
      </c>
      <c r="I8500" s="444">
        <v>15121029626</v>
      </c>
      <c r="J8500" s="348" t="s">
        <v>18047</v>
      </c>
      <c r="K8500" s="452">
        <v>1000</v>
      </c>
      <c r="L8500" s="334">
        <v>13036</v>
      </c>
      <c r="M8500" s="338"/>
      <c r="N8500" s="362">
        <f t="shared" si="287"/>
        <v>13036</v>
      </c>
      <c r="X8500" s="339"/>
    </row>
    <row r="8501" s="330" customFormat="1" ht="15" customHeight="1" spans="1:24">
      <c r="A8501" s="348" t="s">
        <v>18048</v>
      </c>
      <c r="B8501" s="334" t="s">
        <v>66</v>
      </c>
      <c r="C8501" s="348" t="s">
        <v>7029</v>
      </c>
      <c r="D8501" s="335" t="s">
        <v>68</v>
      </c>
      <c r="E8501" s="336">
        <v>43786</v>
      </c>
      <c r="F8501" s="336">
        <v>43785</v>
      </c>
      <c r="G8501" s="399"/>
      <c r="H8501" s="334" t="s">
        <v>18049</v>
      </c>
      <c r="I8501" s="444">
        <v>13917984302</v>
      </c>
      <c r="J8501" s="334" t="s">
        <v>18050</v>
      </c>
      <c r="K8501" s="452">
        <v>1000</v>
      </c>
      <c r="L8501" s="338"/>
      <c r="M8501" s="338"/>
      <c r="N8501" s="362">
        <f t="shared" si="287"/>
        <v>0</v>
      </c>
      <c r="Q8501" s="467" t="s">
        <v>52</v>
      </c>
      <c r="X8501" s="339"/>
    </row>
    <row r="8502" s="330" customFormat="1" ht="15" customHeight="1" spans="1:24">
      <c r="A8502" s="550" t="s">
        <v>18051</v>
      </c>
      <c r="B8502" s="334" t="s">
        <v>31</v>
      </c>
      <c r="C8502" s="348" t="s">
        <v>2716</v>
      </c>
      <c r="D8502" s="334" t="s">
        <v>33</v>
      </c>
      <c r="E8502" s="336">
        <v>43786</v>
      </c>
      <c r="F8502" s="336">
        <v>43681</v>
      </c>
      <c r="G8502" s="399">
        <v>43785</v>
      </c>
      <c r="H8502" s="334" t="s">
        <v>18052</v>
      </c>
      <c r="I8502" s="444">
        <v>15202143492</v>
      </c>
      <c r="J8502" s="348" t="s">
        <v>18053</v>
      </c>
      <c r="K8502" s="452">
        <v>1000</v>
      </c>
      <c r="L8502" s="334">
        <v>10624</v>
      </c>
      <c r="M8502" s="338"/>
      <c r="N8502" s="362">
        <f t="shared" si="287"/>
        <v>10624</v>
      </c>
      <c r="X8502" s="339"/>
    </row>
    <row r="8503" s="330" customFormat="1" ht="15" customHeight="1" spans="1:24">
      <c r="A8503" s="550" t="s">
        <v>3707</v>
      </c>
      <c r="B8503" s="334" t="s">
        <v>315</v>
      </c>
      <c r="C8503" s="348" t="s">
        <v>366</v>
      </c>
      <c r="D8503" s="334" t="s">
        <v>132</v>
      </c>
      <c r="E8503" s="336">
        <v>43786</v>
      </c>
      <c r="F8503" s="336">
        <v>43786</v>
      </c>
      <c r="G8503" s="399">
        <v>43785</v>
      </c>
      <c r="H8503" s="334" t="s">
        <v>18054</v>
      </c>
      <c r="I8503" s="444">
        <v>13916261860</v>
      </c>
      <c r="J8503" s="348" t="s">
        <v>18055</v>
      </c>
      <c r="K8503" s="452">
        <v>1000</v>
      </c>
      <c r="L8503" s="334">
        <f>-999-45+18860</f>
        <v>17816</v>
      </c>
      <c r="M8503" s="334">
        <f>999+45</f>
        <v>1044</v>
      </c>
      <c r="N8503" s="362">
        <f t="shared" si="287"/>
        <v>18860</v>
      </c>
      <c r="X8503" s="339"/>
    </row>
    <row r="8504" s="330" customFormat="1" ht="15" customHeight="1" spans="1:24">
      <c r="A8504" s="550" t="s">
        <v>8246</v>
      </c>
      <c r="B8504" s="334" t="s">
        <v>66</v>
      </c>
      <c r="C8504" s="348" t="s">
        <v>1749</v>
      </c>
      <c r="D8504" s="334" t="s">
        <v>2302</v>
      </c>
      <c r="E8504" s="336">
        <v>43787</v>
      </c>
      <c r="F8504" s="336">
        <v>43780</v>
      </c>
      <c r="G8504" s="336">
        <v>43786</v>
      </c>
      <c r="H8504" s="334" t="s">
        <v>18056</v>
      </c>
      <c r="I8504" s="444">
        <v>18516177770</v>
      </c>
      <c r="J8504" s="348" t="s">
        <v>18057</v>
      </c>
      <c r="K8504" s="452">
        <v>5613</v>
      </c>
      <c r="L8504" s="334">
        <v>5613</v>
      </c>
      <c r="M8504" s="334">
        <v>1291</v>
      </c>
      <c r="N8504" s="362">
        <f t="shared" si="287"/>
        <v>6904</v>
      </c>
      <c r="X8504" s="339"/>
    </row>
    <row r="8505" s="330" customFormat="1" ht="15" customHeight="1" spans="1:24">
      <c r="A8505" s="550" t="s">
        <v>15393</v>
      </c>
      <c r="B8505" s="334" t="s">
        <v>137</v>
      </c>
      <c r="C8505" s="348" t="s">
        <v>406</v>
      </c>
      <c r="D8505" s="335" t="s">
        <v>443</v>
      </c>
      <c r="E8505" s="336">
        <v>43786</v>
      </c>
      <c r="F8505" s="336">
        <v>43786</v>
      </c>
      <c r="G8505" s="399"/>
      <c r="H8505" s="334" t="s">
        <v>18058</v>
      </c>
      <c r="I8505" s="444">
        <v>18915019661</v>
      </c>
      <c r="J8505" s="348" t="s">
        <v>18059</v>
      </c>
      <c r="K8505" s="452">
        <v>1000</v>
      </c>
      <c r="L8505" s="338"/>
      <c r="M8505" s="338"/>
      <c r="N8505" s="362">
        <f t="shared" si="287"/>
        <v>0</v>
      </c>
      <c r="S8505" s="330">
        <v>1</v>
      </c>
      <c r="U8505" s="385" t="s">
        <v>52</v>
      </c>
      <c r="X8505" s="339"/>
    </row>
    <row r="8506" s="330" customFormat="1" ht="15" customHeight="1" spans="1:24">
      <c r="A8506" s="550" t="s">
        <v>18060</v>
      </c>
      <c r="B8506" s="334" t="s">
        <v>169</v>
      </c>
      <c r="C8506" s="348" t="s">
        <v>542</v>
      </c>
      <c r="D8506" s="335" t="s">
        <v>171</v>
      </c>
      <c r="E8506" s="336">
        <v>43793</v>
      </c>
      <c r="F8506" s="336">
        <v>43786</v>
      </c>
      <c r="G8506" s="336">
        <v>43792</v>
      </c>
      <c r="H8506" s="334" t="s">
        <v>18061</v>
      </c>
      <c r="I8506" s="444">
        <v>13671566625</v>
      </c>
      <c r="J8506" s="348" t="s">
        <v>18062</v>
      </c>
      <c r="K8506" s="452">
        <v>1000</v>
      </c>
      <c r="L8506" s="334">
        <v>8942</v>
      </c>
      <c r="M8506" s="338"/>
      <c r="N8506" s="362">
        <f t="shared" si="287"/>
        <v>8942</v>
      </c>
      <c r="V8506" s="372" t="s">
        <v>765</v>
      </c>
      <c r="X8506" s="339"/>
    </row>
    <row r="8507" s="330" customFormat="1" ht="15" customHeight="1" spans="1:24">
      <c r="A8507" s="550" t="s">
        <v>16159</v>
      </c>
      <c r="B8507" s="334" t="s">
        <v>315</v>
      </c>
      <c r="C8507" s="348" t="s">
        <v>366</v>
      </c>
      <c r="D8507" s="334" t="s">
        <v>132</v>
      </c>
      <c r="E8507" s="336">
        <v>43786</v>
      </c>
      <c r="F8507" s="336">
        <v>43786</v>
      </c>
      <c r="G8507" s="399">
        <v>43785</v>
      </c>
      <c r="H8507" s="334" t="s">
        <v>18063</v>
      </c>
      <c r="I8507" s="444">
        <v>13311885017</v>
      </c>
      <c r="J8507" s="348" t="s">
        <v>18064</v>
      </c>
      <c r="K8507" s="452">
        <v>30000</v>
      </c>
      <c r="L8507" s="334">
        <v>30000</v>
      </c>
      <c r="M8507" s="338"/>
      <c r="N8507" s="362">
        <f t="shared" si="287"/>
        <v>30000</v>
      </c>
      <c r="X8507" s="339"/>
    </row>
    <row r="8508" s="330" customFormat="1" ht="15" customHeight="1" spans="1:24">
      <c r="A8508" s="550" t="s">
        <v>10093</v>
      </c>
      <c r="B8508" s="334" t="s">
        <v>205</v>
      </c>
      <c r="C8508" s="348" t="s">
        <v>1467</v>
      </c>
      <c r="D8508" s="349" t="s">
        <v>207</v>
      </c>
      <c r="E8508" s="336">
        <v>43830</v>
      </c>
      <c r="F8508" s="336">
        <v>43786</v>
      </c>
      <c r="G8508" s="336">
        <v>43830</v>
      </c>
      <c r="H8508" s="334" t="s">
        <v>18065</v>
      </c>
      <c r="I8508" s="444">
        <v>18964711128</v>
      </c>
      <c r="J8508" s="348" t="s">
        <v>18066</v>
      </c>
      <c r="K8508" s="452">
        <v>7878</v>
      </c>
      <c r="L8508" s="334">
        <v>7878</v>
      </c>
      <c r="M8508" s="338"/>
      <c r="N8508" s="362">
        <f t="shared" si="287"/>
        <v>7878</v>
      </c>
      <c r="P8508" s="467" t="s">
        <v>52</v>
      </c>
      <c r="X8508" s="339"/>
    </row>
    <row r="8509" s="330" customFormat="1" ht="15" customHeight="1" spans="1:24">
      <c r="A8509" s="348"/>
      <c r="B8509" s="334" t="s">
        <v>47</v>
      </c>
      <c r="C8509" s="348" t="s">
        <v>53</v>
      </c>
      <c r="D8509" s="335" t="s">
        <v>49</v>
      </c>
      <c r="E8509" s="336">
        <v>43786</v>
      </c>
      <c r="F8509" s="336">
        <v>43785</v>
      </c>
      <c r="G8509" s="399">
        <v>43786</v>
      </c>
      <c r="H8509" s="334" t="s">
        <v>18067</v>
      </c>
      <c r="I8509" s="444">
        <v>17702130516</v>
      </c>
      <c r="J8509" s="348" t="s">
        <v>18068</v>
      </c>
      <c r="K8509" s="452">
        <v>4000</v>
      </c>
      <c r="L8509" s="334">
        <v>4000</v>
      </c>
      <c r="M8509" s="338"/>
      <c r="N8509" s="362">
        <f t="shared" si="287"/>
        <v>4000</v>
      </c>
      <c r="X8509" s="339"/>
    </row>
    <row r="8510" s="330" customFormat="1" ht="15" customHeight="1" spans="1:24">
      <c r="A8510" s="550" t="s">
        <v>17148</v>
      </c>
      <c r="B8510" s="334" t="s">
        <v>405</v>
      </c>
      <c r="C8510" s="348" t="s">
        <v>823</v>
      </c>
      <c r="D8510" s="334" t="s">
        <v>407</v>
      </c>
      <c r="E8510" s="336">
        <v>43786</v>
      </c>
      <c r="F8510" s="336">
        <v>43778</v>
      </c>
      <c r="G8510" s="399">
        <v>43780</v>
      </c>
      <c r="H8510" s="334" t="s">
        <v>18069</v>
      </c>
      <c r="I8510" s="444">
        <v>18021626918</v>
      </c>
      <c r="J8510" s="348" t="s">
        <v>18070</v>
      </c>
      <c r="K8510" s="452">
        <v>1000</v>
      </c>
      <c r="L8510" s="334">
        <v>9500</v>
      </c>
      <c r="M8510" s="338"/>
      <c r="N8510" s="362">
        <f t="shared" si="287"/>
        <v>9500</v>
      </c>
      <c r="X8510" s="339"/>
    </row>
    <row r="8511" s="330" customFormat="1" ht="15" customHeight="1" spans="1:24">
      <c r="A8511" s="550" t="s">
        <v>4255</v>
      </c>
      <c r="B8511" s="334" t="s">
        <v>35</v>
      </c>
      <c r="C8511" s="348" t="s">
        <v>36</v>
      </c>
      <c r="D8511" s="335" t="s">
        <v>37</v>
      </c>
      <c r="E8511" s="336">
        <v>43799</v>
      </c>
      <c r="F8511" s="336">
        <v>43786</v>
      </c>
      <c r="G8511" s="336">
        <v>43799</v>
      </c>
      <c r="H8511" s="334" t="s">
        <v>1265</v>
      </c>
      <c r="I8511" s="444">
        <v>13816700045</v>
      </c>
      <c r="J8511" s="348" t="s">
        <v>18071</v>
      </c>
      <c r="K8511" s="452">
        <v>20000</v>
      </c>
      <c r="L8511" s="334">
        <v>20000</v>
      </c>
      <c r="M8511" s="338"/>
      <c r="N8511" s="362">
        <f t="shared" si="287"/>
        <v>20000</v>
      </c>
      <c r="Q8511" s="356" t="s">
        <v>52</v>
      </c>
      <c r="X8511" s="339"/>
    </row>
    <row r="8512" s="330" customFormat="1" ht="15" customHeight="1" spans="1:24">
      <c r="A8512" s="550" t="s">
        <v>13336</v>
      </c>
      <c r="B8512" s="334" t="s">
        <v>137</v>
      </c>
      <c r="C8512" s="348" t="s">
        <v>861</v>
      </c>
      <c r="D8512" s="335" t="s">
        <v>427</v>
      </c>
      <c r="E8512" s="336">
        <v>43786</v>
      </c>
      <c r="F8512" s="336">
        <v>43786</v>
      </c>
      <c r="G8512" s="399"/>
      <c r="H8512" s="334" t="s">
        <v>2840</v>
      </c>
      <c r="I8512" s="444">
        <v>13701756609</v>
      </c>
      <c r="J8512" s="348" t="s">
        <v>18072</v>
      </c>
      <c r="K8512" s="452">
        <v>1000</v>
      </c>
      <c r="L8512" s="338"/>
      <c r="M8512" s="338"/>
      <c r="N8512" s="362">
        <f t="shared" si="287"/>
        <v>0</v>
      </c>
      <c r="O8512" s="330" t="s">
        <v>19</v>
      </c>
      <c r="X8512" s="339"/>
    </row>
    <row r="8513" s="330" customFormat="1" ht="15" customHeight="1" spans="1:24">
      <c r="A8513" s="334"/>
      <c r="B8513" s="334" t="s">
        <v>58</v>
      </c>
      <c r="C8513" s="334" t="s">
        <v>109</v>
      </c>
      <c r="D8513" s="334" t="s">
        <v>110</v>
      </c>
      <c r="E8513" s="336">
        <v>43785</v>
      </c>
      <c r="F8513" s="336"/>
      <c r="G8513" s="336">
        <v>43785</v>
      </c>
      <c r="H8513" s="334" t="s">
        <v>18073</v>
      </c>
      <c r="I8513" s="444">
        <v>15021091608</v>
      </c>
      <c r="J8513" s="348" t="s">
        <v>18074</v>
      </c>
      <c r="K8513" s="337"/>
      <c r="L8513" s="334">
        <v>4500</v>
      </c>
      <c r="M8513" s="338"/>
      <c r="N8513" s="362">
        <f t="shared" ref="N8513:N8556" si="288">L8513+M8513</f>
        <v>4500</v>
      </c>
      <c r="X8513" s="339"/>
    </row>
    <row r="8514" s="330" customFormat="1" ht="15" customHeight="1" spans="1:24">
      <c r="A8514" s="334"/>
      <c r="B8514" s="334" t="s">
        <v>4009</v>
      </c>
      <c r="C8514" s="334" t="s">
        <v>6401</v>
      </c>
      <c r="D8514" s="334" t="s">
        <v>207</v>
      </c>
      <c r="E8514" s="336">
        <v>43785</v>
      </c>
      <c r="F8514" s="336"/>
      <c r="G8514" s="336">
        <v>43776</v>
      </c>
      <c r="H8514" s="334" t="s">
        <v>18075</v>
      </c>
      <c r="I8514" s="444">
        <v>18721730518</v>
      </c>
      <c r="J8514" s="348" t="s">
        <v>18076</v>
      </c>
      <c r="K8514" s="337"/>
      <c r="L8514" s="334">
        <v>6845</v>
      </c>
      <c r="M8514" s="338"/>
      <c r="N8514" s="362">
        <f t="shared" si="288"/>
        <v>6845</v>
      </c>
      <c r="X8514" s="339"/>
    </row>
    <row r="8515" s="330" customFormat="1" ht="15" customHeight="1" spans="1:24">
      <c r="A8515" s="334"/>
      <c r="B8515" s="334" t="s">
        <v>42</v>
      </c>
      <c r="C8515" s="334" t="s">
        <v>43</v>
      </c>
      <c r="D8515" s="334" t="s">
        <v>44</v>
      </c>
      <c r="E8515" s="336">
        <v>43785</v>
      </c>
      <c r="F8515" s="336"/>
      <c r="G8515" s="336">
        <v>43785</v>
      </c>
      <c r="H8515" s="334" t="s">
        <v>18077</v>
      </c>
      <c r="I8515" s="444">
        <v>13861796788</v>
      </c>
      <c r="J8515" s="348" t="s">
        <v>18078</v>
      </c>
      <c r="K8515" s="337"/>
      <c r="L8515" s="334">
        <v>7865</v>
      </c>
      <c r="M8515" s="338"/>
      <c r="N8515" s="362">
        <f t="shared" si="288"/>
        <v>7865</v>
      </c>
      <c r="X8515" s="339"/>
    </row>
    <row r="8516" s="330" customFormat="1" ht="15" customHeight="1" spans="1:24">
      <c r="A8516" s="334"/>
      <c r="B8516" s="334" t="s">
        <v>31</v>
      </c>
      <c r="C8516" s="334" t="s">
        <v>220</v>
      </c>
      <c r="D8516" s="334" t="s">
        <v>954</v>
      </c>
      <c r="E8516" s="336">
        <v>43785</v>
      </c>
      <c r="F8516" s="336"/>
      <c r="G8516" s="336">
        <v>43785</v>
      </c>
      <c r="H8516" s="334" t="s">
        <v>18079</v>
      </c>
      <c r="I8516" s="426">
        <v>15221663938</v>
      </c>
      <c r="J8516" s="334" t="s">
        <v>13209</v>
      </c>
      <c r="K8516" s="337"/>
      <c r="L8516" s="334">
        <v>15665</v>
      </c>
      <c r="M8516" s="338"/>
      <c r="N8516" s="362">
        <f t="shared" si="288"/>
        <v>15665</v>
      </c>
      <c r="X8516" s="339"/>
    </row>
    <row r="8517" s="330" customFormat="1" ht="15" customHeight="1" spans="1:24">
      <c r="A8517" s="334"/>
      <c r="B8517" s="334" t="s">
        <v>243</v>
      </c>
      <c r="C8517" s="348" t="s">
        <v>304</v>
      </c>
      <c r="D8517" s="335" t="s">
        <v>49</v>
      </c>
      <c r="E8517" s="336">
        <v>43786</v>
      </c>
      <c r="F8517" s="336"/>
      <c r="G8517" s="336">
        <v>43785</v>
      </c>
      <c r="H8517" s="334" t="s">
        <v>18080</v>
      </c>
      <c r="I8517" s="444">
        <v>13311772626</v>
      </c>
      <c r="J8517" s="348" t="s">
        <v>18081</v>
      </c>
      <c r="K8517" s="337"/>
      <c r="L8517" s="334">
        <v>21645</v>
      </c>
      <c r="M8517" s="338"/>
      <c r="N8517" s="362">
        <f t="shared" si="288"/>
        <v>21645</v>
      </c>
      <c r="X8517" s="339"/>
    </row>
    <row r="8518" s="330" customFormat="1" ht="15" customHeight="1" spans="1:24">
      <c r="A8518" s="334"/>
      <c r="B8518" s="334" t="s">
        <v>335</v>
      </c>
      <c r="C8518" s="348" t="s">
        <v>399</v>
      </c>
      <c r="D8518" s="335" t="s">
        <v>337</v>
      </c>
      <c r="E8518" s="336">
        <v>43786</v>
      </c>
      <c r="F8518" s="336"/>
      <c r="G8518" s="336">
        <v>43777</v>
      </c>
      <c r="H8518" s="334" t="s">
        <v>17985</v>
      </c>
      <c r="I8518" s="426">
        <v>13311771678</v>
      </c>
      <c r="J8518" s="348" t="s">
        <v>18082</v>
      </c>
      <c r="K8518" s="337"/>
      <c r="L8518" s="334">
        <v>18550</v>
      </c>
      <c r="M8518" s="338"/>
      <c r="N8518" s="362">
        <f t="shared" si="288"/>
        <v>18550</v>
      </c>
      <c r="X8518" s="339"/>
    </row>
    <row r="8519" s="330" customFormat="1" ht="15" customHeight="1" spans="1:24">
      <c r="A8519" s="334"/>
      <c r="B8519" s="334" t="s">
        <v>73</v>
      </c>
      <c r="C8519" s="334" t="s">
        <v>74</v>
      </c>
      <c r="D8519" s="334" t="s">
        <v>132</v>
      </c>
      <c r="E8519" s="336">
        <v>43786</v>
      </c>
      <c r="F8519" s="336"/>
      <c r="G8519" s="336">
        <v>43785</v>
      </c>
      <c r="H8519" s="334" t="s">
        <v>14665</v>
      </c>
      <c r="I8519" s="444">
        <v>13916400699</v>
      </c>
      <c r="J8519" s="348" t="s">
        <v>18083</v>
      </c>
      <c r="K8519" s="337"/>
      <c r="L8519" s="334">
        <v>23170</v>
      </c>
      <c r="M8519" s="338"/>
      <c r="N8519" s="362">
        <f t="shared" si="288"/>
        <v>23170</v>
      </c>
      <c r="X8519" s="339"/>
    </row>
    <row r="8520" s="330" customFormat="1" ht="15" customHeight="1" spans="1:24">
      <c r="A8520" s="334"/>
      <c r="B8520" s="334" t="s">
        <v>73</v>
      </c>
      <c r="C8520" s="334" t="s">
        <v>74</v>
      </c>
      <c r="D8520" s="334" t="s">
        <v>139</v>
      </c>
      <c r="E8520" s="336">
        <v>43786</v>
      </c>
      <c r="F8520" s="336"/>
      <c r="G8520" s="336">
        <v>43785</v>
      </c>
      <c r="H8520" s="334" t="s">
        <v>18084</v>
      </c>
      <c r="I8520" s="444">
        <v>17702142323</v>
      </c>
      <c r="J8520" s="348" t="s">
        <v>16819</v>
      </c>
      <c r="K8520" s="337"/>
      <c r="L8520" s="334">
        <v>24231</v>
      </c>
      <c r="M8520" s="338"/>
      <c r="N8520" s="362">
        <f t="shared" si="288"/>
        <v>24231</v>
      </c>
      <c r="X8520" s="339"/>
    </row>
    <row r="8521" s="330" customFormat="1" ht="15" customHeight="1" spans="1:24">
      <c r="A8521" s="334"/>
      <c r="B8521" s="334" t="s">
        <v>4009</v>
      </c>
      <c r="C8521" s="334" t="s">
        <v>6401</v>
      </c>
      <c r="D8521" s="334" t="s">
        <v>8334</v>
      </c>
      <c r="E8521" s="336">
        <v>43785</v>
      </c>
      <c r="F8521" s="336"/>
      <c r="G8521" s="336">
        <v>43783</v>
      </c>
      <c r="H8521" s="334" t="s">
        <v>14355</v>
      </c>
      <c r="I8521" s="334">
        <v>15921211150</v>
      </c>
      <c r="J8521" s="334" t="s">
        <v>14356</v>
      </c>
      <c r="K8521" s="337"/>
      <c r="L8521" s="338"/>
      <c r="M8521" s="334">
        <v>3479</v>
      </c>
      <c r="N8521" s="362">
        <f t="shared" si="288"/>
        <v>3479</v>
      </c>
      <c r="X8521" s="339"/>
    </row>
    <row r="8522" s="330" customFormat="1" ht="15" customHeight="1" spans="1:24">
      <c r="A8522" s="334"/>
      <c r="B8522" s="334" t="s">
        <v>58</v>
      </c>
      <c r="C8522" s="334" t="s">
        <v>59</v>
      </c>
      <c r="D8522" s="334" t="s">
        <v>271</v>
      </c>
      <c r="E8522" s="336">
        <v>43785</v>
      </c>
      <c r="F8522" s="336"/>
      <c r="G8522" s="336">
        <v>43785</v>
      </c>
      <c r="H8522" s="334" t="s">
        <v>13346</v>
      </c>
      <c r="I8522" s="334">
        <v>13901941662</v>
      </c>
      <c r="J8522" s="334" t="s">
        <v>18085</v>
      </c>
      <c r="K8522" s="337"/>
      <c r="L8522" s="338"/>
      <c r="M8522" s="334">
        <v>3532</v>
      </c>
      <c r="N8522" s="362">
        <f t="shared" si="288"/>
        <v>3532</v>
      </c>
      <c r="X8522" s="339"/>
    </row>
    <row r="8523" s="330" customFormat="1" ht="15" customHeight="1" spans="1:24">
      <c r="A8523" s="334"/>
      <c r="B8523" s="334" t="s">
        <v>137</v>
      </c>
      <c r="C8523" s="334" t="s">
        <v>406</v>
      </c>
      <c r="D8523" s="334" t="s">
        <v>443</v>
      </c>
      <c r="E8523" s="336">
        <v>43785</v>
      </c>
      <c r="F8523" s="336"/>
      <c r="G8523" s="336">
        <v>43785</v>
      </c>
      <c r="H8523" s="334" t="s">
        <v>10056</v>
      </c>
      <c r="I8523" s="334">
        <v>18616575778</v>
      </c>
      <c r="J8523" s="334" t="s">
        <v>18086</v>
      </c>
      <c r="K8523" s="337"/>
      <c r="L8523" s="338"/>
      <c r="M8523" s="334">
        <v>2799</v>
      </c>
      <c r="N8523" s="362">
        <f t="shared" si="288"/>
        <v>2799</v>
      </c>
      <c r="X8523" s="339"/>
    </row>
    <row r="8524" s="330" customFormat="1" ht="15" customHeight="1" spans="1:24">
      <c r="A8524" s="334"/>
      <c r="B8524" s="334" t="s">
        <v>169</v>
      </c>
      <c r="C8524" s="334" t="s">
        <v>542</v>
      </c>
      <c r="D8524" s="334" t="s">
        <v>171</v>
      </c>
      <c r="E8524" s="336">
        <v>43785</v>
      </c>
      <c r="F8524" s="336"/>
      <c r="G8524" s="336">
        <v>43785</v>
      </c>
      <c r="H8524" s="334" t="s">
        <v>7741</v>
      </c>
      <c r="I8524" s="334">
        <v>18721958903</v>
      </c>
      <c r="J8524" s="334" t="s">
        <v>18087</v>
      </c>
      <c r="K8524" s="337"/>
      <c r="L8524" s="338"/>
      <c r="M8524" s="334">
        <v>1052</v>
      </c>
      <c r="N8524" s="362">
        <f t="shared" si="288"/>
        <v>1052</v>
      </c>
      <c r="X8524" s="339"/>
    </row>
    <row r="8525" s="330" customFormat="1" ht="15" customHeight="1" spans="1:24">
      <c r="A8525" s="334"/>
      <c r="B8525" s="334" t="s">
        <v>169</v>
      </c>
      <c r="C8525" s="334" t="s">
        <v>542</v>
      </c>
      <c r="D8525" s="334" t="s">
        <v>171</v>
      </c>
      <c r="E8525" s="336">
        <v>43785</v>
      </c>
      <c r="F8525" s="336"/>
      <c r="G8525" s="336">
        <v>43785</v>
      </c>
      <c r="H8525" s="334" t="s">
        <v>10039</v>
      </c>
      <c r="I8525" s="334">
        <v>18013560268</v>
      </c>
      <c r="J8525" s="334" t="s">
        <v>18088</v>
      </c>
      <c r="K8525" s="337"/>
      <c r="L8525" s="338"/>
      <c r="M8525" s="334">
        <v>2083</v>
      </c>
      <c r="N8525" s="362">
        <f t="shared" si="288"/>
        <v>2083</v>
      </c>
      <c r="X8525" s="339"/>
    </row>
    <row r="8526" s="330" customFormat="1" ht="15" customHeight="1" spans="1:24">
      <c r="A8526" s="334"/>
      <c r="B8526" s="334" t="s">
        <v>73</v>
      </c>
      <c r="C8526" s="334" t="s">
        <v>74</v>
      </c>
      <c r="D8526" s="334" t="s">
        <v>427</v>
      </c>
      <c r="E8526" s="336">
        <v>43785</v>
      </c>
      <c r="F8526" s="336"/>
      <c r="G8526" s="336">
        <v>43785</v>
      </c>
      <c r="H8526" s="334" t="s">
        <v>13571</v>
      </c>
      <c r="I8526" s="334">
        <v>13816138033</v>
      </c>
      <c r="J8526" s="348" t="s">
        <v>18089</v>
      </c>
      <c r="K8526" s="337"/>
      <c r="L8526" s="338"/>
      <c r="M8526" s="334">
        <v>2557</v>
      </c>
      <c r="N8526" s="362">
        <f t="shared" si="288"/>
        <v>2557</v>
      </c>
      <c r="X8526" s="339"/>
    </row>
    <row r="8527" s="330" customFormat="1" ht="15" customHeight="1" spans="1:24">
      <c r="A8527" s="334"/>
      <c r="B8527" s="334" t="s">
        <v>5336</v>
      </c>
      <c r="C8527" s="334" t="s">
        <v>5336</v>
      </c>
      <c r="D8527" s="334" t="s">
        <v>8334</v>
      </c>
      <c r="E8527" s="336">
        <v>43785</v>
      </c>
      <c r="F8527" s="336"/>
      <c r="G8527" s="336">
        <v>43785</v>
      </c>
      <c r="H8527" s="334" t="s">
        <v>10272</v>
      </c>
      <c r="I8527" s="334">
        <v>13917351838</v>
      </c>
      <c r="J8527" s="334" t="s">
        <v>10273</v>
      </c>
      <c r="K8527" s="337"/>
      <c r="L8527" s="338"/>
      <c r="M8527" s="334">
        <v>804</v>
      </c>
      <c r="N8527" s="362">
        <f t="shared" si="288"/>
        <v>804</v>
      </c>
      <c r="X8527" s="339"/>
    </row>
    <row r="8528" s="330" customFormat="1" ht="15" customHeight="1" spans="1:24">
      <c r="A8528" s="334"/>
      <c r="B8528" s="334" t="s">
        <v>31</v>
      </c>
      <c r="C8528" s="334" t="s">
        <v>220</v>
      </c>
      <c r="D8528" s="334" t="s">
        <v>33</v>
      </c>
      <c r="E8528" s="336">
        <v>43785</v>
      </c>
      <c r="F8528" s="336"/>
      <c r="G8528" s="336">
        <v>43785</v>
      </c>
      <c r="H8528" s="334" t="s">
        <v>12842</v>
      </c>
      <c r="I8528" s="334">
        <v>18516189027</v>
      </c>
      <c r="J8528" s="334" t="s">
        <v>12843</v>
      </c>
      <c r="K8528" s="337"/>
      <c r="L8528" s="338"/>
      <c r="M8528" s="334">
        <v>4687</v>
      </c>
      <c r="N8528" s="362">
        <f t="shared" si="288"/>
        <v>4687</v>
      </c>
      <c r="X8528" s="339"/>
    </row>
    <row r="8529" s="330" customFormat="1" ht="15" customHeight="1" spans="1:24">
      <c r="A8529" s="334"/>
      <c r="B8529" s="334" t="s">
        <v>169</v>
      </c>
      <c r="C8529" s="334" t="s">
        <v>634</v>
      </c>
      <c r="D8529" s="334" t="s">
        <v>171</v>
      </c>
      <c r="E8529" s="336">
        <v>43786</v>
      </c>
      <c r="F8529" s="336"/>
      <c r="G8529" s="336">
        <v>43785</v>
      </c>
      <c r="H8529" s="334" t="s">
        <v>12398</v>
      </c>
      <c r="I8529" s="356">
        <v>18621312211</v>
      </c>
      <c r="J8529" s="348" t="s">
        <v>18090</v>
      </c>
      <c r="K8529" s="337"/>
      <c r="L8529" s="338"/>
      <c r="M8529" s="334">
        <v>2900</v>
      </c>
      <c r="N8529" s="362">
        <f t="shared" si="288"/>
        <v>2900</v>
      </c>
      <c r="X8529" s="339"/>
    </row>
    <row r="8530" s="330" customFormat="1" ht="15" customHeight="1" spans="1:24">
      <c r="A8530" s="334"/>
      <c r="B8530" s="334" t="s">
        <v>205</v>
      </c>
      <c r="C8530" s="334" t="s">
        <v>1467</v>
      </c>
      <c r="D8530" s="334" t="s">
        <v>237</v>
      </c>
      <c r="E8530" s="336">
        <v>43786</v>
      </c>
      <c r="F8530" s="336"/>
      <c r="G8530" s="336">
        <v>43786</v>
      </c>
      <c r="H8530" s="334" t="s">
        <v>12822</v>
      </c>
      <c r="I8530" s="334">
        <v>15921805157</v>
      </c>
      <c r="J8530" s="348" t="s">
        <v>12823</v>
      </c>
      <c r="K8530" s="337"/>
      <c r="L8530" s="338"/>
      <c r="M8530" s="334">
        <v>940</v>
      </c>
      <c r="N8530" s="362">
        <f t="shared" si="288"/>
        <v>940</v>
      </c>
      <c r="X8530" s="339"/>
    </row>
    <row r="8531" s="330" customFormat="1" ht="15" customHeight="1" spans="1:24">
      <c r="A8531" s="334"/>
      <c r="B8531" s="334" t="s">
        <v>335</v>
      </c>
      <c r="C8531" s="334" t="s">
        <v>399</v>
      </c>
      <c r="D8531" s="334" t="s">
        <v>337</v>
      </c>
      <c r="E8531" s="336">
        <v>43786</v>
      </c>
      <c r="F8531" s="336"/>
      <c r="G8531" s="336">
        <v>43785</v>
      </c>
      <c r="H8531" s="334" t="s">
        <v>16772</v>
      </c>
      <c r="I8531" s="426">
        <v>13816010225</v>
      </c>
      <c r="J8531" s="348" t="s">
        <v>16773</v>
      </c>
      <c r="K8531" s="337"/>
      <c r="L8531" s="338"/>
      <c r="M8531" s="334">
        <v>1346</v>
      </c>
      <c r="N8531" s="362">
        <f t="shared" si="288"/>
        <v>1346</v>
      </c>
      <c r="X8531" s="339"/>
    </row>
    <row r="8532" s="330" customFormat="1" ht="15" customHeight="1" spans="1:24">
      <c r="A8532" s="334"/>
      <c r="B8532" s="334" t="s">
        <v>35</v>
      </c>
      <c r="C8532" s="334" t="s">
        <v>36</v>
      </c>
      <c r="D8532" s="334" t="s">
        <v>37</v>
      </c>
      <c r="E8532" s="336">
        <v>43786</v>
      </c>
      <c r="F8532" s="336"/>
      <c r="G8532" s="336">
        <v>43758</v>
      </c>
      <c r="H8532" s="334" t="s">
        <v>14253</v>
      </c>
      <c r="I8532" s="334">
        <v>13122082233</v>
      </c>
      <c r="J8532" s="334" t="s">
        <v>18091</v>
      </c>
      <c r="K8532" s="337"/>
      <c r="L8532" s="338"/>
      <c r="M8532" s="334">
        <v>2009</v>
      </c>
      <c r="N8532" s="362">
        <f t="shared" si="288"/>
        <v>2009</v>
      </c>
      <c r="X8532" s="339"/>
    </row>
    <row r="8533" s="330" customFormat="1" ht="15" customHeight="1" spans="1:24">
      <c r="A8533" s="334"/>
      <c r="B8533" s="334" t="s">
        <v>58</v>
      </c>
      <c r="C8533" s="334" t="s">
        <v>347</v>
      </c>
      <c r="D8533" s="334" t="s">
        <v>75</v>
      </c>
      <c r="E8533" s="336">
        <v>43786</v>
      </c>
      <c r="F8533" s="336"/>
      <c r="G8533" s="336">
        <v>43784</v>
      </c>
      <c r="H8533" s="334" t="s">
        <v>10635</v>
      </c>
      <c r="I8533" s="334">
        <v>13817524892</v>
      </c>
      <c r="J8533" s="334" t="s">
        <v>18092</v>
      </c>
      <c r="K8533" s="337"/>
      <c r="L8533" s="338"/>
      <c r="M8533" s="334">
        <f>1799+2925</f>
        <v>4724</v>
      </c>
      <c r="N8533" s="362">
        <f t="shared" si="288"/>
        <v>4724</v>
      </c>
      <c r="X8533" s="339"/>
    </row>
    <row r="8534" s="330" customFormat="1" ht="15" customHeight="1" spans="1:24">
      <c r="A8534" s="334"/>
      <c r="B8534" s="334" t="s">
        <v>58</v>
      </c>
      <c r="C8534" s="334" t="s">
        <v>347</v>
      </c>
      <c r="D8534" s="334" t="s">
        <v>75</v>
      </c>
      <c r="E8534" s="336">
        <v>43786</v>
      </c>
      <c r="F8534" s="336"/>
      <c r="G8534" s="336">
        <v>43784</v>
      </c>
      <c r="H8534" s="334" t="s">
        <v>9493</v>
      </c>
      <c r="I8534" s="334">
        <v>18918690255</v>
      </c>
      <c r="J8534" s="334" t="s">
        <v>18093</v>
      </c>
      <c r="K8534" s="337"/>
      <c r="L8534" s="338"/>
      <c r="M8534" s="334">
        <v>-755</v>
      </c>
      <c r="N8534" s="362">
        <f t="shared" si="288"/>
        <v>-755</v>
      </c>
      <c r="X8534" s="339"/>
    </row>
    <row r="8535" s="330" customFormat="1" ht="15" customHeight="1" spans="1:24">
      <c r="A8535" s="334"/>
      <c r="B8535" s="334" t="s">
        <v>66</v>
      </c>
      <c r="C8535" s="334" t="s">
        <v>119</v>
      </c>
      <c r="D8535" s="334" t="s">
        <v>1436</v>
      </c>
      <c r="E8535" s="336">
        <v>43786</v>
      </c>
      <c r="F8535" s="336"/>
      <c r="G8535" s="336">
        <v>43786</v>
      </c>
      <c r="H8535" s="334" t="s">
        <v>14441</v>
      </c>
      <c r="I8535" s="444">
        <v>13482102869</v>
      </c>
      <c r="J8535" s="348" t="s">
        <v>18094</v>
      </c>
      <c r="K8535" s="337"/>
      <c r="L8535" s="338"/>
      <c r="M8535" s="334">
        <v>2737</v>
      </c>
      <c r="N8535" s="362">
        <f t="shared" si="288"/>
        <v>2737</v>
      </c>
      <c r="X8535" s="339"/>
    </row>
    <row r="8536" s="330" customFormat="1" ht="15" customHeight="1" spans="1:24">
      <c r="A8536" s="334"/>
      <c r="B8536" s="334" t="s">
        <v>137</v>
      </c>
      <c r="C8536" s="334" t="s">
        <v>861</v>
      </c>
      <c r="D8536" s="334" t="s">
        <v>443</v>
      </c>
      <c r="E8536" s="336">
        <v>43786</v>
      </c>
      <c r="F8536" s="336"/>
      <c r="G8536" s="336">
        <v>43784</v>
      </c>
      <c r="H8536" s="334" t="s">
        <v>6088</v>
      </c>
      <c r="I8536" s="444">
        <v>18017711371</v>
      </c>
      <c r="J8536" s="348" t="s">
        <v>18095</v>
      </c>
      <c r="K8536" s="337"/>
      <c r="L8536" s="338"/>
      <c r="M8536" s="334">
        <v>-520</v>
      </c>
      <c r="N8536" s="362">
        <f t="shared" si="288"/>
        <v>-520</v>
      </c>
      <c r="X8536" s="339"/>
    </row>
    <row r="8537" s="330" customFormat="1" ht="15" customHeight="1" spans="1:24">
      <c r="A8537" s="334"/>
      <c r="B8537" s="334" t="s">
        <v>805</v>
      </c>
      <c r="C8537" s="334" t="s">
        <v>4935</v>
      </c>
      <c r="D8537" s="334" t="s">
        <v>171</v>
      </c>
      <c r="E8537" s="336">
        <v>43786</v>
      </c>
      <c r="F8537" s="336"/>
      <c r="G8537" s="336">
        <v>43786</v>
      </c>
      <c r="H8537" s="334" t="s">
        <v>11412</v>
      </c>
      <c r="I8537" s="334">
        <v>13661856929</v>
      </c>
      <c r="J8537" s="334" t="s">
        <v>18096</v>
      </c>
      <c r="K8537" s="337"/>
      <c r="L8537" s="338"/>
      <c r="M8537" s="334">
        <v>1565</v>
      </c>
      <c r="N8537" s="362">
        <f t="shared" si="288"/>
        <v>1565</v>
      </c>
      <c r="X8537" s="339"/>
    </row>
    <row r="8538" s="330" customFormat="1" ht="15" customHeight="1" spans="1:24">
      <c r="A8538" s="334"/>
      <c r="B8538" s="334" t="s">
        <v>236</v>
      </c>
      <c r="C8538" s="334" t="s">
        <v>195</v>
      </c>
      <c r="D8538" s="334" t="s">
        <v>207</v>
      </c>
      <c r="E8538" s="336">
        <v>43786</v>
      </c>
      <c r="F8538" s="336"/>
      <c r="G8538" s="336">
        <v>43784</v>
      </c>
      <c r="H8538" s="334" t="s">
        <v>15452</v>
      </c>
      <c r="I8538" s="334">
        <v>13918703834</v>
      </c>
      <c r="J8538" s="348" t="s">
        <v>15453</v>
      </c>
      <c r="K8538" s="337"/>
      <c r="L8538" s="338"/>
      <c r="M8538" s="334">
        <v>1618</v>
      </c>
      <c r="N8538" s="362">
        <f t="shared" si="288"/>
        <v>1618</v>
      </c>
      <c r="X8538" s="339"/>
    </row>
    <row r="8539" s="330" customFormat="1" ht="15" customHeight="1" spans="1:24">
      <c r="A8539" s="334"/>
      <c r="B8539" s="334" t="s">
        <v>236</v>
      </c>
      <c r="C8539" s="334" t="s">
        <v>195</v>
      </c>
      <c r="D8539" s="334" t="s">
        <v>207</v>
      </c>
      <c r="E8539" s="336">
        <v>43786</v>
      </c>
      <c r="F8539" s="336"/>
      <c r="G8539" s="336">
        <v>43785</v>
      </c>
      <c r="H8539" s="334" t="s">
        <v>13627</v>
      </c>
      <c r="I8539" s="334">
        <v>13917690239</v>
      </c>
      <c r="J8539" s="348" t="s">
        <v>18097</v>
      </c>
      <c r="K8539" s="337"/>
      <c r="L8539" s="338"/>
      <c r="M8539" s="334">
        <v>8457</v>
      </c>
      <c r="N8539" s="362">
        <f t="shared" si="288"/>
        <v>8457</v>
      </c>
      <c r="X8539" s="339"/>
    </row>
    <row r="8540" s="330" customFormat="1" ht="15" customHeight="1" spans="1:24">
      <c r="A8540" s="334"/>
      <c r="B8540" s="334" t="s">
        <v>335</v>
      </c>
      <c r="C8540" s="334" t="s">
        <v>399</v>
      </c>
      <c r="D8540" s="334" t="s">
        <v>337</v>
      </c>
      <c r="E8540" s="336">
        <v>43786</v>
      </c>
      <c r="F8540" s="336"/>
      <c r="G8540" s="336">
        <v>43784</v>
      </c>
      <c r="H8540" s="334" t="s">
        <v>8553</v>
      </c>
      <c r="I8540" s="356">
        <v>18621767486</v>
      </c>
      <c r="J8540" s="348" t="s">
        <v>18098</v>
      </c>
      <c r="K8540" s="337"/>
      <c r="L8540" s="338"/>
      <c r="M8540" s="334">
        <v>1776</v>
      </c>
      <c r="N8540" s="362">
        <f t="shared" si="288"/>
        <v>1776</v>
      </c>
      <c r="X8540" s="339"/>
    </row>
    <row r="8541" s="330" customFormat="1" ht="15" customHeight="1" spans="1:24">
      <c r="A8541" s="334"/>
      <c r="B8541" s="334" t="s">
        <v>335</v>
      </c>
      <c r="C8541" s="334" t="s">
        <v>399</v>
      </c>
      <c r="D8541" s="334" t="s">
        <v>635</v>
      </c>
      <c r="E8541" s="336">
        <v>43786</v>
      </c>
      <c r="F8541" s="336"/>
      <c r="G8541" s="336">
        <v>43785</v>
      </c>
      <c r="H8541" s="334" t="s">
        <v>2255</v>
      </c>
      <c r="I8541" s="334">
        <v>18917913115</v>
      </c>
      <c r="J8541" s="334" t="s">
        <v>16466</v>
      </c>
      <c r="K8541" s="337"/>
      <c r="L8541" s="338"/>
      <c r="M8541" s="334">
        <v>2276</v>
      </c>
      <c r="N8541" s="362">
        <f t="shared" si="288"/>
        <v>2276</v>
      </c>
      <c r="X8541" s="339"/>
    </row>
    <row r="8542" s="330" customFormat="1" ht="15" customHeight="1" spans="1:24">
      <c r="A8542" s="334"/>
      <c r="B8542" s="334" t="s">
        <v>66</v>
      </c>
      <c r="C8542" s="334" t="s">
        <v>505</v>
      </c>
      <c r="D8542" s="334" t="s">
        <v>2302</v>
      </c>
      <c r="E8542" s="336">
        <v>43786</v>
      </c>
      <c r="F8542" s="336"/>
      <c r="G8542" s="336">
        <v>43785</v>
      </c>
      <c r="H8542" s="334" t="s">
        <v>14056</v>
      </c>
      <c r="I8542" s="334">
        <v>13917365968</v>
      </c>
      <c r="J8542" s="348" t="s">
        <v>18099</v>
      </c>
      <c r="K8542" s="337"/>
      <c r="L8542" s="338"/>
      <c r="M8542" s="334">
        <v>-14089</v>
      </c>
      <c r="N8542" s="362">
        <f t="shared" si="288"/>
        <v>-14089</v>
      </c>
      <c r="X8542" s="339"/>
    </row>
    <row r="8543" s="330" customFormat="1" ht="15" customHeight="1" spans="1:24">
      <c r="A8543" s="334"/>
      <c r="B8543" s="334" t="s">
        <v>66</v>
      </c>
      <c r="C8543" s="334" t="s">
        <v>119</v>
      </c>
      <c r="D8543" s="334" t="s">
        <v>1436</v>
      </c>
      <c r="E8543" s="336">
        <v>43786</v>
      </c>
      <c r="F8543" s="336"/>
      <c r="G8543" s="336">
        <v>43754</v>
      </c>
      <c r="H8543" s="334" t="s">
        <v>13103</v>
      </c>
      <c r="I8543" s="334">
        <v>13917601831</v>
      </c>
      <c r="J8543" s="334" t="s">
        <v>18100</v>
      </c>
      <c r="K8543" s="337"/>
      <c r="L8543" s="338"/>
      <c r="M8543" s="334">
        <v>3315</v>
      </c>
      <c r="N8543" s="362">
        <f t="shared" si="288"/>
        <v>3315</v>
      </c>
      <c r="X8543" s="339"/>
    </row>
    <row r="8544" s="330" customFormat="1" ht="15" customHeight="1" spans="1:24">
      <c r="A8544" s="334"/>
      <c r="B8544" s="334" t="s">
        <v>35</v>
      </c>
      <c r="C8544" s="334" t="s">
        <v>36</v>
      </c>
      <c r="D8544" s="334" t="s">
        <v>37</v>
      </c>
      <c r="E8544" s="336">
        <v>43786</v>
      </c>
      <c r="F8544" s="336"/>
      <c r="G8544" s="336">
        <v>43781</v>
      </c>
      <c r="H8544" s="334" t="s">
        <v>14050</v>
      </c>
      <c r="I8544" s="444">
        <v>13482520097</v>
      </c>
      <c r="J8544" s="348" t="s">
        <v>14052</v>
      </c>
      <c r="K8544" s="337"/>
      <c r="L8544" s="338"/>
      <c r="M8544" s="334">
        <v>3379</v>
      </c>
      <c r="N8544" s="362">
        <f t="shared" si="288"/>
        <v>3379</v>
      </c>
      <c r="X8544" s="339"/>
    </row>
    <row r="8545" s="330" customFormat="1" ht="15" customHeight="1" spans="1:24">
      <c r="A8545" s="334"/>
      <c r="B8545" s="334" t="s">
        <v>31</v>
      </c>
      <c r="C8545" s="334" t="s">
        <v>2716</v>
      </c>
      <c r="D8545" s="334" t="s">
        <v>33</v>
      </c>
      <c r="E8545" s="336">
        <v>43786</v>
      </c>
      <c r="F8545" s="336"/>
      <c r="G8545" s="336">
        <v>43785</v>
      </c>
      <c r="H8545" s="334" t="s">
        <v>8072</v>
      </c>
      <c r="I8545" s="356">
        <v>13601906262</v>
      </c>
      <c r="J8545" s="348" t="s">
        <v>8073</v>
      </c>
      <c r="K8545" s="337"/>
      <c r="L8545" s="338"/>
      <c r="M8545" s="334">
        <v>204</v>
      </c>
      <c r="N8545" s="362">
        <f t="shared" si="288"/>
        <v>204</v>
      </c>
      <c r="X8545" s="339"/>
    </row>
    <row r="8546" s="330" customFormat="1" ht="15" customHeight="1" spans="1:24">
      <c r="A8546" s="334"/>
      <c r="B8546" s="334" t="s">
        <v>31</v>
      </c>
      <c r="C8546" s="334" t="s">
        <v>32</v>
      </c>
      <c r="D8546" s="334" t="s">
        <v>221</v>
      </c>
      <c r="E8546" s="336">
        <v>43786</v>
      </c>
      <c r="F8546" s="336"/>
      <c r="G8546" s="336">
        <v>43786</v>
      </c>
      <c r="H8546" s="334" t="s">
        <v>18101</v>
      </c>
      <c r="I8546" s="444">
        <v>13817642434</v>
      </c>
      <c r="J8546" s="348" t="s">
        <v>18102</v>
      </c>
      <c r="K8546" s="337"/>
      <c r="L8546" s="338"/>
      <c r="M8546" s="334">
        <v>16037</v>
      </c>
      <c r="N8546" s="362">
        <f t="shared" si="288"/>
        <v>16037</v>
      </c>
      <c r="X8546" s="339"/>
    </row>
    <row r="8547" s="330" customFormat="1" ht="15" customHeight="1" spans="1:24">
      <c r="A8547" s="334"/>
      <c r="B8547" s="334" t="s">
        <v>73</v>
      </c>
      <c r="C8547" s="334" t="s">
        <v>74</v>
      </c>
      <c r="D8547" s="334" t="s">
        <v>125</v>
      </c>
      <c r="E8547" s="336">
        <v>43786</v>
      </c>
      <c r="F8547" s="336"/>
      <c r="G8547" s="336">
        <v>43785</v>
      </c>
      <c r="H8547" s="334" t="s">
        <v>14019</v>
      </c>
      <c r="I8547" s="334">
        <v>18918687848</v>
      </c>
      <c r="J8547" s="334" t="s">
        <v>14020</v>
      </c>
      <c r="K8547" s="337"/>
      <c r="L8547" s="338"/>
      <c r="M8547" s="334">
        <v>1022</v>
      </c>
      <c r="N8547" s="362">
        <f t="shared" si="288"/>
        <v>1022</v>
      </c>
      <c r="X8547" s="339"/>
    </row>
    <row r="8548" s="330" customFormat="1" ht="15" customHeight="1" spans="1:24">
      <c r="A8548" s="334"/>
      <c r="B8548" s="334" t="s">
        <v>73</v>
      </c>
      <c r="C8548" s="334" t="s">
        <v>74</v>
      </c>
      <c r="D8548" s="334" t="s">
        <v>717</v>
      </c>
      <c r="E8548" s="336">
        <v>43786</v>
      </c>
      <c r="F8548" s="336"/>
      <c r="G8548" s="336">
        <v>43786</v>
      </c>
      <c r="H8548" s="334" t="s">
        <v>18103</v>
      </c>
      <c r="I8548" s="444">
        <v>13611989703</v>
      </c>
      <c r="J8548" s="348" t="s">
        <v>14078</v>
      </c>
      <c r="K8548" s="337"/>
      <c r="L8548" s="338"/>
      <c r="M8548" s="334">
        <v>1346</v>
      </c>
      <c r="N8548" s="362">
        <f t="shared" si="288"/>
        <v>1346</v>
      </c>
      <c r="X8548" s="339"/>
    </row>
    <row r="8549" s="330" customFormat="1" ht="15" customHeight="1" spans="1:24">
      <c r="A8549" s="334"/>
      <c r="B8549" s="334" t="s">
        <v>35</v>
      </c>
      <c r="C8549" s="334" t="s">
        <v>392</v>
      </c>
      <c r="D8549" s="334" t="s">
        <v>37</v>
      </c>
      <c r="E8549" s="336">
        <v>43786</v>
      </c>
      <c r="F8549" s="336"/>
      <c r="G8549" s="336">
        <v>43781</v>
      </c>
      <c r="H8549" s="334" t="s">
        <v>14341</v>
      </c>
      <c r="I8549" s="444">
        <v>18930982731</v>
      </c>
      <c r="J8549" s="348" t="s">
        <v>14342</v>
      </c>
      <c r="K8549" s="337"/>
      <c r="L8549" s="338"/>
      <c r="M8549" s="334">
        <v>1549</v>
      </c>
      <c r="N8549" s="362">
        <f t="shared" si="288"/>
        <v>1549</v>
      </c>
      <c r="X8549" s="339"/>
    </row>
    <row r="8550" s="330" customFormat="1" ht="15" customHeight="1" spans="1:24">
      <c r="A8550" s="334"/>
      <c r="B8550" s="334" t="s">
        <v>31</v>
      </c>
      <c r="C8550" s="334" t="s">
        <v>2716</v>
      </c>
      <c r="D8550" s="334" t="s">
        <v>33</v>
      </c>
      <c r="E8550" s="336">
        <v>43786</v>
      </c>
      <c r="F8550" s="336"/>
      <c r="G8550" s="336">
        <v>43785</v>
      </c>
      <c r="H8550" s="334" t="s">
        <v>14926</v>
      </c>
      <c r="I8550" s="444">
        <v>18817255851</v>
      </c>
      <c r="J8550" s="348" t="s">
        <v>14927</v>
      </c>
      <c r="K8550" s="337"/>
      <c r="L8550" s="338"/>
      <c r="M8550" s="334">
        <v>5737</v>
      </c>
      <c r="N8550" s="362">
        <f t="shared" si="288"/>
        <v>5737</v>
      </c>
      <c r="X8550" s="339"/>
    </row>
    <row r="8551" s="330" customFormat="1" ht="15" customHeight="1" spans="1:24">
      <c r="A8551" s="334"/>
      <c r="B8551" s="334" t="s">
        <v>405</v>
      </c>
      <c r="C8551" s="334" t="s">
        <v>1234</v>
      </c>
      <c r="D8551" s="334" t="s">
        <v>407</v>
      </c>
      <c r="E8551" s="336">
        <v>43786</v>
      </c>
      <c r="F8551" s="336"/>
      <c r="G8551" s="336">
        <v>43782</v>
      </c>
      <c r="H8551" s="334" t="s">
        <v>3715</v>
      </c>
      <c r="I8551" s="334">
        <v>18321579168</v>
      </c>
      <c r="J8551" s="334" t="s">
        <v>14789</v>
      </c>
      <c r="K8551" s="337"/>
      <c r="L8551" s="338"/>
      <c r="M8551" s="334">
        <v>3562</v>
      </c>
      <c r="N8551" s="362">
        <f t="shared" si="288"/>
        <v>3562</v>
      </c>
      <c r="X8551" s="339"/>
    </row>
    <row r="8552" s="330" customFormat="1" ht="15" customHeight="1" spans="1:24">
      <c r="A8552" s="334"/>
      <c r="B8552" s="334" t="s">
        <v>169</v>
      </c>
      <c r="C8552" s="334" t="s">
        <v>634</v>
      </c>
      <c r="D8552" s="334" t="s">
        <v>635</v>
      </c>
      <c r="E8552" s="336">
        <v>43786</v>
      </c>
      <c r="F8552" s="336"/>
      <c r="G8552" s="336">
        <v>43786</v>
      </c>
      <c r="H8552" s="334" t="s">
        <v>15446</v>
      </c>
      <c r="I8552" s="334">
        <v>13501884003</v>
      </c>
      <c r="J8552" s="348" t="s">
        <v>15447</v>
      </c>
      <c r="K8552" s="337"/>
      <c r="L8552" s="338"/>
      <c r="M8552" s="334">
        <v>738</v>
      </c>
      <c r="N8552" s="362">
        <f t="shared" si="288"/>
        <v>738</v>
      </c>
      <c r="X8552" s="339"/>
    </row>
    <row r="8553" s="330" customFormat="1" ht="15" customHeight="1" spans="1:24">
      <c r="A8553" s="334"/>
      <c r="B8553" s="334" t="s">
        <v>315</v>
      </c>
      <c r="C8553" s="334" t="s">
        <v>161</v>
      </c>
      <c r="D8553" s="334" t="s">
        <v>162</v>
      </c>
      <c r="E8553" s="336">
        <v>43786</v>
      </c>
      <c r="F8553" s="336"/>
      <c r="G8553" s="336">
        <v>43786</v>
      </c>
      <c r="H8553" s="334" t="s">
        <v>7458</v>
      </c>
      <c r="I8553" s="334">
        <v>13774226315</v>
      </c>
      <c r="J8553" s="334" t="s">
        <v>18104</v>
      </c>
      <c r="K8553" s="337"/>
      <c r="L8553" s="338"/>
      <c r="M8553" s="334">
        <v>13585</v>
      </c>
      <c r="N8553" s="362">
        <f t="shared" si="288"/>
        <v>13585</v>
      </c>
      <c r="X8553" s="339"/>
    </row>
    <row r="8554" s="330" customFormat="1" ht="15" customHeight="1" spans="1:24">
      <c r="A8554" s="334"/>
      <c r="B8554" s="334" t="s">
        <v>335</v>
      </c>
      <c r="C8554" s="334" t="s">
        <v>615</v>
      </c>
      <c r="D8554" s="334" t="s">
        <v>337</v>
      </c>
      <c r="E8554" s="336">
        <v>43786</v>
      </c>
      <c r="F8554" s="336"/>
      <c r="G8554" s="336">
        <v>43785</v>
      </c>
      <c r="H8554" s="334" t="s">
        <v>13581</v>
      </c>
      <c r="I8554" s="356">
        <v>15921284380</v>
      </c>
      <c r="J8554" s="348" t="s">
        <v>18105</v>
      </c>
      <c r="K8554" s="337"/>
      <c r="L8554" s="338"/>
      <c r="M8554" s="334">
        <v>4000</v>
      </c>
      <c r="N8554" s="362">
        <f t="shared" si="288"/>
        <v>4000</v>
      </c>
      <c r="X8554" s="339"/>
    </row>
    <row r="8555" s="330" customFormat="1" ht="15" customHeight="1" spans="1:24">
      <c r="A8555" s="334"/>
      <c r="B8555" s="334" t="s">
        <v>315</v>
      </c>
      <c r="C8555" s="334" t="s">
        <v>181</v>
      </c>
      <c r="D8555" s="334" t="s">
        <v>1431</v>
      </c>
      <c r="E8555" s="336">
        <v>43786</v>
      </c>
      <c r="F8555" s="336"/>
      <c r="G8555" s="336">
        <v>43786</v>
      </c>
      <c r="H8555" s="334" t="s">
        <v>9847</v>
      </c>
      <c r="I8555" s="334">
        <v>13761235501</v>
      </c>
      <c r="J8555" s="334" t="s">
        <v>18106</v>
      </c>
      <c r="K8555" s="337"/>
      <c r="L8555" s="338"/>
      <c r="M8555" s="334">
        <v>10161</v>
      </c>
      <c r="N8555" s="362">
        <f t="shared" si="288"/>
        <v>10161</v>
      </c>
      <c r="X8555" s="339"/>
    </row>
    <row r="8556" s="330" customFormat="1" ht="15" customHeight="1" spans="1:24">
      <c r="A8556" s="334"/>
      <c r="B8556" s="334" t="s">
        <v>137</v>
      </c>
      <c r="C8556" s="334" t="s">
        <v>411</v>
      </c>
      <c r="D8556" s="334" t="s">
        <v>443</v>
      </c>
      <c r="E8556" s="336">
        <v>43786</v>
      </c>
      <c r="F8556" s="336"/>
      <c r="G8556" s="336">
        <v>43786</v>
      </c>
      <c r="H8556" s="334" t="s">
        <v>12371</v>
      </c>
      <c r="I8556" s="334">
        <v>13052237487</v>
      </c>
      <c r="J8556" s="334" t="s">
        <v>12372</v>
      </c>
      <c r="K8556" s="337"/>
      <c r="L8556" s="338"/>
      <c r="M8556" s="334">
        <v>117</v>
      </c>
      <c r="N8556" s="362">
        <f t="shared" si="288"/>
        <v>117</v>
      </c>
      <c r="X8556" s="339"/>
    </row>
    <row r="8557" s="330" customFormat="1" ht="15" customHeight="1" spans="1:24">
      <c r="A8557" s="348"/>
      <c r="B8557" s="348" t="s">
        <v>5336</v>
      </c>
      <c r="C8557" s="348" t="s">
        <v>5336</v>
      </c>
      <c r="D8557" s="335" t="s">
        <v>8334</v>
      </c>
      <c r="E8557" s="336">
        <v>43787</v>
      </c>
      <c r="F8557" s="336">
        <v>43787</v>
      </c>
      <c r="G8557" s="399"/>
      <c r="H8557" s="334" t="s">
        <v>10012</v>
      </c>
      <c r="I8557" s="444">
        <v>13818058575</v>
      </c>
      <c r="J8557" s="348" t="s">
        <v>18107</v>
      </c>
      <c r="K8557" s="452">
        <v>12651</v>
      </c>
      <c r="L8557" s="338"/>
      <c r="M8557" s="338"/>
      <c r="N8557" s="362">
        <f t="shared" ref="N8557:N8586" si="289">L8557+M8557</f>
        <v>0</v>
      </c>
      <c r="O8557" s="353" t="s">
        <v>52</v>
      </c>
      <c r="X8557" s="339"/>
    </row>
    <row r="8558" s="330" customFormat="1" ht="15" customHeight="1" spans="1:24">
      <c r="A8558" s="348"/>
      <c r="B8558" s="348" t="s">
        <v>5336</v>
      </c>
      <c r="C8558" s="348" t="s">
        <v>5336</v>
      </c>
      <c r="D8558" s="335" t="s">
        <v>8334</v>
      </c>
      <c r="E8558" s="336">
        <v>43827</v>
      </c>
      <c r="F8558" s="336">
        <v>43787</v>
      </c>
      <c r="G8558" s="336">
        <v>43826</v>
      </c>
      <c r="H8558" s="334" t="s">
        <v>18108</v>
      </c>
      <c r="I8558" s="444">
        <v>13675157772</v>
      </c>
      <c r="J8558" s="348" t="s">
        <v>18109</v>
      </c>
      <c r="K8558" s="452">
        <v>6744</v>
      </c>
      <c r="L8558" s="334">
        <v>6973</v>
      </c>
      <c r="M8558" s="338"/>
      <c r="N8558" s="362">
        <f t="shared" si="289"/>
        <v>6973</v>
      </c>
      <c r="O8558" s="353" t="s">
        <v>52</v>
      </c>
      <c r="X8558" s="339"/>
    </row>
    <row r="8559" s="330" customFormat="1" ht="15" customHeight="1" spans="1:24">
      <c r="A8559" s="348"/>
      <c r="B8559" s="348" t="s">
        <v>5336</v>
      </c>
      <c r="C8559" s="348" t="s">
        <v>5336</v>
      </c>
      <c r="D8559" s="334" t="s">
        <v>8334</v>
      </c>
      <c r="E8559" s="336">
        <v>43796</v>
      </c>
      <c r="F8559" s="336">
        <v>43787</v>
      </c>
      <c r="G8559" s="336">
        <v>43796</v>
      </c>
      <c r="H8559" s="334" t="s">
        <v>18110</v>
      </c>
      <c r="I8559" s="444">
        <v>18217481745</v>
      </c>
      <c r="J8559" s="348" t="s">
        <v>18111</v>
      </c>
      <c r="K8559" s="452">
        <v>2309</v>
      </c>
      <c r="L8559" s="334">
        <v>2509</v>
      </c>
      <c r="M8559" s="338"/>
      <c r="N8559" s="362">
        <f t="shared" si="289"/>
        <v>2509</v>
      </c>
      <c r="X8559" s="339"/>
    </row>
    <row r="8560" s="330" customFormat="1" ht="15" customHeight="1" spans="1:24">
      <c r="A8560" s="348"/>
      <c r="B8560" s="348" t="s">
        <v>5336</v>
      </c>
      <c r="C8560" s="348" t="s">
        <v>5336</v>
      </c>
      <c r="D8560" s="334" t="s">
        <v>8334</v>
      </c>
      <c r="E8560" s="336">
        <v>43790</v>
      </c>
      <c r="F8560" s="336">
        <v>43787</v>
      </c>
      <c r="G8560" s="336">
        <v>43790</v>
      </c>
      <c r="H8560" s="334" t="s">
        <v>18112</v>
      </c>
      <c r="I8560" s="444">
        <v>18955292188</v>
      </c>
      <c r="J8560" s="348" t="s">
        <v>18113</v>
      </c>
      <c r="K8560" s="452">
        <v>11663</v>
      </c>
      <c r="L8560" s="334">
        <v>11663</v>
      </c>
      <c r="M8560" s="338"/>
      <c r="N8560" s="362">
        <f t="shared" si="289"/>
        <v>11663</v>
      </c>
      <c r="X8560" s="339"/>
    </row>
    <row r="8561" s="330" customFormat="1" ht="15" customHeight="1" spans="1:24">
      <c r="A8561" s="348"/>
      <c r="B8561" s="348" t="s">
        <v>5336</v>
      </c>
      <c r="C8561" s="348" t="s">
        <v>5336</v>
      </c>
      <c r="D8561" s="335" t="s">
        <v>8334</v>
      </c>
      <c r="E8561" s="336">
        <v>43787</v>
      </c>
      <c r="F8561" s="336">
        <v>43787</v>
      </c>
      <c r="G8561" s="399"/>
      <c r="H8561" s="334" t="s">
        <v>18114</v>
      </c>
      <c r="I8561" s="444">
        <v>15202139406</v>
      </c>
      <c r="J8561" s="348" t="s">
        <v>18115</v>
      </c>
      <c r="K8561" s="452">
        <v>2300</v>
      </c>
      <c r="L8561" s="338"/>
      <c r="M8561" s="338"/>
      <c r="N8561" s="362">
        <f t="shared" si="289"/>
        <v>0</v>
      </c>
      <c r="O8561" s="353" t="s">
        <v>52</v>
      </c>
      <c r="U8561" s="353" t="s">
        <v>52</v>
      </c>
      <c r="X8561" s="339"/>
    </row>
    <row r="8562" s="330" customFormat="1" ht="15" customHeight="1" spans="1:24">
      <c r="A8562" s="348"/>
      <c r="B8562" s="348" t="s">
        <v>5336</v>
      </c>
      <c r="C8562" s="348" t="s">
        <v>5336</v>
      </c>
      <c r="D8562" s="335" t="s">
        <v>8334</v>
      </c>
      <c r="E8562" s="336">
        <v>43787</v>
      </c>
      <c r="F8562" s="336">
        <v>43787</v>
      </c>
      <c r="G8562" s="399"/>
      <c r="H8562" s="334" t="s">
        <v>18116</v>
      </c>
      <c r="I8562" s="444">
        <v>15821149501</v>
      </c>
      <c r="J8562" s="348" t="s">
        <v>18117</v>
      </c>
      <c r="K8562" s="452">
        <v>13999</v>
      </c>
      <c r="L8562" s="338"/>
      <c r="M8562" s="338"/>
      <c r="N8562" s="362">
        <f t="shared" si="289"/>
        <v>0</v>
      </c>
      <c r="O8562" s="353"/>
      <c r="V8562" s="353" t="s">
        <v>52</v>
      </c>
      <c r="X8562" s="339"/>
    </row>
    <row r="8563" s="330" customFormat="1" ht="15" customHeight="1" spans="1:24">
      <c r="A8563" s="348"/>
      <c r="B8563" s="348" t="s">
        <v>5336</v>
      </c>
      <c r="C8563" s="348" t="s">
        <v>5336</v>
      </c>
      <c r="D8563" s="335" t="s">
        <v>8334</v>
      </c>
      <c r="E8563" s="336">
        <v>43787</v>
      </c>
      <c r="F8563" s="336">
        <v>43787</v>
      </c>
      <c r="G8563" s="399"/>
      <c r="H8563" s="334" t="s">
        <v>18118</v>
      </c>
      <c r="I8563" s="444">
        <v>13901849211</v>
      </c>
      <c r="J8563" s="348" t="s">
        <v>18119</v>
      </c>
      <c r="K8563" s="452">
        <v>6023</v>
      </c>
      <c r="L8563" s="338"/>
      <c r="M8563" s="338"/>
      <c r="N8563" s="362">
        <f t="shared" si="289"/>
        <v>0</v>
      </c>
      <c r="O8563" s="353" t="s">
        <v>52</v>
      </c>
      <c r="X8563" s="339"/>
    </row>
    <row r="8564" s="330" customFormat="1" ht="15" customHeight="1" spans="1:24">
      <c r="A8564" s="348"/>
      <c r="B8564" s="348" t="s">
        <v>5336</v>
      </c>
      <c r="C8564" s="348" t="s">
        <v>5336</v>
      </c>
      <c r="D8564" s="335" t="s">
        <v>8334</v>
      </c>
      <c r="E8564" s="336">
        <v>43787</v>
      </c>
      <c r="F8564" s="336">
        <v>43787</v>
      </c>
      <c r="G8564" s="399"/>
      <c r="H8564" s="334" t="s">
        <v>18120</v>
      </c>
      <c r="I8564" s="444">
        <v>15821990087</v>
      </c>
      <c r="J8564" s="348" t="s">
        <v>18121</v>
      </c>
      <c r="K8564" s="452">
        <v>5832</v>
      </c>
      <c r="L8564" s="338"/>
      <c r="M8564" s="338"/>
      <c r="N8564" s="362">
        <f t="shared" si="289"/>
        <v>0</v>
      </c>
      <c r="O8564" s="353" t="s">
        <v>52</v>
      </c>
      <c r="U8564" s="353" t="s">
        <v>52</v>
      </c>
      <c r="X8564" s="339"/>
    </row>
    <row r="8565" s="330" customFormat="1" ht="15" customHeight="1" spans="1:24">
      <c r="A8565" s="348"/>
      <c r="B8565" s="348" t="s">
        <v>5336</v>
      </c>
      <c r="C8565" s="348" t="s">
        <v>5336</v>
      </c>
      <c r="D8565" s="335" t="s">
        <v>8334</v>
      </c>
      <c r="E8565" s="336">
        <v>43787</v>
      </c>
      <c r="F8565" s="336">
        <v>43787</v>
      </c>
      <c r="G8565" s="399"/>
      <c r="H8565" s="334" t="s">
        <v>18122</v>
      </c>
      <c r="I8565" s="444">
        <v>15026895593</v>
      </c>
      <c r="J8565" s="348" t="s">
        <v>18123</v>
      </c>
      <c r="K8565" s="452">
        <v>4547</v>
      </c>
      <c r="L8565" s="338"/>
      <c r="M8565" s="338"/>
      <c r="N8565" s="362">
        <f t="shared" si="289"/>
        <v>0</v>
      </c>
      <c r="U8565" s="471">
        <v>43812</v>
      </c>
      <c r="X8565" s="339"/>
    </row>
    <row r="8566" s="330" customFormat="1" ht="15" customHeight="1" spans="1:24">
      <c r="A8566" s="348"/>
      <c r="B8566" s="348" t="s">
        <v>5336</v>
      </c>
      <c r="C8566" s="348" t="s">
        <v>5336</v>
      </c>
      <c r="D8566" s="334" t="s">
        <v>8334</v>
      </c>
      <c r="E8566" s="336">
        <v>43794</v>
      </c>
      <c r="F8566" s="336">
        <v>43787</v>
      </c>
      <c r="G8566" s="336">
        <v>43794</v>
      </c>
      <c r="H8566" s="334" t="s">
        <v>18124</v>
      </c>
      <c r="I8566" s="444">
        <v>13701748030</v>
      </c>
      <c r="J8566" s="348" t="s">
        <v>18125</v>
      </c>
      <c r="K8566" s="452">
        <v>13840</v>
      </c>
      <c r="L8566" s="334">
        <v>29762</v>
      </c>
      <c r="M8566" s="338"/>
      <c r="N8566" s="362">
        <f t="shared" si="289"/>
        <v>29762</v>
      </c>
      <c r="X8566" s="339"/>
    </row>
    <row r="8567" s="330" customFormat="1" ht="15" customHeight="1" spans="1:24">
      <c r="A8567" s="348"/>
      <c r="B8567" s="348" t="s">
        <v>5336</v>
      </c>
      <c r="C8567" s="348" t="s">
        <v>5336</v>
      </c>
      <c r="D8567" s="335" t="s">
        <v>8334</v>
      </c>
      <c r="E8567" s="336">
        <v>43812</v>
      </c>
      <c r="F8567" s="336">
        <v>43787</v>
      </c>
      <c r="G8567" s="336">
        <v>43812</v>
      </c>
      <c r="H8567" s="334" t="s">
        <v>18126</v>
      </c>
      <c r="I8567" s="444">
        <v>13917912845</v>
      </c>
      <c r="J8567" s="348" t="s">
        <v>18127</v>
      </c>
      <c r="K8567" s="452">
        <v>6820</v>
      </c>
      <c r="L8567" s="334">
        <v>8639</v>
      </c>
      <c r="M8567" s="338"/>
      <c r="N8567" s="362">
        <f t="shared" si="289"/>
        <v>8639</v>
      </c>
      <c r="X8567" s="339"/>
    </row>
    <row r="8568" s="330" customFormat="1" ht="15" customHeight="1" spans="1:24">
      <c r="A8568" s="348"/>
      <c r="B8568" s="348" t="s">
        <v>5336</v>
      </c>
      <c r="C8568" s="348" t="s">
        <v>5336</v>
      </c>
      <c r="D8568" s="335" t="s">
        <v>8334</v>
      </c>
      <c r="E8568" s="336">
        <v>43787</v>
      </c>
      <c r="F8568" s="336">
        <v>43787</v>
      </c>
      <c r="G8568" s="399"/>
      <c r="H8568" s="334" t="s">
        <v>18128</v>
      </c>
      <c r="I8568" s="444">
        <v>13651853719</v>
      </c>
      <c r="J8568" s="348" t="s">
        <v>18129</v>
      </c>
      <c r="K8568" s="452">
        <v>8446</v>
      </c>
      <c r="L8568" s="338"/>
      <c r="M8568" s="338"/>
      <c r="N8568" s="362">
        <f t="shared" si="289"/>
        <v>0</v>
      </c>
      <c r="U8568" s="471">
        <v>43808</v>
      </c>
      <c r="X8568" s="339"/>
    </row>
    <row r="8569" s="330" customFormat="1" ht="15" customHeight="1" spans="1:24">
      <c r="A8569" s="348"/>
      <c r="B8569" s="334" t="s">
        <v>35</v>
      </c>
      <c r="C8569" s="348" t="s">
        <v>1530</v>
      </c>
      <c r="D8569" s="335" t="s">
        <v>37</v>
      </c>
      <c r="E8569" s="336">
        <v>43787</v>
      </c>
      <c r="F8569" s="336">
        <v>43785</v>
      </c>
      <c r="G8569" s="399"/>
      <c r="H8569" s="334" t="s">
        <v>1487</v>
      </c>
      <c r="I8569" s="444">
        <v>17702130516</v>
      </c>
      <c r="J8569" s="348" t="s">
        <v>18068</v>
      </c>
      <c r="K8569" s="452">
        <v>4000</v>
      </c>
      <c r="L8569" s="338"/>
      <c r="M8569" s="338"/>
      <c r="N8569" s="362">
        <f t="shared" si="289"/>
        <v>0</v>
      </c>
      <c r="O8569" s="356" t="s">
        <v>52</v>
      </c>
      <c r="X8569" s="339"/>
    </row>
    <row r="8570" s="330" customFormat="1" ht="15" customHeight="1" spans="1:24">
      <c r="A8570" s="348" t="s">
        <v>1218</v>
      </c>
      <c r="B8570" s="334" t="s">
        <v>153</v>
      </c>
      <c r="C8570" s="348" t="s">
        <v>302</v>
      </c>
      <c r="D8570" s="335" t="s">
        <v>155</v>
      </c>
      <c r="E8570" s="336">
        <v>43829</v>
      </c>
      <c r="F8570" s="336">
        <v>43786</v>
      </c>
      <c r="G8570" s="336">
        <v>43828</v>
      </c>
      <c r="H8570" s="334" t="s">
        <v>18130</v>
      </c>
      <c r="I8570" s="444" t="s">
        <v>18131</v>
      </c>
      <c r="J8570" s="348" t="s">
        <v>18132</v>
      </c>
      <c r="K8570" s="452">
        <v>1000</v>
      </c>
      <c r="L8570" s="334">
        <v>22000</v>
      </c>
      <c r="M8570" s="338"/>
      <c r="N8570" s="362">
        <f t="shared" si="289"/>
        <v>22000</v>
      </c>
      <c r="V8570" s="353" t="s">
        <v>2494</v>
      </c>
      <c r="W8570" s="353">
        <v>12.26</v>
      </c>
      <c r="X8570" s="339"/>
    </row>
    <row r="8571" s="330" customFormat="1" ht="15" customHeight="1" spans="1:24">
      <c r="A8571" s="348" t="s">
        <v>8947</v>
      </c>
      <c r="B8571" s="334" t="s">
        <v>315</v>
      </c>
      <c r="C8571" s="348" t="s">
        <v>161</v>
      </c>
      <c r="D8571" s="335" t="s">
        <v>162</v>
      </c>
      <c r="E8571" s="336">
        <v>43795</v>
      </c>
      <c r="F8571" s="336">
        <v>43786</v>
      </c>
      <c r="G8571" s="336">
        <v>43792</v>
      </c>
      <c r="H8571" s="334" t="s">
        <v>18133</v>
      </c>
      <c r="I8571" s="444">
        <v>13585824587</v>
      </c>
      <c r="J8571" s="348" t="s">
        <v>18134</v>
      </c>
      <c r="K8571" s="452">
        <v>1000</v>
      </c>
      <c r="L8571" s="334">
        <v>23753</v>
      </c>
      <c r="M8571" s="338"/>
      <c r="N8571" s="362">
        <f t="shared" si="289"/>
        <v>23753</v>
      </c>
      <c r="X8571" s="339"/>
    </row>
    <row r="8572" s="330" customFormat="1" ht="15" customHeight="1" spans="1:24">
      <c r="A8572" s="348" t="s">
        <v>18037</v>
      </c>
      <c r="B8572" s="334" t="s">
        <v>42</v>
      </c>
      <c r="C8572" s="348" t="s">
        <v>1728</v>
      </c>
      <c r="D8572" s="335" t="s">
        <v>44</v>
      </c>
      <c r="E8572" s="336">
        <v>43787</v>
      </c>
      <c r="F8572" s="336">
        <v>43785</v>
      </c>
      <c r="G8572" s="399"/>
      <c r="H8572" s="334" t="s">
        <v>18135</v>
      </c>
      <c r="I8572" s="444">
        <v>13764065761</v>
      </c>
      <c r="J8572" s="348" t="s">
        <v>18136</v>
      </c>
      <c r="K8572" s="452">
        <v>5000</v>
      </c>
      <c r="L8572" s="338"/>
      <c r="M8572" s="338"/>
      <c r="N8572" s="362">
        <f t="shared" si="289"/>
        <v>0</v>
      </c>
      <c r="O8572" s="467" t="s">
        <v>52</v>
      </c>
      <c r="X8572" s="339"/>
    </row>
    <row r="8573" s="330" customFormat="1" ht="15" customHeight="1" spans="1:24">
      <c r="A8573" s="348" t="s">
        <v>18137</v>
      </c>
      <c r="B8573" s="334" t="s">
        <v>58</v>
      </c>
      <c r="C8573" s="348" t="s">
        <v>347</v>
      </c>
      <c r="D8573" s="335" t="s">
        <v>343</v>
      </c>
      <c r="E8573" s="336">
        <v>43826</v>
      </c>
      <c r="F8573" s="336">
        <v>43786</v>
      </c>
      <c r="G8573" s="336">
        <v>43824</v>
      </c>
      <c r="H8573" s="334" t="s">
        <v>18138</v>
      </c>
      <c r="I8573" s="444">
        <v>18918209766</v>
      </c>
      <c r="J8573" s="348" t="s">
        <v>18139</v>
      </c>
      <c r="K8573" s="452">
        <v>1000</v>
      </c>
      <c r="L8573" s="334">
        <v>16329</v>
      </c>
      <c r="M8573" s="338"/>
      <c r="N8573" s="362">
        <f t="shared" si="289"/>
        <v>16329</v>
      </c>
      <c r="P8573" s="365" t="s">
        <v>52</v>
      </c>
      <c r="X8573" s="339"/>
    </row>
    <row r="8574" s="330" customFormat="1" ht="15" customHeight="1" spans="1:24">
      <c r="A8574" s="348" t="s">
        <v>15200</v>
      </c>
      <c r="B8574" s="334" t="s">
        <v>315</v>
      </c>
      <c r="C8574" s="348" t="s">
        <v>14638</v>
      </c>
      <c r="D8574" s="334" t="s">
        <v>149</v>
      </c>
      <c r="E8574" s="336">
        <v>43809</v>
      </c>
      <c r="F8574" s="336">
        <v>43786</v>
      </c>
      <c r="G8574" s="336">
        <v>43807</v>
      </c>
      <c r="H8574" s="334" t="s">
        <v>18140</v>
      </c>
      <c r="I8574" s="444">
        <v>13848078500</v>
      </c>
      <c r="J8574" s="348" t="s">
        <v>18141</v>
      </c>
      <c r="K8574" s="452">
        <v>1000</v>
      </c>
      <c r="L8574" s="334">
        <v>13021</v>
      </c>
      <c r="M8574" s="338"/>
      <c r="N8574" s="362">
        <f t="shared" si="289"/>
        <v>13021</v>
      </c>
      <c r="S8574" s="330">
        <v>1</v>
      </c>
      <c r="X8574" s="339"/>
    </row>
    <row r="8575" s="330" customFormat="1" ht="15" customHeight="1" spans="1:24">
      <c r="A8575" s="348" t="s">
        <v>18142</v>
      </c>
      <c r="B8575" s="334" t="s">
        <v>73</v>
      </c>
      <c r="C8575" s="348" t="s">
        <v>74</v>
      </c>
      <c r="D8575" s="335" t="s">
        <v>75</v>
      </c>
      <c r="E8575" s="336">
        <v>43787</v>
      </c>
      <c r="F8575" s="336">
        <v>43786</v>
      </c>
      <c r="G8575" s="399"/>
      <c r="H8575" s="334" t="s">
        <v>5072</v>
      </c>
      <c r="I8575" s="444">
        <v>18930281967</v>
      </c>
      <c r="J8575" s="348" t="s">
        <v>18143</v>
      </c>
      <c r="K8575" s="452">
        <v>1000</v>
      </c>
      <c r="L8575" s="338"/>
      <c r="M8575" s="338"/>
      <c r="N8575" s="362">
        <f t="shared" si="289"/>
        <v>0</v>
      </c>
      <c r="O8575" s="366" t="s">
        <v>52</v>
      </c>
      <c r="X8575" s="339"/>
    </row>
    <row r="8576" s="330" customFormat="1" ht="15" customHeight="1" spans="1:24">
      <c r="A8576" s="348" t="s">
        <v>18144</v>
      </c>
      <c r="B8576" s="334" t="s">
        <v>73</v>
      </c>
      <c r="C8576" s="348" t="s">
        <v>74</v>
      </c>
      <c r="D8576" s="335" t="s">
        <v>75</v>
      </c>
      <c r="E8576" s="336">
        <v>43787</v>
      </c>
      <c r="F8576" s="336">
        <v>43786</v>
      </c>
      <c r="G8576" s="399"/>
      <c r="H8576" s="334" t="s">
        <v>18145</v>
      </c>
      <c r="I8576" s="444">
        <v>13681919310</v>
      </c>
      <c r="J8576" s="348" t="s">
        <v>18146</v>
      </c>
      <c r="K8576" s="452">
        <v>1000</v>
      </c>
      <c r="L8576" s="338"/>
      <c r="M8576" s="338"/>
      <c r="N8576" s="362">
        <f t="shared" si="289"/>
        <v>0</v>
      </c>
      <c r="O8576" s="366" t="s">
        <v>52</v>
      </c>
      <c r="X8576" s="339"/>
    </row>
    <row r="8577" s="330" customFormat="1" ht="15" customHeight="1" spans="1:24">
      <c r="A8577" s="348" t="s">
        <v>11594</v>
      </c>
      <c r="B8577" s="334" t="s">
        <v>315</v>
      </c>
      <c r="C8577" s="334" t="s">
        <v>230</v>
      </c>
      <c r="D8577" s="334" t="s">
        <v>182</v>
      </c>
      <c r="E8577" s="336">
        <v>43788</v>
      </c>
      <c r="F8577" s="336">
        <v>43786</v>
      </c>
      <c r="G8577" s="336">
        <v>43786</v>
      </c>
      <c r="H8577" s="334" t="s">
        <v>15943</v>
      </c>
      <c r="I8577" s="444">
        <v>13585590430</v>
      </c>
      <c r="J8577" s="348" t="s">
        <v>18147</v>
      </c>
      <c r="K8577" s="452">
        <v>1000</v>
      </c>
      <c r="L8577" s="334">
        <v>12194</v>
      </c>
      <c r="M8577" s="338"/>
      <c r="N8577" s="362">
        <f t="shared" si="289"/>
        <v>12194</v>
      </c>
      <c r="X8577" s="339"/>
    </row>
    <row r="8578" s="330" customFormat="1" ht="15" customHeight="1" spans="1:24">
      <c r="A8578" s="348" t="s">
        <v>8755</v>
      </c>
      <c r="B8578" s="334" t="s">
        <v>73</v>
      </c>
      <c r="C8578" s="348" t="s">
        <v>74</v>
      </c>
      <c r="D8578" s="352" t="s">
        <v>75</v>
      </c>
      <c r="E8578" s="336">
        <v>43787</v>
      </c>
      <c r="F8578" s="336">
        <v>43786</v>
      </c>
      <c r="G8578" s="399"/>
      <c r="H8578" s="334" t="s">
        <v>18148</v>
      </c>
      <c r="I8578" s="444">
        <v>13901947401</v>
      </c>
      <c r="J8578" s="348" t="s">
        <v>18149</v>
      </c>
      <c r="K8578" s="452">
        <v>1000</v>
      </c>
      <c r="L8578" s="338"/>
      <c r="M8578" s="338"/>
      <c r="N8578" s="362">
        <f t="shared" si="289"/>
        <v>0</v>
      </c>
      <c r="O8578" s="366"/>
      <c r="R8578" s="405" t="s">
        <v>52</v>
      </c>
      <c r="X8578" s="339"/>
    </row>
    <row r="8579" s="330" customFormat="1" ht="15" customHeight="1" spans="1:24">
      <c r="A8579" s="348" t="s">
        <v>18150</v>
      </c>
      <c r="B8579" s="334" t="s">
        <v>73</v>
      </c>
      <c r="C8579" s="348" t="s">
        <v>74</v>
      </c>
      <c r="D8579" s="334" t="s">
        <v>132</v>
      </c>
      <c r="E8579" s="336">
        <v>43802</v>
      </c>
      <c r="F8579" s="336">
        <v>43786</v>
      </c>
      <c r="G8579" s="336">
        <v>43802</v>
      </c>
      <c r="H8579" s="334" t="s">
        <v>17375</v>
      </c>
      <c r="I8579" s="444">
        <v>13817934070</v>
      </c>
      <c r="J8579" s="348" t="s">
        <v>18151</v>
      </c>
      <c r="K8579" s="452">
        <v>1000</v>
      </c>
      <c r="L8579" s="334">
        <v>20625</v>
      </c>
      <c r="M8579" s="338"/>
      <c r="N8579" s="362">
        <f t="shared" si="289"/>
        <v>20625</v>
      </c>
      <c r="O8579" s="366" t="s">
        <v>52</v>
      </c>
      <c r="X8579" s="339"/>
    </row>
    <row r="8580" s="330" customFormat="1" ht="15" customHeight="1" spans="1:28">
      <c r="A8580" s="550" t="s">
        <v>18152</v>
      </c>
      <c r="B8580" s="334" t="s">
        <v>73</v>
      </c>
      <c r="C8580" s="348" t="s">
        <v>74</v>
      </c>
      <c r="D8580" s="335" t="s">
        <v>75</v>
      </c>
      <c r="E8580" s="336">
        <v>43794</v>
      </c>
      <c r="F8580" s="336">
        <v>43793</v>
      </c>
      <c r="G8580" s="399"/>
      <c r="H8580" s="334" t="s">
        <v>18153</v>
      </c>
      <c r="I8580" s="444">
        <v>13816845290</v>
      </c>
      <c r="J8580" s="348" t="s">
        <v>18154</v>
      </c>
      <c r="K8580" s="452">
        <v>1000</v>
      </c>
      <c r="L8580" s="334"/>
      <c r="M8580" s="334"/>
      <c r="N8580" s="362">
        <f t="shared" si="289"/>
        <v>0</v>
      </c>
      <c r="O8580" s="366" t="s">
        <v>52</v>
      </c>
      <c r="P8580" s="507"/>
      <c r="Q8580" s="507"/>
      <c r="R8580" s="334"/>
      <c r="S8580" s="507"/>
      <c r="T8580" s="507"/>
      <c r="U8580" s="507"/>
      <c r="V8580" s="507"/>
      <c r="W8580" s="507"/>
      <c r="X8580" s="334"/>
      <c r="Y8580" s="507"/>
      <c r="Z8580" s="507"/>
      <c r="AA8580" s="507"/>
      <c r="AB8580" s="507"/>
    </row>
    <row r="8581" s="330" customFormat="1" ht="15" customHeight="1" spans="1:24">
      <c r="A8581" s="348">
        <v>2023295</v>
      </c>
      <c r="B8581" s="334" t="s">
        <v>94</v>
      </c>
      <c r="C8581" s="348" t="s">
        <v>95</v>
      </c>
      <c r="D8581" s="335" t="s">
        <v>49</v>
      </c>
      <c r="E8581" s="336">
        <v>43830</v>
      </c>
      <c r="F8581" s="336">
        <v>43786</v>
      </c>
      <c r="G8581" s="336">
        <v>43829</v>
      </c>
      <c r="H8581" s="334" t="s">
        <v>18155</v>
      </c>
      <c r="I8581" s="444">
        <v>18501796698</v>
      </c>
      <c r="J8581" s="348" t="s">
        <v>18156</v>
      </c>
      <c r="K8581" s="452">
        <v>1000</v>
      </c>
      <c r="L8581" s="334">
        <v>8039</v>
      </c>
      <c r="M8581" s="338"/>
      <c r="N8581" s="362">
        <f t="shared" si="289"/>
        <v>8039</v>
      </c>
      <c r="W8581" s="353">
        <v>12.28</v>
      </c>
      <c r="X8581" s="339"/>
    </row>
    <row r="8582" s="330" customFormat="1" ht="15" customHeight="1" spans="1:24">
      <c r="A8582" s="348">
        <v>2023297</v>
      </c>
      <c r="B8582" s="334" t="s">
        <v>94</v>
      </c>
      <c r="C8582" s="348" t="s">
        <v>3196</v>
      </c>
      <c r="D8582" s="335" t="s">
        <v>49</v>
      </c>
      <c r="E8582" s="336">
        <v>43807</v>
      </c>
      <c r="F8582" s="336">
        <v>43786</v>
      </c>
      <c r="G8582" s="336">
        <v>43806</v>
      </c>
      <c r="H8582" s="334" t="s">
        <v>18157</v>
      </c>
      <c r="I8582" s="444">
        <v>13601851882</v>
      </c>
      <c r="J8582" s="348" t="s">
        <v>18158</v>
      </c>
      <c r="K8582" s="452">
        <v>1000</v>
      </c>
      <c r="L8582" s="334">
        <v>24575</v>
      </c>
      <c r="M8582" s="338"/>
      <c r="N8582" s="362">
        <f t="shared" si="289"/>
        <v>24575</v>
      </c>
      <c r="X8582" s="339"/>
    </row>
    <row r="8583" s="330" customFormat="1" ht="15" customHeight="1" spans="1:24">
      <c r="A8583" s="550" t="s">
        <v>2677</v>
      </c>
      <c r="B8583" s="334" t="s">
        <v>123</v>
      </c>
      <c r="C8583" s="348" t="s">
        <v>32</v>
      </c>
      <c r="D8583" s="335" t="s">
        <v>125</v>
      </c>
      <c r="E8583" s="336">
        <v>43789</v>
      </c>
      <c r="F8583" s="336">
        <v>43787</v>
      </c>
      <c r="G8583" s="336">
        <v>43789</v>
      </c>
      <c r="H8583" s="334" t="s">
        <v>18159</v>
      </c>
      <c r="I8583" s="444">
        <v>15901723624</v>
      </c>
      <c r="J8583" s="348" t="s">
        <v>18160</v>
      </c>
      <c r="K8583" s="452">
        <v>4999</v>
      </c>
      <c r="L8583" s="334">
        <v>4999</v>
      </c>
      <c r="M8583" s="338"/>
      <c r="N8583" s="362">
        <f t="shared" si="289"/>
        <v>4999</v>
      </c>
      <c r="X8583" s="339"/>
    </row>
    <row r="8584" s="330" customFormat="1" ht="15" customHeight="1" spans="1:24">
      <c r="A8584" s="550" t="s">
        <v>18161</v>
      </c>
      <c r="B8584" s="334" t="s">
        <v>805</v>
      </c>
      <c r="C8584" s="348" t="s">
        <v>4935</v>
      </c>
      <c r="D8584" s="335" t="s">
        <v>171</v>
      </c>
      <c r="E8584" s="336">
        <v>43794</v>
      </c>
      <c r="F8584" s="336">
        <v>43787</v>
      </c>
      <c r="G8584" s="336">
        <v>43794</v>
      </c>
      <c r="H8584" s="334" t="s">
        <v>18162</v>
      </c>
      <c r="I8584" s="444">
        <v>15601907767</v>
      </c>
      <c r="J8584" s="348" t="s">
        <v>18163</v>
      </c>
      <c r="K8584" s="452">
        <v>1000</v>
      </c>
      <c r="L8584" s="334">
        <v>9628</v>
      </c>
      <c r="M8584" s="334"/>
      <c r="N8584" s="362">
        <f t="shared" si="289"/>
        <v>9628</v>
      </c>
      <c r="X8584" s="339"/>
    </row>
    <row r="8585" s="330" customFormat="1" ht="15" customHeight="1" spans="1:24">
      <c r="A8585" s="348"/>
      <c r="B8585" s="348" t="s">
        <v>5336</v>
      </c>
      <c r="C8585" s="348" t="s">
        <v>5336</v>
      </c>
      <c r="D8585" s="335" t="s">
        <v>8334</v>
      </c>
      <c r="E8585" s="336">
        <v>43818</v>
      </c>
      <c r="F8585" s="336">
        <v>43787</v>
      </c>
      <c r="G8585" s="336">
        <v>43818</v>
      </c>
      <c r="H8585" s="334" t="s">
        <v>18164</v>
      </c>
      <c r="I8585" s="444">
        <v>15221015947</v>
      </c>
      <c r="J8585" s="348" t="s">
        <v>18165</v>
      </c>
      <c r="K8585" s="452">
        <v>4725</v>
      </c>
      <c r="L8585" s="334">
        <v>4725</v>
      </c>
      <c r="M8585" s="338"/>
      <c r="N8585" s="362">
        <f t="shared" si="289"/>
        <v>4725</v>
      </c>
      <c r="X8585" s="339"/>
    </row>
    <row r="8586" s="330" customFormat="1" ht="15" customHeight="1" spans="1:24">
      <c r="A8586" s="550" t="s">
        <v>16613</v>
      </c>
      <c r="B8586" s="334" t="s">
        <v>31</v>
      </c>
      <c r="C8586" s="348" t="s">
        <v>2716</v>
      </c>
      <c r="D8586" s="334" t="s">
        <v>954</v>
      </c>
      <c r="E8586" s="336">
        <v>43787</v>
      </c>
      <c r="F8586" s="336">
        <v>43778</v>
      </c>
      <c r="G8586" s="399">
        <v>43787</v>
      </c>
      <c r="H8586" s="334" t="s">
        <v>14451</v>
      </c>
      <c r="I8586" s="444">
        <v>17317866196</v>
      </c>
      <c r="J8586" s="348" t="s">
        <v>18166</v>
      </c>
      <c r="K8586" s="452">
        <v>1000</v>
      </c>
      <c r="L8586" s="334">
        <v>4051</v>
      </c>
      <c r="M8586" s="338"/>
      <c r="N8586" s="362">
        <f t="shared" si="289"/>
        <v>4051</v>
      </c>
      <c r="X8586" s="339"/>
    </row>
    <row r="8587" s="330" customFormat="1" ht="15" customHeight="1" spans="1:24">
      <c r="A8587" s="334"/>
      <c r="B8587" s="334" t="s">
        <v>137</v>
      </c>
      <c r="C8587" s="348" t="s">
        <v>861</v>
      </c>
      <c r="D8587" s="334" t="s">
        <v>443</v>
      </c>
      <c r="E8587" s="336">
        <v>43787</v>
      </c>
      <c r="F8587" s="336"/>
      <c r="G8587" s="336">
        <v>43786</v>
      </c>
      <c r="H8587" s="334" t="s">
        <v>18167</v>
      </c>
      <c r="I8587" s="444">
        <v>18001728299</v>
      </c>
      <c r="J8587" s="452" t="s">
        <v>18168</v>
      </c>
      <c r="K8587" s="337"/>
      <c r="L8587" s="334">
        <v>14606</v>
      </c>
      <c r="M8587" s="338"/>
      <c r="N8587" s="362">
        <f t="shared" ref="N8587:N8611" si="290">L8587+M8587</f>
        <v>14606</v>
      </c>
      <c r="X8587" s="339"/>
    </row>
    <row r="8588" s="330" customFormat="1" ht="15" customHeight="1" spans="1:24">
      <c r="A8588" s="334"/>
      <c r="B8588" s="334" t="s">
        <v>405</v>
      </c>
      <c r="C8588" s="334" t="s">
        <v>823</v>
      </c>
      <c r="D8588" s="334" t="s">
        <v>139</v>
      </c>
      <c r="E8588" s="336">
        <v>43787</v>
      </c>
      <c r="F8588" s="336"/>
      <c r="G8588" s="336">
        <v>43786</v>
      </c>
      <c r="H8588" s="334" t="s">
        <v>2466</v>
      </c>
      <c r="I8588" s="334">
        <v>13817599053</v>
      </c>
      <c r="J8588" s="334" t="s">
        <v>18169</v>
      </c>
      <c r="K8588" s="337"/>
      <c r="L8588" s="338"/>
      <c r="M8588" s="334">
        <v>1955</v>
      </c>
      <c r="N8588" s="362">
        <f t="shared" si="290"/>
        <v>1955</v>
      </c>
      <c r="X8588" s="339"/>
    </row>
    <row r="8589" s="330" customFormat="1" ht="15" customHeight="1" spans="1:24">
      <c r="A8589" s="334"/>
      <c r="B8589" s="334" t="s">
        <v>137</v>
      </c>
      <c r="C8589" s="334" t="s">
        <v>480</v>
      </c>
      <c r="D8589" s="334" t="s">
        <v>443</v>
      </c>
      <c r="E8589" s="336">
        <v>43787</v>
      </c>
      <c r="F8589" s="336"/>
      <c r="G8589" s="336">
        <v>43786</v>
      </c>
      <c r="H8589" s="334" t="s">
        <v>11882</v>
      </c>
      <c r="I8589" s="334">
        <v>15800901007</v>
      </c>
      <c r="J8589" s="334" t="s">
        <v>11883</v>
      </c>
      <c r="K8589" s="337"/>
      <c r="L8589" s="338"/>
      <c r="M8589" s="334">
        <v>5136</v>
      </c>
      <c r="N8589" s="362">
        <f t="shared" si="290"/>
        <v>5136</v>
      </c>
      <c r="X8589" s="339"/>
    </row>
    <row r="8590" s="330" customFormat="1" ht="15" customHeight="1" spans="1:24">
      <c r="A8590" s="334"/>
      <c r="B8590" s="334" t="s">
        <v>31</v>
      </c>
      <c r="C8590" s="334" t="s">
        <v>251</v>
      </c>
      <c r="D8590" s="334" t="s">
        <v>33</v>
      </c>
      <c r="E8590" s="336">
        <v>43787</v>
      </c>
      <c r="F8590" s="336"/>
      <c r="G8590" s="336">
        <v>43778</v>
      </c>
      <c r="H8590" s="334" t="s">
        <v>13460</v>
      </c>
      <c r="I8590" s="426">
        <v>17317310537</v>
      </c>
      <c r="J8590" s="334" t="s">
        <v>13461</v>
      </c>
      <c r="K8590" s="337"/>
      <c r="L8590" s="338"/>
      <c r="M8590" s="334">
        <v>-1372</v>
      </c>
      <c r="N8590" s="362">
        <f t="shared" si="290"/>
        <v>-1372</v>
      </c>
      <c r="X8590" s="339"/>
    </row>
    <row r="8591" s="330" customFormat="1" ht="15" customHeight="1" spans="1:24">
      <c r="A8591" s="334"/>
      <c r="B8591" s="334" t="s">
        <v>354</v>
      </c>
      <c r="C8591" s="334" t="s">
        <v>355</v>
      </c>
      <c r="D8591" s="334" t="s">
        <v>162</v>
      </c>
      <c r="E8591" s="336">
        <v>43787</v>
      </c>
      <c r="F8591" s="336"/>
      <c r="G8591" s="336">
        <v>43786</v>
      </c>
      <c r="H8591" s="334" t="s">
        <v>13993</v>
      </c>
      <c r="I8591" s="444">
        <v>15201817279</v>
      </c>
      <c r="J8591" s="348" t="s">
        <v>13994</v>
      </c>
      <c r="K8591" s="337"/>
      <c r="L8591" s="338"/>
      <c r="M8591" s="334">
        <f>4281-1141</f>
        <v>3140</v>
      </c>
      <c r="N8591" s="362">
        <f t="shared" si="290"/>
        <v>3140</v>
      </c>
      <c r="X8591" s="339"/>
    </row>
    <row r="8592" s="330" customFormat="1" ht="15" customHeight="1" spans="1:24">
      <c r="A8592" s="334"/>
      <c r="B8592" s="334" t="s">
        <v>354</v>
      </c>
      <c r="C8592" s="334" t="s">
        <v>355</v>
      </c>
      <c r="D8592" s="334" t="s">
        <v>149</v>
      </c>
      <c r="E8592" s="336">
        <v>43787</v>
      </c>
      <c r="F8592" s="336"/>
      <c r="G8592" s="336">
        <v>43786</v>
      </c>
      <c r="H8592" s="334" t="s">
        <v>6796</v>
      </c>
      <c r="I8592" s="444">
        <v>13391099863</v>
      </c>
      <c r="J8592" s="348" t="s">
        <v>6797</v>
      </c>
      <c r="K8592" s="337"/>
      <c r="L8592" s="338"/>
      <c r="M8592" s="334">
        <v>5938</v>
      </c>
      <c r="N8592" s="362">
        <f t="shared" si="290"/>
        <v>5938</v>
      </c>
      <c r="X8592" s="339"/>
    </row>
    <row r="8593" s="330" customFormat="1" ht="15" customHeight="1" spans="1:24">
      <c r="A8593" s="334"/>
      <c r="B8593" s="334" t="s">
        <v>147</v>
      </c>
      <c r="C8593" s="334" t="s">
        <v>148</v>
      </c>
      <c r="D8593" s="334" t="s">
        <v>8334</v>
      </c>
      <c r="E8593" s="336">
        <v>43787</v>
      </c>
      <c r="F8593" s="336"/>
      <c r="G8593" s="336">
        <v>43775</v>
      </c>
      <c r="H8593" s="334" t="s">
        <v>13064</v>
      </c>
      <c r="I8593" s="426">
        <v>15301939297</v>
      </c>
      <c r="J8593" s="334" t="s">
        <v>13065</v>
      </c>
      <c r="K8593" s="337"/>
      <c r="L8593" s="338"/>
      <c r="M8593" s="334">
        <v>1600</v>
      </c>
      <c r="N8593" s="362">
        <f t="shared" si="290"/>
        <v>1600</v>
      </c>
      <c r="X8593" s="339"/>
    </row>
    <row r="8594" s="330" customFormat="1" ht="15" customHeight="1" spans="1:24">
      <c r="A8594" s="334"/>
      <c r="B8594" s="334" t="s">
        <v>58</v>
      </c>
      <c r="C8594" s="334" t="s">
        <v>347</v>
      </c>
      <c r="D8594" s="334" t="s">
        <v>343</v>
      </c>
      <c r="E8594" s="336">
        <v>43787</v>
      </c>
      <c r="F8594" s="336"/>
      <c r="G8594" s="336">
        <v>43783</v>
      </c>
      <c r="H8594" s="334" t="s">
        <v>14178</v>
      </c>
      <c r="I8594" s="444">
        <v>13310082316</v>
      </c>
      <c r="J8594" s="348" t="s">
        <v>14179</v>
      </c>
      <c r="K8594" s="337"/>
      <c r="L8594" s="338"/>
      <c r="M8594" s="334">
        <v>7400</v>
      </c>
      <c r="N8594" s="362">
        <f t="shared" si="290"/>
        <v>7400</v>
      </c>
      <c r="X8594" s="339"/>
    </row>
    <row r="8595" s="330" customFormat="1" ht="15" customHeight="1" spans="1:24">
      <c r="A8595" s="334"/>
      <c r="B8595" s="334" t="s">
        <v>315</v>
      </c>
      <c r="C8595" s="334" t="s">
        <v>275</v>
      </c>
      <c r="D8595" s="334" t="s">
        <v>162</v>
      </c>
      <c r="E8595" s="336">
        <v>43787</v>
      </c>
      <c r="F8595" s="336"/>
      <c r="G8595" s="336">
        <v>43786</v>
      </c>
      <c r="H8595" s="334" t="s">
        <v>18170</v>
      </c>
      <c r="I8595" s="334">
        <v>18621589262</v>
      </c>
      <c r="J8595" s="348" t="s">
        <v>15295</v>
      </c>
      <c r="K8595" s="337"/>
      <c r="L8595" s="338"/>
      <c r="M8595" s="334">
        <v>3300</v>
      </c>
      <c r="N8595" s="362">
        <f t="shared" si="290"/>
        <v>3300</v>
      </c>
      <c r="X8595" s="339"/>
    </row>
    <row r="8596" s="330" customFormat="1" ht="15" customHeight="1" spans="1:24">
      <c r="A8596" s="334"/>
      <c r="B8596" s="334" t="s">
        <v>137</v>
      </c>
      <c r="C8596" s="334" t="s">
        <v>426</v>
      </c>
      <c r="D8596" s="334" t="s">
        <v>443</v>
      </c>
      <c r="E8596" s="336">
        <v>43787</v>
      </c>
      <c r="F8596" s="336"/>
      <c r="G8596" s="336">
        <v>43786</v>
      </c>
      <c r="H8596" s="334" t="s">
        <v>12605</v>
      </c>
      <c r="I8596" s="334">
        <v>15216614350</v>
      </c>
      <c r="J8596" s="334" t="s">
        <v>18171</v>
      </c>
      <c r="K8596" s="337"/>
      <c r="L8596" s="338"/>
      <c r="M8596" s="334">
        <v>2234</v>
      </c>
      <c r="N8596" s="362">
        <f t="shared" si="290"/>
        <v>2234</v>
      </c>
      <c r="X8596" s="339"/>
    </row>
    <row r="8597" s="330" customFormat="1" ht="15" customHeight="1" spans="1:24">
      <c r="A8597" s="334"/>
      <c r="B8597" s="334" t="s">
        <v>31</v>
      </c>
      <c r="C8597" s="334" t="s">
        <v>377</v>
      </c>
      <c r="D8597" s="334" t="s">
        <v>18172</v>
      </c>
      <c r="E8597" s="336">
        <v>43787</v>
      </c>
      <c r="F8597" s="336"/>
      <c r="G8597" s="336">
        <v>43786</v>
      </c>
      <c r="H8597" s="334" t="s">
        <v>18173</v>
      </c>
      <c r="I8597" s="444">
        <v>13661860466</v>
      </c>
      <c r="J8597" s="348" t="s">
        <v>18174</v>
      </c>
      <c r="K8597" s="337"/>
      <c r="L8597" s="338"/>
      <c r="M8597" s="334">
        <v>3020</v>
      </c>
      <c r="N8597" s="362">
        <f t="shared" si="290"/>
        <v>3020</v>
      </c>
      <c r="X8597" s="339"/>
    </row>
    <row r="8598" s="330" customFormat="1" ht="15" customHeight="1" spans="1:24">
      <c r="A8598" s="334"/>
      <c r="B8598" s="334" t="s">
        <v>31</v>
      </c>
      <c r="C8598" s="334" t="s">
        <v>251</v>
      </c>
      <c r="D8598" s="334" t="s">
        <v>221</v>
      </c>
      <c r="E8598" s="336">
        <v>43787</v>
      </c>
      <c r="F8598" s="336"/>
      <c r="G8598" s="336">
        <v>43787</v>
      </c>
      <c r="H8598" s="334" t="s">
        <v>12460</v>
      </c>
      <c r="I8598" s="334">
        <v>13585564911</v>
      </c>
      <c r="J8598" s="334" t="s">
        <v>14559</v>
      </c>
      <c r="K8598" s="337"/>
      <c r="L8598" s="338"/>
      <c r="M8598" s="334">
        <v>1952</v>
      </c>
      <c r="N8598" s="362">
        <f t="shared" si="290"/>
        <v>1952</v>
      </c>
      <c r="X8598" s="339"/>
    </row>
    <row r="8599" s="330" customFormat="1" ht="15" customHeight="1" spans="1:24">
      <c r="A8599" s="334"/>
      <c r="B8599" s="334" t="s">
        <v>169</v>
      </c>
      <c r="C8599" s="334" t="s">
        <v>634</v>
      </c>
      <c r="D8599" s="334" t="s">
        <v>635</v>
      </c>
      <c r="E8599" s="336">
        <v>43787</v>
      </c>
      <c r="F8599" s="336"/>
      <c r="G8599" s="336">
        <v>43786</v>
      </c>
      <c r="H8599" s="334" t="s">
        <v>10587</v>
      </c>
      <c r="I8599" s="426">
        <v>13916349551</v>
      </c>
      <c r="J8599" s="334" t="s">
        <v>10588</v>
      </c>
      <c r="K8599" s="337"/>
      <c r="L8599" s="338"/>
      <c r="M8599" s="334">
        <v>1469</v>
      </c>
      <c r="N8599" s="362">
        <f t="shared" si="290"/>
        <v>1469</v>
      </c>
      <c r="X8599" s="339"/>
    </row>
    <row r="8600" s="330" customFormat="1" ht="15" customHeight="1" spans="1:24">
      <c r="A8600" s="348">
        <v>2026726</v>
      </c>
      <c r="B8600" s="334" t="s">
        <v>137</v>
      </c>
      <c r="C8600" s="348" t="s">
        <v>138</v>
      </c>
      <c r="D8600" s="334" t="s">
        <v>2381</v>
      </c>
      <c r="E8600" s="336">
        <v>43788</v>
      </c>
      <c r="F8600" s="336">
        <v>43787</v>
      </c>
      <c r="G8600" s="399">
        <v>43787</v>
      </c>
      <c r="H8600" s="334" t="s">
        <v>18175</v>
      </c>
      <c r="I8600" s="450">
        <v>13917879046</v>
      </c>
      <c r="J8600" s="348" t="s">
        <v>18176</v>
      </c>
      <c r="K8600" s="452">
        <v>1000</v>
      </c>
      <c r="L8600" s="334">
        <v>3196</v>
      </c>
      <c r="M8600" s="338"/>
      <c r="N8600" s="362">
        <f t="shared" si="290"/>
        <v>3196</v>
      </c>
      <c r="X8600" s="339"/>
    </row>
    <row r="8601" s="330" customFormat="1" ht="15" customHeight="1" spans="1:24">
      <c r="A8601" s="550" t="s">
        <v>9873</v>
      </c>
      <c r="B8601" s="334" t="s">
        <v>137</v>
      </c>
      <c r="C8601" s="348" t="s">
        <v>411</v>
      </c>
      <c r="D8601" s="334" t="s">
        <v>139</v>
      </c>
      <c r="E8601" s="336">
        <v>43799</v>
      </c>
      <c r="F8601" s="336">
        <v>43787</v>
      </c>
      <c r="G8601" s="336">
        <v>43799</v>
      </c>
      <c r="H8601" s="334" t="s">
        <v>18177</v>
      </c>
      <c r="I8601" s="444">
        <v>13661994379</v>
      </c>
      <c r="J8601" s="348" t="s">
        <v>18178</v>
      </c>
      <c r="K8601" s="452">
        <v>1000</v>
      </c>
      <c r="L8601" s="334">
        <v>27232</v>
      </c>
      <c r="M8601" s="338"/>
      <c r="N8601" s="362">
        <f t="shared" si="290"/>
        <v>27232</v>
      </c>
      <c r="R8601" s="330">
        <v>1</v>
      </c>
      <c r="X8601" s="339"/>
    </row>
    <row r="8602" s="330" customFormat="1" ht="15" customHeight="1" spans="1:24">
      <c r="A8602" s="550" t="s">
        <v>6934</v>
      </c>
      <c r="B8602" s="334" t="s">
        <v>236</v>
      </c>
      <c r="C8602" s="348" t="s">
        <v>703</v>
      </c>
      <c r="D8602" s="334" t="s">
        <v>44</v>
      </c>
      <c r="E8602" s="336">
        <v>43793</v>
      </c>
      <c r="F8602" s="336">
        <v>43786</v>
      </c>
      <c r="G8602" s="336">
        <v>43792</v>
      </c>
      <c r="H8602" s="334" t="s">
        <v>10853</v>
      </c>
      <c r="I8602" s="444">
        <v>13636357680</v>
      </c>
      <c r="J8602" s="348" t="s">
        <v>18179</v>
      </c>
      <c r="K8602" s="452">
        <v>1000</v>
      </c>
      <c r="L8602" s="334">
        <v>5826</v>
      </c>
      <c r="M8602" s="338"/>
      <c r="N8602" s="362">
        <f t="shared" si="290"/>
        <v>5826</v>
      </c>
      <c r="X8602" s="339"/>
    </row>
    <row r="8603" s="330" customFormat="1" ht="15" customHeight="1" spans="1:24">
      <c r="A8603" s="550" t="s">
        <v>18180</v>
      </c>
      <c r="B8603" s="334" t="s">
        <v>58</v>
      </c>
      <c r="C8603" s="348" t="s">
        <v>347</v>
      </c>
      <c r="D8603" s="335" t="s">
        <v>343</v>
      </c>
      <c r="E8603" s="336">
        <v>43788</v>
      </c>
      <c r="F8603" s="336">
        <v>43788</v>
      </c>
      <c r="G8603" s="399"/>
      <c r="H8603" s="334" t="s">
        <v>18181</v>
      </c>
      <c r="I8603" s="444">
        <v>18650314108</v>
      </c>
      <c r="J8603" s="348" t="s">
        <v>18182</v>
      </c>
      <c r="K8603" s="452">
        <v>1000</v>
      </c>
      <c r="L8603" s="338"/>
      <c r="M8603" s="338"/>
      <c r="N8603" s="362">
        <f t="shared" si="290"/>
        <v>0</v>
      </c>
      <c r="O8603" s="365" t="s">
        <v>52</v>
      </c>
      <c r="X8603" s="339"/>
    </row>
    <row r="8604" s="330" customFormat="1" ht="15" customHeight="1" spans="1:24">
      <c r="A8604" s="550" t="s">
        <v>12117</v>
      </c>
      <c r="B8604" s="334" t="s">
        <v>185</v>
      </c>
      <c r="C8604" s="348" t="s">
        <v>886</v>
      </c>
      <c r="D8604" s="334" t="s">
        <v>44</v>
      </c>
      <c r="E8604" s="336">
        <v>43793</v>
      </c>
      <c r="F8604" s="336">
        <v>43788</v>
      </c>
      <c r="G8604" s="336">
        <v>43792</v>
      </c>
      <c r="H8604" s="334" t="s">
        <v>18183</v>
      </c>
      <c r="I8604" s="444">
        <v>18007112881</v>
      </c>
      <c r="J8604" s="348" t="s">
        <v>18184</v>
      </c>
      <c r="K8604" s="452">
        <v>1000</v>
      </c>
      <c r="L8604" s="334">
        <v>13126</v>
      </c>
      <c r="M8604" s="338"/>
      <c r="N8604" s="362">
        <f t="shared" si="290"/>
        <v>13126</v>
      </c>
      <c r="X8604" s="339"/>
    </row>
    <row r="8605" s="330" customFormat="1" ht="15" customHeight="1" spans="1:24">
      <c r="A8605" s="550" t="s">
        <v>18185</v>
      </c>
      <c r="B8605" s="334" t="s">
        <v>31</v>
      </c>
      <c r="C8605" s="348" t="s">
        <v>13171</v>
      </c>
      <c r="D8605" s="335" t="s">
        <v>221</v>
      </c>
      <c r="E8605" s="336">
        <v>43830</v>
      </c>
      <c r="F8605" s="336">
        <v>43780</v>
      </c>
      <c r="G8605" s="336">
        <v>43830</v>
      </c>
      <c r="H8605" s="334" t="s">
        <v>18186</v>
      </c>
      <c r="I8605" s="444">
        <v>13817935238</v>
      </c>
      <c r="J8605" s="348" t="s">
        <v>18187</v>
      </c>
      <c r="K8605" s="452">
        <v>7984</v>
      </c>
      <c r="L8605" s="334">
        <v>7984</v>
      </c>
      <c r="M8605" s="338"/>
      <c r="N8605" s="362">
        <f t="shared" si="290"/>
        <v>7984</v>
      </c>
      <c r="Q8605" s="467" t="s">
        <v>52</v>
      </c>
      <c r="X8605" s="339"/>
    </row>
    <row r="8606" s="330" customFormat="1" ht="15" customHeight="1" spans="1:24">
      <c r="A8606" s="550" t="s">
        <v>6039</v>
      </c>
      <c r="B8606" s="334" t="s">
        <v>58</v>
      </c>
      <c r="C8606" s="348" t="s">
        <v>347</v>
      </c>
      <c r="D8606" s="335" t="s">
        <v>343</v>
      </c>
      <c r="E8606" s="336">
        <v>43821</v>
      </c>
      <c r="F8606" s="336">
        <v>43788</v>
      </c>
      <c r="G8606" s="336">
        <v>43813</v>
      </c>
      <c r="H8606" s="334" t="s">
        <v>18188</v>
      </c>
      <c r="I8606" s="444">
        <v>13774453587</v>
      </c>
      <c r="J8606" s="348" t="s">
        <v>18189</v>
      </c>
      <c r="K8606" s="452">
        <v>10000</v>
      </c>
      <c r="L8606" s="334">
        <v>23452</v>
      </c>
      <c r="M8606" s="338"/>
      <c r="N8606" s="362">
        <f t="shared" si="290"/>
        <v>23452</v>
      </c>
      <c r="O8606" s="365" t="s">
        <v>52</v>
      </c>
      <c r="X8606" s="339"/>
    </row>
    <row r="8607" s="330" customFormat="1" ht="15" customHeight="1" spans="1:24">
      <c r="A8607" s="550" t="s">
        <v>8843</v>
      </c>
      <c r="B8607" s="334" t="s">
        <v>87</v>
      </c>
      <c r="C8607" s="348" t="s">
        <v>199</v>
      </c>
      <c r="D8607" s="334" t="s">
        <v>37</v>
      </c>
      <c r="E8607" s="336">
        <v>43794</v>
      </c>
      <c r="F8607" s="336">
        <v>43788</v>
      </c>
      <c r="G8607" s="336">
        <v>43793</v>
      </c>
      <c r="H8607" s="334" t="s">
        <v>18190</v>
      </c>
      <c r="I8607" s="444">
        <v>13651817807</v>
      </c>
      <c r="J8607" s="348" t="s">
        <v>18191</v>
      </c>
      <c r="K8607" s="452">
        <v>1000</v>
      </c>
      <c r="L8607" s="334">
        <v>14473</v>
      </c>
      <c r="M8607" s="338"/>
      <c r="N8607" s="362">
        <f t="shared" si="290"/>
        <v>14473</v>
      </c>
      <c r="X8607" s="339"/>
    </row>
    <row r="8608" s="330" customFormat="1" ht="15" customHeight="1" spans="1:24">
      <c r="A8608" s="550" t="s">
        <v>2518</v>
      </c>
      <c r="B8608" s="334" t="s">
        <v>31</v>
      </c>
      <c r="C8608" s="348" t="s">
        <v>419</v>
      </c>
      <c r="D8608" s="334" t="s">
        <v>33</v>
      </c>
      <c r="E8608" s="336">
        <v>43792</v>
      </c>
      <c r="F8608" s="336">
        <v>43788</v>
      </c>
      <c r="G8608" s="336">
        <v>43791</v>
      </c>
      <c r="H8608" s="334" t="s">
        <v>18192</v>
      </c>
      <c r="I8608" s="444">
        <v>13166227718</v>
      </c>
      <c r="J8608" s="348" t="s">
        <v>18193</v>
      </c>
      <c r="K8608" s="452">
        <v>1000</v>
      </c>
      <c r="L8608" s="334">
        <v>8135</v>
      </c>
      <c r="M8608" s="338"/>
      <c r="N8608" s="362">
        <f t="shared" si="290"/>
        <v>8135</v>
      </c>
      <c r="X8608" s="339"/>
    </row>
    <row r="8609" s="330" customFormat="1" ht="15" customHeight="1" spans="1:24">
      <c r="A8609" s="550" t="s">
        <v>18194</v>
      </c>
      <c r="B8609" s="334" t="s">
        <v>315</v>
      </c>
      <c r="C8609" s="348" t="s">
        <v>181</v>
      </c>
      <c r="D8609" s="334" t="s">
        <v>1431</v>
      </c>
      <c r="E8609" s="336">
        <v>43789</v>
      </c>
      <c r="F8609" s="336">
        <v>43788</v>
      </c>
      <c r="G8609" s="336">
        <v>43788</v>
      </c>
      <c r="H8609" s="334" t="s">
        <v>18195</v>
      </c>
      <c r="I8609" s="444">
        <v>13621664003</v>
      </c>
      <c r="J8609" s="348" t="s">
        <v>18196</v>
      </c>
      <c r="K8609" s="452">
        <v>3946</v>
      </c>
      <c r="L8609" s="334">
        <v>4622</v>
      </c>
      <c r="M8609" s="338"/>
      <c r="N8609" s="362">
        <f t="shared" si="290"/>
        <v>4622</v>
      </c>
      <c r="X8609" s="339"/>
    </row>
    <row r="8610" s="330" customFormat="1" ht="15" customHeight="1" spans="1:24">
      <c r="A8610" s="550" t="s">
        <v>18197</v>
      </c>
      <c r="B8610" s="334" t="s">
        <v>58</v>
      </c>
      <c r="C8610" s="348" t="s">
        <v>342</v>
      </c>
      <c r="D8610" s="334" t="s">
        <v>110</v>
      </c>
      <c r="E8610" s="336">
        <v>43788</v>
      </c>
      <c r="F8610" s="336">
        <v>43739</v>
      </c>
      <c r="G8610" s="399">
        <v>43788</v>
      </c>
      <c r="H8610" s="334" t="s">
        <v>18198</v>
      </c>
      <c r="I8610" s="444">
        <v>18621855256</v>
      </c>
      <c r="J8610" s="348" t="s">
        <v>18199</v>
      </c>
      <c r="K8610" s="452">
        <v>28500</v>
      </c>
      <c r="L8610" s="334">
        <v>28500</v>
      </c>
      <c r="M8610" s="338"/>
      <c r="N8610" s="362">
        <f t="shared" si="290"/>
        <v>28500</v>
      </c>
      <c r="X8610" s="339"/>
    </row>
    <row r="8611" s="330" customFormat="1" ht="15" customHeight="1" spans="1:24">
      <c r="A8611" s="550" t="s">
        <v>15843</v>
      </c>
      <c r="B8611" s="334" t="s">
        <v>31</v>
      </c>
      <c r="C8611" s="348" t="s">
        <v>419</v>
      </c>
      <c r="D8611" s="335" t="s">
        <v>221</v>
      </c>
      <c r="E8611" s="336">
        <v>43788</v>
      </c>
      <c r="F8611" s="336">
        <v>43788</v>
      </c>
      <c r="G8611" s="399"/>
      <c r="H8611" s="334" t="s">
        <v>18200</v>
      </c>
      <c r="I8611" s="444">
        <v>13774272353</v>
      </c>
      <c r="J8611" s="348" t="s">
        <v>18201</v>
      </c>
      <c r="K8611" s="452">
        <v>3360</v>
      </c>
      <c r="L8611" s="338"/>
      <c r="M8611" s="338"/>
      <c r="N8611" s="362">
        <f t="shared" si="290"/>
        <v>0</v>
      </c>
      <c r="U8611" s="353" t="s">
        <v>40</v>
      </c>
      <c r="X8611" s="339"/>
    </row>
    <row r="8612" s="330" customFormat="1" ht="15" customHeight="1" spans="1:24">
      <c r="A8612" s="334"/>
      <c r="B8612" s="334" t="s">
        <v>58</v>
      </c>
      <c r="C8612" s="334" t="s">
        <v>347</v>
      </c>
      <c r="D8612" s="334" t="s">
        <v>343</v>
      </c>
      <c r="E8612" s="336">
        <v>43788</v>
      </c>
      <c r="F8612" s="336"/>
      <c r="G8612" s="336">
        <v>43786</v>
      </c>
      <c r="H8612" s="334" t="s">
        <v>18202</v>
      </c>
      <c r="I8612" s="444">
        <v>13816922849</v>
      </c>
      <c r="J8612" s="348" t="s">
        <v>18203</v>
      </c>
      <c r="K8612" s="337"/>
      <c r="L8612" s="334">
        <v>15712</v>
      </c>
      <c r="M8612" s="338"/>
      <c r="N8612" s="362">
        <f t="shared" ref="N8612:N8618" si="291">L8612+M8612</f>
        <v>15712</v>
      </c>
      <c r="X8612" s="339"/>
    </row>
    <row r="8613" s="330" customFormat="1" ht="15" customHeight="1" spans="1:24">
      <c r="A8613" s="334"/>
      <c r="B8613" s="334" t="s">
        <v>58</v>
      </c>
      <c r="C8613" s="334" t="s">
        <v>794</v>
      </c>
      <c r="D8613" s="335" t="s">
        <v>110</v>
      </c>
      <c r="E8613" s="336">
        <v>43788</v>
      </c>
      <c r="F8613" s="336"/>
      <c r="G8613" s="336">
        <v>43787</v>
      </c>
      <c r="H8613" s="334" t="s">
        <v>18204</v>
      </c>
      <c r="I8613" s="426">
        <v>13585773710</v>
      </c>
      <c r="J8613" s="334" t="s">
        <v>11985</v>
      </c>
      <c r="K8613" s="337"/>
      <c r="L8613" s="334">
        <v>11384</v>
      </c>
      <c r="M8613" s="338"/>
      <c r="N8613" s="362">
        <f t="shared" si="291"/>
        <v>11384</v>
      </c>
      <c r="X8613" s="339"/>
    </row>
    <row r="8614" s="330" customFormat="1" ht="15" customHeight="1" spans="1:24">
      <c r="A8614" s="334"/>
      <c r="B8614" s="334" t="s">
        <v>31</v>
      </c>
      <c r="C8614" s="334" t="s">
        <v>3186</v>
      </c>
      <c r="D8614" s="334" t="s">
        <v>954</v>
      </c>
      <c r="E8614" s="336">
        <v>43788</v>
      </c>
      <c r="F8614" s="336"/>
      <c r="G8614" s="336">
        <v>43787</v>
      </c>
      <c r="H8614" s="334" t="s">
        <v>18205</v>
      </c>
      <c r="I8614" s="444">
        <v>13651986437</v>
      </c>
      <c r="J8614" s="348" t="s">
        <v>18206</v>
      </c>
      <c r="K8614" s="337"/>
      <c r="L8614" s="334">
        <v>5455</v>
      </c>
      <c r="M8614" s="338"/>
      <c r="N8614" s="362">
        <f t="shared" si="291"/>
        <v>5455</v>
      </c>
      <c r="X8614" s="339"/>
    </row>
    <row r="8615" s="330" customFormat="1" ht="15" customHeight="1" spans="1:24">
      <c r="A8615" s="334"/>
      <c r="B8615" s="334" t="s">
        <v>137</v>
      </c>
      <c r="C8615" s="334" t="s">
        <v>480</v>
      </c>
      <c r="D8615" s="334" t="s">
        <v>139</v>
      </c>
      <c r="E8615" s="336">
        <v>43788</v>
      </c>
      <c r="F8615" s="336"/>
      <c r="G8615" s="336">
        <v>43788</v>
      </c>
      <c r="H8615" s="334" t="s">
        <v>18207</v>
      </c>
      <c r="I8615" s="444">
        <v>13564808361</v>
      </c>
      <c r="J8615" s="348" t="s">
        <v>17146</v>
      </c>
      <c r="K8615" s="337"/>
      <c r="L8615" s="334">
        <v>4978</v>
      </c>
      <c r="M8615" s="338"/>
      <c r="N8615" s="362">
        <f t="shared" si="291"/>
        <v>4978</v>
      </c>
      <c r="X8615" s="339"/>
    </row>
    <row r="8616" s="330" customFormat="1" ht="15" customHeight="1" spans="1:24">
      <c r="A8616" s="334"/>
      <c r="B8616" s="334" t="s">
        <v>16169</v>
      </c>
      <c r="C8616" s="334" t="s">
        <v>16170</v>
      </c>
      <c r="D8616" s="335" t="s">
        <v>49</v>
      </c>
      <c r="E8616" s="336">
        <v>43788</v>
      </c>
      <c r="F8616" s="336"/>
      <c r="G8616" s="336">
        <v>43788</v>
      </c>
      <c r="H8616" s="334" t="s">
        <v>18208</v>
      </c>
      <c r="I8616" s="444">
        <v>18939709477</v>
      </c>
      <c r="J8616" s="348" t="s">
        <v>18209</v>
      </c>
      <c r="K8616" s="337"/>
      <c r="L8616" s="334">
        <v>10985</v>
      </c>
      <c r="M8616" s="338"/>
      <c r="N8616" s="362">
        <f t="shared" si="291"/>
        <v>10985</v>
      </c>
      <c r="X8616" s="339"/>
    </row>
    <row r="8617" s="330" customFormat="1" ht="15" customHeight="1" spans="1:24">
      <c r="A8617" s="334"/>
      <c r="B8617" s="334" t="s">
        <v>16169</v>
      </c>
      <c r="C8617" s="334" t="s">
        <v>16170</v>
      </c>
      <c r="D8617" s="335" t="s">
        <v>49</v>
      </c>
      <c r="E8617" s="336">
        <v>43788</v>
      </c>
      <c r="F8617" s="336"/>
      <c r="G8617" s="336">
        <v>43788</v>
      </c>
      <c r="H8617" s="334" t="s">
        <v>18210</v>
      </c>
      <c r="I8617" s="444">
        <v>13601620388</v>
      </c>
      <c r="J8617" s="348" t="s">
        <v>18211</v>
      </c>
      <c r="K8617" s="337"/>
      <c r="L8617" s="334">
        <v>9715</v>
      </c>
      <c r="M8617" s="338"/>
      <c r="N8617" s="362">
        <f t="shared" si="291"/>
        <v>9715</v>
      </c>
      <c r="X8617" s="339"/>
    </row>
    <row r="8618" s="330" customFormat="1" ht="15" customHeight="1" spans="1:24">
      <c r="A8618" s="334"/>
      <c r="B8618" s="334" t="s">
        <v>354</v>
      </c>
      <c r="C8618" s="334" t="s">
        <v>355</v>
      </c>
      <c r="D8618" s="334" t="s">
        <v>237</v>
      </c>
      <c r="E8618" s="336">
        <v>43788</v>
      </c>
      <c r="F8618" s="336"/>
      <c r="G8618" s="336">
        <v>43787</v>
      </c>
      <c r="H8618" s="334" t="s">
        <v>14626</v>
      </c>
      <c r="I8618" s="444">
        <v>18918557716</v>
      </c>
      <c r="J8618" s="348" t="s">
        <v>14627</v>
      </c>
      <c r="K8618" s="337"/>
      <c r="L8618" s="338"/>
      <c r="M8618" s="334">
        <v>1870</v>
      </c>
      <c r="N8618" s="362">
        <f t="shared" ref="N8618:N8625" si="292">L8618+M8618</f>
        <v>1870</v>
      </c>
      <c r="X8618" s="339"/>
    </row>
    <row r="8619" s="330" customFormat="1" ht="15" customHeight="1" spans="1:24">
      <c r="A8619" s="334"/>
      <c r="B8619" s="334" t="s">
        <v>58</v>
      </c>
      <c r="C8619" s="334" t="s">
        <v>109</v>
      </c>
      <c r="D8619" s="334" t="s">
        <v>110</v>
      </c>
      <c r="E8619" s="336">
        <v>43788</v>
      </c>
      <c r="F8619" s="336"/>
      <c r="G8619" s="336">
        <v>43787</v>
      </c>
      <c r="H8619" s="334" t="s">
        <v>11988</v>
      </c>
      <c r="I8619" s="334">
        <v>18918253885</v>
      </c>
      <c r="J8619" s="334" t="s">
        <v>11989</v>
      </c>
      <c r="K8619" s="337"/>
      <c r="L8619" s="338"/>
      <c r="M8619" s="334">
        <v>394</v>
      </c>
      <c r="N8619" s="362">
        <f t="shared" si="292"/>
        <v>394</v>
      </c>
      <c r="X8619" s="339"/>
    </row>
    <row r="8620" s="330" customFormat="1" ht="15" customHeight="1" spans="1:24">
      <c r="A8620" s="334"/>
      <c r="B8620" s="334" t="s">
        <v>236</v>
      </c>
      <c r="C8620" s="334" t="s">
        <v>703</v>
      </c>
      <c r="D8620" s="334" t="s">
        <v>125</v>
      </c>
      <c r="E8620" s="336">
        <v>43788</v>
      </c>
      <c r="F8620" s="336"/>
      <c r="G8620" s="336">
        <v>43786</v>
      </c>
      <c r="H8620" s="334" t="s">
        <v>10477</v>
      </c>
      <c r="I8620" s="334">
        <v>13002113276</v>
      </c>
      <c r="J8620" s="348" t="s">
        <v>10478</v>
      </c>
      <c r="K8620" s="337"/>
      <c r="L8620" s="338"/>
      <c r="M8620" s="334">
        <v>6799</v>
      </c>
      <c r="N8620" s="362">
        <f t="shared" si="292"/>
        <v>6799</v>
      </c>
      <c r="X8620" s="339"/>
    </row>
    <row r="8621" s="330" customFormat="1" ht="15" customHeight="1" spans="1:24">
      <c r="A8621" s="334"/>
      <c r="B8621" s="334" t="s">
        <v>31</v>
      </c>
      <c r="C8621" s="334" t="s">
        <v>3186</v>
      </c>
      <c r="D8621" s="334" t="s">
        <v>954</v>
      </c>
      <c r="E8621" s="336">
        <v>43788</v>
      </c>
      <c r="F8621" s="336"/>
      <c r="G8621" s="336">
        <v>43785</v>
      </c>
      <c r="H8621" s="334" t="s">
        <v>8129</v>
      </c>
      <c r="I8621" s="334">
        <v>18605712978</v>
      </c>
      <c r="J8621" s="334" t="s">
        <v>18212</v>
      </c>
      <c r="K8621" s="337"/>
      <c r="L8621" s="338"/>
      <c r="M8621" s="334">
        <v>713</v>
      </c>
      <c r="N8621" s="362">
        <f t="shared" si="292"/>
        <v>713</v>
      </c>
      <c r="X8621" s="339"/>
    </row>
    <row r="8622" s="330" customFormat="1" ht="15" customHeight="1" spans="1:24">
      <c r="A8622" s="334"/>
      <c r="B8622" s="334" t="s">
        <v>205</v>
      </c>
      <c r="C8622" s="334" t="s">
        <v>1467</v>
      </c>
      <c r="D8622" s="334" t="s">
        <v>125</v>
      </c>
      <c r="E8622" s="336">
        <v>43788</v>
      </c>
      <c r="F8622" s="336"/>
      <c r="G8622" s="336">
        <v>43785</v>
      </c>
      <c r="H8622" s="334" t="s">
        <v>11942</v>
      </c>
      <c r="I8622" s="334">
        <v>13917040889</v>
      </c>
      <c r="J8622" s="334" t="s">
        <v>13870</v>
      </c>
      <c r="K8622" s="337"/>
      <c r="L8622" s="338"/>
      <c r="M8622" s="334">
        <v>1605</v>
      </c>
      <c r="N8622" s="362">
        <f t="shared" si="292"/>
        <v>1605</v>
      </c>
      <c r="X8622" s="339"/>
    </row>
    <row r="8623" s="330" customFormat="1" ht="15" customHeight="1" spans="1:24">
      <c r="A8623" s="334"/>
      <c r="B8623" s="334" t="s">
        <v>66</v>
      </c>
      <c r="C8623" s="334" t="s">
        <v>119</v>
      </c>
      <c r="D8623" s="334" t="s">
        <v>2302</v>
      </c>
      <c r="E8623" s="336">
        <v>43788</v>
      </c>
      <c r="F8623" s="336"/>
      <c r="G8623" s="336">
        <v>43782</v>
      </c>
      <c r="H8623" s="334" t="s">
        <v>3547</v>
      </c>
      <c r="I8623" s="444">
        <v>18017728831</v>
      </c>
      <c r="J8623" s="348" t="s">
        <v>17811</v>
      </c>
      <c r="K8623" s="337"/>
      <c r="L8623" s="338"/>
      <c r="M8623" s="334">
        <v>-300</v>
      </c>
      <c r="N8623" s="362">
        <f t="shared" si="292"/>
        <v>-300</v>
      </c>
      <c r="X8623" s="339"/>
    </row>
    <row r="8624" s="330" customFormat="1" ht="15" customHeight="1" spans="1:24">
      <c r="A8624" s="334"/>
      <c r="B8624" s="334" t="s">
        <v>315</v>
      </c>
      <c r="C8624" s="334" t="s">
        <v>161</v>
      </c>
      <c r="D8624" s="334" t="s">
        <v>162</v>
      </c>
      <c r="E8624" s="336">
        <v>43788</v>
      </c>
      <c r="F8624" s="336"/>
      <c r="G8624" s="336">
        <v>43788</v>
      </c>
      <c r="H8624" s="334" t="s">
        <v>13638</v>
      </c>
      <c r="I8624" s="426">
        <v>18116337066</v>
      </c>
      <c r="J8624" s="334" t="s">
        <v>15480</v>
      </c>
      <c r="K8624" s="337"/>
      <c r="L8624" s="338"/>
      <c r="M8624" s="334">
        <v>3230</v>
      </c>
      <c r="N8624" s="362">
        <f t="shared" si="292"/>
        <v>3230</v>
      </c>
      <c r="X8624" s="339"/>
    </row>
    <row r="8625" s="330" customFormat="1" ht="15" customHeight="1" spans="1:24">
      <c r="A8625" s="334"/>
      <c r="B8625" s="334" t="s">
        <v>73</v>
      </c>
      <c r="C8625" s="334" t="s">
        <v>74</v>
      </c>
      <c r="D8625" s="334" t="s">
        <v>717</v>
      </c>
      <c r="E8625" s="336">
        <v>43788</v>
      </c>
      <c r="F8625" s="336"/>
      <c r="G8625" s="336">
        <v>43788</v>
      </c>
      <c r="H8625" s="334" t="s">
        <v>975</v>
      </c>
      <c r="I8625" s="444">
        <v>15601690228</v>
      </c>
      <c r="J8625" s="334" t="s">
        <v>13540</v>
      </c>
      <c r="K8625" s="337"/>
      <c r="L8625" s="338"/>
      <c r="M8625" s="334">
        <v>3871</v>
      </c>
      <c r="N8625" s="362">
        <f t="shared" si="292"/>
        <v>3871</v>
      </c>
      <c r="X8625" s="339"/>
    </row>
    <row r="8626" s="330" customFormat="1" ht="15" customHeight="1" spans="1:24">
      <c r="A8626" s="348" t="s">
        <v>18213</v>
      </c>
      <c r="B8626" s="334" t="s">
        <v>66</v>
      </c>
      <c r="C8626" s="348" t="s">
        <v>15301</v>
      </c>
      <c r="D8626" s="334" t="s">
        <v>2302</v>
      </c>
      <c r="E8626" s="336">
        <v>43792</v>
      </c>
      <c r="F8626" s="336">
        <v>43785</v>
      </c>
      <c r="G8626" s="336">
        <v>43791</v>
      </c>
      <c r="H8626" s="334" t="s">
        <v>18214</v>
      </c>
      <c r="I8626" s="444">
        <v>15900695662</v>
      </c>
      <c r="J8626" s="348" t="s">
        <v>18215</v>
      </c>
      <c r="K8626" s="452">
        <v>2381</v>
      </c>
      <c r="L8626" s="334">
        <v>2381</v>
      </c>
      <c r="M8626" s="334">
        <v>1572</v>
      </c>
      <c r="N8626" s="362">
        <f t="shared" ref="N8626:N8673" si="293">L8626+M8626</f>
        <v>3953</v>
      </c>
      <c r="X8626" s="339"/>
    </row>
    <row r="8627" s="330" customFormat="1" ht="15" customHeight="1" spans="1:24">
      <c r="A8627" s="348" t="s">
        <v>18216</v>
      </c>
      <c r="B8627" s="334" t="s">
        <v>58</v>
      </c>
      <c r="C8627" s="348" t="s">
        <v>342</v>
      </c>
      <c r="D8627" s="334" t="s">
        <v>343</v>
      </c>
      <c r="E8627" s="336">
        <v>43793</v>
      </c>
      <c r="F8627" s="336">
        <v>43788</v>
      </c>
      <c r="G8627" s="336">
        <v>43792</v>
      </c>
      <c r="H8627" s="334" t="s">
        <v>18217</v>
      </c>
      <c r="I8627" s="444">
        <v>13774242495</v>
      </c>
      <c r="J8627" s="348" t="s">
        <v>18218</v>
      </c>
      <c r="K8627" s="452">
        <v>1000</v>
      </c>
      <c r="L8627" s="334">
        <v>9981</v>
      </c>
      <c r="M8627" s="338"/>
      <c r="N8627" s="362">
        <f t="shared" si="293"/>
        <v>9981</v>
      </c>
      <c r="X8627" s="339"/>
    </row>
    <row r="8628" s="330" customFormat="1" ht="15" customHeight="1" spans="1:24">
      <c r="A8628" s="348" t="s">
        <v>18219</v>
      </c>
      <c r="B8628" s="334" t="s">
        <v>58</v>
      </c>
      <c r="C8628" s="348" t="s">
        <v>342</v>
      </c>
      <c r="D8628" s="334" t="s">
        <v>343</v>
      </c>
      <c r="E8628" s="336">
        <v>43792</v>
      </c>
      <c r="F8628" s="336">
        <v>43788</v>
      </c>
      <c r="G8628" s="336">
        <v>43791</v>
      </c>
      <c r="H8628" s="334" t="s">
        <v>18220</v>
      </c>
      <c r="I8628" s="444">
        <v>18611988568</v>
      </c>
      <c r="J8628" s="348" t="s">
        <v>18221</v>
      </c>
      <c r="K8628" s="452">
        <v>2598</v>
      </c>
      <c r="L8628" s="334">
        <v>7928</v>
      </c>
      <c r="M8628" s="338"/>
      <c r="N8628" s="362">
        <f t="shared" si="293"/>
        <v>7928</v>
      </c>
      <c r="X8628" s="339"/>
    </row>
    <row r="8629" s="330" customFormat="1" ht="15" customHeight="1" spans="1:24">
      <c r="A8629" s="348" t="s">
        <v>18222</v>
      </c>
      <c r="B8629" s="334" t="s">
        <v>169</v>
      </c>
      <c r="C8629" s="348" t="s">
        <v>634</v>
      </c>
      <c r="D8629" s="334" t="s">
        <v>171</v>
      </c>
      <c r="E8629" s="336">
        <v>43797</v>
      </c>
      <c r="F8629" s="336">
        <v>43788</v>
      </c>
      <c r="G8629" s="336">
        <v>43792</v>
      </c>
      <c r="H8629" s="334" t="s">
        <v>18223</v>
      </c>
      <c r="I8629" s="444">
        <v>17717098843</v>
      </c>
      <c r="J8629" s="348" t="s">
        <v>18224</v>
      </c>
      <c r="K8629" s="452">
        <v>1000</v>
      </c>
      <c r="L8629" s="334">
        <v>5416</v>
      </c>
      <c r="M8629" s="338"/>
      <c r="N8629" s="362">
        <f t="shared" si="293"/>
        <v>5416</v>
      </c>
      <c r="X8629" s="339"/>
    </row>
    <row r="8630" s="330" customFormat="1" ht="15" customHeight="1" spans="1:24">
      <c r="A8630" s="348">
        <v>2024284</v>
      </c>
      <c r="B8630" s="334" t="s">
        <v>335</v>
      </c>
      <c r="C8630" s="348" t="s">
        <v>615</v>
      </c>
      <c r="D8630" s="335" t="s">
        <v>337</v>
      </c>
      <c r="E8630" s="336">
        <v>43814</v>
      </c>
      <c r="F8630" s="336">
        <v>43788</v>
      </c>
      <c r="G8630" s="336">
        <v>43813</v>
      </c>
      <c r="H8630" s="334" t="s">
        <v>18225</v>
      </c>
      <c r="I8630" s="444">
        <v>13816966929</v>
      </c>
      <c r="J8630" s="348" t="s">
        <v>18226</v>
      </c>
      <c r="K8630" s="452">
        <v>1000</v>
      </c>
      <c r="L8630" s="334">
        <v>18500</v>
      </c>
      <c r="M8630" s="338"/>
      <c r="N8630" s="362">
        <f t="shared" si="293"/>
        <v>18500</v>
      </c>
      <c r="X8630" s="339"/>
    </row>
    <row r="8631" s="330" customFormat="1" ht="15" customHeight="1" spans="1:24">
      <c r="A8631" s="550" t="s">
        <v>18227</v>
      </c>
      <c r="B8631" s="334" t="s">
        <v>169</v>
      </c>
      <c r="C8631" s="348" t="s">
        <v>542</v>
      </c>
      <c r="D8631" s="335" t="s">
        <v>171</v>
      </c>
      <c r="E8631" s="336">
        <v>43797</v>
      </c>
      <c r="F8631" s="336">
        <v>43789</v>
      </c>
      <c r="G8631" s="336">
        <v>43797</v>
      </c>
      <c r="H8631" s="334" t="s">
        <v>18228</v>
      </c>
      <c r="I8631" s="444">
        <v>13666588792</v>
      </c>
      <c r="J8631" s="348" t="s">
        <v>18229</v>
      </c>
      <c r="K8631" s="452">
        <v>14352</v>
      </c>
      <c r="L8631" s="334">
        <v>27540</v>
      </c>
      <c r="M8631" s="338"/>
      <c r="N8631" s="362">
        <f t="shared" si="293"/>
        <v>27540</v>
      </c>
      <c r="X8631" s="339"/>
    </row>
    <row r="8632" s="330" customFormat="1" ht="15" customHeight="1" spans="1:24">
      <c r="A8632" s="550" t="s">
        <v>18230</v>
      </c>
      <c r="B8632" s="334" t="s">
        <v>315</v>
      </c>
      <c r="C8632" s="348" t="s">
        <v>275</v>
      </c>
      <c r="D8632" s="334" t="s">
        <v>162</v>
      </c>
      <c r="E8632" s="336">
        <v>43789</v>
      </c>
      <c r="F8632" s="336">
        <v>43789</v>
      </c>
      <c r="G8632" s="399">
        <v>43789</v>
      </c>
      <c r="H8632" s="334" t="s">
        <v>18231</v>
      </c>
      <c r="I8632" s="444">
        <v>13636598080</v>
      </c>
      <c r="J8632" s="348" t="s">
        <v>18232</v>
      </c>
      <c r="K8632" s="452">
        <v>12000</v>
      </c>
      <c r="L8632" s="334">
        <v>12000</v>
      </c>
      <c r="M8632" s="338"/>
      <c r="N8632" s="362">
        <f t="shared" si="293"/>
        <v>12000</v>
      </c>
      <c r="X8632" s="339"/>
    </row>
    <row r="8633" s="330" customFormat="1" ht="15" customHeight="1" spans="1:24">
      <c r="A8633" s="550" t="s">
        <v>18233</v>
      </c>
      <c r="B8633" s="334" t="s">
        <v>185</v>
      </c>
      <c r="C8633" s="348" t="s">
        <v>886</v>
      </c>
      <c r="D8633" s="335" t="s">
        <v>187</v>
      </c>
      <c r="E8633" s="336">
        <v>43789</v>
      </c>
      <c r="F8633" s="336">
        <v>43786</v>
      </c>
      <c r="G8633" s="399"/>
      <c r="H8633" s="334" t="s">
        <v>18234</v>
      </c>
      <c r="I8633" s="444">
        <v>13616522679</v>
      </c>
      <c r="J8633" s="348" t="s">
        <v>18235</v>
      </c>
      <c r="K8633" s="452">
        <v>1000</v>
      </c>
      <c r="L8633" s="338"/>
      <c r="M8633" s="338"/>
      <c r="N8633" s="362">
        <f t="shared" si="293"/>
        <v>0</v>
      </c>
      <c r="O8633" s="467" t="s">
        <v>52</v>
      </c>
      <c r="X8633" s="339"/>
    </row>
    <row r="8634" s="330" customFormat="1" ht="15" customHeight="1" spans="1:24">
      <c r="A8634" s="348"/>
      <c r="B8634" s="334" t="s">
        <v>185</v>
      </c>
      <c r="C8634" s="348" t="s">
        <v>886</v>
      </c>
      <c r="D8634" s="335" t="s">
        <v>187</v>
      </c>
      <c r="E8634" s="336">
        <v>43789</v>
      </c>
      <c r="F8634" s="336">
        <v>43786</v>
      </c>
      <c r="G8634" s="399"/>
      <c r="H8634" s="334" t="s">
        <v>18236</v>
      </c>
      <c r="I8634" s="444">
        <v>18817368231</v>
      </c>
      <c r="J8634" s="348" t="s">
        <v>18237</v>
      </c>
      <c r="K8634" s="452">
        <v>1000</v>
      </c>
      <c r="L8634" s="338"/>
      <c r="M8634" s="338"/>
      <c r="N8634" s="362">
        <f t="shared" si="293"/>
        <v>0</v>
      </c>
      <c r="O8634" s="467" t="s">
        <v>52</v>
      </c>
      <c r="X8634" s="339"/>
    </row>
    <row r="8635" s="330" customFormat="1" ht="15" customHeight="1" spans="1:24">
      <c r="A8635" s="348"/>
      <c r="B8635" s="334" t="s">
        <v>185</v>
      </c>
      <c r="C8635" s="348" t="s">
        <v>886</v>
      </c>
      <c r="D8635" s="335" t="s">
        <v>187</v>
      </c>
      <c r="E8635" s="336">
        <v>43789</v>
      </c>
      <c r="F8635" s="336">
        <v>43786</v>
      </c>
      <c r="G8635" s="399"/>
      <c r="H8635" s="334" t="s">
        <v>18238</v>
      </c>
      <c r="I8635" s="444">
        <v>13689017965</v>
      </c>
      <c r="J8635" s="348" t="s">
        <v>18239</v>
      </c>
      <c r="K8635" s="452">
        <v>1000</v>
      </c>
      <c r="L8635" s="338"/>
      <c r="M8635" s="338"/>
      <c r="N8635" s="362">
        <f t="shared" si="293"/>
        <v>0</v>
      </c>
      <c r="O8635" s="467" t="s">
        <v>52</v>
      </c>
      <c r="X8635" s="339"/>
    </row>
    <row r="8636" s="330" customFormat="1" ht="15" customHeight="1" spans="1:24">
      <c r="A8636" s="550" t="s">
        <v>10357</v>
      </c>
      <c r="B8636" s="334" t="s">
        <v>185</v>
      </c>
      <c r="C8636" s="348" t="s">
        <v>1620</v>
      </c>
      <c r="D8636" s="335" t="s">
        <v>44</v>
      </c>
      <c r="E8636" s="336">
        <v>43789</v>
      </c>
      <c r="F8636" s="336">
        <v>43786</v>
      </c>
      <c r="G8636" s="399"/>
      <c r="H8636" s="334" t="s">
        <v>18240</v>
      </c>
      <c r="I8636" s="444">
        <v>17717685168</v>
      </c>
      <c r="J8636" s="348" t="s">
        <v>18241</v>
      </c>
      <c r="K8636" s="452">
        <v>1000</v>
      </c>
      <c r="L8636" s="338"/>
      <c r="M8636" s="338"/>
      <c r="N8636" s="362">
        <f t="shared" si="293"/>
        <v>0</v>
      </c>
      <c r="O8636" s="467" t="s">
        <v>52</v>
      </c>
      <c r="X8636" s="339"/>
    </row>
    <row r="8637" s="330" customFormat="1" ht="15" customHeight="1" spans="1:24">
      <c r="A8637" s="550" t="s">
        <v>10348</v>
      </c>
      <c r="B8637" s="334" t="s">
        <v>185</v>
      </c>
      <c r="C8637" s="348" t="s">
        <v>1620</v>
      </c>
      <c r="D8637" s="335" t="s">
        <v>44</v>
      </c>
      <c r="E8637" s="336">
        <v>43789</v>
      </c>
      <c r="F8637" s="336">
        <v>43786</v>
      </c>
      <c r="G8637" s="399"/>
      <c r="H8637" s="334" t="s">
        <v>18242</v>
      </c>
      <c r="I8637" s="444">
        <v>17740868306</v>
      </c>
      <c r="J8637" s="348" t="s">
        <v>18243</v>
      </c>
      <c r="K8637" s="452">
        <v>1000</v>
      </c>
      <c r="L8637" s="338"/>
      <c r="M8637" s="338"/>
      <c r="N8637" s="362">
        <f t="shared" si="293"/>
        <v>0</v>
      </c>
      <c r="O8637" s="467" t="s">
        <v>52</v>
      </c>
      <c r="X8637" s="339"/>
    </row>
    <row r="8638" s="330" customFormat="1" ht="15" customHeight="1" spans="1:24">
      <c r="A8638" s="550" t="s">
        <v>10351</v>
      </c>
      <c r="B8638" s="334" t="s">
        <v>185</v>
      </c>
      <c r="C8638" s="348" t="s">
        <v>186</v>
      </c>
      <c r="D8638" s="335" t="s">
        <v>187</v>
      </c>
      <c r="E8638" s="336">
        <v>43789</v>
      </c>
      <c r="F8638" s="336">
        <v>43786</v>
      </c>
      <c r="G8638" s="399"/>
      <c r="H8638" s="334" t="s">
        <v>18244</v>
      </c>
      <c r="I8638" s="444">
        <v>13381880982</v>
      </c>
      <c r="J8638" s="348" t="s">
        <v>18245</v>
      </c>
      <c r="K8638" s="452">
        <v>1000</v>
      </c>
      <c r="L8638" s="338"/>
      <c r="M8638" s="338"/>
      <c r="N8638" s="362">
        <f t="shared" si="293"/>
        <v>0</v>
      </c>
      <c r="O8638" s="467" t="s">
        <v>52</v>
      </c>
      <c r="X8638" s="339"/>
    </row>
    <row r="8639" s="330" customFormat="1" ht="15" customHeight="1" spans="1:24">
      <c r="A8639" s="550" t="s">
        <v>10336</v>
      </c>
      <c r="B8639" s="334" t="s">
        <v>185</v>
      </c>
      <c r="C8639" s="348" t="s">
        <v>186</v>
      </c>
      <c r="D8639" s="335" t="s">
        <v>187</v>
      </c>
      <c r="E8639" s="336">
        <v>43789</v>
      </c>
      <c r="F8639" s="336">
        <v>43785</v>
      </c>
      <c r="G8639" s="399"/>
      <c r="H8639" s="334" t="s">
        <v>18246</v>
      </c>
      <c r="I8639" s="444">
        <v>13636650158</v>
      </c>
      <c r="J8639" s="348" t="s">
        <v>18247</v>
      </c>
      <c r="K8639" s="452">
        <v>1000</v>
      </c>
      <c r="L8639" s="338"/>
      <c r="M8639" s="338"/>
      <c r="N8639" s="362">
        <f t="shared" si="293"/>
        <v>0</v>
      </c>
      <c r="O8639" s="467" t="s">
        <v>52</v>
      </c>
      <c r="X8639" s="339"/>
    </row>
    <row r="8640" s="330" customFormat="1" ht="15" customHeight="1" spans="1:24">
      <c r="A8640" s="550" t="s">
        <v>702</v>
      </c>
      <c r="B8640" s="334" t="s">
        <v>185</v>
      </c>
      <c r="C8640" s="348" t="s">
        <v>186</v>
      </c>
      <c r="D8640" s="335" t="s">
        <v>187</v>
      </c>
      <c r="E8640" s="336">
        <v>43789</v>
      </c>
      <c r="F8640" s="336">
        <v>43780</v>
      </c>
      <c r="G8640" s="399"/>
      <c r="H8640" s="334" t="s">
        <v>18248</v>
      </c>
      <c r="I8640" s="444">
        <v>13585590059</v>
      </c>
      <c r="J8640" s="348" t="s">
        <v>18249</v>
      </c>
      <c r="K8640" s="452">
        <v>1000</v>
      </c>
      <c r="L8640" s="338"/>
      <c r="M8640" s="338"/>
      <c r="N8640" s="362">
        <f t="shared" si="293"/>
        <v>0</v>
      </c>
      <c r="O8640" s="467" t="s">
        <v>52</v>
      </c>
      <c r="X8640" s="339"/>
    </row>
    <row r="8641" s="330" customFormat="1" ht="15" customHeight="1" spans="1:24">
      <c r="A8641" s="550" t="s">
        <v>18250</v>
      </c>
      <c r="B8641" s="334" t="s">
        <v>31</v>
      </c>
      <c r="C8641" s="348" t="s">
        <v>220</v>
      </c>
      <c r="D8641" s="334" t="s">
        <v>954</v>
      </c>
      <c r="E8641" s="336">
        <v>43793</v>
      </c>
      <c r="F8641" s="336">
        <v>43789</v>
      </c>
      <c r="G8641" s="336">
        <v>43789</v>
      </c>
      <c r="H8641" s="334" t="s">
        <v>18251</v>
      </c>
      <c r="I8641" s="444">
        <v>13524855872</v>
      </c>
      <c r="J8641" s="348" t="s">
        <v>18252</v>
      </c>
      <c r="K8641" s="452">
        <v>20500</v>
      </c>
      <c r="L8641" s="334">
        <v>20500</v>
      </c>
      <c r="M8641" s="338"/>
      <c r="N8641" s="362">
        <f t="shared" si="293"/>
        <v>20500</v>
      </c>
      <c r="X8641" s="339"/>
    </row>
    <row r="8642" s="330" customFormat="1" ht="15" customHeight="1" spans="1:24">
      <c r="A8642" s="550" t="s">
        <v>18253</v>
      </c>
      <c r="B8642" s="334" t="s">
        <v>185</v>
      </c>
      <c r="C8642" s="348" t="s">
        <v>1204</v>
      </c>
      <c r="D8642" s="335" t="s">
        <v>187</v>
      </c>
      <c r="E8642" s="336">
        <v>43789</v>
      </c>
      <c r="F8642" s="336">
        <v>43786</v>
      </c>
      <c r="G8642" s="399"/>
      <c r="H8642" s="334" t="s">
        <v>18254</v>
      </c>
      <c r="I8642" s="444">
        <v>15026665392</v>
      </c>
      <c r="J8642" s="348" t="s">
        <v>18255</v>
      </c>
      <c r="K8642" s="452">
        <v>1000</v>
      </c>
      <c r="L8642" s="338"/>
      <c r="M8642" s="338"/>
      <c r="N8642" s="362">
        <f t="shared" si="293"/>
        <v>0</v>
      </c>
      <c r="O8642" s="467" t="s">
        <v>52</v>
      </c>
      <c r="X8642" s="339"/>
    </row>
    <row r="8643" s="330" customFormat="1" ht="15" customHeight="1" spans="1:24">
      <c r="A8643" s="550" t="s">
        <v>10365</v>
      </c>
      <c r="B8643" s="334" t="s">
        <v>185</v>
      </c>
      <c r="C8643" s="348" t="s">
        <v>1204</v>
      </c>
      <c r="D8643" s="335" t="s">
        <v>187</v>
      </c>
      <c r="E8643" s="336">
        <v>43789</v>
      </c>
      <c r="F8643" s="336">
        <v>43786</v>
      </c>
      <c r="G8643" s="399"/>
      <c r="H8643" s="334" t="s">
        <v>9652</v>
      </c>
      <c r="I8643" s="444">
        <v>13585636219</v>
      </c>
      <c r="J8643" s="348" t="s">
        <v>18256</v>
      </c>
      <c r="K8643" s="452">
        <v>1000</v>
      </c>
      <c r="L8643" s="338"/>
      <c r="M8643" s="338"/>
      <c r="N8643" s="362">
        <f t="shared" si="293"/>
        <v>0</v>
      </c>
      <c r="O8643" s="467" t="s">
        <v>52</v>
      </c>
      <c r="X8643" s="339"/>
    </row>
    <row r="8644" s="330" customFormat="1" ht="15" customHeight="1" spans="1:24">
      <c r="A8644" s="550" t="s">
        <v>18257</v>
      </c>
      <c r="B8644" s="334" t="s">
        <v>31</v>
      </c>
      <c r="C8644" s="348" t="s">
        <v>251</v>
      </c>
      <c r="D8644" s="334" t="s">
        <v>954</v>
      </c>
      <c r="E8644" s="336">
        <v>43789</v>
      </c>
      <c r="F8644" s="336">
        <v>43789</v>
      </c>
      <c r="G8644" s="336">
        <v>43789</v>
      </c>
      <c r="H8644" s="334" t="s">
        <v>18258</v>
      </c>
      <c r="I8644" s="444">
        <v>13817359119</v>
      </c>
      <c r="J8644" s="348" t="s">
        <v>18259</v>
      </c>
      <c r="K8644" s="452">
        <v>12985</v>
      </c>
      <c r="L8644" s="334">
        <v>12985</v>
      </c>
      <c r="M8644" s="338"/>
      <c r="N8644" s="362">
        <f t="shared" si="293"/>
        <v>12985</v>
      </c>
      <c r="X8644" s="339"/>
    </row>
    <row r="8645" s="330" customFormat="1" ht="15" customHeight="1" spans="1:24">
      <c r="A8645" s="550" t="s">
        <v>793</v>
      </c>
      <c r="B8645" s="334" t="s">
        <v>66</v>
      </c>
      <c r="C8645" s="348" t="s">
        <v>3954</v>
      </c>
      <c r="D8645" s="335" t="s">
        <v>1436</v>
      </c>
      <c r="E8645" s="336">
        <v>43789</v>
      </c>
      <c r="F8645" s="336">
        <v>43789</v>
      </c>
      <c r="G8645" s="399"/>
      <c r="H8645" s="334" t="s">
        <v>18260</v>
      </c>
      <c r="I8645" s="444">
        <v>13916107364</v>
      </c>
      <c r="J8645" s="348" t="s">
        <v>18261</v>
      </c>
      <c r="K8645" s="452">
        <v>1000</v>
      </c>
      <c r="L8645" s="338"/>
      <c r="M8645" s="338"/>
      <c r="N8645" s="362">
        <f t="shared" si="293"/>
        <v>0</v>
      </c>
      <c r="X8645" s="339"/>
    </row>
    <row r="8646" s="330" customFormat="1" ht="15" customHeight="1" spans="1:24">
      <c r="A8646" s="550" t="s">
        <v>18262</v>
      </c>
      <c r="B8646" s="334" t="s">
        <v>58</v>
      </c>
      <c r="C8646" s="348" t="s">
        <v>109</v>
      </c>
      <c r="D8646" s="335" t="s">
        <v>110</v>
      </c>
      <c r="E8646" s="336">
        <v>43798</v>
      </c>
      <c r="F8646" s="336">
        <v>43786</v>
      </c>
      <c r="G8646" s="336">
        <v>43797</v>
      </c>
      <c r="H8646" s="334" t="s">
        <v>18263</v>
      </c>
      <c r="I8646" s="444">
        <v>15921878835</v>
      </c>
      <c r="J8646" s="348" t="s">
        <v>18264</v>
      </c>
      <c r="K8646" s="452">
        <v>1000</v>
      </c>
      <c r="L8646" s="334">
        <v>18118</v>
      </c>
      <c r="M8646" s="334">
        <v>368</v>
      </c>
      <c r="N8646" s="362">
        <f t="shared" si="293"/>
        <v>18486</v>
      </c>
      <c r="O8646" s="365" t="s">
        <v>52</v>
      </c>
      <c r="X8646" s="339"/>
    </row>
    <row r="8647" s="330" customFormat="1" ht="15" customHeight="1" spans="1:24">
      <c r="A8647" s="550" t="s">
        <v>11115</v>
      </c>
      <c r="B8647" s="334" t="s">
        <v>58</v>
      </c>
      <c r="C8647" s="348" t="s">
        <v>109</v>
      </c>
      <c r="D8647" s="335" t="s">
        <v>110</v>
      </c>
      <c r="E8647" s="336">
        <v>43789</v>
      </c>
      <c r="F8647" s="336">
        <v>43789</v>
      </c>
      <c r="G8647" s="399"/>
      <c r="H8647" s="334" t="s">
        <v>18265</v>
      </c>
      <c r="I8647" s="444">
        <v>18217019832</v>
      </c>
      <c r="J8647" s="348" t="s">
        <v>18266</v>
      </c>
      <c r="K8647" s="452">
        <v>1000</v>
      </c>
      <c r="L8647" s="338"/>
      <c r="M8647" s="338"/>
      <c r="N8647" s="362">
        <f t="shared" si="293"/>
        <v>0</v>
      </c>
      <c r="O8647" s="365" t="s">
        <v>52</v>
      </c>
      <c r="X8647" s="339"/>
    </row>
    <row r="8648" s="330" customFormat="1" ht="15" customHeight="1" spans="1:24">
      <c r="A8648" s="550" t="s">
        <v>18267</v>
      </c>
      <c r="B8648" s="334" t="s">
        <v>58</v>
      </c>
      <c r="C8648" s="348" t="s">
        <v>109</v>
      </c>
      <c r="D8648" s="335" t="s">
        <v>110</v>
      </c>
      <c r="E8648" s="336">
        <v>43789</v>
      </c>
      <c r="F8648" s="336">
        <v>43789</v>
      </c>
      <c r="G8648" s="399"/>
      <c r="H8648" s="334" t="s">
        <v>18268</v>
      </c>
      <c r="I8648" s="444">
        <v>13917019649</v>
      </c>
      <c r="J8648" s="348" t="s">
        <v>18269</v>
      </c>
      <c r="K8648" s="452">
        <v>1000</v>
      </c>
      <c r="L8648" s="338"/>
      <c r="M8648" s="338"/>
      <c r="N8648" s="362">
        <f t="shared" si="293"/>
        <v>0</v>
      </c>
      <c r="O8648" s="365" t="s">
        <v>52</v>
      </c>
      <c r="X8648" s="339"/>
    </row>
    <row r="8649" s="330" customFormat="1" ht="15" customHeight="1" spans="1:24">
      <c r="A8649" s="550" t="s">
        <v>11357</v>
      </c>
      <c r="B8649" s="334" t="s">
        <v>58</v>
      </c>
      <c r="C8649" s="348" t="s">
        <v>109</v>
      </c>
      <c r="D8649" s="335" t="s">
        <v>110</v>
      </c>
      <c r="E8649" s="336">
        <v>43789</v>
      </c>
      <c r="F8649" s="336">
        <v>43786</v>
      </c>
      <c r="G8649" s="399"/>
      <c r="H8649" s="334" t="s">
        <v>18270</v>
      </c>
      <c r="I8649" s="444">
        <v>13564100401</v>
      </c>
      <c r="J8649" s="348" t="s">
        <v>18271</v>
      </c>
      <c r="K8649" s="452">
        <v>1000</v>
      </c>
      <c r="L8649" s="338"/>
      <c r="M8649" s="338"/>
      <c r="N8649" s="362">
        <f t="shared" si="293"/>
        <v>0</v>
      </c>
      <c r="O8649" s="365" t="s">
        <v>52</v>
      </c>
      <c r="X8649" s="339"/>
    </row>
    <row r="8650" s="330" customFormat="1" ht="15" customHeight="1" spans="1:24">
      <c r="A8650" s="550" t="s">
        <v>18272</v>
      </c>
      <c r="B8650" s="334" t="s">
        <v>58</v>
      </c>
      <c r="C8650" s="348" t="s">
        <v>109</v>
      </c>
      <c r="D8650" s="335" t="s">
        <v>110</v>
      </c>
      <c r="E8650" s="336">
        <v>43789</v>
      </c>
      <c r="F8650" s="336">
        <v>43786</v>
      </c>
      <c r="G8650" s="399"/>
      <c r="H8650" s="334" t="s">
        <v>14869</v>
      </c>
      <c r="I8650" s="444">
        <v>18817478609</v>
      </c>
      <c r="J8650" s="348" t="s">
        <v>18273</v>
      </c>
      <c r="K8650" s="452">
        <v>1000</v>
      </c>
      <c r="L8650" s="338"/>
      <c r="M8650" s="338"/>
      <c r="N8650" s="362">
        <f t="shared" si="293"/>
        <v>0</v>
      </c>
      <c r="O8650" s="365" t="s">
        <v>52</v>
      </c>
      <c r="X8650" s="339"/>
    </row>
    <row r="8651" s="330" customFormat="1" ht="15" customHeight="1" spans="1:24">
      <c r="A8651" s="550" t="s">
        <v>18274</v>
      </c>
      <c r="B8651" s="334" t="s">
        <v>58</v>
      </c>
      <c r="C8651" s="348" t="s">
        <v>109</v>
      </c>
      <c r="D8651" s="335" t="s">
        <v>110</v>
      </c>
      <c r="E8651" s="336">
        <v>43789</v>
      </c>
      <c r="F8651" s="336">
        <v>43786</v>
      </c>
      <c r="G8651" s="399"/>
      <c r="H8651" s="334" t="s">
        <v>18275</v>
      </c>
      <c r="I8651" s="444">
        <v>13611768324</v>
      </c>
      <c r="J8651" s="348" t="s">
        <v>18276</v>
      </c>
      <c r="K8651" s="452">
        <v>1000</v>
      </c>
      <c r="L8651" s="338"/>
      <c r="M8651" s="338"/>
      <c r="N8651" s="362">
        <f t="shared" si="293"/>
        <v>0</v>
      </c>
      <c r="O8651" s="365" t="s">
        <v>52</v>
      </c>
      <c r="X8651" s="339"/>
    </row>
    <row r="8652" s="330" customFormat="1" ht="15" customHeight="1" spans="1:24">
      <c r="A8652" s="550" t="s">
        <v>10344</v>
      </c>
      <c r="B8652" s="334" t="s">
        <v>58</v>
      </c>
      <c r="C8652" s="348" t="s">
        <v>347</v>
      </c>
      <c r="D8652" s="335" t="s">
        <v>343</v>
      </c>
      <c r="E8652" s="336">
        <v>43789</v>
      </c>
      <c r="F8652" s="336">
        <v>43786</v>
      </c>
      <c r="G8652" s="399"/>
      <c r="H8652" s="334" t="s">
        <v>18277</v>
      </c>
      <c r="I8652" s="444">
        <v>18616888151</v>
      </c>
      <c r="J8652" s="348" t="s">
        <v>18278</v>
      </c>
      <c r="K8652" s="452">
        <v>1000</v>
      </c>
      <c r="L8652" s="338"/>
      <c r="M8652" s="338"/>
      <c r="N8652" s="362">
        <f t="shared" si="293"/>
        <v>0</v>
      </c>
      <c r="O8652" s="365" t="s">
        <v>52</v>
      </c>
      <c r="X8652" s="339"/>
    </row>
    <row r="8653" s="330" customFormat="1" ht="15" customHeight="1" spans="1:24">
      <c r="A8653" s="550" t="s">
        <v>11608</v>
      </c>
      <c r="B8653" s="334" t="s">
        <v>58</v>
      </c>
      <c r="C8653" s="348" t="s">
        <v>59</v>
      </c>
      <c r="D8653" s="335" t="s">
        <v>271</v>
      </c>
      <c r="E8653" s="336">
        <v>43789</v>
      </c>
      <c r="F8653" s="336">
        <v>43786</v>
      </c>
      <c r="G8653" s="399"/>
      <c r="H8653" s="334" t="s">
        <v>18279</v>
      </c>
      <c r="I8653" s="444">
        <v>13951854650</v>
      </c>
      <c r="J8653" s="348" t="s">
        <v>18280</v>
      </c>
      <c r="K8653" s="452">
        <v>1000</v>
      </c>
      <c r="L8653" s="338"/>
      <c r="M8653" s="338"/>
      <c r="N8653" s="362">
        <f t="shared" si="293"/>
        <v>0</v>
      </c>
      <c r="O8653" s="365" t="s">
        <v>52</v>
      </c>
      <c r="X8653" s="339"/>
    </row>
    <row r="8654" s="330" customFormat="1" ht="15" customHeight="1" spans="1:24">
      <c r="A8654" s="550" t="s">
        <v>18281</v>
      </c>
      <c r="B8654" s="334" t="s">
        <v>58</v>
      </c>
      <c r="C8654" s="348" t="s">
        <v>59</v>
      </c>
      <c r="D8654" s="335" t="s">
        <v>271</v>
      </c>
      <c r="E8654" s="336">
        <v>43789</v>
      </c>
      <c r="F8654" s="336">
        <v>43786</v>
      </c>
      <c r="G8654" s="399"/>
      <c r="H8654" s="334" t="s">
        <v>18282</v>
      </c>
      <c r="I8654" s="444">
        <v>13567144725</v>
      </c>
      <c r="J8654" s="348" t="s">
        <v>18283</v>
      </c>
      <c r="K8654" s="452">
        <v>1000</v>
      </c>
      <c r="L8654" s="338"/>
      <c r="M8654" s="338"/>
      <c r="N8654" s="362">
        <f t="shared" si="293"/>
        <v>0</v>
      </c>
      <c r="O8654" s="365" t="s">
        <v>52</v>
      </c>
      <c r="X8654" s="339"/>
    </row>
    <row r="8655" s="330" customFormat="1" ht="15" customHeight="1" spans="1:24">
      <c r="A8655" s="550" t="s">
        <v>10342</v>
      </c>
      <c r="B8655" s="334" t="s">
        <v>58</v>
      </c>
      <c r="C8655" s="348" t="s">
        <v>59</v>
      </c>
      <c r="D8655" s="335" t="s">
        <v>271</v>
      </c>
      <c r="E8655" s="336">
        <v>43789</v>
      </c>
      <c r="F8655" s="336">
        <v>43786</v>
      </c>
      <c r="G8655" s="399"/>
      <c r="H8655" s="334" t="s">
        <v>18284</v>
      </c>
      <c r="I8655" s="444">
        <v>13917238915</v>
      </c>
      <c r="J8655" s="348" t="s">
        <v>18285</v>
      </c>
      <c r="K8655" s="452">
        <v>1000</v>
      </c>
      <c r="L8655" s="338"/>
      <c r="M8655" s="338"/>
      <c r="N8655" s="362">
        <f t="shared" si="293"/>
        <v>0</v>
      </c>
      <c r="O8655" s="365" t="s">
        <v>52</v>
      </c>
      <c r="X8655" s="339"/>
    </row>
    <row r="8656" s="330" customFormat="1" ht="15" customHeight="1" spans="1:24">
      <c r="A8656" s="550" t="s">
        <v>18286</v>
      </c>
      <c r="B8656" s="334" t="s">
        <v>58</v>
      </c>
      <c r="C8656" s="348" t="s">
        <v>59</v>
      </c>
      <c r="D8656" s="335" t="s">
        <v>271</v>
      </c>
      <c r="E8656" s="336">
        <v>43789</v>
      </c>
      <c r="F8656" s="336">
        <v>43786</v>
      </c>
      <c r="G8656" s="399"/>
      <c r="H8656" s="334" t="s">
        <v>824</v>
      </c>
      <c r="I8656" s="444">
        <v>17717819802</v>
      </c>
      <c r="J8656" s="348" t="s">
        <v>18287</v>
      </c>
      <c r="K8656" s="452">
        <v>1000</v>
      </c>
      <c r="L8656" s="338"/>
      <c r="M8656" s="338"/>
      <c r="N8656" s="362">
        <f t="shared" si="293"/>
        <v>0</v>
      </c>
      <c r="O8656" s="365" t="s">
        <v>52</v>
      </c>
      <c r="X8656" s="339"/>
    </row>
    <row r="8657" s="330" customFormat="1" ht="15" customHeight="1" spans="1:24">
      <c r="A8657" s="550" t="s">
        <v>18288</v>
      </c>
      <c r="B8657" s="334" t="s">
        <v>58</v>
      </c>
      <c r="C8657" s="348" t="s">
        <v>59</v>
      </c>
      <c r="D8657" s="335" t="s">
        <v>271</v>
      </c>
      <c r="E8657" s="336">
        <v>43789</v>
      </c>
      <c r="F8657" s="336">
        <v>43786</v>
      </c>
      <c r="G8657" s="399"/>
      <c r="H8657" s="334" t="s">
        <v>18289</v>
      </c>
      <c r="I8657" s="444">
        <v>17302176546</v>
      </c>
      <c r="J8657" s="348" t="s">
        <v>18290</v>
      </c>
      <c r="K8657" s="452">
        <v>1000</v>
      </c>
      <c r="L8657" s="338"/>
      <c r="M8657" s="338"/>
      <c r="N8657" s="362">
        <f t="shared" si="293"/>
        <v>0</v>
      </c>
      <c r="O8657" s="365" t="s">
        <v>52</v>
      </c>
      <c r="X8657" s="339"/>
    </row>
    <row r="8658" s="330" customFormat="1" ht="15" customHeight="1" spans="1:24">
      <c r="A8658" s="550" t="s">
        <v>11603</v>
      </c>
      <c r="B8658" s="334" t="s">
        <v>58</v>
      </c>
      <c r="C8658" s="348" t="s">
        <v>794</v>
      </c>
      <c r="D8658" s="335" t="s">
        <v>110</v>
      </c>
      <c r="E8658" s="336">
        <v>43789</v>
      </c>
      <c r="F8658" s="336">
        <v>43786</v>
      </c>
      <c r="G8658" s="399"/>
      <c r="H8658" s="334" t="s">
        <v>18291</v>
      </c>
      <c r="I8658" s="444">
        <v>15921138683</v>
      </c>
      <c r="J8658" s="348" t="s">
        <v>18292</v>
      </c>
      <c r="K8658" s="452">
        <v>1000</v>
      </c>
      <c r="L8658" s="338"/>
      <c r="M8658" s="338"/>
      <c r="N8658" s="362">
        <f t="shared" si="293"/>
        <v>0</v>
      </c>
      <c r="O8658" s="365" t="s">
        <v>52</v>
      </c>
      <c r="X8658" s="339"/>
    </row>
    <row r="8659" s="330" customFormat="1" ht="15" customHeight="1" spans="1:24">
      <c r="A8659" s="550" t="s">
        <v>18293</v>
      </c>
      <c r="B8659" s="334" t="s">
        <v>58</v>
      </c>
      <c r="C8659" s="348" t="s">
        <v>794</v>
      </c>
      <c r="D8659" s="335" t="s">
        <v>110</v>
      </c>
      <c r="E8659" s="336">
        <v>43789</v>
      </c>
      <c r="F8659" s="336">
        <v>43786</v>
      </c>
      <c r="G8659" s="399"/>
      <c r="H8659" s="334" t="s">
        <v>18294</v>
      </c>
      <c r="I8659" s="444">
        <v>18616393055</v>
      </c>
      <c r="J8659" s="348" t="s">
        <v>18295</v>
      </c>
      <c r="K8659" s="452">
        <v>1000</v>
      </c>
      <c r="L8659" s="338"/>
      <c r="M8659" s="338"/>
      <c r="N8659" s="362">
        <f t="shared" si="293"/>
        <v>0</v>
      </c>
      <c r="O8659" s="365" t="s">
        <v>52</v>
      </c>
      <c r="X8659" s="339"/>
    </row>
    <row r="8660" s="330" customFormat="1" ht="15" customHeight="1" spans="1:24">
      <c r="A8660" s="550" t="s">
        <v>18296</v>
      </c>
      <c r="B8660" s="334" t="s">
        <v>58</v>
      </c>
      <c r="C8660" s="348" t="s">
        <v>794</v>
      </c>
      <c r="D8660" s="335" t="s">
        <v>110</v>
      </c>
      <c r="E8660" s="336">
        <v>43789</v>
      </c>
      <c r="F8660" s="336">
        <v>43786</v>
      </c>
      <c r="G8660" s="399"/>
      <c r="H8660" s="334" t="s">
        <v>18297</v>
      </c>
      <c r="I8660" s="444">
        <v>18301816016</v>
      </c>
      <c r="J8660" s="348" t="s">
        <v>18298</v>
      </c>
      <c r="K8660" s="452">
        <v>1000</v>
      </c>
      <c r="L8660" s="338"/>
      <c r="M8660" s="338"/>
      <c r="N8660" s="362">
        <f t="shared" si="293"/>
        <v>0</v>
      </c>
      <c r="O8660" s="365" t="s">
        <v>52</v>
      </c>
      <c r="X8660" s="339"/>
    </row>
    <row r="8661" s="330" customFormat="1" ht="15" customHeight="1" spans="1:24">
      <c r="A8661" s="550" t="s">
        <v>18299</v>
      </c>
      <c r="B8661" s="334" t="s">
        <v>58</v>
      </c>
      <c r="C8661" s="348" t="s">
        <v>794</v>
      </c>
      <c r="D8661" s="335" t="s">
        <v>110</v>
      </c>
      <c r="E8661" s="336">
        <v>43789</v>
      </c>
      <c r="F8661" s="336">
        <v>43786</v>
      </c>
      <c r="G8661" s="399"/>
      <c r="H8661" s="334" t="s">
        <v>18300</v>
      </c>
      <c r="I8661" s="444">
        <v>17521066619</v>
      </c>
      <c r="J8661" s="348" t="s">
        <v>18301</v>
      </c>
      <c r="K8661" s="452">
        <v>1000</v>
      </c>
      <c r="L8661" s="338"/>
      <c r="M8661" s="338"/>
      <c r="N8661" s="362">
        <f t="shared" si="293"/>
        <v>0</v>
      </c>
      <c r="O8661" s="365" t="s">
        <v>52</v>
      </c>
      <c r="Q8661" s="365"/>
      <c r="U8661" s="489">
        <v>43829</v>
      </c>
      <c r="X8661" s="339"/>
    </row>
    <row r="8662" s="330" customFormat="1" ht="15" customHeight="1" spans="1:24">
      <c r="A8662" s="550" t="s">
        <v>18302</v>
      </c>
      <c r="B8662" s="334" t="s">
        <v>58</v>
      </c>
      <c r="C8662" s="348" t="s">
        <v>794</v>
      </c>
      <c r="D8662" s="335" t="s">
        <v>110</v>
      </c>
      <c r="E8662" s="336">
        <v>43789</v>
      </c>
      <c r="F8662" s="336">
        <v>43786</v>
      </c>
      <c r="G8662" s="399"/>
      <c r="H8662" s="334" t="s">
        <v>18303</v>
      </c>
      <c r="I8662" s="444">
        <v>13671713816</v>
      </c>
      <c r="J8662" s="348" t="s">
        <v>18304</v>
      </c>
      <c r="K8662" s="452">
        <v>1000</v>
      </c>
      <c r="L8662" s="338"/>
      <c r="M8662" s="338"/>
      <c r="N8662" s="362">
        <f t="shared" si="293"/>
        <v>0</v>
      </c>
      <c r="O8662" s="365" t="s">
        <v>52</v>
      </c>
      <c r="Q8662" s="365"/>
      <c r="X8662" s="339"/>
    </row>
    <row r="8663" s="330" customFormat="1" ht="15" customHeight="1" spans="1:24">
      <c r="A8663" s="550" t="s">
        <v>18305</v>
      </c>
      <c r="B8663" s="334" t="s">
        <v>58</v>
      </c>
      <c r="C8663" s="348" t="s">
        <v>347</v>
      </c>
      <c r="D8663" s="335" t="s">
        <v>343</v>
      </c>
      <c r="E8663" s="336">
        <v>43789</v>
      </c>
      <c r="F8663" s="336">
        <v>43786</v>
      </c>
      <c r="G8663" s="399"/>
      <c r="H8663" s="334" t="s">
        <v>18306</v>
      </c>
      <c r="I8663" s="444">
        <v>13817215046</v>
      </c>
      <c r="J8663" s="348" t="s">
        <v>18307</v>
      </c>
      <c r="K8663" s="452">
        <v>1000</v>
      </c>
      <c r="L8663" s="338"/>
      <c r="M8663" s="338"/>
      <c r="N8663" s="362">
        <f t="shared" si="293"/>
        <v>0</v>
      </c>
      <c r="O8663" s="365" t="s">
        <v>52</v>
      </c>
      <c r="Q8663" s="365"/>
      <c r="X8663" s="339"/>
    </row>
    <row r="8664" s="330" customFormat="1" ht="15" customHeight="1" spans="1:24">
      <c r="A8664" s="550" t="s">
        <v>18308</v>
      </c>
      <c r="B8664" s="334" t="s">
        <v>58</v>
      </c>
      <c r="C8664" s="348" t="s">
        <v>347</v>
      </c>
      <c r="D8664" s="335" t="s">
        <v>343</v>
      </c>
      <c r="E8664" s="336">
        <v>43789</v>
      </c>
      <c r="F8664" s="336">
        <v>43786</v>
      </c>
      <c r="G8664" s="399"/>
      <c r="H8664" s="334" t="s">
        <v>15069</v>
      </c>
      <c r="I8664" s="444">
        <v>18602147850</v>
      </c>
      <c r="J8664" s="348" t="s">
        <v>18309</v>
      </c>
      <c r="K8664" s="452">
        <v>1000</v>
      </c>
      <c r="L8664" s="338"/>
      <c r="M8664" s="338"/>
      <c r="N8664" s="362">
        <f t="shared" si="293"/>
        <v>0</v>
      </c>
      <c r="O8664" s="365" t="s">
        <v>52</v>
      </c>
      <c r="X8664" s="339"/>
    </row>
    <row r="8665" s="330" customFormat="1" ht="15" customHeight="1" spans="1:24">
      <c r="A8665" s="550" t="s">
        <v>11108</v>
      </c>
      <c r="B8665" s="334" t="s">
        <v>58</v>
      </c>
      <c r="C8665" s="348" t="s">
        <v>347</v>
      </c>
      <c r="D8665" s="335" t="s">
        <v>343</v>
      </c>
      <c r="E8665" s="336">
        <v>43789</v>
      </c>
      <c r="F8665" s="336">
        <v>43786</v>
      </c>
      <c r="G8665" s="399"/>
      <c r="H8665" s="334" t="s">
        <v>18310</v>
      </c>
      <c r="I8665" s="444"/>
      <c r="J8665" s="348" t="s">
        <v>18311</v>
      </c>
      <c r="K8665" s="452">
        <v>1000</v>
      </c>
      <c r="L8665" s="338"/>
      <c r="M8665" s="338"/>
      <c r="N8665" s="362">
        <f t="shared" si="293"/>
        <v>0</v>
      </c>
      <c r="O8665" s="365" t="s">
        <v>52</v>
      </c>
      <c r="X8665" s="339"/>
    </row>
    <row r="8666" s="330" customFormat="1" ht="15" customHeight="1" spans="1:24">
      <c r="A8666" s="550" t="s">
        <v>1339</v>
      </c>
      <c r="B8666" s="334" t="s">
        <v>58</v>
      </c>
      <c r="C8666" s="348" t="s">
        <v>347</v>
      </c>
      <c r="D8666" s="335" t="s">
        <v>343</v>
      </c>
      <c r="E8666" s="336">
        <v>43789</v>
      </c>
      <c r="F8666" s="336">
        <v>43786</v>
      </c>
      <c r="G8666" s="399"/>
      <c r="H8666" s="334" t="s">
        <v>18312</v>
      </c>
      <c r="I8666" s="444">
        <v>17715285869</v>
      </c>
      <c r="J8666" s="348" t="s">
        <v>18313</v>
      </c>
      <c r="K8666" s="452">
        <v>1000</v>
      </c>
      <c r="L8666" s="338"/>
      <c r="M8666" s="338"/>
      <c r="N8666" s="362">
        <f t="shared" si="293"/>
        <v>0</v>
      </c>
      <c r="O8666" s="365"/>
      <c r="S8666" s="365" t="s">
        <v>52</v>
      </c>
      <c r="X8666" s="339"/>
    </row>
    <row r="8667" s="330" customFormat="1" ht="15" customHeight="1" spans="1:24">
      <c r="A8667" s="550" t="s">
        <v>18314</v>
      </c>
      <c r="B8667" s="334" t="s">
        <v>58</v>
      </c>
      <c r="C8667" s="348" t="s">
        <v>342</v>
      </c>
      <c r="D8667" s="335" t="s">
        <v>343</v>
      </c>
      <c r="E8667" s="336">
        <v>43789</v>
      </c>
      <c r="F8667" s="336">
        <v>43786</v>
      </c>
      <c r="G8667" s="399"/>
      <c r="H8667" s="334" t="s">
        <v>18315</v>
      </c>
      <c r="I8667" s="444">
        <v>13764728629</v>
      </c>
      <c r="J8667" s="348" t="s">
        <v>18316</v>
      </c>
      <c r="K8667" s="452">
        <v>1000</v>
      </c>
      <c r="L8667" s="338"/>
      <c r="M8667" s="338"/>
      <c r="N8667" s="362">
        <f t="shared" si="293"/>
        <v>0</v>
      </c>
      <c r="O8667" s="365" t="s">
        <v>52</v>
      </c>
      <c r="X8667" s="339"/>
    </row>
    <row r="8668" s="330" customFormat="1" ht="15" customHeight="1" spans="1:24">
      <c r="A8668" s="550" t="s">
        <v>10354</v>
      </c>
      <c r="B8668" s="334" t="s">
        <v>58</v>
      </c>
      <c r="C8668" s="348" t="s">
        <v>342</v>
      </c>
      <c r="D8668" s="335" t="s">
        <v>343</v>
      </c>
      <c r="E8668" s="336">
        <v>43789</v>
      </c>
      <c r="F8668" s="336">
        <v>43786</v>
      </c>
      <c r="G8668" s="399"/>
      <c r="H8668" s="334" t="s">
        <v>18317</v>
      </c>
      <c r="I8668" s="444">
        <v>13761622704</v>
      </c>
      <c r="J8668" s="348" t="s">
        <v>18318</v>
      </c>
      <c r="K8668" s="452">
        <v>1000</v>
      </c>
      <c r="L8668" s="338"/>
      <c r="M8668" s="338"/>
      <c r="N8668" s="362">
        <f t="shared" si="293"/>
        <v>0</v>
      </c>
      <c r="O8668" s="365" t="s">
        <v>52</v>
      </c>
      <c r="X8668" s="339"/>
    </row>
    <row r="8669" s="330" customFormat="1" ht="15" customHeight="1" spans="1:24">
      <c r="A8669" s="550" t="s">
        <v>10333</v>
      </c>
      <c r="B8669" s="334" t="s">
        <v>58</v>
      </c>
      <c r="C8669" s="348" t="s">
        <v>342</v>
      </c>
      <c r="D8669" s="335" t="s">
        <v>343</v>
      </c>
      <c r="E8669" s="336">
        <v>43789</v>
      </c>
      <c r="F8669" s="336">
        <v>43786</v>
      </c>
      <c r="G8669" s="399"/>
      <c r="H8669" s="334" t="s">
        <v>1672</v>
      </c>
      <c r="I8669" s="444">
        <v>13917129688</v>
      </c>
      <c r="J8669" s="348" t="s">
        <v>18319</v>
      </c>
      <c r="K8669" s="452">
        <v>1000</v>
      </c>
      <c r="L8669" s="338"/>
      <c r="M8669" s="338"/>
      <c r="N8669" s="362">
        <f t="shared" si="293"/>
        <v>0</v>
      </c>
      <c r="O8669" s="365" t="s">
        <v>52</v>
      </c>
      <c r="X8669" s="339"/>
    </row>
    <row r="8670" s="330" customFormat="1" ht="15" customHeight="1" spans="1:24">
      <c r="A8670" s="550" t="s">
        <v>18320</v>
      </c>
      <c r="B8670" s="334" t="s">
        <v>58</v>
      </c>
      <c r="C8670" s="348" t="s">
        <v>342</v>
      </c>
      <c r="D8670" s="335" t="s">
        <v>343</v>
      </c>
      <c r="E8670" s="336">
        <v>43789</v>
      </c>
      <c r="F8670" s="336">
        <v>43786</v>
      </c>
      <c r="G8670" s="399"/>
      <c r="H8670" s="334" t="s">
        <v>18321</v>
      </c>
      <c r="I8670" s="444">
        <v>13816527175</v>
      </c>
      <c r="J8670" s="348" t="s">
        <v>18322</v>
      </c>
      <c r="K8670" s="452">
        <v>1000</v>
      </c>
      <c r="L8670" s="338"/>
      <c r="M8670" s="338"/>
      <c r="N8670" s="362">
        <f t="shared" si="293"/>
        <v>0</v>
      </c>
      <c r="O8670" s="365" t="s">
        <v>52</v>
      </c>
      <c r="X8670" s="339"/>
    </row>
    <row r="8671" s="330" customFormat="1" ht="15" customHeight="1" spans="1:24">
      <c r="A8671" s="550" t="s">
        <v>18323</v>
      </c>
      <c r="B8671" s="334" t="s">
        <v>58</v>
      </c>
      <c r="C8671" s="348" t="s">
        <v>342</v>
      </c>
      <c r="D8671" s="335" t="s">
        <v>343</v>
      </c>
      <c r="E8671" s="336">
        <v>43789</v>
      </c>
      <c r="F8671" s="336">
        <v>43786</v>
      </c>
      <c r="G8671" s="399"/>
      <c r="H8671" s="334" t="s">
        <v>18324</v>
      </c>
      <c r="I8671" s="444">
        <v>13764740320</v>
      </c>
      <c r="J8671" s="348" t="s">
        <v>18325</v>
      </c>
      <c r="K8671" s="452">
        <v>1000</v>
      </c>
      <c r="L8671" s="338"/>
      <c r="M8671" s="338"/>
      <c r="N8671" s="362">
        <f t="shared" si="293"/>
        <v>0</v>
      </c>
      <c r="O8671" s="365" t="s">
        <v>52</v>
      </c>
      <c r="X8671" s="339"/>
    </row>
    <row r="8672" s="330" customFormat="1" ht="15" customHeight="1" spans="1:24">
      <c r="A8672" s="550" t="s">
        <v>18326</v>
      </c>
      <c r="B8672" s="334" t="s">
        <v>58</v>
      </c>
      <c r="C8672" s="348" t="s">
        <v>342</v>
      </c>
      <c r="D8672" s="335" t="s">
        <v>343</v>
      </c>
      <c r="E8672" s="336">
        <v>43789</v>
      </c>
      <c r="F8672" s="336">
        <v>43786</v>
      </c>
      <c r="G8672" s="399"/>
      <c r="H8672" s="334" t="s">
        <v>18327</v>
      </c>
      <c r="I8672" s="444">
        <v>18701531841</v>
      </c>
      <c r="J8672" s="348" t="s">
        <v>18328</v>
      </c>
      <c r="K8672" s="452">
        <v>1000</v>
      </c>
      <c r="L8672" s="338"/>
      <c r="M8672" s="338"/>
      <c r="N8672" s="362">
        <f t="shared" si="293"/>
        <v>0</v>
      </c>
      <c r="O8672" s="365" t="s">
        <v>52</v>
      </c>
      <c r="X8672" s="339"/>
    </row>
    <row r="8673" s="330" customFormat="1" ht="15" customHeight="1" spans="1:24">
      <c r="A8673" s="550" t="s">
        <v>6535</v>
      </c>
      <c r="B8673" s="334" t="s">
        <v>94</v>
      </c>
      <c r="C8673" s="348" t="s">
        <v>101</v>
      </c>
      <c r="D8673" s="335" t="s">
        <v>49</v>
      </c>
      <c r="E8673" s="336">
        <v>43791</v>
      </c>
      <c r="F8673" s="336">
        <v>43789</v>
      </c>
      <c r="G8673" s="336">
        <v>43790</v>
      </c>
      <c r="H8673" s="334" t="s">
        <v>18329</v>
      </c>
      <c r="I8673" s="444">
        <v>13774255908</v>
      </c>
      <c r="J8673" s="348" t="s">
        <v>18330</v>
      </c>
      <c r="K8673" s="452">
        <v>1000</v>
      </c>
      <c r="L8673" s="334">
        <v>12794</v>
      </c>
      <c r="M8673" s="338"/>
      <c r="N8673" s="362">
        <f t="shared" si="293"/>
        <v>12794</v>
      </c>
      <c r="X8673" s="339"/>
    </row>
    <row r="8674" s="330" customFormat="1" ht="15" customHeight="1" spans="1:24">
      <c r="A8674" s="334"/>
      <c r="B8674" s="348" t="s">
        <v>335</v>
      </c>
      <c r="C8674" s="348" t="s">
        <v>615</v>
      </c>
      <c r="D8674" s="334" t="s">
        <v>337</v>
      </c>
      <c r="E8674" s="336">
        <v>43789</v>
      </c>
      <c r="F8674" s="336"/>
      <c r="G8674" s="336">
        <v>43788</v>
      </c>
      <c r="H8674" s="334" t="s">
        <v>8043</v>
      </c>
      <c r="I8674" s="444">
        <v>13248668434</v>
      </c>
      <c r="J8674" s="348" t="s">
        <v>8044</v>
      </c>
      <c r="K8674" s="337"/>
      <c r="L8674" s="334">
        <v>8002</v>
      </c>
      <c r="M8674" s="338"/>
      <c r="N8674" s="362">
        <f t="shared" ref="N8674:N8697" si="294">L8674+M8674</f>
        <v>8002</v>
      </c>
      <c r="X8674" s="339"/>
    </row>
    <row r="8675" s="330" customFormat="1" ht="15" customHeight="1" spans="1:24">
      <c r="A8675" s="334"/>
      <c r="B8675" s="334" t="s">
        <v>236</v>
      </c>
      <c r="C8675" s="334" t="s">
        <v>195</v>
      </c>
      <c r="D8675" s="334" t="s">
        <v>207</v>
      </c>
      <c r="E8675" s="336">
        <v>43789</v>
      </c>
      <c r="F8675" s="336"/>
      <c r="G8675" s="336">
        <v>43788</v>
      </c>
      <c r="H8675" s="334" t="s">
        <v>18331</v>
      </c>
      <c r="I8675" s="444">
        <v>13808148423</v>
      </c>
      <c r="J8675" s="348" t="s">
        <v>18332</v>
      </c>
      <c r="K8675" s="337"/>
      <c r="L8675" s="334">
        <v>12261</v>
      </c>
      <c r="M8675" s="338"/>
      <c r="N8675" s="362">
        <f t="shared" si="294"/>
        <v>12261</v>
      </c>
      <c r="X8675" s="339"/>
    </row>
    <row r="8676" s="330" customFormat="1" ht="15" customHeight="1" spans="1:24">
      <c r="A8676" s="334"/>
      <c r="B8676" s="334" t="s">
        <v>58</v>
      </c>
      <c r="C8676" s="334" t="s">
        <v>347</v>
      </c>
      <c r="D8676" s="334" t="s">
        <v>75</v>
      </c>
      <c r="E8676" s="336">
        <v>43789</v>
      </c>
      <c r="F8676" s="336"/>
      <c r="G8676" s="336">
        <v>43788</v>
      </c>
      <c r="H8676" s="334" t="s">
        <v>18333</v>
      </c>
      <c r="I8676" s="444">
        <v>13391173850</v>
      </c>
      <c r="J8676" s="348" t="s">
        <v>18334</v>
      </c>
      <c r="K8676" s="337"/>
      <c r="L8676" s="334">
        <v>9100</v>
      </c>
      <c r="M8676" s="338"/>
      <c r="N8676" s="362">
        <f t="shared" si="294"/>
        <v>9100</v>
      </c>
      <c r="X8676" s="339"/>
    </row>
    <row r="8677" s="330" customFormat="1" ht="15" customHeight="1" spans="1:24">
      <c r="A8677" s="334"/>
      <c r="B8677" s="334" t="s">
        <v>726</v>
      </c>
      <c r="C8677" s="334" t="s">
        <v>727</v>
      </c>
      <c r="D8677" s="334" t="s">
        <v>271</v>
      </c>
      <c r="E8677" s="336">
        <v>43789</v>
      </c>
      <c r="F8677" s="336"/>
      <c r="G8677" s="336">
        <v>43789</v>
      </c>
      <c r="H8677" s="334" t="s">
        <v>18335</v>
      </c>
      <c r="I8677" s="444">
        <v>13585624089</v>
      </c>
      <c r="J8677" s="348" t="s">
        <v>18336</v>
      </c>
      <c r="K8677" s="337"/>
      <c r="L8677" s="334">
        <v>11449</v>
      </c>
      <c r="M8677" s="338"/>
      <c r="N8677" s="362">
        <f t="shared" si="294"/>
        <v>11449</v>
      </c>
      <c r="X8677" s="339"/>
    </row>
    <row r="8678" s="330" customFormat="1" ht="15" customHeight="1" spans="1:24">
      <c r="A8678" s="334"/>
      <c r="B8678" s="334" t="s">
        <v>94</v>
      </c>
      <c r="C8678" s="334" t="s">
        <v>3196</v>
      </c>
      <c r="D8678" s="335" t="s">
        <v>49</v>
      </c>
      <c r="E8678" s="336">
        <v>43789</v>
      </c>
      <c r="F8678" s="336"/>
      <c r="G8678" s="336">
        <v>43788</v>
      </c>
      <c r="H8678" s="334" t="s">
        <v>5030</v>
      </c>
      <c r="I8678" s="334">
        <v>13917950304</v>
      </c>
      <c r="J8678" s="348" t="s">
        <v>18337</v>
      </c>
      <c r="K8678" s="337"/>
      <c r="L8678" s="338"/>
      <c r="M8678" s="334">
        <v>3592</v>
      </c>
      <c r="N8678" s="362">
        <f t="shared" si="294"/>
        <v>3592</v>
      </c>
      <c r="X8678" s="339"/>
    </row>
    <row r="8679" s="330" customFormat="1" ht="15" customHeight="1" spans="1:24">
      <c r="A8679" s="334"/>
      <c r="B8679" s="334" t="s">
        <v>66</v>
      </c>
      <c r="C8679" s="334" t="s">
        <v>505</v>
      </c>
      <c r="D8679" s="334" t="s">
        <v>68</v>
      </c>
      <c r="E8679" s="336">
        <v>43789</v>
      </c>
      <c r="F8679" s="336"/>
      <c r="G8679" s="336">
        <v>43788</v>
      </c>
      <c r="H8679" s="334" t="s">
        <v>18338</v>
      </c>
      <c r="I8679" s="496">
        <v>1381838277</v>
      </c>
      <c r="J8679" s="496" t="s">
        <v>18339</v>
      </c>
      <c r="K8679" s="337"/>
      <c r="L8679" s="338"/>
      <c r="M8679" s="334">
        <v>495</v>
      </c>
      <c r="N8679" s="362">
        <f t="shared" si="294"/>
        <v>495</v>
      </c>
      <c r="X8679" s="339"/>
    </row>
    <row r="8680" s="330" customFormat="1" ht="15" customHeight="1" spans="1:24">
      <c r="A8680" s="334"/>
      <c r="B8680" s="334" t="s">
        <v>354</v>
      </c>
      <c r="C8680" s="334" t="s">
        <v>355</v>
      </c>
      <c r="D8680" s="334" t="s">
        <v>162</v>
      </c>
      <c r="E8680" s="336">
        <v>43789</v>
      </c>
      <c r="F8680" s="336"/>
      <c r="G8680" s="336">
        <v>43787</v>
      </c>
      <c r="H8680" s="334" t="s">
        <v>12836</v>
      </c>
      <c r="I8680" s="426">
        <v>18017161780</v>
      </c>
      <c r="J8680" s="334" t="s">
        <v>12837</v>
      </c>
      <c r="K8680" s="337"/>
      <c r="L8680" s="338"/>
      <c r="M8680" s="334">
        <v>3960</v>
      </c>
      <c r="N8680" s="362">
        <f t="shared" si="294"/>
        <v>3960</v>
      </c>
      <c r="X8680" s="339"/>
    </row>
    <row r="8681" s="330" customFormat="1" ht="15" customHeight="1" spans="1:24">
      <c r="A8681" s="334"/>
      <c r="B8681" s="334" t="s">
        <v>58</v>
      </c>
      <c r="C8681" s="334" t="s">
        <v>794</v>
      </c>
      <c r="D8681" s="334" t="s">
        <v>110</v>
      </c>
      <c r="E8681" s="336">
        <v>43789</v>
      </c>
      <c r="F8681" s="336"/>
      <c r="G8681" s="336">
        <v>43788</v>
      </c>
      <c r="H8681" s="334" t="s">
        <v>8287</v>
      </c>
      <c r="I8681" s="334">
        <v>13062766778</v>
      </c>
      <c r="J8681" s="334" t="s">
        <v>18340</v>
      </c>
      <c r="K8681" s="337"/>
      <c r="L8681" s="338"/>
      <c r="M8681" s="334">
        <v>187</v>
      </c>
      <c r="N8681" s="362">
        <f t="shared" si="294"/>
        <v>187</v>
      </c>
      <c r="X8681" s="339"/>
    </row>
    <row r="8682" s="330" customFormat="1" ht="15" customHeight="1" spans="1:24">
      <c r="A8682" s="334"/>
      <c r="B8682" s="334" t="s">
        <v>335</v>
      </c>
      <c r="C8682" s="334" t="s">
        <v>615</v>
      </c>
      <c r="D8682" s="334" t="s">
        <v>337</v>
      </c>
      <c r="E8682" s="336">
        <v>43789</v>
      </c>
      <c r="F8682" s="336"/>
      <c r="G8682" s="336">
        <v>43789</v>
      </c>
      <c r="H8682" s="334" t="s">
        <v>15242</v>
      </c>
      <c r="I8682" s="444">
        <v>13917846252</v>
      </c>
      <c r="J8682" s="348" t="s">
        <v>15243</v>
      </c>
      <c r="K8682" s="337"/>
      <c r="L8682" s="338"/>
      <c r="M8682" s="334">
        <v>-3800</v>
      </c>
      <c r="N8682" s="362">
        <f t="shared" si="294"/>
        <v>-3800</v>
      </c>
      <c r="X8682" s="339"/>
    </row>
    <row r="8683" s="330" customFormat="1" ht="15" customHeight="1" spans="1:24">
      <c r="A8683" s="334"/>
      <c r="B8683" s="334" t="s">
        <v>205</v>
      </c>
      <c r="C8683" s="334" t="s">
        <v>1467</v>
      </c>
      <c r="D8683" s="334" t="s">
        <v>207</v>
      </c>
      <c r="E8683" s="336">
        <v>43789</v>
      </c>
      <c r="F8683" s="336"/>
      <c r="G8683" s="336">
        <v>43789</v>
      </c>
      <c r="H8683" s="334" t="s">
        <v>15052</v>
      </c>
      <c r="I8683" s="444">
        <v>18930132396</v>
      </c>
      <c r="J8683" s="348" t="s">
        <v>18341</v>
      </c>
      <c r="K8683" s="337"/>
      <c r="L8683" s="338"/>
      <c r="M8683" s="334">
        <v>3952</v>
      </c>
      <c r="N8683" s="362">
        <f t="shared" si="294"/>
        <v>3952</v>
      </c>
      <c r="X8683" s="339"/>
    </row>
    <row r="8684" s="330" customFormat="1" ht="15" customHeight="1" spans="1:24">
      <c r="A8684" s="334"/>
      <c r="B8684" s="334" t="s">
        <v>137</v>
      </c>
      <c r="C8684" s="334" t="s">
        <v>2705</v>
      </c>
      <c r="D8684" s="334" t="s">
        <v>427</v>
      </c>
      <c r="E8684" s="336">
        <v>43789</v>
      </c>
      <c r="F8684" s="336"/>
      <c r="G8684" s="336">
        <v>43789</v>
      </c>
      <c r="H8684" s="334" t="s">
        <v>14330</v>
      </c>
      <c r="I8684" s="444">
        <v>13777771126</v>
      </c>
      <c r="J8684" s="348" t="s">
        <v>18342</v>
      </c>
      <c r="K8684" s="337"/>
      <c r="L8684" s="338"/>
      <c r="M8684" s="334">
        <v>1200</v>
      </c>
      <c r="N8684" s="362">
        <f t="shared" si="294"/>
        <v>1200</v>
      </c>
      <c r="X8684" s="339"/>
    </row>
    <row r="8685" s="330" customFormat="1" ht="15" customHeight="1" spans="1:24">
      <c r="A8685" s="334"/>
      <c r="B8685" s="334" t="s">
        <v>35</v>
      </c>
      <c r="C8685" s="334" t="s">
        <v>328</v>
      </c>
      <c r="D8685" s="334" t="s">
        <v>37</v>
      </c>
      <c r="E8685" s="336">
        <v>43789</v>
      </c>
      <c r="F8685" s="336"/>
      <c r="G8685" s="336">
        <v>43784</v>
      </c>
      <c r="H8685" s="334" t="s">
        <v>9547</v>
      </c>
      <c r="I8685" s="444">
        <v>13901758993</v>
      </c>
      <c r="J8685" s="348" t="s">
        <v>9548</v>
      </c>
      <c r="K8685" s="337"/>
      <c r="L8685" s="338"/>
      <c r="M8685" s="334">
        <v>21198</v>
      </c>
      <c r="N8685" s="362">
        <f t="shared" si="294"/>
        <v>21198</v>
      </c>
      <c r="X8685" s="339"/>
    </row>
    <row r="8686" s="330" customFormat="1" ht="15" customHeight="1" spans="1:24">
      <c r="A8686" s="334"/>
      <c r="B8686" s="334" t="s">
        <v>726</v>
      </c>
      <c r="C8686" s="334" t="s">
        <v>727</v>
      </c>
      <c r="D8686" s="334" t="s">
        <v>271</v>
      </c>
      <c r="E8686" s="336">
        <v>43789</v>
      </c>
      <c r="F8686" s="336"/>
      <c r="G8686" s="336">
        <v>43788</v>
      </c>
      <c r="H8686" s="334" t="s">
        <v>12422</v>
      </c>
      <c r="I8686" s="334">
        <v>18910420830</v>
      </c>
      <c r="J8686" s="334" t="s">
        <v>16176</v>
      </c>
      <c r="K8686" s="337"/>
      <c r="L8686" s="338"/>
      <c r="M8686" s="334">
        <v>390</v>
      </c>
      <c r="N8686" s="362">
        <f t="shared" si="294"/>
        <v>390</v>
      </c>
      <c r="X8686" s="339"/>
    </row>
    <row r="8687" s="330" customFormat="1" ht="15" customHeight="1" spans="1:24">
      <c r="A8687" s="334"/>
      <c r="B8687" s="334" t="s">
        <v>58</v>
      </c>
      <c r="C8687" s="334" t="s">
        <v>794</v>
      </c>
      <c r="D8687" s="334" t="s">
        <v>271</v>
      </c>
      <c r="E8687" s="336">
        <v>43789</v>
      </c>
      <c r="F8687" s="336"/>
      <c r="G8687" s="336">
        <v>43784</v>
      </c>
      <c r="H8687" s="334" t="s">
        <v>16048</v>
      </c>
      <c r="I8687" s="444">
        <v>16621650551</v>
      </c>
      <c r="J8687" s="348" t="s">
        <v>16049</v>
      </c>
      <c r="K8687" s="337"/>
      <c r="L8687" s="338"/>
      <c r="M8687" s="334">
        <v>-310</v>
      </c>
      <c r="N8687" s="362">
        <f t="shared" si="294"/>
        <v>-310</v>
      </c>
      <c r="X8687" s="339"/>
    </row>
    <row r="8688" s="330" customFormat="1" ht="15" customHeight="1" spans="1:24">
      <c r="A8688" s="334"/>
      <c r="B8688" s="334" t="s">
        <v>137</v>
      </c>
      <c r="C8688" s="334" t="s">
        <v>480</v>
      </c>
      <c r="D8688" s="334" t="s">
        <v>139</v>
      </c>
      <c r="E8688" s="336">
        <v>43789</v>
      </c>
      <c r="F8688" s="336"/>
      <c r="G8688" s="336">
        <v>43789</v>
      </c>
      <c r="H8688" s="334" t="s">
        <v>1111</v>
      </c>
      <c r="I8688" s="334">
        <v>13917728517</v>
      </c>
      <c r="J8688" s="348" t="s">
        <v>14561</v>
      </c>
      <c r="K8688" s="337"/>
      <c r="L8688" s="338"/>
      <c r="M8688" s="334">
        <v>18111</v>
      </c>
      <c r="N8688" s="362">
        <f t="shared" si="294"/>
        <v>18111</v>
      </c>
      <c r="X8688" s="339"/>
    </row>
    <row r="8689" s="330" customFormat="1" ht="15" customHeight="1" spans="1:24">
      <c r="A8689" s="334"/>
      <c r="B8689" s="334" t="s">
        <v>58</v>
      </c>
      <c r="C8689" s="334" t="s">
        <v>59</v>
      </c>
      <c r="D8689" s="334" t="s">
        <v>271</v>
      </c>
      <c r="E8689" s="336">
        <v>43789</v>
      </c>
      <c r="F8689" s="336"/>
      <c r="G8689" s="336">
        <v>43781</v>
      </c>
      <c r="H8689" s="334" t="s">
        <v>14412</v>
      </c>
      <c r="I8689" s="444">
        <v>13506846171</v>
      </c>
      <c r="J8689" s="348" t="s">
        <v>14413</v>
      </c>
      <c r="K8689" s="337"/>
      <c r="L8689" s="338"/>
      <c r="M8689" s="334">
        <v>29697</v>
      </c>
      <c r="N8689" s="362">
        <f t="shared" si="294"/>
        <v>29697</v>
      </c>
      <c r="X8689" s="339"/>
    </row>
    <row r="8690" s="330" customFormat="1" ht="15" customHeight="1" spans="1:24">
      <c r="A8690" s="334"/>
      <c r="B8690" s="334" t="s">
        <v>18343</v>
      </c>
      <c r="C8690" s="334" t="s">
        <v>703</v>
      </c>
      <c r="D8690" s="334" t="s">
        <v>125</v>
      </c>
      <c r="E8690" s="336">
        <v>43789</v>
      </c>
      <c r="F8690" s="336"/>
      <c r="G8690" s="336">
        <v>43788</v>
      </c>
      <c r="H8690" s="334" t="s">
        <v>695</v>
      </c>
      <c r="I8690" s="334">
        <v>18616309922</v>
      </c>
      <c r="J8690" s="334" t="s">
        <v>18344</v>
      </c>
      <c r="K8690" s="337"/>
      <c r="L8690" s="338"/>
      <c r="M8690" s="334">
        <v>4366</v>
      </c>
      <c r="N8690" s="362">
        <f t="shared" si="294"/>
        <v>4366</v>
      </c>
      <c r="X8690" s="339"/>
    </row>
    <row r="8691" s="330" customFormat="1" ht="15" customHeight="1" spans="1:24">
      <c r="A8691" s="334"/>
      <c r="B8691" s="334" t="s">
        <v>58</v>
      </c>
      <c r="C8691" s="334" t="s">
        <v>109</v>
      </c>
      <c r="D8691" s="334" t="s">
        <v>75</v>
      </c>
      <c r="E8691" s="336">
        <v>43789</v>
      </c>
      <c r="F8691" s="336"/>
      <c r="G8691" s="336">
        <v>43787</v>
      </c>
      <c r="H8691" s="334" t="s">
        <v>5451</v>
      </c>
      <c r="I8691" s="444">
        <v>18602107246</v>
      </c>
      <c r="J8691" s="348" t="s">
        <v>5452</v>
      </c>
      <c r="K8691" s="337"/>
      <c r="L8691" s="338"/>
      <c r="M8691" s="334">
        <v>6420</v>
      </c>
      <c r="N8691" s="362">
        <f t="shared" si="294"/>
        <v>6420</v>
      </c>
      <c r="X8691" s="339"/>
    </row>
    <row r="8692" s="330" customFormat="1" ht="15" customHeight="1" spans="1:24">
      <c r="A8692" s="334"/>
      <c r="B8692" s="334" t="s">
        <v>58</v>
      </c>
      <c r="C8692" s="334" t="s">
        <v>59</v>
      </c>
      <c r="D8692" s="334" t="s">
        <v>271</v>
      </c>
      <c r="E8692" s="336">
        <v>43789</v>
      </c>
      <c r="F8692" s="336"/>
      <c r="G8692" s="336">
        <v>43789</v>
      </c>
      <c r="H8692" s="334" t="s">
        <v>11610</v>
      </c>
      <c r="I8692" s="334">
        <v>13916805681</v>
      </c>
      <c r="J8692" s="334" t="s">
        <v>11611</v>
      </c>
      <c r="K8692" s="337"/>
      <c r="L8692" s="338"/>
      <c r="M8692" s="334">
        <v>-3289</v>
      </c>
      <c r="N8692" s="362">
        <f t="shared" si="294"/>
        <v>-3289</v>
      </c>
      <c r="X8692" s="339"/>
    </row>
    <row r="8693" s="330" customFormat="1" ht="15" customHeight="1" spans="1:24">
      <c r="A8693" s="334"/>
      <c r="B8693" s="334" t="s">
        <v>58</v>
      </c>
      <c r="C8693" s="334" t="s">
        <v>59</v>
      </c>
      <c r="D8693" s="334" t="s">
        <v>49</v>
      </c>
      <c r="E8693" s="336">
        <v>43789</v>
      </c>
      <c r="F8693" s="336"/>
      <c r="G8693" s="336">
        <v>43787</v>
      </c>
      <c r="H8693" s="334" t="s">
        <v>18345</v>
      </c>
      <c r="I8693" s="496">
        <v>18516216739</v>
      </c>
      <c r="J8693" s="496" t="s">
        <v>18346</v>
      </c>
      <c r="K8693" s="337"/>
      <c r="L8693" s="338"/>
      <c r="M8693" s="334">
        <v>4012</v>
      </c>
      <c r="N8693" s="362">
        <f t="shared" si="294"/>
        <v>4012</v>
      </c>
      <c r="X8693" s="339"/>
    </row>
    <row r="8694" s="330" customFormat="1" ht="15" customHeight="1" spans="1:24">
      <c r="A8694" s="334"/>
      <c r="B8694" s="334" t="s">
        <v>185</v>
      </c>
      <c r="C8694" s="334" t="s">
        <v>886</v>
      </c>
      <c r="D8694" s="334" t="s">
        <v>187</v>
      </c>
      <c r="E8694" s="336">
        <v>43789</v>
      </c>
      <c r="F8694" s="336"/>
      <c r="G8694" s="336">
        <v>43789</v>
      </c>
      <c r="H8694" s="334" t="s">
        <v>16700</v>
      </c>
      <c r="I8694" s="444">
        <v>13601991848</v>
      </c>
      <c r="J8694" s="348" t="s">
        <v>16701</v>
      </c>
      <c r="K8694" s="337"/>
      <c r="L8694" s="338"/>
      <c r="M8694" s="334">
        <v>2580</v>
      </c>
      <c r="N8694" s="362">
        <f t="shared" si="294"/>
        <v>2580</v>
      </c>
      <c r="X8694" s="339"/>
    </row>
    <row r="8695" s="330" customFormat="1" ht="15" customHeight="1" spans="1:24">
      <c r="A8695" s="334"/>
      <c r="B8695" s="334" t="s">
        <v>87</v>
      </c>
      <c r="C8695" s="334" t="s">
        <v>199</v>
      </c>
      <c r="D8695" s="334" t="s">
        <v>89</v>
      </c>
      <c r="E8695" s="336">
        <v>43789</v>
      </c>
      <c r="F8695" s="336"/>
      <c r="G8695" s="336">
        <v>43786</v>
      </c>
      <c r="H8695" s="334" t="s">
        <v>2901</v>
      </c>
      <c r="I8695" s="334">
        <v>13701891770</v>
      </c>
      <c r="J8695" s="334" t="s">
        <v>18347</v>
      </c>
      <c r="K8695" s="337"/>
      <c r="L8695" s="338"/>
      <c r="M8695" s="334">
        <v>-7840</v>
      </c>
      <c r="N8695" s="362">
        <f t="shared" si="294"/>
        <v>-7840</v>
      </c>
      <c r="X8695" s="339"/>
    </row>
    <row r="8696" s="330" customFormat="1" ht="15" customHeight="1" spans="1:24">
      <c r="A8696" s="334"/>
      <c r="B8696" s="334" t="s">
        <v>87</v>
      </c>
      <c r="C8696" s="334" t="s">
        <v>199</v>
      </c>
      <c r="D8696" s="334" t="s">
        <v>89</v>
      </c>
      <c r="E8696" s="336">
        <v>43789</v>
      </c>
      <c r="F8696" s="336"/>
      <c r="G8696" s="336">
        <v>43786</v>
      </c>
      <c r="H8696" s="334" t="s">
        <v>2901</v>
      </c>
      <c r="I8696" s="334">
        <v>13701891770</v>
      </c>
      <c r="J8696" s="334" t="s">
        <v>18347</v>
      </c>
      <c r="K8696" s="337"/>
      <c r="L8696" s="338"/>
      <c r="M8696" s="334">
        <v>4341</v>
      </c>
      <c r="N8696" s="362">
        <f t="shared" si="294"/>
        <v>4341</v>
      </c>
      <c r="X8696" s="339"/>
    </row>
    <row r="8697" s="330" customFormat="1" ht="15" customHeight="1" spans="1:24">
      <c r="A8697" s="334"/>
      <c r="B8697" s="334" t="s">
        <v>66</v>
      </c>
      <c r="C8697" s="334" t="s">
        <v>1749</v>
      </c>
      <c r="D8697" s="334" t="s">
        <v>2302</v>
      </c>
      <c r="E8697" s="336">
        <v>43789</v>
      </c>
      <c r="F8697" s="336"/>
      <c r="G8697" s="336">
        <v>43789</v>
      </c>
      <c r="H8697" s="334" t="s">
        <v>13836</v>
      </c>
      <c r="I8697" s="444">
        <v>17761810424</v>
      </c>
      <c r="J8697" s="334" t="s">
        <v>13838</v>
      </c>
      <c r="K8697" s="337"/>
      <c r="L8697" s="338"/>
      <c r="M8697" s="334">
        <v>2602</v>
      </c>
      <c r="N8697" s="362">
        <f t="shared" si="294"/>
        <v>2602</v>
      </c>
      <c r="X8697" s="339"/>
    </row>
    <row r="8698" ht="15" customHeight="1" spans="1:14">
      <c r="A8698" s="348" t="s">
        <v>18348</v>
      </c>
      <c r="B8698" s="334" t="s">
        <v>236</v>
      </c>
      <c r="C8698" s="348" t="s">
        <v>703</v>
      </c>
      <c r="D8698" s="334" t="s">
        <v>207</v>
      </c>
      <c r="E8698" s="336">
        <v>43814</v>
      </c>
      <c r="F8698" s="336">
        <v>43789</v>
      </c>
      <c r="G8698" s="336">
        <v>43813</v>
      </c>
      <c r="H8698" s="334" t="s">
        <v>18349</v>
      </c>
      <c r="I8698" s="444">
        <v>15800334027</v>
      </c>
      <c r="J8698" s="348" t="s">
        <v>18350</v>
      </c>
      <c r="K8698" s="452">
        <v>1000</v>
      </c>
      <c r="L8698" s="334">
        <v>6091</v>
      </c>
      <c r="N8698" s="362">
        <f t="shared" ref="N8698:N8714" si="295">L8698+M8698</f>
        <v>6091</v>
      </c>
    </row>
    <row r="8699" ht="15" customHeight="1" spans="1:14">
      <c r="A8699" s="550" t="s">
        <v>18351</v>
      </c>
      <c r="B8699" s="334" t="s">
        <v>31</v>
      </c>
      <c r="C8699" s="348" t="s">
        <v>2716</v>
      </c>
      <c r="D8699" s="334" t="s">
        <v>221</v>
      </c>
      <c r="E8699" s="336">
        <v>43790</v>
      </c>
      <c r="F8699" s="336">
        <v>43788</v>
      </c>
      <c r="G8699" s="399">
        <v>43788</v>
      </c>
      <c r="H8699" s="334" t="s">
        <v>18352</v>
      </c>
      <c r="I8699" s="444">
        <v>17714427830</v>
      </c>
      <c r="J8699" s="348" t="s">
        <v>18353</v>
      </c>
      <c r="K8699" s="452">
        <v>3758</v>
      </c>
      <c r="L8699" s="334">
        <v>4133</v>
      </c>
      <c r="N8699" s="362">
        <f t="shared" si="295"/>
        <v>4133</v>
      </c>
    </row>
    <row r="8700" ht="15" customHeight="1" spans="1:14">
      <c r="A8700" s="348">
        <v>2022797</v>
      </c>
      <c r="B8700" s="334" t="s">
        <v>243</v>
      </c>
      <c r="C8700" s="348" t="s">
        <v>304</v>
      </c>
      <c r="D8700" s="335" t="s">
        <v>49</v>
      </c>
      <c r="E8700" s="336">
        <v>43799</v>
      </c>
      <c r="F8700" s="336">
        <v>43644</v>
      </c>
      <c r="G8700" s="336">
        <v>43799</v>
      </c>
      <c r="H8700" s="334" t="s">
        <v>18354</v>
      </c>
      <c r="I8700" s="444">
        <v>13381669303</v>
      </c>
      <c r="J8700" s="348" t="s">
        <v>18355</v>
      </c>
      <c r="K8700" s="452">
        <v>1000</v>
      </c>
      <c r="L8700" s="334">
        <v>48392</v>
      </c>
      <c r="N8700" s="362">
        <f t="shared" si="295"/>
        <v>48392</v>
      </c>
    </row>
    <row r="8701" ht="15" customHeight="1" spans="1:14">
      <c r="A8701" s="550" t="s">
        <v>18356</v>
      </c>
      <c r="B8701" s="334" t="s">
        <v>405</v>
      </c>
      <c r="C8701" s="348" t="s">
        <v>14070</v>
      </c>
      <c r="D8701" s="335" t="s">
        <v>407</v>
      </c>
      <c r="E8701" s="336">
        <v>43799</v>
      </c>
      <c r="F8701" s="336">
        <v>43786</v>
      </c>
      <c r="G8701" s="336">
        <v>43799</v>
      </c>
      <c r="H8701" s="334" t="s">
        <v>18357</v>
      </c>
      <c r="I8701" s="444">
        <v>13501942401</v>
      </c>
      <c r="J8701" s="348" t="s">
        <v>18358</v>
      </c>
      <c r="K8701" s="452">
        <v>5000</v>
      </c>
      <c r="L8701" s="334">
        <v>22176</v>
      </c>
      <c r="N8701" s="362">
        <f t="shared" si="295"/>
        <v>22176</v>
      </c>
    </row>
    <row r="8702" ht="15" customHeight="1" spans="1:14">
      <c r="A8702" s="550" t="s">
        <v>18037</v>
      </c>
      <c r="B8702" s="334" t="s">
        <v>5435</v>
      </c>
      <c r="C8702" s="334" t="s">
        <v>1728</v>
      </c>
      <c r="D8702" s="334" t="s">
        <v>237</v>
      </c>
      <c r="E8702" s="336">
        <v>43790</v>
      </c>
      <c r="F8702" s="336">
        <v>43790</v>
      </c>
      <c r="G8702" s="399">
        <v>43790</v>
      </c>
      <c r="H8702" s="334" t="s">
        <v>18359</v>
      </c>
      <c r="I8702" s="444">
        <v>13817825379</v>
      </c>
      <c r="J8702" s="348" t="s">
        <v>18360</v>
      </c>
      <c r="K8702" s="452">
        <v>10500</v>
      </c>
      <c r="L8702" s="334">
        <v>7734</v>
      </c>
      <c r="N8702" s="362">
        <f t="shared" si="295"/>
        <v>7734</v>
      </c>
    </row>
    <row r="8703" ht="15" customHeight="1" spans="1:17">
      <c r="A8703" s="550" t="s">
        <v>18361</v>
      </c>
      <c r="B8703" s="334" t="s">
        <v>58</v>
      </c>
      <c r="C8703" s="348" t="s">
        <v>342</v>
      </c>
      <c r="D8703" s="335" t="s">
        <v>343</v>
      </c>
      <c r="E8703" s="336">
        <v>43811</v>
      </c>
      <c r="F8703" s="336">
        <v>43790</v>
      </c>
      <c r="G8703" s="336">
        <v>43810</v>
      </c>
      <c r="H8703" s="334" t="s">
        <v>18362</v>
      </c>
      <c r="I8703" s="444">
        <v>13917010210</v>
      </c>
      <c r="J8703" s="348" t="s">
        <v>18363</v>
      </c>
      <c r="K8703" s="452">
        <v>1000</v>
      </c>
      <c r="L8703" s="334">
        <v>9024</v>
      </c>
      <c r="N8703" s="362">
        <f t="shared" si="295"/>
        <v>9024</v>
      </c>
      <c r="Q8703" s="365" t="s">
        <v>52</v>
      </c>
    </row>
    <row r="8704" ht="15" customHeight="1" spans="1:17">
      <c r="A8704" s="550" t="s">
        <v>18364</v>
      </c>
      <c r="B8704" s="334" t="s">
        <v>58</v>
      </c>
      <c r="C8704" s="348" t="s">
        <v>342</v>
      </c>
      <c r="D8704" s="335" t="s">
        <v>343</v>
      </c>
      <c r="E8704" s="336">
        <v>43811</v>
      </c>
      <c r="F8704" s="336">
        <v>43790</v>
      </c>
      <c r="G8704" s="336">
        <v>43810</v>
      </c>
      <c r="H8704" s="334" t="s">
        <v>18365</v>
      </c>
      <c r="I8704" s="444">
        <v>18121152665</v>
      </c>
      <c r="J8704" s="348" t="s">
        <v>18366</v>
      </c>
      <c r="K8704" s="452">
        <v>1000</v>
      </c>
      <c r="L8704" s="334">
        <v>9142</v>
      </c>
      <c r="N8704" s="362">
        <f t="shared" si="295"/>
        <v>9142</v>
      </c>
      <c r="Q8704" s="365" t="s">
        <v>52</v>
      </c>
    </row>
    <row r="8705" ht="15" customHeight="1" spans="1:17">
      <c r="A8705" s="550" t="s">
        <v>11052</v>
      </c>
      <c r="B8705" s="334" t="s">
        <v>66</v>
      </c>
      <c r="C8705" s="348" t="s">
        <v>119</v>
      </c>
      <c r="D8705" s="335" t="s">
        <v>68</v>
      </c>
      <c r="E8705" s="336">
        <v>43790</v>
      </c>
      <c r="F8705" s="336">
        <v>43790</v>
      </c>
      <c r="G8705" s="399"/>
      <c r="H8705" s="334" t="s">
        <v>11965</v>
      </c>
      <c r="I8705" s="444">
        <v>13917992675</v>
      </c>
      <c r="J8705" s="348" t="s">
        <v>18367</v>
      </c>
      <c r="K8705" s="452">
        <v>1000</v>
      </c>
      <c r="N8705" s="362">
        <f t="shared" si="295"/>
        <v>0</v>
      </c>
      <c r="Q8705" s="353" t="s">
        <v>21</v>
      </c>
    </row>
    <row r="8706" ht="15" customHeight="1" spans="1:14">
      <c r="A8706" s="550" t="s">
        <v>18368</v>
      </c>
      <c r="B8706" s="334" t="s">
        <v>137</v>
      </c>
      <c r="C8706" s="348" t="s">
        <v>861</v>
      </c>
      <c r="D8706" s="334" t="s">
        <v>139</v>
      </c>
      <c r="E8706" s="336">
        <v>43795</v>
      </c>
      <c r="F8706" s="336">
        <v>43789</v>
      </c>
      <c r="G8706" s="336">
        <v>43793</v>
      </c>
      <c r="H8706" s="334" t="s">
        <v>7596</v>
      </c>
      <c r="I8706" s="444" t="s">
        <v>18369</v>
      </c>
      <c r="J8706" s="348" t="s">
        <v>18370</v>
      </c>
      <c r="K8706" s="452">
        <v>1000</v>
      </c>
      <c r="L8706" s="334">
        <v>26168</v>
      </c>
      <c r="N8706" s="362">
        <f t="shared" si="295"/>
        <v>26168</v>
      </c>
    </row>
    <row r="8707" ht="15" customHeight="1" spans="1:14">
      <c r="A8707" s="550" t="s">
        <v>18371</v>
      </c>
      <c r="B8707" s="334" t="s">
        <v>31</v>
      </c>
      <c r="C8707" s="348" t="s">
        <v>2716</v>
      </c>
      <c r="D8707" s="334" t="s">
        <v>954</v>
      </c>
      <c r="E8707" s="336">
        <v>43802</v>
      </c>
      <c r="F8707" s="336">
        <v>43790</v>
      </c>
      <c r="G8707" s="336">
        <v>43801</v>
      </c>
      <c r="H8707" s="334" t="s">
        <v>18372</v>
      </c>
      <c r="I8707" s="444">
        <v>13918094066</v>
      </c>
      <c r="J8707" s="348" t="s">
        <v>18373</v>
      </c>
      <c r="K8707" s="452">
        <v>1000</v>
      </c>
      <c r="L8707" s="334">
        <v>4719</v>
      </c>
      <c r="N8707" s="362">
        <f t="shared" si="295"/>
        <v>4719</v>
      </c>
    </row>
    <row r="8708" ht="15" customHeight="1" spans="1:14">
      <c r="A8708" s="348">
        <v>2066538</v>
      </c>
      <c r="B8708" s="334" t="s">
        <v>243</v>
      </c>
      <c r="C8708" s="348" t="s">
        <v>304</v>
      </c>
      <c r="D8708" s="335" t="s">
        <v>49</v>
      </c>
      <c r="E8708" s="336">
        <v>43794</v>
      </c>
      <c r="F8708" s="336">
        <v>43790</v>
      </c>
      <c r="G8708" s="336">
        <v>43794</v>
      </c>
      <c r="H8708" s="334" t="s">
        <v>18374</v>
      </c>
      <c r="I8708" s="444">
        <v>18516195006</v>
      </c>
      <c r="J8708" s="348" t="s">
        <v>18375</v>
      </c>
      <c r="K8708" s="452">
        <v>3000</v>
      </c>
      <c r="L8708" s="334">
        <v>14764</v>
      </c>
      <c r="N8708" s="362">
        <f t="shared" si="295"/>
        <v>14764</v>
      </c>
    </row>
    <row r="8709" ht="15" customHeight="1" spans="1:14">
      <c r="A8709" s="348"/>
      <c r="B8709" s="348" t="s">
        <v>5336</v>
      </c>
      <c r="C8709" s="348" t="s">
        <v>5336</v>
      </c>
      <c r="D8709" s="335" t="s">
        <v>8334</v>
      </c>
      <c r="E8709" s="336">
        <v>43802</v>
      </c>
      <c r="F8709" s="336">
        <v>43791</v>
      </c>
      <c r="G8709" s="336">
        <v>43802</v>
      </c>
      <c r="H8709" s="334" t="s">
        <v>18376</v>
      </c>
      <c r="I8709" s="444">
        <v>13817852815</v>
      </c>
      <c r="J8709" s="348" t="s">
        <v>18377</v>
      </c>
      <c r="K8709" s="452">
        <v>7273</v>
      </c>
      <c r="L8709" s="334">
        <v>9400</v>
      </c>
      <c r="N8709" s="362">
        <f t="shared" si="295"/>
        <v>9400</v>
      </c>
    </row>
    <row r="8710" ht="15" customHeight="1" spans="1:14">
      <c r="A8710" s="550" t="s">
        <v>8717</v>
      </c>
      <c r="B8710" s="334" t="s">
        <v>66</v>
      </c>
      <c r="C8710" s="348" t="s">
        <v>505</v>
      </c>
      <c r="D8710" s="334" t="s">
        <v>68</v>
      </c>
      <c r="E8710" s="336">
        <v>43799</v>
      </c>
      <c r="F8710" s="336">
        <v>43790</v>
      </c>
      <c r="G8710" s="336">
        <v>43798</v>
      </c>
      <c r="H8710" s="334" t="s">
        <v>18378</v>
      </c>
      <c r="I8710" s="444">
        <v>15821307808</v>
      </c>
      <c r="J8710" s="348" t="s">
        <v>18379</v>
      </c>
      <c r="K8710" s="452">
        <v>3000</v>
      </c>
      <c r="L8710" s="334">
        <v>32876</v>
      </c>
      <c r="N8710" s="362">
        <f t="shared" si="295"/>
        <v>32876</v>
      </c>
    </row>
    <row r="8711" ht="15" customHeight="1" spans="1:17">
      <c r="A8711" s="550" t="s">
        <v>15385</v>
      </c>
      <c r="B8711" s="334" t="s">
        <v>58</v>
      </c>
      <c r="C8711" s="348" t="s">
        <v>342</v>
      </c>
      <c r="D8711" s="335" t="s">
        <v>343</v>
      </c>
      <c r="E8711" s="336">
        <v>43791</v>
      </c>
      <c r="F8711" s="336">
        <v>43791</v>
      </c>
      <c r="G8711" s="399"/>
      <c r="H8711" s="334" t="s">
        <v>18380</v>
      </c>
      <c r="I8711" s="444">
        <v>13817160324</v>
      </c>
      <c r="J8711" s="348" t="s">
        <v>18381</v>
      </c>
      <c r="K8711" s="452">
        <v>3897</v>
      </c>
      <c r="N8711" s="362">
        <f t="shared" si="295"/>
        <v>0</v>
      </c>
      <c r="Q8711" s="365" t="s">
        <v>52</v>
      </c>
    </row>
    <row r="8712" ht="15" customHeight="1" spans="1:15">
      <c r="A8712" s="550" t="s">
        <v>18382</v>
      </c>
      <c r="B8712" s="334" t="s">
        <v>405</v>
      </c>
      <c r="C8712" s="348" t="s">
        <v>14070</v>
      </c>
      <c r="D8712" s="335" t="s">
        <v>407</v>
      </c>
      <c r="E8712" s="336">
        <v>43791</v>
      </c>
      <c r="F8712" s="336">
        <v>43790</v>
      </c>
      <c r="G8712" s="399"/>
      <c r="H8712" s="334" t="s">
        <v>2466</v>
      </c>
      <c r="I8712" s="444">
        <v>13564304269</v>
      </c>
      <c r="J8712" s="348" t="s">
        <v>18383</v>
      </c>
      <c r="K8712" s="452">
        <v>1000</v>
      </c>
      <c r="N8712" s="362">
        <f t="shared" si="295"/>
        <v>0</v>
      </c>
      <c r="O8712" s="502" t="s">
        <v>52</v>
      </c>
    </row>
    <row r="8713" ht="15" customHeight="1" spans="1:14">
      <c r="A8713" s="550" t="s">
        <v>10982</v>
      </c>
      <c r="B8713" s="334" t="s">
        <v>137</v>
      </c>
      <c r="C8713" s="348" t="s">
        <v>2705</v>
      </c>
      <c r="D8713" s="334" t="s">
        <v>2381</v>
      </c>
      <c r="E8713" s="336">
        <v>43794</v>
      </c>
      <c r="F8713" s="336">
        <v>43788</v>
      </c>
      <c r="G8713" s="336">
        <v>43793</v>
      </c>
      <c r="H8713" s="334" t="s">
        <v>18384</v>
      </c>
      <c r="I8713" s="444">
        <v>18616363129</v>
      </c>
      <c r="J8713" s="348" t="s">
        <v>18385</v>
      </c>
      <c r="K8713" s="452">
        <v>1667</v>
      </c>
      <c r="L8713" s="334">
        <v>4063</v>
      </c>
      <c r="N8713" s="362">
        <f t="shared" si="295"/>
        <v>4063</v>
      </c>
    </row>
    <row r="8714" ht="15" customHeight="1" spans="1:20">
      <c r="A8714" s="550" t="s">
        <v>17953</v>
      </c>
      <c r="B8714" s="334" t="s">
        <v>123</v>
      </c>
      <c r="C8714" s="348" t="s">
        <v>32</v>
      </c>
      <c r="D8714" s="335" t="s">
        <v>125</v>
      </c>
      <c r="E8714" s="336">
        <v>43803</v>
      </c>
      <c r="F8714" s="336">
        <v>43791</v>
      </c>
      <c r="G8714" s="336">
        <v>43799</v>
      </c>
      <c r="H8714" s="334" t="s">
        <v>9776</v>
      </c>
      <c r="I8714" s="444">
        <v>13764193883</v>
      </c>
      <c r="J8714" s="348" t="s">
        <v>18386</v>
      </c>
      <c r="K8714" s="452">
        <v>1998</v>
      </c>
      <c r="L8714" s="334">
        <v>2618</v>
      </c>
      <c r="N8714" s="362">
        <f t="shared" si="295"/>
        <v>2618</v>
      </c>
      <c r="T8714" s="486" t="s">
        <v>52</v>
      </c>
    </row>
    <row r="8715" ht="15" customHeight="1" spans="2:14">
      <c r="B8715" s="348" t="s">
        <v>66</v>
      </c>
      <c r="C8715" s="348" t="s">
        <v>951</v>
      </c>
      <c r="D8715" s="334" t="s">
        <v>68</v>
      </c>
      <c r="E8715" s="336">
        <v>43790</v>
      </c>
      <c r="G8715" s="336">
        <v>43787</v>
      </c>
      <c r="H8715" s="334" t="s">
        <v>5282</v>
      </c>
      <c r="I8715" s="444">
        <v>15821698949</v>
      </c>
      <c r="J8715" s="348" t="s">
        <v>18387</v>
      </c>
      <c r="L8715" s="334">
        <v>13323</v>
      </c>
      <c r="N8715" s="362">
        <f t="shared" ref="N8715:N8747" si="296">L8715+M8715</f>
        <v>13323</v>
      </c>
    </row>
    <row r="8716" ht="15" customHeight="1" spans="2:14">
      <c r="B8716" s="334" t="s">
        <v>87</v>
      </c>
      <c r="C8716" s="334" t="s">
        <v>466</v>
      </c>
      <c r="D8716" s="334" t="s">
        <v>89</v>
      </c>
      <c r="E8716" s="336">
        <v>43790</v>
      </c>
      <c r="G8716" s="336">
        <v>43789</v>
      </c>
      <c r="H8716" s="334" t="s">
        <v>18388</v>
      </c>
      <c r="I8716" s="444">
        <v>15802162550</v>
      </c>
      <c r="J8716" s="348" t="s">
        <v>18389</v>
      </c>
      <c r="L8716" s="334">
        <v>5470</v>
      </c>
      <c r="N8716" s="362">
        <f t="shared" si="296"/>
        <v>5470</v>
      </c>
    </row>
    <row r="8717" ht="15" customHeight="1" spans="2:14">
      <c r="B8717" s="334" t="s">
        <v>31</v>
      </c>
      <c r="C8717" s="348" t="s">
        <v>419</v>
      </c>
      <c r="D8717" s="335" t="s">
        <v>221</v>
      </c>
      <c r="E8717" s="336">
        <v>43790</v>
      </c>
      <c r="G8717" s="336">
        <v>43789</v>
      </c>
      <c r="H8717" s="334" t="s">
        <v>14635</v>
      </c>
      <c r="I8717" s="444">
        <v>15921028288</v>
      </c>
      <c r="J8717" s="348" t="s">
        <v>14636</v>
      </c>
      <c r="L8717" s="334">
        <v>36732</v>
      </c>
      <c r="N8717" s="362">
        <f t="shared" si="296"/>
        <v>36732</v>
      </c>
    </row>
    <row r="8718" ht="15" customHeight="1" spans="2:14">
      <c r="B8718" s="334" t="s">
        <v>315</v>
      </c>
      <c r="C8718" s="334" t="s">
        <v>161</v>
      </c>
      <c r="D8718" s="334" t="s">
        <v>162</v>
      </c>
      <c r="E8718" s="336">
        <v>43790</v>
      </c>
      <c r="G8718" s="336">
        <v>43790</v>
      </c>
      <c r="H8718" s="334" t="s">
        <v>15308</v>
      </c>
      <c r="I8718" s="334">
        <v>13916221266</v>
      </c>
      <c r="J8718" s="348" t="s">
        <v>18390</v>
      </c>
      <c r="L8718" s="334">
        <v>16500</v>
      </c>
      <c r="N8718" s="362">
        <f t="shared" si="296"/>
        <v>16500</v>
      </c>
    </row>
    <row r="8719" ht="15" customHeight="1" spans="2:14">
      <c r="B8719" s="334" t="s">
        <v>4009</v>
      </c>
      <c r="C8719" s="334" t="s">
        <v>6401</v>
      </c>
      <c r="D8719" s="334" t="s">
        <v>8334</v>
      </c>
      <c r="E8719" s="336">
        <v>43790</v>
      </c>
      <c r="G8719" s="336">
        <v>43788</v>
      </c>
      <c r="H8719" s="334" t="s">
        <v>18391</v>
      </c>
      <c r="I8719" s="444">
        <v>18721425108</v>
      </c>
      <c r="J8719" s="348" t="s">
        <v>18392</v>
      </c>
      <c r="L8719" s="334">
        <v>19783</v>
      </c>
      <c r="N8719" s="362">
        <f t="shared" si="296"/>
        <v>19783</v>
      </c>
    </row>
    <row r="8720" ht="15" customHeight="1" spans="2:14">
      <c r="B8720" s="334" t="s">
        <v>137</v>
      </c>
      <c r="C8720" s="334" t="s">
        <v>411</v>
      </c>
      <c r="D8720" s="334" t="s">
        <v>443</v>
      </c>
      <c r="E8720" s="336">
        <v>43790</v>
      </c>
      <c r="G8720" s="336">
        <v>43790</v>
      </c>
      <c r="H8720" s="334" t="s">
        <v>18393</v>
      </c>
      <c r="I8720" s="444">
        <v>13520670325</v>
      </c>
      <c r="J8720" s="444" t="s">
        <v>18394</v>
      </c>
      <c r="L8720" s="334">
        <v>18509</v>
      </c>
      <c r="N8720" s="362">
        <f t="shared" si="296"/>
        <v>18509</v>
      </c>
    </row>
    <row r="8721" ht="15" customHeight="1" spans="2:14">
      <c r="B8721" s="334" t="s">
        <v>4009</v>
      </c>
      <c r="C8721" s="334" t="s">
        <v>6401</v>
      </c>
      <c r="D8721" s="334" t="s">
        <v>8334</v>
      </c>
      <c r="E8721" s="336">
        <v>43791</v>
      </c>
      <c r="G8721" s="336">
        <v>43788</v>
      </c>
      <c r="H8721" s="334" t="s">
        <v>18395</v>
      </c>
      <c r="I8721" s="444">
        <v>13916967146</v>
      </c>
      <c r="J8721" s="348" t="s">
        <v>18396</v>
      </c>
      <c r="L8721" s="334">
        <v>10318</v>
      </c>
      <c r="N8721" s="362">
        <f t="shared" si="296"/>
        <v>10318</v>
      </c>
    </row>
    <row r="8722" ht="15" customHeight="1" spans="2:14">
      <c r="B8722" s="334" t="s">
        <v>315</v>
      </c>
      <c r="C8722" s="334" t="s">
        <v>275</v>
      </c>
      <c r="D8722" s="334" t="s">
        <v>149</v>
      </c>
      <c r="E8722" s="336">
        <v>43791</v>
      </c>
      <c r="G8722" s="336">
        <v>43760</v>
      </c>
      <c r="H8722" s="334" t="s">
        <v>18397</v>
      </c>
      <c r="I8722" s="444">
        <v>13906563368</v>
      </c>
      <c r="J8722" s="348" t="s">
        <v>18398</v>
      </c>
      <c r="L8722" s="334">
        <v>6730</v>
      </c>
      <c r="N8722" s="362">
        <f t="shared" si="296"/>
        <v>6730</v>
      </c>
    </row>
    <row r="8723" ht="15" customHeight="1" spans="2:14">
      <c r="B8723" s="334" t="s">
        <v>87</v>
      </c>
      <c r="C8723" s="334" t="s">
        <v>466</v>
      </c>
      <c r="D8723" s="334" t="s">
        <v>89</v>
      </c>
      <c r="E8723" s="336">
        <v>43791</v>
      </c>
      <c r="G8723" s="336">
        <v>43791</v>
      </c>
      <c r="H8723" s="334" t="s">
        <v>18399</v>
      </c>
      <c r="I8723" s="444">
        <v>17602184313</v>
      </c>
      <c r="J8723" s="348" t="s">
        <v>18400</v>
      </c>
      <c r="L8723" s="334">
        <v>6218</v>
      </c>
      <c r="N8723" s="362">
        <f t="shared" si="296"/>
        <v>6218</v>
      </c>
    </row>
    <row r="8724" ht="15" customHeight="1" spans="2:14">
      <c r="B8724" s="334" t="s">
        <v>66</v>
      </c>
      <c r="C8724" s="334" t="s">
        <v>505</v>
      </c>
      <c r="D8724" s="334" t="s">
        <v>68</v>
      </c>
      <c r="E8724" s="336">
        <v>43791</v>
      </c>
      <c r="G8724" s="336">
        <v>43791</v>
      </c>
      <c r="H8724" s="334" t="s">
        <v>18401</v>
      </c>
      <c r="I8724" s="444">
        <v>18917875686</v>
      </c>
      <c r="J8724" s="348" t="s">
        <v>18402</v>
      </c>
      <c r="L8724" s="334">
        <v>12912</v>
      </c>
      <c r="N8724" s="362">
        <f t="shared" si="296"/>
        <v>12912</v>
      </c>
    </row>
    <row r="8725" ht="15" customHeight="1" spans="2:14">
      <c r="B8725" s="334" t="s">
        <v>35</v>
      </c>
      <c r="C8725" s="334" t="s">
        <v>328</v>
      </c>
      <c r="D8725" s="334" t="s">
        <v>37</v>
      </c>
      <c r="E8725" s="336">
        <v>43791</v>
      </c>
      <c r="G8725" s="336">
        <v>43791</v>
      </c>
      <c r="H8725" s="334" t="s">
        <v>18403</v>
      </c>
      <c r="I8725" s="444" t="s">
        <v>18404</v>
      </c>
      <c r="J8725" s="348" t="s">
        <v>18405</v>
      </c>
      <c r="L8725" s="334">
        <v>9595</v>
      </c>
      <c r="N8725" s="362">
        <f t="shared" si="296"/>
        <v>9595</v>
      </c>
    </row>
    <row r="8726" ht="15" customHeight="1" spans="2:14">
      <c r="B8726" s="334" t="s">
        <v>4009</v>
      </c>
      <c r="C8726" s="334" t="s">
        <v>6401</v>
      </c>
      <c r="D8726" s="334" t="s">
        <v>207</v>
      </c>
      <c r="E8726" s="336">
        <v>43791</v>
      </c>
      <c r="G8726" s="336">
        <v>43790</v>
      </c>
      <c r="H8726" s="334" t="s">
        <v>18406</v>
      </c>
      <c r="I8726" s="444">
        <v>18936284584</v>
      </c>
      <c r="J8726" s="348" t="s">
        <v>18407</v>
      </c>
      <c r="L8726" s="334">
        <v>20888</v>
      </c>
      <c r="N8726" s="362">
        <f t="shared" si="296"/>
        <v>20888</v>
      </c>
    </row>
    <row r="8727" ht="15" customHeight="1" spans="2:14">
      <c r="B8727" s="334" t="s">
        <v>73</v>
      </c>
      <c r="C8727" s="334" t="s">
        <v>74</v>
      </c>
      <c r="D8727" s="335" t="s">
        <v>125</v>
      </c>
      <c r="E8727" s="336">
        <v>43791</v>
      </c>
      <c r="G8727" s="336">
        <v>43791</v>
      </c>
      <c r="H8727" s="334" t="s">
        <v>18408</v>
      </c>
      <c r="I8727" s="444">
        <v>18602167711</v>
      </c>
      <c r="J8727" s="348" t="s">
        <v>18409</v>
      </c>
      <c r="L8727" s="334">
        <v>24315</v>
      </c>
      <c r="N8727" s="362">
        <f t="shared" si="296"/>
        <v>24315</v>
      </c>
    </row>
    <row r="8728" ht="15" customHeight="1" spans="2:14">
      <c r="B8728" s="334" t="s">
        <v>4009</v>
      </c>
      <c r="C8728" s="334" t="s">
        <v>6401</v>
      </c>
      <c r="D8728" s="334" t="s">
        <v>44</v>
      </c>
      <c r="E8728" s="336">
        <v>43791</v>
      </c>
      <c r="G8728" s="336">
        <v>43788</v>
      </c>
      <c r="H8728" s="334" t="s">
        <v>18410</v>
      </c>
      <c r="I8728" s="444">
        <v>18119919065</v>
      </c>
      <c r="J8728" s="348" t="s">
        <v>18411</v>
      </c>
      <c r="L8728" s="334">
        <v>6040</v>
      </c>
      <c r="N8728" s="362">
        <f t="shared" si="296"/>
        <v>6040</v>
      </c>
    </row>
    <row r="8729" ht="15" customHeight="1" spans="2:14">
      <c r="B8729" s="334" t="s">
        <v>315</v>
      </c>
      <c r="C8729" s="334" t="s">
        <v>161</v>
      </c>
      <c r="D8729" s="334" t="s">
        <v>162</v>
      </c>
      <c r="E8729" s="336">
        <v>43791</v>
      </c>
      <c r="G8729" s="336">
        <v>43791</v>
      </c>
      <c r="H8729" s="334" t="s">
        <v>18412</v>
      </c>
      <c r="I8729" s="444">
        <v>13916584048</v>
      </c>
      <c r="J8729" s="348" t="s">
        <v>18413</v>
      </c>
      <c r="L8729" s="334">
        <v>20324</v>
      </c>
      <c r="N8729" s="362">
        <f t="shared" si="296"/>
        <v>20324</v>
      </c>
    </row>
    <row r="8730" ht="15" customHeight="1" spans="2:14">
      <c r="B8730" s="334" t="s">
        <v>315</v>
      </c>
      <c r="C8730" s="334" t="s">
        <v>161</v>
      </c>
      <c r="D8730" s="334" t="s">
        <v>162</v>
      </c>
      <c r="E8730" s="336">
        <v>43790</v>
      </c>
      <c r="G8730" s="336">
        <v>43790</v>
      </c>
      <c r="H8730" s="334" t="s">
        <v>14795</v>
      </c>
      <c r="I8730" s="334">
        <v>13701949759</v>
      </c>
      <c r="J8730" s="348" t="s">
        <v>14796</v>
      </c>
      <c r="M8730" s="334">
        <v>7435</v>
      </c>
      <c r="N8730" s="362">
        <f t="shared" si="296"/>
        <v>7435</v>
      </c>
    </row>
    <row r="8731" ht="15" customHeight="1" spans="2:14">
      <c r="B8731" s="334" t="s">
        <v>87</v>
      </c>
      <c r="C8731" s="334" t="s">
        <v>466</v>
      </c>
      <c r="D8731" s="334" t="s">
        <v>89</v>
      </c>
      <c r="E8731" s="336">
        <v>43790</v>
      </c>
      <c r="G8731" s="336">
        <v>43786</v>
      </c>
      <c r="H8731" s="334" t="s">
        <v>14901</v>
      </c>
      <c r="I8731" s="444">
        <v>13917074569</v>
      </c>
      <c r="J8731" s="348" t="s">
        <v>14902</v>
      </c>
      <c r="M8731" s="334">
        <v>7867</v>
      </c>
      <c r="N8731" s="362">
        <f t="shared" si="296"/>
        <v>7867</v>
      </c>
    </row>
    <row r="8732" ht="15" customHeight="1" spans="2:14">
      <c r="B8732" s="334" t="s">
        <v>87</v>
      </c>
      <c r="C8732" s="334" t="s">
        <v>466</v>
      </c>
      <c r="D8732" s="334" t="s">
        <v>89</v>
      </c>
      <c r="E8732" s="336">
        <v>43790</v>
      </c>
      <c r="G8732" s="336">
        <v>43789</v>
      </c>
      <c r="H8732" s="334" t="s">
        <v>13012</v>
      </c>
      <c r="I8732" s="334">
        <v>18017751660</v>
      </c>
      <c r="J8732" s="334" t="s">
        <v>15457</v>
      </c>
      <c r="M8732" s="334">
        <v>2650</v>
      </c>
      <c r="N8732" s="362">
        <f t="shared" si="296"/>
        <v>2650</v>
      </c>
    </row>
    <row r="8733" ht="15" customHeight="1" spans="2:14">
      <c r="B8733" s="334" t="s">
        <v>31</v>
      </c>
      <c r="C8733" s="334" t="s">
        <v>2716</v>
      </c>
      <c r="D8733" s="334" t="s">
        <v>221</v>
      </c>
      <c r="E8733" s="336">
        <v>43790</v>
      </c>
      <c r="G8733" s="336">
        <v>43788</v>
      </c>
      <c r="H8733" s="334" t="s">
        <v>13443</v>
      </c>
      <c r="I8733" s="426">
        <v>15000167508</v>
      </c>
      <c r="J8733" s="334" t="s">
        <v>13444</v>
      </c>
      <c r="M8733" s="334">
        <v>12149</v>
      </c>
      <c r="N8733" s="362">
        <f t="shared" si="296"/>
        <v>12149</v>
      </c>
    </row>
    <row r="8734" ht="15" customHeight="1" spans="2:14">
      <c r="B8734" s="334" t="s">
        <v>153</v>
      </c>
      <c r="C8734" s="334" t="s">
        <v>302</v>
      </c>
      <c r="D8734" s="334" t="s">
        <v>155</v>
      </c>
      <c r="E8734" s="336">
        <v>43790</v>
      </c>
      <c r="G8734" s="336">
        <v>43789</v>
      </c>
      <c r="H8734" s="334" t="s">
        <v>11338</v>
      </c>
      <c r="I8734" s="334">
        <v>13819618127</v>
      </c>
      <c r="J8734" s="348" t="s">
        <v>15001</v>
      </c>
      <c r="M8734" s="334">
        <v>8800</v>
      </c>
      <c r="N8734" s="362">
        <f t="shared" si="296"/>
        <v>8800</v>
      </c>
    </row>
    <row r="8735" ht="15" customHeight="1" spans="2:14">
      <c r="B8735" s="334" t="s">
        <v>87</v>
      </c>
      <c r="C8735" s="334" t="s">
        <v>9318</v>
      </c>
      <c r="D8735" s="334" t="s">
        <v>89</v>
      </c>
      <c r="E8735" s="336">
        <v>43790</v>
      </c>
      <c r="G8735" s="336">
        <v>43780</v>
      </c>
      <c r="H8735" s="334" t="s">
        <v>16256</v>
      </c>
      <c r="I8735" s="334">
        <v>15900582146</v>
      </c>
      <c r="J8735" s="348" t="s">
        <v>16257</v>
      </c>
      <c r="M8735" s="334">
        <v>299</v>
      </c>
      <c r="N8735" s="362">
        <f t="shared" si="296"/>
        <v>299</v>
      </c>
    </row>
    <row r="8736" ht="15" customHeight="1" spans="2:14">
      <c r="B8736" s="334" t="s">
        <v>153</v>
      </c>
      <c r="C8736" s="348" t="s">
        <v>15883</v>
      </c>
      <c r="D8736" s="334" t="s">
        <v>155</v>
      </c>
      <c r="E8736" s="336">
        <v>43790</v>
      </c>
      <c r="G8736" s="336">
        <v>43782</v>
      </c>
      <c r="H8736" s="334" t="s">
        <v>15994</v>
      </c>
      <c r="I8736" s="444">
        <v>13918937624</v>
      </c>
      <c r="J8736" s="348" t="s">
        <v>15995</v>
      </c>
      <c r="M8736" s="334">
        <v>13500</v>
      </c>
      <c r="N8736" s="362">
        <f t="shared" si="296"/>
        <v>13500</v>
      </c>
    </row>
    <row r="8737" ht="15" customHeight="1" spans="2:14">
      <c r="B8737" s="334" t="s">
        <v>5336</v>
      </c>
      <c r="C8737" s="334" t="s">
        <v>5336</v>
      </c>
      <c r="D8737" s="334" t="s">
        <v>8334</v>
      </c>
      <c r="E8737" s="336">
        <v>43790</v>
      </c>
      <c r="G8737" s="336">
        <v>43790</v>
      </c>
      <c r="H8737" s="334" t="s">
        <v>16103</v>
      </c>
      <c r="I8737" s="444">
        <v>18017211180</v>
      </c>
      <c r="J8737" s="348" t="s">
        <v>16104</v>
      </c>
      <c r="M8737" s="334">
        <v>4866</v>
      </c>
      <c r="N8737" s="362">
        <f t="shared" si="296"/>
        <v>4866</v>
      </c>
    </row>
    <row r="8738" ht="15" customHeight="1" spans="2:14">
      <c r="B8738" s="334" t="s">
        <v>58</v>
      </c>
      <c r="C8738" s="334" t="s">
        <v>794</v>
      </c>
      <c r="D8738" s="334" t="s">
        <v>110</v>
      </c>
      <c r="E8738" s="336">
        <v>43790</v>
      </c>
      <c r="G8738" s="336">
        <v>43789</v>
      </c>
      <c r="H8738" s="334" t="s">
        <v>6959</v>
      </c>
      <c r="I8738" s="334">
        <v>18916213575</v>
      </c>
      <c r="J8738" s="334" t="s">
        <v>18414</v>
      </c>
      <c r="M8738" s="334">
        <v>1838</v>
      </c>
      <c r="N8738" s="362">
        <f t="shared" si="296"/>
        <v>1838</v>
      </c>
    </row>
    <row r="8739" ht="15" customHeight="1" spans="2:14">
      <c r="B8739" s="334" t="s">
        <v>73</v>
      </c>
      <c r="C8739" s="334" t="s">
        <v>178</v>
      </c>
      <c r="D8739" s="334" t="s">
        <v>143</v>
      </c>
      <c r="E8739" s="336">
        <v>43790</v>
      </c>
      <c r="G8739" s="336">
        <v>43790</v>
      </c>
      <c r="H8739" s="334" t="s">
        <v>2670</v>
      </c>
      <c r="I8739" s="334">
        <v>18918698821</v>
      </c>
      <c r="J8739" s="334" t="s">
        <v>11978</v>
      </c>
      <c r="M8739" s="334">
        <v>619</v>
      </c>
      <c r="N8739" s="362">
        <f t="shared" si="296"/>
        <v>619</v>
      </c>
    </row>
    <row r="8740" ht="15" customHeight="1" spans="2:14">
      <c r="B8740" s="334" t="s">
        <v>31</v>
      </c>
      <c r="C8740" s="334" t="s">
        <v>251</v>
      </c>
      <c r="D8740" s="334" t="s">
        <v>33</v>
      </c>
      <c r="E8740" s="336">
        <v>43790</v>
      </c>
      <c r="G8740" s="336">
        <v>43789</v>
      </c>
      <c r="H8740" s="334" t="s">
        <v>13298</v>
      </c>
      <c r="I8740" s="356">
        <v>13524558485</v>
      </c>
      <c r="J8740" s="348" t="s">
        <v>18415</v>
      </c>
      <c r="M8740" s="334">
        <v>10000</v>
      </c>
      <c r="N8740" s="362">
        <f t="shared" si="296"/>
        <v>10000</v>
      </c>
    </row>
    <row r="8741" ht="15" customHeight="1" spans="2:14">
      <c r="B8741" s="334" t="s">
        <v>169</v>
      </c>
      <c r="C8741" s="334" t="s">
        <v>542</v>
      </c>
      <c r="D8741" s="334" t="s">
        <v>171</v>
      </c>
      <c r="E8741" s="336">
        <v>43791</v>
      </c>
      <c r="G8741" s="336">
        <v>43790</v>
      </c>
      <c r="H8741" s="334" t="s">
        <v>10847</v>
      </c>
      <c r="I8741" s="334">
        <v>15821631127</v>
      </c>
      <c r="J8741" s="334" t="s">
        <v>18416</v>
      </c>
      <c r="M8741" s="334">
        <f>336+8673</f>
        <v>9009</v>
      </c>
      <c r="N8741" s="362">
        <f t="shared" si="296"/>
        <v>9009</v>
      </c>
    </row>
    <row r="8742" ht="15" customHeight="1" spans="2:14">
      <c r="B8742" s="334" t="s">
        <v>58</v>
      </c>
      <c r="C8742" s="334" t="s">
        <v>347</v>
      </c>
      <c r="D8742" s="334" t="s">
        <v>75</v>
      </c>
      <c r="E8742" s="336">
        <v>43791</v>
      </c>
      <c r="G8742" s="336">
        <v>43791</v>
      </c>
      <c r="H8742" s="334" t="s">
        <v>18417</v>
      </c>
      <c r="I8742" s="356">
        <v>17701750707</v>
      </c>
      <c r="J8742" s="348" t="s">
        <v>18418</v>
      </c>
      <c r="M8742" s="334">
        <v>21000</v>
      </c>
      <c r="N8742" s="362">
        <f t="shared" si="296"/>
        <v>21000</v>
      </c>
    </row>
    <row r="8743" ht="15" customHeight="1" spans="2:14">
      <c r="B8743" s="334" t="s">
        <v>87</v>
      </c>
      <c r="C8743" s="334" t="s">
        <v>199</v>
      </c>
      <c r="D8743" s="334" t="s">
        <v>89</v>
      </c>
      <c r="E8743" s="336">
        <v>43791</v>
      </c>
      <c r="G8743" s="336">
        <v>43789</v>
      </c>
      <c r="H8743" s="334" t="s">
        <v>1478</v>
      </c>
      <c r="I8743" s="356">
        <v>13916665541</v>
      </c>
      <c r="J8743" s="348" t="s">
        <v>18419</v>
      </c>
      <c r="M8743" s="334">
        <v>5600</v>
      </c>
      <c r="N8743" s="362">
        <f t="shared" si="296"/>
        <v>5600</v>
      </c>
    </row>
    <row r="8744" ht="15" customHeight="1" spans="2:14">
      <c r="B8744" s="334" t="s">
        <v>5435</v>
      </c>
      <c r="C8744" s="334" t="s">
        <v>1728</v>
      </c>
      <c r="D8744" s="334" t="s">
        <v>207</v>
      </c>
      <c r="E8744" s="336">
        <v>43791</v>
      </c>
      <c r="G8744" s="336">
        <v>43791</v>
      </c>
      <c r="H8744" s="334" t="s">
        <v>15306</v>
      </c>
      <c r="I8744" s="444">
        <v>15021763569</v>
      </c>
      <c r="J8744" s="348" t="s">
        <v>15307</v>
      </c>
      <c r="M8744" s="334">
        <v>1959</v>
      </c>
      <c r="N8744" s="362">
        <f t="shared" si="296"/>
        <v>1959</v>
      </c>
    </row>
    <row r="8745" ht="15" customHeight="1" spans="2:14">
      <c r="B8745" s="334" t="s">
        <v>18420</v>
      </c>
      <c r="C8745" s="334" t="s">
        <v>148</v>
      </c>
      <c r="D8745" s="334" t="s">
        <v>207</v>
      </c>
      <c r="E8745" s="336">
        <v>43791</v>
      </c>
      <c r="G8745" s="336">
        <v>43785</v>
      </c>
      <c r="H8745" s="334" t="s">
        <v>18421</v>
      </c>
      <c r="I8745" s="444">
        <v>18616133197</v>
      </c>
      <c r="J8745" s="334" t="s">
        <v>12507</v>
      </c>
      <c r="M8745" s="334">
        <v>873</v>
      </c>
      <c r="N8745" s="362">
        <f t="shared" si="296"/>
        <v>873</v>
      </c>
    </row>
    <row r="8746" ht="15" customHeight="1" spans="2:14">
      <c r="B8746" s="334" t="s">
        <v>315</v>
      </c>
      <c r="C8746" s="334" t="s">
        <v>722</v>
      </c>
      <c r="D8746" s="334" t="s">
        <v>149</v>
      </c>
      <c r="E8746" s="336">
        <v>43791</v>
      </c>
      <c r="G8746" s="336">
        <v>43790</v>
      </c>
      <c r="H8746" s="334" t="s">
        <v>11435</v>
      </c>
      <c r="I8746" s="334">
        <v>13917792336</v>
      </c>
      <c r="J8746" s="334" t="s">
        <v>18422</v>
      </c>
      <c r="M8746" s="334">
        <v>502</v>
      </c>
      <c r="N8746" s="362">
        <f t="shared" si="296"/>
        <v>502</v>
      </c>
    </row>
    <row r="8747" ht="15" customHeight="1" spans="2:14">
      <c r="B8747" s="334" t="s">
        <v>73</v>
      </c>
      <c r="C8747" s="334" t="s">
        <v>74</v>
      </c>
      <c r="D8747" s="335" t="s">
        <v>18423</v>
      </c>
      <c r="E8747" s="336">
        <v>43791</v>
      </c>
      <c r="G8747" s="336">
        <v>43790</v>
      </c>
      <c r="H8747" s="334" t="s">
        <v>18424</v>
      </c>
      <c r="I8747" s="444">
        <v>15221025215</v>
      </c>
      <c r="J8747" s="348" t="s">
        <v>18425</v>
      </c>
      <c r="M8747" s="334">
        <v>717</v>
      </c>
      <c r="N8747" s="362">
        <f t="shared" si="296"/>
        <v>717</v>
      </c>
    </row>
    <row r="8748" ht="15" customHeight="1" spans="1:14">
      <c r="A8748" s="348"/>
      <c r="B8748" s="334" t="s">
        <v>47</v>
      </c>
      <c r="C8748" s="348" t="s">
        <v>80</v>
      </c>
      <c r="D8748" s="335" t="s">
        <v>49</v>
      </c>
      <c r="E8748" s="336">
        <v>43792</v>
      </c>
      <c r="F8748" s="336">
        <v>43787</v>
      </c>
      <c r="G8748" s="399">
        <v>43791</v>
      </c>
      <c r="H8748" s="334" t="s">
        <v>5100</v>
      </c>
      <c r="I8748" s="444">
        <v>18916226268</v>
      </c>
      <c r="J8748" s="348" t="s">
        <v>18426</v>
      </c>
      <c r="K8748" s="452">
        <v>15000</v>
      </c>
      <c r="L8748" s="334">
        <v>15000</v>
      </c>
      <c r="N8748" s="362">
        <f t="shared" ref="N8748:N8792" si="297">L8748+M8748</f>
        <v>15000</v>
      </c>
    </row>
    <row r="8749" ht="15" customHeight="1" spans="1:14">
      <c r="A8749" s="348" t="s">
        <v>18427</v>
      </c>
      <c r="B8749" s="334" t="s">
        <v>315</v>
      </c>
      <c r="C8749" s="348" t="s">
        <v>161</v>
      </c>
      <c r="D8749" s="334" t="s">
        <v>162</v>
      </c>
      <c r="E8749" s="336">
        <v>43792</v>
      </c>
      <c r="F8749" s="336">
        <v>43791</v>
      </c>
      <c r="G8749" s="399">
        <v>43791</v>
      </c>
      <c r="H8749" s="334" t="s">
        <v>18428</v>
      </c>
      <c r="I8749" s="444">
        <v>18721859948</v>
      </c>
      <c r="J8749" s="348" t="s">
        <v>18429</v>
      </c>
      <c r="K8749" s="452">
        <v>10000</v>
      </c>
      <c r="L8749" s="334">
        <v>14000</v>
      </c>
      <c r="N8749" s="362">
        <f t="shared" si="297"/>
        <v>14000</v>
      </c>
    </row>
    <row r="8750" ht="15" customHeight="1" spans="1:14">
      <c r="A8750" s="348" t="s">
        <v>18430</v>
      </c>
      <c r="B8750" s="334" t="s">
        <v>35</v>
      </c>
      <c r="C8750" s="348" t="s">
        <v>392</v>
      </c>
      <c r="D8750" s="334" t="s">
        <v>187</v>
      </c>
      <c r="E8750" s="336">
        <v>43795</v>
      </c>
      <c r="F8750" s="336">
        <v>43791</v>
      </c>
      <c r="G8750" s="336">
        <v>43794</v>
      </c>
      <c r="H8750" s="334" t="s">
        <v>2904</v>
      </c>
      <c r="I8750" s="444">
        <v>13564410979</v>
      </c>
      <c r="J8750" s="348" t="s">
        <v>18431</v>
      </c>
      <c r="K8750" s="452">
        <v>24365</v>
      </c>
      <c r="L8750" s="334">
        <v>38100</v>
      </c>
      <c r="N8750" s="362">
        <f t="shared" si="297"/>
        <v>38100</v>
      </c>
    </row>
    <row r="8751" ht="15" customHeight="1" spans="1:14">
      <c r="A8751" s="348" t="s">
        <v>18432</v>
      </c>
      <c r="B8751" s="334" t="s">
        <v>153</v>
      </c>
      <c r="C8751" s="348" t="s">
        <v>154</v>
      </c>
      <c r="D8751" s="334" t="s">
        <v>18433</v>
      </c>
      <c r="E8751" s="336">
        <v>43797</v>
      </c>
      <c r="F8751" s="336">
        <v>43790</v>
      </c>
      <c r="G8751" s="336">
        <v>43797</v>
      </c>
      <c r="H8751" s="334" t="s">
        <v>18434</v>
      </c>
      <c r="I8751" s="444">
        <v>18918902175</v>
      </c>
      <c r="J8751" s="348" t="s">
        <v>18435</v>
      </c>
      <c r="K8751" s="452">
        <v>12600</v>
      </c>
      <c r="L8751" s="334">
        <v>13407</v>
      </c>
      <c r="N8751" s="362">
        <f t="shared" si="297"/>
        <v>13407</v>
      </c>
    </row>
    <row r="8752" ht="15" customHeight="1" spans="1:22">
      <c r="A8752" s="550" t="s">
        <v>11990</v>
      </c>
      <c r="B8752" s="334" t="s">
        <v>58</v>
      </c>
      <c r="C8752" s="348" t="s">
        <v>109</v>
      </c>
      <c r="D8752" s="335" t="s">
        <v>110</v>
      </c>
      <c r="E8752" s="336">
        <v>43792</v>
      </c>
      <c r="F8752" s="336">
        <v>43792</v>
      </c>
      <c r="G8752" s="399" t="s">
        <v>231</v>
      </c>
      <c r="H8752" s="334" t="s">
        <v>18436</v>
      </c>
      <c r="I8752" s="444">
        <v>18721022278</v>
      </c>
      <c r="J8752" s="348" t="s">
        <v>18437</v>
      </c>
      <c r="K8752" s="452">
        <v>6659</v>
      </c>
      <c r="N8752" s="362">
        <f t="shared" si="297"/>
        <v>0</v>
      </c>
      <c r="P8752" s="365"/>
      <c r="V8752" s="471">
        <v>43826</v>
      </c>
    </row>
    <row r="8753" ht="15" customHeight="1" spans="1:14">
      <c r="A8753" s="550" t="s">
        <v>18438</v>
      </c>
      <c r="B8753" s="334" t="s">
        <v>35</v>
      </c>
      <c r="C8753" s="348" t="s">
        <v>328</v>
      </c>
      <c r="D8753" s="335" t="s">
        <v>37</v>
      </c>
      <c r="E8753" s="336">
        <v>43792</v>
      </c>
      <c r="F8753" s="336">
        <v>43792</v>
      </c>
      <c r="G8753" s="350" t="s">
        <v>69</v>
      </c>
      <c r="H8753" s="334" t="s">
        <v>18403</v>
      </c>
      <c r="I8753" s="444"/>
      <c r="J8753" s="348" t="s">
        <v>18439</v>
      </c>
      <c r="K8753" s="452">
        <v>200</v>
      </c>
      <c r="N8753" s="362">
        <f t="shared" si="297"/>
        <v>0</v>
      </c>
    </row>
    <row r="8754" ht="15" customHeight="1" spans="1:14">
      <c r="A8754" s="550" t="s">
        <v>18440</v>
      </c>
      <c r="B8754" s="334" t="s">
        <v>405</v>
      </c>
      <c r="C8754" s="348" t="s">
        <v>823</v>
      </c>
      <c r="D8754" s="335" t="s">
        <v>407</v>
      </c>
      <c r="E8754" s="336">
        <v>43795</v>
      </c>
      <c r="F8754" s="336">
        <v>43792</v>
      </c>
      <c r="G8754" s="336">
        <v>43793</v>
      </c>
      <c r="H8754" s="334" t="s">
        <v>18441</v>
      </c>
      <c r="I8754" s="444">
        <v>18502158524</v>
      </c>
      <c r="J8754" s="348" t="s">
        <v>18442</v>
      </c>
      <c r="K8754" s="452">
        <v>1000</v>
      </c>
      <c r="L8754" s="334">
        <v>12045</v>
      </c>
      <c r="M8754" s="334">
        <v>872</v>
      </c>
      <c r="N8754" s="362">
        <f t="shared" si="297"/>
        <v>12917</v>
      </c>
    </row>
    <row r="8755" ht="15" customHeight="1" spans="1:14">
      <c r="A8755" s="550" t="s">
        <v>8854</v>
      </c>
      <c r="B8755" s="334" t="s">
        <v>87</v>
      </c>
      <c r="C8755" s="348" t="s">
        <v>199</v>
      </c>
      <c r="D8755" s="335" t="s">
        <v>89</v>
      </c>
      <c r="E8755" s="336">
        <v>43792</v>
      </c>
      <c r="F8755" s="336">
        <v>43792</v>
      </c>
      <c r="G8755" s="399" t="s">
        <v>69</v>
      </c>
      <c r="H8755" s="334" t="s">
        <v>17025</v>
      </c>
      <c r="I8755" s="444">
        <v>13661703414</v>
      </c>
      <c r="J8755" s="348" t="s">
        <v>17026</v>
      </c>
      <c r="K8755" s="452">
        <v>0</v>
      </c>
      <c r="N8755" s="362">
        <f t="shared" si="297"/>
        <v>0</v>
      </c>
    </row>
    <row r="8756" ht="15" customHeight="1" spans="1:21">
      <c r="A8756" s="550" t="s">
        <v>18443</v>
      </c>
      <c r="B8756" s="334" t="s">
        <v>185</v>
      </c>
      <c r="C8756" s="348" t="s">
        <v>1204</v>
      </c>
      <c r="D8756" s="335" t="s">
        <v>187</v>
      </c>
      <c r="E8756" s="336">
        <v>43792</v>
      </c>
      <c r="F8756" s="336">
        <v>43792</v>
      </c>
      <c r="G8756" s="399"/>
      <c r="H8756" s="334" t="s">
        <v>18444</v>
      </c>
      <c r="I8756" s="444">
        <v>17621370645</v>
      </c>
      <c r="J8756" s="348" t="s">
        <v>18445</v>
      </c>
      <c r="K8756" s="452">
        <v>999</v>
      </c>
      <c r="N8756" s="362">
        <f t="shared" si="297"/>
        <v>0</v>
      </c>
      <c r="U8756" s="353">
        <v>11.2</v>
      </c>
    </row>
    <row r="8757" ht="15" customHeight="1" spans="1:16">
      <c r="A8757" s="550" t="s">
        <v>18446</v>
      </c>
      <c r="B8757" s="334" t="s">
        <v>35</v>
      </c>
      <c r="C8757" s="348" t="s">
        <v>36</v>
      </c>
      <c r="D8757" s="335" t="s">
        <v>37</v>
      </c>
      <c r="E8757" s="336">
        <v>43797</v>
      </c>
      <c r="F8757" s="336">
        <v>43792</v>
      </c>
      <c r="G8757" s="336">
        <v>43797</v>
      </c>
      <c r="H8757" s="334" t="s">
        <v>18447</v>
      </c>
      <c r="I8757" s="444">
        <v>15800654804</v>
      </c>
      <c r="J8757" s="348" t="s">
        <v>18448</v>
      </c>
      <c r="K8757" s="452">
        <v>20000</v>
      </c>
      <c r="L8757" s="334">
        <v>20000</v>
      </c>
      <c r="N8757" s="362">
        <f t="shared" si="297"/>
        <v>20000</v>
      </c>
      <c r="P8757" s="356" t="s">
        <v>52</v>
      </c>
    </row>
    <row r="8758" ht="15" customHeight="1" spans="1:14">
      <c r="A8758" s="550" t="s">
        <v>18449</v>
      </c>
      <c r="B8758" s="334" t="s">
        <v>31</v>
      </c>
      <c r="C8758" s="348" t="s">
        <v>419</v>
      </c>
      <c r="D8758" s="334" t="s">
        <v>33</v>
      </c>
      <c r="E8758" s="336">
        <v>43812</v>
      </c>
      <c r="F8758" s="336">
        <v>43792</v>
      </c>
      <c r="G8758" s="336">
        <v>43812</v>
      </c>
      <c r="H8758" s="334" t="s">
        <v>18450</v>
      </c>
      <c r="I8758" s="444" t="s">
        <v>18451</v>
      </c>
      <c r="J8758" s="348" t="s">
        <v>18452</v>
      </c>
      <c r="K8758" s="452">
        <v>1000</v>
      </c>
      <c r="L8758" s="334">
        <v>7831</v>
      </c>
      <c r="N8758" s="362">
        <f t="shared" si="297"/>
        <v>7831</v>
      </c>
    </row>
    <row r="8759" ht="15" customHeight="1" spans="1:14">
      <c r="A8759" s="550" t="s">
        <v>4786</v>
      </c>
      <c r="B8759" s="334" t="s">
        <v>35</v>
      </c>
      <c r="C8759" s="348" t="s">
        <v>328</v>
      </c>
      <c r="D8759" s="335" t="s">
        <v>37</v>
      </c>
      <c r="E8759" s="336">
        <v>43794</v>
      </c>
      <c r="F8759" s="336">
        <v>43792</v>
      </c>
      <c r="G8759" s="336">
        <v>43792</v>
      </c>
      <c r="H8759" s="334" t="s">
        <v>18453</v>
      </c>
      <c r="I8759" s="444">
        <v>18616301557</v>
      </c>
      <c r="J8759" s="348" t="s">
        <v>18454</v>
      </c>
      <c r="K8759" s="452">
        <v>7300</v>
      </c>
      <c r="L8759" s="334">
        <v>7300</v>
      </c>
      <c r="N8759" s="362">
        <f t="shared" si="297"/>
        <v>7300</v>
      </c>
    </row>
    <row r="8760" ht="15" customHeight="1" spans="1:14">
      <c r="A8760" s="348"/>
      <c r="B8760" s="334" t="s">
        <v>137</v>
      </c>
      <c r="C8760" s="348" t="s">
        <v>861</v>
      </c>
      <c r="D8760" s="334" t="s">
        <v>443</v>
      </c>
      <c r="E8760" s="336">
        <v>43792</v>
      </c>
      <c r="F8760" s="336">
        <v>43784</v>
      </c>
      <c r="G8760" s="399">
        <v>43790</v>
      </c>
      <c r="H8760" s="334" t="s">
        <v>18455</v>
      </c>
      <c r="I8760" s="444">
        <v>13818283008</v>
      </c>
      <c r="J8760" s="348" t="s">
        <v>18456</v>
      </c>
      <c r="K8760" s="452">
        <v>1000</v>
      </c>
      <c r="L8760" s="334">
        <v>13900</v>
      </c>
      <c r="N8760" s="362">
        <f t="shared" si="297"/>
        <v>13900</v>
      </c>
    </row>
    <row r="8761" ht="15" customHeight="1" spans="1:21">
      <c r="A8761" s="550" t="s">
        <v>1486</v>
      </c>
      <c r="B8761" s="334" t="s">
        <v>315</v>
      </c>
      <c r="C8761" s="334" t="s">
        <v>14638</v>
      </c>
      <c r="D8761" s="335" t="s">
        <v>162</v>
      </c>
      <c r="E8761" s="336">
        <v>43793</v>
      </c>
      <c r="F8761" s="336">
        <v>43789</v>
      </c>
      <c r="G8761" s="399"/>
      <c r="H8761" s="334" t="s">
        <v>10853</v>
      </c>
      <c r="I8761" s="444">
        <v>13851926368</v>
      </c>
      <c r="J8761" s="348" t="s">
        <v>18457</v>
      </c>
      <c r="K8761" s="452">
        <v>1000</v>
      </c>
      <c r="N8761" s="362">
        <f t="shared" si="297"/>
        <v>0</v>
      </c>
      <c r="S8761" s="330">
        <v>1</v>
      </c>
      <c r="U8761" s="353" t="s">
        <v>12</v>
      </c>
    </row>
    <row r="8762" ht="15" customHeight="1" spans="1:14">
      <c r="A8762" s="550" t="s">
        <v>18458</v>
      </c>
      <c r="B8762" s="334" t="s">
        <v>42</v>
      </c>
      <c r="C8762" s="348" t="s">
        <v>43</v>
      </c>
      <c r="D8762" s="334" t="s">
        <v>207</v>
      </c>
      <c r="E8762" s="336">
        <v>43798</v>
      </c>
      <c r="F8762" s="336">
        <v>43792</v>
      </c>
      <c r="G8762" s="336">
        <v>43798</v>
      </c>
      <c r="H8762" s="348" t="s">
        <v>18459</v>
      </c>
      <c r="I8762" s="444">
        <v>13985380368</v>
      </c>
      <c r="J8762" s="348" t="s">
        <v>18460</v>
      </c>
      <c r="K8762" s="452">
        <v>12000</v>
      </c>
      <c r="L8762" s="334">
        <v>11686</v>
      </c>
      <c r="N8762" s="362">
        <f t="shared" si="297"/>
        <v>11686</v>
      </c>
    </row>
    <row r="8763" ht="15" customHeight="1" spans="1:22">
      <c r="A8763" s="550" t="s">
        <v>18461</v>
      </c>
      <c r="B8763" s="334" t="s">
        <v>169</v>
      </c>
      <c r="C8763" s="348" t="s">
        <v>634</v>
      </c>
      <c r="D8763" s="335" t="s">
        <v>635</v>
      </c>
      <c r="E8763" s="336">
        <v>43793</v>
      </c>
      <c r="F8763" s="336">
        <v>43792</v>
      </c>
      <c r="G8763" s="399"/>
      <c r="H8763" s="334" t="s">
        <v>18462</v>
      </c>
      <c r="I8763" s="444">
        <v>13918855806</v>
      </c>
      <c r="J8763" s="348" t="s">
        <v>18463</v>
      </c>
      <c r="K8763" s="452">
        <v>20000</v>
      </c>
      <c r="N8763" s="362">
        <f t="shared" si="297"/>
        <v>0</v>
      </c>
      <c r="O8763" s="353"/>
      <c r="P8763" s="330" t="s">
        <v>52</v>
      </c>
      <c r="V8763" s="353" t="s">
        <v>14703</v>
      </c>
    </row>
    <row r="8764" ht="15" customHeight="1" spans="1:14">
      <c r="A8764" s="550" t="s">
        <v>15102</v>
      </c>
      <c r="B8764" s="334" t="s">
        <v>405</v>
      </c>
      <c r="C8764" s="348" t="s">
        <v>14070</v>
      </c>
      <c r="D8764" s="335" t="s">
        <v>407</v>
      </c>
      <c r="E8764" s="336">
        <v>43795</v>
      </c>
      <c r="F8764" s="336" t="s">
        <v>18464</v>
      </c>
      <c r="G8764" s="336">
        <v>43792</v>
      </c>
      <c r="H8764" s="334" t="s">
        <v>18465</v>
      </c>
      <c r="I8764" s="444">
        <v>13472503201</v>
      </c>
      <c r="J8764" s="348" t="s">
        <v>18466</v>
      </c>
      <c r="K8764" s="452">
        <v>5000</v>
      </c>
      <c r="L8764" s="334">
        <v>12295</v>
      </c>
      <c r="N8764" s="362">
        <f t="shared" si="297"/>
        <v>12295</v>
      </c>
    </row>
    <row r="8765" ht="15" customHeight="1" spans="1:15">
      <c r="A8765" s="550" t="s">
        <v>11151</v>
      </c>
      <c r="B8765" s="334" t="s">
        <v>58</v>
      </c>
      <c r="C8765" s="348" t="s">
        <v>59</v>
      </c>
      <c r="D8765" s="335" t="s">
        <v>271</v>
      </c>
      <c r="E8765" s="336">
        <v>43793</v>
      </c>
      <c r="F8765" s="336">
        <v>43792</v>
      </c>
      <c r="G8765" s="399"/>
      <c r="H8765" s="334" t="s">
        <v>12612</v>
      </c>
      <c r="I8765" s="444">
        <v>13817096650</v>
      </c>
      <c r="J8765" s="348" t="s">
        <v>18467</v>
      </c>
      <c r="K8765" s="452">
        <v>2000</v>
      </c>
      <c r="N8765" s="362">
        <f t="shared" si="297"/>
        <v>0</v>
      </c>
      <c r="O8765" s="467" t="s">
        <v>52</v>
      </c>
    </row>
    <row r="8766" ht="15" customHeight="1" spans="1:17">
      <c r="A8766" s="550" t="s">
        <v>18468</v>
      </c>
      <c r="B8766" s="334" t="s">
        <v>94</v>
      </c>
      <c r="C8766" s="348" t="s">
        <v>95</v>
      </c>
      <c r="D8766" s="335" t="s">
        <v>49</v>
      </c>
      <c r="E8766" s="336">
        <v>43838</v>
      </c>
      <c r="F8766" s="336">
        <v>43792</v>
      </c>
      <c r="G8766" s="336">
        <v>43837</v>
      </c>
      <c r="H8766" s="425" t="s">
        <v>18469</v>
      </c>
      <c r="I8766" s="444">
        <v>13916605142</v>
      </c>
      <c r="J8766" s="348" t="s">
        <v>18470</v>
      </c>
      <c r="K8766" s="452">
        <v>5000</v>
      </c>
      <c r="L8766" s="334">
        <v>11760</v>
      </c>
      <c r="N8766" s="362">
        <f t="shared" si="297"/>
        <v>11760</v>
      </c>
      <c r="Q8766" s="467" t="s">
        <v>52</v>
      </c>
    </row>
    <row r="8767" ht="15" customHeight="1" spans="1:15">
      <c r="A8767" s="348"/>
      <c r="B8767" s="334" t="s">
        <v>243</v>
      </c>
      <c r="C8767" s="348" t="s">
        <v>304</v>
      </c>
      <c r="D8767" s="335" t="s">
        <v>49</v>
      </c>
      <c r="E8767" s="336">
        <v>43793</v>
      </c>
      <c r="F8767" s="336">
        <v>43792</v>
      </c>
      <c r="G8767" s="399"/>
      <c r="H8767" s="334" t="s">
        <v>18471</v>
      </c>
      <c r="I8767" s="444">
        <v>18918379155</v>
      </c>
      <c r="J8767" s="348" t="s">
        <v>18472</v>
      </c>
      <c r="K8767" s="452">
        <v>1000</v>
      </c>
      <c r="N8767" s="362">
        <f t="shared" si="297"/>
        <v>0</v>
      </c>
      <c r="O8767" s="356" t="s">
        <v>52</v>
      </c>
    </row>
    <row r="8768" ht="15" customHeight="1" spans="1:14">
      <c r="A8768" s="348"/>
      <c r="B8768" s="334" t="s">
        <v>2625</v>
      </c>
      <c r="C8768" s="348" t="s">
        <v>2626</v>
      </c>
      <c r="D8768" s="334" t="s">
        <v>337</v>
      </c>
      <c r="E8768" s="336">
        <v>43793</v>
      </c>
      <c r="F8768" s="336">
        <v>43788</v>
      </c>
      <c r="G8768" s="336">
        <v>43792</v>
      </c>
      <c r="H8768" s="334" t="s">
        <v>16768</v>
      </c>
      <c r="I8768" s="444">
        <v>13901656759</v>
      </c>
      <c r="J8768" s="348" t="s">
        <v>18473</v>
      </c>
      <c r="K8768" s="452">
        <v>1000</v>
      </c>
      <c r="L8768" s="334">
        <v>4205</v>
      </c>
      <c r="N8768" s="362">
        <f t="shared" si="297"/>
        <v>4205</v>
      </c>
    </row>
    <row r="8769" ht="15" customHeight="1" spans="1:14">
      <c r="A8769" s="550" t="s">
        <v>18474</v>
      </c>
      <c r="B8769" s="334" t="s">
        <v>236</v>
      </c>
      <c r="C8769" s="348" t="s">
        <v>703</v>
      </c>
      <c r="D8769" s="334" t="s">
        <v>207</v>
      </c>
      <c r="E8769" s="336">
        <v>43793</v>
      </c>
      <c r="F8769" s="336">
        <v>43791</v>
      </c>
      <c r="G8769" s="399">
        <v>43791</v>
      </c>
      <c r="H8769" s="334" t="s">
        <v>18475</v>
      </c>
      <c r="I8769" s="444">
        <v>18621850692</v>
      </c>
      <c r="J8769" s="348" t="s">
        <v>18476</v>
      </c>
      <c r="K8769" s="452">
        <v>15582</v>
      </c>
      <c r="L8769" s="334">
        <v>15582</v>
      </c>
      <c r="N8769" s="362">
        <f t="shared" si="297"/>
        <v>15582</v>
      </c>
    </row>
    <row r="8770" ht="15" customHeight="1" spans="1:14">
      <c r="A8770" s="550" t="s">
        <v>2254</v>
      </c>
      <c r="B8770" s="334" t="s">
        <v>205</v>
      </c>
      <c r="C8770" s="348" t="s">
        <v>1467</v>
      </c>
      <c r="D8770" s="334" t="s">
        <v>207</v>
      </c>
      <c r="E8770" s="336">
        <v>43799</v>
      </c>
      <c r="F8770" s="336">
        <v>43792</v>
      </c>
      <c r="G8770" s="336">
        <v>43798</v>
      </c>
      <c r="H8770" s="334" t="s">
        <v>18477</v>
      </c>
      <c r="I8770" s="444">
        <v>13801609021</v>
      </c>
      <c r="J8770" s="348" t="s">
        <v>18478</v>
      </c>
      <c r="K8770" s="452">
        <v>26738</v>
      </c>
      <c r="L8770" s="334">
        <v>9678</v>
      </c>
      <c r="N8770" s="362">
        <f t="shared" si="297"/>
        <v>9678</v>
      </c>
    </row>
    <row r="8771" ht="15" customHeight="1" spans="1:14">
      <c r="A8771" s="550" t="s">
        <v>18479</v>
      </c>
      <c r="B8771" s="334" t="s">
        <v>31</v>
      </c>
      <c r="C8771" s="348" t="s">
        <v>2716</v>
      </c>
      <c r="D8771" s="334" t="s">
        <v>221</v>
      </c>
      <c r="E8771" s="336">
        <v>43797</v>
      </c>
      <c r="F8771" s="336">
        <v>43792</v>
      </c>
      <c r="G8771" s="336">
        <v>43795</v>
      </c>
      <c r="H8771" s="334" t="s">
        <v>18480</v>
      </c>
      <c r="I8771" s="444">
        <v>18616372103</v>
      </c>
      <c r="J8771" s="348" t="s">
        <v>18481</v>
      </c>
      <c r="K8771" s="452">
        <v>1000</v>
      </c>
      <c r="L8771" s="334">
        <v>5580</v>
      </c>
      <c r="N8771" s="362">
        <f t="shared" si="297"/>
        <v>5580</v>
      </c>
    </row>
    <row r="8772" ht="15" customHeight="1" spans="1:14">
      <c r="A8772" s="550" t="s">
        <v>11416</v>
      </c>
      <c r="B8772" s="334" t="s">
        <v>185</v>
      </c>
      <c r="C8772" s="348" t="s">
        <v>1620</v>
      </c>
      <c r="D8772" s="334" t="s">
        <v>44</v>
      </c>
      <c r="E8772" s="336">
        <v>43793</v>
      </c>
      <c r="F8772" s="336">
        <v>43792</v>
      </c>
      <c r="G8772" s="399">
        <v>43793</v>
      </c>
      <c r="H8772" s="334" t="s">
        <v>18482</v>
      </c>
      <c r="I8772" s="444">
        <v>13916025680</v>
      </c>
      <c r="J8772" s="348" t="s">
        <v>18483</v>
      </c>
      <c r="K8772" s="452">
        <v>4288</v>
      </c>
      <c r="L8772" s="334">
        <v>4544</v>
      </c>
      <c r="N8772" s="362">
        <f t="shared" si="297"/>
        <v>4544</v>
      </c>
    </row>
    <row r="8773" ht="15" customHeight="1" spans="1:14">
      <c r="A8773" s="550" t="s">
        <v>18484</v>
      </c>
      <c r="B8773" s="334" t="s">
        <v>66</v>
      </c>
      <c r="C8773" s="348" t="s">
        <v>13102</v>
      </c>
      <c r="D8773" s="335" t="s">
        <v>68</v>
      </c>
      <c r="E8773" s="336">
        <v>43821</v>
      </c>
      <c r="F8773" s="336">
        <v>43793</v>
      </c>
      <c r="G8773" s="336">
        <v>43820</v>
      </c>
      <c r="H8773" s="334" t="s">
        <v>18485</v>
      </c>
      <c r="I8773" s="444">
        <v>18701790728</v>
      </c>
      <c r="J8773" s="348" t="s">
        <v>18486</v>
      </c>
      <c r="K8773" s="452">
        <v>2000</v>
      </c>
      <c r="L8773" s="334">
        <v>11936</v>
      </c>
      <c r="N8773" s="362">
        <f t="shared" si="297"/>
        <v>11936</v>
      </c>
    </row>
    <row r="8774" ht="15" customHeight="1" spans="1:14">
      <c r="A8774" s="550" t="s">
        <v>8922</v>
      </c>
      <c r="B8774" s="334" t="s">
        <v>315</v>
      </c>
      <c r="C8774" s="348" t="s">
        <v>161</v>
      </c>
      <c r="D8774" s="335" t="s">
        <v>162</v>
      </c>
      <c r="E8774" s="336">
        <v>43795</v>
      </c>
      <c r="F8774" s="336">
        <v>43793</v>
      </c>
      <c r="G8774" s="336">
        <v>43795</v>
      </c>
      <c r="H8774" s="334" t="s">
        <v>18487</v>
      </c>
      <c r="I8774" s="444">
        <v>13918493833</v>
      </c>
      <c r="J8774" s="348" t="s">
        <v>18488</v>
      </c>
      <c r="K8774" s="452">
        <v>5166</v>
      </c>
      <c r="L8774" s="334">
        <v>5166</v>
      </c>
      <c r="N8774" s="362">
        <f t="shared" si="297"/>
        <v>5166</v>
      </c>
    </row>
    <row r="8775" ht="15" customHeight="1" spans="1:15">
      <c r="A8775" s="550" t="s">
        <v>11073</v>
      </c>
      <c r="B8775" s="334" t="s">
        <v>58</v>
      </c>
      <c r="C8775" s="348" t="s">
        <v>109</v>
      </c>
      <c r="D8775" s="335" t="s">
        <v>271</v>
      </c>
      <c r="E8775" s="336">
        <v>43793</v>
      </c>
      <c r="F8775" s="336">
        <v>43793</v>
      </c>
      <c r="G8775" s="399"/>
      <c r="H8775" s="334" t="s">
        <v>18489</v>
      </c>
      <c r="I8775" s="444">
        <v>18121225766</v>
      </c>
      <c r="J8775" s="348" t="s">
        <v>18490</v>
      </c>
      <c r="K8775" s="452">
        <v>1000</v>
      </c>
      <c r="N8775" s="362">
        <f t="shared" si="297"/>
        <v>0</v>
      </c>
      <c r="O8775" s="330">
        <v>1</v>
      </c>
    </row>
    <row r="8776" ht="15" customHeight="1" spans="1:18">
      <c r="A8776" s="550" t="s">
        <v>694</v>
      </c>
      <c r="B8776" s="334" t="s">
        <v>185</v>
      </c>
      <c r="C8776" s="348" t="s">
        <v>186</v>
      </c>
      <c r="D8776" s="335" t="s">
        <v>187</v>
      </c>
      <c r="E8776" s="336">
        <v>43793</v>
      </c>
      <c r="F8776" s="336">
        <v>43792</v>
      </c>
      <c r="G8776" s="399"/>
      <c r="H8776" s="334" t="s">
        <v>18491</v>
      </c>
      <c r="I8776" s="444">
        <v>13564869836</v>
      </c>
      <c r="J8776" s="348" t="s">
        <v>18492</v>
      </c>
      <c r="K8776" s="452">
        <v>1000</v>
      </c>
      <c r="N8776" s="362">
        <f t="shared" si="297"/>
        <v>0</v>
      </c>
      <c r="R8776" s="467" t="s">
        <v>52</v>
      </c>
    </row>
    <row r="8777" ht="15" customHeight="1" spans="1:14">
      <c r="A8777" s="550" t="s">
        <v>18493</v>
      </c>
      <c r="B8777" s="334" t="s">
        <v>31</v>
      </c>
      <c r="C8777" s="348" t="s">
        <v>419</v>
      </c>
      <c r="D8777" s="335" t="s">
        <v>221</v>
      </c>
      <c r="E8777" s="336">
        <v>43821</v>
      </c>
      <c r="F8777" s="336">
        <v>43793</v>
      </c>
      <c r="G8777" s="336">
        <v>43820</v>
      </c>
      <c r="H8777" s="334" t="s">
        <v>18494</v>
      </c>
      <c r="I8777" s="444">
        <v>13816165549</v>
      </c>
      <c r="J8777" s="348" t="s">
        <v>18495</v>
      </c>
      <c r="K8777" s="452">
        <v>1000</v>
      </c>
      <c r="L8777" s="334">
        <v>13785</v>
      </c>
      <c r="N8777" s="362">
        <f t="shared" si="297"/>
        <v>13785</v>
      </c>
    </row>
    <row r="8778" ht="15" customHeight="1" spans="1:14">
      <c r="A8778" s="550" t="s">
        <v>18496</v>
      </c>
      <c r="B8778" s="334" t="s">
        <v>405</v>
      </c>
      <c r="C8778" s="348" t="s">
        <v>1234</v>
      </c>
      <c r="D8778" s="335" t="s">
        <v>407</v>
      </c>
      <c r="E8778" s="336">
        <v>43795</v>
      </c>
      <c r="F8778" s="336">
        <v>43792</v>
      </c>
      <c r="G8778" s="336">
        <v>43795</v>
      </c>
      <c r="H8778" s="334" t="s">
        <v>18497</v>
      </c>
      <c r="I8778" s="444">
        <v>18817639960</v>
      </c>
      <c r="J8778" s="348" t="s">
        <v>18498</v>
      </c>
      <c r="K8778" s="452">
        <v>6646</v>
      </c>
      <c r="L8778" s="334">
        <v>6646</v>
      </c>
      <c r="N8778" s="362">
        <f t="shared" si="297"/>
        <v>6646</v>
      </c>
    </row>
    <row r="8779" ht="15" customHeight="1" spans="1:19">
      <c r="A8779" s="550" t="s">
        <v>8940</v>
      </c>
      <c r="B8779" s="334" t="s">
        <v>315</v>
      </c>
      <c r="C8779" s="348" t="s">
        <v>275</v>
      </c>
      <c r="D8779" s="334" t="s">
        <v>149</v>
      </c>
      <c r="E8779" s="336">
        <v>43797</v>
      </c>
      <c r="F8779" s="336">
        <v>43792</v>
      </c>
      <c r="G8779" s="336">
        <v>43794</v>
      </c>
      <c r="H8779" s="334" t="s">
        <v>18499</v>
      </c>
      <c r="I8779" s="444">
        <v>18796032117</v>
      </c>
      <c r="J8779" s="348" t="s">
        <v>18500</v>
      </c>
      <c r="K8779" s="452">
        <v>1000</v>
      </c>
      <c r="L8779" s="334">
        <v>2329</v>
      </c>
      <c r="N8779" s="362">
        <f t="shared" si="297"/>
        <v>2329</v>
      </c>
      <c r="S8779" s="330">
        <v>1</v>
      </c>
    </row>
    <row r="8780" ht="15" customHeight="1" spans="1:16">
      <c r="A8780" s="550" t="s">
        <v>6135</v>
      </c>
      <c r="B8780" s="334" t="s">
        <v>315</v>
      </c>
      <c r="C8780" s="348" t="s">
        <v>275</v>
      </c>
      <c r="D8780" s="335" t="s">
        <v>162</v>
      </c>
      <c r="E8780" s="336">
        <v>43821</v>
      </c>
      <c r="F8780" s="336">
        <v>43793</v>
      </c>
      <c r="G8780" s="336">
        <v>43819</v>
      </c>
      <c r="H8780" s="334" t="s">
        <v>18501</v>
      </c>
      <c r="I8780" s="444">
        <v>18516539219</v>
      </c>
      <c r="J8780" s="348" t="s">
        <v>18502</v>
      </c>
      <c r="K8780" s="452">
        <v>1000</v>
      </c>
      <c r="L8780" s="334">
        <v>8674</v>
      </c>
      <c r="N8780" s="362">
        <f t="shared" si="297"/>
        <v>8674</v>
      </c>
      <c r="P8780" s="330">
        <v>1</v>
      </c>
    </row>
    <row r="8781" ht="15" customHeight="1" spans="1:15">
      <c r="A8781" s="550" t="s">
        <v>17826</v>
      </c>
      <c r="B8781" s="334" t="s">
        <v>726</v>
      </c>
      <c r="C8781" s="348" t="s">
        <v>12699</v>
      </c>
      <c r="D8781" s="334" t="s">
        <v>271</v>
      </c>
      <c r="E8781" s="336">
        <v>43829</v>
      </c>
      <c r="F8781" s="336">
        <v>43793</v>
      </c>
      <c r="G8781" s="336">
        <v>43829</v>
      </c>
      <c r="H8781" s="334" t="s">
        <v>18503</v>
      </c>
      <c r="I8781" s="444">
        <v>13917466137</v>
      </c>
      <c r="J8781" s="348" t="s">
        <v>18504</v>
      </c>
      <c r="K8781" s="452">
        <v>4000</v>
      </c>
      <c r="L8781" s="334">
        <v>3915</v>
      </c>
      <c r="N8781" s="362">
        <f t="shared" si="297"/>
        <v>3915</v>
      </c>
      <c r="O8781" s="467" t="s">
        <v>52</v>
      </c>
    </row>
    <row r="8782" ht="15" customHeight="1" spans="1:22">
      <c r="A8782" s="550" t="s">
        <v>11392</v>
      </c>
      <c r="B8782" s="334" t="s">
        <v>137</v>
      </c>
      <c r="C8782" s="348" t="s">
        <v>406</v>
      </c>
      <c r="D8782" s="334" t="s">
        <v>139</v>
      </c>
      <c r="E8782" s="336">
        <v>43833</v>
      </c>
      <c r="F8782" s="336">
        <v>43792</v>
      </c>
      <c r="G8782" s="336">
        <v>43831</v>
      </c>
      <c r="H8782" s="425" t="s">
        <v>18505</v>
      </c>
      <c r="I8782" s="444">
        <v>15921556875</v>
      </c>
      <c r="J8782" s="348" t="s">
        <v>18506</v>
      </c>
      <c r="K8782" s="452">
        <v>1000</v>
      </c>
      <c r="L8782" s="334">
        <v>10475</v>
      </c>
      <c r="N8782" s="362">
        <f t="shared" si="297"/>
        <v>10475</v>
      </c>
      <c r="S8782" s="330">
        <v>1</v>
      </c>
      <c r="V8782" s="330" t="s">
        <v>18507</v>
      </c>
    </row>
    <row r="8783" ht="15" customHeight="1" spans="1:14">
      <c r="A8783" s="348"/>
      <c r="B8783" s="334" t="s">
        <v>35</v>
      </c>
      <c r="C8783" s="348" t="s">
        <v>328</v>
      </c>
      <c r="D8783" s="334" t="s">
        <v>37</v>
      </c>
      <c r="E8783" s="336">
        <v>43793</v>
      </c>
      <c r="F8783" s="336">
        <v>43792</v>
      </c>
      <c r="G8783" s="336">
        <v>43793</v>
      </c>
      <c r="H8783" s="334" t="s">
        <v>2717</v>
      </c>
      <c r="I8783" s="444">
        <v>13817287749</v>
      </c>
      <c r="J8783" s="348" t="s">
        <v>18508</v>
      </c>
      <c r="K8783" s="452">
        <v>1000</v>
      </c>
      <c r="L8783" s="334">
        <v>2745</v>
      </c>
      <c r="M8783" s="334">
        <v>1000</v>
      </c>
      <c r="N8783" s="362">
        <f t="shared" si="297"/>
        <v>3745</v>
      </c>
    </row>
    <row r="8784" ht="15" customHeight="1" spans="1:14">
      <c r="A8784" s="550" t="s">
        <v>18509</v>
      </c>
      <c r="B8784" s="334" t="s">
        <v>31</v>
      </c>
      <c r="C8784" s="348" t="s">
        <v>220</v>
      </c>
      <c r="D8784" s="334" t="s">
        <v>33</v>
      </c>
      <c r="E8784" s="336">
        <v>43794</v>
      </c>
      <c r="F8784" s="336">
        <v>43792</v>
      </c>
      <c r="G8784" s="336">
        <v>43792</v>
      </c>
      <c r="H8784" s="334" t="s">
        <v>18510</v>
      </c>
      <c r="I8784" s="444">
        <v>13564212014</v>
      </c>
      <c r="J8784" s="348" t="s">
        <v>18511</v>
      </c>
      <c r="K8784" s="452">
        <v>4900</v>
      </c>
      <c r="L8784" s="334">
        <v>7181</v>
      </c>
      <c r="N8784" s="362">
        <f t="shared" si="297"/>
        <v>7181</v>
      </c>
    </row>
    <row r="8785" ht="15" customHeight="1" spans="1:14">
      <c r="A8785" s="550" t="s">
        <v>6521</v>
      </c>
      <c r="B8785" s="334" t="s">
        <v>31</v>
      </c>
      <c r="C8785" s="348" t="s">
        <v>13171</v>
      </c>
      <c r="D8785" s="334" t="s">
        <v>954</v>
      </c>
      <c r="E8785" s="336">
        <v>43802</v>
      </c>
      <c r="F8785" s="336">
        <v>43793</v>
      </c>
      <c r="G8785" s="336">
        <v>43802</v>
      </c>
      <c r="H8785" s="334" t="s">
        <v>18512</v>
      </c>
      <c r="I8785" s="444">
        <v>17749911836</v>
      </c>
      <c r="J8785" s="348" t="s">
        <v>18513</v>
      </c>
      <c r="K8785" s="452">
        <v>4999</v>
      </c>
      <c r="L8785" s="334">
        <v>9102</v>
      </c>
      <c r="N8785" s="362">
        <f t="shared" si="297"/>
        <v>9102</v>
      </c>
    </row>
    <row r="8786" ht="15" customHeight="1" spans="1:16">
      <c r="A8786" s="550" t="s">
        <v>18514</v>
      </c>
      <c r="B8786" s="334" t="s">
        <v>87</v>
      </c>
      <c r="C8786" s="348" t="s">
        <v>199</v>
      </c>
      <c r="D8786" s="335" t="s">
        <v>89</v>
      </c>
      <c r="E8786" s="336">
        <v>43793</v>
      </c>
      <c r="F8786" s="336">
        <v>43793</v>
      </c>
      <c r="G8786" s="399"/>
      <c r="H8786" s="334" t="s">
        <v>18515</v>
      </c>
      <c r="I8786" s="444">
        <v>13701646752</v>
      </c>
      <c r="J8786" s="348" t="s">
        <v>18516</v>
      </c>
      <c r="K8786" s="452">
        <v>1000</v>
      </c>
      <c r="N8786" s="362">
        <f t="shared" si="297"/>
        <v>0</v>
      </c>
      <c r="P8786" s="356" t="s">
        <v>52</v>
      </c>
    </row>
    <row r="8787" ht="15" customHeight="1" spans="1:15">
      <c r="A8787" s="550" t="s">
        <v>9827</v>
      </c>
      <c r="B8787" s="334" t="s">
        <v>315</v>
      </c>
      <c r="C8787" s="348" t="s">
        <v>722</v>
      </c>
      <c r="D8787" s="334" t="s">
        <v>149</v>
      </c>
      <c r="E8787" s="336">
        <v>43801</v>
      </c>
      <c r="F8787" s="336">
        <v>43793</v>
      </c>
      <c r="G8787" s="336">
        <v>43800</v>
      </c>
      <c r="H8787" s="334" t="s">
        <v>16505</v>
      </c>
      <c r="I8787" s="444">
        <v>13564678981</v>
      </c>
      <c r="J8787" s="348" t="s">
        <v>18517</v>
      </c>
      <c r="K8787" s="452">
        <v>1000</v>
      </c>
      <c r="L8787" s="334">
        <v>2567</v>
      </c>
      <c r="N8787" s="362">
        <f t="shared" si="297"/>
        <v>2567</v>
      </c>
      <c r="O8787" s="330">
        <v>1</v>
      </c>
    </row>
    <row r="8788" ht="15" customHeight="1" spans="1:21">
      <c r="A8788" s="550" t="s">
        <v>4129</v>
      </c>
      <c r="B8788" s="334" t="s">
        <v>87</v>
      </c>
      <c r="C8788" s="348" t="s">
        <v>466</v>
      </c>
      <c r="D8788" s="335" t="s">
        <v>89</v>
      </c>
      <c r="E8788" s="336">
        <v>43793</v>
      </c>
      <c r="F8788" s="336">
        <v>43793</v>
      </c>
      <c r="G8788" s="399"/>
      <c r="H8788" s="334" t="s">
        <v>18518</v>
      </c>
      <c r="I8788" s="444">
        <v>18621962598</v>
      </c>
      <c r="J8788" s="348" t="s">
        <v>18519</v>
      </c>
      <c r="K8788" s="452">
        <v>1000</v>
      </c>
      <c r="N8788" s="362">
        <f t="shared" si="297"/>
        <v>0</v>
      </c>
      <c r="U8788" s="330" t="s">
        <v>12</v>
      </c>
    </row>
    <row r="8789" ht="15" customHeight="1" spans="1:14">
      <c r="A8789" s="550" t="s">
        <v>18520</v>
      </c>
      <c r="B8789" s="334" t="s">
        <v>58</v>
      </c>
      <c r="C8789" s="348" t="s">
        <v>59</v>
      </c>
      <c r="D8789" s="335" t="s">
        <v>271</v>
      </c>
      <c r="E8789" s="336">
        <v>43795</v>
      </c>
      <c r="F8789" s="336">
        <v>43793</v>
      </c>
      <c r="G8789" s="336">
        <v>43794</v>
      </c>
      <c r="H8789" s="334" t="s">
        <v>18521</v>
      </c>
      <c r="I8789" s="444">
        <v>13301659000</v>
      </c>
      <c r="J8789" s="348" t="s">
        <v>18522</v>
      </c>
      <c r="K8789" s="452">
        <v>8358</v>
      </c>
      <c r="L8789" s="334">
        <v>11880</v>
      </c>
      <c r="N8789" s="362">
        <f t="shared" si="297"/>
        <v>11880</v>
      </c>
    </row>
    <row r="8790" ht="15" customHeight="1" spans="1:19">
      <c r="A8790" s="550" t="s">
        <v>4326</v>
      </c>
      <c r="B8790" s="334" t="s">
        <v>31</v>
      </c>
      <c r="C8790" s="348" t="s">
        <v>3186</v>
      </c>
      <c r="D8790" s="335" t="s">
        <v>221</v>
      </c>
      <c r="E8790" s="336">
        <v>43830</v>
      </c>
      <c r="F8790" s="336">
        <v>43793</v>
      </c>
      <c r="G8790" s="336">
        <v>43830</v>
      </c>
      <c r="H8790" s="334" t="s">
        <v>18523</v>
      </c>
      <c r="I8790" s="444">
        <v>13162139878</v>
      </c>
      <c r="J8790" s="348" t="s">
        <v>18524</v>
      </c>
      <c r="K8790" s="452">
        <v>10000</v>
      </c>
      <c r="L8790" s="334">
        <v>5052</v>
      </c>
      <c r="N8790" s="362">
        <f t="shared" si="297"/>
        <v>5052</v>
      </c>
      <c r="S8790" s="467" t="s">
        <v>52</v>
      </c>
    </row>
    <row r="8791" ht="15" customHeight="1" spans="1:19">
      <c r="A8791" s="550" t="s">
        <v>11848</v>
      </c>
      <c r="B8791" s="334" t="s">
        <v>137</v>
      </c>
      <c r="C8791" s="348" t="s">
        <v>411</v>
      </c>
      <c r="D8791" s="335" t="s">
        <v>427</v>
      </c>
      <c r="E8791" s="336">
        <v>43806</v>
      </c>
      <c r="F8791" s="336">
        <v>43793</v>
      </c>
      <c r="G8791" s="336">
        <v>43806</v>
      </c>
      <c r="H8791" s="334" t="s">
        <v>18525</v>
      </c>
      <c r="I8791" s="444">
        <v>18717969156</v>
      </c>
      <c r="J8791" s="348" t="s">
        <v>18526</v>
      </c>
      <c r="K8791" s="452">
        <v>1000</v>
      </c>
      <c r="L8791" s="334">
        <v>24107</v>
      </c>
      <c r="N8791" s="362">
        <f t="shared" si="297"/>
        <v>24107</v>
      </c>
      <c r="S8791" s="330">
        <v>1</v>
      </c>
    </row>
    <row r="8792" ht="15" customHeight="1" spans="1:19">
      <c r="A8792" s="550" t="s">
        <v>18527</v>
      </c>
      <c r="B8792" s="334" t="s">
        <v>123</v>
      </c>
      <c r="C8792" s="348" t="s">
        <v>32</v>
      </c>
      <c r="D8792" s="335" t="s">
        <v>125</v>
      </c>
      <c r="E8792" s="336">
        <v>43793</v>
      </c>
      <c r="F8792" s="336">
        <v>43793</v>
      </c>
      <c r="G8792" s="399"/>
      <c r="H8792" s="334" t="s">
        <v>18528</v>
      </c>
      <c r="I8792" s="444">
        <v>18616813652</v>
      </c>
      <c r="J8792" s="348" t="s">
        <v>18529</v>
      </c>
      <c r="K8792" s="452">
        <v>1899</v>
      </c>
      <c r="N8792" s="362">
        <f t="shared" si="297"/>
        <v>0</v>
      </c>
      <c r="O8792" s="467"/>
      <c r="Q8792" s="353" t="s">
        <v>21</v>
      </c>
      <c r="S8792" s="486"/>
    </row>
    <row r="8793" ht="15" customHeight="1" spans="2:14">
      <c r="B8793" s="334" t="s">
        <v>2625</v>
      </c>
      <c r="C8793" s="334" t="s">
        <v>2626</v>
      </c>
      <c r="D8793" s="334" t="s">
        <v>44</v>
      </c>
      <c r="E8793" s="336">
        <v>43792</v>
      </c>
      <c r="G8793" s="336">
        <v>43791</v>
      </c>
      <c r="H8793" s="334" t="s">
        <v>18530</v>
      </c>
      <c r="I8793" s="444">
        <v>13764564947</v>
      </c>
      <c r="J8793" s="348" t="s">
        <v>18531</v>
      </c>
      <c r="L8793" s="334">
        <v>4907</v>
      </c>
      <c r="N8793" s="362">
        <f t="shared" ref="N8793:N8802" si="298">L8793+M8793</f>
        <v>4907</v>
      </c>
    </row>
    <row r="8794" ht="15" customHeight="1" spans="2:14">
      <c r="B8794" s="334" t="s">
        <v>35</v>
      </c>
      <c r="C8794" s="334" t="s">
        <v>392</v>
      </c>
      <c r="D8794" s="334" t="s">
        <v>37</v>
      </c>
      <c r="E8794" s="336">
        <v>43792</v>
      </c>
      <c r="G8794" s="336">
        <v>43791</v>
      </c>
      <c r="H8794" s="334" t="s">
        <v>17918</v>
      </c>
      <c r="I8794" s="444">
        <v>13601803996</v>
      </c>
      <c r="J8794" s="348" t="s">
        <v>18532</v>
      </c>
      <c r="L8794" s="334">
        <v>6000</v>
      </c>
      <c r="N8794" s="362">
        <f t="shared" si="298"/>
        <v>6000</v>
      </c>
    </row>
    <row r="8795" ht="15" customHeight="1" spans="2:14">
      <c r="B8795" s="334" t="s">
        <v>35</v>
      </c>
      <c r="C8795" s="334" t="s">
        <v>392</v>
      </c>
      <c r="D8795" s="334" t="s">
        <v>187</v>
      </c>
      <c r="E8795" s="336">
        <v>43792</v>
      </c>
      <c r="G8795" s="336">
        <v>43792</v>
      </c>
      <c r="H8795" s="334" t="s">
        <v>18533</v>
      </c>
      <c r="I8795" s="444">
        <v>18302103203</v>
      </c>
      <c r="J8795" s="348" t="s">
        <v>18534</v>
      </c>
      <c r="L8795" s="334">
        <v>44190</v>
      </c>
      <c r="N8795" s="362">
        <f t="shared" si="298"/>
        <v>44190</v>
      </c>
    </row>
    <row r="8796" ht="15" customHeight="1" spans="2:14">
      <c r="B8796" s="334" t="s">
        <v>137</v>
      </c>
      <c r="C8796" s="334" t="s">
        <v>480</v>
      </c>
      <c r="D8796" s="334" t="s">
        <v>2381</v>
      </c>
      <c r="E8796" s="336">
        <v>43793</v>
      </c>
      <c r="G8796" s="336">
        <v>43791</v>
      </c>
      <c r="H8796" s="334" t="s">
        <v>18535</v>
      </c>
      <c r="I8796" s="444">
        <v>13801720599</v>
      </c>
      <c r="J8796" s="348" t="s">
        <v>18536</v>
      </c>
      <c r="L8796" s="334">
        <v>22342</v>
      </c>
      <c r="N8796" s="362">
        <f t="shared" si="298"/>
        <v>22342</v>
      </c>
    </row>
    <row r="8797" ht="15" customHeight="1" spans="2:14">
      <c r="B8797" s="334" t="s">
        <v>137</v>
      </c>
      <c r="C8797" s="334" t="s">
        <v>138</v>
      </c>
      <c r="D8797" s="334" t="s">
        <v>443</v>
      </c>
      <c r="E8797" s="336">
        <v>43793</v>
      </c>
      <c r="G8797" s="336">
        <v>43792</v>
      </c>
      <c r="H8797" s="334" t="s">
        <v>18537</v>
      </c>
      <c r="I8797" s="444">
        <v>13774271354</v>
      </c>
      <c r="J8797" s="348" t="s">
        <v>18538</v>
      </c>
      <c r="L8797" s="334">
        <v>5492</v>
      </c>
      <c r="N8797" s="362">
        <f t="shared" si="298"/>
        <v>5492</v>
      </c>
    </row>
    <row r="8798" ht="15" customHeight="1" spans="2:14">
      <c r="B8798" s="334" t="s">
        <v>137</v>
      </c>
      <c r="C8798" s="334" t="s">
        <v>2705</v>
      </c>
      <c r="D8798" s="334" t="s">
        <v>2381</v>
      </c>
      <c r="E8798" s="336">
        <v>43793</v>
      </c>
      <c r="G8798" s="336">
        <v>43792</v>
      </c>
      <c r="H8798" s="334" t="s">
        <v>14588</v>
      </c>
      <c r="I8798" s="444">
        <v>13524226184</v>
      </c>
      <c r="J8798" s="348" t="s">
        <v>18539</v>
      </c>
      <c r="L8798" s="334">
        <v>12087</v>
      </c>
      <c r="N8798" s="362">
        <f t="shared" si="298"/>
        <v>12087</v>
      </c>
    </row>
    <row r="8799" ht="15" customHeight="1" spans="2:14">
      <c r="B8799" s="334" t="s">
        <v>31</v>
      </c>
      <c r="C8799" s="334" t="s">
        <v>2716</v>
      </c>
      <c r="D8799" s="334" t="s">
        <v>33</v>
      </c>
      <c r="E8799" s="336">
        <v>43793</v>
      </c>
      <c r="G8799" s="336">
        <v>43792</v>
      </c>
      <c r="H8799" s="334" t="s">
        <v>18540</v>
      </c>
      <c r="I8799" s="444">
        <v>13524304382</v>
      </c>
      <c r="J8799" s="348" t="s">
        <v>18541</v>
      </c>
      <c r="L8799" s="334">
        <v>20600</v>
      </c>
      <c r="N8799" s="362">
        <f t="shared" si="298"/>
        <v>20600</v>
      </c>
    </row>
    <row r="8800" ht="15" customHeight="1" spans="2:14">
      <c r="B8800" s="445" t="s">
        <v>31</v>
      </c>
      <c r="C8800" s="445" t="s">
        <v>377</v>
      </c>
      <c r="D8800" s="335" t="s">
        <v>221</v>
      </c>
      <c r="E8800" s="336">
        <v>43793</v>
      </c>
      <c r="F8800" s="336">
        <v>43778</v>
      </c>
      <c r="G8800" s="336">
        <v>43790</v>
      </c>
      <c r="H8800" s="334" t="s">
        <v>16578</v>
      </c>
      <c r="I8800" s="465">
        <v>13801887566</v>
      </c>
      <c r="J8800" s="445" t="s">
        <v>16579</v>
      </c>
      <c r="K8800" s="452">
        <v>1000</v>
      </c>
      <c r="L8800" s="334">
        <v>28572</v>
      </c>
      <c r="N8800" s="362">
        <f t="shared" si="298"/>
        <v>28572</v>
      </c>
    </row>
    <row r="8801" ht="15" customHeight="1" spans="2:14">
      <c r="B8801" s="334" t="s">
        <v>58</v>
      </c>
      <c r="C8801" s="334" t="s">
        <v>342</v>
      </c>
      <c r="D8801" s="334" t="s">
        <v>343</v>
      </c>
      <c r="E8801" s="336">
        <v>43793</v>
      </c>
      <c r="G8801" s="336">
        <v>43792</v>
      </c>
      <c r="H8801" s="334" t="s">
        <v>18542</v>
      </c>
      <c r="I8801" s="444">
        <v>13564313091</v>
      </c>
      <c r="J8801" s="348" t="s">
        <v>18543</v>
      </c>
      <c r="L8801" s="334">
        <v>12472</v>
      </c>
      <c r="N8801" s="362">
        <f t="shared" si="298"/>
        <v>12472</v>
      </c>
    </row>
    <row r="8802" ht="15" customHeight="1" spans="2:14">
      <c r="B8802" s="334" t="s">
        <v>94</v>
      </c>
      <c r="C8802" s="334" t="s">
        <v>101</v>
      </c>
      <c r="D8802" s="334" t="s">
        <v>49</v>
      </c>
      <c r="E8802" s="336">
        <v>43792</v>
      </c>
      <c r="G8802" s="336">
        <v>43791</v>
      </c>
      <c r="H8802" s="334" t="s">
        <v>12152</v>
      </c>
      <c r="I8802" s="444">
        <v>13162258136</v>
      </c>
      <c r="J8802" s="334" t="s">
        <v>12153</v>
      </c>
      <c r="M8802" s="334">
        <v>7269</v>
      </c>
      <c r="N8802" s="362">
        <f t="shared" si="298"/>
        <v>7269</v>
      </c>
    </row>
    <row r="8803" ht="15" customHeight="1" spans="2:14">
      <c r="B8803" s="334" t="s">
        <v>47</v>
      </c>
      <c r="C8803" s="334" t="s">
        <v>80</v>
      </c>
      <c r="D8803" s="334" t="s">
        <v>49</v>
      </c>
      <c r="E8803" s="336">
        <v>43792</v>
      </c>
      <c r="G8803" s="336">
        <v>43791</v>
      </c>
      <c r="H8803" s="334" t="s">
        <v>18544</v>
      </c>
      <c r="I8803" s="356">
        <v>15000094555</v>
      </c>
      <c r="J8803" s="348" t="s">
        <v>18545</v>
      </c>
      <c r="M8803" s="334">
        <v>220</v>
      </c>
      <c r="N8803" s="362">
        <f t="shared" ref="N8801:N8826" si="299">L8803+M8803</f>
        <v>220</v>
      </c>
    </row>
    <row r="8804" ht="15" customHeight="1" spans="2:14">
      <c r="B8804" s="334" t="s">
        <v>243</v>
      </c>
      <c r="C8804" s="334" t="s">
        <v>309</v>
      </c>
      <c r="D8804" s="334" t="s">
        <v>49</v>
      </c>
      <c r="E8804" s="336">
        <v>43792</v>
      </c>
      <c r="G8804" s="336">
        <v>43791</v>
      </c>
      <c r="H8804" s="334" t="s">
        <v>18546</v>
      </c>
      <c r="I8804" s="334">
        <v>13601730340</v>
      </c>
      <c r="J8804" s="334" t="s">
        <v>12656</v>
      </c>
      <c r="M8804" s="334">
        <v>9620</v>
      </c>
      <c r="N8804" s="362">
        <f t="shared" si="299"/>
        <v>9620</v>
      </c>
    </row>
    <row r="8805" ht="15" customHeight="1" spans="2:14">
      <c r="B8805" s="334" t="s">
        <v>35</v>
      </c>
      <c r="C8805" s="334" t="s">
        <v>392</v>
      </c>
      <c r="D8805" s="334" t="s">
        <v>37</v>
      </c>
      <c r="E8805" s="336">
        <v>43792</v>
      </c>
      <c r="G8805" s="336">
        <v>43791</v>
      </c>
      <c r="H8805" s="334" t="s">
        <v>13785</v>
      </c>
      <c r="I8805" s="334">
        <v>13818256223</v>
      </c>
      <c r="J8805" s="334" t="s">
        <v>18547</v>
      </c>
      <c r="M8805" s="334">
        <v>21500</v>
      </c>
      <c r="N8805" s="362">
        <f t="shared" si="299"/>
        <v>21500</v>
      </c>
    </row>
    <row r="8806" ht="15" customHeight="1" spans="2:14">
      <c r="B8806" s="334" t="s">
        <v>35</v>
      </c>
      <c r="C8806" s="334" t="s">
        <v>392</v>
      </c>
      <c r="D8806" s="334" t="s">
        <v>37</v>
      </c>
      <c r="E8806" s="336">
        <v>43792</v>
      </c>
      <c r="G8806" s="336">
        <v>43790</v>
      </c>
      <c r="H8806" s="334" t="s">
        <v>9142</v>
      </c>
      <c r="I8806" s="444">
        <v>13311861651</v>
      </c>
      <c r="J8806" s="348" t="s">
        <v>9143</v>
      </c>
      <c r="M8806" s="334">
        <v>3735</v>
      </c>
      <c r="N8806" s="362">
        <f t="shared" si="299"/>
        <v>3735</v>
      </c>
    </row>
    <row r="8807" ht="15" customHeight="1" spans="2:14">
      <c r="B8807" s="334" t="s">
        <v>66</v>
      </c>
      <c r="C8807" s="334" t="s">
        <v>505</v>
      </c>
      <c r="D8807" s="334" t="s">
        <v>2302</v>
      </c>
      <c r="E8807" s="336">
        <v>43792</v>
      </c>
      <c r="G8807" s="336">
        <v>43792</v>
      </c>
      <c r="H8807" s="334" t="s">
        <v>15246</v>
      </c>
      <c r="I8807" s="444">
        <v>17898801756</v>
      </c>
      <c r="J8807" s="348" t="s">
        <v>15247</v>
      </c>
      <c r="M8807" s="334">
        <v>3439</v>
      </c>
      <c r="N8807" s="362">
        <f t="shared" si="299"/>
        <v>3439</v>
      </c>
    </row>
    <row r="8808" ht="15" customHeight="1" spans="2:14">
      <c r="B8808" s="334" t="s">
        <v>66</v>
      </c>
      <c r="C8808" s="334" t="s">
        <v>505</v>
      </c>
      <c r="D8808" s="334" t="s">
        <v>68</v>
      </c>
      <c r="E8808" s="336">
        <v>43792</v>
      </c>
      <c r="G8808" s="336">
        <v>43792</v>
      </c>
      <c r="H8808" s="408" t="s">
        <v>4824</v>
      </c>
      <c r="I8808" s="444">
        <v>13636322828</v>
      </c>
      <c r="J8808" s="348" t="s">
        <v>4825</v>
      </c>
      <c r="M8808" s="334">
        <v>1135</v>
      </c>
      <c r="N8808" s="362">
        <f t="shared" si="299"/>
        <v>1135</v>
      </c>
    </row>
    <row r="8809" ht="15" customHeight="1" spans="2:14">
      <c r="B8809" s="334" t="s">
        <v>137</v>
      </c>
      <c r="C8809" s="334" t="s">
        <v>480</v>
      </c>
      <c r="D8809" s="334" t="s">
        <v>139</v>
      </c>
      <c r="E8809" s="336">
        <v>43792</v>
      </c>
      <c r="G8809" s="336">
        <v>43792</v>
      </c>
      <c r="H8809" s="334" t="s">
        <v>1111</v>
      </c>
      <c r="I8809" s="334">
        <v>13917728517</v>
      </c>
      <c r="J8809" s="348" t="s">
        <v>14561</v>
      </c>
      <c r="M8809" s="334">
        <v>-3584</v>
      </c>
      <c r="N8809" s="362">
        <f t="shared" si="299"/>
        <v>-3584</v>
      </c>
    </row>
    <row r="8810" ht="15" customHeight="1" spans="2:14">
      <c r="B8810" s="334" t="s">
        <v>205</v>
      </c>
      <c r="C8810" s="334" t="s">
        <v>1467</v>
      </c>
      <c r="D8810" s="334" t="s">
        <v>407</v>
      </c>
      <c r="E8810" s="336">
        <v>43792</v>
      </c>
      <c r="G8810" s="336">
        <v>43782</v>
      </c>
      <c r="H8810" s="334" t="s">
        <v>6559</v>
      </c>
      <c r="I8810" s="334">
        <v>18621698901</v>
      </c>
      <c r="J8810" s="334" t="s">
        <v>6560</v>
      </c>
      <c r="M8810" s="334">
        <v>320</v>
      </c>
      <c r="N8810" s="362">
        <f t="shared" si="299"/>
        <v>320</v>
      </c>
    </row>
    <row r="8811" ht="15" customHeight="1" spans="2:14">
      <c r="B8811" s="334" t="s">
        <v>42</v>
      </c>
      <c r="C8811" s="334" t="s">
        <v>43</v>
      </c>
      <c r="D8811" s="334" t="s">
        <v>207</v>
      </c>
      <c r="E8811" s="336">
        <v>43792</v>
      </c>
      <c r="G8811" s="336">
        <v>43791</v>
      </c>
      <c r="H8811" s="334" t="s">
        <v>18548</v>
      </c>
      <c r="I8811" s="444">
        <v>15821202281</v>
      </c>
      <c r="J8811" s="334" t="s">
        <v>18549</v>
      </c>
      <c r="M8811" s="334">
        <v>238</v>
      </c>
      <c r="N8811" s="362">
        <f t="shared" si="299"/>
        <v>238</v>
      </c>
    </row>
    <row r="8812" ht="15" customHeight="1" spans="2:14">
      <c r="B8812" s="334" t="s">
        <v>73</v>
      </c>
      <c r="C8812" s="334" t="s">
        <v>74</v>
      </c>
      <c r="D8812" s="334" t="s">
        <v>187</v>
      </c>
      <c r="E8812" s="336">
        <v>43792</v>
      </c>
      <c r="G8812" s="336">
        <v>43792</v>
      </c>
      <c r="H8812" s="334" t="s">
        <v>144</v>
      </c>
      <c r="I8812" s="444">
        <v>13764451381</v>
      </c>
      <c r="J8812" s="348" t="s">
        <v>13580</v>
      </c>
      <c r="M8812" s="334">
        <v>-1028</v>
      </c>
      <c r="N8812" s="362">
        <f t="shared" si="299"/>
        <v>-1028</v>
      </c>
    </row>
    <row r="8813" ht="15" customHeight="1" spans="2:14">
      <c r="B8813" s="334" t="s">
        <v>42</v>
      </c>
      <c r="C8813" s="334" t="s">
        <v>43</v>
      </c>
      <c r="D8813" s="334" t="s">
        <v>44</v>
      </c>
      <c r="E8813" s="336">
        <v>43792</v>
      </c>
      <c r="G8813" s="336">
        <v>43792</v>
      </c>
      <c r="H8813" s="334" t="s">
        <v>12816</v>
      </c>
      <c r="I8813" s="334">
        <v>13801848549</v>
      </c>
      <c r="J8813" s="334" t="s">
        <v>18550</v>
      </c>
      <c r="M8813" s="334">
        <v>137</v>
      </c>
      <c r="N8813" s="362">
        <f t="shared" si="299"/>
        <v>137</v>
      </c>
    </row>
    <row r="8814" ht="15" customHeight="1" spans="2:14">
      <c r="B8814" s="334" t="s">
        <v>137</v>
      </c>
      <c r="C8814" s="334" t="s">
        <v>480</v>
      </c>
      <c r="D8814" s="334" t="s">
        <v>443</v>
      </c>
      <c r="E8814" s="336">
        <v>43793</v>
      </c>
      <c r="G8814" s="336">
        <v>43793</v>
      </c>
      <c r="H8814" s="334" t="s">
        <v>10405</v>
      </c>
      <c r="I8814" s="334">
        <v>16621337517</v>
      </c>
      <c r="J8814" s="334" t="s">
        <v>18551</v>
      </c>
      <c r="M8814" s="334">
        <v>522</v>
      </c>
      <c r="N8814" s="362">
        <f t="shared" si="299"/>
        <v>522</v>
      </c>
    </row>
    <row r="8815" ht="15" customHeight="1" spans="2:14">
      <c r="B8815" s="334" t="s">
        <v>31</v>
      </c>
      <c r="C8815" s="334" t="s">
        <v>2716</v>
      </c>
      <c r="D8815" s="334" t="s">
        <v>33</v>
      </c>
      <c r="E8815" s="336">
        <v>43793</v>
      </c>
      <c r="G8815" s="336">
        <v>43790</v>
      </c>
      <c r="H8815" s="334" t="s">
        <v>10766</v>
      </c>
      <c r="I8815" s="444">
        <v>18018608823</v>
      </c>
      <c r="J8815" s="334" t="s">
        <v>10767</v>
      </c>
      <c r="M8815" s="334">
        <f>615+1945</f>
        <v>2560</v>
      </c>
      <c r="N8815" s="362">
        <f t="shared" si="299"/>
        <v>2560</v>
      </c>
    </row>
    <row r="8816" ht="15" customHeight="1" spans="2:14">
      <c r="B8816" s="334" t="s">
        <v>18343</v>
      </c>
      <c r="C8816" s="334" t="s">
        <v>195</v>
      </c>
      <c r="D8816" s="334" t="s">
        <v>207</v>
      </c>
      <c r="E8816" s="336">
        <v>43793</v>
      </c>
      <c r="G8816" s="336">
        <v>43786</v>
      </c>
      <c r="H8816" s="334" t="s">
        <v>18552</v>
      </c>
      <c r="I8816" s="426">
        <v>18721268349</v>
      </c>
      <c r="J8816" s="334" t="s">
        <v>13630</v>
      </c>
      <c r="M8816" s="334">
        <v>-2027</v>
      </c>
      <c r="N8816" s="362">
        <f t="shared" si="299"/>
        <v>-2027</v>
      </c>
    </row>
    <row r="8817" ht="15" customHeight="1" spans="2:14">
      <c r="B8817" s="334" t="s">
        <v>66</v>
      </c>
      <c r="C8817" s="334" t="s">
        <v>951</v>
      </c>
      <c r="D8817" s="334" t="s">
        <v>1436</v>
      </c>
      <c r="E8817" s="336">
        <v>43793</v>
      </c>
      <c r="G8817" s="336">
        <v>43792</v>
      </c>
      <c r="H8817" s="334" t="s">
        <v>13553</v>
      </c>
      <c r="I8817" s="334">
        <v>18521307239</v>
      </c>
      <c r="J8817" s="334" t="s">
        <v>18553</v>
      </c>
      <c r="M8817" s="334">
        <v>-39</v>
      </c>
      <c r="N8817" s="362">
        <f t="shared" si="299"/>
        <v>-39</v>
      </c>
    </row>
    <row r="8818" ht="15" customHeight="1" spans="2:14">
      <c r="B8818" s="334" t="s">
        <v>66</v>
      </c>
      <c r="C8818" s="334" t="s">
        <v>1749</v>
      </c>
      <c r="D8818" s="334" t="s">
        <v>1436</v>
      </c>
      <c r="E8818" s="336">
        <v>43793</v>
      </c>
      <c r="G8818" s="336">
        <v>43792</v>
      </c>
      <c r="H8818" s="334" t="s">
        <v>13272</v>
      </c>
      <c r="I8818" s="334">
        <v>13621642093</v>
      </c>
      <c r="J8818" s="334" t="s">
        <v>18554</v>
      </c>
      <c r="M8818" s="334">
        <v>10901</v>
      </c>
      <c r="N8818" s="362">
        <f t="shared" si="299"/>
        <v>10901</v>
      </c>
    </row>
    <row r="8819" ht="15" customHeight="1" spans="2:14">
      <c r="B8819" s="334" t="s">
        <v>31</v>
      </c>
      <c r="C8819" s="334" t="s">
        <v>220</v>
      </c>
      <c r="D8819" s="334" t="s">
        <v>954</v>
      </c>
      <c r="E8819" s="336">
        <v>43793</v>
      </c>
      <c r="G8819" s="336">
        <v>43792</v>
      </c>
      <c r="H8819" s="334" t="s">
        <v>16214</v>
      </c>
      <c r="I8819" s="444">
        <v>13560952557</v>
      </c>
      <c r="J8819" s="348" t="s">
        <v>18555</v>
      </c>
      <c r="M8819" s="334">
        <v>5876</v>
      </c>
      <c r="N8819" s="362">
        <f t="shared" si="299"/>
        <v>5876</v>
      </c>
    </row>
    <row r="8820" ht="15" customHeight="1" spans="2:14">
      <c r="B8820" s="334" t="s">
        <v>354</v>
      </c>
      <c r="C8820" s="334" t="s">
        <v>355</v>
      </c>
      <c r="D8820" s="334" t="s">
        <v>162</v>
      </c>
      <c r="E8820" s="336">
        <v>43793</v>
      </c>
      <c r="G8820" s="336">
        <v>43792</v>
      </c>
      <c r="H8820" s="334" t="s">
        <v>9825</v>
      </c>
      <c r="I8820" s="334">
        <v>18168558693</v>
      </c>
      <c r="J8820" s="334" t="s">
        <v>9826</v>
      </c>
      <c r="M8820" s="334">
        <v>680</v>
      </c>
      <c r="N8820" s="362">
        <f t="shared" si="299"/>
        <v>680</v>
      </c>
    </row>
    <row r="8821" ht="15" customHeight="1" spans="2:14">
      <c r="B8821" s="334" t="s">
        <v>137</v>
      </c>
      <c r="C8821" s="334" t="s">
        <v>861</v>
      </c>
      <c r="D8821" s="334" t="s">
        <v>139</v>
      </c>
      <c r="E8821" s="336">
        <v>43793</v>
      </c>
      <c r="G8821" s="336">
        <v>43792</v>
      </c>
      <c r="H8821" s="334" t="s">
        <v>13806</v>
      </c>
      <c r="I8821" s="334">
        <v>13761735615</v>
      </c>
      <c r="J8821" s="334" t="s">
        <v>13807</v>
      </c>
      <c r="M8821" s="334">
        <v>1083</v>
      </c>
      <c r="N8821" s="362">
        <f t="shared" si="299"/>
        <v>1083</v>
      </c>
    </row>
    <row r="8822" ht="15" customHeight="1" spans="2:14">
      <c r="B8822" s="334" t="s">
        <v>66</v>
      </c>
      <c r="C8822" s="334" t="s">
        <v>7029</v>
      </c>
      <c r="D8822" s="334" t="s">
        <v>1436</v>
      </c>
      <c r="E8822" s="336">
        <v>43793</v>
      </c>
      <c r="G8822" s="336">
        <v>43792</v>
      </c>
      <c r="H8822" s="334" t="s">
        <v>13531</v>
      </c>
      <c r="I8822" s="334">
        <v>13817202594</v>
      </c>
      <c r="J8822" s="334" t="s">
        <v>13532</v>
      </c>
      <c r="M8822" s="334">
        <v>2035</v>
      </c>
      <c r="N8822" s="362">
        <f t="shared" si="299"/>
        <v>2035</v>
      </c>
    </row>
    <row r="8823" ht="15" customHeight="1" spans="2:14">
      <c r="B8823" s="334" t="s">
        <v>58</v>
      </c>
      <c r="C8823" s="334" t="s">
        <v>342</v>
      </c>
      <c r="D8823" s="334" t="s">
        <v>343</v>
      </c>
      <c r="E8823" s="336">
        <v>43793</v>
      </c>
      <c r="G8823" s="336">
        <v>43792</v>
      </c>
      <c r="H8823" s="334" t="s">
        <v>14420</v>
      </c>
      <c r="I8823" s="444">
        <v>13641690812</v>
      </c>
      <c r="J8823" s="348" t="s">
        <v>14421</v>
      </c>
      <c r="M8823" s="334">
        <v>2422</v>
      </c>
      <c r="N8823" s="362">
        <f t="shared" si="299"/>
        <v>2422</v>
      </c>
    </row>
    <row r="8824" ht="15" customHeight="1" spans="2:14">
      <c r="B8824" s="334" t="s">
        <v>137</v>
      </c>
      <c r="C8824" s="334" t="s">
        <v>411</v>
      </c>
      <c r="D8824" s="334" t="s">
        <v>139</v>
      </c>
      <c r="E8824" s="336">
        <v>43793</v>
      </c>
      <c r="G8824" s="336">
        <v>43793</v>
      </c>
      <c r="H8824" s="334" t="s">
        <v>6024</v>
      </c>
      <c r="I8824" s="444">
        <v>13916933069</v>
      </c>
      <c r="J8824" s="348" t="s">
        <v>6025</v>
      </c>
      <c r="M8824" s="334">
        <v>10109</v>
      </c>
      <c r="N8824" s="362">
        <f t="shared" si="299"/>
        <v>10109</v>
      </c>
    </row>
    <row r="8825" ht="15" customHeight="1" spans="2:14">
      <c r="B8825" s="334" t="s">
        <v>137</v>
      </c>
      <c r="C8825" s="334" t="s">
        <v>861</v>
      </c>
      <c r="D8825" s="334" t="s">
        <v>139</v>
      </c>
      <c r="E8825" s="336">
        <v>43793</v>
      </c>
      <c r="G8825" s="336">
        <v>43784</v>
      </c>
      <c r="H8825" s="334" t="s">
        <v>5115</v>
      </c>
      <c r="I8825" s="334">
        <v>13913008228</v>
      </c>
      <c r="J8825" s="334" t="s">
        <v>18556</v>
      </c>
      <c r="M8825" s="334">
        <v>2144</v>
      </c>
      <c r="N8825" s="362">
        <f t="shared" si="299"/>
        <v>2144</v>
      </c>
    </row>
    <row r="8826" ht="15" customHeight="1" spans="2:14">
      <c r="B8826" s="334" t="s">
        <v>205</v>
      </c>
      <c r="C8826" s="334" t="s">
        <v>1467</v>
      </c>
      <c r="D8826" s="334" t="s">
        <v>407</v>
      </c>
      <c r="E8826" s="336">
        <v>43793</v>
      </c>
      <c r="G8826" s="336">
        <v>43791</v>
      </c>
      <c r="H8826" s="334" t="s">
        <v>5075</v>
      </c>
      <c r="I8826" s="334">
        <v>15931516009</v>
      </c>
      <c r="J8826" s="334" t="s">
        <v>12222</v>
      </c>
      <c r="M8826" s="334">
        <f>1097+2199</f>
        <v>3296</v>
      </c>
      <c r="N8826" s="362">
        <f t="shared" si="299"/>
        <v>3296</v>
      </c>
    </row>
    <row r="8827" ht="15" customHeight="1" spans="1:14">
      <c r="A8827" s="348" t="s">
        <v>13074</v>
      </c>
      <c r="B8827" s="334" t="s">
        <v>16169</v>
      </c>
      <c r="C8827" s="348" t="s">
        <v>16170</v>
      </c>
      <c r="D8827" s="335" t="s">
        <v>49</v>
      </c>
      <c r="E8827" s="336">
        <v>43794</v>
      </c>
      <c r="F8827" s="336">
        <v>43794</v>
      </c>
      <c r="G8827" s="399" t="s">
        <v>18557</v>
      </c>
      <c r="H8827" s="334" t="s">
        <v>10853</v>
      </c>
      <c r="I8827" s="444">
        <v>18621806518</v>
      </c>
      <c r="J8827" s="348" t="s">
        <v>18558</v>
      </c>
      <c r="K8827" s="452">
        <v>1000</v>
      </c>
      <c r="N8827" s="362">
        <f t="shared" ref="N8827:N8871" si="300">L8827+M8827</f>
        <v>0</v>
      </c>
    </row>
    <row r="8828" ht="15" customHeight="1" spans="1:14">
      <c r="A8828" s="348" t="s">
        <v>13074</v>
      </c>
      <c r="B8828" s="334" t="s">
        <v>16169</v>
      </c>
      <c r="C8828" s="348" t="s">
        <v>16170</v>
      </c>
      <c r="D8828" s="335" t="s">
        <v>49</v>
      </c>
      <c r="E8828" s="336">
        <v>43794</v>
      </c>
      <c r="F8828" s="336">
        <v>43794</v>
      </c>
      <c r="G8828" s="399">
        <v>43794</v>
      </c>
      <c r="H8828" s="334" t="s">
        <v>18559</v>
      </c>
      <c r="I8828" s="444">
        <v>13621664431</v>
      </c>
      <c r="J8828" s="348" t="s">
        <v>18560</v>
      </c>
      <c r="K8828" s="452">
        <v>1000</v>
      </c>
      <c r="L8828" s="334">
        <v>16054</v>
      </c>
      <c r="M8828" s="334">
        <v>1980</v>
      </c>
      <c r="N8828" s="362">
        <f t="shared" si="300"/>
        <v>18034</v>
      </c>
    </row>
    <row r="8829" ht="15" customHeight="1" spans="1:23">
      <c r="A8829" s="348"/>
      <c r="B8829" s="334" t="s">
        <v>2625</v>
      </c>
      <c r="C8829" s="348" t="s">
        <v>2626</v>
      </c>
      <c r="D8829" s="335" t="s">
        <v>44</v>
      </c>
      <c r="E8829" s="336">
        <v>43828</v>
      </c>
      <c r="F8829" s="336">
        <v>43793</v>
      </c>
      <c r="G8829" s="336">
        <v>43828</v>
      </c>
      <c r="H8829" s="334" t="s">
        <v>2054</v>
      </c>
      <c r="I8829" s="444">
        <v>18501603675</v>
      </c>
      <c r="J8829" s="348" t="s">
        <v>18561</v>
      </c>
      <c r="K8829" s="452">
        <v>2000</v>
      </c>
      <c r="L8829" s="334">
        <v>21200</v>
      </c>
      <c r="N8829" s="362">
        <f t="shared" si="300"/>
        <v>21200</v>
      </c>
      <c r="P8829" s="477"/>
      <c r="Q8829" s="477"/>
      <c r="R8829" s="477" t="s">
        <v>4631</v>
      </c>
      <c r="W8829" s="489">
        <v>43826</v>
      </c>
    </row>
    <row r="8830" ht="15" customHeight="1" spans="1:17">
      <c r="A8830" s="550" t="s">
        <v>18562</v>
      </c>
      <c r="B8830" s="334" t="s">
        <v>94</v>
      </c>
      <c r="C8830" s="348" t="s">
        <v>95</v>
      </c>
      <c r="D8830" s="335" t="s">
        <v>49</v>
      </c>
      <c r="E8830" s="336">
        <v>43794</v>
      </c>
      <c r="F8830" s="336">
        <v>43793</v>
      </c>
      <c r="G8830" s="399"/>
      <c r="H8830" s="334" t="s">
        <v>18563</v>
      </c>
      <c r="I8830" s="444">
        <v>15901996706</v>
      </c>
      <c r="J8830" s="348" t="s">
        <v>18564</v>
      </c>
      <c r="K8830" s="452">
        <v>10000</v>
      </c>
      <c r="N8830" s="362">
        <f t="shared" si="300"/>
        <v>0</v>
      </c>
      <c r="Q8830" s="467" t="s">
        <v>52</v>
      </c>
    </row>
    <row r="8831" ht="15" customHeight="1" spans="1:14">
      <c r="A8831" s="348">
        <v>2067569</v>
      </c>
      <c r="B8831" s="334" t="s">
        <v>243</v>
      </c>
      <c r="C8831" s="348" t="s">
        <v>309</v>
      </c>
      <c r="D8831" s="335" t="s">
        <v>49</v>
      </c>
      <c r="E8831" s="336">
        <v>43794</v>
      </c>
      <c r="F8831" s="336">
        <v>43792</v>
      </c>
      <c r="G8831" s="399">
        <v>43792</v>
      </c>
      <c r="H8831" s="334" t="s">
        <v>18565</v>
      </c>
      <c r="I8831" s="444">
        <v>13917531168</v>
      </c>
      <c r="J8831" s="348" t="s">
        <v>18566</v>
      </c>
      <c r="K8831" s="452">
        <v>3000</v>
      </c>
      <c r="L8831" s="334">
        <v>22000</v>
      </c>
      <c r="N8831" s="362">
        <f t="shared" si="300"/>
        <v>22000</v>
      </c>
    </row>
    <row r="8832" ht="15" customHeight="1" spans="1:14">
      <c r="A8832" s="550" t="s">
        <v>18567</v>
      </c>
      <c r="B8832" s="334" t="s">
        <v>137</v>
      </c>
      <c r="C8832" s="348" t="s">
        <v>480</v>
      </c>
      <c r="D8832" s="335" t="s">
        <v>139</v>
      </c>
      <c r="E8832" s="336">
        <v>43794</v>
      </c>
      <c r="F8832" s="336">
        <v>43792</v>
      </c>
      <c r="G8832" s="399">
        <v>43792</v>
      </c>
      <c r="H8832" s="334" t="s">
        <v>18535</v>
      </c>
      <c r="I8832" s="444">
        <v>13801720599</v>
      </c>
      <c r="J8832" s="348" t="s">
        <v>18536</v>
      </c>
      <c r="K8832" s="452">
        <v>22343</v>
      </c>
      <c r="N8832" s="362">
        <f t="shared" si="300"/>
        <v>0</v>
      </c>
    </row>
    <row r="8833" ht="15" customHeight="1" spans="1:14">
      <c r="A8833" s="348"/>
      <c r="B8833" s="334" t="s">
        <v>281</v>
      </c>
      <c r="C8833" s="334" t="s">
        <v>517</v>
      </c>
      <c r="D8833" s="334" t="s">
        <v>518</v>
      </c>
      <c r="E8833" s="336">
        <v>43795</v>
      </c>
      <c r="F8833" s="336">
        <v>43794</v>
      </c>
      <c r="G8833" s="336">
        <v>43793</v>
      </c>
      <c r="H8833" s="334" t="s">
        <v>3002</v>
      </c>
      <c r="I8833" s="444">
        <v>18520646157</v>
      </c>
      <c r="J8833" s="348" t="s">
        <v>18568</v>
      </c>
      <c r="K8833" s="452">
        <v>2000</v>
      </c>
      <c r="L8833" s="334">
        <v>9000</v>
      </c>
      <c r="N8833" s="362">
        <f t="shared" si="300"/>
        <v>9000</v>
      </c>
    </row>
    <row r="8834" ht="15" customHeight="1" spans="1:14">
      <c r="A8834" s="550" t="s">
        <v>18569</v>
      </c>
      <c r="B8834" s="334" t="s">
        <v>359</v>
      </c>
      <c r="C8834" s="348" t="s">
        <v>3018</v>
      </c>
      <c r="D8834" s="335" t="s">
        <v>361</v>
      </c>
      <c r="E8834" s="336">
        <v>43797</v>
      </c>
      <c r="F8834" s="336">
        <v>43794</v>
      </c>
      <c r="G8834" s="336">
        <v>43796</v>
      </c>
      <c r="H8834" s="334" t="s">
        <v>18570</v>
      </c>
      <c r="I8834" s="444">
        <v>13817647005</v>
      </c>
      <c r="J8834" s="348" t="s">
        <v>18571</v>
      </c>
      <c r="K8834" s="452">
        <v>2000</v>
      </c>
      <c r="L8834" s="334">
        <v>7900</v>
      </c>
      <c r="N8834" s="362">
        <f t="shared" si="300"/>
        <v>7900</v>
      </c>
    </row>
    <row r="8835" ht="15" customHeight="1" spans="1:21">
      <c r="A8835" s="550" t="s">
        <v>18048</v>
      </c>
      <c r="B8835" s="334" t="s">
        <v>123</v>
      </c>
      <c r="C8835" s="348" t="s">
        <v>32</v>
      </c>
      <c r="D8835" s="335" t="s">
        <v>125</v>
      </c>
      <c r="E8835" s="336">
        <v>43794</v>
      </c>
      <c r="F8835" s="336">
        <v>43794</v>
      </c>
      <c r="G8835" s="399"/>
      <c r="H8835" s="334" t="s">
        <v>18572</v>
      </c>
      <c r="I8835" s="444">
        <v>15921896322</v>
      </c>
      <c r="J8835" s="348" t="s">
        <v>18573</v>
      </c>
      <c r="K8835" s="452">
        <v>1299</v>
      </c>
      <c r="N8835" s="362">
        <f t="shared" si="300"/>
        <v>0</v>
      </c>
      <c r="U8835" s="353" t="s">
        <v>12</v>
      </c>
    </row>
    <row r="8836" ht="15" customHeight="1" spans="1:14">
      <c r="A8836" s="550" t="s">
        <v>18574</v>
      </c>
      <c r="B8836" s="334" t="s">
        <v>153</v>
      </c>
      <c r="C8836" s="348" t="s">
        <v>154</v>
      </c>
      <c r="D8836" s="334" t="s">
        <v>155</v>
      </c>
      <c r="E8836" s="336">
        <v>43796</v>
      </c>
      <c r="F8836" s="336">
        <v>43794</v>
      </c>
      <c r="G8836" s="336">
        <v>43795</v>
      </c>
      <c r="H8836" s="334" t="s">
        <v>18575</v>
      </c>
      <c r="I8836" s="444">
        <v>13901771928</v>
      </c>
      <c r="J8836" s="348" t="s">
        <v>18576</v>
      </c>
      <c r="K8836" s="452">
        <v>10000</v>
      </c>
      <c r="L8836" s="334">
        <v>19960</v>
      </c>
      <c r="N8836" s="362">
        <f t="shared" si="300"/>
        <v>19960</v>
      </c>
    </row>
    <row r="8837" ht="15" customHeight="1" spans="1:14">
      <c r="A8837" s="550" t="s">
        <v>18577</v>
      </c>
      <c r="B8837" s="334" t="s">
        <v>66</v>
      </c>
      <c r="C8837" s="348" t="s">
        <v>951</v>
      </c>
      <c r="D8837" s="335" t="s">
        <v>68</v>
      </c>
      <c r="E8837" s="336">
        <v>43794</v>
      </c>
      <c r="F8837" s="336">
        <v>43794</v>
      </c>
      <c r="G8837" s="399"/>
      <c r="H8837" s="334" t="s">
        <v>1045</v>
      </c>
      <c r="I8837" s="444"/>
      <c r="J8837" s="348" t="s">
        <v>18578</v>
      </c>
      <c r="K8837" s="452">
        <v>1000</v>
      </c>
      <c r="N8837" s="362">
        <f t="shared" si="300"/>
        <v>0</v>
      </c>
    </row>
    <row r="8838" ht="15" customHeight="1" spans="1:14">
      <c r="A8838" s="348"/>
      <c r="B8838" s="334" t="s">
        <v>726</v>
      </c>
      <c r="C8838" s="348" t="s">
        <v>12699</v>
      </c>
      <c r="D8838" s="334" t="s">
        <v>271</v>
      </c>
      <c r="E8838" s="336">
        <v>43794</v>
      </c>
      <c r="F8838" s="336">
        <v>43751</v>
      </c>
      <c r="G8838" s="399">
        <v>43792</v>
      </c>
      <c r="H8838" s="334" t="s">
        <v>18579</v>
      </c>
      <c r="I8838" s="444">
        <v>13916858355</v>
      </c>
      <c r="J8838" s="348" t="s">
        <v>18580</v>
      </c>
      <c r="K8838" s="452">
        <v>8963</v>
      </c>
      <c r="L8838" s="334">
        <v>10006</v>
      </c>
      <c r="N8838" s="362">
        <f t="shared" si="300"/>
        <v>10006</v>
      </c>
    </row>
    <row r="8839" ht="15" customHeight="1" spans="1:14">
      <c r="A8839" s="550" t="s">
        <v>18581</v>
      </c>
      <c r="B8839" s="334" t="s">
        <v>405</v>
      </c>
      <c r="C8839" s="348" t="s">
        <v>1234</v>
      </c>
      <c r="D8839" s="335" t="s">
        <v>407</v>
      </c>
      <c r="E8839" s="336">
        <v>43812</v>
      </c>
      <c r="F8839" s="336">
        <v>43793</v>
      </c>
      <c r="G8839" s="336">
        <v>43810</v>
      </c>
      <c r="H8839" s="334" t="s">
        <v>18582</v>
      </c>
      <c r="I8839" s="444">
        <v>13127586863</v>
      </c>
      <c r="J8839" s="348" t="s">
        <v>18583</v>
      </c>
      <c r="K8839" s="452">
        <v>3000</v>
      </c>
      <c r="L8839" s="334">
        <v>17082</v>
      </c>
      <c r="N8839" s="362">
        <f t="shared" si="300"/>
        <v>17082</v>
      </c>
    </row>
    <row r="8840" ht="15" customHeight="1" spans="1:15">
      <c r="A8840" s="348">
        <v>5658517</v>
      </c>
      <c r="B8840" s="348" t="s">
        <v>5336</v>
      </c>
      <c r="C8840" s="348" t="s">
        <v>5336</v>
      </c>
      <c r="D8840" s="335" t="s">
        <v>8334</v>
      </c>
      <c r="E8840" s="336">
        <v>43794</v>
      </c>
      <c r="F8840" s="336">
        <v>43794</v>
      </c>
      <c r="G8840" s="399"/>
      <c r="H8840" s="334" t="s">
        <v>18584</v>
      </c>
      <c r="I8840" s="444">
        <v>18616309506</v>
      </c>
      <c r="J8840" s="348" t="s">
        <v>18585</v>
      </c>
      <c r="K8840" s="452">
        <v>6905</v>
      </c>
      <c r="N8840" s="362">
        <f t="shared" si="300"/>
        <v>0</v>
      </c>
      <c r="O8840" s="353" t="s">
        <v>52</v>
      </c>
    </row>
    <row r="8841" ht="15" customHeight="1" spans="1:14">
      <c r="A8841" s="348">
        <v>5587629</v>
      </c>
      <c r="B8841" s="348" t="s">
        <v>5336</v>
      </c>
      <c r="C8841" s="348" t="s">
        <v>5336</v>
      </c>
      <c r="D8841" s="335" t="s">
        <v>8334</v>
      </c>
      <c r="E8841" s="336">
        <v>43817</v>
      </c>
      <c r="F8841" s="336">
        <v>43794</v>
      </c>
      <c r="G8841" s="336">
        <v>43815</v>
      </c>
      <c r="H8841" s="334" t="s">
        <v>18586</v>
      </c>
      <c r="I8841" s="444">
        <v>13916217314</v>
      </c>
      <c r="J8841" s="348" t="s">
        <v>18587</v>
      </c>
      <c r="K8841" s="452">
        <v>7802</v>
      </c>
      <c r="L8841" s="334">
        <v>14258</v>
      </c>
      <c r="N8841" s="362">
        <f t="shared" si="300"/>
        <v>14258</v>
      </c>
    </row>
    <row r="8842" ht="15" customHeight="1" spans="1:15">
      <c r="A8842" s="348">
        <v>5669812</v>
      </c>
      <c r="B8842" s="348" t="s">
        <v>5336</v>
      </c>
      <c r="C8842" s="348" t="s">
        <v>5336</v>
      </c>
      <c r="D8842" s="335" t="s">
        <v>8334</v>
      </c>
      <c r="E8842" s="336">
        <v>43830</v>
      </c>
      <c r="F8842" s="336">
        <v>43794</v>
      </c>
      <c r="G8842" s="336">
        <v>43805</v>
      </c>
      <c r="H8842" s="334" t="s">
        <v>18588</v>
      </c>
      <c r="I8842" s="444">
        <v>18321303967</v>
      </c>
      <c r="J8842" s="348" t="s">
        <v>18589</v>
      </c>
      <c r="K8842" s="452">
        <v>7475</v>
      </c>
      <c r="L8842" s="334">
        <v>4876</v>
      </c>
      <c r="N8842" s="362">
        <f t="shared" si="300"/>
        <v>4876</v>
      </c>
      <c r="O8842" s="353" t="s">
        <v>52</v>
      </c>
    </row>
    <row r="8843" ht="15" customHeight="1" spans="1:14">
      <c r="A8843" s="348">
        <v>5599745</v>
      </c>
      <c r="B8843" s="348" t="s">
        <v>5336</v>
      </c>
      <c r="C8843" s="348" t="s">
        <v>5336</v>
      </c>
      <c r="D8843" s="335" t="s">
        <v>8334</v>
      </c>
      <c r="E8843" s="336">
        <v>43799</v>
      </c>
      <c r="F8843" s="336">
        <v>43794</v>
      </c>
      <c r="G8843" s="336">
        <v>43799</v>
      </c>
      <c r="H8843" s="334" t="s">
        <v>18590</v>
      </c>
      <c r="I8843" s="444">
        <v>17317588062</v>
      </c>
      <c r="J8843" s="348" t="s">
        <v>18591</v>
      </c>
      <c r="K8843" s="452">
        <v>11179</v>
      </c>
      <c r="L8843" s="334">
        <v>11179</v>
      </c>
      <c r="N8843" s="362">
        <f t="shared" si="300"/>
        <v>11179</v>
      </c>
    </row>
    <row r="8844" ht="15" customHeight="1" spans="1:14">
      <c r="A8844" s="348">
        <v>5649631</v>
      </c>
      <c r="B8844" s="348" t="s">
        <v>5336</v>
      </c>
      <c r="C8844" s="348" t="s">
        <v>5336</v>
      </c>
      <c r="D8844" s="335" t="s">
        <v>8334</v>
      </c>
      <c r="E8844" s="336">
        <v>43810</v>
      </c>
      <c r="F8844" s="336">
        <v>43794</v>
      </c>
      <c r="G8844" s="336">
        <v>43810</v>
      </c>
      <c r="H8844" s="334" t="s">
        <v>18592</v>
      </c>
      <c r="I8844" s="444">
        <v>13003157588</v>
      </c>
      <c r="J8844" s="348" t="s">
        <v>18593</v>
      </c>
      <c r="K8844" s="452">
        <v>3514</v>
      </c>
      <c r="L8844" s="334">
        <v>7331</v>
      </c>
      <c r="N8844" s="362">
        <f t="shared" si="300"/>
        <v>7331</v>
      </c>
    </row>
    <row r="8845" ht="15" customHeight="1" spans="1:15">
      <c r="A8845" s="348">
        <v>5599745</v>
      </c>
      <c r="B8845" s="348" t="s">
        <v>5336</v>
      </c>
      <c r="C8845" s="348" t="s">
        <v>5336</v>
      </c>
      <c r="D8845" s="335" t="s">
        <v>8334</v>
      </c>
      <c r="E8845" s="336">
        <v>43830</v>
      </c>
      <c r="F8845" s="336">
        <v>43794</v>
      </c>
      <c r="G8845" s="336">
        <v>43830</v>
      </c>
      <c r="H8845" s="334" t="s">
        <v>18594</v>
      </c>
      <c r="I8845" s="444">
        <v>18621978372</v>
      </c>
      <c r="J8845" s="348" t="s">
        <v>18595</v>
      </c>
      <c r="K8845" s="452">
        <v>6751</v>
      </c>
      <c r="L8845" s="334">
        <v>7629</v>
      </c>
      <c r="N8845" s="362">
        <f t="shared" si="300"/>
        <v>7629</v>
      </c>
      <c r="O8845" s="353" t="s">
        <v>52</v>
      </c>
    </row>
    <row r="8846" ht="15" customHeight="1" spans="1:14">
      <c r="A8846" s="348">
        <v>5705015</v>
      </c>
      <c r="B8846" s="348" t="s">
        <v>5336</v>
      </c>
      <c r="C8846" s="348" t="s">
        <v>5336</v>
      </c>
      <c r="D8846" s="335" t="s">
        <v>8334</v>
      </c>
      <c r="E8846" s="336">
        <v>43819</v>
      </c>
      <c r="F8846" s="336">
        <v>43794</v>
      </c>
      <c r="G8846" s="336">
        <v>43819</v>
      </c>
      <c r="H8846" s="334" t="s">
        <v>18596</v>
      </c>
      <c r="I8846" s="444">
        <v>13764033725</v>
      </c>
      <c r="J8846" s="348" t="s">
        <v>18597</v>
      </c>
      <c r="K8846" s="452">
        <v>5394</v>
      </c>
      <c r="L8846" s="334">
        <v>4971</v>
      </c>
      <c r="N8846" s="362">
        <f t="shared" si="300"/>
        <v>4971</v>
      </c>
    </row>
    <row r="8847" ht="15" customHeight="1" spans="1:15">
      <c r="A8847" s="348">
        <v>5599793</v>
      </c>
      <c r="B8847" s="348" t="s">
        <v>5336</v>
      </c>
      <c r="C8847" s="348" t="s">
        <v>5336</v>
      </c>
      <c r="D8847" s="335" t="s">
        <v>8334</v>
      </c>
      <c r="E8847" s="336">
        <v>43794</v>
      </c>
      <c r="F8847" s="336">
        <v>43794</v>
      </c>
      <c r="G8847" s="399"/>
      <c r="H8847" s="334" t="s">
        <v>18598</v>
      </c>
      <c r="I8847" s="444" t="s">
        <v>18599</v>
      </c>
      <c r="J8847" s="348" t="s">
        <v>18600</v>
      </c>
      <c r="K8847" s="452">
        <v>2442</v>
      </c>
      <c r="N8847" s="362">
        <f t="shared" si="300"/>
        <v>0</v>
      </c>
      <c r="O8847" s="353" t="s">
        <v>52</v>
      </c>
    </row>
    <row r="8848" ht="15" customHeight="1" spans="1:14">
      <c r="A8848" s="348">
        <v>5706190</v>
      </c>
      <c r="B8848" s="348" t="s">
        <v>5336</v>
      </c>
      <c r="C8848" s="348" t="s">
        <v>5336</v>
      </c>
      <c r="D8848" s="334" t="s">
        <v>8334</v>
      </c>
      <c r="E8848" s="336">
        <v>43796</v>
      </c>
      <c r="F8848" s="336">
        <v>43794</v>
      </c>
      <c r="G8848" s="336">
        <v>43794</v>
      </c>
      <c r="H8848" s="334" t="s">
        <v>18601</v>
      </c>
      <c r="I8848" s="444">
        <v>13817064264</v>
      </c>
      <c r="J8848" s="348" t="s">
        <v>18602</v>
      </c>
      <c r="K8848" s="452">
        <v>9396</v>
      </c>
      <c r="L8848" s="334">
        <v>9692</v>
      </c>
      <c r="N8848" s="362">
        <f t="shared" si="300"/>
        <v>9692</v>
      </c>
    </row>
    <row r="8849" ht="15" customHeight="1" spans="1:14">
      <c r="A8849" s="348">
        <v>5616210</v>
      </c>
      <c r="B8849" s="348" t="s">
        <v>5336</v>
      </c>
      <c r="C8849" s="348" t="s">
        <v>5336</v>
      </c>
      <c r="D8849" s="335" t="s">
        <v>8334</v>
      </c>
      <c r="E8849" s="336">
        <v>43815</v>
      </c>
      <c r="F8849" s="336">
        <v>43794</v>
      </c>
      <c r="G8849" s="336">
        <v>43802</v>
      </c>
      <c r="H8849" s="334" t="s">
        <v>18603</v>
      </c>
      <c r="I8849" s="555" t="s">
        <v>18604</v>
      </c>
      <c r="J8849" s="348" t="s">
        <v>18605</v>
      </c>
      <c r="K8849" s="452">
        <v>9292</v>
      </c>
      <c r="L8849" s="334">
        <v>10550</v>
      </c>
      <c r="N8849" s="362">
        <f t="shared" si="300"/>
        <v>10550</v>
      </c>
    </row>
    <row r="8850" ht="15" customHeight="1" spans="1:15">
      <c r="A8850" s="348">
        <v>5644135</v>
      </c>
      <c r="B8850" s="348" t="s">
        <v>5336</v>
      </c>
      <c r="C8850" s="348" t="s">
        <v>5336</v>
      </c>
      <c r="D8850" s="335" t="s">
        <v>8334</v>
      </c>
      <c r="E8850" s="336">
        <v>43794</v>
      </c>
      <c r="F8850" s="336">
        <v>43794</v>
      </c>
      <c r="G8850" s="399"/>
      <c r="H8850" s="334" t="s">
        <v>18606</v>
      </c>
      <c r="I8850" s="444">
        <v>13621676573</v>
      </c>
      <c r="J8850" s="348" t="s">
        <v>18607</v>
      </c>
      <c r="K8850" s="452">
        <v>9372</v>
      </c>
      <c r="N8850" s="362">
        <f t="shared" si="300"/>
        <v>0</v>
      </c>
      <c r="O8850" s="353" t="s">
        <v>52</v>
      </c>
    </row>
    <row r="8851" ht="15" customHeight="1" spans="1:14">
      <c r="A8851" s="348">
        <v>5705579</v>
      </c>
      <c r="B8851" s="348" t="s">
        <v>5336</v>
      </c>
      <c r="C8851" s="348" t="s">
        <v>5336</v>
      </c>
      <c r="D8851" s="335" t="s">
        <v>8334</v>
      </c>
      <c r="E8851" s="336">
        <v>43818</v>
      </c>
      <c r="F8851" s="336">
        <v>43794</v>
      </c>
      <c r="G8851" s="336">
        <v>43818</v>
      </c>
      <c r="H8851" s="334" t="s">
        <v>18608</v>
      </c>
      <c r="I8851" s="444">
        <v>13661987800</v>
      </c>
      <c r="J8851" s="348" t="s">
        <v>18609</v>
      </c>
      <c r="K8851" s="452">
        <v>2510</v>
      </c>
      <c r="L8851" s="334">
        <v>3800</v>
      </c>
      <c r="N8851" s="362">
        <f t="shared" si="300"/>
        <v>3800</v>
      </c>
    </row>
    <row r="8852" ht="15" customHeight="1" spans="1:14">
      <c r="A8852" s="550" t="s">
        <v>18610</v>
      </c>
      <c r="B8852" s="334" t="s">
        <v>236</v>
      </c>
      <c r="C8852" s="348" t="s">
        <v>195</v>
      </c>
      <c r="D8852" s="334" t="s">
        <v>207</v>
      </c>
      <c r="E8852" s="336">
        <v>43794</v>
      </c>
      <c r="F8852" s="336">
        <v>43793</v>
      </c>
      <c r="G8852" s="336">
        <v>43793</v>
      </c>
      <c r="H8852" s="334" t="s">
        <v>18611</v>
      </c>
      <c r="I8852" s="444">
        <v>18221682791</v>
      </c>
      <c r="J8852" s="348" t="s">
        <v>18612</v>
      </c>
      <c r="K8852" s="452">
        <v>35000</v>
      </c>
      <c r="L8852" s="334">
        <v>35000</v>
      </c>
      <c r="N8852" s="362">
        <f t="shared" si="300"/>
        <v>35000</v>
      </c>
    </row>
    <row r="8853" ht="15" customHeight="1" spans="1:14">
      <c r="A8853" s="550" t="s">
        <v>18613</v>
      </c>
      <c r="B8853" s="334" t="s">
        <v>236</v>
      </c>
      <c r="C8853" s="348" t="s">
        <v>195</v>
      </c>
      <c r="D8853" s="334" t="s">
        <v>207</v>
      </c>
      <c r="E8853" s="336">
        <v>43794</v>
      </c>
      <c r="F8853" s="336">
        <v>43793</v>
      </c>
      <c r="G8853" s="336">
        <v>43794</v>
      </c>
      <c r="H8853" s="334" t="s">
        <v>18614</v>
      </c>
      <c r="I8853" s="444">
        <v>18017004783</v>
      </c>
      <c r="J8853" s="348" t="s">
        <v>18615</v>
      </c>
      <c r="K8853" s="452">
        <v>9324</v>
      </c>
      <c r="L8853" s="334">
        <v>9324</v>
      </c>
      <c r="N8853" s="362">
        <f t="shared" si="300"/>
        <v>9324</v>
      </c>
    </row>
    <row r="8854" customHeight="1" spans="1:15">
      <c r="A8854" s="550" t="s">
        <v>18616</v>
      </c>
      <c r="B8854" s="334" t="s">
        <v>236</v>
      </c>
      <c r="C8854" s="348" t="s">
        <v>703</v>
      </c>
      <c r="D8854" s="335" t="s">
        <v>237</v>
      </c>
      <c r="E8854" s="336">
        <v>43794</v>
      </c>
      <c r="F8854" s="336">
        <v>43793</v>
      </c>
      <c r="G8854" s="399"/>
      <c r="H8854" s="334" t="s">
        <v>18617</v>
      </c>
      <c r="I8854" s="444">
        <v>13671597912</v>
      </c>
      <c r="J8854" s="348" t="s">
        <v>18618</v>
      </c>
      <c r="K8854" s="452">
        <v>1000</v>
      </c>
      <c r="N8854" s="362">
        <f t="shared" si="300"/>
        <v>0</v>
      </c>
      <c r="O8854" s="353" t="s">
        <v>4314</v>
      </c>
    </row>
    <row r="8855" customHeight="1" spans="1:16">
      <c r="A8855" s="550" t="s">
        <v>18619</v>
      </c>
      <c r="B8855" s="334" t="s">
        <v>236</v>
      </c>
      <c r="C8855" s="348" t="s">
        <v>703</v>
      </c>
      <c r="D8855" s="334" t="s">
        <v>207</v>
      </c>
      <c r="E8855" s="336">
        <v>43829</v>
      </c>
      <c r="F8855" s="336">
        <v>43793</v>
      </c>
      <c r="G8855" s="336">
        <v>43827</v>
      </c>
      <c r="H8855" s="334" t="s">
        <v>18620</v>
      </c>
      <c r="I8855" s="444">
        <v>19921676835</v>
      </c>
      <c r="J8855" s="348" t="s">
        <v>18621</v>
      </c>
      <c r="K8855" s="452">
        <v>6800</v>
      </c>
      <c r="L8855" s="334">
        <v>6800</v>
      </c>
      <c r="N8855" s="362">
        <f t="shared" si="300"/>
        <v>6800</v>
      </c>
      <c r="P8855" s="356" t="s">
        <v>52</v>
      </c>
    </row>
    <row r="8856" ht="15" customHeight="1" spans="1:14">
      <c r="A8856" s="550" t="s">
        <v>11941</v>
      </c>
      <c r="B8856" s="334" t="s">
        <v>137</v>
      </c>
      <c r="C8856" s="348" t="s">
        <v>138</v>
      </c>
      <c r="D8856" s="334" t="s">
        <v>443</v>
      </c>
      <c r="E8856" s="336">
        <v>43796</v>
      </c>
      <c r="F8856" s="336">
        <v>43793</v>
      </c>
      <c r="G8856" s="336">
        <v>43795</v>
      </c>
      <c r="H8856" s="334" t="s">
        <v>18622</v>
      </c>
      <c r="I8856" s="444">
        <v>18221538093</v>
      </c>
      <c r="J8856" s="348" t="s">
        <v>18623</v>
      </c>
      <c r="K8856" s="452">
        <v>1000</v>
      </c>
      <c r="L8856" s="334">
        <v>4162</v>
      </c>
      <c r="N8856" s="362">
        <f t="shared" si="300"/>
        <v>4162</v>
      </c>
    </row>
    <row r="8857" ht="15" customHeight="1" spans="1:14">
      <c r="A8857" s="550" t="s">
        <v>4600</v>
      </c>
      <c r="B8857" s="334" t="s">
        <v>58</v>
      </c>
      <c r="C8857" s="348" t="s">
        <v>347</v>
      </c>
      <c r="D8857" s="334" t="s">
        <v>271</v>
      </c>
      <c r="E8857" s="336">
        <v>43799</v>
      </c>
      <c r="F8857" s="336">
        <v>43793</v>
      </c>
      <c r="G8857" s="336">
        <v>43793</v>
      </c>
      <c r="H8857" s="334" t="s">
        <v>18624</v>
      </c>
      <c r="I8857" s="444">
        <v>13814571163</v>
      </c>
      <c r="J8857" s="348" t="s">
        <v>18625</v>
      </c>
      <c r="K8857" s="452">
        <v>25892</v>
      </c>
      <c r="L8857" s="334">
        <v>25892</v>
      </c>
      <c r="N8857" s="362">
        <f t="shared" si="300"/>
        <v>25892</v>
      </c>
    </row>
    <row r="8858" ht="15" customHeight="1" spans="1:14">
      <c r="A8858" s="550" t="s">
        <v>18626</v>
      </c>
      <c r="B8858" s="334" t="s">
        <v>58</v>
      </c>
      <c r="C8858" s="348" t="s">
        <v>347</v>
      </c>
      <c r="D8858" s="334" t="s">
        <v>44</v>
      </c>
      <c r="E8858" s="336">
        <v>43797</v>
      </c>
      <c r="F8858" s="336">
        <v>43793</v>
      </c>
      <c r="G8858" s="336">
        <v>43795</v>
      </c>
      <c r="H8858" s="334" t="s">
        <v>18627</v>
      </c>
      <c r="I8858" s="444">
        <v>13914570612</v>
      </c>
      <c r="J8858" s="348" t="s">
        <v>18628</v>
      </c>
      <c r="K8858" s="452">
        <v>20000</v>
      </c>
      <c r="L8858" s="334">
        <v>25584</v>
      </c>
      <c r="N8858" s="362">
        <f t="shared" si="300"/>
        <v>25584</v>
      </c>
    </row>
    <row r="8859" ht="15" customHeight="1" spans="1:14">
      <c r="A8859" s="550" t="s">
        <v>2497</v>
      </c>
      <c r="B8859" s="334" t="s">
        <v>169</v>
      </c>
      <c r="C8859" s="348" t="s">
        <v>634</v>
      </c>
      <c r="D8859" s="335" t="s">
        <v>635</v>
      </c>
      <c r="E8859" s="336">
        <v>43797</v>
      </c>
      <c r="F8859" s="336">
        <v>43793</v>
      </c>
      <c r="G8859" s="336">
        <v>43797</v>
      </c>
      <c r="H8859" s="334" t="s">
        <v>18629</v>
      </c>
      <c r="I8859" s="444">
        <v>18616337786</v>
      </c>
      <c r="J8859" s="348" t="s">
        <v>18630</v>
      </c>
      <c r="K8859" s="452">
        <v>4000</v>
      </c>
      <c r="L8859" s="334">
        <v>8541</v>
      </c>
      <c r="N8859" s="362">
        <f t="shared" si="300"/>
        <v>8541</v>
      </c>
    </row>
    <row r="8860" ht="15" customHeight="1" spans="1:14">
      <c r="A8860" s="550" t="s">
        <v>18631</v>
      </c>
      <c r="B8860" s="334" t="s">
        <v>66</v>
      </c>
      <c r="C8860" s="348" t="s">
        <v>1749</v>
      </c>
      <c r="D8860" s="334" t="s">
        <v>2302</v>
      </c>
      <c r="E8860" s="336">
        <v>43794</v>
      </c>
      <c r="F8860" s="336">
        <v>43793</v>
      </c>
      <c r="G8860" s="336">
        <v>43794</v>
      </c>
      <c r="H8860" s="334" t="s">
        <v>18632</v>
      </c>
      <c r="I8860" s="444">
        <v>13386283233</v>
      </c>
      <c r="J8860" s="348" t="s">
        <v>18633</v>
      </c>
      <c r="K8860" s="452">
        <v>10664</v>
      </c>
      <c r="L8860" s="334">
        <v>10664</v>
      </c>
      <c r="N8860" s="362">
        <f t="shared" si="300"/>
        <v>10664</v>
      </c>
    </row>
    <row r="8861" ht="15" customHeight="1" spans="1:14">
      <c r="A8861" s="550" t="s">
        <v>11126</v>
      </c>
      <c r="B8861" s="334" t="s">
        <v>169</v>
      </c>
      <c r="C8861" s="348" t="s">
        <v>542</v>
      </c>
      <c r="D8861" s="335" t="s">
        <v>171</v>
      </c>
      <c r="E8861" s="336">
        <v>43796</v>
      </c>
      <c r="F8861" s="336">
        <v>43793</v>
      </c>
      <c r="G8861" s="336">
        <v>43795</v>
      </c>
      <c r="H8861" s="334" t="s">
        <v>3643</v>
      </c>
      <c r="I8861" s="444">
        <v>13020159864</v>
      </c>
      <c r="J8861" s="348" t="s">
        <v>18634</v>
      </c>
      <c r="K8861" s="452">
        <v>1000</v>
      </c>
      <c r="L8861" s="334">
        <v>12800</v>
      </c>
      <c r="N8861" s="362">
        <f t="shared" si="300"/>
        <v>12800</v>
      </c>
    </row>
    <row r="8862" ht="15" customHeight="1" spans="1:28">
      <c r="A8862" s="550" t="s">
        <v>18635</v>
      </c>
      <c r="B8862" s="334" t="s">
        <v>73</v>
      </c>
      <c r="C8862" s="348" t="s">
        <v>178</v>
      </c>
      <c r="D8862" s="335" t="s">
        <v>75</v>
      </c>
      <c r="E8862" s="336">
        <v>43794</v>
      </c>
      <c r="F8862" s="336">
        <v>43794</v>
      </c>
      <c r="G8862" s="399"/>
      <c r="H8862" s="334" t="s">
        <v>9717</v>
      </c>
      <c r="I8862" s="444">
        <v>13585961009</v>
      </c>
      <c r="J8862" s="348" t="s">
        <v>18636</v>
      </c>
      <c r="K8862" s="452">
        <v>1000</v>
      </c>
      <c r="L8862" s="331"/>
      <c r="M8862" s="331"/>
      <c r="N8862" s="362">
        <f t="shared" si="300"/>
        <v>0</v>
      </c>
      <c r="O8862" s="366" t="s">
        <v>52</v>
      </c>
      <c r="P8862" s="331"/>
      <c r="Q8862" s="331"/>
      <c r="R8862" s="331"/>
      <c r="S8862" s="331"/>
      <c r="T8862" s="331"/>
      <c r="U8862" s="331"/>
      <c r="V8862" s="331"/>
      <c r="W8862" s="331"/>
      <c r="X8862" s="331"/>
      <c r="Y8862" s="331"/>
      <c r="Z8862" s="331"/>
      <c r="AA8862" s="331"/>
      <c r="AB8862" s="331"/>
    </row>
    <row r="8863" ht="15" customHeight="1" spans="1:15">
      <c r="A8863" s="550" t="s">
        <v>18637</v>
      </c>
      <c r="B8863" s="334" t="s">
        <v>73</v>
      </c>
      <c r="C8863" s="348" t="s">
        <v>74</v>
      </c>
      <c r="D8863" s="335" t="s">
        <v>75</v>
      </c>
      <c r="E8863" s="336">
        <v>43796</v>
      </c>
      <c r="F8863" s="336">
        <v>43796</v>
      </c>
      <c r="G8863" s="399"/>
      <c r="H8863" s="334" t="s">
        <v>18638</v>
      </c>
      <c r="I8863" s="444">
        <v>18621500628</v>
      </c>
      <c r="J8863" s="348" t="s">
        <v>18639</v>
      </c>
      <c r="K8863" s="452">
        <v>1000</v>
      </c>
      <c r="N8863" s="362">
        <f t="shared" si="300"/>
        <v>0</v>
      </c>
      <c r="O8863" s="366" t="s">
        <v>52</v>
      </c>
    </row>
    <row r="8864" ht="15" customHeight="1" spans="1:15">
      <c r="A8864" s="505" t="s">
        <v>18640</v>
      </c>
      <c r="B8864" s="334" t="s">
        <v>169</v>
      </c>
      <c r="C8864" s="348" t="s">
        <v>542</v>
      </c>
      <c r="D8864" s="335" t="s">
        <v>171</v>
      </c>
      <c r="E8864" s="336">
        <v>43829</v>
      </c>
      <c r="F8864" s="336">
        <v>43794</v>
      </c>
      <c r="G8864" s="336">
        <v>43829</v>
      </c>
      <c r="H8864" s="334" t="s">
        <v>18641</v>
      </c>
      <c r="I8864" s="444">
        <v>13761077338</v>
      </c>
      <c r="J8864" s="348" t="s">
        <v>18642</v>
      </c>
      <c r="K8864" s="452">
        <f>18900+1000</f>
        <v>19900</v>
      </c>
      <c r="L8864" s="334">
        <v>19900</v>
      </c>
      <c r="N8864" s="362">
        <f t="shared" si="300"/>
        <v>19900</v>
      </c>
      <c r="O8864" s="356" t="s">
        <v>18643</v>
      </c>
    </row>
    <row r="8865" ht="15" customHeight="1" spans="1:14">
      <c r="A8865" s="348"/>
      <c r="B8865" s="348" t="s">
        <v>5336</v>
      </c>
      <c r="C8865" s="348" t="s">
        <v>5336</v>
      </c>
      <c r="D8865" s="335" t="s">
        <v>8334</v>
      </c>
      <c r="E8865" s="336">
        <v>43822</v>
      </c>
      <c r="F8865" s="336">
        <v>43794</v>
      </c>
      <c r="G8865" s="336">
        <v>43822</v>
      </c>
      <c r="H8865" s="334" t="s">
        <v>18644</v>
      </c>
      <c r="I8865" s="444">
        <v>13701856649</v>
      </c>
      <c r="J8865" s="348" t="s">
        <v>18645</v>
      </c>
      <c r="K8865" s="452">
        <v>6133</v>
      </c>
      <c r="L8865" s="334">
        <v>9181</v>
      </c>
      <c r="N8865" s="362">
        <f t="shared" si="300"/>
        <v>9181</v>
      </c>
    </row>
    <row r="8866" ht="15" customHeight="1" spans="1:14">
      <c r="A8866" s="550" t="s">
        <v>18646</v>
      </c>
      <c r="B8866" s="334" t="s">
        <v>315</v>
      </c>
      <c r="C8866" s="348" t="s">
        <v>366</v>
      </c>
      <c r="D8866" s="334" t="s">
        <v>132</v>
      </c>
      <c r="E8866" s="336">
        <v>43794</v>
      </c>
      <c r="F8866" s="336">
        <v>43794</v>
      </c>
      <c r="G8866" s="399">
        <v>43794</v>
      </c>
      <c r="H8866" s="334" t="s">
        <v>18647</v>
      </c>
      <c r="I8866" s="444">
        <v>18993098441</v>
      </c>
      <c r="J8866" s="348" t="s">
        <v>18648</v>
      </c>
      <c r="K8866" s="452">
        <v>5950</v>
      </c>
      <c r="L8866" s="334">
        <v>5950</v>
      </c>
      <c r="N8866" s="362">
        <f t="shared" si="300"/>
        <v>5950</v>
      </c>
    </row>
    <row r="8867" ht="15" customHeight="1" spans="1:14">
      <c r="A8867" s="550" t="s">
        <v>11922</v>
      </c>
      <c r="B8867" s="334" t="s">
        <v>137</v>
      </c>
      <c r="C8867" s="348" t="s">
        <v>2705</v>
      </c>
      <c r="D8867" s="334" t="s">
        <v>2381</v>
      </c>
      <c r="E8867" s="336">
        <v>43795</v>
      </c>
      <c r="F8867" s="336">
        <v>43780</v>
      </c>
      <c r="G8867" s="336">
        <v>43794</v>
      </c>
      <c r="H8867" s="334" t="s">
        <v>18649</v>
      </c>
      <c r="I8867" s="444">
        <v>15221284467</v>
      </c>
      <c r="J8867" s="348" t="s">
        <v>18650</v>
      </c>
      <c r="K8867" s="452">
        <v>2898</v>
      </c>
      <c r="L8867" s="334">
        <v>12020</v>
      </c>
      <c r="N8867" s="362">
        <f t="shared" si="300"/>
        <v>12020</v>
      </c>
    </row>
    <row r="8868" ht="15" customHeight="1" spans="1:15">
      <c r="A8868" s="550" t="s">
        <v>1366</v>
      </c>
      <c r="B8868" s="334" t="s">
        <v>726</v>
      </c>
      <c r="C8868" s="334" t="s">
        <v>12699</v>
      </c>
      <c r="D8868" s="334" t="s">
        <v>271</v>
      </c>
      <c r="E8868" s="336">
        <v>43829</v>
      </c>
      <c r="F8868" s="336">
        <v>43793</v>
      </c>
      <c r="G8868" s="336">
        <v>43829</v>
      </c>
      <c r="H8868" s="334" t="s">
        <v>18503</v>
      </c>
      <c r="I8868" s="444">
        <v>13917466137</v>
      </c>
      <c r="J8868" s="348" t="s">
        <v>18651</v>
      </c>
      <c r="K8868" s="452">
        <v>1000</v>
      </c>
      <c r="L8868" s="334">
        <v>9728</v>
      </c>
      <c r="N8868" s="362">
        <f t="shared" si="300"/>
        <v>9728</v>
      </c>
      <c r="O8868" s="353" t="s">
        <v>19</v>
      </c>
    </row>
    <row r="8869" ht="15" customHeight="1" spans="1:15">
      <c r="A8869" s="550" t="s">
        <v>17422</v>
      </c>
      <c r="B8869" s="334" t="s">
        <v>726</v>
      </c>
      <c r="C8869" s="334" t="s">
        <v>12699</v>
      </c>
      <c r="D8869" s="334" t="s">
        <v>271</v>
      </c>
      <c r="E8869" s="336">
        <v>43829</v>
      </c>
      <c r="F8869" s="336">
        <v>43793</v>
      </c>
      <c r="G8869" s="336">
        <v>43829</v>
      </c>
      <c r="H8869" s="334" t="s">
        <v>18503</v>
      </c>
      <c r="I8869" s="444">
        <v>13917466137</v>
      </c>
      <c r="J8869" s="348" t="s">
        <v>18652</v>
      </c>
      <c r="K8869" s="452">
        <v>1000</v>
      </c>
      <c r="L8869" s="334">
        <v>5763</v>
      </c>
      <c r="N8869" s="362">
        <f t="shared" si="300"/>
        <v>5763</v>
      </c>
      <c r="O8869" s="353" t="s">
        <v>19</v>
      </c>
    </row>
    <row r="8870" ht="15" customHeight="1" spans="1:15">
      <c r="A8870" s="550" t="s">
        <v>17275</v>
      </c>
      <c r="B8870" s="334" t="s">
        <v>726</v>
      </c>
      <c r="C8870" s="334" t="s">
        <v>12699</v>
      </c>
      <c r="D8870" s="334" t="s">
        <v>271</v>
      </c>
      <c r="E8870" s="336">
        <v>43829</v>
      </c>
      <c r="F8870" s="336">
        <v>43793</v>
      </c>
      <c r="G8870" s="336">
        <v>43829</v>
      </c>
      <c r="H8870" s="334" t="s">
        <v>18503</v>
      </c>
      <c r="I8870" s="444">
        <v>13917466137</v>
      </c>
      <c r="J8870" s="348" t="s">
        <v>18653</v>
      </c>
      <c r="K8870" s="452">
        <v>1000</v>
      </c>
      <c r="L8870" s="334">
        <v>5763</v>
      </c>
      <c r="N8870" s="362">
        <f t="shared" si="300"/>
        <v>5763</v>
      </c>
      <c r="O8870" s="353" t="s">
        <v>19</v>
      </c>
    </row>
    <row r="8871" ht="15" customHeight="1" spans="1:14">
      <c r="A8871" s="550" t="s">
        <v>12130</v>
      </c>
      <c r="B8871" s="334" t="s">
        <v>335</v>
      </c>
      <c r="C8871" s="348" t="s">
        <v>148</v>
      </c>
      <c r="D8871" s="334" t="s">
        <v>337</v>
      </c>
      <c r="E8871" s="336">
        <v>43794</v>
      </c>
      <c r="F8871" s="336">
        <v>43785</v>
      </c>
      <c r="G8871" s="399">
        <v>43793</v>
      </c>
      <c r="H8871" s="334" t="s">
        <v>18654</v>
      </c>
      <c r="I8871" s="444">
        <v>15601633455</v>
      </c>
      <c r="J8871" s="348" t="s">
        <v>18655</v>
      </c>
      <c r="K8871" s="452">
        <v>1000</v>
      </c>
      <c r="L8871" s="334">
        <v>6178</v>
      </c>
      <c r="N8871" s="362">
        <f t="shared" si="300"/>
        <v>6178</v>
      </c>
    </row>
    <row r="8872" ht="15" customHeight="1" spans="2:14">
      <c r="B8872" s="334" t="s">
        <v>42</v>
      </c>
      <c r="C8872" s="334" t="s">
        <v>43</v>
      </c>
      <c r="D8872" s="334" t="s">
        <v>207</v>
      </c>
      <c r="E8872" s="336">
        <v>43794</v>
      </c>
      <c r="G8872" s="336">
        <v>43793</v>
      </c>
      <c r="H8872" s="334" t="s">
        <v>13605</v>
      </c>
      <c r="I8872" s="426">
        <v>13817982082</v>
      </c>
      <c r="J8872" s="334" t="s">
        <v>13766</v>
      </c>
      <c r="L8872" s="334"/>
      <c r="M8872" s="334">
        <f>-10000+12000</f>
        <v>2000</v>
      </c>
      <c r="N8872" s="362">
        <f t="shared" ref="N8872:N8884" si="301">L8872+M8872</f>
        <v>2000</v>
      </c>
    </row>
    <row r="8873" ht="15" customHeight="1" spans="2:14">
      <c r="B8873" s="334" t="s">
        <v>153</v>
      </c>
      <c r="C8873" s="334" t="s">
        <v>302</v>
      </c>
      <c r="D8873" s="334" t="s">
        <v>155</v>
      </c>
      <c r="E8873" s="336">
        <v>43794</v>
      </c>
      <c r="G8873" s="336">
        <v>43792</v>
      </c>
      <c r="H8873" s="334" t="s">
        <v>18656</v>
      </c>
      <c r="I8873" s="444">
        <v>15921726800</v>
      </c>
      <c r="J8873" s="348" t="s">
        <v>18657</v>
      </c>
      <c r="K8873" s="356">
        <v>29740</v>
      </c>
      <c r="L8873" s="334">
        <v>29740</v>
      </c>
      <c r="M8873" s="334">
        <v>5249</v>
      </c>
      <c r="N8873" s="362">
        <f t="shared" si="301"/>
        <v>34989</v>
      </c>
    </row>
    <row r="8874" ht="15" customHeight="1" spans="2:14">
      <c r="B8874" s="334" t="s">
        <v>153</v>
      </c>
      <c r="C8874" s="334" t="s">
        <v>302</v>
      </c>
      <c r="D8874" s="334" t="s">
        <v>162</v>
      </c>
      <c r="E8874" s="336">
        <v>43794</v>
      </c>
      <c r="G8874" s="336">
        <v>43792</v>
      </c>
      <c r="H8874" s="334" t="s">
        <v>18658</v>
      </c>
      <c r="I8874" s="444">
        <v>18964762080</v>
      </c>
      <c r="J8874" s="348" t="s">
        <v>18659</v>
      </c>
      <c r="L8874" s="334">
        <v>9032</v>
      </c>
      <c r="N8874" s="362">
        <f t="shared" si="301"/>
        <v>9032</v>
      </c>
    </row>
    <row r="8875" ht="15" customHeight="1" spans="2:14">
      <c r="B8875" s="334" t="s">
        <v>66</v>
      </c>
      <c r="C8875" s="334" t="s">
        <v>7029</v>
      </c>
      <c r="D8875" s="334" t="s">
        <v>1436</v>
      </c>
      <c r="E8875" s="336">
        <v>43794</v>
      </c>
      <c r="G8875" s="336">
        <v>43793</v>
      </c>
      <c r="H8875" s="334" t="s">
        <v>18660</v>
      </c>
      <c r="I8875" s="444">
        <v>1361782220</v>
      </c>
      <c r="J8875" s="348" t="s">
        <v>18661</v>
      </c>
      <c r="L8875" s="334">
        <v>4399</v>
      </c>
      <c r="N8875" s="362">
        <f t="shared" si="301"/>
        <v>4399</v>
      </c>
    </row>
    <row r="8876" ht="15" customHeight="1" spans="2:14">
      <c r="B8876" s="334" t="s">
        <v>137</v>
      </c>
      <c r="C8876" s="334" t="s">
        <v>138</v>
      </c>
      <c r="D8876" s="334" t="s">
        <v>139</v>
      </c>
      <c r="E8876" s="336">
        <v>43794</v>
      </c>
      <c r="G8876" s="336">
        <v>43793</v>
      </c>
      <c r="H8876" s="334" t="s">
        <v>18662</v>
      </c>
      <c r="I8876" s="444">
        <v>15601939900</v>
      </c>
      <c r="J8876" s="348" t="s">
        <v>18663</v>
      </c>
      <c r="L8876" s="334">
        <v>34000</v>
      </c>
      <c r="N8876" s="362">
        <f t="shared" si="301"/>
        <v>34000</v>
      </c>
    </row>
    <row r="8877" ht="15" customHeight="1" spans="2:14">
      <c r="B8877" s="334" t="s">
        <v>6313</v>
      </c>
      <c r="C8877" s="348" t="s">
        <v>7818</v>
      </c>
      <c r="D8877" s="334" t="s">
        <v>7871</v>
      </c>
      <c r="E8877" s="336">
        <v>43794</v>
      </c>
      <c r="G8877" s="336">
        <v>43792</v>
      </c>
      <c r="H8877" s="334" t="s">
        <v>18664</v>
      </c>
      <c r="I8877" s="444">
        <v>13764626252</v>
      </c>
      <c r="J8877" s="348" t="s">
        <v>18665</v>
      </c>
      <c r="L8877" s="334">
        <v>906</v>
      </c>
      <c r="N8877" s="362">
        <f t="shared" si="301"/>
        <v>906</v>
      </c>
    </row>
    <row r="8878" ht="15" customHeight="1" spans="2:14">
      <c r="B8878" s="334" t="s">
        <v>31</v>
      </c>
      <c r="C8878" s="334" t="s">
        <v>2716</v>
      </c>
      <c r="D8878" s="334" t="s">
        <v>954</v>
      </c>
      <c r="E8878" s="336">
        <v>43794</v>
      </c>
      <c r="G8878" s="336">
        <v>43791</v>
      </c>
      <c r="H8878" s="334" t="s">
        <v>1899</v>
      </c>
      <c r="I8878" s="444">
        <v>13466705485</v>
      </c>
      <c r="J8878" s="348" t="s">
        <v>18666</v>
      </c>
      <c r="L8878" s="334">
        <v>11333</v>
      </c>
      <c r="N8878" s="362">
        <f t="shared" si="301"/>
        <v>11333</v>
      </c>
    </row>
    <row r="8879" ht="15" customHeight="1" spans="2:14">
      <c r="B8879" s="348" t="s">
        <v>805</v>
      </c>
      <c r="C8879" s="348" t="s">
        <v>806</v>
      </c>
      <c r="D8879" s="352" t="s">
        <v>171</v>
      </c>
      <c r="E8879" s="336">
        <v>43794</v>
      </c>
      <c r="G8879" s="336">
        <v>43794</v>
      </c>
      <c r="H8879" s="334" t="s">
        <v>7823</v>
      </c>
      <c r="I8879" s="334">
        <v>15901842668</v>
      </c>
      <c r="J8879" s="334" t="s">
        <v>18667</v>
      </c>
      <c r="L8879" s="334">
        <v>2000</v>
      </c>
      <c r="M8879" s="334"/>
      <c r="N8879" s="362">
        <f t="shared" si="301"/>
        <v>2000</v>
      </c>
    </row>
    <row r="8880" ht="15" customHeight="1" spans="2:14">
      <c r="B8880" s="334" t="s">
        <v>335</v>
      </c>
      <c r="C8880" s="334" t="s">
        <v>399</v>
      </c>
      <c r="D8880" s="335" t="s">
        <v>337</v>
      </c>
      <c r="E8880" s="336">
        <v>43794</v>
      </c>
      <c r="G8880" s="336">
        <v>43791</v>
      </c>
      <c r="H8880" s="334" t="s">
        <v>18668</v>
      </c>
      <c r="I8880" s="426">
        <v>13761164048</v>
      </c>
      <c r="J8880" s="334" t="s">
        <v>18669</v>
      </c>
      <c r="L8880" s="334">
        <v>11953</v>
      </c>
      <c r="N8880" s="362">
        <f t="shared" si="301"/>
        <v>11953</v>
      </c>
    </row>
    <row r="8881" ht="15" customHeight="1" spans="2:14">
      <c r="B8881" s="334" t="s">
        <v>281</v>
      </c>
      <c r="C8881" s="334" t="s">
        <v>13525</v>
      </c>
      <c r="D8881" s="334" t="s">
        <v>518</v>
      </c>
      <c r="E8881" s="336">
        <v>43794</v>
      </c>
      <c r="G8881" s="336">
        <v>43794</v>
      </c>
      <c r="H8881" s="334" t="s">
        <v>18670</v>
      </c>
      <c r="I8881" s="444">
        <v>13524672312</v>
      </c>
      <c r="J8881" s="348" t="s">
        <v>18671</v>
      </c>
      <c r="L8881" s="334">
        <v>16809</v>
      </c>
      <c r="N8881" s="362">
        <f t="shared" si="301"/>
        <v>16809</v>
      </c>
    </row>
    <row r="8882" ht="15" customHeight="1" spans="2:14">
      <c r="B8882" s="334" t="s">
        <v>16169</v>
      </c>
      <c r="C8882" s="334" t="s">
        <v>16170</v>
      </c>
      <c r="D8882" s="334" t="s">
        <v>271</v>
      </c>
      <c r="E8882" s="336">
        <v>43794</v>
      </c>
      <c r="G8882" s="336" t="s">
        <v>13074</v>
      </c>
      <c r="H8882" s="334" t="s">
        <v>18672</v>
      </c>
      <c r="I8882" s="444">
        <v>13482222717</v>
      </c>
      <c r="J8882" s="348" t="s">
        <v>18673</v>
      </c>
      <c r="L8882" s="334">
        <v>5638</v>
      </c>
      <c r="N8882" s="362">
        <f t="shared" si="301"/>
        <v>5638</v>
      </c>
    </row>
    <row r="8883" ht="15" customHeight="1" spans="2:14">
      <c r="B8883" s="334" t="s">
        <v>153</v>
      </c>
      <c r="C8883" s="334" t="s">
        <v>15883</v>
      </c>
      <c r="D8883" s="334" t="s">
        <v>155</v>
      </c>
      <c r="E8883" s="336">
        <v>43794</v>
      </c>
      <c r="G8883" s="336">
        <v>43794</v>
      </c>
      <c r="H8883" s="334" t="s">
        <v>18674</v>
      </c>
      <c r="I8883" s="444">
        <v>17317609779</v>
      </c>
      <c r="J8883" s="348" t="s">
        <v>18675</v>
      </c>
      <c r="L8883" s="334">
        <v>5000</v>
      </c>
      <c r="N8883" s="362">
        <f t="shared" si="301"/>
        <v>5000</v>
      </c>
    </row>
    <row r="8884" ht="15" customHeight="1" spans="2:14">
      <c r="B8884" s="334" t="s">
        <v>315</v>
      </c>
      <c r="C8884" s="334" t="s">
        <v>275</v>
      </c>
      <c r="D8884" s="334" t="s">
        <v>1431</v>
      </c>
      <c r="E8884" s="336">
        <v>43794</v>
      </c>
      <c r="G8884" s="336">
        <v>43789</v>
      </c>
      <c r="H8884" s="334" t="s">
        <v>18676</v>
      </c>
      <c r="I8884" s="444">
        <v>13386197073</v>
      </c>
      <c r="J8884" s="348" t="s">
        <v>18677</v>
      </c>
      <c r="L8884" s="334">
        <v>9000</v>
      </c>
      <c r="N8884" s="362">
        <f t="shared" si="301"/>
        <v>9000</v>
      </c>
    </row>
    <row r="8885" ht="15" customHeight="1" spans="2:14">
      <c r="B8885" s="334" t="s">
        <v>405</v>
      </c>
      <c r="C8885" s="334" t="s">
        <v>1234</v>
      </c>
      <c r="D8885" s="334" t="s">
        <v>407</v>
      </c>
      <c r="E8885" s="336">
        <v>43794</v>
      </c>
      <c r="G8885" s="336">
        <v>43793</v>
      </c>
      <c r="H8885" s="334" t="s">
        <v>12519</v>
      </c>
      <c r="I8885" s="334">
        <v>13817131152</v>
      </c>
      <c r="J8885" s="334" t="s">
        <v>18678</v>
      </c>
      <c r="M8885" s="334">
        <v>20188</v>
      </c>
      <c r="N8885" s="362">
        <f t="shared" ref="N8885:N8911" si="302">L8885+M8885</f>
        <v>20188</v>
      </c>
    </row>
    <row r="8886" ht="15" customHeight="1" spans="2:14">
      <c r="B8886" s="334" t="s">
        <v>66</v>
      </c>
      <c r="C8886" s="334" t="s">
        <v>119</v>
      </c>
      <c r="D8886" s="334" t="s">
        <v>68</v>
      </c>
      <c r="E8886" s="336">
        <v>43794</v>
      </c>
      <c r="G8886" s="336">
        <v>43793</v>
      </c>
      <c r="H8886" s="334" t="s">
        <v>11770</v>
      </c>
      <c r="I8886" s="334">
        <v>18602111597</v>
      </c>
      <c r="J8886" s="334" t="s">
        <v>18679</v>
      </c>
      <c r="M8886" s="334">
        <v>394</v>
      </c>
      <c r="N8886" s="362">
        <f t="shared" si="302"/>
        <v>394</v>
      </c>
    </row>
    <row r="8887" ht="15" customHeight="1" spans="2:14">
      <c r="B8887" s="334" t="s">
        <v>169</v>
      </c>
      <c r="C8887" s="334" t="s">
        <v>634</v>
      </c>
      <c r="D8887" s="334" t="s">
        <v>635</v>
      </c>
      <c r="E8887" s="336">
        <v>43794</v>
      </c>
      <c r="G8887" s="336">
        <v>43776</v>
      </c>
      <c r="H8887" s="334" t="s">
        <v>15214</v>
      </c>
      <c r="I8887" s="444">
        <v>15800972047</v>
      </c>
      <c r="J8887" s="348" t="s">
        <v>15215</v>
      </c>
      <c r="M8887" s="334">
        <v>1273</v>
      </c>
      <c r="N8887" s="362">
        <f t="shared" si="302"/>
        <v>1273</v>
      </c>
    </row>
    <row r="8888" ht="15" customHeight="1" spans="2:14">
      <c r="B8888" s="334" t="s">
        <v>87</v>
      </c>
      <c r="C8888" s="334" t="s">
        <v>199</v>
      </c>
      <c r="D8888" s="334" t="s">
        <v>89</v>
      </c>
      <c r="E8888" s="336">
        <v>43794</v>
      </c>
      <c r="G8888" s="336">
        <v>43792</v>
      </c>
      <c r="H8888" s="334" t="s">
        <v>13820</v>
      </c>
      <c r="I8888" s="334">
        <v>15000405111</v>
      </c>
      <c r="J8888" s="334" t="s">
        <v>13822</v>
      </c>
      <c r="M8888" s="334">
        <v>113</v>
      </c>
      <c r="N8888" s="362">
        <f t="shared" si="302"/>
        <v>113</v>
      </c>
    </row>
    <row r="8889" ht="15" customHeight="1" spans="2:14">
      <c r="B8889" s="334" t="s">
        <v>87</v>
      </c>
      <c r="C8889" s="334" t="s">
        <v>466</v>
      </c>
      <c r="D8889" s="334" t="s">
        <v>89</v>
      </c>
      <c r="E8889" s="336">
        <v>43794</v>
      </c>
      <c r="G8889" s="336">
        <v>43793</v>
      </c>
      <c r="H8889" s="334" t="s">
        <v>12326</v>
      </c>
      <c r="I8889" s="444">
        <v>13681956569</v>
      </c>
      <c r="J8889" s="348" t="s">
        <v>16392</v>
      </c>
      <c r="M8889" s="334">
        <v>1503</v>
      </c>
      <c r="N8889" s="362">
        <f t="shared" si="302"/>
        <v>1503</v>
      </c>
    </row>
    <row r="8890" ht="15" customHeight="1" spans="2:14">
      <c r="B8890" s="334" t="s">
        <v>87</v>
      </c>
      <c r="C8890" s="334" t="s">
        <v>466</v>
      </c>
      <c r="D8890" s="334" t="s">
        <v>89</v>
      </c>
      <c r="E8890" s="336">
        <v>43794</v>
      </c>
      <c r="G8890" s="336">
        <v>43793</v>
      </c>
      <c r="H8890" s="334" t="s">
        <v>18680</v>
      </c>
      <c r="I8890" s="356">
        <v>18176173323</v>
      </c>
      <c r="J8890" s="348" t="s">
        <v>18681</v>
      </c>
      <c r="M8890" s="334">
        <v>-34</v>
      </c>
      <c r="N8890" s="362">
        <f t="shared" si="302"/>
        <v>-34</v>
      </c>
    </row>
    <row r="8891" ht="15" customHeight="1" spans="2:14">
      <c r="B8891" s="334" t="s">
        <v>66</v>
      </c>
      <c r="C8891" s="334" t="s">
        <v>3954</v>
      </c>
      <c r="D8891" s="334" t="s">
        <v>1436</v>
      </c>
      <c r="E8891" s="336">
        <v>43794</v>
      </c>
      <c r="G8891" s="336">
        <v>43793</v>
      </c>
      <c r="H8891" s="334" t="s">
        <v>11584</v>
      </c>
      <c r="I8891" s="426">
        <v>15121159673</v>
      </c>
      <c r="J8891" s="334" t="s">
        <v>11585</v>
      </c>
      <c r="M8891" s="334">
        <v>-4038</v>
      </c>
      <c r="N8891" s="362">
        <f t="shared" si="302"/>
        <v>-4038</v>
      </c>
    </row>
    <row r="8892" ht="15" customHeight="1" spans="2:14">
      <c r="B8892" s="334" t="s">
        <v>73</v>
      </c>
      <c r="C8892" s="334" t="s">
        <v>178</v>
      </c>
      <c r="D8892" s="334" t="s">
        <v>68</v>
      </c>
      <c r="E8892" s="336">
        <v>43794</v>
      </c>
      <c r="G8892" s="336">
        <v>43793</v>
      </c>
      <c r="H8892" s="334" t="s">
        <v>8556</v>
      </c>
      <c r="I8892" s="334">
        <v>13611845240</v>
      </c>
      <c r="J8892" s="334" t="s">
        <v>13941</v>
      </c>
      <c r="M8892" s="334">
        <v>1218</v>
      </c>
      <c r="N8892" s="362">
        <f t="shared" si="302"/>
        <v>1218</v>
      </c>
    </row>
    <row r="8893" ht="15" customHeight="1" spans="2:14">
      <c r="B8893" s="334" t="s">
        <v>147</v>
      </c>
      <c r="C8893" s="334" t="s">
        <v>148</v>
      </c>
      <c r="D8893" s="334" t="s">
        <v>207</v>
      </c>
      <c r="E8893" s="336">
        <v>43794</v>
      </c>
      <c r="G8893" s="336">
        <v>43791</v>
      </c>
      <c r="H8893" s="334" t="s">
        <v>15454</v>
      </c>
      <c r="I8893" s="334">
        <v>18621575850</v>
      </c>
      <c r="J8893" s="348" t="s">
        <v>15460</v>
      </c>
      <c r="M8893" s="334">
        <v>400</v>
      </c>
      <c r="N8893" s="362">
        <f t="shared" si="302"/>
        <v>400</v>
      </c>
    </row>
    <row r="8894" ht="15" customHeight="1" spans="2:14">
      <c r="B8894" s="334" t="s">
        <v>58</v>
      </c>
      <c r="C8894" s="334" t="s">
        <v>342</v>
      </c>
      <c r="D8894" s="334" t="s">
        <v>343</v>
      </c>
      <c r="E8894" s="336">
        <v>43794</v>
      </c>
      <c r="G8894" s="336">
        <v>43793</v>
      </c>
      <c r="H8894" s="334" t="s">
        <v>14864</v>
      </c>
      <c r="I8894" s="444">
        <v>13564082425</v>
      </c>
      <c r="J8894" s="348" t="s">
        <v>14865</v>
      </c>
      <c r="M8894" s="334">
        <v>3745</v>
      </c>
      <c r="N8894" s="362">
        <f t="shared" si="302"/>
        <v>3745</v>
      </c>
    </row>
    <row r="8895" ht="15" customHeight="1" spans="2:14">
      <c r="B8895" s="334" t="s">
        <v>58</v>
      </c>
      <c r="C8895" s="334" t="s">
        <v>109</v>
      </c>
      <c r="D8895" s="334" t="s">
        <v>110</v>
      </c>
      <c r="E8895" s="336">
        <v>43794</v>
      </c>
      <c r="G8895" s="336">
        <v>43792</v>
      </c>
      <c r="H8895" s="334" t="s">
        <v>13169</v>
      </c>
      <c r="I8895" s="426">
        <v>13916036956</v>
      </c>
      <c r="J8895" s="334" t="s">
        <v>13170</v>
      </c>
      <c r="M8895" s="334">
        <f>264+198</f>
        <v>462</v>
      </c>
      <c r="N8895" s="362">
        <f t="shared" si="302"/>
        <v>462</v>
      </c>
    </row>
    <row r="8896" ht="15" customHeight="1" spans="2:14">
      <c r="B8896" s="334" t="s">
        <v>73</v>
      </c>
      <c r="C8896" s="334" t="s">
        <v>74</v>
      </c>
      <c r="D8896" s="334" t="s">
        <v>125</v>
      </c>
      <c r="E8896" s="336">
        <v>43794</v>
      </c>
      <c r="G8896" s="336">
        <v>43793</v>
      </c>
      <c r="H8896" s="334" t="s">
        <v>10851</v>
      </c>
      <c r="I8896" s="334">
        <v>13651986450</v>
      </c>
      <c r="J8896" s="334" t="s">
        <v>18682</v>
      </c>
      <c r="M8896" s="334">
        <v>-28037</v>
      </c>
      <c r="N8896" s="362">
        <f t="shared" si="302"/>
        <v>-28037</v>
      </c>
    </row>
    <row r="8897" ht="15" customHeight="1" spans="2:14">
      <c r="B8897" s="334" t="s">
        <v>31</v>
      </c>
      <c r="C8897" s="334" t="s">
        <v>377</v>
      </c>
      <c r="D8897" s="334" t="s">
        <v>33</v>
      </c>
      <c r="E8897" s="336">
        <v>43794</v>
      </c>
      <c r="G8897" s="336">
        <v>43793</v>
      </c>
      <c r="H8897" s="334" t="s">
        <v>14064</v>
      </c>
      <c r="I8897" s="334">
        <v>15000636296</v>
      </c>
      <c r="J8897" s="334" t="s">
        <v>18683</v>
      </c>
      <c r="M8897" s="334">
        <v>1383</v>
      </c>
      <c r="N8897" s="362">
        <f t="shared" si="302"/>
        <v>1383</v>
      </c>
    </row>
    <row r="8898" ht="15" customHeight="1" spans="2:14">
      <c r="B8898" s="334" t="s">
        <v>2625</v>
      </c>
      <c r="C8898" s="334" t="s">
        <v>2626</v>
      </c>
      <c r="D8898" s="334" t="s">
        <v>337</v>
      </c>
      <c r="E8898" s="336">
        <v>43794</v>
      </c>
      <c r="G8898" s="336">
        <v>43793</v>
      </c>
      <c r="H8898" s="334" t="s">
        <v>17851</v>
      </c>
      <c r="I8898" s="444">
        <v>13817173409</v>
      </c>
      <c r="J8898" s="348" t="s">
        <v>17852</v>
      </c>
      <c r="M8898" s="334">
        <v>1800</v>
      </c>
      <c r="N8898" s="362">
        <f t="shared" si="302"/>
        <v>1800</v>
      </c>
    </row>
    <row r="8899" ht="15" customHeight="1" spans="2:14">
      <c r="B8899" s="334" t="s">
        <v>47</v>
      </c>
      <c r="C8899" s="334" t="s">
        <v>80</v>
      </c>
      <c r="D8899" s="334" t="s">
        <v>49</v>
      </c>
      <c r="E8899" s="336">
        <v>43794</v>
      </c>
      <c r="G8899" s="336">
        <v>43793</v>
      </c>
      <c r="H8899" s="334" t="s">
        <v>17625</v>
      </c>
      <c r="I8899" s="334">
        <v>13564724277</v>
      </c>
      <c r="J8899" s="348" t="s">
        <v>17626</v>
      </c>
      <c r="M8899" s="334">
        <v>4373</v>
      </c>
      <c r="N8899" s="362">
        <f t="shared" si="302"/>
        <v>4373</v>
      </c>
    </row>
    <row r="8900" ht="15" customHeight="1" spans="2:14">
      <c r="B8900" s="334" t="s">
        <v>805</v>
      </c>
      <c r="C8900" s="334" t="s">
        <v>806</v>
      </c>
      <c r="D8900" s="334" t="s">
        <v>171</v>
      </c>
      <c r="E8900" s="336">
        <v>43794</v>
      </c>
      <c r="G8900" s="336">
        <v>43791</v>
      </c>
      <c r="H8900" s="334" t="s">
        <v>8901</v>
      </c>
      <c r="I8900" s="356">
        <v>18621217755</v>
      </c>
      <c r="J8900" s="348" t="s">
        <v>8902</v>
      </c>
      <c r="M8900" s="334">
        <v>3411</v>
      </c>
      <c r="N8900" s="362">
        <f t="shared" si="302"/>
        <v>3411</v>
      </c>
    </row>
    <row r="8901" ht="15" customHeight="1" spans="2:14">
      <c r="B8901" s="334" t="s">
        <v>281</v>
      </c>
      <c r="C8901" s="334" t="s">
        <v>13525</v>
      </c>
      <c r="D8901" s="334" t="s">
        <v>518</v>
      </c>
      <c r="E8901" s="336">
        <v>43794</v>
      </c>
      <c r="G8901" s="336">
        <v>43793</v>
      </c>
      <c r="H8901" s="334" t="s">
        <v>13008</v>
      </c>
      <c r="I8901" s="334">
        <v>18274623158</v>
      </c>
      <c r="J8901" s="334" t="s">
        <v>18684</v>
      </c>
      <c r="M8901" s="334">
        <v>400</v>
      </c>
      <c r="N8901" s="362">
        <f t="shared" si="302"/>
        <v>400</v>
      </c>
    </row>
    <row r="8902" ht="15" customHeight="1" spans="2:14">
      <c r="B8902" s="334" t="s">
        <v>58</v>
      </c>
      <c r="C8902" s="334" t="s">
        <v>109</v>
      </c>
      <c r="D8902" s="334" t="s">
        <v>110</v>
      </c>
      <c r="E8902" s="336">
        <v>43794</v>
      </c>
      <c r="G8902" s="336">
        <v>43792</v>
      </c>
      <c r="H8902" s="334" t="s">
        <v>15049</v>
      </c>
      <c r="I8902" s="444">
        <v>18616810421</v>
      </c>
      <c r="J8902" s="348" t="s">
        <v>15050</v>
      </c>
      <c r="M8902" s="334">
        <v>4037</v>
      </c>
      <c r="N8902" s="362">
        <f t="shared" si="302"/>
        <v>4037</v>
      </c>
    </row>
    <row r="8903" ht="15" customHeight="1" spans="2:14">
      <c r="B8903" s="334" t="s">
        <v>66</v>
      </c>
      <c r="C8903" s="334" t="s">
        <v>119</v>
      </c>
      <c r="D8903" s="334" t="s">
        <v>1436</v>
      </c>
      <c r="E8903" s="336">
        <v>43794</v>
      </c>
      <c r="G8903" s="336">
        <v>43794</v>
      </c>
      <c r="H8903" s="334" t="s">
        <v>8873</v>
      </c>
      <c r="I8903" s="334">
        <v>13918015873</v>
      </c>
      <c r="J8903" s="334" t="s">
        <v>18685</v>
      </c>
      <c r="M8903" s="334">
        <f>3525-3393</f>
        <v>132</v>
      </c>
      <c r="N8903" s="362">
        <f t="shared" si="302"/>
        <v>132</v>
      </c>
    </row>
    <row r="8904" ht="15" customHeight="1" spans="2:14">
      <c r="B8904" s="334" t="s">
        <v>31</v>
      </c>
      <c r="C8904" s="334" t="s">
        <v>2716</v>
      </c>
      <c r="D8904" s="334" t="s">
        <v>954</v>
      </c>
      <c r="E8904" s="336">
        <v>43794</v>
      </c>
      <c r="G8904" s="336">
        <v>43791</v>
      </c>
      <c r="H8904" s="334" t="s">
        <v>18686</v>
      </c>
      <c r="I8904" s="465">
        <v>13816096272</v>
      </c>
      <c r="J8904" s="445" t="s">
        <v>8768</v>
      </c>
      <c r="M8904" s="334">
        <v>3294</v>
      </c>
      <c r="N8904" s="362">
        <f t="shared" si="302"/>
        <v>3294</v>
      </c>
    </row>
    <row r="8905" ht="15" customHeight="1" spans="2:14">
      <c r="B8905" s="334" t="s">
        <v>58</v>
      </c>
      <c r="C8905" s="334" t="s">
        <v>109</v>
      </c>
      <c r="D8905" s="334" t="s">
        <v>110</v>
      </c>
      <c r="E8905" s="336">
        <v>43794</v>
      </c>
      <c r="G8905" s="336">
        <v>43793</v>
      </c>
      <c r="H8905" s="334" t="s">
        <v>11461</v>
      </c>
      <c r="I8905" s="334">
        <v>18611198382</v>
      </c>
      <c r="J8905" s="334" t="s">
        <v>18687</v>
      </c>
      <c r="M8905" s="334">
        <v>1880</v>
      </c>
      <c r="N8905" s="362">
        <f t="shared" si="302"/>
        <v>1880</v>
      </c>
    </row>
    <row r="8906" ht="15" customHeight="1" spans="2:14">
      <c r="B8906" s="334" t="s">
        <v>31</v>
      </c>
      <c r="C8906" s="334" t="s">
        <v>220</v>
      </c>
      <c r="D8906" s="334" t="s">
        <v>33</v>
      </c>
      <c r="E8906" s="336">
        <v>43794</v>
      </c>
      <c r="G8906" s="336">
        <v>43793</v>
      </c>
      <c r="H8906" s="334" t="s">
        <v>12235</v>
      </c>
      <c r="I8906" s="334">
        <v>18221986681</v>
      </c>
      <c r="J8906" s="334" t="s">
        <v>18688</v>
      </c>
      <c r="M8906" s="334">
        <f>-1239+8928</f>
        <v>7689</v>
      </c>
      <c r="N8906" s="362">
        <f t="shared" si="302"/>
        <v>7689</v>
      </c>
    </row>
    <row r="8907" ht="15" customHeight="1" spans="2:14">
      <c r="B8907" s="334" t="s">
        <v>805</v>
      </c>
      <c r="C8907" s="334" t="s">
        <v>806</v>
      </c>
      <c r="D8907" s="334" t="s">
        <v>171</v>
      </c>
      <c r="E8907" s="336">
        <v>43794</v>
      </c>
      <c r="G8907" s="336">
        <v>43794</v>
      </c>
      <c r="H8907" s="334" t="s">
        <v>17779</v>
      </c>
      <c r="I8907" s="334">
        <v>15201812287</v>
      </c>
      <c r="J8907" s="348" t="s">
        <v>17780</v>
      </c>
      <c r="M8907" s="334">
        <v>7400</v>
      </c>
      <c r="N8907" s="362">
        <f t="shared" si="302"/>
        <v>7400</v>
      </c>
    </row>
    <row r="8908" ht="15" customHeight="1" spans="2:14">
      <c r="B8908" s="334" t="s">
        <v>66</v>
      </c>
      <c r="C8908" s="334" t="s">
        <v>119</v>
      </c>
      <c r="D8908" s="334" t="s">
        <v>2302</v>
      </c>
      <c r="E8908" s="336">
        <v>43794</v>
      </c>
      <c r="G8908" s="336">
        <v>43793</v>
      </c>
      <c r="H8908" s="334" t="s">
        <v>3547</v>
      </c>
      <c r="I8908" s="444">
        <v>18017728831</v>
      </c>
      <c r="J8908" s="348" t="s">
        <v>17811</v>
      </c>
      <c r="M8908" s="334">
        <v>10800</v>
      </c>
      <c r="N8908" s="362">
        <f t="shared" si="302"/>
        <v>10800</v>
      </c>
    </row>
    <row r="8909" ht="15" customHeight="1" spans="2:14">
      <c r="B8909" s="334" t="s">
        <v>66</v>
      </c>
      <c r="C8909" s="334" t="s">
        <v>505</v>
      </c>
      <c r="D8909" s="334" t="s">
        <v>2302</v>
      </c>
      <c r="E8909" s="336">
        <v>43794</v>
      </c>
      <c r="G8909" s="336">
        <v>43794</v>
      </c>
      <c r="H8909" s="334" t="s">
        <v>12323</v>
      </c>
      <c r="I8909" s="356">
        <v>17317971212</v>
      </c>
      <c r="J8909" s="348" t="s">
        <v>12324</v>
      </c>
      <c r="M8909" s="334">
        <v>36072</v>
      </c>
      <c r="N8909" s="362">
        <f t="shared" si="302"/>
        <v>36072</v>
      </c>
    </row>
    <row r="8910" ht="15" customHeight="1" spans="2:14">
      <c r="B8910" s="334" t="s">
        <v>315</v>
      </c>
      <c r="C8910" s="334" t="s">
        <v>161</v>
      </c>
      <c r="D8910" s="334" t="s">
        <v>1431</v>
      </c>
      <c r="E8910" s="336">
        <v>43794</v>
      </c>
      <c r="G8910" s="336">
        <v>43794</v>
      </c>
      <c r="H8910" s="334" t="s">
        <v>18689</v>
      </c>
      <c r="I8910" s="444">
        <v>13901967422</v>
      </c>
      <c r="J8910" s="348" t="s">
        <v>18690</v>
      </c>
      <c r="M8910" s="334">
        <v>1918</v>
      </c>
      <c r="N8910" s="362">
        <f t="shared" si="302"/>
        <v>1918</v>
      </c>
    </row>
    <row r="8911" ht="15" customHeight="1" spans="1:14">
      <c r="A8911" s="550" t="s">
        <v>18691</v>
      </c>
      <c r="B8911" s="334" t="s">
        <v>66</v>
      </c>
      <c r="C8911" s="334" t="s">
        <v>505</v>
      </c>
      <c r="D8911" s="334" t="s">
        <v>2302</v>
      </c>
      <c r="E8911" s="336">
        <v>43795</v>
      </c>
      <c r="F8911" s="336">
        <v>43794</v>
      </c>
      <c r="G8911" s="399">
        <v>43794</v>
      </c>
      <c r="H8911" s="334" t="s">
        <v>7601</v>
      </c>
      <c r="I8911" s="444">
        <v>13601734975</v>
      </c>
      <c r="J8911" s="348" t="s">
        <v>18692</v>
      </c>
      <c r="K8911" s="452">
        <v>2940</v>
      </c>
      <c r="L8911" s="334">
        <v>14576</v>
      </c>
      <c r="N8911" s="362">
        <f t="shared" ref="N8911:N8930" si="303">L8911+M8911</f>
        <v>14576</v>
      </c>
    </row>
    <row r="8912" ht="15" customHeight="1" spans="1:14">
      <c r="A8912" s="550" t="s">
        <v>18693</v>
      </c>
      <c r="B8912" s="334" t="s">
        <v>16169</v>
      </c>
      <c r="C8912" s="348" t="s">
        <v>16170</v>
      </c>
      <c r="D8912" s="334" t="s">
        <v>271</v>
      </c>
      <c r="E8912" s="336">
        <v>43795</v>
      </c>
      <c r="F8912" s="336" t="s">
        <v>13074</v>
      </c>
      <c r="G8912" s="399">
        <v>43795</v>
      </c>
      <c r="H8912" s="334" t="s">
        <v>18694</v>
      </c>
      <c r="I8912" s="444">
        <v>18621806519</v>
      </c>
      <c r="J8912" s="348" t="s">
        <v>18695</v>
      </c>
      <c r="K8912" s="452">
        <v>1000</v>
      </c>
      <c r="L8912" s="334">
        <v>5498</v>
      </c>
      <c r="M8912" s="334">
        <v>7802</v>
      </c>
      <c r="N8912" s="362">
        <f t="shared" si="303"/>
        <v>13300</v>
      </c>
    </row>
    <row r="8913" ht="15" customHeight="1" spans="1:16">
      <c r="A8913" s="348" t="s">
        <v>18696</v>
      </c>
      <c r="B8913" s="334" t="s">
        <v>137</v>
      </c>
      <c r="C8913" s="348" t="s">
        <v>2705</v>
      </c>
      <c r="D8913" s="335" t="s">
        <v>443</v>
      </c>
      <c r="E8913" s="336">
        <v>43795</v>
      </c>
      <c r="F8913" s="336">
        <v>43780</v>
      </c>
      <c r="G8913" s="399"/>
      <c r="H8913" s="334" t="s">
        <v>10853</v>
      </c>
      <c r="I8913" s="444"/>
      <c r="J8913" s="348" t="s">
        <v>18697</v>
      </c>
      <c r="K8913" s="452"/>
      <c r="N8913" s="362">
        <f t="shared" si="303"/>
        <v>0</v>
      </c>
      <c r="P8913" s="353">
        <v>1</v>
      </c>
    </row>
    <row r="8914" ht="15" customHeight="1" spans="1:14">
      <c r="A8914" s="348" t="s">
        <v>18698</v>
      </c>
      <c r="B8914" s="334" t="s">
        <v>42</v>
      </c>
      <c r="C8914" s="348" t="s">
        <v>43</v>
      </c>
      <c r="D8914" s="334" t="s">
        <v>44</v>
      </c>
      <c r="E8914" s="336">
        <v>43798</v>
      </c>
      <c r="F8914" s="336">
        <v>43794</v>
      </c>
      <c r="G8914" s="336">
        <v>43798</v>
      </c>
      <c r="H8914" s="334" t="s">
        <v>18699</v>
      </c>
      <c r="I8914" s="444" t="s">
        <v>18700</v>
      </c>
      <c r="J8914" s="348" t="s">
        <v>18701</v>
      </c>
      <c r="K8914" s="452">
        <v>1000</v>
      </c>
      <c r="L8914" s="334">
        <v>4977</v>
      </c>
      <c r="N8914" s="362">
        <f t="shared" si="303"/>
        <v>4977</v>
      </c>
    </row>
    <row r="8915" ht="15" customHeight="1" spans="1:14">
      <c r="A8915" s="348" t="s">
        <v>8836</v>
      </c>
      <c r="B8915" s="334" t="s">
        <v>87</v>
      </c>
      <c r="C8915" s="348" t="s">
        <v>9318</v>
      </c>
      <c r="D8915" s="334" t="s">
        <v>89</v>
      </c>
      <c r="E8915" s="336">
        <v>43795</v>
      </c>
      <c r="F8915" s="336">
        <v>43793</v>
      </c>
      <c r="G8915" s="336">
        <v>43795</v>
      </c>
      <c r="H8915" s="334" t="s">
        <v>18702</v>
      </c>
      <c r="I8915" s="444">
        <v>18017186915</v>
      </c>
      <c r="J8915" s="348" t="s">
        <v>18703</v>
      </c>
      <c r="K8915" s="452">
        <v>5000</v>
      </c>
      <c r="L8915" s="334">
        <v>10792</v>
      </c>
      <c r="N8915" s="362">
        <f t="shared" si="303"/>
        <v>10792</v>
      </c>
    </row>
    <row r="8916" ht="15" customHeight="1" spans="1:14">
      <c r="A8916" s="348" t="s">
        <v>18704</v>
      </c>
      <c r="B8916" s="334" t="s">
        <v>315</v>
      </c>
      <c r="C8916" s="348" t="s">
        <v>275</v>
      </c>
      <c r="D8916" s="334" t="s">
        <v>149</v>
      </c>
      <c r="E8916" s="336">
        <v>43795</v>
      </c>
      <c r="F8916" s="336">
        <v>43794</v>
      </c>
      <c r="G8916" s="399">
        <v>43791</v>
      </c>
      <c r="H8916" s="334" t="s">
        <v>18705</v>
      </c>
      <c r="I8916" s="444">
        <v>13505178220</v>
      </c>
      <c r="J8916" s="348" t="s">
        <v>18706</v>
      </c>
      <c r="K8916" s="452">
        <v>2787</v>
      </c>
      <c r="L8916" s="334">
        <v>2587</v>
      </c>
      <c r="N8916" s="362">
        <f t="shared" si="303"/>
        <v>2587</v>
      </c>
    </row>
    <row r="8917" ht="15" customHeight="1" spans="1:15">
      <c r="A8917" s="348">
        <v>2024291</v>
      </c>
      <c r="B8917" s="334" t="s">
        <v>87</v>
      </c>
      <c r="C8917" s="348" t="s">
        <v>9318</v>
      </c>
      <c r="D8917" s="335" t="s">
        <v>89</v>
      </c>
      <c r="E8917" s="336">
        <v>43795</v>
      </c>
      <c r="F8917" s="336">
        <v>43792</v>
      </c>
      <c r="G8917" s="399"/>
      <c r="H8917" s="334" t="s">
        <v>18707</v>
      </c>
      <c r="I8917" s="444">
        <v>18717936203</v>
      </c>
      <c r="J8917" s="348" t="s">
        <v>18708</v>
      </c>
      <c r="K8917" s="452">
        <v>1000</v>
      </c>
      <c r="N8917" s="362">
        <f t="shared" si="303"/>
        <v>0</v>
      </c>
      <c r="O8917" s="356" t="s">
        <v>52</v>
      </c>
    </row>
    <row r="8918" ht="15" customHeight="1" spans="1:15">
      <c r="A8918" s="348">
        <v>2024289</v>
      </c>
      <c r="B8918" s="334" t="s">
        <v>87</v>
      </c>
      <c r="C8918" s="348" t="s">
        <v>9318</v>
      </c>
      <c r="D8918" s="335" t="s">
        <v>89</v>
      </c>
      <c r="E8918" s="336">
        <v>43795</v>
      </c>
      <c r="F8918" s="336">
        <v>43792</v>
      </c>
      <c r="G8918" s="399"/>
      <c r="H8918" s="334" t="s">
        <v>18709</v>
      </c>
      <c r="I8918" s="444">
        <v>18616621268</v>
      </c>
      <c r="J8918" s="348" t="s">
        <v>18710</v>
      </c>
      <c r="K8918" s="452">
        <v>1000</v>
      </c>
      <c r="N8918" s="362">
        <f t="shared" si="303"/>
        <v>0</v>
      </c>
      <c r="O8918" s="356" t="s">
        <v>52</v>
      </c>
    </row>
    <row r="8919" ht="15" customHeight="1" spans="1:15">
      <c r="A8919" s="348" t="s">
        <v>8885</v>
      </c>
      <c r="B8919" s="334" t="s">
        <v>87</v>
      </c>
      <c r="C8919" s="348" t="s">
        <v>9318</v>
      </c>
      <c r="D8919" s="335" t="s">
        <v>89</v>
      </c>
      <c r="E8919" s="336">
        <v>43795</v>
      </c>
      <c r="F8919" s="336">
        <v>43793</v>
      </c>
      <c r="G8919" s="399"/>
      <c r="H8919" s="334" t="s">
        <v>18711</v>
      </c>
      <c r="I8919" s="444">
        <v>13701710272</v>
      </c>
      <c r="J8919" s="348" t="s">
        <v>18712</v>
      </c>
      <c r="K8919" s="452">
        <v>1000</v>
      </c>
      <c r="N8919" s="362">
        <f t="shared" si="303"/>
        <v>0</v>
      </c>
      <c r="O8919" s="356" t="s">
        <v>52</v>
      </c>
    </row>
    <row r="8920" ht="15" customHeight="1" spans="1:15">
      <c r="A8920" s="348" t="s">
        <v>18713</v>
      </c>
      <c r="B8920" s="334" t="s">
        <v>87</v>
      </c>
      <c r="C8920" s="348" t="s">
        <v>9318</v>
      </c>
      <c r="D8920" s="335" t="s">
        <v>89</v>
      </c>
      <c r="E8920" s="336">
        <v>43795</v>
      </c>
      <c r="F8920" s="336">
        <v>43793</v>
      </c>
      <c r="G8920" s="399"/>
      <c r="H8920" s="334" t="s">
        <v>18714</v>
      </c>
      <c r="I8920" s="444">
        <v>13818755516</v>
      </c>
      <c r="J8920" s="348" t="s">
        <v>18715</v>
      </c>
      <c r="K8920" s="452">
        <v>1000</v>
      </c>
      <c r="N8920" s="362">
        <f t="shared" si="303"/>
        <v>0</v>
      </c>
      <c r="O8920" s="356" t="s">
        <v>52</v>
      </c>
    </row>
    <row r="8921" ht="15" customHeight="1" spans="1:14">
      <c r="A8921" s="550" t="s">
        <v>16280</v>
      </c>
      <c r="B8921" s="334" t="s">
        <v>16169</v>
      </c>
      <c r="C8921" s="348" t="s">
        <v>16170</v>
      </c>
      <c r="D8921" s="334" t="s">
        <v>271</v>
      </c>
      <c r="E8921" s="336">
        <v>43795</v>
      </c>
      <c r="F8921" s="336">
        <v>43795</v>
      </c>
      <c r="G8921" s="336">
        <v>43795</v>
      </c>
      <c r="H8921" s="334" t="s">
        <v>18716</v>
      </c>
      <c r="I8921" s="444">
        <v>18017900590</v>
      </c>
      <c r="J8921" s="348" t="s">
        <v>18717</v>
      </c>
      <c r="K8921" s="452">
        <v>4800</v>
      </c>
      <c r="L8921" s="334">
        <v>6853</v>
      </c>
      <c r="N8921" s="362">
        <f t="shared" si="303"/>
        <v>6853</v>
      </c>
    </row>
    <row r="8922" ht="15" customHeight="1" spans="1:14">
      <c r="A8922" s="348"/>
      <c r="B8922" s="334" t="s">
        <v>315</v>
      </c>
      <c r="C8922" s="348" t="s">
        <v>161</v>
      </c>
      <c r="D8922" s="334" t="s">
        <v>162</v>
      </c>
      <c r="E8922" s="336">
        <v>43795</v>
      </c>
      <c r="F8922" s="336">
        <v>43795</v>
      </c>
      <c r="G8922" s="399">
        <v>43795</v>
      </c>
      <c r="H8922" s="334" t="s">
        <v>18718</v>
      </c>
      <c r="I8922" s="444">
        <v>13910501768</v>
      </c>
      <c r="J8922" s="348" t="s">
        <v>18719</v>
      </c>
      <c r="K8922" s="452">
        <v>9595</v>
      </c>
      <c r="L8922" s="334">
        <v>9594</v>
      </c>
      <c r="N8922" s="362">
        <f t="shared" si="303"/>
        <v>9594</v>
      </c>
    </row>
    <row r="8923" ht="15" customHeight="1" spans="1:14">
      <c r="A8923" s="550" t="s">
        <v>18720</v>
      </c>
      <c r="B8923" s="334" t="s">
        <v>66</v>
      </c>
      <c r="C8923" s="348" t="s">
        <v>119</v>
      </c>
      <c r="D8923" s="334" t="s">
        <v>1436</v>
      </c>
      <c r="E8923" s="336">
        <v>43822</v>
      </c>
      <c r="F8923" s="336">
        <v>43795</v>
      </c>
      <c r="G8923" s="336">
        <v>43821</v>
      </c>
      <c r="H8923" s="334" t="s">
        <v>8653</v>
      </c>
      <c r="I8923" s="444">
        <v>13818120494</v>
      </c>
      <c r="J8923" s="348" t="s">
        <v>18721</v>
      </c>
      <c r="K8923" s="452">
        <v>1000</v>
      </c>
      <c r="L8923" s="334">
        <v>20000</v>
      </c>
      <c r="N8923" s="362">
        <f t="shared" si="303"/>
        <v>20000</v>
      </c>
    </row>
    <row r="8924" ht="15" customHeight="1" spans="1:14">
      <c r="A8924" s="550" t="s">
        <v>18722</v>
      </c>
      <c r="B8924" s="334" t="s">
        <v>66</v>
      </c>
      <c r="C8924" s="348" t="s">
        <v>7029</v>
      </c>
      <c r="D8924" s="334" t="s">
        <v>2302</v>
      </c>
      <c r="E8924" s="336">
        <v>43799</v>
      </c>
      <c r="F8924" s="336">
        <v>43795</v>
      </c>
      <c r="G8924" s="336">
        <v>43799</v>
      </c>
      <c r="H8924" s="334" t="s">
        <v>18723</v>
      </c>
      <c r="I8924" s="444">
        <v>17521663085</v>
      </c>
      <c r="J8924" s="348" t="s">
        <v>18724</v>
      </c>
      <c r="K8924" s="452">
        <v>1000</v>
      </c>
      <c r="L8924" s="334">
        <v>11000</v>
      </c>
      <c r="N8924" s="362">
        <f t="shared" si="303"/>
        <v>11000</v>
      </c>
    </row>
    <row r="8925" ht="15" customHeight="1" spans="1:14">
      <c r="A8925" s="550" t="s">
        <v>5054</v>
      </c>
      <c r="B8925" s="334" t="s">
        <v>2625</v>
      </c>
      <c r="C8925" s="348" t="s">
        <v>2626</v>
      </c>
      <c r="D8925" s="334" t="s">
        <v>337</v>
      </c>
      <c r="E8925" s="336">
        <v>43796</v>
      </c>
      <c r="F8925" s="336">
        <v>43795</v>
      </c>
      <c r="G8925" s="336">
        <v>43796</v>
      </c>
      <c r="H8925" s="334" t="s">
        <v>18725</v>
      </c>
      <c r="I8925" s="444">
        <v>18962196139</v>
      </c>
      <c r="J8925" s="348" t="s">
        <v>18726</v>
      </c>
      <c r="K8925" s="452">
        <v>2000</v>
      </c>
      <c r="L8925" s="334">
        <v>14800</v>
      </c>
      <c r="N8925" s="362">
        <f t="shared" si="303"/>
        <v>14800</v>
      </c>
    </row>
    <row r="8926" ht="15" customHeight="1" spans="1:14">
      <c r="A8926" s="550" t="s">
        <v>18727</v>
      </c>
      <c r="B8926" s="334" t="s">
        <v>315</v>
      </c>
      <c r="C8926" s="348" t="s">
        <v>161</v>
      </c>
      <c r="D8926" s="335" t="s">
        <v>162</v>
      </c>
      <c r="E8926" s="336">
        <v>43795</v>
      </c>
      <c r="F8926" s="336">
        <v>43791</v>
      </c>
      <c r="G8926" s="399">
        <v>43791</v>
      </c>
      <c r="H8926" s="334" t="s">
        <v>18412</v>
      </c>
      <c r="I8926" s="444">
        <v>13916584048</v>
      </c>
      <c r="J8926" s="348" t="s">
        <v>18413</v>
      </c>
      <c r="K8926" s="452">
        <v>2000</v>
      </c>
      <c r="N8926" s="362">
        <f t="shared" si="303"/>
        <v>0</v>
      </c>
    </row>
    <row r="8927" ht="15" customHeight="1" spans="1:14">
      <c r="A8927" s="550" t="s">
        <v>8720</v>
      </c>
      <c r="B8927" s="334" t="s">
        <v>66</v>
      </c>
      <c r="C8927" s="348" t="s">
        <v>119</v>
      </c>
      <c r="D8927" s="334" t="s">
        <v>1436</v>
      </c>
      <c r="E8927" s="336">
        <v>43797</v>
      </c>
      <c r="F8927" s="336">
        <v>43795</v>
      </c>
      <c r="G8927" s="336">
        <v>43797</v>
      </c>
      <c r="H8927" s="334" t="s">
        <v>18728</v>
      </c>
      <c r="I8927" s="444">
        <v>13621832508</v>
      </c>
      <c r="J8927" s="348" t="s">
        <v>18729</v>
      </c>
      <c r="K8927" s="452">
        <v>10000</v>
      </c>
      <c r="L8927" s="334">
        <v>20000</v>
      </c>
      <c r="N8927" s="362">
        <f t="shared" si="303"/>
        <v>20000</v>
      </c>
    </row>
    <row r="8928" ht="15" customHeight="1" spans="1:14">
      <c r="A8928" s="550" t="s">
        <v>18730</v>
      </c>
      <c r="B8928" s="334" t="s">
        <v>315</v>
      </c>
      <c r="C8928" s="348" t="s">
        <v>366</v>
      </c>
      <c r="D8928" s="334" t="s">
        <v>1431</v>
      </c>
      <c r="E8928" s="336">
        <v>43795</v>
      </c>
      <c r="F8928" s="336">
        <v>43795</v>
      </c>
      <c r="G8928" s="399">
        <v>43795</v>
      </c>
      <c r="H8928" s="334" t="s">
        <v>18731</v>
      </c>
      <c r="I8928" s="438">
        <v>13817769836</v>
      </c>
      <c r="J8928" s="348" t="s">
        <v>18732</v>
      </c>
      <c r="K8928" s="452">
        <v>1000</v>
      </c>
      <c r="L8928" s="334">
        <v>3751</v>
      </c>
      <c r="N8928" s="362">
        <f t="shared" si="303"/>
        <v>3751</v>
      </c>
    </row>
    <row r="8929" ht="15" customHeight="1" spans="1:17">
      <c r="A8929" s="550" t="s">
        <v>18733</v>
      </c>
      <c r="B8929" s="334" t="s">
        <v>137</v>
      </c>
      <c r="C8929" s="348" t="s">
        <v>2705</v>
      </c>
      <c r="D8929" s="335" t="s">
        <v>443</v>
      </c>
      <c r="E8929" s="336">
        <v>43795</v>
      </c>
      <c r="F8929" s="336">
        <v>43775</v>
      </c>
      <c r="G8929" s="399"/>
      <c r="H8929" s="334" t="s">
        <v>4954</v>
      </c>
      <c r="I8929" s="444">
        <v>13761424577</v>
      </c>
      <c r="J8929" s="348" t="s">
        <v>18734</v>
      </c>
      <c r="K8929" s="452">
        <v>1000</v>
      </c>
      <c r="N8929" s="362">
        <f t="shared" si="303"/>
        <v>0</v>
      </c>
      <c r="Q8929" s="353">
        <v>1</v>
      </c>
    </row>
    <row r="8930" ht="15" customHeight="1" spans="1:16">
      <c r="A8930" s="550" t="s">
        <v>18735</v>
      </c>
      <c r="B8930" s="334" t="s">
        <v>137</v>
      </c>
      <c r="C8930" s="348" t="s">
        <v>2705</v>
      </c>
      <c r="D8930" s="335" t="s">
        <v>443</v>
      </c>
      <c r="E8930" s="336">
        <v>43795</v>
      </c>
      <c r="F8930" s="336">
        <v>43775</v>
      </c>
      <c r="G8930" s="399"/>
      <c r="H8930" s="334" t="s">
        <v>18736</v>
      </c>
      <c r="I8930" s="444">
        <v>18758159581</v>
      </c>
      <c r="J8930" s="348" t="s">
        <v>18737</v>
      </c>
      <c r="K8930" s="452">
        <v>1000</v>
      </c>
      <c r="N8930" s="362">
        <f t="shared" si="303"/>
        <v>0</v>
      </c>
      <c r="P8930" s="353">
        <v>1</v>
      </c>
    </row>
    <row r="8931" ht="15" customHeight="1" spans="2:14">
      <c r="B8931" s="334" t="s">
        <v>315</v>
      </c>
      <c r="C8931" s="334" t="s">
        <v>230</v>
      </c>
      <c r="D8931" s="334" t="s">
        <v>1431</v>
      </c>
      <c r="E8931" s="336">
        <v>43795</v>
      </c>
      <c r="G8931" s="336">
        <v>43794</v>
      </c>
      <c r="H8931" s="334" t="s">
        <v>18738</v>
      </c>
      <c r="I8931" s="444">
        <v>13515604103</v>
      </c>
      <c r="J8931" s="348" t="s">
        <v>18739</v>
      </c>
      <c r="L8931" s="334">
        <v>4751</v>
      </c>
      <c r="N8931" s="362">
        <f t="shared" ref="N8931:N8953" si="304">L8931+M8931</f>
        <v>4751</v>
      </c>
    </row>
    <row r="8932" ht="15" customHeight="1" spans="2:14">
      <c r="B8932" s="334" t="s">
        <v>58</v>
      </c>
      <c r="C8932" s="334" t="s">
        <v>59</v>
      </c>
      <c r="D8932" s="334" t="s">
        <v>271</v>
      </c>
      <c r="E8932" s="336">
        <v>43795</v>
      </c>
      <c r="G8932" s="336">
        <v>43793</v>
      </c>
      <c r="H8932" s="334" t="s">
        <v>18740</v>
      </c>
      <c r="I8932" s="444">
        <v>13701716726</v>
      </c>
      <c r="J8932" s="348" t="s">
        <v>18741</v>
      </c>
      <c r="L8932" s="334">
        <v>23409</v>
      </c>
      <c r="N8932" s="362">
        <f t="shared" si="304"/>
        <v>23409</v>
      </c>
    </row>
    <row r="8933" ht="15" customHeight="1" spans="2:14">
      <c r="B8933" s="334" t="s">
        <v>4009</v>
      </c>
      <c r="C8933" s="334" t="s">
        <v>6401</v>
      </c>
      <c r="D8933" s="334" t="s">
        <v>207</v>
      </c>
      <c r="E8933" s="336">
        <v>43795</v>
      </c>
      <c r="G8933" s="336">
        <v>43793</v>
      </c>
      <c r="H8933" s="334" t="s">
        <v>18742</v>
      </c>
      <c r="I8933" s="444">
        <v>17317617598</v>
      </c>
      <c r="J8933" s="348" t="s">
        <v>18743</v>
      </c>
      <c r="L8933" s="334">
        <v>10721</v>
      </c>
      <c r="N8933" s="362">
        <f t="shared" si="304"/>
        <v>10721</v>
      </c>
    </row>
    <row r="8934" ht="15" customHeight="1" spans="2:14">
      <c r="B8934" s="334" t="s">
        <v>87</v>
      </c>
      <c r="C8934" s="334" t="s">
        <v>466</v>
      </c>
      <c r="D8934" s="334" t="s">
        <v>8334</v>
      </c>
      <c r="E8934" s="336">
        <v>43795</v>
      </c>
      <c r="G8934" s="336">
        <v>43794</v>
      </c>
      <c r="H8934" s="334" t="s">
        <v>14251</v>
      </c>
      <c r="I8934" s="444">
        <v>13636670290</v>
      </c>
      <c r="J8934" s="348" t="s">
        <v>18744</v>
      </c>
      <c r="L8934" s="334">
        <v>4369</v>
      </c>
      <c r="M8934" s="334">
        <v>9999</v>
      </c>
      <c r="N8934" s="362">
        <f t="shared" si="304"/>
        <v>14368</v>
      </c>
    </row>
    <row r="8935" ht="15" customHeight="1" spans="2:14">
      <c r="B8935" s="334" t="s">
        <v>35</v>
      </c>
      <c r="C8935" s="334" t="s">
        <v>392</v>
      </c>
      <c r="D8935" s="334" t="s">
        <v>37</v>
      </c>
      <c r="E8935" s="336">
        <v>43795</v>
      </c>
      <c r="G8935" s="336">
        <v>43794</v>
      </c>
      <c r="H8935" s="334" t="s">
        <v>18745</v>
      </c>
      <c r="I8935" s="444">
        <v>13918411035</v>
      </c>
      <c r="J8935" s="348" t="s">
        <v>18746</v>
      </c>
      <c r="L8935" s="334">
        <v>14873</v>
      </c>
      <c r="N8935" s="362">
        <f t="shared" si="304"/>
        <v>14873</v>
      </c>
    </row>
    <row r="8936" ht="15" customHeight="1" spans="2:14">
      <c r="B8936" s="334" t="s">
        <v>315</v>
      </c>
      <c r="C8936" s="334" t="s">
        <v>230</v>
      </c>
      <c r="D8936" s="334" t="s">
        <v>182</v>
      </c>
      <c r="E8936" s="336">
        <v>43795</v>
      </c>
      <c r="G8936" s="336">
        <v>43794</v>
      </c>
      <c r="H8936" s="334" t="s">
        <v>3429</v>
      </c>
      <c r="I8936" s="444">
        <v>13917590418</v>
      </c>
      <c r="J8936" s="348" t="s">
        <v>18747</v>
      </c>
      <c r="L8936" s="334">
        <v>53000</v>
      </c>
      <c r="N8936" s="362">
        <f t="shared" si="304"/>
        <v>53000</v>
      </c>
    </row>
    <row r="8937" ht="15" customHeight="1" spans="2:14">
      <c r="B8937" s="334" t="s">
        <v>6313</v>
      </c>
      <c r="C8937" s="334" t="s">
        <v>7818</v>
      </c>
      <c r="D8937" s="334" t="s">
        <v>7871</v>
      </c>
      <c r="E8937" s="336">
        <v>43795</v>
      </c>
      <c r="G8937" s="336">
        <v>43793</v>
      </c>
      <c r="H8937" s="334" t="s">
        <v>18748</v>
      </c>
      <c r="I8937" s="444">
        <v>13512113921</v>
      </c>
      <c r="J8937" s="348" t="s">
        <v>18749</v>
      </c>
      <c r="L8937" s="334">
        <v>12377</v>
      </c>
      <c r="N8937" s="362">
        <f t="shared" si="304"/>
        <v>12377</v>
      </c>
    </row>
    <row r="8938" ht="15" customHeight="1" spans="2:14">
      <c r="B8938" s="334" t="s">
        <v>169</v>
      </c>
      <c r="C8938" s="334" t="s">
        <v>634</v>
      </c>
      <c r="D8938" s="334" t="s">
        <v>635</v>
      </c>
      <c r="E8938" s="336">
        <v>43795</v>
      </c>
      <c r="G8938" s="336">
        <v>43795</v>
      </c>
      <c r="H8938" s="334" t="s">
        <v>18750</v>
      </c>
      <c r="I8938" s="444">
        <v>18516376788</v>
      </c>
      <c r="J8938" s="348" t="s">
        <v>18751</v>
      </c>
      <c r="L8938" s="334">
        <v>3479</v>
      </c>
      <c r="M8938" s="334">
        <v>7249</v>
      </c>
      <c r="N8938" s="362">
        <f t="shared" si="304"/>
        <v>10728</v>
      </c>
    </row>
    <row r="8939" ht="15" customHeight="1" spans="2:14">
      <c r="B8939" s="334" t="s">
        <v>5435</v>
      </c>
      <c r="C8939" s="334" t="s">
        <v>1728</v>
      </c>
      <c r="D8939" s="334" t="s">
        <v>149</v>
      </c>
      <c r="E8939" s="336">
        <v>43795</v>
      </c>
      <c r="G8939" s="336">
        <v>43794</v>
      </c>
      <c r="H8939" s="334" t="s">
        <v>15485</v>
      </c>
      <c r="I8939" s="334">
        <v>13601903893</v>
      </c>
      <c r="J8939" s="334" t="s">
        <v>15486</v>
      </c>
      <c r="M8939" s="334">
        <v>-286</v>
      </c>
      <c r="N8939" s="362">
        <f t="shared" si="304"/>
        <v>-286</v>
      </c>
    </row>
    <row r="8940" ht="15" customHeight="1" spans="2:14">
      <c r="B8940" s="334" t="s">
        <v>169</v>
      </c>
      <c r="C8940" s="334" t="s">
        <v>542</v>
      </c>
      <c r="D8940" s="334" t="s">
        <v>171</v>
      </c>
      <c r="E8940" s="336">
        <v>43795</v>
      </c>
      <c r="G8940" s="336">
        <v>43794</v>
      </c>
      <c r="H8940" s="334" t="s">
        <v>13191</v>
      </c>
      <c r="I8940" s="426">
        <v>18516523980</v>
      </c>
      <c r="J8940" s="334" t="s">
        <v>13192</v>
      </c>
      <c r="M8940" s="334">
        <v>10148</v>
      </c>
      <c r="N8940" s="362">
        <f t="shared" si="304"/>
        <v>10148</v>
      </c>
    </row>
    <row r="8941" ht="15" customHeight="1" spans="2:14">
      <c r="B8941" s="334" t="s">
        <v>726</v>
      </c>
      <c r="C8941" s="334" t="s">
        <v>727</v>
      </c>
      <c r="D8941" s="334" t="s">
        <v>271</v>
      </c>
      <c r="E8941" s="336">
        <v>43795</v>
      </c>
      <c r="G8941" s="336">
        <v>43794</v>
      </c>
      <c r="H8941" s="334" t="s">
        <v>18752</v>
      </c>
      <c r="I8941" s="444">
        <v>13564314530</v>
      </c>
      <c r="J8941" s="334" t="s">
        <v>18753</v>
      </c>
      <c r="M8941" s="334">
        <v>5500</v>
      </c>
      <c r="N8941" s="362">
        <f t="shared" si="304"/>
        <v>5500</v>
      </c>
    </row>
    <row r="8942" ht="15" customHeight="1" spans="2:14">
      <c r="B8942" s="334" t="s">
        <v>58</v>
      </c>
      <c r="C8942" s="334" t="s">
        <v>59</v>
      </c>
      <c r="D8942" s="334" t="s">
        <v>271</v>
      </c>
      <c r="E8942" s="336">
        <v>43795</v>
      </c>
      <c r="G8942" s="336">
        <v>43794</v>
      </c>
      <c r="H8942" s="334" t="s">
        <v>9199</v>
      </c>
      <c r="I8942" s="334">
        <v>15000936659</v>
      </c>
      <c r="J8942" s="334" t="s">
        <v>18754</v>
      </c>
      <c r="M8942" s="334">
        <v>4596</v>
      </c>
      <c r="N8942" s="362">
        <f t="shared" si="304"/>
        <v>4596</v>
      </c>
    </row>
    <row r="8943" ht="15" customHeight="1" spans="2:14">
      <c r="B8943" s="334" t="s">
        <v>87</v>
      </c>
      <c r="C8943" s="334" t="s">
        <v>466</v>
      </c>
      <c r="D8943" s="334" t="s">
        <v>89</v>
      </c>
      <c r="E8943" s="336">
        <v>43795</v>
      </c>
      <c r="G8943" s="336">
        <v>43794</v>
      </c>
      <c r="H8943" s="334" t="s">
        <v>12146</v>
      </c>
      <c r="I8943" s="334">
        <v>13507219898</v>
      </c>
      <c r="J8943" s="334" t="s">
        <v>12147</v>
      </c>
      <c r="M8943" s="334">
        <f>1000+47888</f>
        <v>48888</v>
      </c>
      <c r="N8943" s="362">
        <f t="shared" si="304"/>
        <v>48888</v>
      </c>
    </row>
    <row r="8944" ht="15" customHeight="1" spans="2:14">
      <c r="B8944" s="334" t="s">
        <v>243</v>
      </c>
      <c r="C8944" s="334" t="s">
        <v>304</v>
      </c>
      <c r="D8944" s="335" t="s">
        <v>49</v>
      </c>
      <c r="E8944" s="336">
        <v>43795</v>
      </c>
      <c r="G8944" s="336">
        <v>43795</v>
      </c>
      <c r="H8944" s="334" t="s">
        <v>4603</v>
      </c>
      <c r="I8944" s="334">
        <v>13917941307</v>
      </c>
      <c r="J8944" s="334" t="s">
        <v>13871</v>
      </c>
      <c r="M8944" s="334">
        <v>18000</v>
      </c>
      <c r="N8944" s="362">
        <f t="shared" si="304"/>
        <v>18000</v>
      </c>
    </row>
    <row r="8945" ht="15" customHeight="1" spans="2:14">
      <c r="B8945" s="334" t="s">
        <v>153</v>
      </c>
      <c r="C8945" s="334" t="s">
        <v>302</v>
      </c>
      <c r="D8945" s="334" t="s">
        <v>155</v>
      </c>
      <c r="E8945" s="336">
        <v>43795</v>
      </c>
      <c r="G8945" s="336">
        <v>43791</v>
      </c>
      <c r="H8945" s="334" t="s">
        <v>2198</v>
      </c>
      <c r="I8945" s="334">
        <v>13818737153</v>
      </c>
      <c r="J8945" s="334" t="s">
        <v>18755</v>
      </c>
      <c r="M8945" s="334">
        <f>2250+300</f>
        <v>2550</v>
      </c>
      <c r="N8945" s="362">
        <f t="shared" si="304"/>
        <v>2550</v>
      </c>
    </row>
    <row r="8946" ht="15" customHeight="1" spans="2:14">
      <c r="B8946" s="334" t="s">
        <v>169</v>
      </c>
      <c r="C8946" s="334" t="s">
        <v>542</v>
      </c>
      <c r="D8946" s="334" t="s">
        <v>171</v>
      </c>
      <c r="E8946" s="336">
        <v>43795</v>
      </c>
      <c r="G8946" s="336">
        <v>43795</v>
      </c>
      <c r="H8946" s="334" t="s">
        <v>17752</v>
      </c>
      <c r="I8946" s="444">
        <v>13916179201</v>
      </c>
      <c r="J8946" s="348" t="s">
        <v>17753</v>
      </c>
      <c r="M8946" s="334">
        <v>1566</v>
      </c>
      <c r="N8946" s="362">
        <f t="shared" si="304"/>
        <v>1566</v>
      </c>
    </row>
    <row r="8947" ht="15" customHeight="1" spans="2:14">
      <c r="B8947" s="334" t="s">
        <v>58</v>
      </c>
      <c r="C8947" s="334" t="s">
        <v>794</v>
      </c>
      <c r="D8947" s="334" t="s">
        <v>635</v>
      </c>
      <c r="E8947" s="336">
        <v>43795</v>
      </c>
      <c r="G8947" s="336">
        <v>43794</v>
      </c>
      <c r="H8947" s="334" t="s">
        <v>6481</v>
      </c>
      <c r="I8947" s="334">
        <v>13918854021</v>
      </c>
      <c r="J8947" s="334" t="s">
        <v>6482</v>
      </c>
      <c r="M8947" s="334">
        <v>2620</v>
      </c>
      <c r="N8947" s="362">
        <f t="shared" si="304"/>
        <v>2620</v>
      </c>
    </row>
    <row r="8948" ht="15" customHeight="1" spans="2:14">
      <c r="B8948" s="334" t="s">
        <v>31</v>
      </c>
      <c r="C8948" s="334" t="s">
        <v>419</v>
      </c>
      <c r="D8948" s="334" t="s">
        <v>33</v>
      </c>
      <c r="E8948" s="336">
        <v>43795</v>
      </c>
      <c r="G8948" s="336">
        <v>43795</v>
      </c>
      <c r="H8948" s="334" t="s">
        <v>7174</v>
      </c>
      <c r="I8948" s="334">
        <v>13764419500</v>
      </c>
      <c r="J8948" s="334" t="s">
        <v>18756</v>
      </c>
      <c r="M8948" s="334">
        <v>615</v>
      </c>
      <c r="N8948" s="362">
        <f t="shared" si="304"/>
        <v>615</v>
      </c>
    </row>
    <row r="8949" ht="15" customHeight="1" spans="2:14">
      <c r="B8949" s="334" t="s">
        <v>185</v>
      </c>
      <c r="C8949" s="334" t="s">
        <v>1620</v>
      </c>
      <c r="D8949" s="334" t="s">
        <v>44</v>
      </c>
      <c r="E8949" s="336">
        <v>43795</v>
      </c>
      <c r="G8949" s="336">
        <v>43795</v>
      </c>
      <c r="H8949" s="334" t="s">
        <v>7612</v>
      </c>
      <c r="I8949" s="438">
        <v>13817806339</v>
      </c>
      <c r="J8949" s="334" t="s">
        <v>7613</v>
      </c>
      <c r="M8949" s="334">
        <v>7008</v>
      </c>
      <c r="N8949" s="362">
        <f t="shared" si="304"/>
        <v>7008</v>
      </c>
    </row>
    <row r="8950" ht="15" customHeight="1" spans="2:14">
      <c r="B8950" s="334" t="s">
        <v>405</v>
      </c>
      <c r="C8950" s="334" t="s">
        <v>823</v>
      </c>
      <c r="D8950" s="334" t="s">
        <v>407</v>
      </c>
      <c r="E8950" s="336">
        <v>43795</v>
      </c>
      <c r="G8950" s="336">
        <v>43771</v>
      </c>
      <c r="H8950" s="334" t="s">
        <v>17399</v>
      </c>
      <c r="I8950" s="444">
        <v>15802177248</v>
      </c>
      <c r="J8950" s="348" t="s">
        <v>17400</v>
      </c>
      <c r="M8950" s="334">
        <v>3681</v>
      </c>
      <c r="N8950" s="362">
        <f t="shared" si="304"/>
        <v>3681</v>
      </c>
    </row>
    <row r="8951" ht="15" customHeight="1" spans="2:14">
      <c r="B8951" s="334" t="s">
        <v>66</v>
      </c>
      <c r="C8951" s="334" t="s">
        <v>505</v>
      </c>
      <c r="D8951" s="334" t="s">
        <v>2302</v>
      </c>
      <c r="E8951" s="336">
        <v>43795</v>
      </c>
      <c r="G8951" s="336">
        <v>43795</v>
      </c>
      <c r="H8951" s="334" t="s">
        <v>16421</v>
      </c>
      <c r="I8951" s="426">
        <v>18321640997</v>
      </c>
      <c r="J8951" s="348" t="s">
        <v>16422</v>
      </c>
      <c r="M8951" s="334">
        <v>3952</v>
      </c>
      <c r="N8951" s="362">
        <f t="shared" si="304"/>
        <v>3952</v>
      </c>
    </row>
    <row r="8952" ht="15" customHeight="1" spans="2:14">
      <c r="B8952" s="334" t="s">
        <v>66</v>
      </c>
      <c r="C8952" s="334" t="s">
        <v>505</v>
      </c>
      <c r="D8952" s="334" t="s">
        <v>2302</v>
      </c>
      <c r="E8952" s="336">
        <v>43795</v>
      </c>
      <c r="G8952" s="336">
        <v>43795</v>
      </c>
      <c r="H8952" s="334" t="s">
        <v>13852</v>
      </c>
      <c r="I8952" s="426">
        <v>13916692295</v>
      </c>
      <c r="J8952" s="334" t="s">
        <v>13853</v>
      </c>
      <c r="M8952" s="334">
        <v>15752</v>
      </c>
      <c r="N8952" s="362">
        <f t="shared" si="304"/>
        <v>15752</v>
      </c>
    </row>
    <row r="8953" ht="15" customHeight="1" spans="2:14">
      <c r="B8953" s="334" t="s">
        <v>405</v>
      </c>
      <c r="C8953" s="334" t="s">
        <v>1234</v>
      </c>
      <c r="D8953" s="334" t="s">
        <v>407</v>
      </c>
      <c r="E8953" s="336">
        <v>43795</v>
      </c>
      <c r="G8953" s="336">
        <v>43795</v>
      </c>
      <c r="H8953" s="334" t="s">
        <v>2759</v>
      </c>
      <c r="I8953" s="334">
        <v>13818919096</v>
      </c>
      <c r="J8953" s="334" t="s">
        <v>18757</v>
      </c>
      <c r="M8953" s="334">
        <v>8580</v>
      </c>
      <c r="N8953" s="362">
        <f t="shared" si="304"/>
        <v>8580</v>
      </c>
    </row>
    <row r="8954" ht="15" customHeight="1" spans="1:15">
      <c r="A8954" s="550" t="s">
        <v>11008</v>
      </c>
      <c r="B8954" s="334" t="s">
        <v>58</v>
      </c>
      <c r="C8954" s="348" t="s">
        <v>59</v>
      </c>
      <c r="D8954" s="335" t="s">
        <v>343</v>
      </c>
      <c r="E8954" s="336">
        <v>43796</v>
      </c>
      <c r="F8954" s="336">
        <v>43795</v>
      </c>
      <c r="G8954" s="399"/>
      <c r="H8954" s="334" t="s">
        <v>18758</v>
      </c>
      <c r="I8954" s="444">
        <v>13621700280</v>
      </c>
      <c r="J8954" s="348" t="s">
        <v>18759</v>
      </c>
      <c r="K8954" s="452">
        <v>1000</v>
      </c>
      <c r="N8954" s="362">
        <f t="shared" ref="N8954:N8977" si="305">L8954+M8954</f>
        <v>0</v>
      </c>
      <c r="O8954" s="467" t="s">
        <v>52</v>
      </c>
    </row>
    <row r="8955" ht="15" customHeight="1" spans="1:15">
      <c r="A8955" s="550" t="s">
        <v>4823</v>
      </c>
      <c r="B8955" s="334" t="s">
        <v>58</v>
      </c>
      <c r="C8955" s="348" t="s">
        <v>59</v>
      </c>
      <c r="D8955" s="334" t="s">
        <v>110</v>
      </c>
      <c r="E8955" s="336">
        <v>43828</v>
      </c>
      <c r="F8955" s="336">
        <v>43795</v>
      </c>
      <c r="G8955" s="336">
        <v>43828</v>
      </c>
      <c r="H8955" s="334" t="s">
        <v>18760</v>
      </c>
      <c r="I8955" s="444">
        <v>13611697066</v>
      </c>
      <c r="J8955" s="348" t="s">
        <v>18761</v>
      </c>
      <c r="K8955" s="452">
        <v>10000</v>
      </c>
      <c r="L8955" s="334">
        <v>9976</v>
      </c>
      <c r="N8955" s="362">
        <f t="shared" si="305"/>
        <v>9976</v>
      </c>
      <c r="O8955" s="467" t="s">
        <v>52</v>
      </c>
    </row>
    <row r="8956" ht="15" customHeight="1" spans="1:14">
      <c r="A8956" s="550" t="s">
        <v>1651</v>
      </c>
      <c r="B8956" s="334" t="s">
        <v>315</v>
      </c>
      <c r="C8956" s="348" t="s">
        <v>14638</v>
      </c>
      <c r="D8956" s="335" t="s">
        <v>162</v>
      </c>
      <c r="E8956" s="336">
        <v>43799</v>
      </c>
      <c r="F8956" s="336">
        <v>43795</v>
      </c>
      <c r="G8956" s="336">
        <v>43798</v>
      </c>
      <c r="H8956" s="334" t="s">
        <v>18762</v>
      </c>
      <c r="I8956" s="444">
        <v>13641820906</v>
      </c>
      <c r="J8956" s="348" t="s">
        <v>18763</v>
      </c>
      <c r="K8956" s="452">
        <v>10000</v>
      </c>
      <c r="L8956" s="334">
        <v>13400</v>
      </c>
      <c r="N8956" s="362">
        <f t="shared" si="305"/>
        <v>13400</v>
      </c>
    </row>
    <row r="8957" ht="15" customHeight="1" spans="1:15">
      <c r="A8957" s="550" t="s">
        <v>6594</v>
      </c>
      <c r="B8957" s="334" t="s">
        <v>354</v>
      </c>
      <c r="C8957" s="348" t="s">
        <v>355</v>
      </c>
      <c r="D8957" s="335" t="s">
        <v>149</v>
      </c>
      <c r="E8957" s="336">
        <v>43796</v>
      </c>
      <c r="F8957" s="336">
        <v>43795</v>
      </c>
      <c r="G8957" s="399"/>
      <c r="H8957" s="334" t="s">
        <v>18764</v>
      </c>
      <c r="I8957" s="444">
        <v>18962855907</v>
      </c>
      <c r="J8957" s="348" t="s">
        <v>18765</v>
      </c>
      <c r="K8957" s="452">
        <v>1000</v>
      </c>
      <c r="N8957" s="362">
        <f t="shared" si="305"/>
        <v>0</v>
      </c>
      <c r="O8957" s="356" t="s">
        <v>52</v>
      </c>
    </row>
    <row r="8958" ht="15" customHeight="1" spans="1:14">
      <c r="A8958" s="550" t="s">
        <v>9971</v>
      </c>
      <c r="B8958" s="334" t="s">
        <v>205</v>
      </c>
      <c r="C8958" s="348" t="s">
        <v>1467</v>
      </c>
      <c r="D8958" s="334" t="s">
        <v>207</v>
      </c>
      <c r="E8958" s="336">
        <v>43799</v>
      </c>
      <c r="F8958" s="336">
        <v>43795</v>
      </c>
      <c r="G8958" s="336">
        <v>43798</v>
      </c>
      <c r="H8958" s="334" t="s">
        <v>18766</v>
      </c>
      <c r="I8958" s="444">
        <v>13764133580</v>
      </c>
      <c r="J8958" s="348" t="s">
        <v>18767</v>
      </c>
      <c r="K8958" s="452">
        <v>8192</v>
      </c>
      <c r="L8958" s="334">
        <v>8192</v>
      </c>
      <c r="N8958" s="362">
        <f t="shared" si="305"/>
        <v>8192</v>
      </c>
    </row>
    <row r="8959" ht="15" customHeight="1" spans="1:16">
      <c r="A8959" s="348"/>
      <c r="B8959" s="334" t="s">
        <v>205</v>
      </c>
      <c r="C8959" s="348" t="s">
        <v>1467</v>
      </c>
      <c r="D8959" s="334" t="s">
        <v>207</v>
      </c>
      <c r="E8959" s="336">
        <v>43830</v>
      </c>
      <c r="F8959" s="336">
        <v>43795</v>
      </c>
      <c r="G8959" s="336">
        <v>43830</v>
      </c>
      <c r="H8959" s="334" t="s">
        <v>18766</v>
      </c>
      <c r="I8959" s="444">
        <v>13764133580</v>
      </c>
      <c r="J8959" s="348" t="s">
        <v>18768</v>
      </c>
      <c r="K8959" s="452">
        <v>5763</v>
      </c>
      <c r="L8959" s="334">
        <v>5763</v>
      </c>
      <c r="N8959" s="362">
        <f t="shared" si="305"/>
        <v>5763</v>
      </c>
      <c r="O8959" s="353"/>
      <c r="P8959" s="353" t="s">
        <v>1526</v>
      </c>
    </row>
    <row r="8960" ht="15" customHeight="1" spans="1:16">
      <c r="A8960" s="550" t="s">
        <v>14969</v>
      </c>
      <c r="B8960" s="334" t="s">
        <v>205</v>
      </c>
      <c r="C8960" s="348" t="s">
        <v>1467</v>
      </c>
      <c r="D8960" s="334" t="s">
        <v>207</v>
      </c>
      <c r="E8960" s="336">
        <v>43796</v>
      </c>
      <c r="F8960" s="336">
        <v>43795</v>
      </c>
      <c r="G8960" s="399"/>
      <c r="H8960" s="334" t="s">
        <v>18766</v>
      </c>
      <c r="I8960" s="444">
        <v>13764133580</v>
      </c>
      <c r="J8960" s="348" t="s">
        <v>18769</v>
      </c>
      <c r="K8960" s="452">
        <v>3915</v>
      </c>
      <c r="N8960" s="362">
        <f t="shared" si="305"/>
        <v>0</v>
      </c>
      <c r="P8960" s="353" t="s">
        <v>1526</v>
      </c>
    </row>
    <row r="8961" ht="15" customHeight="1" spans="1:16">
      <c r="A8961" s="550" t="s">
        <v>9988</v>
      </c>
      <c r="B8961" s="334" t="s">
        <v>205</v>
      </c>
      <c r="C8961" s="348" t="s">
        <v>1467</v>
      </c>
      <c r="D8961" s="334" t="s">
        <v>207</v>
      </c>
      <c r="E8961" s="336">
        <v>43830</v>
      </c>
      <c r="F8961" s="336">
        <v>43795</v>
      </c>
      <c r="G8961" s="336">
        <v>43830</v>
      </c>
      <c r="H8961" s="334" t="s">
        <v>18766</v>
      </c>
      <c r="I8961" s="444">
        <v>13764133580</v>
      </c>
      <c r="J8961" s="348" t="s">
        <v>18770</v>
      </c>
      <c r="K8961" s="452">
        <v>5763</v>
      </c>
      <c r="L8961" s="334">
        <v>5763</v>
      </c>
      <c r="N8961" s="362">
        <f t="shared" si="305"/>
        <v>5763</v>
      </c>
      <c r="P8961" s="353" t="s">
        <v>1526</v>
      </c>
    </row>
    <row r="8962" ht="15" customHeight="1" spans="1:16">
      <c r="A8962" s="550" t="s">
        <v>14749</v>
      </c>
      <c r="B8962" s="334" t="s">
        <v>205</v>
      </c>
      <c r="C8962" s="348" t="s">
        <v>1467</v>
      </c>
      <c r="D8962" s="334" t="s">
        <v>207</v>
      </c>
      <c r="E8962" s="336">
        <v>43830</v>
      </c>
      <c r="F8962" s="336">
        <v>43795</v>
      </c>
      <c r="G8962" s="336">
        <v>43830</v>
      </c>
      <c r="H8962" s="334" t="s">
        <v>18766</v>
      </c>
      <c r="I8962" s="444">
        <v>13764133580</v>
      </c>
      <c r="J8962" s="348" t="s">
        <v>18771</v>
      </c>
      <c r="K8962" s="452">
        <v>5763</v>
      </c>
      <c r="L8962" s="334">
        <v>5763</v>
      </c>
      <c r="N8962" s="362">
        <f t="shared" si="305"/>
        <v>5763</v>
      </c>
      <c r="P8962" s="353" t="s">
        <v>1526</v>
      </c>
    </row>
    <row r="8963" ht="15" customHeight="1" spans="1:16">
      <c r="A8963" s="550" t="s">
        <v>9480</v>
      </c>
      <c r="B8963" s="334" t="s">
        <v>205</v>
      </c>
      <c r="C8963" s="348" t="s">
        <v>1467</v>
      </c>
      <c r="D8963" s="334" t="s">
        <v>207</v>
      </c>
      <c r="E8963" s="336">
        <v>43830</v>
      </c>
      <c r="F8963" s="336">
        <v>43795</v>
      </c>
      <c r="G8963" s="336">
        <v>43830</v>
      </c>
      <c r="H8963" s="334" t="s">
        <v>18766</v>
      </c>
      <c r="I8963" s="444">
        <v>13764133580</v>
      </c>
      <c r="J8963" s="348" t="s">
        <v>18772</v>
      </c>
      <c r="K8963" s="452">
        <v>3915</v>
      </c>
      <c r="L8963" s="334">
        <v>3915</v>
      </c>
      <c r="N8963" s="362">
        <f t="shared" si="305"/>
        <v>3915</v>
      </c>
      <c r="P8963" s="353" t="s">
        <v>1526</v>
      </c>
    </row>
    <row r="8964" ht="15" customHeight="1" spans="1:14">
      <c r="A8964" s="348"/>
      <c r="B8964" s="334" t="s">
        <v>123</v>
      </c>
      <c r="C8964" s="348" t="s">
        <v>902</v>
      </c>
      <c r="D8964" s="335" t="s">
        <v>125</v>
      </c>
      <c r="E8964" s="336">
        <v>43796</v>
      </c>
      <c r="F8964" s="336">
        <v>43795</v>
      </c>
      <c r="G8964" s="399">
        <v>43796</v>
      </c>
      <c r="H8964" s="334" t="s">
        <v>18773</v>
      </c>
      <c r="I8964" s="444">
        <v>13761686581</v>
      </c>
      <c r="J8964" s="348" t="s">
        <v>18774</v>
      </c>
      <c r="K8964" s="452">
        <v>1000</v>
      </c>
      <c r="L8964" s="334">
        <v>11263</v>
      </c>
      <c r="N8964" s="362">
        <f t="shared" si="305"/>
        <v>11263</v>
      </c>
    </row>
    <row r="8965" ht="15" customHeight="1" spans="1:14">
      <c r="A8965" s="550" t="s">
        <v>11115</v>
      </c>
      <c r="B8965" s="334" t="s">
        <v>42</v>
      </c>
      <c r="C8965" s="348" t="s">
        <v>43</v>
      </c>
      <c r="D8965" s="334" t="s">
        <v>44</v>
      </c>
      <c r="E8965" s="336">
        <v>43796</v>
      </c>
      <c r="F8965" s="336">
        <v>43796</v>
      </c>
      <c r="G8965" s="336">
        <v>43796</v>
      </c>
      <c r="H8965" s="334" t="s">
        <v>18775</v>
      </c>
      <c r="I8965" s="444">
        <v>13061760979</v>
      </c>
      <c r="J8965" s="348" t="s">
        <v>18776</v>
      </c>
      <c r="K8965" s="452">
        <v>5903</v>
      </c>
      <c r="L8965" s="334">
        <v>5903</v>
      </c>
      <c r="M8965" s="334">
        <v>1199</v>
      </c>
      <c r="N8965" s="362">
        <f t="shared" si="305"/>
        <v>7102</v>
      </c>
    </row>
    <row r="8966" ht="15" customHeight="1" spans="1:17">
      <c r="A8966" s="550" t="s">
        <v>1834</v>
      </c>
      <c r="B8966" s="334" t="s">
        <v>87</v>
      </c>
      <c r="C8966" s="348" t="s">
        <v>466</v>
      </c>
      <c r="D8966" s="335" t="s">
        <v>89</v>
      </c>
      <c r="E8966" s="336">
        <v>43830</v>
      </c>
      <c r="F8966" s="336">
        <v>43777</v>
      </c>
      <c r="G8966" s="336">
        <v>43830</v>
      </c>
      <c r="H8966" s="334" t="s">
        <v>18777</v>
      </c>
      <c r="I8966" s="444">
        <v>13621875641</v>
      </c>
      <c r="J8966" s="348" t="s">
        <v>18778</v>
      </c>
      <c r="K8966" s="452">
        <v>9700</v>
      </c>
      <c r="L8966" s="334">
        <v>9700</v>
      </c>
      <c r="N8966" s="362">
        <f t="shared" si="305"/>
        <v>9700</v>
      </c>
      <c r="Q8966" s="356" t="s">
        <v>52</v>
      </c>
    </row>
    <row r="8967" ht="15" customHeight="1" spans="1:14">
      <c r="A8967" s="550" t="s">
        <v>6992</v>
      </c>
      <c r="B8967" s="334" t="s">
        <v>87</v>
      </c>
      <c r="C8967" s="348" t="s">
        <v>466</v>
      </c>
      <c r="D8967" s="335" t="s">
        <v>89</v>
      </c>
      <c r="E8967" s="336">
        <v>43799</v>
      </c>
      <c r="F8967" s="336">
        <v>43792</v>
      </c>
      <c r="G8967" s="336">
        <v>43799</v>
      </c>
      <c r="H8967" s="334" t="s">
        <v>18779</v>
      </c>
      <c r="I8967" s="444">
        <v>13578774977</v>
      </c>
      <c r="J8967" s="348" t="s">
        <v>18780</v>
      </c>
      <c r="K8967" s="452">
        <v>10000</v>
      </c>
      <c r="L8967" s="334">
        <v>10000</v>
      </c>
      <c r="N8967" s="362">
        <f t="shared" si="305"/>
        <v>10000</v>
      </c>
    </row>
    <row r="8968" ht="15" customHeight="1" spans="1:17">
      <c r="A8968" s="348">
        <v>2066266</v>
      </c>
      <c r="B8968" s="334" t="s">
        <v>94</v>
      </c>
      <c r="C8968" s="348" t="s">
        <v>3196</v>
      </c>
      <c r="D8968" s="335" t="s">
        <v>49</v>
      </c>
      <c r="E8968" s="336">
        <v>43796</v>
      </c>
      <c r="F8968" s="336">
        <v>43763</v>
      </c>
      <c r="G8968" s="399"/>
      <c r="H8968" s="334" t="s">
        <v>18781</v>
      </c>
      <c r="I8968" s="444">
        <v>15000010226</v>
      </c>
      <c r="J8968" s="348" t="s">
        <v>18782</v>
      </c>
      <c r="K8968" s="452">
        <v>1000</v>
      </c>
      <c r="N8968" s="362">
        <f t="shared" si="305"/>
        <v>0</v>
      </c>
      <c r="Q8968" s="467" t="s">
        <v>52</v>
      </c>
    </row>
    <row r="8969" ht="15" customHeight="1" spans="1:21">
      <c r="A8969" s="550" t="s">
        <v>4214</v>
      </c>
      <c r="B8969" s="334" t="s">
        <v>31</v>
      </c>
      <c r="C8969" s="348" t="s">
        <v>419</v>
      </c>
      <c r="D8969" s="335" t="s">
        <v>221</v>
      </c>
      <c r="E8969" s="336">
        <v>43796</v>
      </c>
      <c r="F8969" s="336">
        <v>43796</v>
      </c>
      <c r="G8969" s="399"/>
      <c r="H8969" s="334" t="s">
        <v>18783</v>
      </c>
      <c r="I8969" s="444">
        <v>13818827760</v>
      </c>
      <c r="J8969" s="348" t="s">
        <v>18784</v>
      </c>
      <c r="K8969" s="452">
        <v>3934</v>
      </c>
      <c r="N8969" s="362">
        <f t="shared" si="305"/>
        <v>0</v>
      </c>
      <c r="U8969" s="353" t="s">
        <v>40</v>
      </c>
    </row>
    <row r="8970" ht="15" customHeight="1" spans="1:14">
      <c r="A8970" s="550" t="s">
        <v>18785</v>
      </c>
      <c r="B8970" s="334" t="s">
        <v>726</v>
      </c>
      <c r="C8970" s="348" t="s">
        <v>727</v>
      </c>
      <c r="D8970" s="335" t="s">
        <v>149</v>
      </c>
      <c r="E8970" s="336">
        <v>43796</v>
      </c>
      <c r="F8970" s="336">
        <v>43789</v>
      </c>
      <c r="G8970" s="353" t="s">
        <v>18786</v>
      </c>
      <c r="H8970" s="334" t="s">
        <v>18787</v>
      </c>
      <c r="I8970" s="444">
        <v>13585624089</v>
      </c>
      <c r="J8970" s="348" t="s">
        <v>18788</v>
      </c>
      <c r="K8970" s="452">
        <v>11449</v>
      </c>
      <c r="N8970" s="362">
        <f t="shared" si="305"/>
        <v>0</v>
      </c>
    </row>
    <row r="8971" ht="15" customHeight="1" spans="1:14">
      <c r="A8971" s="550" t="s">
        <v>11897</v>
      </c>
      <c r="B8971" s="334" t="s">
        <v>87</v>
      </c>
      <c r="C8971" s="348" t="s">
        <v>466</v>
      </c>
      <c r="D8971" s="334" t="s">
        <v>89</v>
      </c>
      <c r="E8971" s="336">
        <v>43796</v>
      </c>
      <c r="F8971" s="336">
        <v>43796</v>
      </c>
      <c r="G8971" s="399">
        <v>43796</v>
      </c>
      <c r="H8971" s="334" t="s">
        <v>18789</v>
      </c>
      <c r="I8971" s="444">
        <v>15221827445</v>
      </c>
      <c r="J8971" s="348" t="s">
        <v>18790</v>
      </c>
      <c r="K8971" s="452">
        <v>14400</v>
      </c>
      <c r="L8971" s="334">
        <v>14400</v>
      </c>
      <c r="N8971" s="362">
        <f t="shared" si="305"/>
        <v>14400</v>
      </c>
    </row>
    <row r="8972" ht="15" customHeight="1" spans="1:14">
      <c r="A8972" s="550" t="s">
        <v>18791</v>
      </c>
      <c r="B8972" s="334" t="s">
        <v>315</v>
      </c>
      <c r="C8972" s="348" t="s">
        <v>181</v>
      </c>
      <c r="D8972" s="334" t="s">
        <v>1431</v>
      </c>
      <c r="E8972" s="336">
        <v>43796</v>
      </c>
      <c r="F8972" s="336">
        <v>43796</v>
      </c>
      <c r="G8972" s="399">
        <v>43796</v>
      </c>
      <c r="H8972" s="334" t="s">
        <v>18792</v>
      </c>
      <c r="I8972" s="444">
        <v>13916024103</v>
      </c>
      <c r="J8972" s="348" t="s">
        <v>18793</v>
      </c>
      <c r="K8972" s="452">
        <v>2699</v>
      </c>
      <c r="L8972" s="334">
        <v>3029</v>
      </c>
      <c r="N8972" s="362">
        <f t="shared" si="305"/>
        <v>3029</v>
      </c>
    </row>
    <row r="8973" ht="15" customHeight="1" spans="1:14">
      <c r="A8973" s="550" t="s">
        <v>18794</v>
      </c>
      <c r="B8973" s="334" t="s">
        <v>58</v>
      </c>
      <c r="C8973" s="348" t="s">
        <v>109</v>
      </c>
      <c r="D8973" s="334" t="s">
        <v>110</v>
      </c>
      <c r="E8973" s="336">
        <v>43796</v>
      </c>
      <c r="F8973" s="336">
        <v>43796</v>
      </c>
      <c r="G8973" s="399">
        <v>43796</v>
      </c>
      <c r="H8973" s="334" t="s">
        <v>18795</v>
      </c>
      <c r="I8973" s="444">
        <v>15221322760</v>
      </c>
      <c r="J8973" s="348" t="s">
        <v>18796</v>
      </c>
      <c r="K8973" s="452">
        <v>5736</v>
      </c>
      <c r="L8973" s="334">
        <v>5736</v>
      </c>
      <c r="N8973" s="362">
        <f t="shared" si="305"/>
        <v>5736</v>
      </c>
    </row>
    <row r="8974" ht="15" customHeight="1" spans="1:14">
      <c r="A8974" s="550" t="s">
        <v>6514</v>
      </c>
      <c r="B8974" s="334" t="s">
        <v>31</v>
      </c>
      <c r="C8974" s="348" t="s">
        <v>287</v>
      </c>
      <c r="D8974" s="334" t="s">
        <v>33</v>
      </c>
      <c r="E8974" s="336">
        <v>43798</v>
      </c>
      <c r="F8974" s="336">
        <v>43796</v>
      </c>
      <c r="G8974" s="336">
        <v>43798</v>
      </c>
      <c r="H8974" s="334" t="s">
        <v>18797</v>
      </c>
      <c r="I8974" s="444">
        <v>13888060017</v>
      </c>
      <c r="J8974" s="348" t="s">
        <v>18798</v>
      </c>
      <c r="K8974" s="452">
        <v>20000</v>
      </c>
      <c r="L8974" s="334">
        <v>20000</v>
      </c>
      <c r="N8974" s="362">
        <f t="shared" si="305"/>
        <v>20000</v>
      </c>
    </row>
    <row r="8975" ht="15" customHeight="1" spans="1:14">
      <c r="A8975" s="348"/>
      <c r="B8975" s="334" t="s">
        <v>2625</v>
      </c>
      <c r="C8975" s="348" t="s">
        <v>2626</v>
      </c>
      <c r="D8975" s="335" t="s">
        <v>44</v>
      </c>
      <c r="E8975" s="336">
        <v>43799</v>
      </c>
      <c r="F8975" s="336">
        <v>43796</v>
      </c>
      <c r="G8975" s="336">
        <v>43799</v>
      </c>
      <c r="H8975" s="334" t="s">
        <v>18799</v>
      </c>
      <c r="I8975" s="444">
        <v>13761150491</v>
      </c>
      <c r="J8975" s="348" t="s">
        <v>18800</v>
      </c>
      <c r="K8975" s="452">
        <v>2000</v>
      </c>
      <c r="L8975" s="334">
        <f>-4567+14700</f>
        <v>10133</v>
      </c>
      <c r="M8975" s="334">
        <v>4567</v>
      </c>
      <c r="N8975" s="362">
        <f t="shared" si="305"/>
        <v>14700</v>
      </c>
    </row>
    <row r="8976" ht="15" customHeight="1" spans="1:23">
      <c r="A8976" s="550" t="s">
        <v>12404</v>
      </c>
      <c r="B8976" s="334" t="s">
        <v>335</v>
      </c>
      <c r="C8976" s="348" t="s">
        <v>615</v>
      </c>
      <c r="D8976" s="335" t="s">
        <v>337</v>
      </c>
      <c r="E8976" s="336">
        <v>43828</v>
      </c>
      <c r="F8976" s="336">
        <v>43796</v>
      </c>
      <c r="G8976" s="336">
        <v>43827</v>
      </c>
      <c r="H8976" s="334" t="s">
        <v>18801</v>
      </c>
      <c r="I8976" s="444">
        <v>13817019443</v>
      </c>
      <c r="J8976" s="348" t="s">
        <v>18802</v>
      </c>
      <c r="K8976" s="452">
        <v>1000</v>
      </c>
      <c r="L8976" s="334">
        <v>12900</v>
      </c>
      <c r="N8976" s="362">
        <f t="shared" si="305"/>
        <v>12900</v>
      </c>
      <c r="R8976" s="356" t="s">
        <v>22</v>
      </c>
      <c r="W8976" s="353" t="s">
        <v>18803</v>
      </c>
    </row>
    <row r="8977" ht="15" customHeight="1" spans="2:14">
      <c r="B8977" s="334" t="s">
        <v>6313</v>
      </c>
      <c r="C8977" s="334" t="s">
        <v>7818</v>
      </c>
      <c r="D8977" s="334" t="s">
        <v>7871</v>
      </c>
      <c r="E8977" s="336">
        <v>43796</v>
      </c>
      <c r="G8977" s="336">
        <v>43793</v>
      </c>
      <c r="H8977" s="334" t="s">
        <v>18804</v>
      </c>
      <c r="I8977" s="438">
        <v>15601837030</v>
      </c>
      <c r="J8977" s="348" t="s">
        <v>18805</v>
      </c>
      <c r="L8977" s="334">
        <v>9200</v>
      </c>
      <c r="N8977" s="362">
        <f t="shared" ref="N8977:N8995" si="306">L8977+M8977</f>
        <v>9200</v>
      </c>
    </row>
    <row r="8978" ht="15" customHeight="1" spans="2:14">
      <c r="B8978" s="334" t="s">
        <v>58</v>
      </c>
      <c r="C8978" s="334" t="s">
        <v>342</v>
      </c>
      <c r="D8978" s="335" t="s">
        <v>343</v>
      </c>
      <c r="E8978" s="336">
        <v>43796</v>
      </c>
      <c r="G8978" s="336">
        <v>43794</v>
      </c>
      <c r="H8978" s="334" t="s">
        <v>18806</v>
      </c>
      <c r="I8978" s="438">
        <v>12501800886</v>
      </c>
      <c r="J8978" s="348" t="s">
        <v>18807</v>
      </c>
      <c r="L8978" s="334">
        <v>11100</v>
      </c>
      <c r="N8978" s="362">
        <f t="shared" si="306"/>
        <v>11100</v>
      </c>
    </row>
    <row r="8979" ht="15" customHeight="1" spans="2:14">
      <c r="B8979" s="334" t="s">
        <v>73</v>
      </c>
      <c r="C8979" s="334" t="s">
        <v>74</v>
      </c>
      <c r="D8979" s="335" t="s">
        <v>125</v>
      </c>
      <c r="E8979" s="336">
        <v>43796</v>
      </c>
      <c r="G8979" s="336">
        <v>43795</v>
      </c>
      <c r="H8979" s="334" t="s">
        <v>18808</v>
      </c>
      <c r="I8979" s="444">
        <v>13003189976</v>
      </c>
      <c r="J8979" s="348" t="s">
        <v>18809</v>
      </c>
      <c r="L8979" s="334">
        <f>-5859+24895</f>
        <v>19036</v>
      </c>
      <c r="M8979" s="334">
        <v>5859</v>
      </c>
      <c r="N8979" s="362">
        <f t="shared" si="306"/>
        <v>24895</v>
      </c>
    </row>
    <row r="8980" ht="15" customHeight="1" spans="2:14">
      <c r="B8980" s="334" t="s">
        <v>137</v>
      </c>
      <c r="C8980" s="334" t="s">
        <v>861</v>
      </c>
      <c r="D8980" s="334" t="s">
        <v>2381</v>
      </c>
      <c r="E8980" s="336">
        <v>43796</v>
      </c>
      <c r="G8980" s="336">
        <v>43795</v>
      </c>
      <c r="H8980" s="334" t="s">
        <v>18810</v>
      </c>
      <c r="I8980" s="444">
        <v>13817938283</v>
      </c>
      <c r="J8980" s="348" t="s">
        <v>18811</v>
      </c>
      <c r="L8980" s="334">
        <v>12519</v>
      </c>
      <c r="N8980" s="362">
        <f t="shared" si="306"/>
        <v>12519</v>
      </c>
    </row>
    <row r="8981" ht="15" customHeight="1" spans="2:14">
      <c r="B8981" s="334" t="s">
        <v>58</v>
      </c>
      <c r="C8981" s="334" t="s">
        <v>794</v>
      </c>
      <c r="D8981" s="334" t="s">
        <v>110</v>
      </c>
      <c r="E8981" s="336">
        <v>43796</v>
      </c>
      <c r="G8981" s="336">
        <v>43796</v>
      </c>
      <c r="H8981" s="334" t="s">
        <v>17752</v>
      </c>
      <c r="I8981" s="444">
        <v>13501943504</v>
      </c>
      <c r="J8981" s="348" t="s">
        <v>18812</v>
      </c>
      <c r="L8981" s="334">
        <v>5838</v>
      </c>
      <c r="N8981" s="362">
        <f t="shared" si="306"/>
        <v>5838</v>
      </c>
    </row>
    <row r="8982" ht="15" customHeight="1" spans="2:14">
      <c r="B8982" s="334" t="s">
        <v>281</v>
      </c>
      <c r="C8982" s="334" t="s">
        <v>517</v>
      </c>
      <c r="D8982" s="334" t="s">
        <v>518</v>
      </c>
      <c r="E8982" s="336">
        <v>43796</v>
      </c>
      <c r="G8982" s="336">
        <v>43795</v>
      </c>
      <c r="H8982" s="334" t="s">
        <v>14840</v>
      </c>
      <c r="I8982" s="444">
        <v>13661555180</v>
      </c>
      <c r="J8982" s="348" t="s">
        <v>14841</v>
      </c>
      <c r="M8982" s="334">
        <v>10583</v>
      </c>
      <c r="N8982" s="362">
        <f t="shared" si="306"/>
        <v>10583</v>
      </c>
    </row>
    <row r="8983" ht="15" customHeight="1" spans="2:14">
      <c r="B8983" s="334" t="s">
        <v>73</v>
      </c>
      <c r="C8983" s="334" t="s">
        <v>74</v>
      </c>
      <c r="D8983" s="334" t="s">
        <v>75</v>
      </c>
      <c r="E8983" s="336">
        <v>43796</v>
      </c>
      <c r="G8983" s="336">
        <v>43795</v>
      </c>
      <c r="H8983" s="334" t="s">
        <v>7097</v>
      </c>
      <c r="I8983" s="334">
        <v>13386031627</v>
      </c>
      <c r="J8983" s="334" t="s">
        <v>7098</v>
      </c>
      <c r="M8983" s="334">
        <v>497</v>
      </c>
      <c r="N8983" s="362">
        <f t="shared" si="306"/>
        <v>497</v>
      </c>
    </row>
    <row r="8984" ht="15" customHeight="1" spans="2:14">
      <c r="B8984" s="334" t="s">
        <v>42</v>
      </c>
      <c r="C8984" s="334" t="s">
        <v>12765</v>
      </c>
      <c r="D8984" s="334" t="s">
        <v>207</v>
      </c>
      <c r="E8984" s="336">
        <v>43796</v>
      </c>
      <c r="G8984" s="336">
        <v>43796</v>
      </c>
      <c r="H8984" s="334" t="s">
        <v>13201</v>
      </c>
      <c r="I8984" s="356">
        <v>18101890927</v>
      </c>
      <c r="J8984" s="348" t="s">
        <v>13202</v>
      </c>
      <c r="M8984" s="334">
        <v>198</v>
      </c>
      <c r="N8984" s="362">
        <f t="shared" si="306"/>
        <v>198</v>
      </c>
    </row>
    <row r="8985" ht="15" customHeight="1" spans="2:14">
      <c r="B8985" s="334" t="s">
        <v>31</v>
      </c>
      <c r="C8985" s="334" t="s">
        <v>220</v>
      </c>
      <c r="D8985" s="334" t="s">
        <v>954</v>
      </c>
      <c r="E8985" s="336">
        <v>43796</v>
      </c>
      <c r="G8985" s="336">
        <v>43769</v>
      </c>
      <c r="H8985" s="334" t="s">
        <v>15454</v>
      </c>
      <c r="I8985" s="334">
        <v>18501777355</v>
      </c>
      <c r="J8985" s="348" t="s">
        <v>12878</v>
      </c>
      <c r="M8985" s="334">
        <v>401</v>
      </c>
      <c r="N8985" s="362">
        <f t="shared" si="306"/>
        <v>401</v>
      </c>
    </row>
    <row r="8986" ht="15" customHeight="1" spans="2:14">
      <c r="B8986" s="334" t="s">
        <v>31</v>
      </c>
      <c r="C8986" s="334" t="s">
        <v>3186</v>
      </c>
      <c r="D8986" s="334" t="s">
        <v>33</v>
      </c>
      <c r="E8986" s="336">
        <v>43796</v>
      </c>
      <c r="G8986" s="336">
        <v>43771</v>
      </c>
      <c r="H8986" s="334" t="s">
        <v>16225</v>
      </c>
      <c r="I8986" s="334">
        <v>13651628524</v>
      </c>
      <c r="J8986" s="348" t="s">
        <v>16226</v>
      </c>
      <c r="M8986" s="334">
        <v>299</v>
      </c>
      <c r="N8986" s="362">
        <f t="shared" si="306"/>
        <v>299</v>
      </c>
    </row>
    <row r="8987" ht="15" customHeight="1" spans="2:14">
      <c r="B8987" s="334" t="s">
        <v>31</v>
      </c>
      <c r="C8987" s="334" t="s">
        <v>3186</v>
      </c>
      <c r="D8987" s="334" t="s">
        <v>954</v>
      </c>
      <c r="E8987" s="336">
        <v>43796</v>
      </c>
      <c r="G8987" s="336">
        <v>43778</v>
      </c>
      <c r="H8987" s="334" t="s">
        <v>12830</v>
      </c>
      <c r="I8987" s="334">
        <v>18616020041</v>
      </c>
      <c r="J8987" s="334" t="s">
        <v>18813</v>
      </c>
      <c r="M8987" s="334">
        <f>293+592</f>
        <v>885</v>
      </c>
      <c r="N8987" s="362">
        <f t="shared" si="306"/>
        <v>885</v>
      </c>
    </row>
    <row r="8988" ht="15" customHeight="1" spans="2:14">
      <c r="B8988" s="334" t="s">
        <v>58</v>
      </c>
      <c r="C8988" s="334" t="s">
        <v>109</v>
      </c>
      <c r="D8988" s="334" t="s">
        <v>110</v>
      </c>
      <c r="E8988" s="336">
        <v>43796</v>
      </c>
      <c r="G8988" s="336">
        <v>43796</v>
      </c>
      <c r="H8988" s="334" t="s">
        <v>11152</v>
      </c>
      <c r="I8988" s="334">
        <v>13818598432</v>
      </c>
      <c r="J8988" s="334" t="s">
        <v>18814</v>
      </c>
      <c r="M8988" s="334">
        <v>1464</v>
      </c>
      <c r="N8988" s="362">
        <f t="shared" si="306"/>
        <v>1464</v>
      </c>
    </row>
    <row r="8989" ht="15" customHeight="1" spans="2:14">
      <c r="B8989" s="334" t="s">
        <v>315</v>
      </c>
      <c r="C8989" s="334" t="s">
        <v>181</v>
      </c>
      <c r="D8989" s="334" t="s">
        <v>1431</v>
      </c>
      <c r="E8989" s="336">
        <v>43796</v>
      </c>
      <c r="G8989" s="336">
        <v>43795</v>
      </c>
      <c r="H8989" s="334" t="s">
        <v>17865</v>
      </c>
      <c r="I8989" s="444">
        <v>18621537813</v>
      </c>
      <c r="J8989" s="348" t="s">
        <v>17866</v>
      </c>
      <c r="M8989" s="334">
        <v>1320</v>
      </c>
      <c r="N8989" s="362">
        <f t="shared" si="306"/>
        <v>1320</v>
      </c>
    </row>
    <row r="8990" ht="15" customHeight="1" spans="2:14">
      <c r="B8990" s="334" t="s">
        <v>315</v>
      </c>
      <c r="C8990" s="334" t="s">
        <v>181</v>
      </c>
      <c r="D8990" s="334" t="s">
        <v>182</v>
      </c>
      <c r="E8990" s="336">
        <v>43796</v>
      </c>
      <c r="G8990" s="336">
        <v>43795</v>
      </c>
      <c r="H8990" s="334" t="s">
        <v>12321</v>
      </c>
      <c r="I8990" s="334">
        <v>13512140398</v>
      </c>
      <c r="J8990" s="334" t="s">
        <v>12322</v>
      </c>
      <c r="M8990" s="334">
        <v>1338</v>
      </c>
      <c r="N8990" s="362">
        <f t="shared" si="306"/>
        <v>1338</v>
      </c>
    </row>
    <row r="8991" ht="15" customHeight="1" spans="2:14">
      <c r="B8991" s="334" t="s">
        <v>31</v>
      </c>
      <c r="C8991" s="334" t="s">
        <v>419</v>
      </c>
      <c r="D8991" s="334" t="s">
        <v>221</v>
      </c>
      <c r="E8991" s="336">
        <v>43796</v>
      </c>
      <c r="G8991" s="336">
        <v>43796</v>
      </c>
      <c r="H8991" s="334" t="s">
        <v>18815</v>
      </c>
      <c r="I8991" s="444">
        <v>18706202896</v>
      </c>
      <c r="J8991" s="334" t="s">
        <v>18816</v>
      </c>
      <c r="M8991" s="334">
        <v>1047</v>
      </c>
      <c r="N8991" s="362">
        <f t="shared" si="306"/>
        <v>1047</v>
      </c>
    </row>
    <row r="8992" ht="15" customHeight="1" spans="2:14">
      <c r="B8992" s="334" t="s">
        <v>66</v>
      </c>
      <c r="C8992" s="334" t="s">
        <v>505</v>
      </c>
      <c r="D8992" s="334" t="s">
        <v>2302</v>
      </c>
      <c r="E8992" s="336">
        <v>43796</v>
      </c>
      <c r="G8992" s="336">
        <v>43796</v>
      </c>
      <c r="H8992" s="334" t="s">
        <v>13254</v>
      </c>
      <c r="I8992" s="426">
        <v>13166092630</v>
      </c>
      <c r="J8992" s="334" t="s">
        <v>13255</v>
      </c>
      <c r="M8992" s="334">
        <v>3281</v>
      </c>
      <c r="N8992" s="362">
        <f t="shared" si="306"/>
        <v>3281</v>
      </c>
    </row>
    <row r="8993" ht="15" customHeight="1" spans="2:14">
      <c r="B8993" s="334" t="s">
        <v>66</v>
      </c>
      <c r="C8993" s="334" t="s">
        <v>1749</v>
      </c>
      <c r="D8993" s="334" t="s">
        <v>1436</v>
      </c>
      <c r="E8993" s="336">
        <v>43796</v>
      </c>
      <c r="G8993" s="336">
        <v>43794</v>
      </c>
      <c r="H8993" s="334" t="s">
        <v>11802</v>
      </c>
      <c r="I8993" s="334">
        <v>13601928678</v>
      </c>
      <c r="J8993" s="334" t="s">
        <v>18817</v>
      </c>
      <c r="M8993" s="334">
        <v>10915</v>
      </c>
      <c r="N8993" s="362">
        <f t="shared" si="306"/>
        <v>10915</v>
      </c>
    </row>
    <row r="8994" ht="15" customHeight="1" spans="2:14">
      <c r="B8994" s="334" t="s">
        <v>354</v>
      </c>
      <c r="C8994" s="334" t="s">
        <v>355</v>
      </c>
      <c r="D8994" s="334" t="s">
        <v>343</v>
      </c>
      <c r="E8994" s="336">
        <v>43796</v>
      </c>
      <c r="G8994" s="336">
        <v>43779</v>
      </c>
      <c r="H8994" s="334" t="s">
        <v>17790</v>
      </c>
      <c r="I8994" s="444">
        <v>13818140589</v>
      </c>
      <c r="J8994" s="348" t="s">
        <v>17791</v>
      </c>
      <c r="M8994" s="334">
        <v>3000</v>
      </c>
      <c r="N8994" s="362">
        <f t="shared" si="306"/>
        <v>3000</v>
      </c>
    </row>
    <row r="8995" ht="15" customHeight="1" spans="2:14">
      <c r="B8995" s="334" t="s">
        <v>315</v>
      </c>
      <c r="C8995" s="334" t="s">
        <v>181</v>
      </c>
      <c r="D8995" s="334" t="s">
        <v>1431</v>
      </c>
      <c r="E8995" s="336">
        <v>43796</v>
      </c>
      <c r="G8995" s="336">
        <v>43796</v>
      </c>
      <c r="H8995" s="334" t="s">
        <v>15193</v>
      </c>
      <c r="I8995" s="444">
        <v>13918202898</v>
      </c>
      <c r="J8995" s="348" t="s">
        <v>15194</v>
      </c>
      <c r="M8995" s="334">
        <v>1160</v>
      </c>
      <c r="N8995" s="362">
        <f t="shared" si="306"/>
        <v>1160</v>
      </c>
    </row>
    <row r="8996" ht="15" customHeight="1" spans="1:14">
      <c r="A8996" s="550" t="s">
        <v>6329</v>
      </c>
      <c r="B8996" s="334" t="s">
        <v>185</v>
      </c>
      <c r="C8996" s="348" t="s">
        <v>1204</v>
      </c>
      <c r="D8996" s="334" t="s">
        <v>44</v>
      </c>
      <c r="E8996" s="336">
        <v>43797</v>
      </c>
      <c r="F8996" s="336">
        <v>43795</v>
      </c>
      <c r="G8996" s="399">
        <v>43796</v>
      </c>
      <c r="H8996" s="334" t="s">
        <v>18818</v>
      </c>
      <c r="I8996" s="444">
        <v>13361977306</v>
      </c>
      <c r="J8996" s="348" t="s">
        <v>18819</v>
      </c>
      <c r="K8996" s="452">
        <v>19500</v>
      </c>
      <c r="L8996" s="334">
        <v>19500</v>
      </c>
      <c r="N8996" s="362">
        <f t="shared" ref="N8996:N9014" si="307">L8996+M8996</f>
        <v>19500</v>
      </c>
    </row>
    <row r="8997" ht="15" customHeight="1" spans="1:14">
      <c r="A8997" s="550" t="s">
        <v>16358</v>
      </c>
      <c r="B8997" s="334" t="s">
        <v>31</v>
      </c>
      <c r="C8997" s="348" t="s">
        <v>377</v>
      </c>
      <c r="D8997" s="335" t="s">
        <v>221</v>
      </c>
      <c r="E8997" s="336">
        <v>43797</v>
      </c>
      <c r="F8997" s="336">
        <v>43786</v>
      </c>
      <c r="G8997" s="399">
        <v>43786</v>
      </c>
      <c r="H8997" s="334" t="s">
        <v>18173</v>
      </c>
      <c r="I8997" s="444">
        <v>13661860466</v>
      </c>
      <c r="J8997" s="348" t="s">
        <v>18174</v>
      </c>
      <c r="K8997" s="452">
        <v>3020</v>
      </c>
      <c r="N8997" s="362">
        <f t="shared" si="307"/>
        <v>0</v>
      </c>
    </row>
    <row r="8998" ht="15" customHeight="1" spans="1:14">
      <c r="A8998" s="550" t="s">
        <v>18820</v>
      </c>
      <c r="B8998" s="334" t="s">
        <v>315</v>
      </c>
      <c r="C8998" s="348" t="s">
        <v>275</v>
      </c>
      <c r="D8998" s="334" t="s">
        <v>149</v>
      </c>
      <c r="E8998" s="336">
        <v>43797</v>
      </c>
      <c r="F8998" s="336">
        <v>43796</v>
      </c>
      <c r="G8998" s="399">
        <v>43796</v>
      </c>
      <c r="H8998" s="334" t="s">
        <v>18821</v>
      </c>
      <c r="I8998" s="444">
        <v>13621792962</v>
      </c>
      <c r="J8998" s="348" t="s">
        <v>18822</v>
      </c>
      <c r="K8998" s="452">
        <v>18414</v>
      </c>
      <c r="L8998" s="334">
        <v>18414</v>
      </c>
      <c r="N8998" s="362">
        <f t="shared" si="307"/>
        <v>18414</v>
      </c>
    </row>
    <row r="8999" ht="15" customHeight="1" spans="1:14">
      <c r="A8999" s="550" t="s">
        <v>3961</v>
      </c>
      <c r="B8999" s="334" t="s">
        <v>315</v>
      </c>
      <c r="C8999" s="348" t="s">
        <v>161</v>
      </c>
      <c r="D8999" s="335" t="s">
        <v>162</v>
      </c>
      <c r="E8999" s="336">
        <v>43799</v>
      </c>
      <c r="F8999" s="336">
        <v>43797</v>
      </c>
      <c r="G8999" s="336">
        <v>43799</v>
      </c>
      <c r="H8999" s="334" t="s">
        <v>18823</v>
      </c>
      <c r="I8999" s="444">
        <v>18917967997</v>
      </c>
      <c r="J8999" s="348" t="s">
        <v>18824</v>
      </c>
      <c r="K8999" s="452">
        <v>1000</v>
      </c>
      <c r="L8999" s="334">
        <v>26500</v>
      </c>
      <c r="N8999" s="362">
        <f t="shared" si="307"/>
        <v>26500</v>
      </c>
    </row>
    <row r="9000" ht="15" customHeight="1" spans="1:15">
      <c r="A9000" s="550" t="s">
        <v>8748</v>
      </c>
      <c r="B9000" s="334" t="s">
        <v>73</v>
      </c>
      <c r="C9000" s="348" t="s">
        <v>74</v>
      </c>
      <c r="D9000" s="335" t="s">
        <v>75</v>
      </c>
      <c r="E9000" s="336">
        <v>43797</v>
      </c>
      <c r="F9000" s="336">
        <v>43797</v>
      </c>
      <c r="G9000" s="399"/>
      <c r="H9000" s="334" t="s">
        <v>8750</v>
      </c>
      <c r="I9000" s="444">
        <v>13032101985</v>
      </c>
      <c r="J9000" s="348" t="s">
        <v>18825</v>
      </c>
      <c r="K9000" s="452">
        <v>1000</v>
      </c>
      <c r="N9000" s="362">
        <f t="shared" si="307"/>
        <v>0</v>
      </c>
      <c r="O9000" s="366" t="s">
        <v>52</v>
      </c>
    </row>
    <row r="9001" ht="15" customHeight="1" spans="1:15">
      <c r="A9001" s="550" t="s">
        <v>3958</v>
      </c>
      <c r="B9001" s="334" t="s">
        <v>169</v>
      </c>
      <c r="C9001" s="348" t="s">
        <v>634</v>
      </c>
      <c r="D9001" s="335" t="s">
        <v>635</v>
      </c>
      <c r="E9001" s="336">
        <v>43797</v>
      </c>
      <c r="F9001" s="336">
        <v>43792</v>
      </c>
      <c r="G9001" s="356" t="s">
        <v>69</v>
      </c>
      <c r="H9001" s="334" t="s">
        <v>18826</v>
      </c>
      <c r="I9001" s="444">
        <v>18516376788</v>
      </c>
      <c r="J9001" s="348" t="s">
        <v>18827</v>
      </c>
      <c r="K9001" s="452">
        <v>3479</v>
      </c>
      <c r="N9001" s="362">
        <f t="shared" si="307"/>
        <v>0</v>
      </c>
      <c r="O9001" s="353" t="s">
        <v>19</v>
      </c>
    </row>
    <row r="9002" ht="15" customHeight="1" spans="1:15">
      <c r="A9002" s="550" t="s">
        <v>18267</v>
      </c>
      <c r="B9002" s="334" t="s">
        <v>73</v>
      </c>
      <c r="C9002" s="348" t="s">
        <v>178</v>
      </c>
      <c r="D9002" s="334" t="s">
        <v>44</v>
      </c>
      <c r="E9002" s="336">
        <v>43826</v>
      </c>
      <c r="F9002" s="336">
        <v>43786</v>
      </c>
      <c r="G9002" s="336">
        <v>43826</v>
      </c>
      <c r="H9002" s="334" t="s">
        <v>18828</v>
      </c>
      <c r="I9002" s="444">
        <v>13564332610</v>
      </c>
      <c r="J9002" s="348" t="s">
        <v>18829</v>
      </c>
      <c r="K9002" s="452">
        <v>1000</v>
      </c>
      <c r="L9002" s="334">
        <v>11636</v>
      </c>
      <c r="N9002" s="362">
        <f t="shared" si="307"/>
        <v>11636</v>
      </c>
      <c r="O9002" s="366" t="s">
        <v>52</v>
      </c>
    </row>
    <row r="9003" ht="15" customHeight="1" spans="1:17">
      <c r="A9003" s="550" t="s">
        <v>18830</v>
      </c>
      <c r="B9003" s="334" t="s">
        <v>123</v>
      </c>
      <c r="C9003" s="348" t="s">
        <v>32</v>
      </c>
      <c r="D9003" s="335" t="s">
        <v>125</v>
      </c>
      <c r="E9003" s="336">
        <v>43830</v>
      </c>
      <c r="F9003" s="336">
        <v>43780</v>
      </c>
      <c r="G9003" s="336">
        <v>43830</v>
      </c>
      <c r="H9003" s="334" t="s">
        <v>18831</v>
      </c>
      <c r="I9003" s="444">
        <v>18916791898</v>
      </c>
      <c r="J9003" s="348" t="s">
        <v>18832</v>
      </c>
      <c r="K9003" s="452">
        <v>10000</v>
      </c>
      <c r="L9003" s="334">
        <v>10000</v>
      </c>
      <c r="N9003" s="362">
        <f t="shared" si="307"/>
        <v>10000</v>
      </c>
      <c r="O9003" s="353" t="s">
        <v>1608</v>
      </c>
      <c r="Q9003" s="467"/>
    </row>
    <row r="9004" ht="15" customHeight="1" spans="1:14">
      <c r="A9004" s="348">
        <v>2024267</v>
      </c>
      <c r="B9004" s="334" t="s">
        <v>335</v>
      </c>
      <c r="C9004" s="348" t="s">
        <v>615</v>
      </c>
      <c r="D9004" s="335" t="s">
        <v>337</v>
      </c>
      <c r="E9004" s="336">
        <v>43797</v>
      </c>
      <c r="F9004" s="336">
        <v>43772</v>
      </c>
      <c r="G9004" s="353" t="s">
        <v>469</v>
      </c>
      <c r="H9004" s="334" t="s">
        <v>16123</v>
      </c>
      <c r="I9004" s="444">
        <v>13816955776</v>
      </c>
      <c r="J9004" s="348" t="s">
        <v>16124</v>
      </c>
      <c r="K9004" s="452">
        <v>1000</v>
      </c>
      <c r="N9004" s="362">
        <f t="shared" si="307"/>
        <v>0</v>
      </c>
    </row>
    <row r="9005" ht="15" customHeight="1" spans="1:14">
      <c r="A9005" s="348">
        <v>2024287</v>
      </c>
      <c r="B9005" s="334" t="s">
        <v>335</v>
      </c>
      <c r="C9005" s="348" t="s">
        <v>615</v>
      </c>
      <c r="D9005" s="334" t="s">
        <v>337</v>
      </c>
      <c r="E9005" s="336">
        <v>43797</v>
      </c>
      <c r="F9005" s="336">
        <v>43791</v>
      </c>
      <c r="G9005" s="399">
        <v>43793</v>
      </c>
      <c r="H9005" s="334" t="s">
        <v>18833</v>
      </c>
      <c r="I9005" s="444">
        <v>13611659380</v>
      </c>
      <c r="J9005" s="348" t="s">
        <v>18834</v>
      </c>
      <c r="K9005" s="452">
        <v>21116</v>
      </c>
      <c r="L9005" s="452">
        <v>21116</v>
      </c>
      <c r="N9005" s="362">
        <f t="shared" si="307"/>
        <v>21116</v>
      </c>
    </row>
    <row r="9006" ht="15" customHeight="1" spans="1:14">
      <c r="A9006" s="550" t="s">
        <v>4678</v>
      </c>
      <c r="B9006" s="334" t="s">
        <v>31</v>
      </c>
      <c r="C9006" s="348" t="s">
        <v>3186</v>
      </c>
      <c r="D9006" s="334" t="s">
        <v>33</v>
      </c>
      <c r="E9006" s="336">
        <v>43797</v>
      </c>
      <c r="F9006" s="336">
        <v>43797</v>
      </c>
      <c r="G9006" s="399">
        <v>43797</v>
      </c>
      <c r="H9006" s="334" t="s">
        <v>18835</v>
      </c>
      <c r="I9006" s="444">
        <v>13916669944</v>
      </c>
      <c r="J9006" s="348" t="s">
        <v>18836</v>
      </c>
      <c r="K9006" s="452">
        <v>3273</v>
      </c>
      <c r="L9006" s="334">
        <v>3273</v>
      </c>
      <c r="N9006" s="362">
        <f t="shared" si="307"/>
        <v>3273</v>
      </c>
    </row>
    <row r="9007" ht="15" customHeight="1" spans="1:14">
      <c r="A9007" s="348">
        <v>5699305</v>
      </c>
      <c r="B9007" s="334" t="s">
        <v>5336</v>
      </c>
      <c r="C9007" s="334" t="s">
        <v>5336</v>
      </c>
      <c r="D9007" s="335" t="s">
        <v>8334</v>
      </c>
      <c r="E9007" s="336">
        <v>43820</v>
      </c>
      <c r="F9007" s="336">
        <v>43797</v>
      </c>
      <c r="G9007" s="336">
        <v>43820</v>
      </c>
      <c r="H9007" s="334" t="s">
        <v>18837</v>
      </c>
      <c r="I9007" s="444">
        <v>17721318193</v>
      </c>
      <c r="J9007" s="348" t="s">
        <v>18838</v>
      </c>
      <c r="K9007" s="334">
        <v>8171</v>
      </c>
      <c r="L9007" s="334">
        <v>8171</v>
      </c>
      <c r="N9007" s="362">
        <f t="shared" si="307"/>
        <v>8171</v>
      </c>
    </row>
    <row r="9008" ht="15" customHeight="1" spans="1:15">
      <c r="A9008" s="348"/>
      <c r="B9008" s="334" t="s">
        <v>5336</v>
      </c>
      <c r="C9008" s="334" t="s">
        <v>5336</v>
      </c>
      <c r="D9008" s="335" t="s">
        <v>8334</v>
      </c>
      <c r="E9008" s="336">
        <v>43797</v>
      </c>
      <c r="F9008" s="336">
        <v>43797</v>
      </c>
      <c r="G9008" s="399"/>
      <c r="H9008" s="334" t="s">
        <v>18839</v>
      </c>
      <c r="I9008" s="444">
        <v>15921304249</v>
      </c>
      <c r="J9008" s="348" t="s">
        <v>18840</v>
      </c>
      <c r="K9008" s="452">
        <v>7431</v>
      </c>
      <c r="N9008" s="362">
        <f t="shared" si="307"/>
        <v>0</v>
      </c>
      <c r="O9008" s="353" t="s">
        <v>52</v>
      </c>
    </row>
    <row r="9009" ht="15" customHeight="1" spans="1:14">
      <c r="A9009" s="348"/>
      <c r="B9009" s="334" t="s">
        <v>5336</v>
      </c>
      <c r="C9009" s="334" t="s">
        <v>5336</v>
      </c>
      <c r="D9009" s="334" t="s">
        <v>8334</v>
      </c>
      <c r="E9009" s="336">
        <v>43808</v>
      </c>
      <c r="F9009" s="336">
        <v>43797</v>
      </c>
      <c r="G9009" s="336">
        <v>43808</v>
      </c>
      <c r="H9009" s="334" t="s">
        <v>18841</v>
      </c>
      <c r="I9009" s="444">
        <v>13816271426</v>
      </c>
      <c r="J9009" s="348" t="s">
        <v>18842</v>
      </c>
      <c r="K9009" s="452">
        <v>4548</v>
      </c>
      <c r="L9009" s="334">
        <v>9404</v>
      </c>
      <c r="N9009" s="362">
        <f t="shared" si="307"/>
        <v>9404</v>
      </c>
    </row>
    <row r="9010" ht="15" customHeight="1" spans="1:15">
      <c r="A9010" s="348"/>
      <c r="B9010" s="334" t="s">
        <v>5336</v>
      </c>
      <c r="C9010" s="334" t="s">
        <v>5336</v>
      </c>
      <c r="D9010" s="335" t="s">
        <v>8334</v>
      </c>
      <c r="E9010" s="336">
        <v>43797</v>
      </c>
      <c r="F9010" s="336">
        <v>43797</v>
      </c>
      <c r="G9010" s="399"/>
      <c r="H9010" s="334" t="s">
        <v>18843</v>
      </c>
      <c r="I9010" s="444">
        <v>13916116143</v>
      </c>
      <c r="J9010" s="348" t="s">
        <v>18844</v>
      </c>
      <c r="K9010" s="452">
        <v>6863</v>
      </c>
      <c r="N9010" s="362">
        <f t="shared" si="307"/>
        <v>0</v>
      </c>
      <c r="O9010" s="353" t="s">
        <v>52</v>
      </c>
    </row>
    <row r="9011" ht="15" customHeight="1" spans="1:15">
      <c r="A9011" s="348"/>
      <c r="B9011" s="334" t="s">
        <v>5336</v>
      </c>
      <c r="C9011" s="334" t="s">
        <v>5336</v>
      </c>
      <c r="D9011" s="335" t="s">
        <v>8334</v>
      </c>
      <c r="E9011" s="336">
        <v>43797</v>
      </c>
      <c r="F9011" s="336">
        <v>43797</v>
      </c>
      <c r="G9011" s="399"/>
      <c r="H9011" s="334" t="s">
        <v>18843</v>
      </c>
      <c r="I9011" s="444">
        <v>13916116143</v>
      </c>
      <c r="J9011" s="348" t="s">
        <v>18845</v>
      </c>
      <c r="K9011" s="452">
        <v>6154</v>
      </c>
      <c r="N9011" s="362">
        <f t="shared" si="307"/>
        <v>0</v>
      </c>
      <c r="O9011" s="353" t="s">
        <v>52</v>
      </c>
    </row>
    <row r="9012" ht="15" customHeight="1" spans="1:14">
      <c r="A9012" s="348"/>
      <c r="B9012" s="334" t="s">
        <v>5336</v>
      </c>
      <c r="C9012" s="334" t="s">
        <v>5336</v>
      </c>
      <c r="D9012" s="335" t="s">
        <v>8334</v>
      </c>
      <c r="E9012" s="336">
        <v>43808</v>
      </c>
      <c r="F9012" s="336">
        <v>43797</v>
      </c>
      <c r="G9012" s="336">
        <v>43808</v>
      </c>
      <c r="H9012" s="334" t="s">
        <v>18846</v>
      </c>
      <c r="I9012" s="444">
        <v>18964732863</v>
      </c>
      <c r="J9012" s="348" t="s">
        <v>18847</v>
      </c>
      <c r="K9012" s="452">
        <v>13646</v>
      </c>
      <c r="L9012" s="334">
        <v>4308</v>
      </c>
      <c r="M9012" s="334">
        <v>10774</v>
      </c>
      <c r="N9012" s="362">
        <f t="shared" si="307"/>
        <v>15082</v>
      </c>
    </row>
    <row r="9013" ht="15" customHeight="1" spans="1:17">
      <c r="A9013" s="550" t="s">
        <v>9418</v>
      </c>
      <c r="B9013" s="334" t="s">
        <v>73</v>
      </c>
      <c r="C9013" s="348" t="s">
        <v>74</v>
      </c>
      <c r="D9013" s="335" t="s">
        <v>75</v>
      </c>
      <c r="E9013" s="336">
        <v>43830</v>
      </c>
      <c r="F9013" s="336">
        <v>43799</v>
      </c>
      <c r="G9013" s="336">
        <v>43830</v>
      </c>
      <c r="H9013" s="334" t="s">
        <v>18848</v>
      </c>
      <c r="I9013" s="444">
        <v>18930511771</v>
      </c>
      <c r="J9013" s="356" t="s">
        <v>18849</v>
      </c>
      <c r="K9013" s="452">
        <v>1000</v>
      </c>
      <c r="L9013" s="334">
        <v>7406</v>
      </c>
      <c r="N9013" s="362">
        <f t="shared" si="307"/>
        <v>7406</v>
      </c>
      <c r="O9013" s="366"/>
      <c r="Q9013" s="405" t="s">
        <v>52</v>
      </c>
    </row>
    <row r="9014" ht="15" customHeight="1" spans="2:14">
      <c r="B9014" s="334" t="s">
        <v>805</v>
      </c>
      <c r="C9014" s="334" t="s">
        <v>4935</v>
      </c>
      <c r="D9014" s="334" t="s">
        <v>171</v>
      </c>
      <c r="E9014" s="336">
        <v>43797</v>
      </c>
      <c r="G9014" s="336">
        <v>43797</v>
      </c>
      <c r="H9014" s="334" t="s">
        <v>18850</v>
      </c>
      <c r="I9014" s="444">
        <v>13916432330</v>
      </c>
      <c r="J9014" s="348" t="s">
        <v>18851</v>
      </c>
      <c r="L9014" s="334">
        <v>10701</v>
      </c>
      <c r="N9014" s="362">
        <f t="shared" ref="N9014:N9042" si="308">L9014+M9014</f>
        <v>10701</v>
      </c>
    </row>
    <row r="9015" ht="15" customHeight="1" spans="2:14">
      <c r="B9015" s="334" t="s">
        <v>5336</v>
      </c>
      <c r="C9015" s="334" t="s">
        <v>5336</v>
      </c>
      <c r="D9015" s="334" t="s">
        <v>8334</v>
      </c>
      <c r="E9015" s="336">
        <v>43797</v>
      </c>
      <c r="G9015" s="336">
        <v>43794</v>
      </c>
      <c r="H9015" s="334" t="s">
        <v>17657</v>
      </c>
      <c r="I9015" s="444">
        <v>13331823596</v>
      </c>
      <c r="J9015" s="348" t="s">
        <v>18852</v>
      </c>
      <c r="L9015" s="334">
        <v>23750</v>
      </c>
      <c r="N9015" s="362">
        <f t="shared" si="308"/>
        <v>23750</v>
      </c>
    </row>
    <row r="9016" ht="15" customHeight="1" spans="2:14">
      <c r="B9016" s="334" t="s">
        <v>335</v>
      </c>
      <c r="C9016" s="334" t="s">
        <v>399</v>
      </c>
      <c r="D9016" s="334" t="s">
        <v>635</v>
      </c>
      <c r="E9016" s="336">
        <v>43797</v>
      </c>
      <c r="G9016" s="336">
        <v>43796</v>
      </c>
      <c r="H9016" s="334" t="s">
        <v>18853</v>
      </c>
      <c r="I9016" s="444">
        <v>13917961192</v>
      </c>
      <c r="J9016" s="348" t="s">
        <v>18854</v>
      </c>
      <c r="L9016" s="334">
        <v>10929</v>
      </c>
      <c r="M9016" s="334">
        <v>1433</v>
      </c>
      <c r="N9016" s="362">
        <f t="shared" si="308"/>
        <v>12362</v>
      </c>
    </row>
    <row r="9017" ht="15" customHeight="1" spans="2:14">
      <c r="B9017" s="334" t="s">
        <v>137</v>
      </c>
      <c r="C9017" s="334" t="s">
        <v>406</v>
      </c>
      <c r="D9017" s="334" t="s">
        <v>139</v>
      </c>
      <c r="E9017" s="336">
        <v>43797</v>
      </c>
      <c r="G9017" s="336">
        <v>43797</v>
      </c>
      <c r="H9017" s="334" t="s">
        <v>18855</v>
      </c>
      <c r="I9017" s="444">
        <v>13901650741</v>
      </c>
      <c r="J9017" s="348" t="s">
        <v>18856</v>
      </c>
      <c r="K9017" s="356">
        <v>8035</v>
      </c>
      <c r="L9017" s="334">
        <v>8610</v>
      </c>
      <c r="M9017" s="334">
        <v>-575</v>
      </c>
      <c r="N9017" s="362">
        <f t="shared" si="308"/>
        <v>8035</v>
      </c>
    </row>
    <row r="9018" ht="15" customHeight="1" spans="2:14">
      <c r="B9018" s="334" t="s">
        <v>243</v>
      </c>
      <c r="C9018" s="334" t="s">
        <v>309</v>
      </c>
      <c r="D9018" s="335" t="s">
        <v>49</v>
      </c>
      <c r="E9018" s="336">
        <v>43797</v>
      </c>
      <c r="G9018" s="336">
        <v>43797</v>
      </c>
      <c r="H9018" s="334" t="s">
        <v>18857</v>
      </c>
      <c r="I9018" s="444">
        <v>13917367653</v>
      </c>
      <c r="J9018" s="348" t="s">
        <v>18858</v>
      </c>
      <c r="L9018" s="334">
        <v>12252</v>
      </c>
      <c r="M9018" s="334">
        <v>-660</v>
      </c>
      <c r="N9018" s="362">
        <f t="shared" si="308"/>
        <v>11592</v>
      </c>
    </row>
    <row r="9019" ht="15" customHeight="1" spans="2:14">
      <c r="B9019" s="334" t="s">
        <v>153</v>
      </c>
      <c r="C9019" s="334" t="s">
        <v>154</v>
      </c>
      <c r="D9019" s="335" t="s">
        <v>125</v>
      </c>
      <c r="E9019" s="336">
        <v>43797</v>
      </c>
      <c r="G9019" s="336">
        <v>43794</v>
      </c>
      <c r="H9019" s="334" t="s">
        <v>18859</v>
      </c>
      <c r="I9019" s="444">
        <v>13671650709</v>
      </c>
      <c r="J9019" s="348" t="s">
        <v>15058</v>
      </c>
      <c r="L9019" s="334">
        <v>13492</v>
      </c>
      <c r="M9019" s="334">
        <v>-2903</v>
      </c>
      <c r="N9019" s="362">
        <f t="shared" si="308"/>
        <v>10589</v>
      </c>
    </row>
    <row r="9020" ht="15" customHeight="1" spans="2:14">
      <c r="B9020" s="334" t="s">
        <v>335</v>
      </c>
      <c r="C9020" s="334" t="s">
        <v>148</v>
      </c>
      <c r="D9020" s="334" t="s">
        <v>33</v>
      </c>
      <c r="E9020" s="336">
        <v>43797</v>
      </c>
      <c r="G9020" s="336">
        <v>43795</v>
      </c>
      <c r="H9020" s="334" t="s">
        <v>18860</v>
      </c>
      <c r="I9020" s="444">
        <v>13901920308</v>
      </c>
      <c r="J9020" s="348" t="s">
        <v>18861</v>
      </c>
      <c r="L9020" s="334">
        <v>17820</v>
      </c>
      <c r="N9020" s="362">
        <f t="shared" si="308"/>
        <v>17820</v>
      </c>
    </row>
    <row r="9021" ht="15" customHeight="1" spans="2:14">
      <c r="B9021" s="334" t="s">
        <v>87</v>
      </c>
      <c r="C9021" s="334" t="s">
        <v>1757</v>
      </c>
      <c r="D9021" s="334" t="s">
        <v>89</v>
      </c>
      <c r="E9021" s="336">
        <v>43797</v>
      </c>
      <c r="G9021" s="336">
        <v>43797</v>
      </c>
      <c r="H9021" s="334" t="s">
        <v>18862</v>
      </c>
      <c r="I9021" s="444">
        <v>13701714621</v>
      </c>
      <c r="J9021" s="348" t="s">
        <v>18863</v>
      </c>
      <c r="L9021" s="334">
        <v>42000</v>
      </c>
      <c r="N9021" s="362">
        <f t="shared" si="308"/>
        <v>42000</v>
      </c>
    </row>
    <row r="9022" ht="15" customHeight="1" spans="2:14">
      <c r="B9022" s="334" t="s">
        <v>42</v>
      </c>
      <c r="C9022" s="334" t="s">
        <v>43</v>
      </c>
      <c r="D9022" s="334" t="s">
        <v>207</v>
      </c>
      <c r="E9022" s="336">
        <v>43797</v>
      </c>
      <c r="G9022" s="336">
        <v>43778</v>
      </c>
      <c r="H9022" s="334" t="s">
        <v>13141</v>
      </c>
      <c r="I9022" s="334">
        <v>1391628700</v>
      </c>
      <c r="J9022" s="334" t="s">
        <v>16465</v>
      </c>
      <c r="M9022" s="334">
        <v>301</v>
      </c>
      <c r="N9022" s="362">
        <f t="shared" si="308"/>
        <v>301</v>
      </c>
    </row>
    <row r="9023" ht="15" customHeight="1" spans="2:14">
      <c r="B9023" s="334" t="s">
        <v>315</v>
      </c>
      <c r="C9023" s="334" t="s">
        <v>275</v>
      </c>
      <c r="D9023" s="334" t="s">
        <v>1431</v>
      </c>
      <c r="E9023" s="336">
        <v>43797</v>
      </c>
      <c r="G9023" s="336">
        <v>43796</v>
      </c>
      <c r="H9023" s="334" t="s">
        <v>14487</v>
      </c>
      <c r="I9023" s="444">
        <v>15921627443</v>
      </c>
      <c r="J9023" s="348" t="s">
        <v>14488</v>
      </c>
      <c r="M9023" s="334">
        <v>8000</v>
      </c>
      <c r="N9023" s="362">
        <f t="shared" si="308"/>
        <v>8000</v>
      </c>
    </row>
    <row r="9024" ht="15" customHeight="1" spans="2:14">
      <c r="B9024" s="334" t="s">
        <v>73</v>
      </c>
      <c r="C9024" s="334" t="s">
        <v>74</v>
      </c>
      <c r="D9024" s="334" t="s">
        <v>132</v>
      </c>
      <c r="E9024" s="336">
        <v>43797</v>
      </c>
      <c r="G9024" s="336">
        <v>43796</v>
      </c>
      <c r="H9024" s="334" t="s">
        <v>9685</v>
      </c>
      <c r="I9024" s="444">
        <v>13046615283</v>
      </c>
      <c r="J9024" s="348" t="s">
        <v>9686</v>
      </c>
      <c r="M9024" s="334">
        <v>13565</v>
      </c>
      <c r="N9024" s="362">
        <f t="shared" si="308"/>
        <v>13565</v>
      </c>
    </row>
    <row r="9025" ht="15" customHeight="1" spans="2:14">
      <c r="B9025" s="334" t="s">
        <v>137</v>
      </c>
      <c r="C9025" s="334" t="s">
        <v>411</v>
      </c>
      <c r="D9025" s="334" t="s">
        <v>139</v>
      </c>
      <c r="E9025" s="336">
        <v>43797</v>
      </c>
      <c r="G9025" s="336">
        <v>43797</v>
      </c>
      <c r="H9025" s="334" t="s">
        <v>3105</v>
      </c>
      <c r="I9025" s="334">
        <v>18964025035</v>
      </c>
      <c r="J9025" s="334" t="s">
        <v>18864</v>
      </c>
      <c r="M9025" s="334">
        <v>615</v>
      </c>
      <c r="N9025" s="362">
        <f t="shared" si="308"/>
        <v>615</v>
      </c>
    </row>
    <row r="9026" ht="15" customHeight="1" spans="2:14">
      <c r="B9026" s="334" t="s">
        <v>31</v>
      </c>
      <c r="C9026" s="334" t="s">
        <v>251</v>
      </c>
      <c r="D9026" s="334" t="s">
        <v>33</v>
      </c>
      <c r="E9026" s="336">
        <v>43797</v>
      </c>
      <c r="G9026" s="336">
        <v>43776</v>
      </c>
      <c r="H9026" s="334" t="s">
        <v>16310</v>
      </c>
      <c r="I9026" s="444">
        <v>13901872358</v>
      </c>
      <c r="J9026" s="348" t="s">
        <v>16311</v>
      </c>
      <c r="M9026" s="334">
        <v>2855</v>
      </c>
      <c r="N9026" s="362">
        <f t="shared" si="308"/>
        <v>2855</v>
      </c>
    </row>
    <row r="9027" ht="15" customHeight="1" spans="2:14">
      <c r="B9027" s="334" t="s">
        <v>66</v>
      </c>
      <c r="C9027" s="334" t="s">
        <v>505</v>
      </c>
      <c r="D9027" s="334" t="s">
        <v>2302</v>
      </c>
      <c r="E9027" s="336">
        <v>43797</v>
      </c>
      <c r="G9027" s="336">
        <v>43796</v>
      </c>
      <c r="H9027" s="334" t="s">
        <v>10962</v>
      </c>
      <c r="I9027" s="426">
        <v>13764716627</v>
      </c>
      <c r="J9027" s="334" t="s">
        <v>10963</v>
      </c>
      <c r="M9027" s="334">
        <v>4628</v>
      </c>
      <c r="N9027" s="362">
        <f t="shared" si="308"/>
        <v>4628</v>
      </c>
    </row>
    <row r="9028" ht="15" customHeight="1" spans="2:14">
      <c r="B9028" s="334" t="s">
        <v>123</v>
      </c>
      <c r="C9028" s="334" t="s">
        <v>32</v>
      </c>
      <c r="D9028" s="334" t="s">
        <v>125</v>
      </c>
      <c r="E9028" s="336">
        <v>43797</v>
      </c>
      <c r="G9028" s="336">
        <v>43773</v>
      </c>
      <c r="H9028" s="334" t="s">
        <v>14858</v>
      </c>
      <c r="I9028" s="444">
        <v>18801617066</v>
      </c>
      <c r="J9028" s="348" t="s">
        <v>14859</v>
      </c>
      <c r="M9028" s="334">
        <v>299</v>
      </c>
      <c r="N9028" s="362">
        <f t="shared" si="308"/>
        <v>299</v>
      </c>
    </row>
    <row r="9029" ht="15" customHeight="1" spans="2:14">
      <c r="B9029" s="334" t="s">
        <v>73</v>
      </c>
      <c r="C9029" s="334" t="s">
        <v>178</v>
      </c>
      <c r="D9029" s="334" t="s">
        <v>75</v>
      </c>
      <c r="E9029" s="336">
        <v>43797</v>
      </c>
      <c r="G9029" s="336">
        <v>43795</v>
      </c>
      <c r="H9029" s="334" t="s">
        <v>3267</v>
      </c>
      <c r="I9029" s="426">
        <v>13701817552</v>
      </c>
      <c r="J9029" s="334" t="s">
        <v>12890</v>
      </c>
      <c r="M9029" s="334">
        <v>2252</v>
      </c>
      <c r="N9029" s="362">
        <f t="shared" si="308"/>
        <v>2252</v>
      </c>
    </row>
    <row r="9030" ht="15" customHeight="1" spans="2:14">
      <c r="B9030" s="334" t="s">
        <v>58</v>
      </c>
      <c r="C9030" s="334" t="s">
        <v>347</v>
      </c>
      <c r="D9030" s="334" t="s">
        <v>139</v>
      </c>
      <c r="E9030" s="336">
        <v>43797</v>
      </c>
      <c r="G9030" s="336">
        <v>43797</v>
      </c>
      <c r="H9030" s="334" t="s">
        <v>14288</v>
      </c>
      <c r="I9030" s="334">
        <v>18001771113</v>
      </c>
      <c r="J9030" s="348" t="s">
        <v>14289</v>
      </c>
      <c r="M9030" s="334">
        <v>15900</v>
      </c>
      <c r="N9030" s="362">
        <f t="shared" si="308"/>
        <v>15900</v>
      </c>
    </row>
    <row r="9031" ht="15" customHeight="1" spans="2:14">
      <c r="B9031" s="334" t="s">
        <v>58</v>
      </c>
      <c r="C9031" s="334" t="s">
        <v>347</v>
      </c>
      <c r="D9031" s="334" t="s">
        <v>343</v>
      </c>
      <c r="E9031" s="336">
        <v>43797</v>
      </c>
      <c r="G9031" s="336">
        <v>43796</v>
      </c>
      <c r="H9031" s="334" t="s">
        <v>14178</v>
      </c>
      <c r="I9031" s="444">
        <v>13310082316</v>
      </c>
      <c r="J9031" s="348" t="s">
        <v>14179</v>
      </c>
      <c r="M9031" s="334">
        <v>2794</v>
      </c>
      <c r="N9031" s="362">
        <f t="shared" si="308"/>
        <v>2794</v>
      </c>
    </row>
    <row r="9032" ht="15" customHeight="1" spans="2:14">
      <c r="B9032" s="334" t="s">
        <v>58</v>
      </c>
      <c r="C9032" s="334" t="s">
        <v>347</v>
      </c>
      <c r="D9032" s="334" t="s">
        <v>75</v>
      </c>
      <c r="E9032" s="336">
        <v>43797</v>
      </c>
      <c r="G9032" s="336">
        <v>43786</v>
      </c>
      <c r="H9032" s="334" t="s">
        <v>12952</v>
      </c>
      <c r="I9032" s="334">
        <v>13501678230</v>
      </c>
      <c r="J9032" s="334" t="s">
        <v>12953</v>
      </c>
      <c r="M9032" s="334">
        <v>1339</v>
      </c>
      <c r="N9032" s="362">
        <f t="shared" si="308"/>
        <v>1339</v>
      </c>
    </row>
    <row r="9033" ht="15" customHeight="1" spans="2:14">
      <c r="B9033" s="334" t="s">
        <v>185</v>
      </c>
      <c r="C9033" s="334" t="s">
        <v>43</v>
      </c>
      <c r="D9033" s="334" t="s">
        <v>207</v>
      </c>
      <c r="E9033" s="336">
        <v>43797</v>
      </c>
      <c r="G9033" s="336">
        <v>43797</v>
      </c>
      <c r="H9033" s="334" t="s">
        <v>14216</v>
      </c>
      <c r="I9033" s="334">
        <v>1361177136</v>
      </c>
      <c r="J9033" s="334" t="s">
        <v>18865</v>
      </c>
      <c r="M9033" s="334">
        <v>536</v>
      </c>
      <c r="N9033" s="362">
        <f t="shared" si="308"/>
        <v>536</v>
      </c>
    </row>
    <row r="9034" ht="15" customHeight="1" spans="2:14">
      <c r="B9034" s="334" t="s">
        <v>335</v>
      </c>
      <c r="C9034" s="334" t="s">
        <v>399</v>
      </c>
      <c r="D9034" s="334" t="s">
        <v>337</v>
      </c>
      <c r="E9034" s="336">
        <v>43797</v>
      </c>
      <c r="G9034" s="336">
        <v>43797</v>
      </c>
      <c r="H9034" s="334" t="s">
        <v>13588</v>
      </c>
      <c r="I9034" s="426">
        <v>13564164457</v>
      </c>
      <c r="J9034" s="334" t="s">
        <v>13589</v>
      </c>
      <c r="M9034" s="334">
        <v>5000</v>
      </c>
      <c r="N9034" s="362">
        <f t="shared" si="308"/>
        <v>5000</v>
      </c>
    </row>
    <row r="9035" ht="15" customHeight="1" spans="2:14">
      <c r="B9035" s="334" t="s">
        <v>359</v>
      </c>
      <c r="C9035" s="334" t="s">
        <v>3018</v>
      </c>
      <c r="D9035" s="334" t="s">
        <v>361</v>
      </c>
      <c r="E9035" s="336">
        <v>43797</v>
      </c>
      <c r="G9035" s="336">
        <v>43789</v>
      </c>
      <c r="H9035" s="334" t="s">
        <v>16427</v>
      </c>
      <c r="I9035" s="426">
        <v>13918104328</v>
      </c>
      <c r="J9035" s="348" t="s">
        <v>16428</v>
      </c>
      <c r="M9035" s="334">
        <v>6126</v>
      </c>
      <c r="N9035" s="362">
        <f t="shared" si="308"/>
        <v>6126</v>
      </c>
    </row>
    <row r="9036" ht="15" customHeight="1" spans="2:14">
      <c r="B9036" s="334" t="s">
        <v>147</v>
      </c>
      <c r="C9036" s="334" t="s">
        <v>148</v>
      </c>
      <c r="D9036" s="334" t="s">
        <v>33</v>
      </c>
      <c r="E9036" s="336">
        <v>43797</v>
      </c>
      <c r="G9036" s="336">
        <v>43795</v>
      </c>
      <c r="H9036" s="334" t="s">
        <v>9287</v>
      </c>
      <c r="I9036" s="334">
        <v>18964538131</v>
      </c>
      <c r="J9036" s="334" t="s">
        <v>18866</v>
      </c>
      <c r="M9036" s="334">
        <v>-6405</v>
      </c>
      <c r="N9036" s="362">
        <f t="shared" si="308"/>
        <v>-6405</v>
      </c>
    </row>
    <row r="9037" ht="15" customHeight="1" spans="2:14">
      <c r="B9037" s="334" t="s">
        <v>236</v>
      </c>
      <c r="C9037" s="334" t="s">
        <v>195</v>
      </c>
      <c r="D9037" s="334" t="s">
        <v>207</v>
      </c>
      <c r="E9037" s="336">
        <v>43797</v>
      </c>
      <c r="G9037" s="336">
        <v>43795</v>
      </c>
      <c r="H9037" s="334" t="s">
        <v>18867</v>
      </c>
      <c r="I9037" s="444">
        <v>13761377249</v>
      </c>
      <c r="J9037" s="348" t="s">
        <v>18868</v>
      </c>
      <c r="M9037" s="334">
        <v>1262</v>
      </c>
      <c r="N9037" s="362">
        <f t="shared" si="308"/>
        <v>1262</v>
      </c>
    </row>
    <row r="9038" ht="15" customHeight="1" spans="2:14">
      <c r="B9038" s="334" t="s">
        <v>42</v>
      </c>
      <c r="C9038" s="334" t="s">
        <v>43</v>
      </c>
      <c r="D9038" s="334" t="s">
        <v>44</v>
      </c>
      <c r="E9038" s="336">
        <v>43797</v>
      </c>
      <c r="G9038" s="336">
        <v>43797</v>
      </c>
      <c r="H9038" s="334" t="s">
        <v>10853</v>
      </c>
      <c r="I9038" s="444">
        <v>17811980756</v>
      </c>
      <c r="J9038" s="334" t="s">
        <v>10854</v>
      </c>
      <c r="M9038" s="334">
        <v>8311</v>
      </c>
      <c r="N9038" s="362">
        <f t="shared" si="308"/>
        <v>8311</v>
      </c>
    </row>
    <row r="9039" ht="15" customHeight="1" spans="2:14">
      <c r="B9039" s="334" t="s">
        <v>315</v>
      </c>
      <c r="C9039" s="334" t="s">
        <v>161</v>
      </c>
      <c r="D9039" s="334" t="s">
        <v>162</v>
      </c>
      <c r="E9039" s="336">
        <v>43797</v>
      </c>
      <c r="G9039" s="336">
        <v>43797</v>
      </c>
      <c r="H9039" s="334" t="s">
        <v>8043</v>
      </c>
      <c r="I9039" s="334">
        <v>15901671213</v>
      </c>
      <c r="J9039" s="334" t="s">
        <v>8977</v>
      </c>
      <c r="M9039" s="334">
        <v>28135</v>
      </c>
      <c r="N9039" s="362">
        <f t="shared" si="308"/>
        <v>28135</v>
      </c>
    </row>
    <row r="9040" ht="15" customHeight="1" spans="2:14">
      <c r="B9040" s="334" t="s">
        <v>42</v>
      </c>
      <c r="C9040" s="334" t="s">
        <v>43</v>
      </c>
      <c r="D9040" s="334" t="s">
        <v>207</v>
      </c>
      <c r="E9040" s="336">
        <v>43797</v>
      </c>
      <c r="G9040" s="336">
        <v>43791</v>
      </c>
      <c r="H9040" s="334" t="s">
        <v>12812</v>
      </c>
      <c r="I9040" s="334">
        <v>15618792566</v>
      </c>
      <c r="J9040" s="334" t="s">
        <v>18869</v>
      </c>
      <c r="M9040" s="334">
        <v>328</v>
      </c>
      <c r="N9040" s="362">
        <f t="shared" si="308"/>
        <v>328</v>
      </c>
    </row>
    <row r="9041" ht="15" customHeight="1" spans="1:14">
      <c r="A9041" s="550" t="s">
        <v>18870</v>
      </c>
      <c r="B9041" s="334" t="s">
        <v>315</v>
      </c>
      <c r="C9041" s="334" t="s">
        <v>161</v>
      </c>
      <c r="D9041" s="334" t="s">
        <v>162</v>
      </c>
      <c r="E9041" s="336">
        <v>43798</v>
      </c>
      <c r="F9041" s="336">
        <v>43797</v>
      </c>
      <c r="G9041" s="399">
        <v>43798</v>
      </c>
      <c r="H9041" s="334" t="s">
        <v>7182</v>
      </c>
      <c r="I9041" s="444">
        <v>13916611633</v>
      </c>
      <c r="J9041" s="438" t="s">
        <v>18871</v>
      </c>
      <c r="K9041" s="334">
        <v>5000</v>
      </c>
      <c r="L9041" s="334">
        <v>5000</v>
      </c>
      <c r="N9041" s="362">
        <f t="shared" si="308"/>
        <v>5000</v>
      </c>
    </row>
    <row r="9042" ht="15" customHeight="1" spans="1:14">
      <c r="A9042" s="550" t="s">
        <v>17468</v>
      </c>
      <c r="B9042" s="334" t="s">
        <v>169</v>
      </c>
      <c r="C9042" s="334" t="s">
        <v>634</v>
      </c>
      <c r="D9042" s="334" t="s">
        <v>171</v>
      </c>
      <c r="E9042" s="336">
        <v>43798</v>
      </c>
      <c r="F9042" s="336">
        <v>43797</v>
      </c>
      <c r="G9042" s="399">
        <v>43798</v>
      </c>
      <c r="H9042" s="334" t="s">
        <v>18872</v>
      </c>
      <c r="I9042" s="444">
        <v>13916697536</v>
      </c>
      <c r="J9042" s="438" t="s">
        <v>18873</v>
      </c>
      <c r="K9042" s="356">
        <v>1899</v>
      </c>
      <c r="L9042" s="334">
        <v>3270</v>
      </c>
      <c r="N9042" s="362">
        <f t="shared" si="308"/>
        <v>3270</v>
      </c>
    </row>
    <row r="9043" ht="15" customHeight="1" spans="1:14">
      <c r="A9043" s="550" t="s">
        <v>18874</v>
      </c>
      <c r="B9043" s="334" t="s">
        <v>35</v>
      </c>
      <c r="C9043" s="348" t="s">
        <v>328</v>
      </c>
      <c r="D9043" s="335" t="s">
        <v>37</v>
      </c>
      <c r="E9043" s="336">
        <v>43799</v>
      </c>
      <c r="F9043" s="336">
        <v>43797</v>
      </c>
      <c r="G9043" s="336">
        <v>43799</v>
      </c>
      <c r="H9043" s="334" t="s">
        <v>18875</v>
      </c>
      <c r="I9043" s="444">
        <v>18121106542</v>
      </c>
      <c r="J9043" s="438" t="s">
        <v>18876</v>
      </c>
      <c r="K9043" s="356">
        <v>5101</v>
      </c>
      <c r="L9043" s="334">
        <v>5101</v>
      </c>
      <c r="N9043" s="362">
        <f t="shared" ref="N9043:N9059" si="309">L9043+M9043</f>
        <v>5101</v>
      </c>
    </row>
    <row r="9044" ht="15" customHeight="1" spans="1:14">
      <c r="A9044" s="550" t="s">
        <v>18577</v>
      </c>
      <c r="B9044" s="334" t="s">
        <v>123</v>
      </c>
      <c r="C9044" s="348" t="s">
        <v>32</v>
      </c>
      <c r="D9044" s="334" t="s">
        <v>44</v>
      </c>
      <c r="E9044" s="336">
        <v>43803</v>
      </c>
      <c r="F9044" s="336">
        <v>43798</v>
      </c>
      <c r="G9044" s="336">
        <v>43803</v>
      </c>
      <c r="H9044" s="334" t="s">
        <v>18877</v>
      </c>
      <c r="I9044" s="444">
        <v>13701833167</v>
      </c>
      <c r="J9044" s="438" t="s">
        <v>18878</v>
      </c>
      <c r="K9044" s="356">
        <v>1998</v>
      </c>
      <c r="L9044" s="334">
        <v>5316</v>
      </c>
      <c r="N9044" s="362">
        <f t="shared" si="309"/>
        <v>5316</v>
      </c>
    </row>
    <row r="9045" ht="15" customHeight="1" spans="1:14">
      <c r="A9045" s="550" t="s">
        <v>2595</v>
      </c>
      <c r="B9045" s="334" t="s">
        <v>31</v>
      </c>
      <c r="C9045" s="348" t="s">
        <v>419</v>
      </c>
      <c r="D9045" s="334" t="s">
        <v>33</v>
      </c>
      <c r="E9045" s="336">
        <v>43808</v>
      </c>
      <c r="F9045" s="336">
        <v>43798</v>
      </c>
      <c r="G9045" s="336">
        <v>43807</v>
      </c>
      <c r="H9045" s="334" t="s">
        <v>18879</v>
      </c>
      <c r="I9045" s="444">
        <v>15921559042</v>
      </c>
      <c r="J9045" s="438" t="s">
        <v>18880</v>
      </c>
      <c r="K9045" s="356">
        <v>1567</v>
      </c>
      <c r="L9045" s="334">
        <v>2195</v>
      </c>
      <c r="N9045" s="362">
        <f t="shared" si="309"/>
        <v>2195</v>
      </c>
    </row>
    <row r="9046" ht="15" customHeight="1" spans="1:15">
      <c r="A9046" s="348">
        <v>2024286</v>
      </c>
      <c r="B9046" s="334" t="s">
        <v>335</v>
      </c>
      <c r="C9046" s="348" t="s">
        <v>148</v>
      </c>
      <c r="D9046" s="335" t="s">
        <v>337</v>
      </c>
      <c r="E9046" s="336">
        <v>43798</v>
      </c>
      <c r="F9046" s="336">
        <v>43789</v>
      </c>
      <c r="G9046" s="399"/>
      <c r="H9046" s="334" t="s">
        <v>18881</v>
      </c>
      <c r="I9046" s="444">
        <v>13003298601</v>
      </c>
      <c r="J9046" s="444" t="s">
        <v>18882</v>
      </c>
      <c r="K9046" s="356">
        <v>1000</v>
      </c>
      <c r="N9046" s="362">
        <f t="shared" si="309"/>
        <v>0</v>
      </c>
      <c r="O9046" s="353" t="s">
        <v>17340</v>
      </c>
    </row>
    <row r="9047" ht="15" customHeight="1" spans="1:15">
      <c r="A9047" s="348" t="s">
        <v>13074</v>
      </c>
      <c r="B9047" s="334" t="s">
        <v>335</v>
      </c>
      <c r="C9047" s="348" t="s">
        <v>615</v>
      </c>
      <c r="D9047" s="335" t="s">
        <v>337</v>
      </c>
      <c r="E9047" s="336">
        <v>43798</v>
      </c>
      <c r="F9047" s="336">
        <v>43797</v>
      </c>
      <c r="G9047" s="399"/>
      <c r="H9047" s="334" t="s">
        <v>18883</v>
      </c>
      <c r="I9047" s="444">
        <v>18621857660</v>
      </c>
      <c r="J9047" s="444" t="s">
        <v>18884</v>
      </c>
      <c r="K9047" s="356">
        <v>1000</v>
      </c>
      <c r="N9047" s="362">
        <f t="shared" si="309"/>
        <v>0</v>
      </c>
      <c r="O9047" s="353" t="s">
        <v>17340</v>
      </c>
    </row>
    <row r="9048" ht="15" customHeight="1" spans="1:15">
      <c r="A9048" s="348">
        <v>2024288</v>
      </c>
      <c r="B9048" s="334" t="s">
        <v>335</v>
      </c>
      <c r="C9048" s="348" t="s">
        <v>399</v>
      </c>
      <c r="D9048" s="335" t="s">
        <v>337</v>
      </c>
      <c r="E9048" s="336">
        <v>43798</v>
      </c>
      <c r="F9048" s="336">
        <v>43792</v>
      </c>
      <c r="G9048" s="399"/>
      <c r="H9048" s="334" t="s">
        <v>18885</v>
      </c>
      <c r="I9048" s="444">
        <v>18502124727</v>
      </c>
      <c r="J9048" s="438" t="s">
        <v>18886</v>
      </c>
      <c r="K9048" s="356">
        <v>1000</v>
      </c>
      <c r="N9048" s="362">
        <f t="shared" si="309"/>
        <v>0</v>
      </c>
      <c r="O9048" s="353" t="s">
        <v>17340</v>
      </c>
    </row>
    <row r="9049" ht="15" customHeight="1" spans="1:15">
      <c r="A9049" s="550" t="s">
        <v>12473</v>
      </c>
      <c r="B9049" s="334" t="s">
        <v>335</v>
      </c>
      <c r="C9049" s="348" t="s">
        <v>399</v>
      </c>
      <c r="D9049" s="335" t="s">
        <v>337</v>
      </c>
      <c r="E9049" s="336">
        <v>43798</v>
      </c>
      <c r="F9049" s="336">
        <v>43797</v>
      </c>
      <c r="G9049" s="399"/>
      <c r="H9049" s="334" t="s">
        <v>18887</v>
      </c>
      <c r="I9049" s="444">
        <v>18922381068</v>
      </c>
      <c r="J9049" s="444" t="s">
        <v>18888</v>
      </c>
      <c r="K9049" s="356">
        <v>1000</v>
      </c>
      <c r="N9049" s="362">
        <f t="shared" si="309"/>
        <v>0</v>
      </c>
      <c r="O9049" s="353" t="s">
        <v>17340</v>
      </c>
    </row>
    <row r="9050" ht="15" customHeight="1" spans="1:14">
      <c r="A9050" s="348"/>
      <c r="B9050" s="334" t="s">
        <v>2625</v>
      </c>
      <c r="C9050" s="348" t="s">
        <v>2626</v>
      </c>
      <c r="D9050" s="334" t="s">
        <v>337</v>
      </c>
      <c r="E9050" s="336">
        <v>43803</v>
      </c>
      <c r="F9050" s="336">
        <v>43798</v>
      </c>
      <c r="G9050" s="336">
        <v>43802</v>
      </c>
      <c r="H9050" s="334" t="s">
        <v>18889</v>
      </c>
      <c r="I9050" s="444">
        <v>13916025225</v>
      </c>
      <c r="J9050" s="444" t="s">
        <v>18890</v>
      </c>
      <c r="K9050" s="356">
        <v>2000</v>
      </c>
      <c r="L9050" s="334">
        <v>8074</v>
      </c>
      <c r="N9050" s="362">
        <f t="shared" si="309"/>
        <v>8074</v>
      </c>
    </row>
    <row r="9051" ht="15" customHeight="1" spans="1:14">
      <c r="A9051" s="550" t="s">
        <v>18891</v>
      </c>
      <c r="B9051" s="334" t="s">
        <v>315</v>
      </c>
      <c r="C9051" s="348" t="s">
        <v>14638</v>
      </c>
      <c r="D9051" s="334" t="s">
        <v>149</v>
      </c>
      <c r="E9051" s="336">
        <v>43798</v>
      </c>
      <c r="F9051" s="336">
        <v>43796</v>
      </c>
      <c r="G9051" s="399">
        <v>43797</v>
      </c>
      <c r="H9051" s="334" t="s">
        <v>18892</v>
      </c>
      <c r="I9051" s="444">
        <v>15618999428</v>
      </c>
      <c r="J9051" s="444" t="s">
        <v>18893</v>
      </c>
      <c r="K9051" s="356">
        <v>1000</v>
      </c>
      <c r="L9051" s="334">
        <v>3119</v>
      </c>
      <c r="N9051" s="362">
        <f t="shared" si="309"/>
        <v>3119</v>
      </c>
    </row>
    <row r="9052" ht="15" customHeight="1" spans="1:14">
      <c r="A9052" s="550" t="s">
        <v>18894</v>
      </c>
      <c r="B9052" s="334" t="s">
        <v>315</v>
      </c>
      <c r="C9052" s="348" t="s">
        <v>366</v>
      </c>
      <c r="D9052" s="334" t="s">
        <v>132</v>
      </c>
      <c r="E9052" s="336">
        <v>43798</v>
      </c>
      <c r="F9052" s="336">
        <v>43781</v>
      </c>
      <c r="G9052" s="399">
        <v>43781</v>
      </c>
      <c r="H9052" s="334" t="s">
        <v>18895</v>
      </c>
      <c r="I9052" s="444">
        <v>13681910132</v>
      </c>
      <c r="J9052" s="444" t="s">
        <v>18896</v>
      </c>
      <c r="K9052" s="356">
        <v>1000</v>
      </c>
      <c r="L9052" s="334">
        <v>17828</v>
      </c>
      <c r="N9052" s="362">
        <f t="shared" si="309"/>
        <v>17828</v>
      </c>
    </row>
    <row r="9053" ht="15" customHeight="1" spans="1:14">
      <c r="A9053" s="348"/>
      <c r="B9053" s="334" t="s">
        <v>35</v>
      </c>
      <c r="C9053" s="348" t="s">
        <v>36</v>
      </c>
      <c r="D9053" s="335" t="s">
        <v>37</v>
      </c>
      <c r="E9053" s="336">
        <v>43799</v>
      </c>
      <c r="F9053" s="336">
        <v>43798</v>
      </c>
      <c r="G9053" s="336">
        <v>43799</v>
      </c>
      <c r="H9053" s="334" t="s">
        <v>18897</v>
      </c>
      <c r="I9053" s="444">
        <v>15921863229</v>
      </c>
      <c r="J9053" s="438" t="s">
        <v>18898</v>
      </c>
      <c r="K9053" s="356">
        <v>32000</v>
      </c>
      <c r="L9053" s="334">
        <v>32000</v>
      </c>
      <c r="N9053" s="362">
        <f t="shared" si="309"/>
        <v>32000</v>
      </c>
    </row>
    <row r="9054" ht="15" customHeight="1" spans="1:14">
      <c r="A9054" s="550" t="s">
        <v>18899</v>
      </c>
      <c r="B9054" s="334" t="s">
        <v>281</v>
      </c>
      <c r="C9054" s="348" t="s">
        <v>491</v>
      </c>
      <c r="D9054" s="335" t="s">
        <v>49</v>
      </c>
      <c r="E9054" s="336">
        <v>43798</v>
      </c>
      <c r="F9054" s="336">
        <v>43798</v>
      </c>
      <c r="G9054" s="399"/>
      <c r="H9054" s="334" t="s">
        <v>18900</v>
      </c>
      <c r="I9054" s="444">
        <v>18917572757</v>
      </c>
      <c r="J9054" s="438" t="s">
        <v>18901</v>
      </c>
      <c r="K9054" s="356">
        <v>3000</v>
      </c>
      <c r="N9054" s="362">
        <f t="shared" si="309"/>
        <v>0</v>
      </c>
    </row>
    <row r="9055" ht="15" customHeight="1" spans="1:14">
      <c r="A9055" s="348"/>
      <c r="B9055" s="334" t="s">
        <v>185</v>
      </c>
      <c r="C9055" s="334" t="s">
        <v>186</v>
      </c>
      <c r="D9055" s="334" t="s">
        <v>187</v>
      </c>
      <c r="E9055" s="336">
        <v>43798</v>
      </c>
      <c r="F9055" s="336">
        <v>43798</v>
      </c>
      <c r="G9055" s="399">
        <v>43798</v>
      </c>
      <c r="H9055" s="334" t="s">
        <v>16010</v>
      </c>
      <c r="I9055" s="444">
        <v>13564318525</v>
      </c>
      <c r="J9055" s="438" t="s">
        <v>18902</v>
      </c>
      <c r="K9055" s="356">
        <v>13559</v>
      </c>
      <c r="L9055" s="334">
        <v>13559</v>
      </c>
      <c r="N9055" s="362">
        <f t="shared" si="309"/>
        <v>13559</v>
      </c>
    </row>
    <row r="9056" ht="15" customHeight="1" spans="1:24">
      <c r="A9056" s="550" t="s">
        <v>18903</v>
      </c>
      <c r="B9056" s="334" t="s">
        <v>405</v>
      </c>
      <c r="C9056" s="348" t="s">
        <v>18904</v>
      </c>
      <c r="D9056" s="335" t="s">
        <v>407</v>
      </c>
      <c r="E9056" s="336">
        <v>43798</v>
      </c>
      <c r="F9056" s="336">
        <v>43798</v>
      </c>
      <c r="G9056" s="399"/>
      <c r="H9056" s="334" t="s">
        <v>18905</v>
      </c>
      <c r="I9056" s="444">
        <v>15962586558</v>
      </c>
      <c r="J9056" s="438" t="s">
        <v>18906</v>
      </c>
      <c r="K9056" s="356">
        <f>2000+3000</f>
        <v>5000</v>
      </c>
      <c r="N9056" s="362">
        <f t="shared" si="309"/>
        <v>0</v>
      </c>
      <c r="R9056" s="502" t="s">
        <v>52</v>
      </c>
      <c r="X9056" s="339" t="s">
        <v>4401</v>
      </c>
    </row>
    <row r="9057" ht="15" customHeight="1" spans="1:22">
      <c r="A9057" s="550" t="s">
        <v>4760</v>
      </c>
      <c r="B9057" s="334" t="s">
        <v>58</v>
      </c>
      <c r="C9057" s="348" t="s">
        <v>109</v>
      </c>
      <c r="D9057" s="335" t="s">
        <v>110</v>
      </c>
      <c r="E9057" s="336">
        <v>43830</v>
      </c>
      <c r="F9057" s="336">
        <v>43798</v>
      </c>
      <c r="G9057" s="336">
        <v>43830</v>
      </c>
      <c r="H9057" s="334" t="s">
        <v>18907</v>
      </c>
      <c r="I9057" s="444">
        <v>13873015296</v>
      </c>
      <c r="J9057" s="444" t="s">
        <v>18908</v>
      </c>
      <c r="K9057" s="356">
        <v>1000</v>
      </c>
      <c r="L9057" s="334">
        <v>10000</v>
      </c>
      <c r="N9057" s="362">
        <f t="shared" si="309"/>
        <v>10000</v>
      </c>
      <c r="Q9057" s="467"/>
      <c r="V9057" s="471">
        <v>43826</v>
      </c>
    </row>
    <row r="9058" ht="15" customHeight="1" spans="2:14">
      <c r="B9058" s="334" t="s">
        <v>354</v>
      </c>
      <c r="C9058" s="334" t="s">
        <v>13719</v>
      </c>
      <c r="D9058" s="335" t="s">
        <v>18909</v>
      </c>
      <c r="E9058" s="336">
        <v>43798</v>
      </c>
      <c r="G9058" s="336">
        <v>43797</v>
      </c>
      <c r="H9058" s="334" t="s">
        <v>18910</v>
      </c>
      <c r="I9058" s="444">
        <v>13818658298</v>
      </c>
      <c r="J9058" s="348" t="s">
        <v>18911</v>
      </c>
      <c r="L9058" s="334">
        <v>4039</v>
      </c>
      <c r="N9058" s="362">
        <f t="shared" ref="N9058:N9074" si="310">L9058+M9058</f>
        <v>4039</v>
      </c>
    </row>
    <row r="9059" ht="15" customHeight="1" spans="2:14">
      <c r="B9059" s="334" t="s">
        <v>4009</v>
      </c>
      <c r="C9059" s="334" t="s">
        <v>6401</v>
      </c>
      <c r="D9059" s="334" t="s">
        <v>207</v>
      </c>
      <c r="E9059" s="336">
        <v>43798</v>
      </c>
      <c r="G9059" s="336">
        <v>43797</v>
      </c>
      <c r="H9059" s="334" t="s">
        <v>8321</v>
      </c>
      <c r="I9059" s="444">
        <v>13916905259</v>
      </c>
      <c r="J9059" s="348" t="s">
        <v>18912</v>
      </c>
      <c r="L9059" s="334">
        <v>6612</v>
      </c>
      <c r="N9059" s="362">
        <f t="shared" si="310"/>
        <v>6612</v>
      </c>
    </row>
    <row r="9060" ht="15" customHeight="1" spans="2:14">
      <c r="B9060" s="334" t="s">
        <v>137</v>
      </c>
      <c r="C9060" s="334" t="s">
        <v>480</v>
      </c>
      <c r="D9060" s="334" t="s">
        <v>139</v>
      </c>
      <c r="E9060" s="336">
        <v>43798</v>
      </c>
      <c r="G9060" s="336">
        <v>43798</v>
      </c>
      <c r="H9060" s="334" t="s">
        <v>18913</v>
      </c>
      <c r="I9060" s="444">
        <v>13901660444</v>
      </c>
      <c r="J9060" s="348" t="s">
        <v>18914</v>
      </c>
      <c r="L9060" s="334">
        <v>18000</v>
      </c>
      <c r="N9060" s="362">
        <f t="shared" si="310"/>
        <v>18000</v>
      </c>
    </row>
    <row r="9061" ht="15" customHeight="1" spans="2:14">
      <c r="B9061" s="334" t="s">
        <v>42</v>
      </c>
      <c r="C9061" s="334" t="s">
        <v>43</v>
      </c>
      <c r="D9061" s="334" t="s">
        <v>44</v>
      </c>
      <c r="E9061" s="336">
        <v>43798</v>
      </c>
      <c r="G9061" s="336">
        <v>43797</v>
      </c>
      <c r="H9061" s="334" t="s">
        <v>492</v>
      </c>
      <c r="I9061" s="444">
        <v>17302133163</v>
      </c>
      <c r="J9061" s="348" t="s">
        <v>18915</v>
      </c>
      <c r="L9061" s="334">
        <v>16257</v>
      </c>
      <c r="N9061" s="362">
        <f t="shared" si="310"/>
        <v>16257</v>
      </c>
    </row>
    <row r="9062" ht="15" customHeight="1" spans="2:14">
      <c r="B9062" s="334" t="s">
        <v>4009</v>
      </c>
      <c r="C9062" s="334" t="s">
        <v>6401</v>
      </c>
      <c r="D9062" s="334" t="s">
        <v>207</v>
      </c>
      <c r="E9062" s="336">
        <v>43798</v>
      </c>
      <c r="G9062" s="336">
        <v>43797</v>
      </c>
      <c r="H9062" s="334" t="s">
        <v>18916</v>
      </c>
      <c r="I9062" s="444">
        <v>13918704960</v>
      </c>
      <c r="J9062" s="348" t="s">
        <v>18917</v>
      </c>
      <c r="L9062" s="334">
        <v>11325</v>
      </c>
      <c r="N9062" s="362">
        <f t="shared" si="310"/>
        <v>11325</v>
      </c>
    </row>
    <row r="9063" ht="15" customHeight="1" spans="2:14">
      <c r="B9063" s="334" t="s">
        <v>66</v>
      </c>
      <c r="C9063" s="334" t="s">
        <v>1749</v>
      </c>
      <c r="D9063" s="334" t="s">
        <v>68</v>
      </c>
      <c r="E9063" s="336">
        <v>43798</v>
      </c>
      <c r="G9063" s="336">
        <v>43797</v>
      </c>
      <c r="H9063" s="334" t="s">
        <v>18918</v>
      </c>
      <c r="I9063" s="444">
        <v>15102179130</v>
      </c>
      <c r="J9063" s="348" t="s">
        <v>18919</v>
      </c>
      <c r="L9063" s="334">
        <v>15000</v>
      </c>
      <c r="N9063" s="362">
        <f t="shared" si="310"/>
        <v>15000</v>
      </c>
    </row>
    <row r="9064" ht="15" customHeight="1" spans="2:14">
      <c r="B9064" s="334" t="s">
        <v>66</v>
      </c>
      <c r="C9064" s="334" t="s">
        <v>1749</v>
      </c>
      <c r="D9064" s="334" t="s">
        <v>68</v>
      </c>
      <c r="E9064" s="336">
        <v>43798</v>
      </c>
      <c r="G9064" s="336">
        <v>43798</v>
      </c>
      <c r="H9064" s="334" t="s">
        <v>7011</v>
      </c>
      <c r="I9064" s="334">
        <v>15900801352</v>
      </c>
      <c r="J9064" s="334" t="s">
        <v>18920</v>
      </c>
      <c r="L9064" s="334">
        <v>20000</v>
      </c>
      <c r="N9064" s="362">
        <f t="shared" si="310"/>
        <v>20000</v>
      </c>
    </row>
    <row r="9065" ht="15" customHeight="1" spans="2:14">
      <c r="B9065" s="334" t="s">
        <v>137</v>
      </c>
      <c r="C9065" s="334" t="s">
        <v>411</v>
      </c>
      <c r="D9065" s="334" t="s">
        <v>139</v>
      </c>
      <c r="E9065" s="336">
        <v>43798</v>
      </c>
      <c r="G9065" s="336">
        <v>43797</v>
      </c>
      <c r="H9065" s="334" t="s">
        <v>6024</v>
      </c>
      <c r="I9065" s="444">
        <v>13916933069</v>
      </c>
      <c r="J9065" s="348" t="s">
        <v>6025</v>
      </c>
      <c r="M9065" s="334">
        <v>797</v>
      </c>
      <c r="N9065" s="362">
        <f t="shared" si="310"/>
        <v>797</v>
      </c>
    </row>
    <row r="9066" ht="15" customHeight="1" spans="2:14">
      <c r="B9066" s="334" t="s">
        <v>73</v>
      </c>
      <c r="C9066" s="334" t="s">
        <v>74</v>
      </c>
      <c r="D9066" s="334" t="s">
        <v>717</v>
      </c>
      <c r="E9066" s="336">
        <v>43798</v>
      </c>
      <c r="G9066" s="336">
        <v>43798</v>
      </c>
      <c r="H9066" s="334" t="s">
        <v>1864</v>
      </c>
      <c r="I9066" s="334">
        <v>13817919821</v>
      </c>
      <c r="J9066" s="334" t="s">
        <v>14214</v>
      </c>
      <c r="M9066" s="334">
        <v>5730</v>
      </c>
      <c r="N9066" s="362">
        <f t="shared" si="310"/>
        <v>5730</v>
      </c>
    </row>
    <row r="9067" ht="15" customHeight="1" spans="2:14">
      <c r="B9067" s="334" t="s">
        <v>243</v>
      </c>
      <c r="C9067" s="334" t="s">
        <v>304</v>
      </c>
      <c r="D9067" s="334" t="s">
        <v>49</v>
      </c>
      <c r="E9067" s="336">
        <v>43798</v>
      </c>
      <c r="G9067" s="336">
        <v>43798</v>
      </c>
      <c r="H9067" s="334" t="s">
        <v>7674</v>
      </c>
      <c r="I9067" s="444">
        <v>18121388031</v>
      </c>
      <c r="J9067" s="348" t="s">
        <v>16429</v>
      </c>
      <c r="M9067" s="334">
        <v>1800</v>
      </c>
      <c r="N9067" s="362">
        <f t="shared" si="310"/>
        <v>1800</v>
      </c>
    </row>
    <row r="9068" ht="15" customHeight="1" spans="2:14">
      <c r="B9068" s="334" t="s">
        <v>315</v>
      </c>
      <c r="C9068" s="334" t="s">
        <v>161</v>
      </c>
      <c r="D9068" s="334" t="s">
        <v>162</v>
      </c>
      <c r="E9068" s="336">
        <v>43798</v>
      </c>
      <c r="G9068" s="336">
        <v>43798</v>
      </c>
      <c r="H9068" s="334" t="s">
        <v>596</v>
      </c>
      <c r="I9068" s="444">
        <v>18602152018</v>
      </c>
      <c r="J9068" s="334" t="s">
        <v>18921</v>
      </c>
      <c r="M9068" s="334">
        <v>951</v>
      </c>
      <c r="N9068" s="362">
        <f t="shared" si="310"/>
        <v>951</v>
      </c>
    </row>
    <row r="9069" ht="15" customHeight="1" spans="2:14">
      <c r="B9069" s="334" t="s">
        <v>335</v>
      </c>
      <c r="C9069" s="334" t="s">
        <v>615</v>
      </c>
      <c r="D9069" s="334" t="s">
        <v>337</v>
      </c>
      <c r="E9069" s="336">
        <v>43798</v>
      </c>
      <c r="G9069" s="336">
        <v>43797</v>
      </c>
      <c r="H9069" s="334" t="s">
        <v>18922</v>
      </c>
      <c r="I9069" s="444">
        <v>13564684189</v>
      </c>
      <c r="J9069" s="348" t="s">
        <v>12221</v>
      </c>
      <c r="M9069" s="334">
        <f>7000+2365</f>
        <v>9365</v>
      </c>
      <c r="N9069" s="362">
        <f t="shared" si="310"/>
        <v>9365</v>
      </c>
    </row>
    <row r="9070" ht="15" customHeight="1" spans="2:14">
      <c r="B9070" s="334" t="s">
        <v>42</v>
      </c>
      <c r="C9070" s="348" t="s">
        <v>43</v>
      </c>
      <c r="D9070" s="334" t="s">
        <v>44</v>
      </c>
      <c r="E9070" s="336">
        <v>43798</v>
      </c>
      <c r="G9070" s="336">
        <v>43798</v>
      </c>
      <c r="H9070" s="334" t="s">
        <v>16750</v>
      </c>
      <c r="I9070" s="444">
        <v>13501667494</v>
      </c>
      <c r="J9070" s="348" t="s">
        <v>16751</v>
      </c>
      <c r="M9070" s="334">
        <v>8928</v>
      </c>
      <c r="N9070" s="362">
        <f t="shared" si="310"/>
        <v>8928</v>
      </c>
    </row>
    <row r="9071" ht="15" customHeight="1" spans="2:14">
      <c r="B9071" s="334" t="s">
        <v>31</v>
      </c>
      <c r="C9071" s="334" t="s">
        <v>251</v>
      </c>
      <c r="D9071" s="334" t="s">
        <v>954</v>
      </c>
      <c r="E9071" s="336">
        <v>43798</v>
      </c>
      <c r="G9071" s="336">
        <v>43798</v>
      </c>
      <c r="H9071" s="334" t="s">
        <v>14225</v>
      </c>
      <c r="I9071" s="334">
        <v>15921055767</v>
      </c>
      <c r="J9071" s="334" t="s">
        <v>14226</v>
      </c>
      <c r="M9071" s="334">
        <v>1550</v>
      </c>
      <c r="N9071" s="362">
        <f t="shared" si="310"/>
        <v>1550</v>
      </c>
    </row>
    <row r="9072" ht="15" customHeight="1" spans="2:14">
      <c r="B9072" s="334" t="s">
        <v>315</v>
      </c>
      <c r="C9072" s="334" t="s">
        <v>161</v>
      </c>
      <c r="D9072" s="334" t="s">
        <v>1431</v>
      </c>
      <c r="E9072" s="336">
        <v>43798</v>
      </c>
      <c r="G9072" s="336">
        <v>43798</v>
      </c>
      <c r="H9072" s="334" t="s">
        <v>17086</v>
      </c>
      <c r="I9072" s="444">
        <v>17621436617</v>
      </c>
      <c r="J9072" s="348" t="s">
        <v>17087</v>
      </c>
      <c r="M9072" s="334">
        <v>837</v>
      </c>
      <c r="N9072" s="362">
        <f t="shared" si="310"/>
        <v>837</v>
      </c>
    </row>
    <row r="9073" ht="15" customHeight="1" spans="1:14">
      <c r="A9073" s="550" t="s">
        <v>3549</v>
      </c>
      <c r="B9073" s="334" t="s">
        <v>726</v>
      </c>
      <c r="C9073" s="348" t="s">
        <v>727</v>
      </c>
      <c r="D9073" s="334" t="s">
        <v>271</v>
      </c>
      <c r="E9073" s="336">
        <v>43799</v>
      </c>
      <c r="F9073" s="336">
        <v>43798</v>
      </c>
      <c r="G9073" s="399">
        <v>43798</v>
      </c>
      <c r="H9073" s="334" t="s">
        <v>18923</v>
      </c>
      <c r="I9073" s="444">
        <v>13524508317</v>
      </c>
      <c r="J9073" s="444" t="s">
        <v>18924</v>
      </c>
      <c r="K9073" s="356">
        <v>15100</v>
      </c>
      <c r="L9073" s="334">
        <v>15100</v>
      </c>
      <c r="N9073" s="362">
        <f t="shared" si="310"/>
        <v>15100</v>
      </c>
    </row>
    <row r="9074" ht="15" customHeight="1" spans="1:15">
      <c r="A9074" s="550" t="s">
        <v>5065</v>
      </c>
      <c r="B9074" s="334" t="s">
        <v>58</v>
      </c>
      <c r="C9074" s="348" t="s">
        <v>109</v>
      </c>
      <c r="D9074" s="335" t="s">
        <v>110</v>
      </c>
      <c r="E9074" s="336">
        <v>43799</v>
      </c>
      <c r="F9074" s="336">
        <v>43797</v>
      </c>
      <c r="G9074" s="399"/>
      <c r="H9074" s="334" t="s">
        <v>18925</v>
      </c>
      <c r="I9074" s="444">
        <v>18521762232</v>
      </c>
      <c r="J9074" s="444" t="s">
        <v>18926</v>
      </c>
      <c r="K9074" s="356">
        <v>1000</v>
      </c>
      <c r="N9074" s="362">
        <f t="shared" si="310"/>
        <v>0</v>
      </c>
      <c r="O9074" s="467" t="s">
        <v>52</v>
      </c>
    </row>
    <row r="9075" ht="15" customHeight="1" spans="1:15">
      <c r="A9075" s="550" t="s">
        <v>12043</v>
      </c>
      <c r="B9075" s="334" t="s">
        <v>87</v>
      </c>
      <c r="C9075" s="348" t="s">
        <v>9318</v>
      </c>
      <c r="D9075" s="335" t="s">
        <v>89</v>
      </c>
      <c r="E9075" s="336">
        <v>43799</v>
      </c>
      <c r="F9075" s="336">
        <v>43796</v>
      </c>
      <c r="G9075" s="399"/>
      <c r="H9075" s="334" t="s">
        <v>18927</v>
      </c>
      <c r="I9075" s="444">
        <v>13817407673</v>
      </c>
      <c r="J9075" s="444" t="s">
        <v>18928</v>
      </c>
      <c r="K9075" s="356">
        <v>1000</v>
      </c>
      <c r="N9075" s="362">
        <f t="shared" ref="N9075:N9103" si="311">L9075+M9075</f>
        <v>0</v>
      </c>
      <c r="O9075" s="356" t="s">
        <v>52</v>
      </c>
    </row>
    <row r="9076" ht="15" customHeight="1" spans="1:15">
      <c r="A9076" s="550" t="s">
        <v>18929</v>
      </c>
      <c r="B9076" s="334" t="s">
        <v>87</v>
      </c>
      <c r="C9076" s="348" t="s">
        <v>9318</v>
      </c>
      <c r="D9076" s="335" t="s">
        <v>89</v>
      </c>
      <c r="E9076" s="336">
        <v>43799</v>
      </c>
      <c r="F9076" s="336">
        <v>43796</v>
      </c>
      <c r="G9076" s="399"/>
      <c r="H9076" s="334" t="s">
        <v>18930</v>
      </c>
      <c r="I9076" s="444">
        <v>13564958328</v>
      </c>
      <c r="J9076" s="444" t="s">
        <v>18931</v>
      </c>
      <c r="K9076" s="356">
        <v>1000</v>
      </c>
      <c r="N9076" s="362">
        <f t="shared" si="311"/>
        <v>0</v>
      </c>
      <c r="O9076" s="356" t="s">
        <v>52</v>
      </c>
    </row>
    <row r="9077" ht="15" customHeight="1" spans="1:14">
      <c r="A9077" s="348"/>
      <c r="B9077" s="334" t="s">
        <v>87</v>
      </c>
      <c r="C9077" s="348" t="s">
        <v>199</v>
      </c>
      <c r="D9077" s="335" t="s">
        <v>89</v>
      </c>
      <c r="E9077" s="336">
        <v>43819</v>
      </c>
      <c r="F9077" s="336">
        <v>43798</v>
      </c>
      <c r="G9077" s="336">
        <v>43817</v>
      </c>
      <c r="H9077" s="334" t="s">
        <v>18932</v>
      </c>
      <c r="I9077" s="444">
        <v>13816216470</v>
      </c>
      <c r="J9077" s="444" t="s">
        <v>18933</v>
      </c>
      <c r="K9077" s="356">
        <v>1000</v>
      </c>
      <c r="L9077" s="334">
        <f>-1999-25+6254</f>
        <v>4230</v>
      </c>
      <c r="M9077" s="334">
        <f>1999+25</f>
        <v>2024</v>
      </c>
      <c r="N9077" s="362">
        <f t="shared" si="311"/>
        <v>6254</v>
      </c>
    </row>
    <row r="9078" ht="15" customHeight="1" spans="1:21">
      <c r="A9078" s="550" t="s">
        <v>1024</v>
      </c>
      <c r="B9078" s="334" t="s">
        <v>87</v>
      </c>
      <c r="C9078" s="348" t="s">
        <v>466</v>
      </c>
      <c r="D9078" s="335" t="s">
        <v>89</v>
      </c>
      <c r="E9078" s="336">
        <v>43799</v>
      </c>
      <c r="F9078" s="336">
        <v>43796</v>
      </c>
      <c r="G9078" s="399"/>
      <c r="H9078" s="334" t="s">
        <v>973</v>
      </c>
      <c r="I9078" s="444"/>
      <c r="J9078" s="444" t="s">
        <v>18934</v>
      </c>
      <c r="K9078" s="356">
        <v>1000</v>
      </c>
      <c r="N9078" s="362">
        <f t="shared" si="311"/>
        <v>0</v>
      </c>
      <c r="O9078" s="356" t="s">
        <v>52</v>
      </c>
      <c r="U9078" s="415" t="s">
        <v>40</v>
      </c>
    </row>
    <row r="9079" ht="15" customHeight="1" spans="1:16">
      <c r="A9079" s="550" t="s">
        <v>18935</v>
      </c>
      <c r="B9079" s="334" t="s">
        <v>87</v>
      </c>
      <c r="C9079" s="348" t="s">
        <v>199</v>
      </c>
      <c r="D9079" s="335" t="s">
        <v>89</v>
      </c>
      <c r="E9079" s="336">
        <v>43799</v>
      </c>
      <c r="F9079" s="336">
        <v>43797</v>
      </c>
      <c r="G9079" s="399"/>
      <c r="H9079" s="334" t="s">
        <v>13516</v>
      </c>
      <c r="I9079" s="444">
        <v>15618684156</v>
      </c>
      <c r="J9079" s="444" t="s">
        <v>18936</v>
      </c>
      <c r="K9079" s="356">
        <v>1000</v>
      </c>
      <c r="N9079" s="362">
        <f t="shared" si="311"/>
        <v>0</v>
      </c>
      <c r="P9079" s="356" t="s">
        <v>52</v>
      </c>
    </row>
    <row r="9080" ht="15" customHeight="1" spans="1:15">
      <c r="A9080" s="550" t="s">
        <v>11149</v>
      </c>
      <c r="B9080" s="334" t="s">
        <v>169</v>
      </c>
      <c r="C9080" s="348" t="s">
        <v>542</v>
      </c>
      <c r="D9080" s="335" t="s">
        <v>171</v>
      </c>
      <c r="E9080" s="336">
        <v>43829</v>
      </c>
      <c r="F9080" s="336">
        <v>43798</v>
      </c>
      <c r="G9080" s="336">
        <v>43829</v>
      </c>
      <c r="H9080" s="334" t="s">
        <v>18937</v>
      </c>
      <c r="I9080" s="444">
        <v>13918387849</v>
      </c>
      <c r="J9080" s="444" t="s">
        <v>18938</v>
      </c>
      <c r="K9080" s="356">
        <f>18900+1000</f>
        <v>19900</v>
      </c>
      <c r="L9080" s="334">
        <v>19900</v>
      </c>
      <c r="N9080" s="362">
        <f t="shared" si="311"/>
        <v>19900</v>
      </c>
      <c r="O9080" s="356" t="s">
        <v>18643</v>
      </c>
    </row>
    <row r="9081" ht="15" customHeight="1" spans="1:14">
      <c r="A9081" s="550" t="s">
        <v>18939</v>
      </c>
      <c r="B9081" s="334" t="s">
        <v>137</v>
      </c>
      <c r="C9081" s="348" t="s">
        <v>861</v>
      </c>
      <c r="D9081" s="334" t="s">
        <v>2381</v>
      </c>
      <c r="E9081" s="336">
        <v>43799</v>
      </c>
      <c r="F9081" s="336">
        <v>43799</v>
      </c>
      <c r="G9081" s="399">
        <v>43799</v>
      </c>
      <c r="H9081" s="334" t="s">
        <v>18940</v>
      </c>
      <c r="I9081" s="444">
        <v>13818874048</v>
      </c>
      <c r="J9081" s="348" t="s">
        <v>18941</v>
      </c>
      <c r="K9081" s="356">
        <v>14000</v>
      </c>
      <c r="L9081" s="334">
        <v>14000</v>
      </c>
      <c r="N9081" s="362">
        <f t="shared" si="311"/>
        <v>14000</v>
      </c>
    </row>
    <row r="9082" ht="15" customHeight="1" spans="1:14">
      <c r="A9082" s="550" t="s">
        <v>1889</v>
      </c>
      <c r="B9082" s="334" t="s">
        <v>58</v>
      </c>
      <c r="C9082" s="348" t="s">
        <v>342</v>
      </c>
      <c r="D9082" s="334" t="s">
        <v>343</v>
      </c>
      <c r="E9082" s="336">
        <v>43799</v>
      </c>
      <c r="F9082" s="336">
        <v>43798</v>
      </c>
      <c r="G9082" s="399">
        <v>43798</v>
      </c>
      <c r="H9082" s="334" t="s">
        <v>18942</v>
      </c>
      <c r="I9082" s="444">
        <v>13671768067</v>
      </c>
      <c r="J9082" s="444" t="s">
        <v>18943</v>
      </c>
      <c r="K9082" s="356">
        <v>8943</v>
      </c>
      <c r="L9082" s="334">
        <v>8943</v>
      </c>
      <c r="N9082" s="362">
        <f t="shared" si="311"/>
        <v>8943</v>
      </c>
    </row>
    <row r="9083" ht="15" customHeight="1" spans="1:14">
      <c r="A9083" s="550" t="s">
        <v>18944</v>
      </c>
      <c r="B9083" s="334" t="s">
        <v>66</v>
      </c>
      <c r="C9083" s="348" t="s">
        <v>505</v>
      </c>
      <c r="D9083" s="335" t="s">
        <v>1436</v>
      </c>
      <c r="E9083" s="336">
        <v>43799</v>
      </c>
      <c r="F9083" s="336">
        <v>43799</v>
      </c>
      <c r="G9083" s="399"/>
      <c r="H9083" s="334" t="s">
        <v>18945</v>
      </c>
      <c r="I9083" s="444">
        <v>13816151586</v>
      </c>
      <c r="J9083" s="444" t="s">
        <v>18946</v>
      </c>
      <c r="K9083" s="356">
        <v>10000</v>
      </c>
      <c r="N9083" s="362">
        <f t="shared" si="311"/>
        <v>0</v>
      </c>
    </row>
    <row r="9084" ht="15" customHeight="1" spans="1:18">
      <c r="A9084" s="348">
        <v>2068437</v>
      </c>
      <c r="B9084" s="334" t="s">
        <v>47</v>
      </c>
      <c r="C9084" s="348" t="s">
        <v>53</v>
      </c>
      <c r="D9084" s="335" t="s">
        <v>49</v>
      </c>
      <c r="E9084" s="336">
        <v>43799</v>
      </c>
      <c r="F9084" s="336">
        <v>43793</v>
      </c>
      <c r="G9084" s="399"/>
      <c r="H9084" s="334" t="s">
        <v>18947</v>
      </c>
      <c r="I9084" s="444">
        <v>13430972345</v>
      </c>
      <c r="J9084" s="444" t="s">
        <v>18948</v>
      </c>
      <c r="K9084" s="356">
        <v>1000</v>
      </c>
      <c r="N9084" s="362">
        <f t="shared" si="311"/>
        <v>0</v>
      </c>
      <c r="R9084" s="356" t="s">
        <v>52</v>
      </c>
    </row>
    <row r="9085" ht="15" customHeight="1" spans="1:14">
      <c r="A9085" s="550" t="s">
        <v>1727</v>
      </c>
      <c r="B9085" s="334" t="s">
        <v>354</v>
      </c>
      <c r="C9085" s="348" t="s">
        <v>355</v>
      </c>
      <c r="D9085" s="334" t="s">
        <v>162</v>
      </c>
      <c r="E9085" s="336">
        <v>43802</v>
      </c>
      <c r="F9085" s="336">
        <v>43799</v>
      </c>
      <c r="G9085" s="336">
        <v>43800</v>
      </c>
      <c r="H9085" s="334" t="s">
        <v>18949</v>
      </c>
      <c r="I9085" s="444">
        <v>18017267890</v>
      </c>
      <c r="J9085" s="444" t="s">
        <v>18950</v>
      </c>
      <c r="K9085" s="356">
        <v>1000</v>
      </c>
      <c r="L9085" s="334">
        <v>8451</v>
      </c>
      <c r="N9085" s="362">
        <f t="shared" si="311"/>
        <v>8451</v>
      </c>
    </row>
    <row r="9086" ht="15" customHeight="1" spans="1:23">
      <c r="A9086" s="550" t="s">
        <v>4733</v>
      </c>
      <c r="B9086" s="334" t="s">
        <v>58</v>
      </c>
      <c r="C9086" s="348" t="s">
        <v>109</v>
      </c>
      <c r="D9086" s="335" t="s">
        <v>110</v>
      </c>
      <c r="E9086" s="336">
        <v>43799</v>
      </c>
      <c r="F9086" s="336">
        <v>43799</v>
      </c>
      <c r="G9086" s="399"/>
      <c r="H9086" s="334" t="s">
        <v>18951</v>
      </c>
      <c r="I9086" s="444">
        <v>13917772189</v>
      </c>
      <c r="J9086" s="444" t="s">
        <v>18952</v>
      </c>
      <c r="K9086" s="356">
        <v>1000</v>
      </c>
      <c r="N9086" s="362">
        <f t="shared" si="311"/>
        <v>0</v>
      </c>
      <c r="Q9086" s="467"/>
      <c r="S9086" s="467" t="s">
        <v>52</v>
      </c>
      <c r="W9086" s="471">
        <v>43829</v>
      </c>
    </row>
    <row r="9087" ht="15" customHeight="1" spans="1:15">
      <c r="A9087" s="550" t="s">
        <v>12821</v>
      </c>
      <c r="B9087" s="334" t="s">
        <v>137</v>
      </c>
      <c r="C9087" s="348" t="s">
        <v>861</v>
      </c>
      <c r="D9087" s="335" t="s">
        <v>427</v>
      </c>
      <c r="E9087" s="336">
        <v>43799</v>
      </c>
      <c r="F9087" s="336">
        <v>43799</v>
      </c>
      <c r="G9087" s="399"/>
      <c r="H9087" s="334" t="s">
        <v>18953</v>
      </c>
      <c r="I9087" s="444">
        <v>18939707878</v>
      </c>
      <c r="J9087" s="444" t="s">
        <v>18954</v>
      </c>
      <c r="K9087" s="356">
        <v>1000</v>
      </c>
      <c r="N9087" s="362">
        <f t="shared" si="311"/>
        <v>0</v>
      </c>
      <c r="O9087" s="330" t="s">
        <v>19</v>
      </c>
    </row>
    <row r="9088" ht="15" customHeight="1" spans="1:16">
      <c r="A9088" s="550" t="s">
        <v>1916</v>
      </c>
      <c r="B9088" s="334" t="s">
        <v>87</v>
      </c>
      <c r="C9088" s="348" t="s">
        <v>9318</v>
      </c>
      <c r="D9088" s="335" t="s">
        <v>89</v>
      </c>
      <c r="E9088" s="336">
        <v>43799</v>
      </c>
      <c r="F9088" s="336">
        <v>43799</v>
      </c>
      <c r="G9088" s="399"/>
      <c r="H9088" s="334" t="s">
        <v>18955</v>
      </c>
      <c r="I9088" s="444">
        <v>14782848550</v>
      </c>
      <c r="J9088" s="444" t="s">
        <v>18956</v>
      </c>
      <c r="K9088" s="356">
        <v>1000</v>
      </c>
      <c r="N9088" s="362">
        <f t="shared" si="311"/>
        <v>0</v>
      </c>
      <c r="O9088" s="356" t="s">
        <v>52</v>
      </c>
      <c r="P9088" s="356"/>
    </row>
    <row r="9089" ht="15" customHeight="1" spans="1:15">
      <c r="A9089" s="550" t="s">
        <v>5991</v>
      </c>
      <c r="B9089" s="334" t="s">
        <v>31</v>
      </c>
      <c r="C9089" s="348" t="s">
        <v>3186</v>
      </c>
      <c r="D9089" s="335" t="s">
        <v>221</v>
      </c>
      <c r="E9089" s="336">
        <v>43799</v>
      </c>
      <c r="F9089" s="336">
        <v>43799</v>
      </c>
      <c r="G9089" s="399"/>
      <c r="H9089" s="334" t="s">
        <v>743</v>
      </c>
      <c r="I9089" s="444">
        <v>18917685659</v>
      </c>
      <c r="J9089" s="444" t="s">
        <v>18957</v>
      </c>
      <c r="K9089" s="356">
        <v>1000</v>
      </c>
      <c r="N9089" s="362">
        <f t="shared" si="311"/>
        <v>0</v>
      </c>
      <c r="O9089" s="467" t="s">
        <v>52</v>
      </c>
    </row>
    <row r="9090" ht="15" customHeight="1" spans="1:14">
      <c r="A9090" s="550" t="s">
        <v>2672</v>
      </c>
      <c r="B9090" s="334" t="s">
        <v>31</v>
      </c>
      <c r="C9090" s="348" t="s">
        <v>3186</v>
      </c>
      <c r="D9090" s="334" t="s">
        <v>33</v>
      </c>
      <c r="E9090" s="336">
        <v>43799</v>
      </c>
      <c r="F9090" s="336">
        <v>43799</v>
      </c>
      <c r="G9090" s="399">
        <v>43799</v>
      </c>
      <c r="H9090" s="334" t="s">
        <v>18958</v>
      </c>
      <c r="I9090" s="444">
        <v>13901609899</v>
      </c>
      <c r="J9090" s="444" t="s">
        <v>18959</v>
      </c>
      <c r="K9090" s="356">
        <v>3820</v>
      </c>
      <c r="L9090" s="334">
        <v>3815</v>
      </c>
      <c r="N9090" s="362">
        <f t="shared" si="311"/>
        <v>3815</v>
      </c>
    </row>
    <row r="9091" ht="15" customHeight="1" spans="1:16">
      <c r="A9091" s="550" t="s">
        <v>18960</v>
      </c>
      <c r="B9091" s="334" t="s">
        <v>243</v>
      </c>
      <c r="C9091" s="348" t="s">
        <v>304</v>
      </c>
      <c r="D9091" s="335" t="s">
        <v>49</v>
      </c>
      <c r="E9091" s="336">
        <v>43799</v>
      </c>
      <c r="F9091" s="336">
        <v>43799</v>
      </c>
      <c r="G9091" s="399"/>
      <c r="H9091" s="334" t="s">
        <v>6510</v>
      </c>
      <c r="I9091" s="444">
        <v>15968133691</v>
      </c>
      <c r="J9091" s="444" t="s">
        <v>18961</v>
      </c>
      <c r="K9091" s="356">
        <v>2000</v>
      </c>
      <c r="N9091" s="362">
        <f t="shared" si="311"/>
        <v>0</v>
      </c>
      <c r="P9091" s="356" t="s">
        <v>52</v>
      </c>
    </row>
    <row r="9092" ht="15" customHeight="1" spans="1:17">
      <c r="A9092" s="550" t="s">
        <v>15366</v>
      </c>
      <c r="B9092" s="334" t="s">
        <v>243</v>
      </c>
      <c r="C9092" s="348" t="s">
        <v>309</v>
      </c>
      <c r="D9092" s="335" t="s">
        <v>49</v>
      </c>
      <c r="E9092" s="336">
        <v>43835</v>
      </c>
      <c r="F9092" s="336">
        <v>43799</v>
      </c>
      <c r="G9092" s="336">
        <v>43835</v>
      </c>
      <c r="H9092" s="425" t="s">
        <v>18962</v>
      </c>
      <c r="I9092" s="444">
        <v>13803598160</v>
      </c>
      <c r="J9092" s="444" t="s">
        <v>18963</v>
      </c>
      <c r="K9092" s="356">
        <v>3000</v>
      </c>
      <c r="L9092" s="334">
        <v>10000</v>
      </c>
      <c r="N9092" s="362">
        <f t="shared" si="311"/>
        <v>10000</v>
      </c>
      <c r="Q9092" s="356" t="s">
        <v>52</v>
      </c>
    </row>
    <row r="9093" ht="15" customHeight="1" spans="1:18">
      <c r="A9093" s="550" t="s">
        <v>10150</v>
      </c>
      <c r="B9093" s="334" t="s">
        <v>94</v>
      </c>
      <c r="C9093" s="348" t="s">
        <v>3196</v>
      </c>
      <c r="D9093" s="335" t="s">
        <v>49</v>
      </c>
      <c r="E9093" s="336">
        <v>43799</v>
      </c>
      <c r="F9093" s="336">
        <v>43799</v>
      </c>
      <c r="G9093" s="399"/>
      <c r="H9093" s="334" t="s">
        <v>18964</v>
      </c>
      <c r="I9093" s="444">
        <v>13301792280</v>
      </c>
      <c r="J9093" s="444" t="s">
        <v>18965</v>
      </c>
      <c r="K9093" s="356">
        <v>1000</v>
      </c>
      <c r="N9093" s="362">
        <f t="shared" si="311"/>
        <v>0</v>
      </c>
      <c r="R9093" s="467" t="s">
        <v>52</v>
      </c>
    </row>
    <row r="9094" ht="15" customHeight="1" spans="1:23">
      <c r="A9094" s="550" t="s">
        <v>10141</v>
      </c>
      <c r="B9094" s="334" t="s">
        <v>94</v>
      </c>
      <c r="C9094" s="348" t="s">
        <v>95</v>
      </c>
      <c r="D9094" s="335" t="s">
        <v>49</v>
      </c>
      <c r="E9094" s="336">
        <v>43826</v>
      </c>
      <c r="F9094" s="336">
        <v>43799</v>
      </c>
      <c r="G9094" s="336">
        <v>43826</v>
      </c>
      <c r="H9094" s="334" t="s">
        <v>18966</v>
      </c>
      <c r="I9094" s="444">
        <v>17701874131</v>
      </c>
      <c r="J9094" s="444" t="s">
        <v>18967</v>
      </c>
      <c r="K9094" s="356">
        <v>1000</v>
      </c>
      <c r="L9094" s="334">
        <v>14041</v>
      </c>
      <c r="N9094" s="362">
        <f t="shared" si="311"/>
        <v>14041</v>
      </c>
      <c r="W9094" s="353">
        <v>12.24</v>
      </c>
    </row>
    <row r="9095" ht="15" customHeight="1" spans="1:16">
      <c r="A9095" s="550" t="s">
        <v>18968</v>
      </c>
      <c r="B9095" s="334" t="s">
        <v>31</v>
      </c>
      <c r="C9095" s="348" t="s">
        <v>220</v>
      </c>
      <c r="D9095" s="335" t="s">
        <v>221</v>
      </c>
      <c r="E9095" s="336">
        <v>43799</v>
      </c>
      <c r="F9095" s="336">
        <v>43799</v>
      </c>
      <c r="G9095" s="399"/>
      <c r="H9095" s="334" t="s">
        <v>18969</v>
      </c>
      <c r="I9095" s="444">
        <v>13501836802</v>
      </c>
      <c r="J9095" s="444" t="s">
        <v>18970</v>
      </c>
      <c r="K9095" s="356">
        <v>20000</v>
      </c>
      <c r="N9095" s="362">
        <f t="shared" si="311"/>
        <v>0</v>
      </c>
      <c r="P9095" s="467" t="s">
        <v>52</v>
      </c>
    </row>
    <row r="9096" ht="15" customHeight="1" spans="1:14">
      <c r="A9096" s="421"/>
      <c r="B9096" s="334" t="s">
        <v>137</v>
      </c>
      <c r="C9096" s="348" t="s">
        <v>2705</v>
      </c>
      <c r="D9096" s="334" t="s">
        <v>2381</v>
      </c>
      <c r="E9096" s="336">
        <v>43803</v>
      </c>
      <c r="F9096" s="336">
        <v>43799</v>
      </c>
      <c r="G9096" s="336">
        <v>43802</v>
      </c>
      <c r="H9096" s="334" t="s">
        <v>18971</v>
      </c>
      <c r="I9096" s="444">
        <v>18500138881</v>
      </c>
      <c r="J9096" s="444" t="s">
        <v>18972</v>
      </c>
      <c r="K9096" s="356">
        <v>1000</v>
      </c>
      <c r="L9096" s="334">
        <v>11589</v>
      </c>
      <c r="N9096" s="362">
        <f t="shared" si="311"/>
        <v>11589</v>
      </c>
    </row>
    <row r="9097" ht="15" customHeight="1" spans="1:17">
      <c r="A9097" s="550" t="s">
        <v>16094</v>
      </c>
      <c r="B9097" s="334" t="s">
        <v>31</v>
      </c>
      <c r="C9097" s="348" t="s">
        <v>13171</v>
      </c>
      <c r="D9097" s="335" t="s">
        <v>221</v>
      </c>
      <c r="E9097" s="336">
        <v>43799</v>
      </c>
      <c r="F9097" s="336">
        <v>43799</v>
      </c>
      <c r="G9097" s="399"/>
      <c r="H9097" s="334" t="s">
        <v>18973</v>
      </c>
      <c r="I9097" s="444">
        <v>18817598154</v>
      </c>
      <c r="J9097" s="444" t="s">
        <v>18974</v>
      </c>
      <c r="K9097" s="356">
        <v>1000</v>
      </c>
      <c r="N9097" s="362">
        <f t="shared" si="311"/>
        <v>0</v>
      </c>
      <c r="Q9097" s="467" t="s">
        <v>52</v>
      </c>
    </row>
    <row r="9098" ht="15" customHeight="1" spans="1:15">
      <c r="A9098" s="550" t="s">
        <v>18975</v>
      </c>
      <c r="B9098" s="334" t="s">
        <v>31</v>
      </c>
      <c r="C9098" s="348" t="s">
        <v>13171</v>
      </c>
      <c r="D9098" s="335" t="s">
        <v>221</v>
      </c>
      <c r="E9098" s="336">
        <v>43799</v>
      </c>
      <c r="F9098" s="336">
        <v>43799</v>
      </c>
      <c r="G9098" s="399"/>
      <c r="H9098" s="334" t="s">
        <v>18976</v>
      </c>
      <c r="I9098" s="444">
        <v>13761223841</v>
      </c>
      <c r="J9098" s="444" t="s">
        <v>18977</v>
      </c>
      <c r="K9098" s="356">
        <v>1000</v>
      </c>
      <c r="N9098" s="362">
        <f t="shared" si="311"/>
        <v>0</v>
      </c>
      <c r="O9098" s="467" t="s">
        <v>52</v>
      </c>
    </row>
    <row r="9099" ht="15" customHeight="1" spans="1:15">
      <c r="A9099" s="550" t="s">
        <v>17515</v>
      </c>
      <c r="B9099" s="334" t="s">
        <v>169</v>
      </c>
      <c r="C9099" s="348" t="s">
        <v>542</v>
      </c>
      <c r="D9099" s="335" t="s">
        <v>171</v>
      </c>
      <c r="E9099" s="336">
        <v>43799</v>
      </c>
      <c r="F9099" s="336">
        <v>43799</v>
      </c>
      <c r="G9099" s="356" t="s">
        <v>691</v>
      </c>
      <c r="H9099" s="334" t="s">
        <v>18978</v>
      </c>
      <c r="I9099" s="444">
        <v>18621527784</v>
      </c>
      <c r="J9099" s="444" t="s">
        <v>18979</v>
      </c>
      <c r="K9099" s="356">
        <v>1000</v>
      </c>
      <c r="N9099" s="362">
        <f t="shared" si="311"/>
        <v>0</v>
      </c>
      <c r="O9099" s="353" t="s">
        <v>19</v>
      </c>
    </row>
    <row r="9100" ht="15" customHeight="1" spans="1:17">
      <c r="A9100" s="550" t="s">
        <v>9081</v>
      </c>
      <c r="B9100" s="334" t="s">
        <v>73</v>
      </c>
      <c r="C9100" s="348" t="s">
        <v>178</v>
      </c>
      <c r="D9100" s="335" t="s">
        <v>75</v>
      </c>
      <c r="E9100" s="336">
        <v>43801</v>
      </c>
      <c r="F9100" s="336">
        <v>43800</v>
      </c>
      <c r="G9100" s="399"/>
      <c r="H9100" s="334" t="s">
        <v>18980</v>
      </c>
      <c r="I9100" s="444">
        <v>1381734216</v>
      </c>
      <c r="J9100" s="444" t="s">
        <v>18981</v>
      </c>
      <c r="K9100" s="356">
        <v>1000</v>
      </c>
      <c r="N9100" s="362">
        <f t="shared" si="311"/>
        <v>0</v>
      </c>
      <c r="O9100" s="366" t="s">
        <v>52</v>
      </c>
      <c r="Q9100" s="331"/>
    </row>
    <row r="9101" ht="15" customHeight="1" spans="1:14">
      <c r="A9101" s="348"/>
      <c r="B9101" s="334" t="s">
        <v>281</v>
      </c>
      <c r="C9101" s="348" t="s">
        <v>491</v>
      </c>
      <c r="D9101" s="334" t="s">
        <v>518</v>
      </c>
      <c r="E9101" s="336">
        <v>43799</v>
      </c>
      <c r="F9101" s="336">
        <v>43799</v>
      </c>
      <c r="G9101" s="399">
        <v>43799</v>
      </c>
      <c r="H9101" s="334" t="s">
        <v>18982</v>
      </c>
      <c r="I9101" s="444">
        <v>18018821609</v>
      </c>
      <c r="J9101" s="348" t="s">
        <v>18983</v>
      </c>
      <c r="K9101" s="356">
        <v>20410</v>
      </c>
      <c r="L9101" s="334">
        <v>20410</v>
      </c>
      <c r="N9101" s="362">
        <f t="shared" si="311"/>
        <v>20410</v>
      </c>
    </row>
    <row r="9102" ht="15" customHeight="1" spans="1:14">
      <c r="A9102" s="550" t="s">
        <v>4408</v>
      </c>
      <c r="B9102" s="334" t="s">
        <v>315</v>
      </c>
      <c r="C9102" s="348" t="s">
        <v>275</v>
      </c>
      <c r="D9102" s="334" t="s">
        <v>162</v>
      </c>
      <c r="E9102" s="336">
        <v>43799</v>
      </c>
      <c r="F9102" s="336">
        <v>43799</v>
      </c>
      <c r="G9102" s="399">
        <v>43799</v>
      </c>
      <c r="H9102" s="334" t="s">
        <v>18984</v>
      </c>
      <c r="I9102" s="444">
        <v>15286853595</v>
      </c>
      <c r="J9102" s="444" t="s">
        <v>18985</v>
      </c>
      <c r="K9102" s="356">
        <v>33792</v>
      </c>
      <c r="L9102" s="334">
        <v>33792</v>
      </c>
      <c r="N9102" s="362">
        <f t="shared" si="311"/>
        <v>33792</v>
      </c>
    </row>
    <row r="9103" ht="15" customHeight="1" spans="1:14">
      <c r="A9103" s="550" t="s">
        <v>18986</v>
      </c>
      <c r="B9103" s="334" t="s">
        <v>185</v>
      </c>
      <c r="C9103" s="348" t="s">
        <v>186</v>
      </c>
      <c r="D9103" s="334" t="s">
        <v>187</v>
      </c>
      <c r="E9103" s="336">
        <v>43799</v>
      </c>
      <c r="F9103" s="336">
        <v>43799</v>
      </c>
      <c r="G9103" s="399">
        <v>43799</v>
      </c>
      <c r="H9103" s="334" t="s">
        <v>18987</v>
      </c>
      <c r="I9103" s="444">
        <v>18321169521</v>
      </c>
      <c r="J9103" s="348" t="s">
        <v>18988</v>
      </c>
      <c r="K9103" s="334">
        <v>56000</v>
      </c>
      <c r="L9103" s="334">
        <v>56000</v>
      </c>
      <c r="N9103" s="362">
        <f t="shared" si="311"/>
        <v>56000</v>
      </c>
    </row>
    <row r="9104" ht="15" customHeight="1" spans="1:14">
      <c r="A9104" s="550" t="s">
        <v>18989</v>
      </c>
      <c r="B9104" s="334" t="s">
        <v>66</v>
      </c>
      <c r="C9104" s="348" t="s">
        <v>1749</v>
      </c>
      <c r="D9104" s="334" t="s">
        <v>68</v>
      </c>
      <c r="E9104" s="336">
        <v>43799</v>
      </c>
      <c r="F9104" s="336">
        <v>43799</v>
      </c>
      <c r="G9104" s="399">
        <v>43799</v>
      </c>
      <c r="H9104" s="334" t="s">
        <v>312</v>
      </c>
      <c r="I9104" s="444">
        <v>17521567839</v>
      </c>
      <c r="J9104" s="444" t="s">
        <v>18990</v>
      </c>
      <c r="K9104" s="356">
        <v>11000</v>
      </c>
      <c r="L9104" s="334">
        <v>10000</v>
      </c>
      <c r="N9104" s="362">
        <f t="shared" ref="N9104:N9143" si="312">L9104+M9104</f>
        <v>10000</v>
      </c>
    </row>
    <row r="9105" ht="15" customHeight="1" spans="1:14">
      <c r="A9105" s="550" t="s">
        <v>13212</v>
      </c>
      <c r="B9105" s="334" t="s">
        <v>66</v>
      </c>
      <c r="C9105" s="348" t="s">
        <v>1749</v>
      </c>
      <c r="D9105" s="334" t="s">
        <v>68</v>
      </c>
      <c r="E9105" s="336">
        <v>43799</v>
      </c>
      <c r="F9105" s="336">
        <v>43799</v>
      </c>
      <c r="G9105" s="399">
        <v>43799</v>
      </c>
      <c r="H9105" s="334" t="s">
        <v>18991</v>
      </c>
      <c r="I9105" s="444">
        <v>13821965131</v>
      </c>
      <c r="J9105" s="444" t="s">
        <v>18992</v>
      </c>
      <c r="K9105" s="356">
        <v>20000</v>
      </c>
      <c r="L9105" s="356">
        <v>20000</v>
      </c>
      <c r="N9105" s="362">
        <f t="shared" si="312"/>
        <v>20000</v>
      </c>
    </row>
    <row r="9106" ht="15" customHeight="1" spans="1:14">
      <c r="A9106" s="550" t="s">
        <v>4404</v>
      </c>
      <c r="B9106" s="334" t="s">
        <v>315</v>
      </c>
      <c r="C9106" s="348" t="s">
        <v>161</v>
      </c>
      <c r="D9106" s="334" t="s">
        <v>132</v>
      </c>
      <c r="E9106" s="336">
        <v>43799</v>
      </c>
      <c r="F9106" s="336">
        <v>43799</v>
      </c>
      <c r="G9106" s="399">
        <v>43799</v>
      </c>
      <c r="H9106" s="334" t="s">
        <v>18993</v>
      </c>
      <c r="I9106" s="444">
        <v>13122433789</v>
      </c>
      <c r="J9106" s="348" t="s">
        <v>18994</v>
      </c>
      <c r="K9106" s="356">
        <v>12161</v>
      </c>
      <c r="L9106" s="334">
        <v>12161</v>
      </c>
      <c r="N9106" s="362">
        <f t="shared" si="312"/>
        <v>12161</v>
      </c>
    </row>
    <row r="9107" ht="15" customHeight="1" spans="1:14">
      <c r="A9107" s="550" t="s">
        <v>10374</v>
      </c>
      <c r="B9107" s="334" t="s">
        <v>185</v>
      </c>
      <c r="C9107" s="348" t="s">
        <v>1204</v>
      </c>
      <c r="D9107" s="334" t="s">
        <v>187</v>
      </c>
      <c r="E9107" s="336">
        <v>43799</v>
      </c>
      <c r="F9107" s="336">
        <v>43799</v>
      </c>
      <c r="G9107" s="399">
        <v>43799</v>
      </c>
      <c r="H9107" s="334" t="s">
        <v>18995</v>
      </c>
      <c r="I9107" s="444">
        <v>18621862865</v>
      </c>
      <c r="J9107" s="444" t="s">
        <v>18996</v>
      </c>
      <c r="K9107" s="356">
        <v>3119</v>
      </c>
      <c r="L9107" s="334">
        <v>3119</v>
      </c>
      <c r="N9107" s="362">
        <f t="shared" si="312"/>
        <v>3119</v>
      </c>
    </row>
    <row r="9108" ht="15" customHeight="1" spans="1:14">
      <c r="A9108" s="550" t="s">
        <v>18997</v>
      </c>
      <c r="B9108" s="334" t="s">
        <v>31</v>
      </c>
      <c r="C9108" s="348" t="s">
        <v>251</v>
      </c>
      <c r="D9108" s="334" t="s">
        <v>33</v>
      </c>
      <c r="E9108" s="336">
        <v>43799</v>
      </c>
      <c r="F9108" s="336">
        <v>43799</v>
      </c>
      <c r="G9108" s="399">
        <v>43799</v>
      </c>
      <c r="H9108" s="334" t="s">
        <v>18998</v>
      </c>
      <c r="I9108" s="444">
        <v>13817923567</v>
      </c>
      <c r="J9108" s="348" t="s">
        <v>18999</v>
      </c>
      <c r="K9108" s="356">
        <v>10808</v>
      </c>
      <c r="L9108" s="334">
        <v>10808</v>
      </c>
      <c r="N9108" s="362">
        <f t="shared" si="312"/>
        <v>10808</v>
      </c>
    </row>
    <row r="9109" ht="15" customHeight="1" spans="1:14">
      <c r="A9109" s="550" t="s">
        <v>13573</v>
      </c>
      <c r="B9109" s="334" t="s">
        <v>35</v>
      </c>
      <c r="C9109" s="348" t="s">
        <v>328</v>
      </c>
      <c r="D9109" s="334" t="s">
        <v>37</v>
      </c>
      <c r="E9109" s="336">
        <v>43799</v>
      </c>
      <c r="F9109" s="336">
        <v>43799</v>
      </c>
      <c r="G9109" s="336">
        <v>43799</v>
      </c>
      <c r="H9109" s="334" t="s">
        <v>19000</v>
      </c>
      <c r="I9109" s="444">
        <v>13817682222</v>
      </c>
      <c r="J9109" s="444" t="s">
        <v>19001</v>
      </c>
      <c r="K9109" s="356">
        <v>5921</v>
      </c>
      <c r="L9109" s="334">
        <v>5921</v>
      </c>
      <c r="N9109" s="362">
        <f t="shared" si="312"/>
        <v>5921</v>
      </c>
    </row>
    <row r="9110" ht="15" customHeight="1" spans="1:16">
      <c r="A9110" s="550" t="s">
        <v>194</v>
      </c>
      <c r="B9110" s="334" t="s">
        <v>58</v>
      </c>
      <c r="C9110" s="348" t="s">
        <v>794</v>
      </c>
      <c r="D9110" s="335" t="s">
        <v>110</v>
      </c>
      <c r="E9110" s="336">
        <v>43799</v>
      </c>
      <c r="F9110" s="336">
        <v>43799</v>
      </c>
      <c r="G9110" s="399"/>
      <c r="H9110" s="334" t="s">
        <v>19002</v>
      </c>
      <c r="I9110" s="444">
        <v>13916137499</v>
      </c>
      <c r="J9110" s="444" t="s">
        <v>19003</v>
      </c>
      <c r="K9110" s="356">
        <v>1000</v>
      </c>
      <c r="N9110" s="362">
        <f t="shared" si="312"/>
        <v>0</v>
      </c>
      <c r="P9110" s="467" t="s">
        <v>52</v>
      </c>
    </row>
    <row r="9111" ht="15" customHeight="1" spans="1:23">
      <c r="A9111" s="550" t="s">
        <v>19004</v>
      </c>
      <c r="B9111" s="334" t="s">
        <v>185</v>
      </c>
      <c r="C9111" s="348" t="s">
        <v>1204</v>
      </c>
      <c r="D9111" s="335" t="s">
        <v>44</v>
      </c>
      <c r="E9111" s="336">
        <v>43829</v>
      </c>
      <c r="F9111" s="336">
        <v>43799</v>
      </c>
      <c r="G9111" s="336">
        <v>43828</v>
      </c>
      <c r="H9111" s="334" t="s">
        <v>19005</v>
      </c>
      <c r="I9111" s="444">
        <v>13023105783</v>
      </c>
      <c r="J9111" s="444" t="s">
        <v>19006</v>
      </c>
      <c r="K9111" s="356">
        <v>1000</v>
      </c>
      <c r="L9111" s="334">
        <f>17620-1300</f>
        <v>16320</v>
      </c>
      <c r="N9111" s="362">
        <f t="shared" si="312"/>
        <v>16320</v>
      </c>
      <c r="W9111" s="353">
        <v>12.27</v>
      </c>
    </row>
    <row r="9112" ht="15" customHeight="1" spans="1:22">
      <c r="A9112" s="550" t="s">
        <v>12229</v>
      </c>
      <c r="B9112" s="334" t="s">
        <v>169</v>
      </c>
      <c r="C9112" s="348" t="s">
        <v>634</v>
      </c>
      <c r="D9112" s="335" t="s">
        <v>635</v>
      </c>
      <c r="E9112" s="336">
        <v>43830</v>
      </c>
      <c r="F9112" s="336">
        <v>43799</v>
      </c>
      <c r="G9112" s="336">
        <v>43829</v>
      </c>
      <c r="H9112" s="334" t="s">
        <v>19007</v>
      </c>
      <c r="I9112" s="444">
        <v>18701698178</v>
      </c>
      <c r="J9112" s="444" t="s">
        <v>19008</v>
      </c>
      <c r="K9112" s="356">
        <v>1000</v>
      </c>
      <c r="L9112" s="334">
        <v>9100</v>
      </c>
      <c r="N9112" s="362">
        <f t="shared" si="312"/>
        <v>9100</v>
      </c>
      <c r="O9112" s="353"/>
      <c r="P9112" s="330" t="s">
        <v>52</v>
      </c>
      <c r="V9112" s="353" t="s">
        <v>1481</v>
      </c>
    </row>
    <row r="9113" ht="15" customHeight="1" spans="1:14">
      <c r="A9113" s="550" t="s">
        <v>6004</v>
      </c>
      <c r="B9113" s="334" t="s">
        <v>31</v>
      </c>
      <c r="C9113" s="348" t="s">
        <v>2716</v>
      </c>
      <c r="D9113" s="334" t="s">
        <v>33</v>
      </c>
      <c r="E9113" s="336">
        <v>43799</v>
      </c>
      <c r="F9113" s="336">
        <v>43799</v>
      </c>
      <c r="G9113" s="399">
        <v>43799</v>
      </c>
      <c r="H9113" s="334" t="s">
        <v>19009</v>
      </c>
      <c r="I9113" s="444">
        <v>13661668168</v>
      </c>
      <c r="J9113" s="348" t="s">
        <v>19010</v>
      </c>
      <c r="K9113" s="356">
        <v>8560</v>
      </c>
      <c r="L9113" s="334">
        <v>8560</v>
      </c>
      <c r="N9113" s="362">
        <f t="shared" si="312"/>
        <v>8560</v>
      </c>
    </row>
    <row r="9114" ht="15" customHeight="1" spans="1:14">
      <c r="A9114" s="348"/>
      <c r="B9114" s="334" t="s">
        <v>147</v>
      </c>
      <c r="C9114" s="334" t="s">
        <v>13719</v>
      </c>
      <c r="D9114" s="334" t="s">
        <v>237</v>
      </c>
      <c r="E9114" s="336">
        <v>43799</v>
      </c>
      <c r="F9114" s="336">
        <v>43769</v>
      </c>
      <c r="G9114" s="399">
        <v>43799</v>
      </c>
      <c r="H9114" s="334" t="s">
        <v>19011</v>
      </c>
      <c r="I9114" s="444">
        <v>13918552384</v>
      </c>
      <c r="J9114" s="348" t="s">
        <v>19012</v>
      </c>
      <c r="K9114" s="356">
        <v>20000</v>
      </c>
      <c r="L9114" s="334">
        <v>20000</v>
      </c>
      <c r="N9114" s="362">
        <f t="shared" si="312"/>
        <v>20000</v>
      </c>
    </row>
    <row r="9115" ht="15" customHeight="1" spans="1:14">
      <c r="A9115" s="550" t="s">
        <v>190</v>
      </c>
      <c r="B9115" s="334" t="s">
        <v>35</v>
      </c>
      <c r="C9115" s="348" t="s">
        <v>392</v>
      </c>
      <c r="D9115" s="335" t="s">
        <v>37</v>
      </c>
      <c r="E9115" s="336">
        <v>43799</v>
      </c>
      <c r="F9115" s="336">
        <v>43786</v>
      </c>
      <c r="G9115" s="399" t="s">
        <v>69</v>
      </c>
      <c r="H9115" s="334" t="s">
        <v>18533</v>
      </c>
      <c r="I9115" s="444">
        <v>18302103203</v>
      </c>
      <c r="J9115" s="348" t="s">
        <v>18534</v>
      </c>
      <c r="K9115" s="356">
        <v>1000</v>
      </c>
      <c r="N9115" s="362">
        <f t="shared" si="312"/>
        <v>0</v>
      </c>
    </row>
    <row r="9116" ht="15" customHeight="1" spans="1:14">
      <c r="A9116" s="550" t="s">
        <v>13590</v>
      </c>
      <c r="B9116" s="334" t="s">
        <v>35</v>
      </c>
      <c r="C9116" s="348" t="s">
        <v>392</v>
      </c>
      <c r="D9116" s="335" t="s">
        <v>37</v>
      </c>
      <c r="E9116" s="336">
        <v>43799</v>
      </c>
      <c r="F9116" s="336">
        <v>43791</v>
      </c>
      <c r="G9116" s="399" t="s">
        <v>69</v>
      </c>
      <c r="H9116" s="334" t="s">
        <v>17918</v>
      </c>
      <c r="I9116" s="444">
        <v>13601803996</v>
      </c>
      <c r="J9116" s="348" t="s">
        <v>18532</v>
      </c>
      <c r="K9116" s="356">
        <v>6000</v>
      </c>
      <c r="N9116" s="362">
        <f t="shared" si="312"/>
        <v>0</v>
      </c>
    </row>
    <row r="9117" ht="15" customHeight="1" spans="1:14">
      <c r="A9117" s="550" t="s">
        <v>9824</v>
      </c>
      <c r="B9117" s="334" t="s">
        <v>35</v>
      </c>
      <c r="C9117" s="348" t="s">
        <v>36</v>
      </c>
      <c r="D9117" s="335" t="s">
        <v>37</v>
      </c>
      <c r="E9117" s="336">
        <v>43799</v>
      </c>
      <c r="F9117" s="336">
        <v>43786</v>
      </c>
      <c r="G9117" s="399" t="s">
        <v>69</v>
      </c>
      <c r="H9117" s="334" t="s">
        <v>18135</v>
      </c>
      <c r="I9117" s="444">
        <v>13764065761</v>
      </c>
      <c r="J9117" s="438" t="s">
        <v>18136</v>
      </c>
      <c r="K9117" s="356">
        <v>5000</v>
      </c>
      <c r="N9117" s="362">
        <f t="shared" si="312"/>
        <v>0</v>
      </c>
    </row>
    <row r="9118" ht="15" customHeight="1" spans="1:15">
      <c r="A9118" s="550" t="s">
        <v>19013</v>
      </c>
      <c r="B9118" s="334" t="s">
        <v>31</v>
      </c>
      <c r="C9118" s="348" t="s">
        <v>251</v>
      </c>
      <c r="D9118" s="335" t="s">
        <v>33</v>
      </c>
      <c r="E9118" s="336">
        <v>43799</v>
      </c>
      <c r="F9118" s="336">
        <v>43799</v>
      </c>
      <c r="G9118" s="399"/>
      <c r="H9118" s="334" t="s">
        <v>19014</v>
      </c>
      <c r="I9118" s="444">
        <v>13816497476</v>
      </c>
      <c r="J9118" s="444" t="s">
        <v>19015</v>
      </c>
      <c r="K9118" s="356">
        <v>1000</v>
      </c>
      <c r="N9118" s="362">
        <f t="shared" si="312"/>
        <v>0</v>
      </c>
      <c r="O9118" s="467" t="s">
        <v>52</v>
      </c>
    </row>
    <row r="9119" ht="15" customHeight="1" spans="1:23">
      <c r="A9119" s="550" t="s">
        <v>7929</v>
      </c>
      <c r="B9119" s="334" t="s">
        <v>58</v>
      </c>
      <c r="C9119" s="348" t="s">
        <v>59</v>
      </c>
      <c r="D9119" s="334" t="s">
        <v>110</v>
      </c>
      <c r="E9119" s="336">
        <v>43814</v>
      </c>
      <c r="F9119" s="336">
        <v>43799</v>
      </c>
      <c r="G9119" s="336">
        <v>43813</v>
      </c>
      <c r="H9119" s="334" t="s">
        <v>19016</v>
      </c>
      <c r="I9119" s="444">
        <v>13774414861</v>
      </c>
      <c r="J9119" s="444" t="s">
        <v>19017</v>
      </c>
      <c r="K9119" s="356">
        <v>1000</v>
      </c>
      <c r="L9119" s="334">
        <v>14625</v>
      </c>
      <c r="N9119" s="362">
        <f t="shared" si="312"/>
        <v>14625</v>
      </c>
      <c r="W9119" s="353">
        <v>12.9</v>
      </c>
    </row>
    <row r="9120" ht="15" customHeight="1" spans="1:23">
      <c r="A9120" s="550" t="s">
        <v>5124</v>
      </c>
      <c r="B9120" s="334" t="s">
        <v>58</v>
      </c>
      <c r="C9120" s="348" t="s">
        <v>59</v>
      </c>
      <c r="D9120" s="334" t="s">
        <v>110</v>
      </c>
      <c r="E9120" s="336">
        <v>43832</v>
      </c>
      <c r="F9120" s="336">
        <v>43799</v>
      </c>
      <c r="G9120" s="336">
        <v>43831</v>
      </c>
      <c r="H9120" s="334" t="s">
        <v>19018</v>
      </c>
      <c r="I9120" s="444">
        <v>13917433355</v>
      </c>
      <c r="J9120" s="444" t="s">
        <v>19019</v>
      </c>
      <c r="K9120" s="356">
        <v>4478</v>
      </c>
      <c r="L9120" s="334">
        <v>7606</v>
      </c>
      <c r="N9120" s="362">
        <f t="shared" si="312"/>
        <v>7606</v>
      </c>
      <c r="Q9120" s="467"/>
      <c r="W9120" s="471">
        <v>43829</v>
      </c>
    </row>
    <row r="9121" ht="15" customHeight="1" spans="1:16">
      <c r="A9121" s="550" t="s">
        <v>4479</v>
      </c>
      <c r="B9121" s="334" t="s">
        <v>35</v>
      </c>
      <c r="C9121" s="348" t="s">
        <v>36</v>
      </c>
      <c r="D9121" s="335" t="s">
        <v>37</v>
      </c>
      <c r="E9121" s="336">
        <v>43813</v>
      </c>
      <c r="F9121" s="336">
        <v>43785</v>
      </c>
      <c r="G9121" s="336">
        <v>43813</v>
      </c>
      <c r="H9121" s="334" t="s">
        <v>2643</v>
      </c>
      <c r="I9121" s="444">
        <v>13916195450</v>
      </c>
      <c r="J9121" s="444" t="s">
        <v>19020</v>
      </c>
      <c r="K9121" s="356">
        <v>1000</v>
      </c>
      <c r="L9121" s="334">
        <v>24000</v>
      </c>
      <c r="N9121" s="362">
        <f t="shared" si="312"/>
        <v>24000</v>
      </c>
      <c r="P9121" s="356" t="s">
        <v>52</v>
      </c>
    </row>
    <row r="9122" ht="15" customHeight="1" spans="1:14">
      <c r="A9122" s="550" t="s">
        <v>18989</v>
      </c>
      <c r="B9122" s="334" t="s">
        <v>66</v>
      </c>
      <c r="C9122" s="348" t="s">
        <v>1749</v>
      </c>
      <c r="D9122" s="335" t="s">
        <v>1436</v>
      </c>
      <c r="E9122" s="336">
        <v>43799</v>
      </c>
      <c r="F9122" s="336">
        <v>43799</v>
      </c>
      <c r="G9122" s="362" t="s">
        <v>69</v>
      </c>
      <c r="H9122" s="334" t="s">
        <v>19021</v>
      </c>
      <c r="I9122" s="444"/>
      <c r="J9122" s="444" t="s">
        <v>19022</v>
      </c>
      <c r="K9122" s="356">
        <v>11000</v>
      </c>
      <c r="N9122" s="362">
        <f t="shared" si="312"/>
        <v>0</v>
      </c>
    </row>
    <row r="9123" ht="15" customHeight="1" spans="1:21">
      <c r="A9123" s="550" t="s">
        <v>19023</v>
      </c>
      <c r="B9123" s="334" t="s">
        <v>315</v>
      </c>
      <c r="C9123" s="348" t="s">
        <v>161</v>
      </c>
      <c r="D9123" s="335" t="s">
        <v>162</v>
      </c>
      <c r="E9123" s="336">
        <v>43799</v>
      </c>
      <c r="F9123" s="336">
        <v>43799</v>
      </c>
      <c r="G9123" s="399"/>
      <c r="H9123" s="334" t="s">
        <v>19024</v>
      </c>
      <c r="I9123" s="444">
        <v>18616555010</v>
      </c>
      <c r="J9123" s="444" t="s">
        <v>19025</v>
      </c>
      <c r="K9123" s="356">
        <v>1000</v>
      </c>
      <c r="N9123" s="362">
        <f t="shared" si="312"/>
        <v>0</v>
      </c>
      <c r="O9123" s="330">
        <v>1</v>
      </c>
      <c r="U9123" s="353" t="s">
        <v>12</v>
      </c>
    </row>
    <row r="9124" ht="15" customHeight="1" spans="1:14">
      <c r="A9124" s="550" t="s">
        <v>19026</v>
      </c>
      <c r="B9124" s="334" t="s">
        <v>153</v>
      </c>
      <c r="C9124" s="334" t="s">
        <v>302</v>
      </c>
      <c r="D9124" s="335" t="s">
        <v>155</v>
      </c>
      <c r="E9124" s="336">
        <v>43807</v>
      </c>
      <c r="F9124" s="336">
        <v>43799</v>
      </c>
      <c r="G9124" s="336">
        <v>43806</v>
      </c>
      <c r="H9124" s="334" t="s">
        <v>19027</v>
      </c>
      <c r="I9124" s="444">
        <v>13916135079</v>
      </c>
      <c r="J9124" s="348" t="s">
        <v>19028</v>
      </c>
      <c r="K9124" s="356">
        <v>13000</v>
      </c>
      <c r="L9124" s="334">
        <v>48000</v>
      </c>
      <c r="N9124" s="362">
        <f t="shared" si="312"/>
        <v>48000</v>
      </c>
    </row>
    <row r="9125" ht="15" customHeight="1" spans="1:15">
      <c r="A9125" s="550" t="s">
        <v>19029</v>
      </c>
      <c r="B9125" s="334" t="s">
        <v>315</v>
      </c>
      <c r="C9125" s="348" t="s">
        <v>366</v>
      </c>
      <c r="D9125" s="335" t="s">
        <v>132</v>
      </c>
      <c r="E9125" s="336">
        <v>43799</v>
      </c>
      <c r="F9125" s="336">
        <v>43799</v>
      </c>
      <c r="G9125" s="399" t="s">
        <v>231</v>
      </c>
      <c r="H9125" s="334" t="s">
        <v>17820</v>
      </c>
      <c r="I9125" s="444">
        <v>15858205616</v>
      </c>
      <c r="J9125" s="444" t="s">
        <v>19030</v>
      </c>
      <c r="K9125" s="356">
        <v>8197</v>
      </c>
      <c r="N9125" s="362">
        <f t="shared" si="312"/>
        <v>0</v>
      </c>
      <c r="O9125" s="330">
        <v>1</v>
      </c>
    </row>
    <row r="9126" ht="15" customHeight="1" spans="1:14">
      <c r="A9126" s="550" t="s">
        <v>4843</v>
      </c>
      <c r="B9126" s="334" t="s">
        <v>315</v>
      </c>
      <c r="C9126" s="348" t="s">
        <v>722</v>
      </c>
      <c r="D9126" s="334" t="s">
        <v>149</v>
      </c>
      <c r="E9126" s="336">
        <v>43808</v>
      </c>
      <c r="F9126" s="336">
        <v>43800</v>
      </c>
      <c r="G9126" s="336">
        <v>43807</v>
      </c>
      <c r="H9126" s="334" t="s">
        <v>824</v>
      </c>
      <c r="I9126" s="444">
        <v>15618936373</v>
      </c>
      <c r="J9126" s="444" t="s">
        <v>19031</v>
      </c>
      <c r="K9126" s="356">
        <v>1000</v>
      </c>
      <c r="L9126" s="334">
        <v>11211</v>
      </c>
      <c r="N9126" s="362">
        <f t="shared" si="312"/>
        <v>11211</v>
      </c>
    </row>
    <row r="9127" ht="15" customHeight="1" spans="1:14">
      <c r="A9127" s="550" t="s">
        <v>19032</v>
      </c>
      <c r="B9127" s="334" t="s">
        <v>31</v>
      </c>
      <c r="C9127" s="348" t="s">
        <v>220</v>
      </c>
      <c r="D9127" s="334" t="s">
        <v>33</v>
      </c>
      <c r="E9127" s="336">
        <v>43808</v>
      </c>
      <c r="F9127" s="336">
        <v>43800</v>
      </c>
      <c r="G9127" s="336">
        <v>43807</v>
      </c>
      <c r="H9127" s="334" t="s">
        <v>19033</v>
      </c>
      <c r="I9127" s="444">
        <v>13611829993</v>
      </c>
      <c r="J9127" s="444" t="s">
        <v>19034</v>
      </c>
      <c r="K9127" s="356">
        <v>5000</v>
      </c>
      <c r="L9127" s="334">
        <v>10347</v>
      </c>
      <c r="N9127" s="362">
        <f t="shared" si="312"/>
        <v>10347</v>
      </c>
    </row>
    <row r="9128" ht="15" customHeight="1" spans="1:14">
      <c r="A9128" s="348"/>
      <c r="B9128" s="334" t="s">
        <v>5336</v>
      </c>
      <c r="C9128" s="334" t="s">
        <v>5336</v>
      </c>
      <c r="D9128" s="334" t="s">
        <v>8334</v>
      </c>
      <c r="E9128" s="336">
        <v>43806</v>
      </c>
      <c r="F9128" s="336">
        <v>43800</v>
      </c>
      <c r="G9128" s="336">
        <v>43806</v>
      </c>
      <c r="H9128" s="334" t="s">
        <v>19035</v>
      </c>
      <c r="I9128" s="444">
        <v>13918715408</v>
      </c>
      <c r="J9128" s="444" t="s">
        <v>19036</v>
      </c>
      <c r="K9128" s="356">
        <v>3417</v>
      </c>
      <c r="L9128" s="334">
        <v>3417</v>
      </c>
      <c r="N9128" s="362">
        <f t="shared" si="312"/>
        <v>3417</v>
      </c>
    </row>
    <row r="9129" ht="15" customHeight="1" spans="1:14">
      <c r="A9129" s="348"/>
      <c r="B9129" s="334" t="s">
        <v>5336</v>
      </c>
      <c r="C9129" s="334" t="s">
        <v>5336</v>
      </c>
      <c r="D9129" s="334" t="s">
        <v>8334</v>
      </c>
      <c r="E9129" s="336">
        <v>43802</v>
      </c>
      <c r="F9129" s="336">
        <v>43800</v>
      </c>
      <c r="G9129" s="336">
        <v>43802</v>
      </c>
      <c r="H9129" s="334" t="s">
        <v>19037</v>
      </c>
      <c r="I9129" s="444">
        <v>15801960142</v>
      </c>
      <c r="J9129" s="444" t="s">
        <v>19038</v>
      </c>
      <c r="K9129" s="356">
        <v>2436</v>
      </c>
      <c r="L9129" s="334">
        <v>2436</v>
      </c>
      <c r="N9129" s="362">
        <f t="shared" si="312"/>
        <v>2436</v>
      </c>
    </row>
    <row r="9130" ht="15" customHeight="1" spans="1:15">
      <c r="A9130" s="550" t="s">
        <v>10639</v>
      </c>
      <c r="B9130" s="334" t="s">
        <v>58</v>
      </c>
      <c r="C9130" s="348" t="s">
        <v>19039</v>
      </c>
      <c r="D9130" s="335" t="s">
        <v>343</v>
      </c>
      <c r="E9130" s="336">
        <v>43800</v>
      </c>
      <c r="F9130" s="336">
        <v>43800</v>
      </c>
      <c r="G9130" s="399"/>
      <c r="H9130" s="334" t="s">
        <v>19040</v>
      </c>
      <c r="I9130" s="444">
        <v>18516599663</v>
      </c>
      <c r="J9130" s="444" t="s">
        <v>19041</v>
      </c>
      <c r="K9130" s="356">
        <v>1000</v>
      </c>
      <c r="N9130" s="362">
        <f t="shared" si="312"/>
        <v>0</v>
      </c>
      <c r="O9130" s="467" t="s">
        <v>52</v>
      </c>
    </row>
    <row r="9131" ht="15" customHeight="1" spans="1:14">
      <c r="A9131" s="550" t="s">
        <v>6854</v>
      </c>
      <c r="B9131" s="334" t="s">
        <v>31</v>
      </c>
      <c r="C9131" s="348" t="s">
        <v>2716</v>
      </c>
      <c r="D9131" s="334" t="s">
        <v>221</v>
      </c>
      <c r="E9131" s="336">
        <v>43802</v>
      </c>
      <c r="F9131" s="336">
        <v>43800</v>
      </c>
      <c r="G9131" s="336">
        <v>43801</v>
      </c>
      <c r="H9131" s="334" t="s">
        <v>19042</v>
      </c>
      <c r="I9131" s="444">
        <v>13512198032</v>
      </c>
      <c r="J9131" s="444" t="s">
        <v>19043</v>
      </c>
      <c r="K9131" s="356">
        <v>1000</v>
      </c>
      <c r="L9131" s="334">
        <v>6030</v>
      </c>
      <c r="N9131" s="362">
        <f t="shared" si="312"/>
        <v>6030</v>
      </c>
    </row>
    <row r="9132" ht="15" customHeight="1" spans="1:14">
      <c r="A9132" s="550" t="s">
        <v>13445</v>
      </c>
      <c r="B9132" s="334" t="s">
        <v>137</v>
      </c>
      <c r="C9132" s="348" t="s">
        <v>480</v>
      </c>
      <c r="D9132" s="334" t="s">
        <v>2381</v>
      </c>
      <c r="E9132" s="336">
        <v>43826</v>
      </c>
      <c r="F9132" s="336">
        <v>43800</v>
      </c>
      <c r="G9132" s="336">
        <v>43826</v>
      </c>
      <c r="H9132" s="334" t="s">
        <v>19044</v>
      </c>
      <c r="I9132" s="444">
        <v>13917325282</v>
      </c>
      <c r="J9132" s="444" t="s">
        <v>19045</v>
      </c>
      <c r="K9132" s="356">
        <v>15000</v>
      </c>
      <c r="L9132" s="334">
        <v>19719</v>
      </c>
      <c r="N9132" s="362">
        <f t="shared" si="312"/>
        <v>19719</v>
      </c>
    </row>
    <row r="9133" ht="15" customHeight="1" spans="1:14">
      <c r="A9133" s="348">
        <v>2024295</v>
      </c>
      <c r="B9133" s="334" t="s">
        <v>335</v>
      </c>
      <c r="C9133" s="348" t="s">
        <v>615</v>
      </c>
      <c r="D9133" s="335" t="s">
        <v>337</v>
      </c>
      <c r="E9133" s="336">
        <v>43821</v>
      </c>
      <c r="F9133" s="336">
        <v>43800</v>
      </c>
      <c r="G9133" s="336">
        <v>43820</v>
      </c>
      <c r="H9133" s="334" t="s">
        <v>3898</v>
      </c>
      <c r="I9133" s="444">
        <v>13816989931</v>
      </c>
      <c r="J9133" s="444" t="s">
        <v>19046</v>
      </c>
      <c r="K9133" s="356">
        <v>1000</v>
      </c>
      <c r="L9133" s="334">
        <v>13012</v>
      </c>
      <c r="N9133" s="362">
        <f t="shared" si="312"/>
        <v>13012</v>
      </c>
    </row>
    <row r="9134" ht="15" customHeight="1" spans="1:16">
      <c r="A9134" s="550" t="s">
        <v>4532</v>
      </c>
      <c r="B9134" s="334" t="s">
        <v>726</v>
      </c>
      <c r="C9134" s="348" t="s">
        <v>727</v>
      </c>
      <c r="D9134" s="335" t="s">
        <v>149</v>
      </c>
      <c r="E9134" s="336">
        <v>43800</v>
      </c>
      <c r="F9134" s="336">
        <v>43800</v>
      </c>
      <c r="G9134" s="353" t="s">
        <v>69</v>
      </c>
      <c r="H9134" s="334" t="s">
        <v>19047</v>
      </c>
      <c r="I9134" s="444">
        <v>13816981347</v>
      </c>
      <c r="J9134" s="444" t="s">
        <v>19048</v>
      </c>
      <c r="K9134" s="356">
        <v>1000</v>
      </c>
      <c r="N9134" s="362">
        <f t="shared" si="312"/>
        <v>0</v>
      </c>
      <c r="O9134" s="467" t="s">
        <v>52</v>
      </c>
      <c r="P9134" s="353"/>
    </row>
    <row r="9135" ht="15" customHeight="1" spans="1:14">
      <c r="A9135" s="550" t="s">
        <v>3707</v>
      </c>
      <c r="B9135" s="334" t="s">
        <v>726</v>
      </c>
      <c r="C9135" s="348" t="s">
        <v>727</v>
      </c>
      <c r="D9135" s="334" t="s">
        <v>271</v>
      </c>
      <c r="E9135" s="336">
        <v>43800</v>
      </c>
      <c r="F9135" s="336">
        <v>43800</v>
      </c>
      <c r="G9135" s="399">
        <v>43800</v>
      </c>
      <c r="H9135" s="334" t="s">
        <v>19049</v>
      </c>
      <c r="I9135" s="444">
        <v>13916127308</v>
      </c>
      <c r="J9135" s="444" t="s">
        <v>19050</v>
      </c>
      <c r="K9135" s="356">
        <v>15631</v>
      </c>
      <c r="L9135" s="334">
        <v>15631</v>
      </c>
      <c r="N9135" s="362">
        <f t="shared" si="312"/>
        <v>15631</v>
      </c>
    </row>
    <row r="9136" ht="15" customHeight="1" spans="1:16">
      <c r="A9136" s="550" t="s">
        <v>2817</v>
      </c>
      <c r="B9136" s="334" t="s">
        <v>87</v>
      </c>
      <c r="C9136" s="348" t="s">
        <v>199</v>
      </c>
      <c r="D9136" s="335" t="s">
        <v>89</v>
      </c>
      <c r="E9136" s="336">
        <v>43800</v>
      </c>
      <c r="F9136" s="336">
        <v>43800</v>
      </c>
      <c r="G9136" s="399"/>
      <c r="H9136" s="334" t="s">
        <v>19051</v>
      </c>
      <c r="I9136" s="444">
        <v>13817981846</v>
      </c>
      <c r="J9136" s="444" t="s">
        <v>19052</v>
      </c>
      <c r="K9136" s="356">
        <v>1000</v>
      </c>
      <c r="N9136" s="362">
        <f t="shared" si="312"/>
        <v>0</v>
      </c>
      <c r="P9136" s="356" t="s">
        <v>52</v>
      </c>
    </row>
    <row r="9137" ht="15" customHeight="1" spans="1:14">
      <c r="A9137" s="348"/>
      <c r="B9137" s="334" t="s">
        <v>2625</v>
      </c>
      <c r="C9137" s="348" t="s">
        <v>2626</v>
      </c>
      <c r="D9137" s="334" t="s">
        <v>337</v>
      </c>
      <c r="E9137" s="336">
        <v>43802</v>
      </c>
      <c r="F9137" s="336">
        <v>43800</v>
      </c>
      <c r="G9137" s="336">
        <v>43802</v>
      </c>
      <c r="H9137" s="334" t="s">
        <v>19053</v>
      </c>
      <c r="I9137" s="444">
        <v>13761584068</v>
      </c>
      <c r="J9137" s="444" t="s">
        <v>19054</v>
      </c>
      <c r="K9137" s="356">
        <v>2000</v>
      </c>
      <c r="L9137" s="334">
        <v>8600</v>
      </c>
      <c r="N9137" s="362">
        <f t="shared" si="312"/>
        <v>8600</v>
      </c>
    </row>
    <row r="9138" ht="15" customHeight="1" spans="1:14">
      <c r="A9138" s="550" t="s">
        <v>15018</v>
      </c>
      <c r="B9138" s="334" t="s">
        <v>2625</v>
      </c>
      <c r="C9138" s="348" t="s">
        <v>2626</v>
      </c>
      <c r="D9138" s="334" t="s">
        <v>337</v>
      </c>
      <c r="E9138" s="336">
        <v>43802</v>
      </c>
      <c r="F9138" s="336">
        <v>43800</v>
      </c>
      <c r="G9138" s="336">
        <v>43800</v>
      </c>
      <c r="H9138" s="334" t="s">
        <v>19055</v>
      </c>
      <c r="I9138" s="444">
        <v>18621697571</v>
      </c>
      <c r="J9138" s="444" t="s">
        <v>19056</v>
      </c>
      <c r="K9138" s="356">
        <v>1000</v>
      </c>
      <c r="L9138" s="334">
        <v>4658</v>
      </c>
      <c r="N9138" s="362">
        <f t="shared" si="312"/>
        <v>4658</v>
      </c>
    </row>
    <row r="9139" ht="15" customHeight="1" spans="1:15">
      <c r="A9139" s="550" t="s">
        <v>19057</v>
      </c>
      <c r="B9139" s="334" t="s">
        <v>87</v>
      </c>
      <c r="C9139" s="348" t="s">
        <v>199</v>
      </c>
      <c r="D9139" s="335" t="s">
        <v>89</v>
      </c>
      <c r="E9139" s="336">
        <v>43800</v>
      </c>
      <c r="F9139" s="336">
        <v>43800</v>
      </c>
      <c r="G9139" s="399"/>
      <c r="H9139" s="334" t="s">
        <v>19058</v>
      </c>
      <c r="I9139" s="444">
        <v>18516252027</v>
      </c>
      <c r="J9139" s="444" t="s">
        <v>19059</v>
      </c>
      <c r="K9139" s="356">
        <v>1000</v>
      </c>
      <c r="N9139" s="362">
        <f t="shared" si="312"/>
        <v>0</v>
      </c>
      <c r="O9139" s="356" t="s">
        <v>52</v>
      </c>
    </row>
    <row r="9140" ht="15" customHeight="1" spans="1:14">
      <c r="A9140" s="550" t="s">
        <v>4068</v>
      </c>
      <c r="B9140" s="334" t="s">
        <v>31</v>
      </c>
      <c r="C9140" s="348" t="s">
        <v>2716</v>
      </c>
      <c r="D9140" s="334" t="s">
        <v>221</v>
      </c>
      <c r="E9140" s="336">
        <v>43809</v>
      </c>
      <c r="F9140" s="336">
        <v>43800</v>
      </c>
      <c r="G9140" s="336">
        <v>43805</v>
      </c>
      <c r="H9140" s="334" t="s">
        <v>19060</v>
      </c>
      <c r="I9140" s="444">
        <v>18601738889</v>
      </c>
      <c r="J9140" s="444" t="s">
        <v>19061</v>
      </c>
      <c r="K9140" s="356">
        <v>1000</v>
      </c>
      <c r="L9140" s="334">
        <v>2506</v>
      </c>
      <c r="N9140" s="362">
        <f t="shared" si="312"/>
        <v>2506</v>
      </c>
    </row>
    <row r="9141" ht="15" customHeight="1" spans="1:14">
      <c r="A9141" s="550" t="s">
        <v>19062</v>
      </c>
      <c r="B9141" s="334" t="s">
        <v>66</v>
      </c>
      <c r="C9141" s="348" t="s">
        <v>7029</v>
      </c>
      <c r="D9141" s="334" t="s">
        <v>68</v>
      </c>
      <c r="E9141" s="336">
        <v>43805</v>
      </c>
      <c r="F9141" s="336">
        <v>43800</v>
      </c>
      <c r="G9141" s="336">
        <v>43804</v>
      </c>
      <c r="H9141" s="334" t="s">
        <v>19063</v>
      </c>
      <c r="I9141" s="444">
        <v>15921917782</v>
      </c>
      <c r="J9141" s="444" t="s">
        <v>19064</v>
      </c>
      <c r="K9141" s="356">
        <v>10000</v>
      </c>
      <c r="L9141" s="334">
        <v>14199</v>
      </c>
      <c r="M9141" s="334">
        <v>300</v>
      </c>
      <c r="N9141" s="362">
        <f t="shared" si="312"/>
        <v>14499</v>
      </c>
    </row>
    <row r="9142" ht="15" customHeight="1" spans="1:14">
      <c r="A9142" s="550" t="s">
        <v>19065</v>
      </c>
      <c r="B9142" s="334" t="s">
        <v>31</v>
      </c>
      <c r="C9142" s="348" t="s">
        <v>220</v>
      </c>
      <c r="D9142" s="335" t="s">
        <v>337</v>
      </c>
      <c r="E9142" s="336">
        <v>43802</v>
      </c>
      <c r="F9142" s="336">
        <v>43800</v>
      </c>
      <c r="G9142" s="336">
        <v>43802</v>
      </c>
      <c r="H9142" s="334" t="s">
        <v>3600</v>
      </c>
      <c r="I9142" s="444">
        <v>13818118977</v>
      </c>
      <c r="J9142" s="444" t="s">
        <v>19066</v>
      </c>
      <c r="K9142" s="356">
        <v>1000</v>
      </c>
      <c r="L9142" s="334">
        <v>16806</v>
      </c>
      <c r="N9142" s="362">
        <f t="shared" si="312"/>
        <v>16806</v>
      </c>
    </row>
    <row r="9143" ht="15" customHeight="1" spans="1:21">
      <c r="A9143" s="348"/>
      <c r="B9143" s="334" t="s">
        <v>66</v>
      </c>
      <c r="C9143" s="334" t="s">
        <v>1749</v>
      </c>
      <c r="D9143" s="334" t="s">
        <v>1436</v>
      </c>
      <c r="E9143" s="336">
        <v>43829</v>
      </c>
      <c r="F9143" s="336">
        <v>43800</v>
      </c>
      <c r="G9143" s="336">
        <v>43829</v>
      </c>
      <c r="H9143" s="334" t="s">
        <v>19067</v>
      </c>
      <c r="I9143" s="444">
        <v>13918191867</v>
      </c>
      <c r="J9143" s="444" t="s">
        <v>19068</v>
      </c>
      <c r="K9143" s="356">
        <v>1000</v>
      </c>
      <c r="L9143" s="334">
        <v>11140</v>
      </c>
      <c r="N9143" s="362">
        <f t="shared" si="312"/>
        <v>11140</v>
      </c>
      <c r="U9143" s="415"/>
    </row>
    <row r="9144" ht="15" customHeight="1" spans="2:14">
      <c r="B9144" s="334" t="s">
        <v>281</v>
      </c>
      <c r="C9144" s="334" t="s">
        <v>491</v>
      </c>
      <c r="D9144" s="334" t="s">
        <v>518</v>
      </c>
      <c r="E9144" s="336">
        <v>43799</v>
      </c>
      <c r="G9144" s="336">
        <v>43799</v>
      </c>
      <c r="H9144" s="334" t="s">
        <v>19069</v>
      </c>
      <c r="I9144" s="444">
        <v>18321623930</v>
      </c>
      <c r="J9144" s="348" t="s">
        <v>19070</v>
      </c>
      <c r="L9144" s="334">
        <v>13996</v>
      </c>
      <c r="N9144" s="362">
        <f t="shared" ref="N9144:N9160" si="313">L9144+M9144</f>
        <v>13996</v>
      </c>
    </row>
    <row r="9145" ht="15" customHeight="1" spans="2:14">
      <c r="B9145" s="334" t="s">
        <v>4009</v>
      </c>
      <c r="C9145" s="334" t="s">
        <v>6401</v>
      </c>
      <c r="D9145" s="334" t="s">
        <v>207</v>
      </c>
      <c r="E9145" s="336">
        <v>43799</v>
      </c>
      <c r="G9145" s="336">
        <v>43798</v>
      </c>
      <c r="H9145" s="334" t="s">
        <v>19071</v>
      </c>
      <c r="I9145" s="444">
        <v>18119919065</v>
      </c>
      <c r="J9145" s="348" t="s">
        <v>19072</v>
      </c>
      <c r="L9145" s="334">
        <v>4980</v>
      </c>
      <c r="N9145" s="362">
        <f t="shared" si="313"/>
        <v>4980</v>
      </c>
    </row>
    <row r="9146" ht="15" customHeight="1" spans="2:14">
      <c r="B9146" s="334" t="s">
        <v>236</v>
      </c>
      <c r="C9146" s="334" t="s">
        <v>195</v>
      </c>
      <c r="D9146" s="335" t="s">
        <v>125</v>
      </c>
      <c r="E9146" s="336">
        <v>43799</v>
      </c>
      <c r="G9146" s="336">
        <v>43798</v>
      </c>
      <c r="H9146" s="334" t="s">
        <v>1212</v>
      </c>
      <c r="I9146" s="444">
        <v>13671560710</v>
      </c>
      <c r="J9146" s="348" t="s">
        <v>19073</v>
      </c>
      <c r="L9146" s="334">
        <v>10776</v>
      </c>
      <c r="N9146" s="362">
        <f t="shared" si="313"/>
        <v>10776</v>
      </c>
    </row>
    <row r="9147" ht="15" customHeight="1" spans="2:14">
      <c r="B9147" s="334" t="s">
        <v>137</v>
      </c>
      <c r="C9147" s="334" t="s">
        <v>861</v>
      </c>
      <c r="D9147" s="334" t="s">
        <v>443</v>
      </c>
      <c r="E9147" s="336">
        <v>43799</v>
      </c>
      <c r="G9147" s="336">
        <v>43799</v>
      </c>
      <c r="H9147" s="334" t="s">
        <v>19074</v>
      </c>
      <c r="I9147" s="444">
        <v>13611936812</v>
      </c>
      <c r="J9147" s="438" t="s">
        <v>19075</v>
      </c>
      <c r="L9147" s="334">
        <v>12700</v>
      </c>
      <c r="N9147" s="362">
        <f t="shared" si="313"/>
        <v>12700</v>
      </c>
    </row>
    <row r="9148" ht="15" customHeight="1" spans="2:14">
      <c r="B9148" s="334" t="s">
        <v>137</v>
      </c>
      <c r="C9148" s="334" t="s">
        <v>411</v>
      </c>
      <c r="D9148" s="334" t="s">
        <v>139</v>
      </c>
      <c r="E9148" s="336">
        <v>43799</v>
      </c>
      <c r="G9148" s="336">
        <v>43799</v>
      </c>
      <c r="H9148" s="334" t="s">
        <v>19076</v>
      </c>
      <c r="I9148" s="444">
        <v>15121034381</v>
      </c>
      <c r="J9148" s="348" t="s">
        <v>19077</v>
      </c>
      <c r="L9148" s="334">
        <v>16500</v>
      </c>
      <c r="N9148" s="362">
        <f t="shared" si="313"/>
        <v>16500</v>
      </c>
    </row>
    <row r="9149" ht="15" customHeight="1" spans="2:14">
      <c r="B9149" s="334" t="s">
        <v>243</v>
      </c>
      <c r="C9149" s="334" t="s">
        <v>304</v>
      </c>
      <c r="D9149" s="335" t="s">
        <v>49</v>
      </c>
      <c r="E9149" s="336">
        <v>43799</v>
      </c>
      <c r="G9149" s="336">
        <v>43799</v>
      </c>
      <c r="H9149" s="334" t="s">
        <v>19078</v>
      </c>
      <c r="I9149" s="444">
        <v>19821273596</v>
      </c>
      <c r="J9149" s="348" t="s">
        <v>19079</v>
      </c>
      <c r="L9149" s="334">
        <v>8075</v>
      </c>
      <c r="N9149" s="362">
        <f t="shared" si="313"/>
        <v>8075</v>
      </c>
    </row>
    <row r="9150" ht="15" customHeight="1" spans="2:14">
      <c r="B9150" s="334" t="s">
        <v>243</v>
      </c>
      <c r="C9150" s="334" t="s">
        <v>309</v>
      </c>
      <c r="D9150" s="335" t="s">
        <v>49</v>
      </c>
      <c r="E9150" s="336">
        <v>43799</v>
      </c>
      <c r="G9150" s="336">
        <v>43799</v>
      </c>
      <c r="H9150" s="334" t="s">
        <v>15153</v>
      </c>
      <c r="I9150" s="444">
        <v>13501720972</v>
      </c>
      <c r="J9150" s="438" t="s">
        <v>15154</v>
      </c>
      <c r="L9150" s="334">
        <v>30123</v>
      </c>
      <c r="N9150" s="362">
        <f t="shared" si="313"/>
        <v>30123</v>
      </c>
    </row>
    <row r="9151" ht="15" customHeight="1" spans="2:14">
      <c r="B9151" s="334" t="s">
        <v>31</v>
      </c>
      <c r="C9151" s="334" t="s">
        <v>2716</v>
      </c>
      <c r="D9151" s="334" t="s">
        <v>221</v>
      </c>
      <c r="E9151" s="336">
        <v>43799</v>
      </c>
      <c r="G9151" s="336">
        <v>43798</v>
      </c>
      <c r="H9151" s="334" t="s">
        <v>19080</v>
      </c>
      <c r="I9151" s="444">
        <v>15000230220</v>
      </c>
      <c r="J9151" s="348" t="s">
        <v>19081</v>
      </c>
      <c r="L9151" s="334">
        <v>12929</v>
      </c>
      <c r="N9151" s="362">
        <f t="shared" si="313"/>
        <v>12929</v>
      </c>
    </row>
    <row r="9152" ht="15" customHeight="1" spans="2:14">
      <c r="B9152" s="334" t="s">
        <v>73</v>
      </c>
      <c r="C9152" s="334" t="s">
        <v>178</v>
      </c>
      <c r="D9152" s="334" t="s">
        <v>132</v>
      </c>
      <c r="E9152" s="336">
        <v>43799</v>
      </c>
      <c r="G9152" s="336">
        <v>43796</v>
      </c>
      <c r="H9152" s="334" t="s">
        <v>19082</v>
      </c>
      <c r="I9152" s="444">
        <v>13917300570</v>
      </c>
      <c r="J9152" s="348" t="s">
        <v>13307</v>
      </c>
      <c r="L9152" s="334">
        <v>12137</v>
      </c>
      <c r="N9152" s="362">
        <f t="shared" si="313"/>
        <v>12137</v>
      </c>
    </row>
    <row r="9153" ht="15" customHeight="1" spans="2:14">
      <c r="B9153" s="487" t="s">
        <v>66</v>
      </c>
      <c r="C9153" s="334" t="s">
        <v>15301</v>
      </c>
      <c r="D9153" s="334" t="s">
        <v>2302</v>
      </c>
      <c r="E9153" s="336">
        <v>43799</v>
      </c>
      <c r="G9153" s="336">
        <v>43799</v>
      </c>
      <c r="H9153" s="334" t="s">
        <v>19083</v>
      </c>
      <c r="I9153" s="444">
        <v>15618296591</v>
      </c>
      <c r="J9153" s="438" t="s">
        <v>16965</v>
      </c>
      <c r="L9153" s="334">
        <v>26815</v>
      </c>
      <c r="N9153" s="362">
        <f t="shared" si="313"/>
        <v>26815</v>
      </c>
    </row>
    <row r="9154" ht="15" customHeight="1" spans="2:14">
      <c r="B9154" s="334" t="s">
        <v>73</v>
      </c>
      <c r="C9154" s="334" t="s">
        <v>74</v>
      </c>
      <c r="D9154" s="334" t="s">
        <v>427</v>
      </c>
      <c r="E9154" s="336">
        <v>43799</v>
      </c>
      <c r="G9154" s="336">
        <v>43799</v>
      </c>
      <c r="H9154" s="334" t="s">
        <v>19084</v>
      </c>
      <c r="I9154" s="444">
        <v>13601785323</v>
      </c>
      <c r="J9154" s="348" t="s">
        <v>19085</v>
      </c>
      <c r="L9154" s="334">
        <v>20060</v>
      </c>
      <c r="N9154" s="362">
        <f t="shared" si="313"/>
        <v>20060</v>
      </c>
    </row>
    <row r="9155" ht="15" customHeight="1" spans="2:14">
      <c r="B9155" s="334" t="s">
        <v>66</v>
      </c>
      <c r="C9155" s="334" t="s">
        <v>7029</v>
      </c>
      <c r="D9155" s="334" t="s">
        <v>187</v>
      </c>
      <c r="E9155" s="336">
        <v>43799</v>
      </c>
      <c r="G9155" s="336">
        <v>43799</v>
      </c>
      <c r="H9155" s="334" t="s">
        <v>19086</v>
      </c>
      <c r="I9155" s="444">
        <v>1832160770</v>
      </c>
      <c r="J9155" s="348" t="s">
        <v>19087</v>
      </c>
      <c r="L9155" s="334">
        <v>20260</v>
      </c>
      <c r="N9155" s="362">
        <f t="shared" si="313"/>
        <v>20260</v>
      </c>
    </row>
    <row r="9156" ht="15" customHeight="1" spans="2:14">
      <c r="B9156" s="334" t="s">
        <v>73</v>
      </c>
      <c r="C9156" s="334" t="s">
        <v>74</v>
      </c>
      <c r="D9156" s="334" t="s">
        <v>427</v>
      </c>
      <c r="E9156" s="336">
        <v>43799</v>
      </c>
      <c r="G9156" s="336">
        <v>43799</v>
      </c>
      <c r="H9156" s="334" t="s">
        <v>19088</v>
      </c>
      <c r="I9156" s="444">
        <v>13311869221</v>
      </c>
      <c r="J9156" s="348" t="s">
        <v>19089</v>
      </c>
      <c r="L9156" s="334">
        <v>30405</v>
      </c>
      <c r="N9156" s="362">
        <f t="shared" si="313"/>
        <v>30405</v>
      </c>
    </row>
    <row r="9157" ht="15" customHeight="1" spans="2:14">
      <c r="B9157" s="334" t="s">
        <v>66</v>
      </c>
      <c r="C9157" s="334" t="s">
        <v>15301</v>
      </c>
      <c r="D9157" s="334" t="s">
        <v>2302</v>
      </c>
      <c r="E9157" s="336">
        <v>43799</v>
      </c>
      <c r="G9157" s="336">
        <v>43799</v>
      </c>
      <c r="H9157" s="334" t="s">
        <v>19090</v>
      </c>
      <c r="I9157" s="444">
        <v>15921966728</v>
      </c>
      <c r="J9157" s="348" t="s">
        <v>19091</v>
      </c>
      <c r="L9157" s="334">
        <v>10000</v>
      </c>
      <c r="N9157" s="362">
        <f t="shared" si="313"/>
        <v>10000</v>
      </c>
    </row>
    <row r="9158" ht="15" customHeight="1" spans="2:14">
      <c r="B9158" s="334" t="s">
        <v>66</v>
      </c>
      <c r="C9158" s="334" t="s">
        <v>951</v>
      </c>
      <c r="D9158" s="334" t="s">
        <v>1436</v>
      </c>
      <c r="E9158" s="336">
        <v>43799</v>
      </c>
      <c r="G9158" s="336">
        <v>43799</v>
      </c>
      <c r="H9158" s="334" t="s">
        <v>492</v>
      </c>
      <c r="I9158" s="444">
        <v>18321776451</v>
      </c>
      <c r="J9158" s="348" t="s">
        <v>19092</v>
      </c>
      <c r="L9158" s="334">
        <v>9525</v>
      </c>
      <c r="N9158" s="362">
        <f t="shared" si="313"/>
        <v>9525</v>
      </c>
    </row>
    <row r="9159" ht="15" customHeight="1" spans="2:14">
      <c r="B9159" s="334" t="s">
        <v>315</v>
      </c>
      <c r="C9159" s="334" t="s">
        <v>366</v>
      </c>
      <c r="D9159" s="334" t="s">
        <v>162</v>
      </c>
      <c r="E9159" s="336">
        <v>43800</v>
      </c>
      <c r="G9159" s="336">
        <v>43800</v>
      </c>
      <c r="H9159" s="334" t="s">
        <v>7749</v>
      </c>
      <c r="I9159" s="444">
        <v>15317115435</v>
      </c>
      <c r="J9159" s="348" t="s">
        <v>19093</v>
      </c>
      <c r="L9159" s="334">
        <v>13333</v>
      </c>
      <c r="N9159" s="362">
        <f t="shared" si="313"/>
        <v>13333</v>
      </c>
    </row>
    <row r="9160" ht="15" customHeight="1" spans="2:14">
      <c r="B9160" s="348" t="s">
        <v>73</v>
      </c>
      <c r="C9160" s="348" t="s">
        <v>74</v>
      </c>
      <c r="D9160" s="352" t="s">
        <v>717</v>
      </c>
      <c r="E9160" s="336">
        <v>43800</v>
      </c>
      <c r="G9160" s="336">
        <v>43799</v>
      </c>
      <c r="H9160" s="334" t="s">
        <v>2605</v>
      </c>
      <c r="I9160" s="444">
        <v>13564663198</v>
      </c>
      <c r="J9160" s="438" t="s">
        <v>2606</v>
      </c>
      <c r="L9160" s="334">
        <v>7434</v>
      </c>
      <c r="N9160" s="362">
        <f t="shared" si="313"/>
        <v>7434</v>
      </c>
    </row>
    <row r="9161" ht="15" customHeight="1" spans="2:14">
      <c r="B9161" s="334" t="s">
        <v>153</v>
      </c>
      <c r="C9161" s="334" t="s">
        <v>302</v>
      </c>
      <c r="D9161" s="334" t="s">
        <v>155</v>
      </c>
      <c r="E9161" s="336">
        <v>43799</v>
      </c>
      <c r="G9161" s="336">
        <v>43798</v>
      </c>
      <c r="H9161" s="334" t="s">
        <v>13076</v>
      </c>
      <c r="I9161" s="334">
        <v>18616346518</v>
      </c>
      <c r="J9161" s="334" t="s">
        <v>13077</v>
      </c>
      <c r="M9161" s="334">
        <v>512</v>
      </c>
      <c r="N9161" s="362">
        <f t="shared" ref="N9161:N9187" si="314">L9161+M9161</f>
        <v>512</v>
      </c>
    </row>
    <row r="9162" ht="15" customHeight="1" spans="2:14">
      <c r="B9162" s="334" t="s">
        <v>359</v>
      </c>
      <c r="C9162" s="334" t="s">
        <v>3018</v>
      </c>
      <c r="D9162" s="334" t="s">
        <v>361</v>
      </c>
      <c r="E9162" s="336">
        <v>43799</v>
      </c>
      <c r="G9162" s="336">
        <v>43797</v>
      </c>
      <c r="H9162" s="334" t="s">
        <v>8121</v>
      </c>
      <c r="I9162" s="444">
        <v>15800493085</v>
      </c>
      <c r="J9162" s="334" t="s">
        <v>19094</v>
      </c>
      <c r="M9162" s="334">
        <v>2670</v>
      </c>
      <c r="N9162" s="362">
        <f t="shared" si="314"/>
        <v>2670</v>
      </c>
    </row>
    <row r="9163" ht="15" customHeight="1" spans="2:14">
      <c r="B9163" s="334" t="s">
        <v>73</v>
      </c>
      <c r="C9163" s="334" t="s">
        <v>74</v>
      </c>
      <c r="D9163" s="334" t="s">
        <v>75</v>
      </c>
      <c r="E9163" s="336">
        <v>43799</v>
      </c>
      <c r="G9163" s="336">
        <v>43799</v>
      </c>
      <c r="H9163" s="334" t="s">
        <v>12622</v>
      </c>
      <c r="I9163" s="444">
        <v>13611863907</v>
      </c>
      <c r="J9163" s="334" t="s">
        <v>12623</v>
      </c>
      <c r="M9163" s="334">
        <v>-1691</v>
      </c>
      <c r="N9163" s="362">
        <f t="shared" si="314"/>
        <v>-1691</v>
      </c>
    </row>
    <row r="9164" ht="15" customHeight="1" spans="2:14">
      <c r="B9164" s="334" t="s">
        <v>281</v>
      </c>
      <c r="C9164" s="334" t="s">
        <v>517</v>
      </c>
      <c r="D9164" s="334" t="s">
        <v>518</v>
      </c>
      <c r="E9164" s="336">
        <v>43799</v>
      </c>
      <c r="G9164" s="336">
        <v>43799</v>
      </c>
      <c r="H9164" s="334" t="s">
        <v>14114</v>
      </c>
      <c r="I9164" s="444">
        <v>13817406268</v>
      </c>
      <c r="J9164" s="334" t="s">
        <v>14115</v>
      </c>
      <c r="M9164" s="334">
        <f>26558+23860</f>
        <v>50418</v>
      </c>
      <c r="N9164" s="362">
        <f t="shared" si="314"/>
        <v>50418</v>
      </c>
    </row>
    <row r="9165" ht="15" customHeight="1" spans="2:14">
      <c r="B9165" s="334" t="s">
        <v>35</v>
      </c>
      <c r="C9165" s="334" t="s">
        <v>36</v>
      </c>
      <c r="D9165" s="334" t="s">
        <v>37</v>
      </c>
      <c r="E9165" s="336">
        <v>43799</v>
      </c>
      <c r="G9165" s="336">
        <v>43799</v>
      </c>
      <c r="H9165" s="334" t="s">
        <v>5277</v>
      </c>
      <c r="I9165" s="334">
        <v>13918511644</v>
      </c>
      <c r="J9165" s="334" t="s">
        <v>10998</v>
      </c>
      <c r="M9165" s="334">
        <v>1544</v>
      </c>
      <c r="N9165" s="362">
        <f t="shared" si="314"/>
        <v>1544</v>
      </c>
    </row>
    <row r="9166" ht="15" customHeight="1" spans="2:14">
      <c r="B9166" s="334" t="s">
        <v>66</v>
      </c>
      <c r="C9166" s="334" t="s">
        <v>1749</v>
      </c>
      <c r="D9166" s="334" t="s">
        <v>68</v>
      </c>
      <c r="E9166" s="336">
        <v>43799</v>
      </c>
      <c r="G9166" s="336">
        <v>43793</v>
      </c>
      <c r="H9166" s="334" t="s">
        <v>11556</v>
      </c>
      <c r="I9166" s="334">
        <v>15821905727</v>
      </c>
      <c r="J9166" s="334" t="s">
        <v>19095</v>
      </c>
      <c r="M9166" s="334">
        <v>7812</v>
      </c>
      <c r="N9166" s="362">
        <f t="shared" si="314"/>
        <v>7812</v>
      </c>
    </row>
    <row r="9167" ht="15" customHeight="1" spans="2:14">
      <c r="B9167" s="334" t="s">
        <v>185</v>
      </c>
      <c r="C9167" s="334" t="s">
        <v>886</v>
      </c>
      <c r="D9167" s="334" t="s">
        <v>187</v>
      </c>
      <c r="E9167" s="336">
        <v>43799</v>
      </c>
      <c r="G9167" s="336">
        <v>43799</v>
      </c>
      <c r="H9167" s="334" t="s">
        <v>8525</v>
      </c>
      <c r="I9167" s="444">
        <v>13967878896</v>
      </c>
      <c r="J9167" s="348" t="s">
        <v>8526</v>
      </c>
      <c r="M9167" s="334">
        <v>24600</v>
      </c>
      <c r="N9167" s="362">
        <f t="shared" si="314"/>
        <v>24600</v>
      </c>
    </row>
    <row r="9168" ht="15" customHeight="1" spans="2:14">
      <c r="B9168" s="334" t="s">
        <v>31</v>
      </c>
      <c r="C9168" s="334" t="s">
        <v>2716</v>
      </c>
      <c r="D9168" s="334" t="s">
        <v>33</v>
      </c>
      <c r="E9168" s="336">
        <v>43799</v>
      </c>
      <c r="G9168" s="336">
        <v>43799</v>
      </c>
      <c r="H9168" s="334" t="s">
        <v>14028</v>
      </c>
      <c r="I9168" s="444">
        <v>15921631834</v>
      </c>
      <c r="J9168" s="334" t="s">
        <v>14029</v>
      </c>
      <c r="M9168" s="334">
        <v>110</v>
      </c>
      <c r="N9168" s="362">
        <f t="shared" si="314"/>
        <v>110</v>
      </c>
    </row>
    <row r="9169" ht="15" customHeight="1" spans="2:14">
      <c r="B9169" s="334" t="s">
        <v>726</v>
      </c>
      <c r="C9169" s="334" t="s">
        <v>727</v>
      </c>
      <c r="D9169" s="334" t="s">
        <v>271</v>
      </c>
      <c r="E9169" s="336">
        <v>43799</v>
      </c>
      <c r="G9169" s="336">
        <v>43799</v>
      </c>
      <c r="H9169" s="334" t="s">
        <v>9235</v>
      </c>
      <c r="I9169" s="334">
        <v>13901848227</v>
      </c>
      <c r="J9169" s="334" t="s">
        <v>9236</v>
      </c>
      <c r="M9169" s="334">
        <v>512</v>
      </c>
      <c r="N9169" s="362">
        <f t="shared" si="314"/>
        <v>512</v>
      </c>
    </row>
    <row r="9170" ht="15" customHeight="1" spans="2:14">
      <c r="B9170" s="334" t="s">
        <v>726</v>
      </c>
      <c r="C9170" s="334" t="s">
        <v>727</v>
      </c>
      <c r="D9170" s="334" t="s">
        <v>271</v>
      </c>
      <c r="E9170" s="336">
        <v>43799</v>
      </c>
      <c r="G9170" s="336">
        <v>43799</v>
      </c>
      <c r="H9170" s="334" t="s">
        <v>11503</v>
      </c>
      <c r="I9170" s="426">
        <v>13901824081</v>
      </c>
      <c r="J9170" s="334" t="s">
        <v>11504</v>
      </c>
      <c r="M9170" s="334">
        <v>1298</v>
      </c>
      <c r="N9170" s="362">
        <f t="shared" si="314"/>
        <v>1298</v>
      </c>
    </row>
    <row r="9171" ht="15" customHeight="1" spans="2:14">
      <c r="B9171" s="334" t="s">
        <v>66</v>
      </c>
      <c r="C9171" s="334" t="s">
        <v>505</v>
      </c>
      <c r="D9171" s="334" t="s">
        <v>2302</v>
      </c>
      <c r="E9171" s="336">
        <v>43799</v>
      </c>
      <c r="G9171" s="336">
        <v>43799</v>
      </c>
      <c r="H9171" s="334" t="s">
        <v>14398</v>
      </c>
      <c r="I9171" s="334">
        <v>18016385880</v>
      </c>
      <c r="J9171" s="348" t="s">
        <v>19096</v>
      </c>
      <c r="M9171" s="334">
        <v>42800</v>
      </c>
      <c r="N9171" s="362">
        <f t="shared" si="314"/>
        <v>42800</v>
      </c>
    </row>
    <row r="9172" ht="15" customHeight="1" spans="2:14">
      <c r="B9172" s="334" t="s">
        <v>31</v>
      </c>
      <c r="C9172" s="334" t="s">
        <v>3186</v>
      </c>
      <c r="D9172" s="334" t="s">
        <v>954</v>
      </c>
      <c r="E9172" s="336">
        <v>43799</v>
      </c>
      <c r="G9172" s="336">
        <v>43799</v>
      </c>
      <c r="H9172" s="334" t="s">
        <v>8731</v>
      </c>
      <c r="I9172" s="334">
        <v>18616916828</v>
      </c>
      <c r="J9172" s="334" t="s">
        <v>19097</v>
      </c>
      <c r="M9172" s="334">
        <v>1485</v>
      </c>
      <c r="N9172" s="362">
        <f t="shared" si="314"/>
        <v>1485</v>
      </c>
    </row>
    <row r="9173" ht="15" customHeight="1" spans="2:14">
      <c r="B9173" s="334" t="s">
        <v>137</v>
      </c>
      <c r="C9173" s="334" t="s">
        <v>411</v>
      </c>
      <c r="D9173" s="334" t="s">
        <v>139</v>
      </c>
      <c r="E9173" s="336">
        <v>43799</v>
      </c>
      <c r="G9173" s="336">
        <v>43799</v>
      </c>
      <c r="H9173" s="334" t="s">
        <v>7528</v>
      </c>
      <c r="I9173" s="334">
        <v>18601655238</v>
      </c>
      <c r="J9173" s="334" t="s">
        <v>19098</v>
      </c>
      <c r="M9173" s="334">
        <v>205</v>
      </c>
      <c r="N9173" s="362">
        <f t="shared" si="314"/>
        <v>205</v>
      </c>
    </row>
    <row r="9174" ht="15" customHeight="1" spans="2:14">
      <c r="B9174" s="334" t="s">
        <v>94</v>
      </c>
      <c r="C9174" s="334" t="s">
        <v>101</v>
      </c>
      <c r="D9174" s="335" t="s">
        <v>407</v>
      </c>
      <c r="E9174" s="336">
        <v>43799</v>
      </c>
      <c r="G9174" s="336">
        <v>43799</v>
      </c>
      <c r="H9174" s="334" t="s">
        <v>12629</v>
      </c>
      <c r="I9174" s="426">
        <v>13801871977</v>
      </c>
      <c r="J9174" s="334" t="s">
        <v>12630</v>
      </c>
      <c r="M9174" s="334">
        <v>12500</v>
      </c>
      <c r="N9174" s="362">
        <f t="shared" si="314"/>
        <v>12500</v>
      </c>
    </row>
    <row r="9175" ht="15" customHeight="1" spans="2:14">
      <c r="B9175" s="334" t="s">
        <v>87</v>
      </c>
      <c r="C9175" s="334" t="s">
        <v>466</v>
      </c>
      <c r="D9175" s="334" t="s">
        <v>89</v>
      </c>
      <c r="E9175" s="336">
        <v>43799</v>
      </c>
      <c r="G9175" s="336">
        <v>43799</v>
      </c>
      <c r="H9175" s="334" t="s">
        <v>6935</v>
      </c>
      <c r="I9175" s="334">
        <v>13917626918</v>
      </c>
      <c r="J9175" s="334" t="s">
        <v>6936</v>
      </c>
      <c r="M9175" s="334">
        <v>500</v>
      </c>
      <c r="N9175" s="362">
        <f t="shared" si="314"/>
        <v>500</v>
      </c>
    </row>
    <row r="9176" ht="15" customHeight="1" spans="2:14">
      <c r="B9176" s="334" t="s">
        <v>315</v>
      </c>
      <c r="C9176" s="334" t="s">
        <v>366</v>
      </c>
      <c r="D9176" s="334" t="s">
        <v>132</v>
      </c>
      <c r="E9176" s="336">
        <v>43799</v>
      </c>
      <c r="G9176" s="336">
        <v>43798</v>
      </c>
      <c r="H9176" s="334" t="s">
        <v>19099</v>
      </c>
      <c r="I9176" s="444">
        <v>15121018164</v>
      </c>
      <c r="J9176" s="348" t="s">
        <v>10490</v>
      </c>
      <c r="M9176" s="334">
        <v>2109</v>
      </c>
      <c r="N9176" s="362">
        <f t="shared" si="314"/>
        <v>2109</v>
      </c>
    </row>
    <row r="9177" ht="15" customHeight="1" spans="2:14">
      <c r="B9177" s="334" t="s">
        <v>42</v>
      </c>
      <c r="C9177" s="334" t="s">
        <v>43</v>
      </c>
      <c r="D9177" s="334" t="s">
        <v>125</v>
      </c>
      <c r="E9177" s="336">
        <v>43799</v>
      </c>
      <c r="G9177" s="336">
        <v>43799</v>
      </c>
      <c r="H9177" s="334" t="s">
        <v>2005</v>
      </c>
      <c r="I9177" s="444">
        <v>13973850689</v>
      </c>
      <c r="J9177" s="334" t="s">
        <v>19100</v>
      </c>
      <c r="M9177" s="334">
        <v>6926</v>
      </c>
      <c r="N9177" s="362">
        <f t="shared" si="314"/>
        <v>6926</v>
      </c>
    </row>
    <row r="9178" ht="15" customHeight="1" spans="2:14">
      <c r="B9178" s="334" t="s">
        <v>66</v>
      </c>
      <c r="C9178" s="334" t="s">
        <v>1749</v>
      </c>
      <c r="D9178" s="334" t="s">
        <v>2302</v>
      </c>
      <c r="E9178" s="336">
        <v>43799</v>
      </c>
      <c r="G9178" s="336">
        <v>43799</v>
      </c>
      <c r="H9178" s="334" t="s">
        <v>12744</v>
      </c>
      <c r="I9178" s="444">
        <v>13918394875</v>
      </c>
      <c r="J9178" s="334" t="s">
        <v>12745</v>
      </c>
      <c r="M9178" s="334">
        <v>10000</v>
      </c>
      <c r="N9178" s="362">
        <f t="shared" si="314"/>
        <v>10000</v>
      </c>
    </row>
    <row r="9179" ht="15" customHeight="1" spans="2:14">
      <c r="B9179" s="334" t="s">
        <v>31</v>
      </c>
      <c r="C9179" s="334" t="s">
        <v>419</v>
      </c>
      <c r="D9179" s="334" t="s">
        <v>221</v>
      </c>
      <c r="E9179" s="336">
        <v>43799</v>
      </c>
      <c r="G9179" s="336">
        <v>43799</v>
      </c>
      <c r="H9179" s="334" t="s">
        <v>2634</v>
      </c>
      <c r="I9179" s="444">
        <v>15221223337</v>
      </c>
      <c r="J9179" s="348" t="s">
        <v>15403</v>
      </c>
      <c r="M9179" s="334">
        <v>-2898</v>
      </c>
      <c r="N9179" s="362">
        <f t="shared" si="314"/>
        <v>-2898</v>
      </c>
    </row>
    <row r="9180" ht="15" customHeight="1" spans="2:14">
      <c r="B9180" s="334" t="s">
        <v>805</v>
      </c>
      <c r="C9180" s="334" t="s">
        <v>806</v>
      </c>
      <c r="D9180" s="334" t="s">
        <v>427</v>
      </c>
      <c r="E9180" s="336">
        <v>43799</v>
      </c>
      <c r="G9180" s="336">
        <v>43799</v>
      </c>
      <c r="H9180" s="334" t="s">
        <v>2207</v>
      </c>
      <c r="I9180" s="334">
        <v>18939797008</v>
      </c>
      <c r="J9180" s="348" t="s">
        <v>19101</v>
      </c>
      <c r="M9180" s="334">
        <f>1930+98070</f>
        <v>100000</v>
      </c>
      <c r="N9180" s="362">
        <f t="shared" si="314"/>
        <v>100000</v>
      </c>
    </row>
    <row r="9181" ht="15" customHeight="1" spans="2:14">
      <c r="B9181" s="334" t="s">
        <v>66</v>
      </c>
      <c r="C9181" s="334" t="s">
        <v>1749</v>
      </c>
      <c r="D9181" s="334" t="s">
        <v>68</v>
      </c>
      <c r="E9181" s="336">
        <v>43799</v>
      </c>
      <c r="G9181" s="336">
        <v>43799</v>
      </c>
      <c r="H9181" s="334" t="s">
        <v>13475</v>
      </c>
      <c r="I9181" s="444">
        <v>13918367457</v>
      </c>
      <c r="J9181" s="348" t="s">
        <v>13476</v>
      </c>
      <c r="M9181" s="334">
        <v>9000</v>
      </c>
      <c r="N9181" s="362">
        <f t="shared" si="314"/>
        <v>9000</v>
      </c>
    </row>
    <row r="9182" ht="15" customHeight="1" spans="2:14">
      <c r="B9182" s="334" t="s">
        <v>169</v>
      </c>
      <c r="C9182" s="334" t="s">
        <v>542</v>
      </c>
      <c r="D9182" s="334" t="s">
        <v>171</v>
      </c>
      <c r="E9182" s="336">
        <v>43800</v>
      </c>
      <c r="G9182" s="336">
        <v>43765</v>
      </c>
      <c r="H9182" s="334" t="s">
        <v>8177</v>
      </c>
      <c r="I9182" s="334">
        <v>13816522929</v>
      </c>
      <c r="J9182" s="348" t="s">
        <v>19102</v>
      </c>
      <c r="M9182" s="334">
        <f>1104+-300</f>
        <v>804</v>
      </c>
      <c r="N9182" s="362">
        <f t="shared" si="314"/>
        <v>804</v>
      </c>
    </row>
    <row r="9183" ht="15" customHeight="1" spans="2:14">
      <c r="B9183" s="348" t="s">
        <v>137</v>
      </c>
      <c r="C9183" s="334" t="s">
        <v>480</v>
      </c>
      <c r="D9183" s="334" t="s">
        <v>139</v>
      </c>
      <c r="E9183" s="336">
        <v>43800</v>
      </c>
      <c r="G9183" s="336">
        <v>43799</v>
      </c>
      <c r="H9183" s="334" t="s">
        <v>1959</v>
      </c>
      <c r="I9183" s="356">
        <v>13818232059</v>
      </c>
      <c r="J9183" s="348" t="s">
        <v>1960</v>
      </c>
      <c r="M9183" s="334">
        <v>1078</v>
      </c>
      <c r="N9183" s="362">
        <f t="shared" si="314"/>
        <v>1078</v>
      </c>
    </row>
    <row r="9184" ht="15" customHeight="1" spans="2:14">
      <c r="B9184" s="334" t="s">
        <v>315</v>
      </c>
      <c r="C9184" s="334" t="s">
        <v>275</v>
      </c>
      <c r="D9184" s="334" t="s">
        <v>162</v>
      </c>
      <c r="E9184" s="336">
        <v>43800</v>
      </c>
      <c r="G9184" s="336">
        <v>43798</v>
      </c>
      <c r="H9184" s="334" t="s">
        <v>14551</v>
      </c>
      <c r="I9184" s="334">
        <v>13816631215</v>
      </c>
      <c r="J9184" s="334" t="s">
        <v>14552</v>
      </c>
      <c r="M9184" s="334">
        <v>1600</v>
      </c>
      <c r="N9184" s="362">
        <f t="shared" si="314"/>
        <v>1600</v>
      </c>
    </row>
    <row r="9185" ht="15" customHeight="1" spans="2:14">
      <c r="B9185" s="334" t="s">
        <v>42</v>
      </c>
      <c r="C9185" s="334" t="s">
        <v>43</v>
      </c>
      <c r="D9185" s="334" t="s">
        <v>44</v>
      </c>
      <c r="E9185" s="336">
        <v>43800</v>
      </c>
      <c r="G9185" s="336">
        <v>43800</v>
      </c>
      <c r="H9185" s="334" t="s">
        <v>10543</v>
      </c>
      <c r="I9185" s="334">
        <v>18001660988</v>
      </c>
      <c r="J9185" s="334" t="s">
        <v>19103</v>
      </c>
      <c r="M9185" s="334">
        <v>-1637</v>
      </c>
      <c r="N9185" s="362">
        <f t="shared" si="314"/>
        <v>-1637</v>
      </c>
    </row>
    <row r="9186" ht="15" customHeight="1" spans="2:14">
      <c r="B9186" s="334" t="s">
        <v>315</v>
      </c>
      <c r="C9186" s="348" t="s">
        <v>181</v>
      </c>
      <c r="D9186" s="334" t="s">
        <v>1431</v>
      </c>
      <c r="E9186" s="336">
        <v>43799</v>
      </c>
      <c r="G9186" s="336">
        <v>43798</v>
      </c>
      <c r="H9186" s="334" t="s">
        <v>15912</v>
      </c>
      <c r="I9186" s="444">
        <v>13816675896</v>
      </c>
      <c r="J9186" s="348" t="s">
        <v>15913</v>
      </c>
      <c r="M9186" s="334">
        <v>978</v>
      </c>
      <c r="N9186" s="362">
        <f t="shared" si="314"/>
        <v>978</v>
      </c>
    </row>
    <row r="9187" ht="15" customHeight="1" spans="2:14">
      <c r="B9187" s="334" t="s">
        <v>31</v>
      </c>
      <c r="C9187" s="334" t="s">
        <v>220</v>
      </c>
      <c r="D9187" s="335" t="s">
        <v>221</v>
      </c>
      <c r="E9187" s="336">
        <v>43799</v>
      </c>
      <c r="G9187" s="336">
        <v>43799</v>
      </c>
      <c r="H9187" s="334" t="s">
        <v>11515</v>
      </c>
      <c r="I9187" s="444">
        <v>13501777787</v>
      </c>
      <c r="J9187" s="348" t="s">
        <v>19104</v>
      </c>
      <c r="M9187" s="334">
        <v>1169</v>
      </c>
      <c r="N9187" s="362">
        <f t="shared" si="314"/>
        <v>1169</v>
      </c>
    </row>
    <row r="9188" ht="15" customHeight="1" spans="1:17">
      <c r="A9188" s="348"/>
      <c r="B9188" s="334" t="s">
        <v>805</v>
      </c>
      <c r="C9188" s="348" t="s">
        <v>498</v>
      </c>
      <c r="D9188" s="335" t="s">
        <v>171</v>
      </c>
      <c r="E9188" s="336">
        <v>43801</v>
      </c>
      <c r="F9188" s="336">
        <v>43801</v>
      </c>
      <c r="G9188" s="399"/>
      <c r="H9188" s="334" t="s">
        <v>19105</v>
      </c>
      <c r="I9188" s="444">
        <v>13761051998</v>
      </c>
      <c r="J9188" s="444" t="s">
        <v>19106</v>
      </c>
      <c r="K9188" s="356">
        <v>1000</v>
      </c>
      <c r="N9188" s="362">
        <f t="shared" ref="N9188:N9220" si="315">L9188+M9188</f>
        <v>0</v>
      </c>
      <c r="O9188" s="467"/>
      <c r="Q9188" s="467" t="s">
        <v>52</v>
      </c>
    </row>
    <row r="9189" ht="15" customHeight="1" spans="1:14">
      <c r="A9189" s="550" t="s">
        <v>10378</v>
      </c>
      <c r="B9189" s="334" t="s">
        <v>185</v>
      </c>
      <c r="C9189" s="348" t="s">
        <v>886</v>
      </c>
      <c r="D9189" s="335" t="s">
        <v>187</v>
      </c>
      <c r="E9189" s="336">
        <v>43820</v>
      </c>
      <c r="F9189" s="336">
        <v>43800</v>
      </c>
      <c r="G9189" s="336">
        <v>43819</v>
      </c>
      <c r="H9189" s="334" t="s">
        <v>19107</v>
      </c>
      <c r="I9189" s="444">
        <v>17301673064</v>
      </c>
      <c r="J9189" s="444" t="s">
        <v>19108</v>
      </c>
      <c r="K9189" s="356">
        <v>1000</v>
      </c>
      <c r="L9189" s="334">
        <v>21312</v>
      </c>
      <c r="N9189" s="362">
        <f t="shared" si="315"/>
        <v>21312</v>
      </c>
    </row>
    <row r="9190" ht="15" customHeight="1" spans="1:19">
      <c r="A9190" s="550" t="s">
        <v>19109</v>
      </c>
      <c r="B9190" s="334" t="s">
        <v>31</v>
      </c>
      <c r="C9190" s="348" t="s">
        <v>419</v>
      </c>
      <c r="D9190" s="334" t="s">
        <v>954</v>
      </c>
      <c r="E9190" s="336">
        <v>43830</v>
      </c>
      <c r="F9190" s="336">
        <v>43800</v>
      </c>
      <c r="G9190" s="336">
        <v>43830</v>
      </c>
      <c r="H9190" s="334" t="s">
        <v>19110</v>
      </c>
      <c r="I9190" s="444">
        <v>15721236780</v>
      </c>
      <c r="J9190" s="444" t="s">
        <v>19111</v>
      </c>
      <c r="K9190" s="356">
        <v>10000</v>
      </c>
      <c r="L9190" s="334">
        <v>10000</v>
      </c>
      <c r="N9190" s="362">
        <f t="shared" si="315"/>
        <v>10000</v>
      </c>
      <c r="S9190" s="467" t="s">
        <v>52</v>
      </c>
    </row>
    <row r="9191" ht="15" customHeight="1" spans="1:14">
      <c r="A9191" s="550" t="s">
        <v>19112</v>
      </c>
      <c r="B9191" s="334" t="s">
        <v>58</v>
      </c>
      <c r="C9191" s="348" t="s">
        <v>794</v>
      </c>
      <c r="D9191" s="334" t="s">
        <v>271</v>
      </c>
      <c r="E9191" s="336">
        <v>43805</v>
      </c>
      <c r="F9191" s="336">
        <v>43800</v>
      </c>
      <c r="G9191" s="336">
        <v>43805</v>
      </c>
      <c r="H9191" s="334" t="s">
        <v>19113</v>
      </c>
      <c r="I9191" s="444">
        <v>18017058431</v>
      </c>
      <c r="J9191" s="444" t="s">
        <v>19114</v>
      </c>
      <c r="K9191" s="356">
        <v>3798</v>
      </c>
      <c r="L9191" s="334">
        <v>4468</v>
      </c>
      <c r="N9191" s="362">
        <f t="shared" si="315"/>
        <v>4468</v>
      </c>
    </row>
    <row r="9192" ht="15" customHeight="1" spans="1:17">
      <c r="A9192" s="550" t="s">
        <v>10626</v>
      </c>
      <c r="B9192" s="334" t="s">
        <v>58</v>
      </c>
      <c r="C9192" s="348" t="s">
        <v>794</v>
      </c>
      <c r="D9192" s="334" t="s">
        <v>271</v>
      </c>
      <c r="E9192" s="336">
        <v>43821</v>
      </c>
      <c r="F9192" s="336">
        <v>43800</v>
      </c>
      <c r="G9192" s="336">
        <v>43820</v>
      </c>
      <c r="H9192" s="334" t="s">
        <v>19115</v>
      </c>
      <c r="I9192" s="444">
        <v>18017388356</v>
      </c>
      <c r="J9192" s="444" t="s">
        <v>19116</v>
      </c>
      <c r="K9192" s="356">
        <v>5000</v>
      </c>
      <c r="L9192" s="334">
        <v>24254</v>
      </c>
      <c r="N9192" s="362">
        <f t="shared" si="315"/>
        <v>24254</v>
      </c>
      <c r="Q9192" s="467" t="s">
        <v>52</v>
      </c>
    </row>
    <row r="9193" ht="15" customHeight="1" spans="1:14">
      <c r="A9193" s="550" t="s">
        <v>17529</v>
      </c>
      <c r="B9193" s="334" t="s">
        <v>169</v>
      </c>
      <c r="C9193" s="348" t="s">
        <v>634</v>
      </c>
      <c r="D9193" s="335" t="s">
        <v>635</v>
      </c>
      <c r="E9193" s="336">
        <v>43805</v>
      </c>
      <c r="F9193" s="336">
        <v>43801</v>
      </c>
      <c r="G9193" s="336">
        <v>43800</v>
      </c>
      <c r="H9193" s="334" t="s">
        <v>19117</v>
      </c>
      <c r="I9193" s="444">
        <v>18121110707</v>
      </c>
      <c r="J9193" s="444" t="s">
        <v>19118</v>
      </c>
      <c r="K9193" s="356">
        <v>10156</v>
      </c>
      <c r="L9193" s="356">
        <v>10156</v>
      </c>
      <c r="N9193" s="362">
        <f t="shared" si="315"/>
        <v>10156</v>
      </c>
    </row>
    <row r="9194" ht="15" customHeight="1" spans="1:17">
      <c r="A9194" s="550" t="s">
        <v>15141</v>
      </c>
      <c r="B9194" s="334" t="s">
        <v>58</v>
      </c>
      <c r="C9194" s="348" t="s">
        <v>109</v>
      </c>
      <c r="D9194" s="335" t="s">
        <v>110</v>
      </c>
      <c r="E9194" s="336">
        <v>43830</v>
      </c>
      <c r="F9194" s="336">
        <v>43800</v>
      </c>
      <c r="G9194" s="336">
        <v>43830</v>
      </c>
      <c r="H9194" s="334" t="s">
        <v>19119</v>
      </c>
      <c r="I9194" s="444">
        <v>15121119190</v>
      </c>
      <c r="J9194" s="444" t="s">
        <v>19120</v>
      </c>
      <c r="K9194" s="356">
        <v>15000</v>
      </c>
      <c r="L9194" s="334">
        <v>14500</v>
      </c>
      <c r="N9194" s="362">
        <f t="shared" si="315"/>
        <v>14500</v>
      </c>
      <c r="Q9194" s="467" t="s">
        <v>52</v>
      </c>
    </row>
    <row r="9195" ht="15" customHeight="1" spans="1:14">
      <c r="A9195" s="550" t="s">
        <v>3467</v>
      </c>
      <c r="B9195" s="334" t="s">
        <v>66</v>
      </c>
      <c r="C9195" s="348" t="s">
        <v>1749</v>
      </c>
      <c r="D9195" s="335" t="s">
        <v>68</v>
      </c>
      <c r="E9195" s="336">
        <v>43822</v>
      </c>
      <c r="F9195" s="336">
        <v>43800</v>
      </c>
      <c r="G9195" s="336">
        <v>43821</v>
      </c>
      <c r="H9195" s="334" t="s">
        <v>19121</v>
      </c>
      <c r="I9195" s="444">
        <v>17602190627</v>
      </c>
      <c r="J9195" s="444" t="s">
        <v>19122</v>
      </c>
      <c r="K9195" s="356">
        <v>10000</v>
      </c>
      <c r="L9195" s="334">
        <v>8475</v>
      </c>
      <c r="N9195" s="362">
        <f t="shared" si="315"/>
        <v>8475</v>
      </c>
    </row>
    <row r="9196" ht="15" customHeight="1" spans="1:16">
      <c r="A9196" s="348"/>
      <c r="B9196" s="334" t="s">
        <v>315</v>
      </c>
      <c r="C9196" s="348" t="s">
        <v>275</v>
      </c>
      <c r="D9196" s="335" t="s">
        <v>162</v>
      </c>
      <c r="E9196" s="336">
        <v>43801</v>
      </c>
      <c r="F9196" s="336">
        <v>43800</v>
      </c>
      <c r="G9196" s="399"/>
      <c r="H9196" s="334" t="s">
        <v>19123</v>
      </c>
      <c r="I9196" s="444">
        <v>15618515582</v>
      </c>
      <c r="J9196" s="444" t="s">
        <v>19124</v>
      </c>
      <c r="K9196" s="356">
        <v>1299</v>
      </c>
      <c r="N9196" s="362">
        <f t="shared" si="315"/>
        <v>0</v>
      </c>
      <c r="P9196" s="330">
        <v>1</v>
      </c>
    </row>
    <row r="9197" ht="15" customHeight="1" spans="1:15">
      <c r="A9197" s="550" t="s">
        <v>19125</v>
      </c>
      <c r="B9197" s="334" t="s">
        <v>31</v>
      </c>
      <c r="C9197" s="348" t="s">
        <v>3186</v>
      </c>
      <c r="D9197" s="335" t="s">
        <v>221</v>
      </c>
      <c r="E9197" s="336">
        <v>43801</v>
      </c>
      <c r="F9197" s="336">
        <v>43800</v>
      </c>
      <c r="G9197" s="399"/>
      <c r="H9197" s="334" t="s">
        <v>19126</v>
      </c>
      <c r="I9197" s="444">
        <v>18621186233</v>
      </c>
      <c r="J9197" s="444" t="s">
        <v>19127</v>
      </c>
      <c r="K9197" s="356">
        <v>1000</v>
      </c>
      <c r="N9197" s="362">
        <f t="shared" si="315"/>
        <v>0</v>
      </c>
      <c r="O9197" s="467" t="s">
        <v>52</v>
      </c>
    </row>
    <row r="9198" ht="15" customHeight="1" spans="1:14">
      <c r="A9198" s="550" t="s">
        <v>19128</v>
      </c>
      <c r="B9198" s="334" t="s">
        <v>315</v>
      </c>
      <c r="C9198" s="348" t="s">
        <v>275</v>
      </c>
      <c r="D9198" s="335" t="s">
        <v>162</v>
      </c>
      <c r="E9198" s="336">
        <v>43801</v>
      </c>
      <c r="F9198" s="336">
        <v>43800</v>
      </c>
      <c r="G9198" s="399"/>
      <c r="H9198" s="334" t="s">
        <v>19129</v>
      </c>
      <c r="I9198" s="444">
        <v>15601862303</v>
      </c>
      <c r="J9198" s="444" t="s">
        <v>19130</v>
      </c>
      <c r="K9198" s="356">
        <v>1299</v>
      </c>
      <c r="N9198" s="362">
        <f t="shared" si="315"/>
        <v>0</v>
      </c>
    </row>
    <row r="9199" ht="15" customHeight="1" spans="1:14">
      <c r="A9199" s="550" t="s">
        <v>3387</v>
      </c>
      <c r="B9199" s="334" t="s">
        <v>31</v>
      </c>
      <c r="C9199" s="348" t="s">
        <v>3186</v>
      </c>
      <c r="D9199" s="334" t="s">
        <v>954</v>
      </c>
      <c r="E9199" s="336">
        <v>43802</v>
      </c>
      <c r="F9199" s="336">
        <v>43800</v>
      </c>
      <c r="G9199" s="336">
        <v>43800</v>
      </c>
      <c r="H9199" s="334" t="s">
        <v>19131</v>
      </c>
      <c r="I9199" s="444">
        <v>13012871735</v>
      </c>
      <c r="J9199" s="444" t="s">
        <v>19132</v>
      </c>
      <c r="K9199" s="356">
        <v>1000</v>
      </c>
      <c r="L9199" s="334">
        <v>25800</v>
      </c>
      <c r="N9199" s="362">
        <f t="shared" si="315"/>
        <v>25800</v>
      </c>
    </row>
    <row r="9200" ht="15" customHeight="1" spans="1:14">
      <c r="A9200" s="550" t="s">
        <v>19133</v>
      </c>
      <c r="B9200" s="334" t="s">
        <v>66</v>
      </c>
      <c r="C9200" s="348" t="s">
        <v>15301</v>
      </c>
      <c r="D9200" s="334" t="s">
        <v>2302</v>
      </c>
      <c r="E9200" s="336">
        <v>43803</v>
      </c>
      <c r="F9200" s="336">
        <v>43800</v>
      </c>
      <c r="G9200" s="336">
        <v>43801</v>
      </c>
      <c r="H9200" s="334" t="s">
        <v>19134</v>
      </c>
      <c r="I9200" s="444">
        <v>18301982054</v>
      </c>
      <c r="J9200" s="444" t="s">
        <v>19135</v>
      </c>
      <c r="K9200" s="356">
        <v>10000</v>
      </c>
      <c r="L9200" s="334">
        <v>13704</v>
      </c>
      <c r="N9200" s="362">
        <f t="shared" si="315"/>
        <v>13704</v>
      </c>
    </row>
    <row r="9201" ht="15" customHeight="1" spans="1:14">
      <c r="A9201" s="550" t="s">
        <v>19136</v>
      </c>
      <c r="B9201" s="334" t="s">
        <v>31</v>
      </c>
      <c r="C9201" s="348" t="s">
        <v>3186</v>
      </c>
      <c r="D9201" s="334" t="s">
        <v>954</v>
      </c>
      <c r="E9201" s="336">
        <v>43808</v>
      </c>
      <c r="F9201" s="336">
        <v>43800</v>
      </c>
      <c r="G9201" s="336">
        <v>43806</v>
      </c>
      <c r="H9201" s="334" t="s">
        <v>19137</v>
      </c>
      <c r="I9201" s="444">
        <v>13816624706</v>
      </c>
      <c r="J9201" s="444" t="s">
        <v>19138</v>
      </c>
      <c r="K9201" s="356">
        <v>1000</v>
      </c>
      <c r="L9201" s="334">
        <v>11900</v>
      </c>
      <c r="N9201" s="362">
        <f t="shared" si="315"/>
        <v>11900</v>
      </c>
    </row>
    <row r="9202" ht="15" customHeight="1" spans="1:17">
      <c r="A9202" s="550" t="s">
        <v>19139</v>
      </c>
      <c r="B9202" s="334" t="s">
        <v>315</v>
      </c>
      <c r="C9202" s="348" t="s">
        <v>722</v>
      </c>
      <c r="D9202" s="335" t="s">
        <v>132</v>
      </c>
      <c r="E9202" s="336">
        <v>43801</v>
      </c>
      <c r="F9202" s="336">
        <v>43800</v>
      </c>
      <c r="G9202" s="399" t="s">
        <v>231</v>
      </c>
      <c r="H9202" s="334" t="s">
        <v>19140</v>
      </c>
      <c r="I9202" s="444">
        <v>15921143284</v>
      </c>
      <c r="J9202" s="444" t="s">
        <v>19141</v>
      </c>
      <c r="K9202" s="356">
        <v>1000</v>
      </c>
      <c r="N9202" s="362">
        <f t="shared" si="315"/>
        <v>0</v>
      </c>
      <c r="Q9202" s="330">
        <v>1</v>
      </c>
    </row>
    <row r="9203" ht="15" customHeight="1" spans="1:16">
      <c r="A9203" s="550" t="s">
        <v>19142</v>
      </c>
      <c r="B9203" s="334" t="s">
        <v>66</v>
      </c>
      <c r="C9203" s="348" t="s">
        <v>15301</v>
      </c>
      <c r="D9203" s="334" t="s">
        <v>2302</v>
      </c>
      <c r="E9203" s="336">
        <v>43829</v>
      </c>
      <c r="F9203" s="336">
        <v>43800</v>
      </c>
      <c r="G9203" s="336">
        <v>43829</v>
      </c>
      <c r="H9203" s="334" t="s">
        <v>19143</v>
      </c>
      <c r="I9203" s="444">
        <v>15201972310</v>
      </c>
      <c r="J9203" s="444" t="s">
        <v>19144</v>
      </c>
      <c r="K9203" s="356">
        <v>5500</v>
      </c>
      <c r="L9203" s="334">
        <v>5500</v>
      </c>
      <c r="N9203" s="362">
        <f t="shared" si="315"/>
        <v>5500</v>
      </c>
      <c r="P9203" s="467" t="s">
        <v>52</v>
      </c>
    </row>
    <row r="9204" ht="15" customHeight="1" spans="1:14">
      <c r="A9204" s="550" t="s">
        <v>2839</v>
      </c>
      <c r="B9204" s="334" t="s">
        <v>31</v>
      </c>
      <c r="C9204" s="348" t="s">
        <v>419</v>
      </c>
      <c r="D9204" s="335" t="s">
        <v>221</v>
      </c>
      <c r="E9204" s="336">
        <v>43814</v>
      </c>
      <c r="F9204" s="336">
        <v>43800</v>
      </c>
      <c r="G9204" s="336">
        <v>43813</v>
      </c>
      <c r="H9204" s="334" t="s">
        <v>6217</v>
      </c>
      <c r="I9204" s="444">
        <v>13818776825</v>
      </c>
      <c r="J9204" s="444" t="s">
        <v>19145</v>
      </c>
      <c r="K9204" s="356">
        <v>1000</v>
      </c>
      <c r="L9204" s="334">
        <v>10600</v>
      </c>
      <c r="N9204" s="362">
        <f t="shared" si="315"/>
        <v>10600</v>
      </c>
    </row>
    <row r="9205" ht="15" customHeight="1" spans="1:15">
      <c r="A9205" s="550" t="s">
        <v>4013</v>
      </c>
      <c r="B9205" s="334" t="s">
        <v>31</v>
      </c>
      <c r="C9205" s="348" t="s">
        <v>13171</v>
      </c>
      <c r="D9205" s="334" t="s">
        <v>954</v>
      </c>
      <c r="E9205" s="336">
        <v>43830</v>
      </c>
      <c r="F9205" s="336">
        <v>43800</v>
      </c>
      <c r="G9205" s="336">
        <v>43822</v>
      </c>
      <c r="H9205" s="334" t="s">
        <v>19146</v>
      </c>
      <c r="I9205" s="444">
        <v>13917217128</v>
      </c>
      <c r="J9205" s="444" t="s">
        <v>19147</v>
      </c>
      <c r="K9205" s="356">
        <v>20000</v>
      </c>
      <c r="L9205" s="334">
        <v>20000</v>
      </c>
      <c r="N9205" s="362">
        <f t="shared" si="315"/>
        <v>20000</v>
      </c>
      <c r="O9205" s="467" t="s">
        <v>52</v>
      </c>
    </row>
    <row r="9206" ht="15" customHeight="1" spans="1:15">
      <c r="A9206" s="550" t="s">
        <v>9461</v>
      </c>
      <c r="B9206" s="334" t="s">
        <v>73</v>
      </c>
      <c r="C9206" s="348" t="s">
        <v>178</v>
      </c>
      <c r="D9206" s="334" t="s">
        <v>44</v>
      </c>
      <c r="E9206" s="336">
        <v>43830</v>
      </c>
      <c r="F9206" s="336">
        <v>43801</v>
      </c>
      <c r="G9206" s="336">
        <v>43830</v>
      </c>
      <c r="H9206" s="334" t="s">
        <v>19148</v>
      </c>
      <c r="I9206" s="444">
        <v>13918857221</v>
      </c>
      <c r="J9206" s="444" t="s">
        <v>19149</v>
      </c>
      <c r="K9206" s="356">
        <v>1000</v>
      </c>
      <c r="L9206" s="334">
        <v>13652</v>
      </c>
      <c r="N9206" s="362">
        <f t="shared" si="315"/>
        <v>13652</v>
      </c>
      <c r="O9206" s="366" t="s">
        <v>52</v>
      </c>
    </row>
    <row r="9207" ht="15" customHeight="1" spans="1:16">
      <c r="A9207" s="550" t="s">
        <v>8243</v>
      </c>
      <c r="B9207" s="334" t="s">
        <v>73</v>
      </c>
      <c r="C9207" s="348" t="s">
        <v>74</v>
      </c>
      <c r="D9207" s="335" t="s">
        <v>75</v>
      </c>
      <c r="E9207" s="336">
        <v>43801</v>
      </c>
      <c r="F9207" s="336">
        <v>43800</v>
      </c>
      <c r="G9207" s="399"/>
      <c r="H9207" s="334" t="s">
        <v>19150</v>
      </c>
      <c r="I9207" s="444">
        <v>18964023852</v>
      </c>
      <c r="J9207" s="444" t="s">
        <v>19151</v>
      </c>
      <c r="K9207" s="356">
        <v>1000</v>
      </c>
      <c r="N9207" s="362">
        <f t="shared" si="315"/>
        <v>0</v>
      </c>
      <c r="O9207" s="331"/>
      <c r="P9207" s="405" t="s">
        <v>52</v>
      </c>
    </row>
    <row r="9208" ht="15" customHeight="1" spans="1:16">
      <c r="A9208" s="550" t="s">
        <v>9040</v>
      </c>
      <c r="B9208" s="334" t="s">
        <v>73</v>
      </c>
      <c r="C9208" s="348" t="s">
        <v>74</v>
      </c>
      <c r="D9208" s="335" t="s">
        <v>75</v>
      </c>
      <c r="E9208" s="336">
        <v>43802</v>
      </c>
      <c r="F9208" s="336">
        <v>43802</v>
      </c>
      <c r="G9208" s="399"/>
      <c r="H9208" s="334" t="s">
        <v>19152</v>
      </c>
      <c r="I9208" s="444">
        <v>13024103427</v>
      </c>
      <c r="J9208" s="444" t="s">
        <v>19153</v>
      </c>
      <c r="K9208" s="356">
        <v>1000</v>
      </c>
      <c r="N9208" s="362">
        <f t="shared" si="315"/>
        <v>0</v>
      </c>
      <c r="P9208" s="366" t="s">
        <v>52</v>
      </c>
    </row>
    <row r="9209" ht="15" customHeight="1" spans="1:14">
      <c r="A9209" s="550" t="s">
        <v>19154</v>
      </c>
      <c r="B9209" s="334" t="s">
        <v>31</v>
      </c>
      <c r="C9209" s="348" t="s">
        <v>3186</v>
      </c>
      <c r="D9209" s="334" t="s">
        <v>33</v>
      </c>
      <c r="E9209" s="336">
        <v>43801</v>
      </c>
      <c r="F9209" s="336">
        <v>43750</v>
      </c>
      <c r="G9209" s="399">
        <v>43800</v>
      </c>
      <c r="H9209" s="334" t="s">
        <v>19155</v>
      </c>
      <c r="I9209" s="444">
        <v>13023237046</v>
      </c>
      <c r="J9209" s="348" t="s">
        <v>19156</v>
      </c>
      <c r="K9209" s="356">
        <v>1000</v>
      </c>
      <c r="L9209" s="334">
        <v>12600</v>
      </c>
      <c r="N9209" s="362">
        <f t="shared" si="315"/>
        <v>12600</v>
      </c>
    </row>
    <row r="9210" ht="15" customHeight="1" spans="1:14">
      <c r="A9210" s="348"/>
      <c r="B9210" s="334" t="s">
        <v>5336</v>
      </c>
      <c r="C9210" s="334" t="s">
        <v>5336</v>
      </c>
      <c r="D9210" s="334" t="s">
        <v>8334</v>
      </c>
      <c r="E9210" s="336">
        <v>43806</v>
      </c>
      <c r="F9210" s="336">
        <v>43801</v>
      </c>
      <c r="G9210" s="336">
        <v>43806</v>
      </c>
      <c r="H9210" s="334" t="s">
        <v>19157</v>
      </c>
      <c r="I9210" s="444">
        <v>18918827031</v>
      </c>
      <c r="J9210" s="348" t="s">
        <v>19158</v>
      </c>
      <c r="K9210" s="356">
        <v>12405</v>
      </c>
      <c r="L9210" s="334">
        <v>13167</v>
      </c>
      <c r="N9210" s="362">
        <f t="shared" si="315"/>
        <v>13167</v>
      </c>
    </row>
    <row r="9211" ht="15" customHeight="1" spans="1:15">
      <c r="A9211" s="348">
        <v>2024294</v>
      </c>
      <c r="B9211" s="334" t="s">
        <v>335</v>
      </c>
      <c r="C9211" s="348" t="s">
        <v>148</v>
      </c>
      <c r="D9211" s="335" t="s">
        <v>337</v>
      </c>
      <c r="E9211" s="336">
        <v>43801</v>
      </c>
      <c r="F9211" s="336">
        <v>43795</v>
      </c>
      <c r="G9211" s="399"/>
      <c r="H9211" s="334" t="s">
        <v>18860</v>
      </c>
      <c r="I9211" s="444">
        <v>13901920308</v>
      </c>
      <c r="J9211" s="444" t="s">
        <v>18861</v>
      </c>
      <c r="K9211" s="356">
        <v>17820</v>
      </c>
      <c r="N9211" s="362">
        <f t="shared" si="315"/>
        <v>0</v>
      </c>
      <c r="O9211" s="353"/>
    </row>
    <row r="9212" ht="15" customHeight="1" spans="1:14">
      <c r="A9212" s="348">
        <v>2024296</v>
      </c>
      <c r="B9212" s="334" t="s">
        <v>335</v>
      </c>
      <c r="C9212" s="348" t="s">
        <v>148</v>
      </c>
      <c r="D9212" s="334" t="s">
        <v>33</v>
      </c>
      <c r="E9212" s="336">
        <v>43809</v>
      </c>
      <c r="F9212" s="336">
        <v>43800</v>
      </c>
      <c r="G9212" s="336">
        <v>43807</v>
      </c>
      <c r="H9212" s="334" t="s">
        <v>19159</v>
      </c>
      <c r="I9212" s="444">
        <v>15921352183</v>
      </c>
      <c r="J9212" s="444" t="s">
        <v>19160</v>
      </c>
      <c r="K9212" s="356">
        <v>1000</v>
      </c>
      <c r="L9212" s="334">
        <v>12861</v>
      </c>
      <c r="N9212" s="362">
        <f t="shared" si="315"/>
        <v>12861</v>
      </c>
    </row>
    <row r="9213" ht="15" customHeight="1" spans="1:15">
      <c r="A9213" s="348"/>
      <c r="B9213" s="334" t="s">
        <v>5336</v>
      </c>
      <c r="C9213" s="334" t="s">
        <v>5336</v>
      </c>
      <c r="D9213" s="334" t="s">
        <v>8334</v>
      </c>
      <c r="E9213" s="336">
        <v>43801</v>
      </c>
      <c r="F9213" s="336">
        <v>43801</v>
      </c>
      <c r="G9213" s="399"/>
      <c r="H9213" s="334" t="s">
        <v>1728</v>
      </c>
      <c r="I9213" s="444">
        <v>18926085980</v>
      </c>
      <c r="J9213" s="444" t="s">
        <v>19161</v>
      </c>
      <c r="K9213" s="356">
        <v>6989</v>
      </c>
      <c r="N9213" s="362">
        <f t="shared" si="315"/>
        <v>0</v>
      </c>
      <c r="O9213" s="353" t="s">
        <v>52</v>
      </c>
    </row>
    <row r="9214" ht="15" customHeight="1" spans="1:14">
      <c r="A9214" s="550" t="s">
        <v>12081</v>
      </c>
      <c r="B9214" s="334" t="s">
        <v>137</v>
      </c>
      <c r="C9214" s="348" t="s">
        <v>406</v>
      </c>
      <c r="D9214" s="335" t="s">
        <v>443</v>
      </c>
      <c r="E9214" s="336">
        <v>43806</v>
      </c>
      <c r="F9214" s="336">
        <v>43801</v>
      </c>
      <c r="G9214" s="336">
        <v>43806</v>
      </c>
      <c r="H9214" s="334" t="s">
        <v>19162</v>
      </c>
      <c r="I9214" s="444">
        <v>17891978430</v>
      </c>
      <c r="J9214" s="444" t="s">
        <v>19163</v>
      </c>
      <c r="K9214" s="356">
        <v>1000</v>
      </c>
      <c r="L9214" s="334">
        <v>10164</v>
      </c>
      <c r="N9214" s="362">
        <f t="shared" si="315"/>
        <v>10164</v>
      </c>
    </row>
    <row r="9215" ht="15" customHeight="1" spans="1:14">
      <c r="A9215" s="550" t="s">
        <v>19164</v>
      </c>
      <c r="B9215" s="334" t="s">
        <v>236</v>
      </c>
      <c r="C9215" s="348" t="s">
        <v>195</v>
      </c>
      <c r="D9215" s="334" t="s">
        <v>207</v>
      </c>
      <c r="E9215" s="336">
        <v>43809</v>
      </c>
      <c r="F9215" s="336">
        <v>43795</v>
      </c>
      <c r="G9215" s="336">
        <v>43808</v>
      </c>
      <c r="H9215" s="334" t="s">
        <v>19165</v>
      </c>
      <c r="I9215" s="444">
        <v>13916021705</v>
      </c>
      <c r="J9215" s="444" t="s">
        <v>19166</v>
      </c>
      <c r="K9215" s="356">
        <v>1000</v>
      </c>
      <c r="L9215" s="334">
        <v>33418</v>
      </c>
      <c r="N9215" s="362">
        <f t="shared" si="315"/>
        <v>33418</v>
      </c>
    </row>
    <row r="9216" ht="15" customHeight="1" spans="1:21">
      <c r="A9216" s="550" t="s">
        <v>19167</v>
      </c>
      <c r="B9216" s="334" t="s">
        <v>123</v>
      </c>
      <c r="C9216" s="348" t="s">
        <v>902</v>
      </c>
      <c r="D9216" s="335" t="s">
        <v>125</v>
      </c>
      <c r="E9216" s="336">
        <v>43801</v>
      </c>
      <c r="F9216" s="336">
        <v>43771</v>
      </c>
      <c r="G9216" s="399"/>
      <c r="H9216" s="334" t="s">
        <v>19168</v>
      </c>
      <c r="I9216" s="444">
        <v>13916383929</v>
      </c>
      <c r="J9216" s="444" t="s">
        <v>19169</v>
      </c>
      <c r="K9216" s="356">
        <v>1000</v>
      </c>
      <c r="N9216" s="362">
        <f t="shared" si="315"/>
        <v>0</v>
      </c>
      <c r="P9216" s="467" t="s">
        <v>52</v>
      </c>
      <c r="U9216" s="353" t="s">
        <v>40</v>
      </c>
    </row>
    <row r="9217" ht="15" customHeight="1" spans="1:22">
      <c r="A9217" s="348">
        <v>2067163</v>
      </c>
      <c r="B9217" s="334" t="s">
        <v>123</v>
      </c>
      <c r="C9217" s="348" t="s">
        <v>902</v>
      </c>
      <c r="D9217" s="335" t="s">
        <v>125</v>
      </c>
      <c r="E9217" s="336">
        <v>43801</v>
      </c>
      <c r="F9217" s="336">
        <v>43800</v>
      </c>
      <c r="G9217" s="399"/>
      <c r="H9217" s="334" t="s">
        <v>19170</v>
      </c>
      <c r="I9217" s="444">
        <v>18621772299</v>
      </c>
      <c r="J9217" s="444" t="s">
        <v>19171</v>
      </c>
      <c r="K9217" s="356">
        <v>1000</v>
      </c>
      <c r="N9217" s="362">
        <f t="shared" si="315"/>
        <v>0</v>
      </c>
      <c r="U9217" s="353" t="s">
        <v>40</v>
      </c>
      <c r="V9217" s="353"/>
    </row>
    <row r="9218" ht="15" customHeight="1" spans="1:14">
      <c r="A9218" s="348"/>
      <c r="B9218" s="334" t="s">
        <v>5336</v>
      </c>
      <c r="C9218" s="334" t="s">
        <v>5336</v>
      </c>
      <c r="D9218" s="334" t="s">
        <v>8334</v>
      </c>
      <c r="E9218" s="336">
        <v>43801</v>
      </c>
      <c r="F9218" s="336">
        <v>43801</v>
      </c>
      <c r="G9218" s="399">
        <v>43796</v>
      </c>
      <c r="H9218" s="334" t="s">
        <v>19172</v>
      </c>
      <c r="I9218" s="444">
        <v>18926085980</v>
      </c>
      <c r="J9218" s="444" t="s">
        <v>19161</v>
      </c>
      <c r="K9218" s="356">
        <v>19865</v>
      </c>
      <c r="L9218" s="334">
        <v>18959</v>
      </c>
      <c r="N9218" s="362">
        <f t="shared" si="315"/>
        <v>18959</v>
      </c>
    </row>
    <row r="9219" ht="15" customHeight="1" spans="1:14">
      <c r="A9219" s="550" t="s">
        <v>11956</v>
      </c>
      <c r="B9219" s="334" t="s">
        <v>137</v>
      </c>
      <c r="C9219" s="348" t="s">
        <v>480</v>
      </c>
      <c r="D9219" s="334" t="s">
        <v>139</v>
      </c>
      <c r="E9219" s="336">
        <v>43801</v>
      </c>
      <c r="F9219" s="336">
        <v>43801</v>
      </c>
      <c r="G9219" s="399">
        <v>43801</v>
      </c>
      <c r="H9219" s="334" t="s">
        <v>19173</v>
      </c>
      <c r="I9219" s="444">
        <v>18500398995</v>
      </c>
      <c r="J9219" s="444" t="s">
        <v>19174</v>
      </c>
      <c r="K9219" s="356">
        <v>25190</v>
      </c>
      <c r="L9219" s="334">
        <v>25190</v>
      </c>
      <c r="N9219" s="362">
        <f t="shared" si="315"/>
        <v>25190</v>
      </c>
    </row>
    <row r="9220" ht="15" customHeight="1" spans="2:14">
      <c r="B9220" s="334" t="s">
        <v>66</v>
      </c>
      <c r="C9220" s="334" t="s">
        <v>1749</v>
      </c>
      <c r="D9220" s="334" t="s">
        <v>2302</v>
      </c>
      <c r="E9220" s="336">
        <v>43801</v>
      </c>
      <c r="G9220" s="336">
        <v>43800</v>
      </c>
      <c r="H9220" s="334" t="s">
        <v>12744</v>
      </c>
      <c r="I9220" s="444">
        <v>13918394875</v>
      </c>
      <c r="J9220" s="334" t="s">
        <v>12745</v>
      </c>
      <c r="M9220" s="334">
        <v>-1166</v>
      </c>
      <c r="N9220" s="362">
        <f t="shared" ref="N9220:N9229" si="316">L9220+M9220</f>
        <v>-1166</v>
      </c>
    </row>
    <row r="9221" ht="15" customHeight="1" spans="2:14">
      <c r="B9221" s="334" t="s">
        <v>73</v>
      </c>
      <c r="C9221" s="334" t="s">
        <v>74</v>
      </c>
      <c r="D9221" s="334" t="s">
        <v>427</v>
      </c>
      <c r="E9221" s="336">
        <v>43801</v>
      </c>
      <c r="G9221" s="336">
        <v>43800</v>
      </c>
      <c r="H9221" s="334" t="s">
        <v>12056</v>
      </c>
      <c r="I9221" s="426">
        <v>13901932254</v>
      </c>
      <c r="J9221" s="426" t="s">
        <v>19175</v>
      </c>
      <c r="M9221" s="334">
        <v>-7780</v>
      </c>
      <c r="N9221" s="362">
        <f t="shared" si="316"/>
        <v>-7780</v>
      </c>
    </row>
    <row r="9222" ht="15" customHeight="1" spans="2:14">
      <c r="B9222" s="334" t="s">
        <v>73</v>
      </c>
      <c r="C9222" s="334" t="s">
        <v>74</v>
      </c>
      <c r="D9222" s="334" t="s">
        <v>717</v>
      </c>
      <c r="E9222" s="336">
        <v>43801</v>
      </c>
      <c r="G9222" s="336">
        <v>43800</v>
      </c>
      <c r="H9222" s="334" t="s">
        <v>19176</v>
      </c>
      <c r="I9222" s="444">
        <v>15000636914</v>
      </c>
      <c r="J9222" s="334" t="s">
        <v>9927</v>
      </c>
      <c r="M9222" s="334">
        <v>-2507</v>
      </c>
      <c r="N9222" s="362">
        <f t="shared" si="316"/>
        <v>-2507</v>
      </c>
    </row>
    <row r="9223" ht="15" customHeight="1" spans="2:14">
      <c r="B9223" s="334" t="s">
        <v>236</v>
      </c>
      <c r="C9223" s="334" t="s">
        <v>195</v>
      </c>
      <c r="D9223" s="334" t="s">
        <v>125</v>
      </c>
      <c r="E9223" s="336">
        <v>43801</v>
      </c>
      <c r="G9223" s="336">
        <v>43798</v>
      </c>
      <c r="H9223" s="334" t="s">
        <v>1212</v>
      </c>
      <c r="I9223" s="444">
        <v>13671560710</v>
      </c>
      <c r="J9223" s="348" t="s">
        <v>19073</v>
      </c>
      <c r="M9223" s="334">
        <v>1575</v>
      </c>
      <c r="N9223" s="362">
        <f t="shared" si="316"/>
        <v>1575</v>
      </c>
    </row>
    <row r="9224" ht="15" customHeight="1" spans="2:14">
      <c r="B9224" s="334" t="s">
        <v>185</v>
      </c>
      <c r="C9224" s="334" t="s">
        <v>4146</v>
      </c>
      <c r="D9224" s="334" t="s">
        <v>187</v>
      </c>
      <c r="E9224" s="336">
        <v>43801</v>
      </c>
      <c r="G9224" s="336">
        <v>43800</v>
      </c>
      <c r="H9224" s="334" t="s">
        <v>19177</v>
      </c>
      <c r="I9224" s="444">
        <v>13653618399</v>
      </c>
      <c r="J9224" s="334" t="s">
        <v>8353</v>
      </c>
      <c r="M9224" s="334">
        <v>500</v>
      </c>
      <c r="N9224" s="362">
        <f t="shared" si="316"/>
        <v>500</v>
      </c>
    </row>
    <row r="9225" ht="15" customHeight="1" spans="2:14">
      <c r="B9225" s="334" t="s">
        <v>66</v>
      </c>
      <c r="C9225" s="334" t="s">
        <v>119</v>
      </c>
      <c r="D9225" s="334" t="s">
        <v>1436</v>
      </c>
      <c r="E9225" s="336">
        <v>43801</v>
      </c>
      <c r="G9225" s="336">
        <v>43800</v>
      </c>
      <c r="H9225" s="334" t="s">
        <v>16076</v>
      </c>
      <c r="I9225" s="444">
        <v>13501771448</v>
      </c>
      <c r="J9225" s="438" t="s">
        <v>16077</v>
      </c>
      <c r="M9225" s="334">
        <v>9557</v>
      </c>
      <c r="N9225" s="362">
        <f t="shared" si="316"/>
        <v>9557</v>
      </c>
    </row>
    <row r="9226" ht="15" customHeight="1" spans="2:14">
      <c r="B9226" s="334" t="s">
        <v>42</v>
      </c>
      <c r="C9226" s="334" t="s">
        <v>43</v>
      </c>
      <c r="D9226" s="334" t="s">
        <v>125</v>
      </c>
      <c r="E9226" s="336">
        <v>43801</v>
      </c>
      <c r="G9226" s="336">
        <v>43799</v>
      </c>
      <c r="H9226" s="334" t="s">
        <v>2005</v>
      </c>
      <c r="I9226" s="444">
        <v>13973850689</v>
      </c>
      <c r="J9226" s="334" t="s">
        <v>19100</v>
      </c>
      <c r="M9226" s="334">
        <v>-200</v>
      </c>
      <c r="N9226" s="362">
        <f t="shared" si="316"/>
        <v>-200</v>
      </c>
    </row>
    <row r="9227" ht="15" customHeight="1" spans="2:14">
      <c r="B9227" s="334" t="s">
        <v>153</v>
      </c>
      <c r="C9227" s="334" t="s">
        <v>154</v>
      </c>
      <c r="D9227" s="334" t="s">
        <v>155</v>
      </c>
      <c r="E9227" s="336">
        <v>43801</v>
      </c>
      <c r="G9227" s="336">
        <v>43801</v>
      </c>
      <c r="H9227" s="334" t="s">
        <v>16921</v>
      </c>
      <c r="I9227" s="444">
        <v>15800866726</v>
      </c>
      <c r="J9227" s="438" t="s">
        <v>16922</v>
      </c>
      <c r="M9227" s="334">
        <v>15196</v>
      </c>
      <c r="N9227" s="362">
        <f t="shared" si="316"/>
        <v>15196</v>
      </c>
    </row>
    <row r="9228" ht="15" customHeight="1" spans="2:14">
      <c r="B9228" s="334" t="s">
        <v>185</v>
      </c>
      <c r="C9228" s="334" t="s">
        <v>186</v>
      </c>
      <c r="D9228" s="334" t="s">
        <v>44</v>
      </c>
      <c r="E9228" s="336">
        <v>43801</v>
      </c>
      <c r="G9228" s="336">
        <v>43801</v>
      </c>
      <c r="H9228" s="334" t="s">
        <v>16440</v>
      </c>
      <c r="I9228" s="444">
        <v>13801747042</v>
      </c>
      <c r="J9228" s="445" t="s">
        <v>16441</v>
      </c>
      <c r="M9228" s="334">
        <v>4806</v>
      </c>
      <c r="N9228" s="362">
        <f t="shared" si="316"/>
        <v>4806</v>
      </c>
    </row>
    <row r="9229" ht="15" customHeight="1" spans="2:14">
      <c r="B9229" s="334" t="s">
        <v>805</v>
      </c>
      <c r="C9229" s="348" t="s">
        <v>4935</v>
      </c>
      <c r="D9229" s="335" t="s">
        <v>171</v>
      </c>
      <c r="E9229" s="336">
        <v>43800</v>
      </c>
      <c r="G9229" s="336">
        <v>43797</v>
      </c>
      <c r="H9229" s="334" t="s">
        <v>18162</v>
      </c>
      <c r="I9229" s="444">
        <v>15601907767</v>
      </c>
      <c r="J9229" s="348" t="s">
        <v>18163</v>
      </c>
      <c r="M9229" s="334">
        <v>1033</v>
      </c>
      <c r="N9229" s="362">
        <f t="shared" si="316"/>
        <v>1033</v>
      </c>
    </row>
    <row r="9230" ht="15" customHeight="1" spans="2:14">
      <c r="B9230" s="334" t="s">
        <v>58</v>
      </c>
      <c r="C9230" s="348" t="s">
        <v>342</v>
      </c>
      <c r="D9230" s="334" t="s">
        <v>343</v>
      </c>
      <c r="E9230" s="393">
        <v>43799</v>
      </c>
      <c r="G9230" s="393" t="s">
        <v>40</v>
      </c>
      <c r="H9230" s="334" t="s">
        <v>995</v>
      </c>
      <c r="I9230" s="444">
        <v>13661957311</v>
      </c>
      <c r="J9230" s="348" t="s">
        <v>996</v>
      </c>
      <c r="M9230" s="334">
        <v>-444</v>
      </c>
      <c r="N9230" s="362">
        <f t="shared" ref="N9230:N9261" si="317">L9230+M9230</f>
        <v>-444</v>
      </c>
    </row>
    <row r="9231" ht="15" customHeight="1" spans="2:14">
      <c r="B9231" s="334" t="s">
        <v>58</v>
      </c>
      <c r="C9231" s="334" t="s">
        <v>59</v>
      </c>
      <c r="D9231" s="334" t="s">
        <v>271</v>
      </c>
      <c r="E9231" s="393">
        <v>43799</v>
      </c>
      <c r="G9231" s="393" t="s">
        <v>40</v>
      </c>
      <c r="H9231" s="334" t="s">
        <v>9630</v>
      </c>
      <c r="I9231" s="444">
        <v>13310031582</v>
      </c>
      <c r="J9231" s="334" t="s">
        <v>19178</v>
      </c>
      <c r="M9231" s="334">
        <v>-717</v>
      </c>
      <c r="N9231" s="362">
        <f t="shared" si="317"/>
        <v>-717</v>
      </c>
    </row>
    <row r="9232" ht="15" customHeight="1" spans="2:14">
      <c r="B9232" s="334" t="s">
        <v>58</v>
      </c>
      <c r="C9232" s="334" t="s">
        <v>109</v>
      </c>
      <c r="D9232" s="334" t="s">
        <v>110</v>
      </c>
      <c r="E9232" s="393">
        <v>43799</v>
      </c>
      <c r="G9232" s="393" t="s">
        <v>40</v>
      </c>
      <c r="H9232" s="334" t="s">
        <v>3091</v>
      </c>
      <c r="I9232" s="444">
        <v>13818066340</v>
      </c>
      <c r="J9232" s="348" t="s">
        <v>3092</v>
      </c>
      <c r="M9232" s="334">
        <v>-87</v>
      </c>
      <c r="N9232" s="362">
        <f t="shared" si="317"/>
        <v>-87</v>
      </c>
    </row>
    <row r="9233" ht="15" customHeight="1" spans="2:14">
      <c r="B9233" s="334" t="s">
        <v>58</v>
      </c>
      <c r="C9233" s="334" t="s">
        <v>342</v>
      </c>
      <c r="D9233" s="334" t="s">
        <v>110</v>
      </c>
      <c r="E9233" s="393">
        <v>43799</v>
      </c>
      <c r="G9233" s="393" t="s">
        <v>40</v>
      </c>
      <c r="H9233" s="334" t="s">
        <v>8586</v>
      </c>
      <c r="I9233" s="444">
        <v>18321979686</v>
      </c>
      <c r="J9233" s="348" t="s">
        <v>8587</v>
      </c>
      <c r="M9233" s="334">
        <v>-512</v>
      </c>
      <c r="N9233" s="362">
        <f t="shared" si="317"/>
        <v>-512</v>
      </c>
    </row>
    <row r="9234" ht="15" customHeight="1" spans="2:14">
      <c r="B9234" s="334" t="s">
        <v>58</v>
      </c>
      <c r="C9234" s="334" t="s">
        <v>342</v>
      </c>
      <c r="D9234" s="334" t="s">
        <v>343</v>
      </c>
      <c r="E9234" s="393">
        <v>43799</v>
      </c>
      <c r="G9234" s="393" t="s">
        <v>40</v>
      </c>
      <c r="H9234" s="334" t="s">
        <v>7448</v>
      </c>
      <c r="I9234" s="444">
        <v>13564818731</v>
      </c>
      <c r="J9234" s="334" t="s">
        <v>19179</v>
      </c>
      <c r="M9234" s="334">
        <v>-779</v>
      </c>
      <c r="N9234" s="362">
        <f t="shared" si="317"/>
        <v>-779</v>
      </c>
    </row>
    <row r="9235" ht="15" customHeight="1" spans="2:14">
      <c r="B9235" s="334" t="s">
        <v>58</v>
      </c>
      <c r="C9235" s="334" t="s">
        <v>342</v>
      </c>
      <c r="D9235" s="334" t="s">
        <v>343</v>
      </c>
      <c r="E9235" s="393">
        <v>43799</v>
      </c>
      <c r="G9235" s="393" t="s">
        <v>40</v>
      </c>
      <c r="H9235" s="334" t="s">
        <v>19180</v>
      </c>
      <c r="I9235" s="334">
        <v>13501813505</v>
      </c>
      <c r="J9235" s="348" t="s">
        <v>7897</v>
      </c>
      <c r="M9235" s="334">
        <v>-495</v>
      </c>
      <c r="N9235" s="362">
        <f t="shared" si="317"/>
        <v>-495</v>
      </c>
    </row>
    <row r="9236" ht="15" customHeight="1" spans="2:14">
      <c r="B9236" s="334" t="s">
        <v>31</v>
      </c>
      <c r="C9236" s="334" t="s">
        <v>251</v>
      </c>
      <c r="D9236" s="334" t="s">
        <v>33</v>
      </c>
      <c r="E9236" s="393">
        <v>43799</v>
      </c>
      <c r="G9236" s="393" t="s">
        <v>40</v>
      </c>
      <c r="H9236" s="334" t="s">
        <v>6501</v>
      </c>
      <c r="I9236" s="444">
        <v>13918033316</v>
      </c>
      <c r="J9236" s="348" t="s">
        <v>6502</v>
      </c>
      <c r="M9236" s="334">
        <v>-683</v>
      </c>
      <c r="N9236" s="362">
        <f t="shared" si="317"/>
        <v>-683</v>
      </c>
    </row>
    <row r="9237" ht="15" customHeight="1" spans="2:14">
      <c r="B9237" s="334" t="s">
        <v>31</v>
      </c>
      <c r="C9237" s="334" t="s">
        <v>220</v>
      </c>
      <c r="D9237" s="334" t="s">
        <v>221</v>
      </c>
      <c r="E9237" s="393">
        <v>43799</v>
      </c>
      <c r="G9237" s="393" t="s">
        <v>40</v>
      </c>
      <c r="H9237" s="334" t="s">
        <v>8452</v>
      </c>
      <c r="I9237" s="444">
        <v>13818978917</v>
      </c>
      <c r="J9237" s="334" t="s">
        <v>11272</v>
      </c>
      <c r="M9237" s="334">
        <v>-284</v>
      </c>
      <c r="N9237" s="362">
        <f t="shared" si="317"/>
        <v>-284</v>
      </c>
    </row>
    <row r="9238" ht="15" customHeight="1" spans="2:14">
      <c r="B9238" s="334" t="s">
        <v>31</v>
      </c>
      <c r="C9238" s="334" t="s">
        <v>2716</v>
      </c>
      <c r="D9238" s="334" t="s">
        <v>33</v>
      </c>
      <c r="E9238" s="393">
        <v>43799</v>
      </c>
      <c r="G9238" s="393" t="s">
        <v>40</v>
      </c>
      <c r="H9238" s="334" t="s">
        <v>4373</v>
      </c>
      <c r="I9238" s="444">
        <v>13764662221</v>
      </c>
      <c r="J9238" s="348" t="s">
        <v>15327</v>
      </c>
      <c r="M9238" s="334">
        <v>-615</v>
      </c>
      <c r="N9238" s="362">
        <f t="shared" si="317"/>
        <v>-615</v>
      </c>
    </row>
    <row r="9239" ht="15" customHeight="1" spans="2:14">
      <c r="B9239" s="334" t="s">
        <v>31</v>
      </c>
      <c r="C9239" s="334" t="s">
        <v>2716</v>
      </c>
      <c r="D9239" s="334" t="s">
        <v>954</v>
      </c>
      <c r="E9239" s="393">
        <v>43799</v>
      </c>
      <c r="G9239" s="393" t="s">
        <v>40</v>
      </c>
      <c r="H9239" s="334" t="s">
        <v>19181</v>
      </c>
      <c r="I9239" s="444">
        <v>13901811361</v>
      </c>
      <c r="J9239" s="334" t="s">
        <v>19182</v>
      </c>
      <c r="M9239" s="334">
        <v>-205</v>
      </c>
      <c r="N9239" s="362">
        <f t="shared" si="317"/>
        <v>-205</v>
      </c>
    </row>
    <row r="9240" ht="15" customHeight="1" spans="2:14">
      <c r="B9240" s="334" t="s">
        <v>31</v>
      </c>
      <c r="C9240" s="348" t="s">
        <v>377</v>
      </c>
      <c r="D9240" s="334" t="s">
        <v>221</v>
      </c>
      <c r="E9240" s="393">
        <v>43799</v>
      </c>
      <c r="G9240" s="393" t="s">
        <v>40</v>
      </c>
      <c r="H9240" s="334" t="s">
        <v>5098</v>
      </c>
      <c r="I9240" s="444">
        <v>13816966578</v>
      </c>
      <c r="J9240" s="348" t="s">
        <v>5099</v>
      </c>
      <c r="M9240" s="334">
        <v>-1476</v>
      </c>
      <c r="N9240" s="362">
        <f t="shared" si="317"/>
        <v>-1476</v>
      </c>
    </row>
    <row r="9241" ht="15" customHeight="1" spans="2:14">
      <c r="B9241" s="334" t="s">
        <v>31</v>
      </c>
      <c r="C9241" s="334" t="s">
        <v>419</v>
      </c>
      <c r="D9241" s="334" t="s">
        <v>221</v>
      </c>
      <c r="E9241" s="393">
        <v>43799</v>
      </c>
      <c r="G9241" s="393" t="s">
        <v>40</v>
      </c>
      <c r="H9241" s="334" t="s">
        <v>7198</v>
      </c>
      <c r="I9241" s="444">
        <v>13764456285</v>
      </c>
      <c r="J9241" s="334" t="s">
        <v>13226</v>
      </c>
      <c r="M9241" s="334">
        <v>-492</v>
      </c>
      <c r="N9241" s="362">
        <f t="shared" si="317"/>
        <v>-492</v>
      </c>
    </row>
    <row r="9242" ht="15" customHeight="1" spans="2:14">
      <c r="B9242" s="334" t="s">
        <v>31</v>
      </c>
      <c r="C9242" s="334" t="s">
        <v>32</v>
      </c>
      <c r="D9242" s="334" t="s">
        <v>182</v>
      </c>
      <c r="E9242" s="393">
        <v>43799</v>
      </c>
      <c r="G9242" s="393" t="s">
        <v>40</v>
      </c>
      <c r="H9242" s="334" t="s">
        <v>6416</v>
      </c>
      <c r="I9242" s="444">
        <v>15221262669</v>
      </c>
      <c r="J9242" s="348" t="s">
        <v>6418</v>
      </c>
      <c r="M9242" s="334">
        <v>-263</v>
      </c>
      <c r="N9242" s="362">
        <f t="shared" si="317"/>
        <v>-263</v>
      </c>
    </row>
    <row r="9243" ht="15" customHeight="1" spans="2:14">
      <c r="B9243" s="334" t="s">
        <v>31</v>
      </c>
      <c r="C9243" s="348" t="s">
        <v>220</v>
      </c>
      <c r="D9243" s="334" t="s">
        <v>33</v>
      </c>
      <c r="E9243" s="393">
        <v>43799</v>
      </c>
      <c r="G9243" s="393" t="s">
        <v>40</v>
      </c>
      <c r="H9243" s="334" t="s">
        <v>4993</v>
      </c>
      <c r="I9243" s="444">
        <v>13681928004</v>
      </c>
      <c r="J9243" s="348" t="s">
        <v>19183</v>
      </c>
      <c r="M9243" s="334">
        <v>-274</v>
      </c>
      <c r="N9243" s="362">
        <f t="shared" si="317"/>
        <v>-274</v>
      </c>
    </row>
    <row r="9244" ht="15" customHeight="1" spans="2:14">
      <c r="B9244" s="334" t="s">
        <v>31</v>
      </c>
      <c r="C9244" s="334" t="s">
        <v>251</v>
      </c>
      <c r="D9244" s="334" t="s">
        <v>221</v>
      </c>
      <c r="E9244" s="393">
        <v>43799</v>
      </c>
      <c r="G9244" s="393" t="s">
        <v>40</v>
      </c>
      <c r="H9244" s="334" t="s">
        <v>10592</v>
      </c>
      <c r="I9244" s="444">
        <v>13482738854</v>
      </c>
      <c r="J9244" s="334" t="s">
        <v>10593</v>
      </c>
      <c r="M9244" s="334">
        <v>-409</v>
      </c>
      <c r="N9244" s="362">
        <f t="shared" si="317"/>
        <v>-409</v>
      </c>
    </row>
    <row r="9245" ht="15" customHeight="1" spans="2:14">
      <c r="B9245" s="334" t="s">
        <v>31</v>
      </c>
      <c r="C9245" s="334" t="s">
        <v>419</v>
      </c>
      <c r="D9245" s="334" t="s">
        <v>33</v>
      </c>
      <c r="E9245" s="393">
        <v>43799</v>
      </c>
      <c r="G9245" s="393" t="s">
        <v>40</v>
      </c>
      <c r="H9245" s="269" t="s">
        <v>2481</v>
      </c>
      <c r="I9245" s="444">
        <v>13651869098</v>
      </c>
      <c r="J9245" s="348" t="s">
        <v>2482</v>
      </c>
      <c r="M9245" s="334">
        <v>-671</v>
      </c>
      <c r="N9245" s="362">
        <f t="shared" si="317"/>
        <v>-671</v>
      </c>
    </row>
    <row r="9246" ht="15" customHeight="1" spans="2:14">
      <c r="B9246" s="334" t="s">
        <v>31</v>
      </c>
      <c r="C9246" s="348" t="s">
        <v>115</v>
      </c>
      <c r="D9246" s="334" t="s">
        <v>221</v>
      </c>
      <c r="E9246" s="393">
        <v>43799</v>
      </c>
      <c r="G9246" s="393" t="s">
        <v>40</v>
      </c>
      <c r="H9246" s="495" t="s">
        <v>19184</v>
      </c>
      <c r="I9246" s="444">
        <v>18930188691</v>
      </c>
      <c r="J9246" s="496" t="s">
        <v>19185</v>
      </c>
      <c r="M9246" s="334">
        <v>-1175</v>
      </c>
      <c r="N9246" s="362">
        <f t="shared" si="317"/>
        <v>-1175</v>
      </c>
    </row>
    <row r="9247" ht="15" customHeight="1" spans="2:14">
      <c r="B9247" s="334" t="s">
        <v>31</v>
      </c>
      <c r="C9247" s="334" t="s">
        <v>32</v>
      </c>
      <c r="D9247" s="334" t="s">
        <v>33</v>
      </c>
      <c r="E9247" s="393">
        <v>43799</v>
      </c>
      <c r="G9247" s="393" t="s">
        <v>40</v>
      </c>
      <c r="H9247" s="334" t="s">
        <v>2697</v>
      </c>
      <c r="I9247" s="444">
        <v>18621542828</v>
      </c>
      <c r="J9247" s="348" t="s">
        <v>2698</v>
      </c>
      <c r="M9247" s="334">
        <v>-390</v>
      </c>
      <c r="N9247" s="362">
        <f t="shared" si="317"/>
        <v>-390</v>
      </c>
    </row>
    <row r="9248" ht="15" customHeight="1" spans="2:14">
      <c r="B9248" s="334" t="s">
        <v>31</v>
      </c>
      <c r="C9248" s="334" t="s">
        <v>419</v>
      </c>
      <c r="D9248" s="334" t="s">
        <v>33</v>
      </c>
      <c r="E9248" s="393">
        <v>43799</v>
      </c>
      <c r="G9248" s="393" t="s">
        <v>40</v>
      </c>
      <c r="H9248" s="334" t="s">
        <v>8229</v>
      </c>
      <c r="I9248" s="444">
        <v>18705118799</v>
      </c>
      <c r="J9248" s="334" t="s">
        <v>19186</v>
      </c>
      <c r="M9248" s="334">
        <v>-307</v>
      </c>
      <c r="N9248" s="362">
        <f t="shared" si="317"/>
        <v>-307</v>
      </c>
    </row>
    <row r="9249" ht="15" customHeight="1" spans="2:14">
      <c r="B9249" s="334" t="s">
        <v>31</v>
      </c>
      <c r="C9249" s="334" t="s">
        <v>377</v>
      </c>
      <c r="D9249" s="334" t="s">
        <v>221</v>
      </c>
      <c r="E9249" s="393">
        <v>43799</v>
      </c>
      <c r="G9249" s="393" t="s">
        <v>40</v>
      </c>
      <c r="H9249" s="334" t="s">
        <v>3693</v>
      </c>
      <c r="I9249" s="444">
        <v>15121122062</v>
      </c>
      <c r="J9249" s="334" t="s">
        <v>11216</v>
      </c>
      <c r="M9249" s="334">
        <v>-468</v>
      </c>
      <c r="N9249" s="362">
        <f t="shared" si="317"/>
        <v>-468</v>
      </c>
    </row>
    <row r="9250" ht="15" customHeight="1" spans="2:14">
      <c r="B9250" s="334" t="s">
        <v>31</v>
      </c>
      <c r="C9250" s="334" t="s">
        <v>2716</v>
      </c>
      <c r="D9250" s="334" t="s">
        <v>221</v>
      </c>
      <c r="E9250" s="393">
        <v>43799</v>
      </c>
      <c r="G9250" s="393" t="s">
        <v>40</v>
      </c>
      <c r="H9250" s="334" t="s">
        <v>12020</v>
      </c>
      <c r="I9250" s="444">
        <v>13817101938</v>
      </c>
      <c r="J9250" s="334" t="s">
        <v>12021</v>
      </c>
      <c r="M9250" s="334">
        <v>-717</v>
      </c>
      <c r="N9250" s="362">
        <f t="shared" si="317"/>
        <v>-717</v>
      </c>
    </row>
    <row r="9251" ht="15" customHeight="1" spans="2:14">
      <c r="B9251" s="334" t="s">
        <v>31</v>
      </c>
      <c r="C9251" s="334" t="s">
        <v>2716</v>
      </c>
      <c r="D9251" s="334" t="s">
        <v>33</v>
      </c>
      <c r="E9251" s="393">
        <v>43799</v>
      </c>
      <c r="G9251" s="393" t="s">
        <v>40</v>
      </c>
      <c r="H9251" s="334" t="s">
        <v>7330</v>
      </c>
      <c r="I9251" s="444">
        <v>18621999759</v>
      </c>
      <c r="J9251" s="334" t="s">
        <v>19187</v>
      </c>
      <c r="M9251" s="334">
        <v>-205</v>
      </c>
      <c r="N9251" s="362">
        <f t="shared" si="317"/>
        <v>-205</v>
      </c>
    </row>
    <row r="9252" ht="15" customHeight="1" spans="2:14">
      <c r="B9252" s="334" t="s">
        <v>31</v>
      </c>
      <c r="C9252" s="334" t="s">
        <v>419</v>
      </c>
      <c r="D9252" s="334" t="s">
        <v>33</v>
      </c>
      <c r="E9252" s="393">
        <v>43799</v>
      </c>
      <c r="G9252" s="393" t="s">
        <v>40</v>
      </c>
      <c r="H9252" s="334" t="s">
        <v>15110</v>
      </c>
      <c r="I9252" s="444">
        <v>13636471793</v>
      </c>
      <c r="J9252" s="348" t="s">
        <v>15111</v>
      </c>
      <c r="M9252" s="334">
        <v>-1078</v>
      </c>
      <c r="N9252" s="362">
        <f t="shared" si="317"/>
        <v>-1078</v>
      </c>
    </row>
    <row r="9253" ht="15" customHeight="1" spans="2:14">
      <c r="B9253" s="334" t="s">
        <v>31</v>
      </c>
      <c r="C9253" s="334" t="s">
        <v>32</v>
      </c>
      <c r="D9253" s="334" t="s">
        <v>33</v>
      </c>
      <c r="E9253" s="393">
        <v>43799</v>
      </c>
      <c r="G9253" s="393" t="s">
        <v>40</v>
      </c>
      <c r="H9253" s="269" t="s">
        <v>19188</v>
      </c>
      <c r="I9253" s="356">
        <v>13585752584</v>
      </c>
      <c r="J9253" s="348" t="s">
        <v>19189</v>
      </c>
      <c r="M9253" s="334">
        <v>-585</v>
      </c>
      <c r="N9253" s="362">
        <f t="shared" si="317"/>
        <v>-585</v>
      </c>
    </row>
    <row r="9254" ht="15" customHeight="1" spans="2:14">
      <c r="B9254" s="334" t="s">
        <v>169</v>
      </c>
      <c r="C9254" s="425" t="s">
        <v>170</v>
      </c>
      <c r="D9254" s="334" t="s">
        <v>635</v>
      </c>
      <c r="E9254" s="393">
        <v>43799</v>
      </c>
      <c r="G9254" s="393" t="s">
        <v>40</v>
      </c>
      <c r="H9254" s="334" t="s">
        <v>19190</v>
      </c>
      <c r="I9254" s="496">
        <v>18916660520</v>
      </c>
      <c r="J9254" s="496" t="s">
        <v>19191</v>
      </c>
      <c r="M9254" s="334">
        <v>-887</v>
      </c>
      <c r="N9254" s="362">
        <f t="shared" si="317"/>
        <v>-887</v>
      </c>
    </row>
    <row r="9255" ht="15" customHeight="1" spans="2:14">
      <c r="B9255" s="334" t="s">
        <v>169</v>
      </c>
      <c r="C9255" s="334" t="s">
        <v>542</v>
      </c>
      <c r="D9255" s="334" t="s">
        <v>89</v>
      </c>
      <c r="E9255" s="393">
        <v>43799</v>
      </c>
      <c r="G9255" s="393" t="s">
        <v>40</v>
      </c>
      <c r="H9255" s="334" t="s">
        <v>7674</v>
      </c>
      <c r="I9255" s="356">
        <v>18918381001</v>
      </c>
      <c r="J9255" s="348" t="s">
        <v>7675</v>
      </c>
      <c r="M9255" s="334">
        <v>-618</v>
      </c>
      <c r="N9255" s="362">
        <f t="shared" si="317"/>
        <v>-618</v>
      </c>
    </row>
    <row r="9256" ht="15" customHeight="1" spans="2:14">
      <c r="B9256" s="334" t="s">
        <v>169</v>
      </c>
      <c r="C9256" s="334" t="s">
        <v>542</v>
      </c>
      <c r="D9256" s="334" t="s">
        <v>171</v>
      </c>
      <c r="E9256" s="393">
        <v>43799</v>
      </c>
      <c r="G9256" s="393" t="s">
        <v>40</v>
      </c>
      <c r="H9256" s="334" t="s">
        <v>19192</v>
      </c>
      <c r="I9256" s="444">
        <v>13817362072</v>
      </c>
      <c r="J9256" s="348" t="s">
        <v>19193</v>
      </c>
      <c r="M9256" s="334">
        <v>-521</v>
      </c>
      <c r="N9256" s="362">
        <f t="shared" si="317"/>
        <v>-521</v>
      </c>
    </row>
    <row r="9257" ht="15" customHeight="1" spans="2:14">
      <c r="B9257" s="334" t="s">
        <v>169</v>
      </c>
      <c r="C9257" s="348" t="s">
        <v>170</v>
      </c>
      <c r="D9257" s="334" t="s">
        <v>717</v>
      </c>
      <c r="E9257" s="393">
        <v>43799</v>
      </c>
      <c r="G9257" s="393" t="s">
        <v>40</v>
      </c>
      <c r="H9257" s="334" t="s">
        <v>19194</v>
      </c>
      <c r="I9257" s="444">
        <v>13391117778</v>
      </c>
      <c r="J9257" s="348" t="s">
        <v>19195</v>
      </c>
      <c r="M9257" s="334">
        <v>-1059</v>
      </c>
      <c r="N9257" s="362">
        <f t="shared" si="317"/>
        <v>-1059</v>
      </c>
    </row>
    <row r="9258" ht="15" customHeight="1" spans="2:14">
      <c r="B9258" s="334" t="s">
        <v>66</v>
      </c>
      <c r="C9258" s="334" t="s">
        <v>505</v>
      </c>
      <c r="D9258" s="334" t="s">
        <v>143</v>
      </c>
      <c r="E9258" s="393">
        <v>43799</v>
      </c>
      <c r="G9258" s="393" t="s">
        <v>40</v>
      </c>
      <c r="H9258" s="334" t="s">
        <v>7715</v>
      </c>
      <c r="I9258" s="356">
        <v>13501784093</v>
      </c>
      <c r="J9258" s="348" t="s">
        <v>7716</v>
      </c>
      <c r="M9258" s="334">
        <v>-909</v>
      </c>
      <c r="N9258" s="362">
        <f t="shared" si="317"/>
        <v>-909</v>
      </c>
    </row>
    <row r="9259" ht="15" customHeight="1" spans="2:14">
      <c r="B9259" s="334" t="s">
        <v>66</v>
      </c>
      <c r="C9259" s="334" t="s">
        <v>67</v>
      </c>
      <c r="D9259" s="334" t="s">
        <v>1436</v>
      </c>
      <c r="E9259" s="393">
        <v>43799</v>
      </c>
      <c r="G9259" s="393" t="s">
        <v>40</v>
      </c>
      <c r="H9259" s="334" t="s">
        <v>8858</v>
      </c>
      <c r="I9259" s="334">
        <v>15872234648</v>
      </c>
      <c r="J9259" s="334" t="s">
        <v>19196</v>
      </c>
      <c r="M9259" s="334">
        <v>-410</v>
      </c>
      <c r="N9259" s="362">
        <f t="shared" si="317"/>
        <v>-410</v>
      </c>
    </row>
    <row r="9260" ht="15" customHeight="1" spans="2:14">
      <c r="B9260" s="334" t="s">
        <v>66</v>
      </c>
      <c r="C9260" s="334" t="s">
        <v>119</v>
      </c>
      <c r="D9260" s="334" t="s">
        <v>143</v>
      </c>
      <c r="E9260" s="393">
        <v>43799</v>
      </c>
      <c r="G9260" s="393" t="s">
        <v>40</v>
      </c>
      <c r="H9260" s="334" t="s">
        <v>13543</v>
      </c>
      <c r="I9260" s="444">
        <v>13918841795</v>
      </c>
      <c r="J9260" s="348" t="s">
        <v>13544</v>
      </c>
      <c r="M9260" s="334">
        <v>-480</v>
      </c>
      <c r="N9260" s="362">
        <f t="shared" si="317"/>
        <v>-480</v>
      </c>
    </row>
    <row r="9261" ht="15" customHeight="1" spans="2:14">
      <c r="B9261" s="334" t="s">
        <v>66</v>
      </c>
      <c r="C9261" s="334" t="s">
        <v>67</v>
      </c>
      <c r="D9261" s="334" t="s">
        <v>143</v>
      </c>
      <c r="E9261" s="393">
        <v>43799</v>
      </c>
      <c r="G9261" s="393" t="s">
        <v>40</v>
      </c>
      <c r="H9261" s="334" t="s">
        <v>5524</v>
      </c>
      <c r="I9261" s="444">
        <v>13761507741</v>
      </c>
      <c r="J9261" s="348" t="s">
        <v>5525</v>
      </c>
      <c r="M9261" s="334">
        <v>-1484</v>
      </c>
      <c r="N9261" s="362">
        <f t="shared" si="317"/>
        <v>-1484</v>
      </c>
    </row>
    <row r="9262" ht="15" customHeight="1" spans="2:14">
      <c r="B9262" s="334" t="s">
        <v>66</v>
      </c>
      <c r="C9262" s="408" t="s">
        <v>1749</v>
      </c>
      <c r="D9262" s="334" t="s">
        <v>68</v>
      </c>
      <c r="E9262" s="393">
        <v>43799</v>
      </c>
      <c r="G9262" s="393" t="s">
        <v>40</v>
      </c>
      <c r="H9262" s="269" t="s">
        <v>5710</v>
      </c>
      <c r="I9262" s="444">
        <v>17621642299</v>
      </c>
      <c r="J9262" s="348" t="s">
        <v>5711</v>
      </c>
      <c r="M9262" s="334">
        <v>-1030</v>
      </c>
      <c r="N9262" s="362">
        <f t="shared" ref="N9262:N9293" si="318">L9262+M9262</f>
        <v>-1030</v>
      </c>
    </row>
    <row r="9263" ht="15" customHeight="1" spans="2:14">
      <c r="B9263" s="334" t="s">
        <v>66</v>
      </c>
      <c r="C9263" s="334" t="s">
        <v>3954</v>
      </c>
      <c r="D9263" s="334" t="s">
        <v>427</v>
      </c>
      <c r="E9263" s="393">
        <v>43799</v>
      </c>
      <c r="G9263" s="393" t="s">
        <v>40</v>
      </c>
      <c r="H9263" s="334" t="s">
        <v>11352</v>
      </c>
      <c r="I9263" s="444">
        <v>13651889696</v>
      </c>
      <c r="J9263" s="334" t="s">
        <v>19197</v>
      </c>
      <c r="M9263" s="334">
        <v>-459</v>
      </c>
      <c r="N9263" s="362">
        <f t="shared" si="318"/>
        <v>-459</v>
      </c>
    </row>
    <row r="9264" ht="15" customHeight="1" spans="2:14">
      <c r="B9264" s="334" t="s">
        <v>66</v>
      </c>
      <c r="C9264" s="334" t="s">
        <v>119</v>
      </c>
      <c r="D9264" s="334" t="s">
        <v>143</v>
      </c>
      <c r="E9264" s="393">
        <v>43799</v>
      </c>
      <c r="G9264" s="393" t="s">
        <v>40</v>
      </c>
      <c r="H9264" s="334" t="s">
        <v>6317</v>
      </c>
      <c r="I9264" s="444">
        <v>18621974488</v>
      </c>
      <c r="J9264" s="348" t="s">
        <v>19198</v>
      </c>
      <c r="M9264" s="334">
        <v>-332</v>
      </c>
      <c r="N9264" s="362">
        <f t="shared" si="318"/>
        <v>-332</v>
      </c>
    </row>
    <row r="9265" ht="15" customHeight="1" spans="2:14">
      <c r="B9265" s="334" t="s">
        <v>66</v>
      </c>
      <c r="C9265" s="334" t="s">
        <v>505</v>
      </c>
      <c r="D9265" s="334" t="s">
        <v>2302</v>
      </c>
      <c r="E9265" s="393">
        <v>43799</v>
      </c>
      <c r="G9265" s="393" t="s">
        <v>40</v>
      </c>
      <c r="H9265" s="334" t="s">
        <v>14056</v>
      </c>
      <c r="I9265" s="444">
        <v>13917365968</v>
      </c>
      <c r="J9265" s="348" t="s">
        <v>18099</v>
      </c>
      <c r="M9265" s="334">
        <v>0</v>
      </c>
      <c r="N9265" s="362">
        <f t="shared" si="318"/>
        <v>0</v>
      </c>
    </row>
    <row r="9266" ht="15" customHeight="1" spans="2:14">
      <c r="B9266" s="334" t="s">
        <v>66</v>
      </c>
      <c r="C9266" s="334" t="s">
        <v>119</v>
      </c>
      <c r="D9266" s="334" t="s">
        <v>143</v>
      </c>
      <c r="E9266" s="393">
        <v>43799</v>
      </c>
      <c r="G9266" s="393" t="s">
        <v>40</v>
      </c>
      <c r="H9266" s="334" t="s">
        <v>19199</v>
      </c>
      <c r="I9266" s="444">
        <v>13917826407</v>
      </c>
      <c r="J9266" s="348" t="s">
        <v>19200</v>
      </c>
      <c r="M9266" s="334">
        <v>-744</v>
      </c>
      <c r="N9266" s="362">
        <f t="shared" si="318"/>
        <v>-744</v>
      </c>
    </row>
    <row r="9267" ht="15" customHeight="1" spans="2:14">
      <c r="B9267" s="334" t="s">
        <v>66</v>
      </c>
      <c r="C9267" s="334" t="s">
        <v>1749</v>
      </c>
      <c r="D9267" s="334" t="s">
        <v>1436</v>
      </c>
      <c r="E9267" s="393">
        <v>43799</v>
      </c>
      <c r="G9267" s="393" t="s">
        <v>40</v>
      </c>
      <c r="H9267" s="334" t="s">
        <v>11553</v>
      </c>
      <c r="I9267" s="334">
        <v>13917733836</v>
      </c>
      <c r="J9267" s="334" t="s">
        <v>19201</v>
      </c>
      <c r="M9267" s="334">
        <v>-471</v>
      </c>
      <c r="N9267" s="362">
        <f t="shared" si="318"/>
        <v>-471</v>
      </c>
    </row>
    <row r="9268" ht="15" customHeight="1" spans="2:14">
      <c r="B9268" s="334" t="s">
        <v>66</v>
      </c>
      <c r="C9268" s="334" t="s">
        <v>119</v>
      </c>
      <c r="D9268" s="334" t="s">
        <v>68</v>
      </c>
      <c r="E9268" s="393">
        <v>43799</v>
      </c>
      <c r="G9268" s="393" t="s">
        <v>40</v>
      </c>
      <c r="H9268" s="334" t="s">
        <v>6510</v>
      </c>
      <c r="I9268" s="334">
        <v>13585825139</v>
      </c>
      <c r="J9268" s="334" t="s">
        <v>19202</v>
      </c>
      <c r="M9268" s="334">
        <v>-859</v>
      </c>
      <c r="N9268" s="362">
        <f t="shared" si="318"/>
        <v>-859</v>
      </c>
    </row>
    <row r="9269" ht="15" customHeight="1" spans="2:14">
      <c r="B9269" s="334" t="s">
        <v>66</v>
      </c>
      <c r="C9269" s="334" t="s">
        <v>3954</v>
      </c>
      <c r="D9269" s="334" t="s">
        <v>44</v>
      </c>
      <c r="E9269" s="393">
        <v>43799</v>
      </c>
      <c r="G9269" s="393" t="s">
        <v>40</v>
      </c>
      <c r="H9269" s="334" t="s">
        <v>3955</v>
      </c>
      <c r="I9269" s="334">
        <v>13816525076</v>
      </c>
      <c r="J9269" s="334" t="s">
        <v>3956</v>
      </c>
      <c r="M9269" s="334">
        <v>-615</v>
      </c>
      <c r="N9269" s="362">
        <f t="shared" si="318"/>
        <v>-615</v>
      </c>
    </row>
    <row r="9270" ht="15" customHeight="1" spans="2:14">
      <c r="B9270" s="334" t="s">
        <v>66</v>
      </c>
      <c r="C9270" s="348" t="s">
        <v>119</v>
      </c>
      <c r="D9270" s="334" t="s">
        <v>68</v>
      </c>
      <c r="E9270" s="393">
        <v>43799</v>
      </c>
      <c r="G9270" s="393" t="s">
        <v>40</v>
      </c>
      <c r="H9270" s="334" t="s">
        <v>3843</v>
      </c>
      <c r="I9270" s="444">
        <v>13918581368</v>
      </c>
      <c r="J9270" s="348" t="s">
        <v>3844</v>
      </c>
      <c r="M9270" s="334">
        <v>-240</v>
      </c>
      <c r="N9270" s="362">
        <f t="shared" si="318"/>
        <v>-240</v>
      </c>
    </row>
    <row r="9271" ht="15" customHeight="1" spans="2:14">
      <c r="B9271" s="334" t="s">
        <v>66</v>
      </c>
      <c r="C9271" s="334" t="s">
        <v>119</v>
      </c>
      <c r="D9271" s="334" t="s">
        <v>2302</v>
      </c>
      <c r="E9271" s="393">
        <v>43799</v>
      </c>
      <c r="G9271" s="393" t="s">
        <v>40</v>
      </c>
      <c r="H9271" s="334" t="s">
        <v>7533</v>
      </c>
      <c r="I9271" s="444">
        <v>13524358286</v>
      </c>
      <c r="J9271" s="348" t="s">
        <v>7534</v>
      </c>
      <c r="M9271" s="334">
        <v>-1272</v>
      </c>
      <c r="N9271" s="362">
        <f t="shared" si="318"/>
        <v>-1272</v>
      </c>
    </row>
    <row r="9272" ht="15" customHeight="1" spans="2:14">
      <c r="B9272" s="334" t="s">
        <v>66</v>
      </c>
      <c r="C9272" s="334" t="s">
        <v>3954</v>
      </c>
      <c r="D9272" s="334" t="s">
        <v>2302</v>
      </c>
      <c r="E9272" s="393">
        <v>43799</v>
      </c>
      <c r="G9272" s="393" t="s">
        <v>40</v>
      </c>
      <c r="H9272" s="334" t="s">
        <v>13624</v>
      </c>
      <c r="I9272" s="334">
        <v>18665887854</v>
      </c>
      <c r="J9272" s="334" t="s">
        <v>13625</v>
      </c>
      <c r="M9272" s="334">
        <v>-300</v>
      </c>
      <c r="N9272" s="362">
        <f t="shared" si="318"/>
        <v>-300</v>
      </c>
    </row>
    <row r="9273" ht="15" customHeight="1" spans="2:14">
      <c r="B9273" s="334" t="s">
        <v>185</v>
      </c>
      <c r="C9273" s="334" t="s">
        <v>886</v>
      </c>
      <c r="D9273" s="334" t="s">
        <v>187</v>
      </c>
      <c r="E9273" s="393">
        <v>43799</v>
      </c>
      <c r="G9273" s="393" t="s">
        <v>40</v>
      </c>
      <c r="H9273" s="334" t="s">
        <v>6536</v>
      </c>
      <c r="I9273" s="356">
        <v>18062017700</v>
      </c>
      <c r="J9273" s="348" t="s">
        <v>19203</v>
      </c>
      <c r="M9273" s="334">
        <v>-205</v>
      </c>
      <c r="N9273" s="362">
        <f t="shared" si="318"/>
        <v>-205</v>
      </c>
    </row>
    <row r="9274" ht="15" customHeight="1" spans="2:14">
      <c r="B9274" s="334" t="s">
        <v>185</v>
      </c>
      <c r="C9274" s="334" t="s">
        <v>886</v>
      </c>
      <c r="D9274" s="334" t="s">
        <v>187</v>
      </c>
      <c r="E9274" s="393">
        <v>43799</v>
      </c>
      <c r="G9274" s="393" t="s">
        <v>40</v>
      </c>
      <c r="H9274" s="269" t="s">
        <v>4899</v>
      </c>
      <c r="I9274" s="444">
        <v>13611704400</v>
      </c>
      <c r="J9274" s="348" t="s">
        <v>19204</v>
      </c>
      <c r="M9274" s="334">
        <v>-2420</v>
      </c>
      <c r="N9274" s="362">
        <f t="shared" si="318"/>
        <v>-2420</v>
      </c>
    </row>
    <row r="9275" ht="15" customHeight="1" spans="2:14">
      <c r="B9275" s="334" t="s">
        <v>185</v>
      </c>
      <c r="C9275" s="334" t="s">
        <v>186</v>
      </c>
      <c r="D9275" s="334" t="s">
        <v>37</v>
      </c>
      <c r="E9275" s="393">
        <v>43799</v>
      </c>
      <c r="G9275" s="393" t="s">
        <v>40</v>
      </c>
      <c r="H9275" s="334" t="s">
        <v>963</v>
      </c>
      <c r="I9275" s="334">
        <v>15000159852</v>
      </c>
      <c r="J9275" s="334" t="s">
        <v>10694</v>
      </c>
      <c r="M9275" s="334">
        <v>-1127</v>
      </c>
      <c r="N9275" s="362">
        <f t="shared" si="318"/>
        <v>-1127</v>
      </c>
    </row>
    <row r="9276" ht="15" customHeight="1" spans="2:14">
      <c r="B9276" s="334" t="s">
        <v>185</v>
      </c>
      <c r="C9276" s="334" t="s">
        <v>1133</v>
      </c>
      <c r="D9276" s="334" t="s">
        <v>498</v>
      </c>
      <c r="E9276" s="393">
        <v>43799</v>
      </c>
      <c r="G9276" s="393" t="s">
        <v>40</v>
      </c>
      <c r="H9276" s="334" t="s">
        <v>5300</v>
      </c>
      <c r="I9276" s="444">
        <v>13917893482</v>
      </c>
      <c r="J9276" s="334" t="s">
        <v>10693</v>
      </c>
      <c r="M9276" s="334">
        <v>-307</v>
      </c>
      <c r="N9276" s="362">
        <f t="shared" si="318"/>
        <v>-307</v>
      </c>
    </row>
    <row r="9277" ht="15" customHeight="1" spans="2:14">
      <c r="B9277" s="334" t="s">
        <v>185</v>
      </c>
      <c r="C9277" s="334" t="s">
        <v>1204</v>
      </c>
      <c r="D9277" s="334" t="s">
        <v>2302</v>
      </c>
      <c r="E9277" s="393">
        <v>43799</v>
      </c>
      <c r="G9277" s="393" t="s">
        <v>40</v>
      </c>
      <c r="H9277" s="334" t="s">
        <v>2350</v>
      </c>
      <c r="I9277" s="334">
        <v>13816567480</v>
      </c>
      <c r="J9277" s="334" t="s">
        <v>19205</v>
      </c>
      <c r="M9277" s="334">
        <v>-1076</v>
      </c>
      <c r="N9277" s="362">
        <f t="shared" si="318"/>
        <v>-1076</v>
      </c>
    </row>
    <row r="9278" ht="15" customHeight="1" spans="2:14">
      <c r="B9278" s="334" t="s">
        <v>185</v>
      </c>
      <c r="C9278" s="334" t="s">
        <v>886</v>
      </c>
      <c r="D9278" s="334" t="s">
        <v>187</v>
      </c>
      <c r="E9278" s="393">
        <v>43799</v>
      </c>
      <c r="G9278" s="393" t="s">
        <v>40</v>
      </c>
      <c r="H9278" s="334" t="s">
        <v>19206</v>
      </c>
      <c r="I9278" s="334">
        <v>15901878001</v>
      </c>
      <c r="J9278" s="334" t="s">
        <v>19207</v>
      </c>
      <c r="M9278" s="334">
        <v>-268</v>
      </c>
      <c r="N9278" s="362">
        <f t="shared" si="318"/>
        <v>-268</v>
      </c>
    </row>
    <row r="9279" ht="15" customHeight="1" spans="2:14">
      <c r="B9279" s="334" t="s">
        <v>185</v>
      </c>
      <c r="C9279" s="334" t="s">
        <v>886</v>
      </c>
      <c r="D9279" s="334" t="s">
        <v>187</v>
      </c>
      <c r="E9279" s="393">
        <v>43799</v>
      </c>
      <c r="G9279" s="393" t="s">
        <v>40</v>
      </c>
      <c r="H9279" s="334" t="s">
        <v>6072</v>
      </c>
      <c r="I9279" s="334">
        <v>13501674799</v>
      </c>
      <c r="J9279" s="334" t="s">
        <v>19208</v>
      </c>
      <c r="M9279" s="334">
        <v>-795</v>
      </c>
      <c r="N9279" s="362">
        <f t="shared" si="318"/>
        <v>-795</v>
      </c>
    </row>
    <row r="9280" ht="15" customHeight="1" spans="2:14">
      <c r="B9280" s="334" t="s">
        <v>185</v>
      </c>
      <c r="C9280" s="334" t="s">
        <v>1204</v>
      </c>
      <c r="D9280" s="334" t="s">
        <v>44</v>
      </c>
      <c r="E9280" s="393">
        <v>43799</v>
      </c>
      <c r="G9280" s="393" t="s">
        <v>40</v>
      </c>
      <c r="H9280" s="334" t="s">
        <v>8619</v>
      </c>
      <c r="I9280" s="334">
        <v>13321998959</v>
      </c>
      <c r="J9280" s="334" t="s">
        <v>12344</v>
      </c>
      <c r="M9280" s="334">
        <v>-60</v>
      </c>
      <c r="N9280" s="362">
        <f t="shared" si="318"/>
        <v>-60</v>
      </c>
    </row>
    <row r="9281" ht="15" customHeight="1" spans="2:14">
      <c r="B9281" s="334" t="s">
        <v>185</v>
      </c>
      <c r="C9281" s="334" t="s">
        <v>886</v>
      </c>
      <c r="D9281" s="334" t="s">
        <v>187</v>
      </c>
      <c r="E9281" s="393">
        <v>43799</v>
      </c>
      <c r="G9281" s="393" t="s">
        <v>40</v>
      </c>
      <c r="H9281" s="334" t="s">
        <v>12099</v>
      </c>
      <c r="I9281" s="334">
        <v>18321607707</v>
      </c>
      <c r="J9281" s="334" t="s">
        <v>19209</v>
      </c>
      <c r="M9281" s="334">
        <v>-298</v>
      </c>
      <c r="N9281" s="362">
        <f t="shared" si="318"/>
        <v>-298</v>
      </c>
    </row>
    <row r="9282" ht="15" customHeight="1" spans="2:14">
      <c r="B9282" s="334" t="s">
        <v>35</v>
      </c>
      <c r="C9282" s="334" t="s">
        <v>36</v>
      </c>
      <c r="D9282" s="334" t="s">
        <v>37</v>
      </c>
      <c r="E9282" s="393">
        <v>43799</v>
      </c>
      <c r="G9282" s="393" t="s">
        <v>40</v>
      </c>
      <c r="H9282" s="269" t="s">
        <v>2673</v>
      </c>
      <c r="I9282" s="356">
        <v>18016345631</v>
      </c>
      <c r="J9282" s="348" t="s">
        <v>19210</v>
      </c>
      <c r="M9282" s="334">
        <v>-939</v>
      </c>
      <c r="N9282" s="362">
        <f t="shared" si="318"/>
        <v>-939</v>
      </c>
    </row>
    <row r="9283" ht="15" customHeight="1" spans="2:14">
      <c r="B9283" s="334" t="s">
        <v>35</v>
      </c>
      <c r="C9283" s="334" t="s">
        <v>36</v>
      </c>
      <c r="D9283" s="334" t="s">
        <v>37</v>
      </c>
      <c r="E9283" s="393">
        <v>43799</v>
      </c>
      <c r="G9283" s="393" t="s">
        <v>40</v>
      </c>
      <c r="H9283" s="334" t="s">
        <v>4956</v>
      </c>
      <c r="I9283" s="334">
        <v>13801659195</v>
      </c>
      <c r="J9283" s="334" t="s">
        <v>4957</v>
      </c>
      <c r="M9283" s="334">
        <v>-1954</v>
      </c>
      <c r="N9283" s="362">
        <f t="shared" si="318"/>
        <v>-1954</v>
      </c>
    </row>
    <row r="9284" ht="15" customHeight="1" spans="2:14">
      <c r="B9284" s="334" t="s">
        <v>35</v>
      </c>
      <c r="C9284" s="334" t="s">
        <v>36</v>
      </c>
      <c r="D9284" s="334" t="s">
        <v>37</v>
      </c>
      <c r="E9284" s="393">
        <v>43799</v>
      </c>
      <c r="G9284" s="393" t="s">
        <v>40</v>
      </c>
      <c r="H9284" s="334" t="s">
        <v>1265</v>
      </c>
      <c r="I9284" s="444">
        <v>13816700045</v>
      </c>
      <c r="J9284" s="348" t="s">
        <v>19211</v>
      </c>
      <c r="M9284" s="334">
        <v>-1210</v>
      </c>
      <c r="N9284" s="362">
        <f t="shared" si="318"/>
        <v>-1210</v>
      </c>
    </row>
    <row r="9285" ht="15" customHeight="1" spans="2:14">
      <c r="B9285" s="334" t="s">
        <v>35</v>
      </c>
      <c r="C9285" s="334" t="s">
        <v>392</v>
      </c>
      <c r="D9285" s="334" t="s">
        <v>187</v>
      </c>
      <c r="E9285" s="393">
        <v>43799</v>
      </c>
      <c r="G9285" s="393" t="s">
        <v>40</v>
      </c>
      <c r="H9285" s="334" t="s">
        <v>9591</v>
      </c>
      <c r="I9285" s="444">
        <v>18101067467</v>
      </c>
      <c r="J9285" s="334" t="s">
        <v>6407</v>
      </c>
      <c r="M9285" s="334">
        <v>-1947</v>
      </c>
      <c r="N9285" s="362">
        <f t="shared" si="318"/>
        <v>-1947</v>
      </c>
    </row>
    <row r="9286" ht="15" customHeight="1" spans="2:14">
      <c r="B9286" s="334" t="s">
        <v>35</v>
      </c>
      <c r="C9286" s="334" t="s">
        <v>36</v>
      </c>
      <c r="D9286" s="334" t="s">
        <v>37</v>
      </c>
      <c r="E9286" s="393">
        <v>43799</v>
      </c>
      <c r="G9286" s="393" t="s">
        <v>40</v>
      </c>
      <c r="H9286" s="334" t="s">
        <v>10391</v>
      </c>
      <c r="I9286" s="334">
        <v>18521707609</v>
      </c>
      <c r="J9286" s="334" t="s">
        <v>19212</v>
      </c>
      <c r="M9286" s="334">
        <v>-903</v>
      </c>
      <c r="N9286" s="362">
        <f t="shared" si="318"/>
        <v>-903</v>
      </c>
    </row>
    <row r="9287" ht="15" customHeight="1" spans="2:14">
      <c r="B9287" s="334" t="s">
        <v>87</v>
      </c>
      <c r="C9287" s="425" t="s">
        <v>88</v>
      </c>
      <c r="D9287" s="334" t="s">
        <v>143</v>
      </c>
      <c r="E9287" s="393">
        <v>43799</v>
      </c>
      <c r="G9287" s="393" t="s">
        <v>40</v>
      </c>
      <c r="H9287" s="334" t="s">
        <v>19213</v>
      </c>
      <c r="I9287" s="496">
        <v>13816040371</v>
      </c>
      <c r="J9287" s="496" t="s">
        <v>19214</v>
      </c>
      <c r="M9287" s="334">
        <v>-495</v>
      </c>
      <c r="N9287" s="362">
        <f t="shared" si="318"/>
        <v>-495</v>
      </c>
    </row>
    <row r="9288" ht="15" customHeight="1" spans="2:14">
      <c r="B9288" s="334" t="s">
        <v>73</v>
      </c>
      <c r="C9288" s="334" t="s">
        <v>74</v>
      </c>
      <c r="D9288" s="334" t="s">
        <v>143</v>
      </c>
      <c r="E9288" s="393">
        <v>43799</v>
      </c>
      <c r="G9288" s="393" t="s">
        <v>40</v>
      </c>
      <c r="H9288" s="334" t="s">
        <v>8995</v>
      </c>
      <c r="I9288" s="334">
        <v>13162022259</v>
      </c>
      <c r="J9288" s="334" t="s">
        <v>8996</v>
      </c>
      <c r="M9288" s="334">
        <v>-486.78</v>
      </c>
      <c r="N9288" s="362">
        <f t="shared" si="318"/>
        <v>-486.78</v>
      </c>
    </row>
    <row r="9289" ht="15" customHeight="1" spans="2:14">
      <c r="B9289" s="334" t="s">
        <v>73</v>
      </c>
      <c r="C9289" s="334" t="s">
        <v>74</v>
      </c>
      <c r="D9289" s="334" t="s">
        <v>143</v>
      </c>
      <c r="E9289" s="393">
        <v>43799</v>
      </c>
      <c r="G9289" s="393" t="s">
        <v>40</v>
      </c>
      <c r="H9289" s="334" t="s">
        <v>2194</v>
      </c>
      <c r="I9289" s="444">
        <v>13818627434</v>
      </c>
      <c r="J9289" s="348" t="s">
        <v>2195</v>
      </c>
      <c r="M9289" s="334">
        <v>-700</v>
      </c>
      <c r="N9289" s="362">
        <f t="shared" si="318"/>
        <v>-700</v>
      </c>
    </row>
    <row r="9290" ht="15" customHeight="1" spans="2:14">
      <c r="B9290" s="334" t="s">
        <v>73</v>
      </c>
      <c r="C9290" s="334" t="s">
        <v>178</v>
      </c>
      <c r="D9290" s="334" t="s">
        <v>139</v>
      </c>
      <c r="E9290" s="393">
        <v>43799</v>
      </c>
      <c r="G9290" s="393" t="s">
        <v>40</v>
      </c>
      <c r="H9290" s="334" t="s">
        <v>2602</v>
      </c>
      <c r="I9290" s="334">
        <v>13601971575</v>
      </c>
      <c r="J9290" s="334" t="s">
        <v>19215</v>
      </c>
      <c r="M9290" s="334">
        <v>-240</v>
      </c>
      <c r="N9290" s="362">
        <f t="shared" si="318"/>
        <v>-240</v>
      </c>
    </row>
    <row r="9291" ht="15" customHeight="1" spans="2:14">
      <c r="B9291" s="334" t="s">
        <v>315</v>
      </c>
      <c r="C9291" s="334" t="s">
        <v>181</v>
      </c>
      <c r="D9291" s="334" t="s">
        <v>182</v>
      </c>
      <c r="E9291" s="393">
        <v>43799</v>
      </c>
      <c r="G9291" s="393" t="s">
        <v>40</v>
      </c>
      <c r="H9291" s="334" t="s">
        <v>9215</v>
      </c>
      <c r="I9291" s="334">
        <v>13524599670</v>
      </c>
      <c r="J9291" s="334" t="s">
        <v>19216</v>
      </c>
      <c r="M9291" s="334">
        <v>-205</v>
      </c>
      <c r="N9291" s="362">
        <f t="shared" si="318"/>
        <v>-205</v>
      </c>
    </row>
    <row r="9292" ht="15" customHeight="1" spans="2:14">
      <c r="B9292" s="334" t="s">
        <v>315</v>
      </c>
      <c r="C9292" s="334" t="s">
        <v>161</v>
      </c>
      <c r="D9292" s="334" t="s">
        <v>162</v>
      </c>
      <c r="E9292" s="393">
        <v>43799</v>
      </c>
      <c r="G9292" s="393" t="s">
        <v>40</v>
      </c>
      <c r="H9292" s="334" t="s">
        <v>7754</v>
      </c>
      <c r="I9292" s="334">
        <v>18017311110</v>
      </c>
      <c r="J9292" s="334" t="s">
        <v>7755</v>
      </c>
      <c r="M9292" s="334">
        <v>-562</v>
      </c>
      <c r="N9292" s="362">
        <f t="shared" si="318"/>
        <v>-562</v>
      </c>
    </row>
    <row r="9293" ht="15" customHeight="1" spans="2:14">
      <c r="B9293" s="334" t="s">
        <v>315</v>
      </c>
      <c r="C9293" s="334" t="s">
        <v>161</v>
      </c>
      <c r="D9293" s="334" t="s">
        <v>132</v>
      </c>
      <c r="E9293" s="393">
        <v>43799</v>
      </c>
      <c r="G9293" s="393" t="s">
        <v>40</v>
      </c>
      <c r="H9293" s="334" t="s">
        <v>6330</v>
      </c>
      <c r="I9293" s="356">
        <v>13777999101</v>
      </c>
      <c r="J9293" s="348" t="s">
        <v>6331</v>
      </c>
      <c r="M9293" s="334">
        <v>-1167</v>
      </c>
      <c r="N9293" s="362">
        <f t="shared" si="318"/>
        <v>-1167</v>
      </c>
    </row>
    <row r="9294" ht="15" customHeight="1" spans="2:14">
      <c r="B9294" s="334" t="s">
        <v>315</v>
      </c>
      <c r="C9294" s="334" t="s">
        <v>230</v>
      </c>
      <c r="D9294" s="334" t="s">
        <v>132</v>
      </c>
      <c r="E9294" s="393">
        <v>43799</v>
      </c>
      <c r="G9294" s="393" t="s">
        <v>40</v>
      </c>
      <c r="H9294" s="334" t="s">
        <v>9267</v>
      </c>
      <c r="I9294" s="356">
        <v>13916829327</v>
      </c>
      <c r="J9294" s="348" t="s">
        <v>19217</v>
      </c>
      <c r="M9294" s="334">
        <v>-1229</v>
      </c>
      <c r="N9294" s="362">
        <f t="shared" ref="N9294:N9325" si="319">L9294+M9294</f>
        <v>-1229</v>
      </c>
    </row>
    <row r="9295" ht="15" customHeight="1" spans="2:14">
      <c r="B9295" s="334" t="s">
        <v>315</v>
      </c>
      <c r="C9295" s="334" t="s">
        <v>1431</v>
      </c>
      <c r="D9295" s="334" t="s">
        <v>162</v>
      </c>
      <c r="E9295" s="393">
        <v>43799</v>
      </c>
      <c r="G9295" s="393" t="s">
        <v>40</v>
      </c>
      <c r="H9295" s="501" t="s">
        <v>5520</v>
      </c>
      <c r="I9295" s="444">
        <v>13501636663</v>
      </c>
      <c r="J9295" s="348" t="s">
        <v>5521</v>
      </c>
      <c r="M9295" s="334">
        <v>-705</v>
      </c>
      <c r="N9295" s="362">
        <f t="shared" si="319"/>
        <v>-705</v>
      </c>
    </row>
    <row r="9296" ht="15" customHeight="1" spans="2:14">
      <c r="B9296" s="334" t="s">
        <v>315</v>
      </c>
      <c r="C9296" s="334" t="s">
        <v>181</v>
      </c>
      <c r="D9296" s="334" t="s">
        <v>89</v>
      </c>
      <c r="E9296" s="393">
        <v>43799</v>
      </c>
      <c r="G9296" s="393" t="s">
        <v>40</v>
      </c>
      <c r="H9296" s="334" t="s">
        <v>11225</v>
      </c>
      <c r="I9296" s="334">
        <v>13301987289</v>
      </c>
      <c r="J9296" s="334" t="s">
        <v>11226</v>
      </c>
      <c r="M9296" s="334">
        <v>-2842</v>
      </c>
      <c r="N9296" s="362">
        <f t="shared" si="319"/>
        <v>-2842</v>
      </c>
    </row>
    <row r="9297" ht="15" customHeight="1" spans="2:14">
      <c r="B9297" s="334" t="s">
        <v>315</v>
      </c>
      <c r="C9297" s="334" t="s">
        <v>275</v>
      </c>
      <c r="D9297" s="334" t="s">
        <v>162</v>
      </c>
      <c r="E9297" s="393">
        <v>43799</v>
      </c>
      <c r="G9297" s="393" t="s">
        <v>40</v>
      </c>
      <c r="H9297" s="334" t="s">
        <v>15265</v>
      </c>
      <c r="I9297" s="444">
        <v>18621682470</v>
      </c>
      <c r="J9297" s="348" t="s">
        <v>15266</v>
      </c>
      <c r="M9297" s="334">
        <v>-512</v>
      </c>
      <c r="N9297" s="362">
        <f t="shared" si="319"/>
        <v>-512</v>
      </c>
    </row>
    <row r="9298" ht="15" customHeight="1" spans="2:14">
      <c r="B9298" s="334" t="s">
        <v>315</v>
      </c>
      <c r="C9298" s="334" t="s">
        <v>181</v>
      </c>
      <c r="D9298" s="334" t="s">
        <v>162</v>
      </c>
      <c r="E9298" s="393">
        <v>43799</v>
      </c>
      <c r="G9298" s="393" t="s">
        <v>40</v>
      </c>
      <c r="H9298" s="334" t="s">
        <v>4177</v>
      </c>
      <c r="I9298" s="334">
        <v>15000788401</v>
      </c>
      <c r="J9298" s="334" t="s">
        <v>4178</v>
      </c>
      <c r="M9298" s="334">
        <v>-204</v>
      </c>
      <c r="N9298" s="362">
        <f t="shared" si="319"/>
        <v>-204</v>
      </c>
    </row>
    <row r="9299" ht="15" customHeight="1" spans="2:14">
      <c r="B9299" s="334" t="s">
        <v>315</v>
      </c>
      <c r="C9299" s="334" t="s">
        <v>722</v>
      </c>
      <c r="D9299" s="334" t="s">
        <v>132</v>
      </c>
      <c r="E9299" s="393">
        <v>43799</v>
      </c>
      <c r="G9299" s="393" t="s">
        <v>40</v>
      </c>
      <c r="H9299" s="334" t="s">
        <v>11101</v>
      </c>
      <c r="I9299" s="334">
        <v>13816703695</v>
      </c>
      <c r="J9299" s="334" t="s">
        <v>11102</v>
      </c>
      <c r="M9299" s="334">
        <v>-301</v>
      </c>
      <c r="N9299" s="362">
        <f t="shared" si="319"/>
        <v>-301</v>
      </c>
    </row>
    <row r="9300" ht="15" customHeight="1" spans="2:14">
      <c r="B9300" s="334" t="s">
        <v>315</v>
      </c>
      <c r="C9300" s="334" t="s">
        <v>181</v>
      </c>
      <c r="D9300" s="334" t="s">
        <v>132</v>
      </c>
      <c r="E9300" s="393">
        <v>43799</v>
      </c>
      <c r="G9300" s="393" t="s">
        <v>40</v>
      </c>
      <c r="H9300" s="334" t="s">
        <v>2219</v>
      </c>
      <c r="I9300" s="334">
        <v>13901820879</v>
      </c>
      <c r="J9300" s="348" t="s">
        <v>5641</v>
      </c>
      <c r="M9300" s="334">
        <v>-1268</v>
      </c>
      <c r="N9300" s="362">
        <f t="shared" si="319"/>
        <v>-1268</v>
      </c>
    </row>
    <row r="9301" ht="15" customHeight="1" spans="2:14">
      <c r="B9301" s="334" t="s">
        <v>315</v>
      </c>
      <c r="C9301" s="334" t="s">
        <v>181</v>
      </c>
      <c r="D9301" s="334" t="s">
        <v>132</v>
      </c>
      <c r="E9301" s="393">
        <v>43799</v>
      </c>
      <c r="G9301" s="393" t="s">
        <v>40</v>
      </c>
      <c r="H9301" s="334" t="s">
        <v>12340</v>
      </c>
      <c r="I9301" s="334">
        <v>13901651553</v>
      </c>
      <c r="J9301" s="334" t="s">
        <v>12341</v>
      </c>
      <c r="M9301" s="334">
        <v>-478</v>
      </c>
      <c r="N9301" s="362">
        <f t="shared" si="319"/>
        <v>-478</v>
      </c>
    </row>
    <row r="9302" ht="15" customHeight="1" spans="2:14">
      <c r="B9302" s="334" t="s">
        <v>315</v>
      </c>
      <c r="C9302" s="334" t="s">
        <v>181</v>
      </c>
      <c r="D9302" s="334" t="s">
        <v>182</v>
      </c>
      <c r="E9302" s="393">
        <v>43799</v>
      </c>
      <c r="G9302" s="393" t="s">
        <v>40</v>
      </c>
      <c r="H9302" s="334" t="s">
        <v>7396</v>
      </c>
      <c r="I9302" s="334">
        <v>18121223761</v>
      </c>
      <c r="J9302" s="334" t="s">
        <v>7397</v>
      </c>
      <c r="M9302" s="334">
        <v>-561</v>
      </c>
      <c r="N9302" s="362">
        <f t="shared" si="319"/>
        <v>-561</v>
      </c>
    </row>
    <row r="9303" ht="15" customHeight="1" spans="2:14">
      <c r="B9303" s="334" t="s">
        <v>315</v>
      </c>
      <c r="C9303" s="334" t="s">
        <v>181</v>
      </c>
      <c r="D9303" s="334" t="s">
        <v>1431</v>
      </c>
      <c r="E9303" s="393">
        <v>43799</v>
      </c>
      <c r="G9303" s="393" t="s">
        <v>40</v>
      </c>
      <c r="H9303" s="334" t="s">
        <v>15910</v>
      </c>
      <c r="I9303" s="444">
        <v>18801732317</v>
      </c>
      <c r="J9303" s="348" t="s">
        <v>15911</v>
      </c>
      <c r="M9303" s="334">
        <v>-300</v>
      </c>
      <c r="N9303" s="362">
        <f t="shared" si="319"/>
        <v>-300</v>
      </c>
    </row>
    <row r="9304" ht="15" customHeight="1" spans="2:14">
      <c r="B9304" s="334" t="s">
        <v>315</v>
      </c>
      <c r="C9304" s="334" t="s">
        <v>181</v>
      </c>
      <c r="D9304" s="334" t="s">
        <v>162</v>
      </c>
      <c r="E9304" s="393">
        <v>43799</v>
      </c>
      <c r="G9304" s="393" t="s">
        <v>40</v>
      </c>
      <c r="H9304" s="334" t="s">
        <v>4873</v>
      </c>
      <c r="I9304" s="334">
        <v>15921007887</v>
      </c>
      <c r="J9304" s="334" t="s">
        <v>19218</v>
      </c>
      <c r="M9304" s="334">
        <v>-614</v>
      </c>
      <c r="N9304" s="362">
        <f t="shared" si="319"/>
        <v>-614</v>
      </c>
    </row>
    <row r="9305" ht="15" customHeight="1" spans="2:14">
      <c r="B9305" s="334" t="s">
        <v>315</v>
      </c>
      <c r="C9305" s="334" t="s">
        <v>161</v>
      </c>
      <c r="D9305" s="334" t="s">
        <v>89</v>
      </c>
      <c r="E9305" s="393">
        <v>43799</v>
      </c>
      <c r="G9305" s="393" t="s">
        <v>40</v>
      </c>
      <c r="H9305" s="334" t="s">
        <v>7727</v>
      </c>
      <c r="I9305" s="356">
        <v>18660559559</v>
      </c>
      <c r="J9305" s="348" t="s">
        <v>7728</v>
      </c>
      <c r="M9305" s="334">
        <v>-200</v>
      </c>
      <c r="N9305" s="362">
        <f t="shared" si="319"/>
        <v>-200</v>
      </c>
    </row>
    <row r="9306" ht="15" customHeight="1" spans="2:14">
      <c r="B9306" s="334" t="s">
        <v>335</v>
      </c>
      <c r="C9306" s="334" t="s">
        <v>399</v>
      </c>
      <c r="D9306" s="334" t="s">
        <v>337</v>
      </c>
      <c r="E9306" s="393">
        <v>43799</v>
      </c>
      <c r="G9306" s="393" t="s">
        <v>40</v>
      </c>
      <c r="H9306" s="269" t="s">
        <v>6699</v>
      </c>
      <c r="I9306" s="356">
        <v>13916564195</v>
      </c>
      <c r="J9306" s="348" t="s">
        <v>6700</v>
      </c>
      <c r="M9306" s="334">
        <v>-1952</v>
      </c>
      <c r="N9306" s="362">
        <f t="shared" si="319"/>
        <v>-1952</v>
      </c>
    </row>
    <row r="9307" ht="15" customHeight="1" spans="2:14">
      <c r="B9307" s="334" t="s">
        <v>335</v>
      </c>
      <c r="C9307" s="334" t="s">
        <v>615</v>
      </c>
      <c r="D9307" s="334" t="s">
        <v>337</v>
      </c>
      <c r="E9307" s="393">
        <v>43799</v>
      </c>
      <c r="G9307" s="393" t="s">
        <v>40</v>
      </c>
      <c r="H9307" s="334" t="s">
        <v>19219</v>
      </c>
      <c r="I9307" s="334">
        <v>13361936321</v>
      </c>
      <c r="J9307" s="334" t="s">
        <v>19220</v>
      </c>
      <c r="M9307" s="334">
        <v>-717</v>
      </c>
      <c r="N9307" s="362">
        <f t="shared" si="319"/>
        <v>-717</v>
      </c>
    </row>
    <row r="9308" ht="15" customHeight="1" spans="2:14">
      <c r="B9308" s="334" t="s">
        <v>335</v>
      </c>
      <c r="C9308" s="334" t="s">
        <v>615</v>
      </c>
      <c r="D9308" s="334" t="s">
        <v>337</v>
      </c>
      <c r="E9308" s="393">
        <v>43799</v>
      </c>
      <c r="G9308" s="393" t="s">
        <v>40</v>
      </c>
      <c r="H9308" s="334" t="s">
        <v>8811</v>
      </c>
      <c r="I9308" s="334">
        <v>13501829254</v>
      </c>
      <c r="J9308" s="334" t="s">
        <v>8812</v>
      </c>
      <c r="M9308" s="334">
        <v>-512</v>
      </c>
      <c r="N9308" s="362">
        <f t="shared" si="319"/>
        <v>-512</v>
      </c>
    </row>
    <row r="9309" ht="15" customHeight="1" spans="2:14">
      <c r="B9309" s="334" t="s">
        <v>205</v>
      </c>
      <c r="C9309" s="334" t="s">
        <v>1467</v>
      </c>
      <c r="D9309" s="334" t="s">
        <v>89</v>
      </c>
      <c r="E9309" s="393">
        <v>43799</v>
      </c>
      <c r="G9309" s="393" t="s">
        <v>40</v>
      </c>
      <c r="H9309" s="334" t="s">
        <v>7944</v>
      </c>
      <c r="I9309" s="444">
        <v>18939715851</v>
      </c>
      <c r="J9309" s="348" t="s">
        <v>7945</v>
      </c>
      <c r="M9309" s="334">
        <v>-104</v>
      </c>
      <c r="N9309" s="362">
        <f t="shared" si="319"/>
        <v>-104</v>
      </c>
    </row>
    <row r="9310" ht="15" customHeight="1" spans="2:14">
      <c r="B9310" s="334" t="s">
        <v>153</v>
      </c>
      <c r="C9310" s="334" t="s">
        <v>154</v>
      </c>
      <c r="D9310" s="334" t="s">
        <v>155</v>
      </c>
      <c r="E9310" s="393">
        <v>43799</v>
      </c>
      <c r="G9310" s="393" t="s">
        <v>40</v>
      </c>
      <c r="H9310" s="334" t="s">
        <v>9768</v>
      </c>
      <c r="I9310" s="444">
        <v>13817230898</v>
      </c>
      <c r="J9310" s="334" t="s">
        <v>9769</v>
      </c>
      <c r="M9310" s="334">
        <v>-504</v>
      </c>
      <c r="N9310" s="362">
        <f t="shared" si="319"/>
        <v>-504</v>
      </c>
    </row>
    <row r="9311" ht="15" customHeight="1" spans="2:14">
      <c r="B9311" s="334" t="s">
        <v>153</v>
      </c>
      <c r="C9311" s="334" t="s">
        <v>302</v>
      </c>
      <c r="D9311" s="334" t="s">
        <v>155</v>
      </c>
      <c r="E9311" s="393">
        <v>43799</v>
      </c>
      <c r="G9311" s="393" t="s">
        <v>40</v>
      </c>
      <c r="H9311" s="334" t="s">
        <v>6382</v>
      </c>
      <c r="I9311" s="334">
        <v>13761672979</v>
      </c>
      <c r="J9311" s="334" t="s">
        <v>19221</v>
      </c>
      <c r="M9311" s="334">
        <v>-248</v>
      </c>
      <c r="N9311" s="362">
        <f t="shared" si="319"/>
        <v>-248</v>
      </c>
    </row>
    <row r="9312" ht="15" customHeight="1" spans="2:14">
      <c r="B9312" s="334" t="s">
        <v>153</v>
      </c>
      <c r="C9312" s="334" t="s">
        <v>302</v>
      </c>
      <c r="D9312" s="334" t="s">
        <v>155</v>
      </c>
      <c r="E9312" s="393">
        <v>43799</v>
      </c>
      <c r="G9312" s="393" t="s">
        <v>40</v>
      </c>
      <c r="H9312" s="334" t="s">
        <v>5964</v>
      </c>
      <c r="I9312" s="334">
        <v>18616181010</v>
      </c>
      <c r="J9312" s="334" t="s">
        <v>13388</v>
      </c>
      <c r="M9312" s="334">
        <v>-476</v>
      </c>
      <c r="N9312" s="362">
        <f t="shared" si="319"/>
        <v>-476</v>
      </c>
    </row>
    <row r="9313" ht="15" customHeight="1" spans="2:14">
      <c r="B9313" s="334" t="s">
        <v>153</v>
      </c>
      <c r="C9313" s="334" t="s">
        <v>302</v>
      </c>
      <c r="D9313" s="334" t="s">
        <v>155</v>
      </c>
      <c r="E9313" s="393">
        <v>43799</v>
      </c>
      <c r="G9313" s="393" t="s">
        <v>40</v>
      </c>
      <c r="H9313" s="334" t="s">
        <v>12453</v>
      </c>
      <c r="I9313" s="334">
        <v>15618192409</v>
      </c>
      <c r="J9313" s="334" t="s">
        <v>12454</v>
      </c>
      <c r="M9313" s="334">
        <v>-3493</v>
      </c>
      <c r="N9313" s="362">
        <f t="shared" si="319"/>
        <v>-3493</v>
      </c>
    </row>
    <row r="9314" ht="15" customHeight="1" spans="2:14">
      <c r="B9314" s="334" t="s">
        <v>123</v>
      </c>
      <c r="C9314" s="334" t="s">
        <v>32</v>
      </c>
      <c r="D9314" s="334" t="s">
        <v>125</v>
      </c>
      <c r="E9314" s="393">
        <v>43799</v>
      </c>
      <c r="G9314" s="393" t="s">
        <v>40</v>
      </c>
      <c r="H9314" s="334" t="s">
        <v>7934</v>
      </c>
      <c r="I9314" s="334">
        <v>1621775085</v>
      </c>
      <c r="J9314" s="334" t="s">
        <v>7935</v>
      </c>
      <c r="M9314" s="334">
        <v>-1332</v>
      </c>
      <c r="N9314" s="362">
        <f t="shared" si="319"/>
        <v>-1332</v>
      </c>
    </row>
    <row r="9315" ht="15" customHeight="1" spans="2:14">
      <c r="B9315" s="334" t="s">
        <v>123</v>
      </c>
      <c r="C9315" s="334" t="s">
        <v>2301</v>
      </c>
      <c r="D9315" s="334" t="s">
        <v>125</v>
      </c>
      <c r="E9315" s="393">
        <v>43799</v>
      </c>
      <c r="G9315" s="393" t="s">
        <v>40</v>
      </c>
      <c r="H9315" s="334" t="s">
        <v>2457</v>
      </c>
      <c r="I9315" s="356">
        <v>13816986629</v>
      </c>
      <c r="J9315" s="348" t="s">
        <v>19222</v>
      </c>
      <c r="M9315" s="334">
        <v>-424</v>
      </c>
      <c r="N9315" s="362">
        <f t="shared" si="319"/>
        <v>-424</v>
      </c>
    </row>
    <row r="9316" ht="15" customHeight="1" spans="2:14">
      <c r="B9316" s="334" t="s">
        <v>123</v>
      </c>
      <c r="C9316" s="334" t="s">
        <v>32</v>
      </c>
      <c r="D9316" s="334" t="s">
        <v>125</v>
      </c>
      <c r="E9316" s="393">
        <v>43799</v>
      </c>
      <c r="G9316" s="393" t="s">
        <v>40</v>
      </c>
      <c r="H9316" s="334" t="s">
        <v>9107</v>
      </c>
      <c r="I9316" s="334">
        <v>13636688497</v>
      </c>
      <c r="J9316" s="334" t="s">
        <v>19223</v>
      </c>
      <c r="M9316" s="334">
        <v>-795</v>
      </c>
      <c r="N9316" s="362">
        <f t="shared" si="319"/>
        <v>-795</v>
      </c>
    </row>
    <row r="9317" ht="15" customHeight="1" spans="2:14">
      <c r="B9317" s="334" t="s">
        <v>405</v>
      </c>
      <c r="C9317" s="334" t="s">
        <v>1234</v>
      </c>
      <c r="D9317" s="334" t="s">
        <v>407</v>
      </c>
      <c r="E9317" s="393">
        <v>43799</v>
      </c>
      <c r="G9317" s="393" t="s">
        <v>40</v>
      </c>
      <c r="H9317" s="334" t="s">
        <v>12519</v>
      </c>
      <c r="I9317" s="334">
        <v>13817131152</v>
      </c>
      <c r="J9317" s="334" t="s">
        <v>18678</v>
      </c>
      <c r="M9317" s="334">
        <v>-1566</v>
      </c>
      <c r="N9317" s="362">
        <f t="shared" si="319"/>
        <v>-1566</v>
      </c>
    </row>
    <row r="9318" ht="15" customHeight="1" spans="2:14">
      <c r="B9318" s="334" t="s">
        <v>137</v>
      </c>
      <c r="C9318" s="334" t="s">
        <v>138</v>
      </c>
      <c r="D9318" s="334" t="s">
        <v>75</v>
      </c>
      <c r="E9318" s="393">
        <v>43799</v>
      </c>
      <c r="G9318" s="393" t="s">
        <v>40</v>
      </c>
      <c r="H9318" s="334" t="s">
        <v>19224</v>
      </c>
      <c r="I9318" s="444">
        <v>15801987988</v>
      </c>
      <c r="J9318" s="348" t="s">
        <v>1859</v>
      </c>
      <c r="M9318" s="334">
        <v>-7828</v>
      </c>
      <c r="N9318" s="362">
        <f t="shared" si="319"/>
        <v>-7828</v>
      </c>
    </row>
    <row r="9319" ht="15" customHeight="1" spans="2:14">
      <c r="B9319" s="334" t="s">
        <v>137</v>
      </c>
      <c r="C9319" s="334" t="s">
        <v>411</v>
      </c>
      <c r="D9319" s="334" t="s">
        <v>427</v>
      </c>
      <c r="E9319" s="393">
        <v>43799</v>
      </c>
      <c r="G9319" s="393" t="s">
        <v>40</v>
      </c>
      <c r="H9319" s="334" t="s">
        <v>5145</v>
      </c>
      <c r="I9319" s="444">
        <v>13817218658</v>
      </c>
      <c r="J9319" s="334" t="s">
        <v>5146</v>
      </c>
      <c r="M9319" s="334">
        <v>-615</v>
      </c>
      <c r="N9319" s="362">
        <f t="shared" si="319"/>
        <v>-615</v>
      </c>
    </row>
    <row r="9320" ht="15" customHeight="1" spans="2:14">
      <c r="B9320" s="334" t="s">
        <v>137</v>
      </c>
      <c r="C9320" s="334" t="s">
        <v>406</v>
      </c>
      <c r="D9320" s="334" t="s">
        <v>2381</v>
      </c>
      <c r="E9320" s="393">
        <v>43799</v>
      </c>
      <c r="G9320" s="393" t="s">
        <v>40</v>
      </c>
      <c r="H9320" s="334" t="s">
        <v>8617</v>
      </c>
      <c r="I9320" s="334">
        <v>13701715799</v>
      </c>
      <c r="J9320" s="334" t="s">
        <v>8618</v>
      </c>
      <c r="M9320" s="334">
        <v>-778</v>
      </c>
      <c r="N9320" s="362">
        <f t="shared" si="319"/>
        <v>-778</v>
      </c>
    </row>
    <row r="9321" ht="15" customHeight="1" spans="2:14">
      <c r="B9321" s="334" t="s">
        <v>137</v>
      </c>
      <c r="C9321" s="334" t="s">
        <v>480</v>
      </c>
      <c r="D9321" s="334" t="s">
        <v>139</v>
      </c>
      <c r="E9321" s="393">
        <v>43799</v>
      </c>
      <c r="G9321" s="393" t="s">
        <v>40</v>
      </c>
      <c r="H9321" s="334" t="s">
        <v>5894</v>
      </c>
      <c r="I9321" s="444">
        <v>13916079130</v>
      </c>
      <c r="J9321" s="348" t="s">
        <v>19225</v>
      </c>
      <c r="M9321" s="334">
        <v>-1878</v>
      </c>
      <c r="N9321" s="362">
        <f t="shared" si="319"/>
        <v>-1878</v>
      </c>
    </row>
    <row r="9322" ht="15" customHeight="1" spans="2:14">
      <c r="B9322" s="334" t="s">
        <v>137</v>
      </c>
      <c r="C9322" s="334" t="s">
        <v>411</v>
      </c>
      <c r="D9322" s="334" t="s">
        <v>427</v>
      </c>
      <c r="E9322" s="393">
        <v>43799</v>
      </c>
      <c r="G9322" s="393" t="s">
        <v>40</v>
      </c>
      <c r="H9322" s="334" t="s">
        <v>6021</v>
      </c>
      <c r="I9322" s="334">
        <v>13701780572</v>
      </c>
      <c r="J9322" s="334" t="s">
        <v>10219</v>
      </c>
      <c r="M9322" s="334">
        <v>-410</v>
      </c>
      <c r="N9322" s="362">
        <f t="shared" si="319"/>
        <v>-410</v>
      </c>
    </row>
    <row r="9323" ht="15" customHeight="1" spans="2:14">
      <c r="B9323" s="334" t="s">
        <v>137</v>
      </c>
      <c r="C9323" s="334" t="s">
        <v>411</v>
      </c>
      <c r="D9323" s="334" t="s">
        <v>139</v>
      </c>
      <c r="E9323" s="393">
        <v>43799</v>
      </c>
      <c r="G9323" s="393" t="s">
        <v>40</v>
      </c>
      <c r="H9323" s="334" t="s">
        <v>7863</v>
      </c>
      <c r="I9323" s="444">
        <v>18917872022</v>
      </c>
      <c r="J9323" s="334" t="s">
        <v>19226</v>
      </c>
      <c r="M9323" s="334">
        <v>-677</v>
      </c>
      <c r="N9323" s="362">
        <f t="shared" si="319"/>
        <v>-677</v>
      </c>
    </row>
    <row r="9324" ht="15" customHeight="1" spans="2:14">
      <c r="B9324" s="334" t="s">
        <v>137</v>
      </c>
      <c r="C9324" s="334" t="s">
        <v>406</v>
      </c>
      <c r="D9324" s="334" t="s">
        <v>427</v>
      </c>
      <c r="E9324" s="393">
        <v>43799</v>
      </c>
      <c r="G9324" s="393" t="s">
        <v>40</v>
      </c>
      <c r="H9324" s="334" t="s">
        <v>3121</v>
      </c>
      <c r="I9324" s="444">
        <v>18217476928</v>
      </c>
      <c r="J9324" s="348" t="s">
        <v>3122</v>
      </c>
      <c r="M9324" s="334">
        <v>-820</v>
      </c>
      <c r="N9324" s="362">
        <f t="shared" si="319"/>
        <v>-820</v>
      </c>
    </row>
    <row r="9325" ht="15" customHeight="1" spans="2:14">
      <c r="B9325" s="334" t="s">
        <v>137</v>
      </c>
      <c r="C9325" s="334" t="s">
        <v>406</v>
      </c>
      <c r="D9325" s="334" t="s">
        <v>443</v>
      </c>
      <c r="E9325" s="393">
        <v>43799</v>
      </c>
      <c r="G9325" s="393" t="s">
        <v>40</v>
      </c>
      <c r="H9325" s="334" t="s">
        <v>8421</v>
      </c>
      <c r="I9325" s="444">
        <v>13003153300</v>
      </c>
      <c r="J9325" s="334" t="s">
        <v>19227</v>
      </c>
      <c r="M9325" s="334">
        <v>-512</v>
      </c>
      <c r="N9325" s="362">
        <f t="shared" si="319"/>
        <v>-512</v>
      </c>
    </row>
    <row r="9326" ht="15" customHeight="1" spans="2:14">
      <c r="B9326" s="334" t="s">
        <v>137</v>
      </c>
      <c r="C9326" s="334" t="s">
        <v>2705</v>
      </c>
      <c r="D9326" s="334" t="s">
        <v>191</v>
      </c>
      <c r="E9326" s="393">
        <v>43799</v>
      </c>
      <c r="G9326" s="393" t="s">
        <v>40</v>
      </c>
      <c r="H9326" s="334" t="s">
        <v>8370</v>
      </c>
      <c r="I9326" s="444">
        <v>18800237802</v>
      </c>
      <c r="J9326" s="334" t="s">
        <v>19228</v>
      </c>
      <c r="M9326" s="334">
        <v>-512</v>
      </c>
      <c r="N9326" s="362">
        <f t="shared" ref="N9326:N9367" si="320">L9326+M9326</f>
        <v>-512</v>
      </c>
    </row>
    <row r="9327" ht="15" customHeight="1" spans="2:14">
      <c r="B9327" s="334" t="s">
        <v>137</v>
      </c>
      <c r="C9327" s="334" t="s">
        <v>406</v>
      </c>
      <c r="D9327" s="334" t="s">
        <v>443</v>
      </c>
      <c r="E9327" s="393">
        <v>43799</v>
      </c>
      <c r="G9327" s="393" t="s">
        <v>40</v>
      </c>
      <c r="H9327" s="334" t="s">
        <v>10536</v>
      </c>
      <c r="I9327" s="444">
        <v>13661611516</v>
      </c>
      <c r="J9327" s="334" t="s">
        <v>19229</v>
      </c>
      <c r="M9327" s="334">
        <v>-922</v>
      </c>
      <c r="N9327" s="362">
        <f t="shared" si="320"/>
        <v>-922</v>
      </c>
    </row>
    <row r="9328" ht="15" customHeight="1" spans="2:14">
      <c r="B9328" s="334" t="s">
        <v>137</v>
      </c>
      <c r="C9328" s="334" t="s">
        <v>138</v>
      </c>
      <c r="D9328" s="334" t="s">
        <v>139</v>
      </c>
      <c r="E9328" s="393">
        <v>43799</v>
      </c>
      <c r="G9328" s="393" t="s">
        <v>40</v>
      </c>
      <c r="H9328" s="334" t="s">
        <v>19230</v>
      </c>
      <c r="I9328" s="444">
        <v>13681938192</v>
      </c>
      <c r="J9328" s="334" t="s">
        <v>6100</v>
      </c>
      <c r="M9328" s="334">
        <v>-512</v>
      </c>
      <c r="N9328" s="362">
        <f t="shared" si="320"/>
        <v>-512</v>
      </c>
    </row>
    <row r="9329" ht="15" customHeight="1" spans="2:14">
      <c r="B9329" s="334" t="s">
        <v>58</v>
      </c>
      <c r="C9329" s="334" t="s">
        <v>342</v>
      </c>
      <c r="D9329" s="334" t="s">
        <v>343</v>
      </c>
      <c r="E9329" s="393">
        <v>43799</v>
      </c>
      <c r="G9329" s="393" t="s">
        <v>40</v>
      </c>
      <c r="H9329" s="334" t="s">
        <v>7448</v>
      </c>
      <c r="I9329" s="444">
        <v>13564818731</v>
      </c>
      <c r="J9329" s="334" t="s">
        <v>19179</v>
      </c>
      <c r="M9329" s="334">
        <v>-59</v>
      </c>
      <c r="N9329" s="362">
        <f t="shared" si="320"/>
        <v>-59</v>
      </c>
    </row>
    <row r="9330" ht="15" customHeight="1" spans="2:14">
      <c r="B9330" s="334" t="s">
        <v>58</v>
      </c>
      <c r="C9330" s="334" t="s">
        <v>347</v>
      </c>
      <c r="D9330" s="334" t="s">
        <v>75</v>
      </c>
      <c r="E9330" s="393">
        <v>43799</v>
      </c>
      <c r="G9330" s="393" t="s">
        <v>40</v>
      </c>
      <c r="H9330" s="334" t="s">
        <v>15514</v>
      </c>
      <c r="I9330" s="444">
        <v>13482821584</v>
      </c>
      <c r="J9330" s="348" t="s">
        <v>15515</v>
      </c>
      <c r="M9330" s="334">
        <v>-311</v>
      </c>
      <c r="N9330" s="362">
        <f t="shared" si="320"/>
        <v>-311</v>
      </c>
    </row>
    <row r="9331" ht="15" customHeight="1" spans="2:14">
      <c r="B9331" s="334" t="s">
        <v>31</v>
      </c>
      <c r="C9331" s="348" t="s">
        <v>419</v>
      </c>
      <c r="D9331" s="334" t="s">
        <v>221</v>
      </c>
      <c r="E9331" s="393">
        <v>43799</v>
      </c>
      <c r="G9331" s="393" t="s">
        <v>40</v>
      </c>
      <c r="H9331" s="334" t="s">
        <v>2236</v>
      </c>
      <c r="I9331" s="356">
        <v>13524678811</v>
      </c>
      <c r="J9331" s="348" t="s">
        <v>19231</v>
      </c>
      <c r="M9331" s="334">
        <v>-50</v>
      </c>
      <c r="N9331" s="362">
        <f t="shared" si="320"/>
        <v>-50</v>
      </c>
    </row>
    <row r="9332" ht="15" customHeight="1" spans="2:14">
      <c r="B9332" s="334" t="s">
        <v>31</v>
      </c>
      <c r="C9332" s="334" t="s">
        <v>220</v>
      </c>
      <c r="D9332" s="334" t="s">
        <v>221</v>
      </c>
      <c r="E9332" s="393">
        <v>43799</v>
      </c>
      <c r="G9332" s="393" t="s">
        <v>40</v>
      </c>
      <c r="H9332" s="334" t="s">
        <v>4964</v>
      </c>
      <c r="I9332" s="334">
        <v>18616105108</v>
      </c>
      <c r="J9332" s="334" t="s">
        <v>16237</v>
      </c>
      <c r="M9332" s="334">
        <v>-216</v>
      </c>
      <c r="N9332" s="362">
        <f t="shared" si="320"/>
        <v>-216</v>
      </c>
    </row>
    <row r="9333" ht="15" customHeight="1" spans="2:14">
      <c r="B9333" s="334" t="s">
        <v>31</v>
      </c>
      <c r="C9333" s="334" t="s">
        <v>220</v>
      </c>
      <c r="D9333" s="334" t="s">
        <v>33</v>
      </c>
      <c r="E9333" s="393">
        <v>43799</v>
      </c>
      <c r="G9333" s="393" t="s">
        <v>40</v>
      </c>
      <c r="H9333" s="334" t="s">
        <v>10695</v>
      </c>
      <c r="I9333" s="334">
        <v>13901704243</v>
      </c>
      <c r="J9333" s="334" t="s">
        <v>11864</v>
      </c>
      <c r="M9333" s="334">
        <v>-62</v>
      </c>
      <c r="N9333" s="362">
        <f t="shared" si="320"/>
        <v>-62</v>
      </c>
    </row>
    <row r="9334" ht="15" customHeight="1" spans="2:14">
      <c r="B9334" s="334" t="s">
        <v>31</v>
      </c>
      <c r="C9334" s="334" t="s">
        <v>251</v>
      </c>
      <c r="D9334" s="334" t="s">
        <v>221</v>
      </c>
      <c r="E9334" s="393">
        <v>43799</v>
      </c>
      <c r="G9334" s="393" t="s">
        <v>40</v>
      </c>
      <c r="H9334" s="334" t="s">
        <v>10592</v>
      </c>
      <c r="I9334" s="444">
        <v>13482738854</v>
      </c>
      <c r="J9334" s="334" t="s">
        <v>10593</v>
      </c>
      <c r="M9334" s="334">
        <v>-50</v>
      </c>
      <c r="N9334" s="362">
        <f t="shared" si="320"/>
        <v>-50</v>
      </c>
    </row>
    <row r="9335" ht="15" customHeight="1" spans="2:14">
      <c r="B9335" s="334" t="s">
        <v>31</v>
      </c>
      <c r="C9335" s="334" t="s">
        <v>32</v>
      </c>
      <c r="D9335" s="334" t="s">
        <v>33</v>
      </c>
      <c r="E9335" s="393">
        <v>43799</v>
      </c>
      <c r="G9335" s="393" t="s">
        <v>40</v>
      </c>
      <c r="H9335" s="334" t="s">
        <v>2697</v>
      </c>
      <c r="I9335" s="444">
        <v>18621542828</v>
      </c>
      <c r="J9335" s="348" t="s">
        <v>2698</v>
      </c>
      <c r="M9335" s="334">
        <v>-1160</v>
      </c>
      <c r="N9335" s="362">
        <f t="shared" si="320"/>
        <v>-1160</v>
      </c>
    </row>
    <row r="9336" ht="15" customHeight="1" spans="2:14">
      <c r="B9336" s="334" t="s">
        <v>66</v>
      </c>
      <c r="C9336" s="348" t="s">
        <v>67</v>
      </c>
      <c r="D9336" s="334" t="s">
        <v>68</v>
      </c>
      <c r="E9336" s="393">
        <v>43799</v>
      </c>
      <c r="G9336" s="393" t="s">
        <v>40</v>
      </c>
      <c r="H9336" s="334" t="s">
        <v>19232</v>
      </c>
      <c r="I9336" s="444">
        <v>13524937197</v>
      </c>
      <c r="J9336" s="348" t="s">
        <v>19233</v>
      </c>
      <c r="M9336" s="334">
        <v>-50</v>
      </c>
      <c r="N9336" s="362">
        <f t="shared" si="320"/>
        <v>-50</v>
      </c>
    </row>
    <row r="9337" ht="15" customHeight="1" spans="2:14">
      <c r="B9337" s="334" t="s">
        <v>66</v>
      </c>
      <c r="C9337" s="334" t="s">
        <v>119</v>
      </c>
      <c r="D9337" s="334" t="s">
        <v>33</v>
      </c>
      <c r="E9337" s="393">
        <v>43799</v>
      </c>
      <c r="G9337" s="393" t="s">
        <v>40</v>
      </c>
      <c r="H9337" s="334" t="s">
        <v>10673</v>
      </c>
      <c r="I9337" s="444">
        <v>13816526285</v>
      </c>
      <c r="J9337" s="348" t="s">
        <v>10674</v>
      </c>
      <c r="M9337" s="334">
        <v>-50</v>
      </c>
      <c r="N9337" s="362">
        <f t="shared" si="320"/>
        <v>-50</v>
      </c>
    </row>
    <row r="9338" ht="15" customHeight="1" spans="2:14">
      <c r="B9338" s="334" t="s">
        <v>66</v>
      </c>
      <c r="C9338" s="348" t="s">
        <v>951</v>
      </c>
      <c r="D9338" s="334" t="s">
        <v>68</v>
      </c>
      <c r="E9338" s="393">
        <v>43799</v>
      </c>
      <c r="G9338" s="393" t="s">
        <v>40</v>
      </c>
      <c r="H9338" s="334" t="s">
        <v>19234</v>
      </c>
      <c r="I9338" s="444">
        <v>17621892412</v>
      </c>
      <c r="J9338" s="348" t="s">
        <v>19235</v>
      </c>
      <c r="M9338" s="334">
        <v>-50.4</v>
      </c>
      <c r="N9338" s="362">
        <f t="shared" si="320"/>
        <v>-50.4</v>
      </c>
    </row>
    <row r="9339" ht="15" customHeight="1" spans="2:14">
      <c r="B9339" s="334" t="s">
        <v>66</v>
      </c>
      <c r="C9339" s="334" t="s">
        <v>119</v>
      </c>
      <c r="D9339" s="334" t="s">
        <v>143</v>
      </c>
      <c r="E9339" s="393">
        <v>43799</v>
      </c>
      <c r="G9339" s="393" t="s">
        <v>40</v>
      </c>
      <c r="H9339" s="334" t="s">
        <v>19199</v>
      </c>
      <c r="I9339" s="444">
        <v>13917826407</v>
      </c>
      <c r="J9339" s="348" t="s">
        <v>19200</v>
      </c>
      <c r="M9339" s="334">
        <v>-350</v>
      </c>
      <c r="N9339" s="362">
        <f t="shared" si="320"/>
        <v>-350</v>
      </c>
    </row>
    <row r="9340" ht="15" customHeight="1" spans="2:14">
      <c r="B9340" s="334" t="s">
        <v>35</v>
      </c>
      <c r="C9340" s="348" t="s">
        <v>392</v>
      </c>
      <c r="D9340" s="334" t="s">
        <v>37</v>
      </c>
      <c r="E9340" s="393">
        <v>43799</v>
      </c>
      <c r="G9340" s="393" t="s">
        <v>40</v>
      </c>
      <c r="H9340" s="334" t="s">
        <v>19236</v>
      </c>
      <c r="I9340" s="444">
        <v>13524666467</v>
      </c>
      <c r="J9340" s="348" t="s">
        <v>19237</v>
      </c>
      <c r="M9340" s="334">
        <v>-300</v>
      </c>
      <c r="N9340" s="362">
        <f t="shared" si="320"/>
        <v>-300</v>
      </c>
    </row>
    <row r="9341" ht="15" customHeight="1" spans="2:14">
      <c r="B9341" s="334" t="s">
        <v>35</v>
      </c>
      <c r="C9341" s="334" t="s">
        <v>36</v>
      </c>
      <c r="D9341" s="334" t="s">
        <v>37</v>
      </c>
      <c r="E9341" s="393">
        <v>43799</v>
      </c>
      <c r="G9341" s="393" t="s">
        <v>40</v>
      </c>
      <c r="H9341" s="334" t="s">
        <v>1265</v>
      </c>
      <c r="I9341" s="444">
        <v>13816700045</v>
      </c>
      <c r="J9341" s="348" t="s">
        <v>19211</v>
      </c>
      <c r="M9341" s="334">
        <v>-144</v>
      </c>
      <c r="N9341" s="362">
        <f t="shared" si="320"/>
        <v>-144</v>
      </c>
    </row>
    <row r="9342" ht="15" customHeight="1" spans="2:14">
      <c r="B9342" s="334" t="s">
        <v>315</v>
      </c>
      <c r="C9342" s="334" t="s">
        <v>722</v>
      </c>
      <c r="D9342" s="334" t="s">
        <v>132</v>
      </c>
      <c r="E9342" s="393">
        <v>43799</v>
      </c>
      <c r="G9342" s="393" t="s">
        <v>40</v>
      </c>
      <c r="H9342" s="334" t="s">
        <v>5332</v>
      </c>
      <c r="I9342" s="444">
        <v>18117193716</v>
      </c>
      <c r="J9342" s="334" t="s">
        <v>19238</v>
      </c>
      <c r="M9342" s="334">
        <v>-150</v>
      </c>
      <c r="N9342" s="362">
        <f t="shared" si="320"/>
        <v>-150</v>
      </c>
    </row>
    <row r="9343" ht="15" customHeight="1" spans="2:14">
      <c r="B9343" s="334" t="s">
        <v>315</v>
      </c>
      <c r="C9343" s="334" t="s">
        <v>230</v>
      </c>
      <c r="D9343" s="334" t="s">
        <v>182</v>
      </c>
      <c r="E9343" s="393">
        <v>43799</v>
      </c>
      <c r="G9343" s="393" t="s">
        <v>40</v>
      </c>
      <c r="H9343" s="334" t="s">
        <v>12181</v>
      </c>
      <c r="I9343" s="444">
        <v>13917223355</v>
      </c>
      <c r="J9343" s="334" t="s">
        <v>12182</v>
      </c>
      <c r="M9343" s="334">
        <v>-997</v>
      </c>
      <c r="N9343" s="362">
        <f t="shared" si="320"/>
        <v>-997</v>
      </c>
    </row>
    <row r="9344" ht="15" customHeight="1" spans="2:14">
      <c r="B9344" s="334" t="s">
        <v>315</v>
      </c>
      <c r="C9344" s="334" t="s">
        <v>181</v>
      </c>
      <c r="D9344" s="334" t="s">
        <v>162</v>
      </c>
      <c r="E9344" s="393">
        <v>43799</v>
      </c>
      <c r="G9344" s="393" t="s">
        <v>40</v>
      </c>
      <c r="H9344" s="334" t="s">
        <v>2729</v>
      </c>
      <c r="I9344" s="444">
        <v>15300511977</v>
      </c>
      <c r="J9344" s="348" t="s">
        <v>2730</v>
      </c>
      <c r="M9344" s="334">
        <v>-50</v>
      </c>
      <c r="N9344" s="362">
        <f t="shared" si="320"/>
        <v>-50</v>
      </c>
    </row>
    <row r="9345" ht="15" customHeight="1" spans="2:14">
      <c r="B9345" s="334" t="s">
        <v>315</v>
      </c>
      <c r="C9345" s="334" t="s">
        <v>275</v>
      </c>
      <c r="D9345" s="334" t="s">
        <v>717</v>
      </c>
      <c r="E9345" s="393">
        <v>43799</v>
      </c>
      <c r="G9345" s="393" t="s">
        <v>40</v>
      </c>
      <c r="H9345" s="334" t="s">
        <v>19239</v>
      </c>
      <c r="I9345" s="444">
        <v>18121100486</v>
      </c>
      <c r="J9345" s="348" t="s">
        <v>19240</v>
      </c>
      <c r="M9345" s="334">
        <v>-1160</v>
      </c>
      <c r="N9345" s="362">
        <f t="shared" si="320"/>
        <v>-1160</v>
      </c>
    </row>
    <row r="9346" ht="15" customHeight="1" spans="2:14">
      <c r="B9346" s="334" t="s">
        <v>335</v>
      </c>
      <c r="C9346" s="334" t="s">
        <v>615</v>
      </c>
      <c r="D9346" s="334" t="s">
        <v>337</v>
      </c>
      <c r="E9346" s="393">
        <v>43799</v>
      </c>
      <c r="G9346" s="393" t="s">
        <v>40</v>
      </c>
      <c r="H9346" s="334" t="s">
        <v>84</v>
      </c>
      <c r="I9346" s="444">
        <v>18901831836</v>
      </c>
      <c r="J9346" s="334" t="s">
        <v>11222</v>
      </c>
      <c r="M9346" s="334">
        <v>-100</v>
      </c>
      <c r="N9346" s="362">
        <f t="shared" si="320"/>
        <v>-100</v>
      </c>
    </row>
    <row r="9347" ht="15" customHeight="1" spans="2:14">
      <c r="B9347" s="334" t="s">
        <v>335</v>
      </c>
      <c r="C9347" s="334" t="s">
        <v>615</v>
      </c>
      <c r="D9347" s="334" t="s">
        <v>337</v>
      </c>
      <c r="E9347" s="393">
        <v>43799</v>
      </c>
      <c r="G9347" s="393" t="s">
        <v>40</v>
      </c>
      <c r="H9347" s="334" t="s">
        <v>8781</v>
      </c>
      <c r="I9347" s="444">
        <v>18221061610</v>
      </c>
      <c r="J9347" s="334" t="s">
        <v>8782</v>
      </c>
      <c r="M9347" s="334">
        <v>-126</v>
      </c>
      <c r="N9347" s="362">
        <f t="shared" si="320"/>
        <v>-126</v>
      </c>
    </row>
    <row r="9348" ht="15" customHeight="1" spans="2:14">
      <c r="B9348" s="334" t="s">
        <v>335</v>
      </c>
      <c r="C9348" s="334" t="s">
        <v>399</v>
      </c>
      <c r="D9348" s="334" t="s">
        <v>337</v>
      </c>
      <c r="E9348" s="393">
        <v>43799</v>
      </c>
      <c r="G9348" s="393" t="s">
        <v>40</v>
      </c>
      <c r="H9348" s="334" t="s">
        <v>19241</v>
      </c>
      <c r="I9348" s="444">
        <v>18016001908</v>
      </c>
      <c r="J9348" s="348" t="s">
        <v>19242</v>
      </c>
      <c r="M9348" s="334">
        <v>-62</v>
      </c>
      <c r="N9348" s="362">
        <f t="shared" si="320"/>
        <v>-62</v>
      </c>
    </row>
    <row r="9349" ht="15" customHeight="1" spans="2:14">
      <c r="B9349" s="334" t="s">
        <v>153</v>
      </c>
      <c r="C9349" s="334" t="s">
        <v>302</v>
      </c>
      <c r="D9349" s="334" t="s">
        <v>155</v>
      </c>
      <c r="E9349" s="393">
        <v>43799</v>
      </c>
      <c r="G9349" s="393" t="s">
        <v>40</v>
      </c>
      <c r="H9349" s="334" t="s">
        <v>6080</v>
      </c>
      <c r="I9349" s="444">
        <v>18021044943</v>
      </c>
      <c r="J9349" s="334" t="s">
        <v>12393</v>
      </c>
      <c r="M9349" s="334">
        <v>-248</v>
      </c>
      <c r="N9349" s="362">
        <f t="shared" si="320"/>
        <v>-248</v>
      </c>
    </row>
    <row r="9350" ht="15" customHeight="1" spans="2:14">
      <c r="B9350" s="334" t="s">
        <v>137</v>
      </c>
      <c r="C9350" s="348" t="s">
        <v>161</v>
      </c>
      <c r="D9350" s="334" t="s">
        <v>162</v>
      </c>
      <c r="E9350" s="393">
        <v>43799</v>
      </c>
      <c r="G9350" s="393" t="s">
        <v>40</v>
      </c>
      <c r="H9350" s="334" t="s">
        <v>19243</v>
      </c>
      <c r="I9350" s="444">
        <v>13918778761</v>
      </c>
      <c r="J9350" s="348" t="s">
        <v>19244</v>
      </c>
      <c r="M9350" s="334">
        <v>-60</v>
      </c>
      <c r="N9350" s="362">
        <f t="shared" si="320"/>
        <v>-60</v>
      </c>
    </row>
    <row r="9351" ht="15" customHeight="1" spans="2:14">
      <c r="B9351" s="334" t="s">
        <v>137</v>
      </c>
      <c r="C9351" s="334" t="s">
        <v>480</v>
      </c>
      <c r="D9351" s="334" t="s">
        <v>139</v>
      </c>
      <c r="E9351" s="393">
        <v>43799</v>
      </c>
      <c r="G9351" s="393" t="s">
        <v>40</v>
      </c>
      <c r="H9351" s="334" t="s">
        <v>5894</v>
      </c>
      <c r="I9351" s="444">
        <v>13916079130</v>
      </c>
      <c r="J9351" s="348" t="s">
        <v>19225</v>
      </c>
      <c r="M9351" s="334">
        <v>-62</v>
      </c>
      <c r="N9351" s="362">
        <f t="shared" si="320"/>
        <v>-62</v>
      </c>
    </row>
    <row r="9352" ht="15" customHeight="1" spans="2:14">
      <c r="B9352" s="334" t="s">
        <v>137</v>
      </c>
      <c r="C9352" s="334" t="s">
        <v>480</v>
      </c>
      <c r="D9352" s="334" t="s">
        <v>139</v>
      </c>
      <c r="E9352" s="393">
        <v>43799</v>
      </c>
      <c r="G9352" s="393" t="s">
        <v>40</v>
      </c>
      <c r="H9352" s="334" t="s">
        <v>7997</v>
      </c>
      <c r="I9352" s="444">
        <v>15658584452</v>
      </c>
      <c r="J9352" s="334" t="s">
        <v>19245</v>
      </c>
      <c r="M9352" s="334">
        <v>-60</v>
      </c>
      <c r="N9352" s="362">
        <f t="shared" si="320"/>
        <v>-60</v>
      </c>
    </row>
    <row r="9353" ht="15" customHeight="1" spans="2:14">
      <c r="B9353" s="334" t="s">
        <v>137</v>
      </c>
      <c r="C9353" s="334" t="s">
        <v>406</v>
      </c>
      <c r="D9353" s="334" t="s">
        <v>427</v>
      </c>
      <c r="E9353" s="393">
        <v>43799</v>
      </c>
      <c r="G9353" s="393" t="s">
        <v>40</v>
      </c>
      <c r="H9353" s="334" t="s">
        <v>3121</v>
      </c>
      <c r="I9353" s="444">
        <v>18217476928</v>
      </c>
      <c r="J9353" s="348" t="s">
        <v>3122</v>
      </c>
      <c r="M9353" s="334">
        <v>-124</v>
      </c>
      <c r="N9353" s="362">
        <f t="shared" si="320"/>
        <v>-124</v>
      </c>
    </row>
    <row r="9354" ht="15" customHeight="1" spans="2:14">
      <c r="B9354" s="334" t="s">
        <v>137</v>
      </c>
      <c r="C9354" s="334" t="s">
        <v>411</v>
      </c>
      <c r="D9354" s="334" t="s">
        <v>427</v>
      </c>
      <c r="E9354" s="393">
        <v>43799</v>
      </c>
      <c r="G9354" s="393" t="s">
        <v>40</v>
      </c>
      <c r="H9354" s="334" t="s">
        <v>6059</v>
      </c>
      <c r="I9354" s="444">
        <v>18616579708</v>
      </c>
      <c r="J9354" s="348" t="s">
        <v>6060</v>
      </c>
      <c r="M9354" s="334">
        <v>-50</v>
      </c>
      <c r="N9354" s="362">
        <f t="shared" si="320"/>
        <v>-50</v>
      </c>
    </row>
    <row r="9355" ht="15" customHeight="1" spans="2:14">
      <c r="B9355" s="334" t="s">
        <v>137</v>
      </c>
      <c r="C9355" s="334" t="s">
        <v>138</v>
      </c>
      <c r="D9355" s="334" t="s">
        <v>427</v>
      </c>
      <c r="E9355" s="393">
        <v>43799</v>
      </c>
      <c r="G9355" s="393" t="s">
        <v>40</v>
      </c>
      <c r="H9355" s="334" t="s">
        <v>9667</v>
      </c>
      <c r="I9355" s="444">
        <v>13701997029</v>
      </c>
      <c r="J9355" s="334" t="s">
        <v>9668</v>
      </c>
      <c r="M9355" s="334">
        <v>-112</v>
      </c>
      <c r="N9355" s="362">
        <f t="shared" si="320"/>
        <v>-112</v>
      </c>
    </row>
    <row r="9356" ht="15" customHeight="1" spans="2:14">
      <c r="B9356" s="334" t="s">
        <v>137</v>
      </c>
      <c r="C9356" s="334" t="s">
        <v>480</v>
      </c>
      <c r="D9356" s="334" t="s">
        <v>139</v>
      </c>
      <c r="E9356" s="393">
        <v>43799</v>
      </c>
      <c r="G9356" s="393" t="s">
        <v>40</v>
      </c>
      <c r="H9356" s="334" t="s">
        <v>6816</v>
      </c>
      <c r="I9356" s="444">
        <v>13611993884</v>
      </c>
      <c r="J9356" s="348" t="s">
        <v>6817</v>
      </c>
      <c r="M9356" s="334">
        <v>-300</v>
      </c>
      <c r="N9356" s="362">
        <f t="shared" si="320"/>
        <v>-300</v>
      </c>
    </row>
    <row r="9357" ht="15" customHeight="1" spans="2:14">
      <c r="B9357" s="334" t="s">
        <v>73</v>
      </c>
      <c r="C9357" s="348" t="s">
        <v>74</v>
      </c>
      <c r="D9357" s="334" t="s">
        <v>44</v>
      </c>
      <c r="E9357" s="336">
        <v>43799</v>
      </c>
      <c r="G9357" s="336">
        <v>43770</v>
      </c>
      <c r="H9357" s="334" t="s">
        <v>2269</v>
      </c>
      <c r="I9357" s="444">
        <v>13764634727</v>
      </c>
      <c r="J9357" s="348" t="s">
        <v>14228</v>
      </c>
      <c r="M9357" s="334">
        <v>-8827</v>
      </c>
      <c r="N9357" s="362">
        <f t="shared" si="320"/>
        <v>-8827</v>
      </c>
    </row>
    <row r="9358" ht="15" customHeight="1" spans="1:14">
      <c r="A9358" s="348"/>
      <c r="B9358" s="334" t="s">
        <v>58</v>
      </c>
      <c r="C9358" s="348" t="s">
        <v>347</v>
      </c>
      <c r="D9358" s="334" t="s">
        <v>343</v>
      </c>
      <c r="E9358" s="336">
        <v>43802</v>
      </c>
      <c r="F9358" s="336">
        <v>43801</v>
      </c>
      <c r="G9358" s="399">
        <v>43801</v>
      </c>
      <c r="H9358" s="334" t="s">
        <v>352</v>
      </c>
      <c r="I9358" s="444">
        <v>13564259636</v>
      </c>
      <c r="J9358" s="444" t="s">
        <v>19246</v>
      </c>
      <c r="K9358" s="356">
        <v>20600</v>
      </c>
      <c r="L9358" s="334">
        <v>20600</v>
      </c>
      <c r="N9358" s="362">
        <f t="shared" si="320"/>
        <v>20600</v>
      </c>
    </row>
    <row r="9359" ht="15" customHeight="1" spans="1:16">
      <c r="A9359" s="348"/>
      <c r="B9359" s="334" t="s">
        <v>35</v>
      </c>
      <c r="C9359" s="348" t="s">
        <v>328</v>
      </c>
      <c r="D9359" s="335" t="s">
        <v>37</v>
      </c>
      <c r="E9359" s="336">
        <v>43830</v>
      </c>
      <c r="F9359" s="336">
        <v>43801</v>
      </c>
      <c r="G9359" s="336">
        <v>43830</v>
      </c>
      <c r="H9359" s="334" t="s">
        <v>19247</v>
      </c>
      <c r="I9359" s="444">
        <v>13918838018</v>
      </c>
      <c r="J9359" s="444" t="s">
        <v>19248</v>
      </c>
      <c r="K9359" s="356">
        <v>4798</v>
      </c>
      <c r="L9359" s="334">
        <v>5747</v>
      </c>
      <c r="N9359" s="362">
        <f t="shared" si="320"/>
        <v>5747</v>
      </c>
      <c r="P9359" s="356" t="s">
        <v>52</v>
      </c>
    </row>
    <row r="9360" ht="15" customHeight="1" spans="1:14">
      <c r="A9360" s="348">
        <v>2024297</v>
      </c>
      <c r="B9360" s="334" t="s">
        <v>335</v>
      </c>
      <c r="C9360" s="348" t="s">
        <v>615</v>
      </c>
      <c r="D9360" s="334" t="s">
        <v>337</v>
      </c>
      <c r="E9360" s="336">
        <v>43802</v>
      </c>
      <c r="F9360" s="336">
        <v>43802</v>
      </c>
      <c r="G9360" s="336">
        <v>43802</v>
      </c>
      <c r="H9360" s="334" t="s">
        <v>19249</v>
      </c>
      <c r="I9360" s="444">
        <v>13681766121</v>
      </c>
      <c r="J9360" s="348" t="s">
        <v>19250</v>
      </c>
      <c r="K9360" s="356">
        <v>4828</v>
      </c>
      <c r="L9360" s="334">
        <v>4828</v>
      </c>
      <c r="N9360" s="362">
        <f t="shared" si="320"/>
        <v>4828</v>
      </c>
    </row>
    <row r="9361" ht="15" customHeight="1" spans="1:14">
      <c r="A9361" s="550" t="s">
        <v>19251</v>
      </c>
      <c r="B9361" s="334" t="s">
        <v>58</v>
      </c>
      <c r="C9361" s="348" t="s">
        <v>347</v>
      </c>
      <c r="D9361" s="334" t="s">
        <v>271</v>
      </c>
      <c r="E9361" s="336">
        <v>43802</v>
      </c>
      <c r="F9361" s="336">
        <v>43800</v>
      </c>
      <c r="G9361" s="336">
        <v>43800</v>
      </c>
      <c r="H9361" s="334" t="s">
        <v>19252</v>
      </c>
      <c r="I9361" s="444">
        <v>13636628419</v>
      </c>
      <c r="J9361" s="348" t="s">
        <v>19253</v>
      </c>
      <c r="K9361" s="356">
        <v>16920</v>
      </c>
      <c r="L9361" s="334">
        <v>16920</v>
      </c>
      <c r="N9361" s="362">
        <f t="shared" si="320"/>
        <v>16920</v>
      </c>
    </row>
    <row r="9362" ht="15" customHeight="1" spans="1:14">
      <c r="A9362" s="550" t="s">
        <v>19254</v>
      </c>
      <c r="B9362" s="334" t="s">
        <v>42</v>
      </c>
      <c r="C9362" s="348" t="s">
        <v>43</v>
      </c>
      <c r="D9362" s="335" t="s">
        <v>149</v>
      </c>
      <c r="E9362" s="336">
        <v>43802</v>
      </c>
      <c r="F9362" s="336">
        <v>43802</v>
      </c>
      <c r="G9362" s="399">
        <v>43803</v>
      </c>
      <c r="H9362" s="334" t="s">
        <v>5771</v>
      </c>
      <c r="I9362" s="444">
        <v>15710195518</v>
      </c>
      <c r="J9362" s="438" t="s">
        <v>1905</v>
      </c>
      <c r="K9362" s="356">
        <v>1000</v>
      </c>
      <c r="N9362" s="362">
        <f t="shared" si="320"/>
        <v>0</v>
      </c>
    </row>
    <row r="9363" ht="15" customHeight="1" spans="1:17">
      <c r="A9363" s="550" t="s">
        <v>19255</v>
      </c>
      <c r="B9363" s="334" t="s">
        <v>66</v>
      </c>
      <c r="C9363" s="348" t="s">
        <v>7029</v>
      </c>
      <c r="D9363" s="335" t="s">
        <v>68</v>
      </c>
      <c r="E9363" s="336">
        <v>43802</v>
      </c>
      <c r="F9363" s="336">
        <v>43802</v>
      </c>
      <c r="G9363" s="399"/>
      <c r="H9363" s="334" t="s">
        <v>6957</v>
      </c>
      <c r="I9363" s="444">
        <v>15801731811</v>
      </c>
      <c r="J9363" s="444" t="s">
        <v>19256</v>
      </c>
      <c r="K9363" s="356">
        <v>1000</v>
      </c>
      <c r="N9363" s="362">
        <f t="shared" si="320"/>
        <v>0</v>
      </c>
      <c r="Q9363" s="467" t="s">
        <v>52</v>
      </c>
    </row>
    <row r="9364" ht="15" customHeight="1" spans="1:14">
      <c r="A9364" s="550" t="s">
        <v>11322</v>
      </c>
      <c r="B9364" s="334" t="s">
        <v>169</v>
      </c>
      <c r="C9364" s="348" t="s">
        <v>634</v>
      </c>
      <c r="D9364" s="334" t="s">
        <v>635</v>
      </c>
      <c r="E9364" s="336">
        <v>43802</v>
      </c>
      <c r="F9364" s="336">
        <v>43802</v>
      </c>
      <c r="G9364" s="399">
        <v>43802</v>
      </c>
      <c r="H9364" s="334" t="s">
        <v>19257</v>
      </c>
      <c r="I9364" s="444">
        <v>18019730911</v>
      </c>
      <c r="J9364" s="444" t="s">
        <v>19151</v>
      </c>
      <c r="K9364" s="356">
        <v>10208</v>
      </c>
      <c r="L9364" s="334">
        <v>10208</v>
      </c>
      <c r="N9364" s="362">
        <f t="shared" si="320"/>
        <v>10208</v>
      </c>
    </row>
    <row r="9365" ht="15" customHeight="1" spans="1:16">
      <c r="A9365" s="550" t="s">
        <v>3953</v>
      </c>
      <c r="B9365" s="334" t="s">
        <v>73</v>
      </c>
      <c r="C9365" s="348" t="s">
        <v>74</v>
      </c>
      <c r="D9365" s="335" t="s">
        <v>75</v>
      </c>
      <c r="E9365" s="336">
        <v>43807</v>
      </c>
      <c r="F9365" s="336">
        <v>43807</v>
      </c>
      <c r="G9365" s="399"/>
      <c r="H9365" s="334" t="s">
        <v>19258</v>
      </c>
      <c r="I9365" s="444">
        <v>18939917500</v>
      </c>
      <c r="J9365" s="438" t="s">
        <v>19259</v>
      </c>
      <c r="K9365" s="356">
        <v>1000</v>
      </c>
      <c r="N9365" s="362">
        <f t="shared" si="320"/>
        <v>0</v>
      </c>
      <c r="P9365" s="366" t="s">
        <v>52</v>
      </c>
    </row>
    <row r="9366" ht="15" customHeight="1" spans="1:14">
      <c r="A9366" s="550" t="s">
        <v>9599</v>
      </c>
      <c r="B9366" s="334" t="s">
        <v>73</v>
      </c>
      <c r="C9366" s="348" t="s">
        <v>178</v>
      </c>
      <c r="D9366" s="334" t="s">
        <v>44</v>
      </c>
      <c r="E9366" s="336">
        <v>43804</v>
      </c>
      <c r="F9366" s="336">
        <v>43802</v>
      </c>
      <c r="G9366" s="336">
        <v>43804</v>
      </c>
      <c r="H9366" s="334" t="s">
        <v>19260</v>
      </c>
      <c r="I9366" s="444">
        <v>13901630224</v>
      </c>
      <c r="J9366" s="444" t="s">
        <v>19261</v>
      </c>
      <c r="K9366" s="356">
        <v>1000</v>
      </c>
      <c r="L9366" s="334">
        <v>28492</v>
      </c>
      <c r="N9366" s="362">
        <f t="shared" si="320"/>
        <v>28492</v>
      </c>
    </row>
    <row r="9367" ht="15" customHeight="1" spans="2:14">
      <c r="B9367" s="334" t="s">
        <v>35</v>
      </c>
      <c r="C9367" s="334" t="s">
        <v>328</v>
      </c>
      <c r="D9367" s="334" t="s">
        <v>37</v>
      </c>
      <c r="E9367" s="336">
        <v>43799</v>
      </c>
      <c r="G9367" s="336">
        <v>43774</v>
      </c>
      <c r="H9367" s="334" t="s">
        <v>8247</v>
      </c>
      <c r="I9367" s="334">
        <v>18917219808</v>
      </c>
      <c r="J9367" s="334" t="s">
        <v>16229</v>
      </c>
      <c r="L9367" s="334">
        <v>11000</v>
      </c>
      <c r="N9367" s="362">
        <f t="shared" ref="N9367:N9383" si="321">L9367+M9367</f>
        <v>11000</v>
      </c>
    </row>
    <row r="9368" ht="15" customHeight="1" spans="2:14">
      <c r="B9368" s="334" t="s">
        <v>805</v>
      </c>
      <c r="C9368" s="334" t="s">
        <v>806</v>
      </c>
      <c r="D9368" s="334" t="s">
        <v>171</v>
      </c>
      <c r="E9368" s="336">
        <v>43802</v>
      </c>
      <c r="G9368" s="336">
        <v>43801</v>
      </c>
      <c r="H9368" s="334" t="s">
        <v>19262</v>
      </c>
      <c r="I9368" s="444">
        <v>13041668824</v>
      </c>
      <c r="J9368" s="348" t="s">
        <v>19263</v>
      </c>
      <c r="L9368" s="334">
        <v>9872</v>
      </c>
      <c r="N9368" s="362">
        <f t="shared" si="321"/>
        <v>9872</v>
      </c>
    </row>
    <row r="9369" ht="15" customHeight="1" spans="2:14">
      <c r="B9369" s="334" t="s">
        <v>805</v>
      </c>
      <c r="C9369" s="334" t="s">
        <v>4935</v>
      </c>
      <c r="D9369" s="334" t="s">
        <v>171</v>
      </c>
      <c r="E9369" s="336">
        <v>43802</v>
      </c>
      <c r="G9369" s="336">
        <v>43799</v>
      </c>
      <c r="H9369" s="334" t="s">
        <v>19264</v>
      </c>
      <c r="I9369" s="444">
        <v>18221796086</v>
      </c>
      <c r="J9369" s="348" t="s">
        <v>19265</v>
      </c>
      <c r="L9369" s="334">
        <v>20000</v>
      </c>
      <c r="N9369" s="362">
        <f t="shared" si="321"/>
        <v>20000</v>
      </c>
    </row>
    <row r="9370" ht="15" customHeight="1" spans="2:14">
      <c r="B9370" s="334" t="s">
        <v>281</v>
      </c>
      <c r="C9370" s="334" t="s">
        <v>491</v>
      </c>
      <c r="D9370" s="334" t="s">
        <v>407</v>
      </c>
      <c r="E9370" s="336">
        <v>43802</v>
      </c>
      <c r="G9370" s="336">
        <v>43802</v>
      </c>
      <c r="H9370" s="334" t="s">
        <v>19266</v>
      </c>
      <c r="I9370" s="444">
        <v>17749719776</v>
      </c>
      <c r="J9370" s="348" t="s">
        <v>19267</v>
      </c>
      <c r="L9370" s="334">
        <v>8856</v>
      </c>
      <c r="N9370" s="362">
        <f t="shared" si="321"/>
        <v>8856</v>
      </c>
    </row>
    <row r="9371" ht="15" customHeight="1" spans="2:14">
      <c r="B9371" s="334" t="s">
        <v>4009</v>
      </c>
      <c r="C9371" s="334" t="s">
        <v>6401</v>
      </c>
      <c r="D9371" s="334" t="s">
        <v>207</v>
      </c>
      <c r="E9371" s="336">
        <v>43802</v>
      </c>
      <c r="G9371" s="336">
        <v>43800</v>
      </c>
      <c r="H9371" s="334" t="s">
        <v>19268</v>
      </c>
      <c r="I9371" s="444">
        <v>15216775694</v>
      </c>
      <c r="J9371" s="348" t="s">
        <v>19269</v>
      </c>
      <c r="L9371" s="334">
        <v>3370</v>
      </c>
      <c r="N9371" s="362">
        <f t="shared" si="321"/>
        <v>3370</v>
      </c>
    </row>
    <row r="9372" ht="15" customHeight="1" spans="2:14">
      <c r="B9372" s="334" t="s">
        <v>4009</v>
      </c>
      <c r="C9372" s="334" t="s">
        <v>6401</v>
      </c>
      <c r="D9372" s="334" t="s">
        <v>207</v>
      </c>
      <c r="E9372" s="336">
        <v>43802</v>
      </c>
      <c r="G9372" s="336">
        <v>43802</v>
      </c>
      <c r="H9372" s="334" t="s">
        <v>19270</v>
      </c>
      <c r="I9372" s="444">
        <v>13301601208</v>
      </c>
      <c r="J9372" s="348" t="s">
        <v>19271</v>
      </c>
      <c r="L9372" s="334">
        <v>1999</v>
      </c>
      <c r="N9372" s="362">
        <f t="shared" si="321"/>
        <v>1999</v>
      </c>
    </row>
    <row r="9373" ht="15" customHeight="1" spans="2:14">
      <c r="B9373" s="334" t="s">
        <v>354</v>
      </c>
      <c r="C9373" s="334" t="s">
        <v>355</v>
      </c>
      <c r="D9373" s="334" t="s">
        <v>343</v>
      </c>
      <c r="E9373" s="336">
        <v>43802</v>
      </c>
      <c r="G9373" s="336">
        <v>43800</v>
      </c>
      <c r="H9373" s="334" t="s">
        <v>13978</v>
      </c>
      <c r="I9373" s="334">
        <v>13917931289</v>
      </c>
      <c r="J9373" s="348" t="s">
        <v>19272</v>
      </c>
      <c r="M9373" s="334">
        <v>413</v>
      </c>
      <c r="N9373" s="362">
        <f t="shared" si="321"/>
        <v>413</v>
      </c>
    </row>
    <row r="9374" ht="15" customHeight="1" spans="2:14">
      <c r="B9374" s="334" t="s">
        <v>31</v>
      </c>
      <c r="C9374" s="334" t="s">
        <v>419</v>
      </c>
      <c r="D9374" s="334" t="s">
        <v>33</v>
      </c>
      <c r="E9374" s="336">
        <v>43802</v>
      </c>
      <c r="G9374" s="336">
        <v>43802</v>
      </c>
      <c r="H9374" s="334" t="s">
        <v>16596</v>
      </c>
      <c r="I9374" s="334">
        <v>13564225140</v>
      </c>
      <c r="J9374" s="348" t="s">
        <v>19273</v>
      </c>
      <c r="M9374" s="334">
        <v>410</v>
      </c>
      <c r="N9374" s="362">
        <f t="shared" si="321"/>
        <v>410</v>
      </c>
    </row>
    <row r="9375" ht="15" customHeight="1" spans="2:14">
      <c r="B9375" s="348" t="s">
        <v>73</v>
      </c>
      <c r="C9375" s="348" t="s">
        <v>74</v>
      </c>
      <c r="D9375" s="334" t="s">
        <v>187</v>
      </c>
      <c r="E9375" s="336">
        <v>43802</v>
      </c>
      <c r="G9375" s="336">
        <v>43801</v>
      </c>
      <c r="H9375" s="334" t="s">
        <v>3971</v>
      </c>
      <c r="I9375" s="356">
        <v>13761316431</v>
      </c>
      <c r="J9375" s="348" t="s">
        <v>3972</v>
      </c>
      <c r="M9375" s="334">
        <v>1410</v>
      </c>
      <c r="N9375" s="362">
        <f t="shared" si="321"/>
        <v>1410</v>
      </c>
    </row>
    <row r="9376" ht="15" customHeight="1" spans="2:14">
      <c r="B9376" s="334" t="s">
        <v>31</v>
      </c>
      <c r="C9376" s="334" t="s">
        <v>251</v>
      </c>
      <c r="D9376" s="334" t="s">
        <v>221</v>
      </c>
      <c r="E9376" s="336">
        <v>43802</v>
      </c>
      <c r="G9376" s="336">
        <v>43801</v>
      </c>
      <c r="H9376" s="334" t="s">
        <v>894</v>
      </c>
      <c r="I9376" s="444">
        <v>18964890693</v>
      </c>
      <c r="J9376" s="348" t="s">
        <v>895</v>
      </c>
      <c r="M9376" s="334">
        <v>1928</v>
      </c>
      <c r="N9376" s="362">
        <f t="shared" si="321"/>
        <v>1928</v>
      </c>
    </row>
    <row r="9377" ht="15" customHeight="1" spans="2:14">
      <c r="B9377" s="334" t="s">
        <v>137</v>
      </c>
      <c r="C9377" s="334" t="s">
        <v>861</v>
      </c>
      <c r="D9377" s="334" t="s">
        <v>75</v>
      </c>
      <c r="E9377" s="336">
        <v>43802</v>
      </c>
      <c r="G9377" s="336">
        <v>43800</v>
      </c>
      <c r="H9377" s="334" t="s">
        <v>3781</v>
      </c>
      <c r="I9377" s="356">
        <v>13801808365</v>
      </c>
      <c r="J9377" s="438" t="s">
        <v>3782</v>
      </c>
      <c r="M9377" s="334">
        <v>1299</v>
      </c>
      <c r="N9377" s="362">
        <f t="shared" si="321"/>
        <v>1299</v>
      </c>
    </row>
    <row r="9378" ht="15" customHeight="1" spans="2:14">
      <c r="B9378" s="348" t="s">
        <v>73</v>
      </c>
      <c r="C9378" s="348" t="s">
        <v>74</v>
      </c>
      <c r="D9378" s="334" t="s">
        <v>44</v>
      </c>
      <c r="E9378" s="336">
        <v>43802</v>
      </c>
      <c r="G9378" s="336">
        <v>43802</v>
      </c>
      <c r="H9378" s="334" t="s">
        <v>16031</v>
      </c>
      <c r="I9378" s="444">
        <v>15921592163</v>
      </c>
      <c r="J9378" s="438" t="s">
        <v>16032</v>
      </c>
      <c r="M9378" s="334">
        <v>0</v>
      </c>
      <c r="N9378" s="362">
        <f t="shared" si="321"/>
        <v>0</v>
      </c>
    </row>
    <row r="9379" ht="15" customHeight="1" spans="2:14">
      <c r="B9379" s="334" t="s">
        <v>123</v>
      </c>
      <c r="C9379" s="334" t="s">
        <v>32</v>
      </c>
      <c r="D9379" s="334" t="s">
        <v>125</v>
      </c>
      <c r="E9379" s="336">
        <v>43802</v>
      </c>
      <c r="G9379" s="336">
        <v>43801</v>
      </c>
      <c r="H9379" s="334" t="s">
        <v>14824</v>
      </c>
      <c r="I9379" s="444">
        <v>13564388698</v>
      </c>
      <c r="J9379" s="438" t="s">
        <v>14825</v>
      </c>
      <c r="M9379" s="334">
        <v>-10</v>
      </c>
      <c r="N9379" s="362">
        <f t="shared" si="321"/>
        <v>-10</v>
      </c>
    </row>
    <row r="9380" ht="15" customHeight="1" spans="2:14">
      <c r="B9380" s="334" t="s">
        <v>5435</v>
      </c>
      <c r="C9380" s="334" t="s">
        <v>1728</v>
      </c>
      <c r="D9380" s="334" t="s">
        <v>149</v>
      </c>
      <c r="E9380" s="336">
        <v>43802</v>
      </c>
      <c r="G9380" s="336">
        <v>43802</v>
      </c>
      <c r="H9380" s="334" t="s">
        <v>15924</v>
      </c>
      <c r="I9380" s="444">
        <v>13901725717</v>
      </c>
      <c r="J9380" s="348" t="s">
        <v>15925</v>
      </c>
      <c r="M9380" s="334">
        <v>8507</v>
      </c>
      <c r="N9380" s="362">
        <f t="shared" si="321"/>
        <v>8507</v>
      </c>
    </row>
    <row r="9381" ht="15" customHeight="1" spans="2:14">
      <c r="B9381" s="334" t="s">
        <v>137</v>
      </c>
      <c r="C9381" s="334" t="s">
        <v>861</v>
      </c>
      <c r="D9381" s="334" t="s">
        <v>443</v>
      </c>
      <c r="E9381" s="336">
        <v>43802</v>
      </c>
      <c r="G9381" s="336">
        <v>43802</v>
      </c>
      <c r="H9381" s="334" t="s">
        <v>16898</v>
      </c>
      <c r="I9381" s="444">
        <v>18621860097</v>
      </c>
      <c r="J9381" s="438" t="s">
        <v>16899</v>
      </c>
      <c r="M9381" s="334">
        <v>-1876</v>
      </c>
      <c r="N9381" s="362">
        <f t="shared" si="321"/>
        <v>-1876</v>
      </c>
    </row>
    <row r="9382" ht="15" customHeight="1" spans="2:14">
      <c r="B9382" s="334" t="s">
        <v>4009</v>
      </c>
      <c r="C9382" s="334" t="s">
        <v>6401</v>
      </c>
      <c r="D9382" s="334" t="s">
        <v>8334</v>
      </c>
      <c r="E9382" s="336">
        <v>43802</v>
      </c>
      <c r="G9382" s="336">
        <v>43802</v>
      </c>
      <c r="H9382" s="334" t="s">
        <v>19274</v>
      </c>
      <c r="I9382" s="444">
        <v>18721730518</v>
      </c>
      <c r="J9382" s="348" t="s">
        <v>19275</v>
      </c>
      <c r="M9382" s="334">
        <v>978</v>
      </c>
      <c r="N9382" s="362">
        <f t="shared" si="321"/>
        <v>978</v>
      </c>
    </row>
    <row r="9383" ht="15" customHeight="1" spans="2:14">
      <c r="B9383" s="334" t="s">
        <v>153</v>
      </c>
      <c r="C9383" s="334" t="s">
        <v>302</v>
      </c>
      <c r="D9383" s="334" t="s">
        <v>155</v>
      </c>
      <c r="E9383" s="336">
        <v>43802</v>
      </c>
      <c r="G9383" s="336">
        <v>43802</v>
      </c>
      <c r="H9383" s="334" t="s">
        <v>11659</v>
      </c>
      <c r="I9383" s="426">
        <v>13585995359</v>
      </c>
      <c r="J9383" s="334" t="s">
        <v>11660</v>
      </c>
      <c r="M9383" s="334">
        <v>1095</v>
      </c>
      <c r="N9383" s="362">
        <f t="shared" si="321"/>
        <v>1095</v>
      </c>
    </row>
    <row r="9384" ht="15" customHeight="1" spans="1:17">
      <c r="A9384" s="550" t="s">
        <v>930</v>
      </c>
      <c r="B9384" s="334" t="s">
        <v>315</v>
      </c>
      <c r="C9384" s="348" t="s">
        <v>161</v>
      </c>
      <c r="D9384" s="335" t="s">
        <v>162</v>
      </c>
      <c r="E9384" s="336">
        <v>43803</v>
      </c>
      <c r="F9384" s="336">
        <v>43802</v>
      </c>
      <c r="G9384" s="399"/>
      <c r="H9384" s="334" t="s">
        <v>19276</v>
      </c>
      <c r="I9384" s="444">
        <v>15618690545</v>
      </c>
      <c r="J9384" s="444" t="s">
        <v>19277</v>
      </c>
      <c r="K9384" s="356">
        <v>500</v>
      </c>
      <c r="N9384" s="362">
        <f t="shared" ref="N9384:N9418" si="322">L9384+M9384</f>
        <v>0</v>
      </c>
      <c r="Q9384" s="330">
        <v>1</v>
      </c>
    </row>
    <row r="9385" ht="15" customHeight="1" spans="1:14">
      <c r="A9385" s="550" t="s">
        <v>12114</v>
      </c>
      <c r="B9385" s="334" t="s">
        <v>185</v>
      </c>
      <c r="C9385" s="348" t="s">
        <v>186</v>
      </c>
      <c r="D9385" s="335" t="s">
        <v>187</v>
      </c>
      <c r="E9385" s="336">
        <v>43815</v>
      </c>
      <c r="F9385" s="336">
        <v>43802</v>
      </c>
      <c r="G9385" s="336">
        <v>43814</v>
      </c>
      <c r="H9385" s="334" t="s">
        <v>19278</v>
      </c>
      <c r="I9385" s="444">
        <v>15921650115</v>
      </c>
      <c r="J9385" s="444" t="s">
        <v>19279</v>
      </c>
      <c r="K9385" s="356">
        <v>500</v>
      </c>
      <c r="L9385" s="334">
        <v>10498</v>
      </c>
      <c r="N9385" s="362">
        <f t="shared" si="322"/>
        <v>10498</v>
      </c>
    </row>
    <row r="9386" ht="15" customHeight="1" spans="1:21">
      <c r="A9386" s="550" t="s">
        <v>19280</v>
      </c>
      <c r="B9386" s="334" t="s">
        <v>66</v>
      </c>
      <c r="C9386" s="348" t="s">
        <v>119</v>
      </c>
      <c r="D9386" s="335" t="s">
        <v>68</v>
      </c>
      <c r="E9386" s="336">
        <v>43803</v>
      </c>
      <c r="F9386" s="336">
        <v>43803</v>
      </c>
      <c r="G9386" s="399"/>
      <c r="H9386" s="334" t="s">
        <v>3416</v>
      </c>
      <c r="I9386" s="444">
        <v>13391211333</v>
      </c>
      <c r="J9386" s="444" t="s">
        <v>19281</v>
      </c>
      <c r="K9386" s="356">
        <v>500</v>
      </c>
      <c r="N9386" s="362">
        <f t="shared" si="322"/>
        <v>0</v>
      </c>
      <c r="U9386" s="353" t="s">
        <v>19282</v>
      </c>
    </row>
    <row r="9387" ht="15" customHeight="1" spans="1:14">
      <c r="A9387" s="550" t="s">
        <v>19283</v>
      </c>
      <c r="B9387" s="334" t="s">
        <v>137</v>
      </c>
      <c r="C9387" s="348" t="s">
        <v>861</v>
      </c>
      <c r="D9387" s="334" t="s">
        <v>139</v>
      </c>
      <c r="E9387" s="336">
        <v>43823</v>
      </c>
      <c r="F9387" s="336">
        <v>43802</v>
      </c>
      <c r="G9387" s="336">
        <v>43823</v>
      </c>
      <c r="H9387" s="334" t="s">
        <v>19284</v>
      </c>
      <c r="I9387" s="444">
        <v>18501606860</v>
      </c>
      <c r="J9387" s="444" t="s">
        <v>19285</v>
      </c>
      <c r="K9387" s="356">
        <v>500</v>
      </c>
      <c r="L9387" s="334">
        <v>19072</v>
      </c>
      <c r="N9387" s="362">
        <f t="shared" si="322"/>
        <v>19072</v>
      </c>
    </row>
    <row r="9388" ht="15" customHeight="1" spans="1:14">
      <c r="A9388" s="550" t="s">
        <v>12167</v>
      </c>
      <c r="B9388" s="334" t="s">
        <v>137</v>
      </c>
      <c r="C9388" s="348" t="s">
        <v>138</v>
      </c>
      <c r="D9388" s="334" t="s">
        <v>443</v>
      </c>
      <c r="E9388" s="336">
        <v>43803</v>
      </c>
      <c r="F9388" s="336">
        <v>43802</v>
      </c>
      <c r="G9388" s="399">
        <v>43802</v>
      </c>
      <c r="H9388" s="334" t="s">
        <v>19286</v>
      </c>
      <c r="I9388" s="444">
        <v>18801950642</v>
      </c>
      <c r="J9388" s="444" t="s">
        <v>19287</v>
      </c>
      <c r="K9388" s="356">
        <v>11640</v>
      </c>
      <c r="L9388" s="334">
        <v>11640</v>
      </c>
      <c r="N9388" s="362">
        <f t="shared" si="322"/>
        <v>11640</v>
      </c>
    </row>
    <row r="9389" ht="15" customHeight="1" spans="1:14">
      <c r="A9389" s="550" t="s">
        <v>12640</v>
      </c>
      <c r="B9389" s="334" t="s">
        <v>137</v>
      </c>
      <c r="C9389" s="334" t="s">
        <v>411</v>
      </c>
      <c r="D9389" s="334" t="s">
        <v>2381</v>
      </c>
      <c r="E9389" s="336">
        <v>43803</v>
      </c>
      <c r="F9389" s="336">
        <v>43802</v>
      </c>
      <c r="G9389" s="399">
        <v>43802</v>
      </c>
      <c r="H9389" s="334" t="s">
        <v>19288</v>
      </c>
      <c r="I9389" s="444">
        <v>13901909853</v>
      </c>
      <c r="J9389" s="348" t="s">
        <v>19289</v>
      </c>
      <c r="K9389" s="356">
        <v>4615</v>
      </c>
      <c r="L9389" s="334">
        <v>4858</v>
      </c>
      <c r="N9389" s="362">
        <f t="shared" si="322"/>
        <v>4858</v>
      </c>
    </row>
    <row r="9390" ht="15" customHeight="1" spans="1:14">
      <c r="A9390" s="348"/>
      <c r="B9390" s="334" t="s">
        <v>315</v>
      </c>
      <c r="C9390" s="334" t="s">
        <v>161</v>
      </c>
      <c r="D9390" s="334" t="s">
        <v>149</v>
      </c>
      <c r="E9390" s="336">
        <v>43803</v>
      </c>
      <c r="F9390" s="336">
        <v>43802</v>
      </c>
      <c r="G9390" s="399">
        <v>43802</v>
      </c>
      <c r="H9390" s="334" t="s">
        <v>19290</v>
      </c>
      <c r="I9390" s="444">
        <v>13918493833</v>
      </c>
      <c r="J9390" s="444" t="s">
        <v>19291</v>
      </c>
      <c r="K9390" s="356">
        <v>7152</v>
      </c>
      <c r="L9390" s="334">
        <v>2856</v>
      </c>
      <c r="M9390" s="334">
        <v>9462</v>
      </c>
      <c r="N9390" s="362">
        <f t="shared" si="322"/>
        <v>12318</v>
      </c>
    </row>
    <row r="9391" ht="15" customHeight="1" spans="1:14">
      <c r="A9391" s="348">
        <v>3056983</v>
      </c>
      <c r="B9391" s="334" t="s">
        <v>281</v>
      </c>
      <c r="C9391" s="348" t="s">
        <v>13525</v>
      </c>
      <c r="D9391" s="334" t="s">
        <v>518</v>
      </c>
      <c r="E9391" s="336">
        <v>43819</v>
      </c>
      <c r="F9391" s="336">
        <v>43802</v>
      </c>
      <c r="G9391" s="336">
        <v>43819</v>
      </c>
      <c r="H9391" s="334" t="s">
        <v>19292</v>
      </c>
      <c r="I9391" s="444">
        <v>13916205620</v>
      </c>
      <c r="J9391" s="444" t="s">
        <v>19293</v>
      </c>
      <c r="K9391" s="356">
        <f>3000+5000</f>
        <v>8000</v>
      </c>
      <c r="L9391" s="334">
        <v>37023</v>
      </c>
      <c r="N9391" s="362">
        <f t="shared" si="322"/>
        <v>37023</v>
      </c>
    </row>
    <row r="9392" ht="15" customHeight="1" spans="1:15">
      <c r="A9392" s="550" t="s">
        <v>19294</v>
      </c>
      <c r="B9392" s="334" t="s">
        <v>31</v>
      </c>
      <c r="C9392" s="348" t="s">
        <v>13171</v>
      </c>
      <c r="D9392" s="335" t="s">
        <v>33</v>
      </c>
      <c r="E9392" s="336">
        <v>43803</v>
      </c>
      <c r="F9392" s="336">
        <v>43803</v>
      </c>
      <c r="G9392" s="399"/>
      <c r="H9392" s="348" t="s">
        <v>19295</v>
      </c>
      <c r="I9392" s="444">
        <v>13564432916</v>
      </c>
      <c r="J9392" s="444" t="s">
        <v>19296</v>
      </c>
      <c r="K9392" s="356">
        <v>500</v>
      </c>
      <c r="N9392" s="362">
        <f t="shared" si="322"/>
        <v>0</v>
      </c>
      <c r="O9392" s="467" t="s">
        <v>52</v>
      </c>
    </row>
    <row r="9393" ht="15" customHeight="1" spans="1:15">
      <c r="A9393" s="550" t="s">
        <v>2712</v>
      </c>
      <c r="B9393" s="334" t="s">
        <v>31</v>
      </c>
      <c r="C9393" s="348" t="s">
        <v>13171</v>
      </c>
      <c r="D9393" s="335" t="s">
        <v>33</v>
      </c>
      <c r="E9393" s="336">
        <v>43803</v>
      </c>
      <c r="F9393" s="336">
        <v>43802</v>
      </c>
      <c r="G9393" s="399"/>
      <c r="H9393" s="334" t="s">
        <v>19297</v>
      </c>
      <c r="I9393" s="444">
        <v>13524119358</v>
      </c>
      <c r="J9393" s="444" t="s">
        <v>19298</v>
      </c>
      <c r="K9393" s="356">
        <v>500</v>
      </c>
      <c r="N9393" s="362">
        <f t="shared" si="322"/>
        <v>0</v>
      </c>
      <c r="O9393" s="467" t="s">
        <v>52</v>
      </c>
    </row>
    <row r="9394" ht="15" customHeight="1" spans="1:16">
      <c r="A9394" s="550" t="s">
        <v>14476</v>
      </c>
      <c r="B9394" s="334" t="s">
        <v>315</v>
      </c>
      <c r="C9394" s="348" t="s">
        <v>161</v>
      </c>
      <c r="D9394" s="335" t="s">
        <v>162</v>
      </c>
      <c r="E9394" s="336">
        <v>43803</v>
      </c>
      <c r="F9394" s="336">
        <v>43802</v>
      </c>
      <c r="G9394" s="399"/>
      <c r="H9394" s="334" t="s">
        <v>19299</v>
      </c>
      <c r="I9394" s="444">
        <v>13916691068</v>
      </c>
      <c r="J9394" s="444" t="s">
        <v>19300</v>
      </c>
      <c r="K9394" s="356">
        <v>500</v>
      </c>
      <c r="N9394" s="362">
        <f t="shared" si="322"/>
        <v>0</v>
      </c>
      <c r="P9394" s="330">
        <v>1</v>
      </c>
    </row>
    <row r="9395" ht="15" customHeight="1" spans="1:17">
      <c r="A9395" s="550" t="s">
        <v>12108</v>
      </c>
      <c r="B9395" s="334" t="s">
        <v>185</v>
      </c>
      <c r="C9395" s="348" t="s">
        <v>186</v>
      </c>
      <c r="D9395" s="335" t="s">
        <v>187</v>
      </c>
      <c r="E9395" s="336">
        <v>43835</v>
      </c>
      <c r="F9395" s="336">
        <v>43802</v>
      </c>
      <c r="G9395" s="336">
        <v>43834</v>
      </c>
      <c r="H9395" s="334" t="s">
        <v>19301</v>
      </c>
      <c r="I9395" s="444">
        <v>13918315341</v>
      </c>
      <c r="J9395" s="444" t="s">
        <v>19302</v>
      </c>
      <c r="K9395" s="356">
        <v>500</v>
      </c>
      <c r="L9395" s="334">
        <f>10500</f>
        <v>10500</v>
      </c>
      <c r="N9395" s="362">
        <f t="shared" si="322"/>
        <v>10500</v>
      </c>
      <c r="Q9395" s="467" t="s">
        <v>52</v>
      </c>
    </row>
    <row r="9396" ht="15" customHeight="1" spans="1:15">
      <c r="A9396" s="348"/>
      <c r="B9396" s="334" t="s">
        <v>31</v>
      </c>
      <c r="C9396" s="348" t="s">
        <v>3186</v>
      </c>
      <c r="D9396" s="335" t="s">
        <v>221</v>
      </c>
      <c r="E9396" s="336">
        <v>43803</v>
      </c>
      <c r="F9396" s="336">
        <v>43802</v>
      </c>
      <c r="G9396" s="399"/>
      <c r="H9396" s="334" t="s">
        <v>19303</v>
      </c>
      <c r="I9396" s="444">
        <v>18964776181</v>
      </c>
      <c r="J9396" s="348" t="s">
        <v>19304</v>
      </c>
      <c r="K9396" s="334">
        <v>1299</v>
      </c>
      <c r="N9396" s="362">
        <f t="shared" si="322"/>
        <v>0</v>
      </c>
      <c r="O9396" s="467" t="s">
        <v>52</v>
      </c>
    </row>
    <row r="9397" ht="15" customHeight="1" spans="1:17">
      <c r="A9397" s="550" t="s">
        <v>9492</v>
      </c>
      <c r="B9397" s="334" t="s">
        <v>58</v>
      </c>
      <c r="C9397" s="348" t="s">
        <v>342</v>
      </c>
      <c r="D9397" s="335" t="s">
        <v>343</v>
      </c>
      <c r="E9397" s="336">
        <v>43803</v>
      </c>
      <c r="F9397" s="336">
        <v>43803</v>
      </c>
      <c r="G9397" s="399"/>
      <c r="H9397" s="334" t="s">
        <v>19305</v>
      </c>
      <c r="I9397" s="444">
        <v>15921602926</v>
      </c>
      <c r="J9397" s="444" t="s">
        <v>19306</v>
      </c>
      <c r="K9397" s="356">
        <v>1000</v>
      </c>
      <c r="N9397" s="362">
        <f t="shared" si="322"/>
        <v>0</v>
      </c>
      <c r="Q9397" s="467" t="s">
        <v>52</v>
      </c>
    </row>
    <row r="9398" ht="15" customHeight="1" spans="1:16">
      <c r="A9398" s="550" t="s">
        <v>1659</v>
      </c>
      <c r="B9398" s="334" t="s">
        <v>87</v>
      </c>
      <c r="C9398" s="348" t="s">
        <v>199</v>
      </c>
      <c r="D9398" s="335" t="s">
        <v>89</v>
      </c>
      <c r="E9398" s="336">
        <v>43803</v>
      </c>
      <c r="F9398" s="336">
        <v>43802</v>
      </c>
      <c r="G9398" s="399"/>
      <c r="H9398" s="334" t="s">
        <v>19307</v>
      </c>
      <c r="I9398" s="444">
        <v>13636422103</v>
      </c>
      <c r="J9398" s="444" t="s">
        <v>19308</v>
      </c>
      <c r="K9398" s="356">
        <v>500</v>
      </c>
      <c r="N9398" s="362">
        <f t="shared" si="322"/>
        <v>0</v>
      </c>
      <c r="P9398" s="356" t="s">
        <v>52</v>
      </c>
    </row>
    <row r="9399" ht="15" customHeight="1" spans="1:15">
      <c r="A9399" s="550" t="s">
        <v>19309</v>
      </c>
      <c r="B9399" s="334" t="s">
        <v>281</v>
      </c>
      <c r="C9399" s="348" t="s">
        <v>13525</v>
      </c>
      <c r="D9399" s="335" t="s">
        <v>49</v>
      </c>
      <c r="E9399" s="336">
        <v>43803</v>
      </c>
      <c r="F9399" s="336">
        <v>43802</v>
      </c>
      <c r="G9399" s="399"/>
      <c r="H9399" s="334" t="s">
        <v>19310</v>
      </c>
      <c r="I9399" s="444">
        <v>13601778342</v>
      </c>
      <c r="J9399" s="444" t="s">
        <v>19311</v>
      </c>
      <c r="K9399" s="356">
        <v>500</v>
      </c>
      <c r="N9399" s="362">
        <f t="shared" si="322"/>
        <v>0</v>
      </c>
      <c r="O9399" s="356" t="s">
        <v>52</v>
      </c>
    </row>
    <row r="9400" ht="15" customHeight="1" spans="1:14">
      <c r="A9400" s="550" t="s">
        <v>18631</v>
      </c>
      <c r="B9400" s="334" t="s">
        <v>66</v>
      </c>
      <c r="C9400" s="348" t="s">
        <v>505</v>
      </c>
      <c r="D9400" s="334" t="s">
        <v>2302</v>
      </c>
      <c r="E9400" s="336">
        <v>43809</v>
      </c>
      <c r="F9400" s="336">
        <v>43803</v>
      </c>
      <c r="G9400" s="336">
        <v>43808</v>
      </c>
      <c r="H9400" s="334" t="s">
        <v>19312</v>
      </c>
      <c r="I9400" s="444" t="s">
        <v>19313</v>
      </c>
      <c r="J9400" s="444" t="s">
        <v>19314</v>
      </c>
      <c r="K9400" s="356">
        <v>500</v>
      </c>
      <c r="L9400" s="334">
        <v>5206</v>
      </c>
      <c r="N9400" s="362">
        <f t="shared" si="322"/>
        <v>5206</v>
      </c>
    </row>
    <row r="9401" ht="15" customHeight="1" spans="1:15">
      <c r="A9401" s="550" t="s">
        <v>19315</v>
      </c>
      <c r="B9401" s="334" t="s">
        <v>137</v>
      </c>
      <c r="C9401" s="348" t="s">
        <v>411</v>
      </c>
      <c r="D9401" s="334" t="s">
        <v>139</v>
      </c>
      <c r="E9401" s="336">
        <v>43829</v>
      </c>
      <c r="F9401" s="336">
        <v>43803</v>
      </c>
      <c r="G9401" s="336">
        <v>43829</v>
      </c>
      <c r="H9401" s="334" t="s">
        <v>19316</v>
      </c>
      <c r="I9401" s="444">
        <v>18502198585</v>
      </c>
      <c r="J9401" s="444" t="s">
        <v>19317</v>
      </c>
      <c r="K9401" s="356">
        <f>13500+1000</f>
        <v>14500</v>
      </c>
      <c r="L9401" s="334">
        <v>14500</v>
      </c>
      <c r="N9401" s="362">
        <f t="shared" si="322"/>
        <v>14500</v>
      </c>
      <c r="O9401" s="353" t="s">
        <v>16361</v>
      </c>
    </row>
    <row r="9402" ht="15" customHeight="1" spans="1:17">
      <c r="A9402" s="550" t="s">
        <v>12088</v>
      </c>
      <c r="B9402" s="334" t="s">
        <v>58</v>
      </c>
      <c r="C9402" s="348" t="s">
        <v>342</v>
      </c>
      <c r="D9402" s="335" t="s">
        <v>343</v>
      </c>
      <c r="E9402" s="336">
        <v>43830</v>
      </c>
      <c r="F9402" s="336">
        <v>43803</v>
      </c>
      <c r="G9402" s="336">
        <v>43817</v>
      </c>
      <c r="H9402" s="334" t="s">
        <v>743</v>
      </c>
      <c r="I9402" s="444">
        <v>13052044437</v>
      </c>
      <c r="J9402" s="438" t="s">
        <v>19318</v>
      </c>
      <c r="K9402" s="356">
        <v>500</v>
      </c>
      <c r="L9402" s="334">
        <v>16400</v>
      </c>
      <c r="N9402" s="362">
        <f t="shared" si="322"/>
        <v>16400</v>
      </c>
      <c r="Q9402" s="467" t="s">
        <v>52</v>
      </c>
    </row>
    <row r="9403" ht="15" customHeight="1" spans="1:21">
      <c r="A9403" s="550" t="s">
        <v>618</v>
      </c>
      <c r="B9403" s="334" t="s">
        <v>137</v>
      </c>
      <c r="C9403" s="348" t="s">
        <v>411</v>
      </c>
      <c r="D9403" s="335" t="s">
        <v>427</v>
      </c>
      <c r="E9403" s="336">
        <v>43803</v>
      </c>
      <c r="F9403" s="336">
        <v>43803</v>
      </c>
      <c r="G9403" s="399"/>
      <c r="H9403" s="334" t="s">
        <v>19319</v>
      </c>
      <c r="I9403" s="444">
        <v>18016415257</v>
      </c>
      <c r="J9403" s="438" t="s">
        <v>19320</v>
      </c>
      <c r="K9403" s="356">
        <v>1000</v>
      </c>
      <c r="N9403" s="362">
        <f t="shared" si="322"/>
        <v>0</v>
      </c>
      <c r="U9403" s="376" t="s">
        <v>12</v>
      </c>
    </row>
    <row r="9404" ht="15" customHeight="1" spans="1:15">
      <c r="A9404" s="550" t="s">
        <v>12002</v>
      </c>
      <c r="B9404" s="334" t="s">
        <v>58</v>
      </c>
      <c r="C9404" s="348" t="s">
        <v>342</v>
      </c>
      <c r="D9404" s="335" t="s">
        <v>343</v>
      </c>
      <c r="E9404" s="336">
        <v>43803</v>
      </c>
      <c r="F9404" s="336">
        <v>43803</v>
      </c>
      <c r="G9404" s="399"/>
      <c r="H9404" s="334" t="s">
        <v>19321</v>
      </c>
      <c r="I9404" s="444">
        <v>13482214229</v>
      </c>
      <c r="J9404" s="438" t="s">
        <v>19322</v>
      </c>
      <c r="K9404" s="356">
        <v>500</v>
      </c>
      <c r="N9404" s="362">
        <f t="shared" si="322"/>
        <v>0</v>
      </c>
      <c r="O9404" s="467" t="s">
        <v>52</v>
      </c>
    </row>
    <row r="9405" ht="15" customHeight="1" spans="1:14">
      <c r="A9405" s="550" t="s">
        <v>13611</v>
      </c>
      <c r="B9405" s="334" t="s">
        <v>137</v>
      </c>
      <c r="C9405" s="348" t="s">
        <v>406</v>
      </c>
      <c r="D9405" s="334" t="s">
        <v>2381</v>
      </c>
      <c r="E9405" s="336">
        <v>43808</v>
      </c>
      <c r="F9405" s="336">
        <v>43803</v>
      </c>
      <c r="G9405" s="336">
        <v>43807</v>
      </c>
      <c r="H9405" s="334" t="s">
        <v>19323</v>
      </c>
      <c r="I9405" s="444">
        <v>13081980779</v>
      </c>
      <c r="J9405" s="438" t="s">
        <v>19324</v>
      </c>
      <c r="K9405" s="356">
        <v>1000</v>
      </c>
      <c r="L9405" s="334">
        <v>14611</v>
      </c>
      <c r="N9405" s="362">
        <f t="shared" si="322"/>
        <v>14611</v>
      </c>
    </row>
    <row r="9406" ht="15" customHeight="1" spans="1:16">
      <c r="A9406" s="550" t="s">
        <v>19325</v>
      </c>
      <c r="B9406" s="334" t="s">
        <v>58</v>
      </c>
      <c r="C9406" s="348" t="s">
        <v>342</v>
      </c>
      <c r="D9406" s="335" t="s">
        <v>343</v>
      </c>
      <c r="E9406" s="336">
        <v>43821</v>
      </c>
      <c r="F9406" s="336">
        <v>43803</v>
      </c>
      <c r="G9406" s="336">
        <v>43821</v>
      </c>
      <c r="H9406" s="334" t="s">
        <v>15162</v>
      </c>
      <c r="I9406" s="444">
        <v>13818500464</v>
      </c>
      <c r="J9406" s="438" t="s">
        <v>19326</v>
      </c>
      <c r="K9406" s="356">
        <v>500</v>
      </c>
      <c r="L9406" s="334">
        <v>7343</v>
      </c>
      <c r="N9406" s="362">
        <f t="shared" si="322"/>
        <v>7343</v>
      </c>
      <c r="P9406" s="467" t="s">
        <v>52</v>
      </c>
    </row>
    <row r="9407" ht="15" customHeight="1" spans="1:14">
      <c r="A9407" s="348">
        <v>2066580</v>
      </c>
      <c r="B9407" s="334" t="s">
        <v>137</v>
      </c>
      <c r="C9407" s="348" t="s">
        <v>411</v>
      </c>
      <c r="D9407" s="334" t="s">
        <v>443</v>
      </c>
      <c r="E9407" s="336">
        <v>43803</v>
      </c>
      <c r="F9407" s="336">
        <v>43779</v>
      </c>
      <c r="G9407" s="399">
        <v>43803</v>
      </c>
      <c r="H9407" s="334" t="s">
        <v>19327</v>
      </c>
      <c r="I9407" s="444">
        <v>15900919595</v>
      </c>
      <c r="J9407" s="348" t="s">
        <v>19328</v>
      </c>
      <c r="K9407" s="356">
        <v>500</v>
      </c>
      <c r="L9407" s="334">
        <v>4446</v>
      </c>
      <c r="N9407" s="362">
        <f t="shared" si="322"/>
        <v>4446</v>
      </c>
    </row>
    <row r="9408" ht="15" customHeight="1" spans="1:16">
      <c r="A9408" s="550" t="s">
        <v>12164</v>
      </c>
      <c r="B9408" s="334" t="s">
        <v>58</v>
      </c>
      <c r="C9408" s="348" t="s">
        <v>794</v>
      </c>
      <c r="D9408" s="335" t="s">
        <v>110</v>
      </c>
      <c r="E9408" s="336">
        <v>43803</v>
      </c>
      <c r="F9408" s="336">
        <v>43802</v>
      </c>
      <c r="G9408" s="399"/>
      <c r="H9408" s="334" t="s">
        <v>362</v>
      </c>
      <c r="I9408" s="444"/>
      <c r="J9408" s="438" t="s">
        <v>19329</v>
      </c>
      <c r="K9408" s="356">
        <v>500</v>
      </c>
      <c r="N9408" s="362">
        <f t="shared" si="322"/>
        <v>0</v>
      </c>
      <c r="P9408" s="467" t="s">
        <v>52</v>
      </c>
    </row>
    <row r="9409" ht="15" customHeight="1" spans="1:17">
      <c r="A9409" s="550" t="s">
        <v>12657</v>
      </c>
      <c r="B9409" s="334" t="s">
        <v>58</v>
      </c>
      <c r="C9409" s="348" t="s">
        <v>794</v>
      </c>
      <c r="D9409" s="335" t="s">
        <v>110</v>
      </c>
      <c r="E9409" s="336">
        <v>43803</v>
      </c>
      <c r="F9409" s="336">
        <v>43802</v>
      </c>
      <c r="G9409" s="463">
        <v>43823</v>
      </c>
      <c r="H9409" s="334" t="s">
        <v>3435</v>
      </c>
      <c r="I9409" s="444">
        <v>17681389001</v>
      </c>
      <c r="J9409" s="438" t="s">
        <v>19329</v>
      </c>
      <c r="K9409" s="356">
        <v>500</v>
      </c>
      <c r="N9409" s="362">
        <f t="shared" si="322"/>
        <v>0</v>
      </c>
      <c r="Q9409" s="467" t="s">
        <v>52</v>
      </c>
    </row>
    <row r="9410" ht="15" customHeight="1" spans="1:14">
      <c r="A9410" s="550" t="s">
        <v>12111</v>
      </c>
      <c r="B9410" s="334" t="s">
        <v>185</v>
      </c>
      <c r="C9410" s="348" t="s">
        <v>4146</v>
      </c>
      <c r="D9410" s="334" t="s">
        <v>187</v>
      </c>
      <c r="E9410" s="336">
        <v>43803</v>
      </c>
      <c r="F9410" s="336">
        <v>43803</v>
      </c>
      <c r="G9410" s="399">
        <v>43803</v>
      </c>
      <c r="H9410" s="334" t="s">
        <v>19330</v>
      </c>
      <c r="I9410" s="444">
        <v>18621687553</v>
      </c>
      <c r="J9410" s="438" t="s">
        <v>19331</v>
      </c>
      <c r="K9410" s="356">
        <v>9532</v>
      </c>
      <c r="L9410" s="334">
        <v>9532</v>
      </c>
      <c r="N9410" s="362">
        <f t="shared" si="322"/>
        <v>9532</v>
      </c>
    </row>
    <row r="9411" ht="15" customHeight="1" spans="1:16">
      <c r="A9411" s="550" t="s">
        <v>17410</v>
      </c>
      <c r="B9411" s="334" t="s">
        <v>726</v>
      </c>
      <c r="C9411" s="348" t="s">
        <v>727</v>
      </c>
      <c r="D9411" s="335" t="s">
        <v>149</v>
      </c>
      <c r="E9411" s="336">
        <v>43803</v>
      </c>
      <c r="F9411" s="336">
        <v>43803</v>
      </c>
      <c r="G9411" s="399"/>
      <c r="H9411" s="334" t="s">
        <v>19332</v>
      </c>
      <c r="I9411" s="444">
        <v>15900972433</v>
      </c>
      <c r="J9411" s="438" t="s">
        <v>19333</v>
      </c>
      <c r="K9411" s="356">
        <v>500</v>
      </c>
      <c r="N9411" s="362">
        <f t="shared" si="322"/>
        <v>0</v>
      </c>
      <c r="P9411" s="353" t="s">
        <v>3729</v>
      </c>
    </row>
    <row r="9412" ht="15" customHeight="1" spans="1:17">
      <c r="A9412" s="550" t="s">
        <v>17381</v>
      </c>
      <c r="B9412" s="334" t="s">
        <v>726</v>
      </c>
      <c r="C9412" s="348" t="s">
        <v>727</v>
      </c>
      <c r="D9412" s="335" t="s">
        <v>149</v>
      </c>
      <c r="E9412" s="336">
        <v>43803</v>
      </c>
      <c r="F9412" s="336">
        <v>43803</v>
      </c>
      <c r="G9412" s="399"/>
      <c r="H9412" s="334" t="s">
        <v>3508</v>
      </c>
      <c r="I9412" s="444">
        <v>13311951318</v>
      </c>
      <c r="J9412" s="438" t="s">
        <v>19334</v>
      </c>
      <c r="K9412" s="356">
        <v>500</v>
      </c>
      <c r="N9412" s="362">
        <f t="shared" si="322"/>
        <v>0</v>
      </c>
      <c r="P9412" s="353"/>
      <c r="Q9412" s="353" t="s">
        <v>21</v>
      </c>
    </row>
    <row r="9413" ht="15" customHeight="1" spans="1:14">
      <c r="A9413" s="550" t="s">
        <v>10188</v>
      </c>
      <c r="B9413" s="334" t="s">
        <v>315</v>
      </c>
      <c r="C9413" s="348" t="s">
        <v>161</v>
      </c>
      <c r="D9413" s="334" t="s">
        <v>149</v>
      </c>
      <c r="E9413" s="336">
        <v>43805</v>
      </c>
      <c r="F9413" s="336">
        <v>43803</v>
      </c>
      <c r="G9413" s="336">
        <v>43805</v>
      </c>
      <c r="H9413" s="334" t="s">
        <v>5030</v>
      </c>
      <c r="I9413" s="438">
        <v>13916717141</v>
      </c>
      <c r="J9413" s="438" t="s">
        <v>19335</v>
      </c>
      <c r="K9413" s="356">
        <v>1899</v>
      </c>
      <c r="L9413" s="334">
        <v>5097</v>
      </c>
      <c r="N9413" s="362">
        <f t="shared" si="322"/>
        <v>5097</v>
      </c>
    </row>
    <row r="9414" ht="15" customHeight="1" spans="1:14">
      <c r="A9414" s="348"/>
      <c r="B9414" s="334" t="s">
        <v>47</v>
      </c>
      <c r="C9414" s="348" t="s">
        <v>80</v>
      </c>
      <c r="D9414" s="335" t="s">
        <v>49</v>
      </c>
      <c r="E9414" s="336">
        <v>43810</v>
      </c>
      <c r="F9414" s="336">
        <v>43800</v>
      </c>
      <c r="G9414" s="336">
        <v>43809</v>
      </c>
      <c r="H9414" s="334" t="s">
        <v>19336</v>
      </c>
      <c r="I9414" s="444">
        <v>17317767686</v>
      </c>
      <c r="J9414" s="438" t="s">
        <v>19337</v>
      </c>
      <c r="K9414" s="356">
        <v>1000</v>
      </c>
      <c r="L9414" s="334">
        <v>11700</v>
      </c>
      <c r="N9414" s="362">
        <f t="shared" si="322"/>
        <v>11700</v>
      </c>
    </row>
    <row r="9415" ht="15" customHeight="1" spans="1:18">
      <c r="A9415" s="348"/>
      <c r="B9415" s="334" t="s">
        <v>47</v>
      </c>
      <c r="C9415" s="348" t="s">
        <v>53</v>
      </c>
      <c r="D9415" s="335" t="s">
        <v>49</v>
      </c>
      <c r="E9415" s="336">
        <v>43803</v>
      </c>
      <c r="F9415" s="336">
        <v>43803</v>
      </c>
      <c r="G9415" s="399"/>
      <c r="H9415" s="334" t="s">
        <v>6464</v>
      </c>
      <c r="I9415" s="444">
        <v>13501626149</v>
      </c>
      <c r="J9415" s="438" t="s">
        <v>19338</v>
      </c>
      <c r="K9415" s="356">
        <v>10000</v>
      </c>
      <c r="N9415" s="362">
        <f t="shared" si="322"/>
        <v>0</v>
      </c>
      <c r="R9415" s="356" t="s">
        <v>52</v>
      </c>
    </row>
    <row r="9416" ht="15" customHeight="1" spans="1:14">
      <c r="A9416" s="550" t="s">
        <v>7111</v>
      </c>
      <c r="B9416" s="334" t="s">
        <v>35</v>
      </c>
      <c r="C9416" s="348" t="s">
        <v>328</v>
      </c>
      <c r="D9416" s="334" t="s">
        <v>37</v>
      </c>
      <c r="E9416" s="336">
        <v>43804</v>
      </c>
      <c r="F9416" s="336">
        <v>43803</v>
      </c>
      <c r="G9416" s="336">
        <v>43803</v>
      </c>
      <c r="H9416" s="334" t="s">
        <v>19339</v>
      </c>
      <c r="I9416" s="444">
        <v>13817420176</v>
      </c>
      <c r="J9416" s="438" t="s">
        <v>19340</v>
      </c>
      <c r="K9416" s="356">
        <v>7336</v>
      </c>
      <c r="L9416" s="334">
        <v>7336</v>
      </c>
      <c r="N9416" s="362">
        <f t="shared" si="322"/>
        <v>7336</v>
      </c>
    </row>
    <row r="9417" ht="15" customHeight="1" spans="1:15">
      <c r="A9417" s="550" t="s">
        <v>19341</v>
      </c>
      <c r="B9417" s="334" t="s">
        <v>153</v>
      </c>
      <c r="C9417" s="348" t="s">
        <v>154</v>
      </c>
      <c r="D9417" s="335" t="s">
        <v>155</v>
      </c>
      <c r="E9417" s="336">
        <v>43810</v>
      </c>
      <c r="F9417" s="336">
        <v>43803</v>
      </c>
      <c r="G9417" s="336">
        <v>43808</v>
      </c>
      <c r="H9417" s="334" t="s">
        <v>19342</v>
      </c>
      <c r="I9417" s="444">
        <v>18930940903</v>
      </c>
      <c r="J9417" s="438" t="s">
        <v>19343</v>
      </c>
      <c r="K9417" s="356">
        <v>3000</v>
      </c>
      <c r="L9417" s="334">
        <v>16112</v>
      </c>
      <c r="N9417" s="362">
        <f t="shared" si="322"/>
        <v>16112</v>
      </c>
      <c r="O9417" s="467" t="s">
        <v>52</v>
      </c>
    </row>
    <row r="9418" ht="15" customHeight="1" spans="2:15">
      <c r="B9418" s="334" t="s">
        <v>5336</v>
      </c>
      <c r="C9418" s="334" t="s">
        <v>5336</v>
      </c>
      <c r="D9418" s="334" t="s">
        <v>8334</v>
      </c>
      <c r="E9418" s="336">
        <v>43803</v>
      </c>
      <c r="G9418" s="336">
        <v>43803</v>
      </c>
      <c r="H9418" s="334" t="s">
        <v>19344</v>
      </c>
      <c r="I9418" s="444">
        <v>18017312820</v>
      </c>
      <c r="J9418" s="348" t="s">
        <v>19345</v>
      </c>
      <c r="L9418" s="334">
        <v>5575</v>
      </c>
      <c r="O9418" s="353"/>
    </row>
    <row r="9419" ht="15" customHeight="1" spans="2:13">
      <c r="B9419" s="334" t="s">
        <v>137</v>
      </c>
      <c r="C9419" s="334" t="s">
        <v>861</v>
      </c>
      <c r="D9419" s="334" t="s">
        <v>443</v>
      </c>
      <c r="E9419" s="336">
        <v>43803</v>
      </c>
      <c r="G9419" s="336">
        <v>43802</v>
      </c>
      <c r="H9419" s="334" t="s">
        <v>18167</v>
      </c>
      <c r="I9419" s="444">
        <v>18001728299</v>
      </c>
      <c r="J9419" s="452" t="s">
        <v>18168</v>
      </c>
      <c r="M9419" s="334">
        <v>341</v>
      </c>
    </row>
    <row r="9420" ht="15" customHeight="1" spans="2:13">
      <c r="B9420" s="334" t="s">
        <v>153</v>
      </c>
      <c r="C9420" s="334" t="s">
        <v>302</v>
      </c>
      <c r="D9420" s="334" t="s">
        <v>155</v>
      </c>
      <c r="E9420" s="336">
        <v>43803</v>
      </c>
      <c r="G9420" s="336">
        <v>43794</v>
      </c>
      <c r="H9420" s="334" t="s">
        <v>16252</v>
      </c>
      <c r="I9420" s="444">
        <v>13651818458</v>
      </c>
      <c r="J9420" s="348" t="s">
        <v>16253</v>
      </c>
      <c r="M9420" s="334">
        <v>718</v>
      </c>
    </row>
    <row r="9421" ht="15" customHeight="1" spans="2:13">
      <c r="B9421" s="334" t="s">
        <v>185</v>
      </c>
      <c r="C9421" s="334" t="s">
        <v>186</v>
      </c>
      <c r="D9421" s="334" t="s">
        <v>187</v>
      </c>
      <c r="E9421" s="336">
        <v>43803</v>
      </c>
      <c r="G9421" s="336">
        <v>43801</v>
      </c>
      <c r="H9421" s="334" t="s">
        <v>19346</v>
      </c>
      <c r="I9421" s="356">
        <v>13524628301</v>
      </c>
      <c r="J9421" s="348" t="s">
        <v>19347</v>
      </c>
      <c r="M9421" s="334">
        <v>11988</v>
      </c>
    </row>
    <row r="9422" ht="15" customHeight="1" spans="2:13">
      <c r="B9422" s="334" t="s">
        <v>805</v>
      </c>
      <c r="C9422" s="334" t="s">
        <v>4935</v>
      </c>
      <c r="D9422" s="334" t="s">
        <v>171</v>
      </c>
      <c r="E9422" s="336">
        <v>43803</v>
      </c>
      <c r="G9422" s="336">
        <v>43797</v>
      </c>
      <c r="H9422" s="334" t="s">
        <v>18162</v>
      </c>
      <c r="I9422" s="444">
        <v>15601907767</v>
      </c>
      <c r="J9422" s="348" t="s">
        <v>18163</v>
      </c>
      <c r="M9422" s="334">
        <v>3000</v>
      </c>
    </row>
    <row r="9423" ht="15" customHeight="1" spans="2:13">
      <c r="B9423" s="334" t="s">
        <v>185</v>
      </c>
      <c r="C9423" s="334" t="s">
        <v>186</v>
      </c>
      <c r="D9423" s="334" t="s">
        <v>44</v>
      </c>
      <c r="E9423" s="336">
        <v>43803</v>
      </c>
      <c r="G9423" s="336">
        <v>43803</v>
      </c>
      <c r="H9423" s="334" t="s">
        <v>16210</v>
      </c>
      <c r="I9423" s="444">
        <v>18621820712</v>
      </c>
      <c r="J9423" s="348" t="s">
        <v>16211</v>
      </c>
      <c r="M9423" s="334">
        <v>1172</v>
      </c>
    </row>
    <row r="9424" ht="15" customHeight="1" spans="2:13">
      <c r="B9424" s="334" t="s">
        <v>42</v>
      </c>
      <c r="C9424" s="334" t="s">
        <v>43</v>
      </c>
      <c r="D9424" s="334" t="s">
        <v>44</v>
      </c>
      <c r="E9424" s="336">
        <v>43803</v>
      </c>
      <c r="G9424" s="336">
        <v>43803</v>
      </c>
      <c r="H9424" s="334" t="s">
        <v>1904</v>
      </c>
      <c r="I9424" s="444">
        <v>15710195518</v>
      </c>
      <c r="J9424" s="348" t="s">
        <v>1905</v>
      </c>
      <c r="M9424" s="334">
        <v>8629</v>
      </c>
    </row>
    <row r="9425" ht="15" customHeight="1" spans="2:14">
      <c r="B9425" s="334" t="s">
        <v>66</v>
      </c>
      <c r="C9425" s="334" t="s">
        <v>505</v>
      </c>
      <c r="D9425" s="334" t="s">
        <v>2302</v>
      </c>
      <c r="E9425" s="336">
        <v>43803</v>
      </c>
      <c r="G9425" s="336">
        <v>43802</v>
      </c>
      <c r="H9425" s="334" t="s">
        <v>14398</v>
      </c>
      <c r="I9425" s="334">
        <v>18016385880</v>
      </c>
      <c r="J9425" s="348" t="s">
        <v>19096</v>
      </c>
      <c r="M9425" s="334">
        <f>4075-704</f>
        <v>3371</v>
      </c>
      <c r="N9425" s="362">
        <f>L9425+M9425</f>
        <v>3371</v>
      </c>
    </row>
    <row r="9426" ht="15" customHeight="1" spans="2:13">
      <c r="B9426" s="334" t="s">
        <v>35</v>
      </c>
      <c r="C9426" s="334" t="s">
        <v>328</v>
      </c>
      <c r="D9426" s="334" t="s">
        <v>37</v>
      </c>
      <c r="E9426" s="336">
        <v>43803</v>
      </c>
      <c r="G9426" s="336">
        <v>43800</v>
      </c>
      <c r="H9426" s="334" t="s">
        <v>18875</v>
      </c>
      <c r="I9426" s="444">
        <v>18121106542</v>
      </c>
      <c r="J9426" s="348" t="s">
        <v>18876</v>
      </c>
      <c r="M9426" s="334">
        <v>1697</v>
      </c>
    </row>
    <row r="9427" ht="15" customHeight="1" spans="1:14">
      <c r="A9427" s="550" t="s">
        <v>13471</v>
      </c>
      <c r="B9427" s="334" t="s">
        <v>58</v>
      </c>
      <c r="C9427" s="348" t="s">
        <v>59</v>
      </c>
      <c r="D9427" s="335" t="s">
        <v>271</v>
      </c>
      <c r="E9427" s="336">
        <v>43804</v>
      </c>
      <c r="F9427" s="336">
        <v>43803</v>
      </c>
      <c r="G9427" s="399"/>
      <c r="H9427" s="334" t="s">
        <v>19348</v>
      </c>
      <c r="I9427" s="444">
        <v>18621878091</v>
      </c>
      <c r="J9427" s="438" t="s">
        <v>19349</v>
      </c>
      <c r="K9427" s="356">
        <v>1000</v>
      </c>
      <c r="N9427" s="362">
        <f t="shared" ref="N9427:N9449" si="323">L9427+M9427</f>
        <v>0</v>
      </c>
    </row>
    <row r="9428" ht="15" customHeight="1" spans="1:23">
      <c r="A9428" s="550" t="s">
        <v>12735</v>
      </c>
      <c r="B9428" s="334" t="s">
        <v>58</v>
      </c>
      <c r="C9428" s="348" t="s">
        <v>59</v>
      </c>
      <c r="D9428" s="334" t="s">
        <v>110</v>
      </c>
      <c r="E9428" s="336">
        <v>43830</v>
      </c>
      <c r="F9428" s="336">
        <v>43803</v>
      </c>
      <c r="G9428" s="336">
        <v>43829</v>
      </c>
      <c r="H9428" s="334" t="s">
        <v>19350</v>
      </c>
      <c r="I9428" s="444" t="s">
        <v>19351</v>
      </c>
      <c r="J9428" s="438" t="s">
        <v>19352</v>
      </c>
      <c r="K9428" s="356">
        <f>14500+500</f>
        <v>15000</v>
      </c>
      <c r="L9428" s="334">
        <v>15727</v>
      </c>
      <c r="N9428" s="362">
        <f t="shared" si="323"/>
        <v>15727</v>
      </c>
      <c r="W9428" s="471">
        <v>43829</v>
      </c>
    </row>
    <row r="9429" ht="15" customHeight="1" spans="1:15">
      <c r="A9429" s="550" t="s">
        <v>19353</v>
      </c>
      <c r="B9429" s="334" t="s">
        <v>153</v>
      </c>
      <c r="C9429" s="348" t="s">
        <v>13075</v>
      </c>
      <c r="D9429" s="335" t="s">
        <v>155</v>
      </c>
      <c r="E9429" s="336">
        <v>43804</v>
      </c>
      <c r="F9429" s="336">
        <v>43803</v>
      </c>
      <c r="G9429" s="399"/>
      <c r="H9429" s="334" t="s">
        <v>19354</v>
      </c>
      <c r="I9429" s="444">
        <v>13901952952</v>
      </c>
      <c r="J9429" s="438" t="s">
        <v>19355</v>
      </c>
      <c r="K9429" s="356">
        <v>1000</v>
      </c>
      <c r="N9429" s="362">
        <f t="shared" si="323"/>
        <v>0</v>
      </c>
      <c r="O9429" s="353" t="s">
        <v>19</v>
      </c>
    </row>
    <row r="9430" ht="15" customHeight="1" spans="1:14">
      <c r="A9430" s="550" t="s">
        <v>19356</v>
      </c>
      <c r="B9430" s="334" t="s">
        <v>315</v>
      </c>
      <c r="C9430" s="348" t="s">
        <v>14638</v>
      </c>
      <c r="D9430" s="334" t="s">
        <v>1431</v>
      </c>
      <c r="E9430" s="336">
        <v>43804</v>
      </c>
      <c r="F9430" s="336">
        <v>43803</v>
      </c>
      <c r="G9430" s="399">
        <v>43803</v>
      </c>
      <c r="H9430" s="334" t="s">
        <v>19357</v>
      </c>
      <c r="I9430" s="444">
        <v>15802175916</v>
      </c>
      <c r="J9430" s="438" t="s">
        <v>19358</v>
      </c>
      <c r="K9430" s="356">
        <v>1000</v>
      </c>
      <c r="L9430" s="334">
        <v>4304</v>
      </c>
      <c r="N9430" s="362">
        <f t="shared" si="323"/>
        <v>4304</v>
      </c>
    </row>
    <row r="9431" ht="15" customHeight="1" spans="1:16">
      <c r="A9431" s="348"/>
      <c r="B9431" s="334" t="s">
        <v>243</v>
      </c>
      <c r="C9431" s="348" t="s">
        <v>304</v>
      </c>
      <c r="D9431" s="335" t="s">
        <v>49</v>
      </c>
      <c r="E9431" s="336">
        <v>43804</v>
      </c>
      <c r="F9431" s="336">
        <v>43802</v>
      </c>
      <c r="G9431" s="399"/>
      <c r="H9431" s="334" t="s">
        <v>19359</v>
      </c>
      <c r="I9431" s="444">
        <v>13916649289</v>
      </c>
      <c r="J9431" s="438" t="s">
        <v>19360</v>
      </c>
      <c r="K9431" s="356">
        <v>2000</v>
      </c>
      <c r="N9431" s="362">
        <f t="shared" si="323"/>
        <v>0</v>
      </c>
      <c r="P9431" s="356" t="s">
        <v>52</v>
      </c>
    </row>
    <row r="9432" ht="15" customHeight="1" spans="1:16">
      <c r="A9432" s="550" t="s">
        <v>8096</v>
      </c>
      <c r="B9432" s="334" t="s">
        <v>243</v>
      </c>
      <c r="C9432" s="348" t="s">
        <v>309</v>
      </c>
      <c r="D9432" s="335" t="s">
        <v>49</v>
      </c>
      <c r="E9432" s="336">
        <v>43804</v>
      </c>
      <c r="F9432" s="336">
        <v>43802</v>
      </c>
      <c r="G9432" s="399"/>
      <c r="H9432" s="334" t="s">
        <v>19361</v>
      </c>
      <c r="I9432" s="444">
        <v>13601701095</v>
      </c>
      <c r="J9432" s="438" t="s">
        <v>19362</v>
      </c>
      <c r="K9432" s="356">
        <v>1000</v>
      </c>
      <c r="N9432" s="362">
        <f t="shared" si="323"/>
        <v>0</v>
      </c>
      <c r="P9432" s="356" t="s">
        <v>52</v>
      </c>
    </row>
    <row r="9433" ht="15" customHeight="1" spans="1:15">
      <c r="A9433" s="550" t="s">
        <v>19363</v>
      </c>
      <c r="B9433" s="334" t="s">
        <v>87</v>
      </c>
      <c r="C9433" s="348" t="s">
        <v>466</v>
      </c>
      <c r="D9433" s="335" t="s">
        <v>89</v>
      </c>
      <c r="E9433" s="336">
        <v>43804</v>
      </c>
      <c r="F9433" s="336">
        <v>43802</v>
      </c>
      <c r="G9433" s="353" t="s">
        <v>69</v>
      </c>
      <c r="H9433" s="334" t="s">
        <v>19364</v>
      </c>
      <c r="I9433" s="444">
        <v>18721579727</v>
      </c>
      <c r="J9433" s="438" t="s">
        <v>19365</v>
      </c>
      <c r="K9433" s="356">
        <v>500</v>
      </c>
      <c r="N9433" s="362">
        <f t="shared" si="323"/>
        <v>0</v>
      </c>
      <c r="O9433" s="467" t="s">
        <v>52</v>
      </c>
    </row>
    <row r="9434" ht="15" customHeight="1" spans="1:21">
      <c r="A9434" s="550" t="s">
        <v>19366</v>
      </c>
      <c r="B9434" s="334" t="s">
        <v>31</v>
      </c>
      <c r="C9434" s="348" t="s">
        <v>220</v>
      </c>
      <c r="D9434" s="335" t="s">
        <v>221</v>
      </c>
      <c r="E9434" s="336" t="s">
        <v>133</v>
      </c>
      <c r="F9434" s="336">
        <v>43803</v>
      </c>
      <c r="G9434" s="399"/>
      <c r="H9434" s="334" t="s">
        <v>10695</v>
      </c>
      <c r="I9434" s="444">
        <v>13901704243</v>
      </c>
      <c r="J9434" s="438" t="s">
        <v>19367</v>
      </c>
      <c r="K9434" s="356">
        <v>1000</v>
      </c>
      <c r="N9434" s="362">
        <f t="shared" si="323"/>
        <v>0</v>
      </c>
      <c r="O9434" s="467" t="s">
        <v>52</v>
      </c>
      <c r="U9434" s="337" t="s">
        <v>63</v>
      </c>
    </row>
    <row r="9435" ht="15" customHeight="1" spans="1:16">
      <c r="A9435" s="550" t="s">
        <v>19368</v>
      </c>
      <c r="B9435" s="334" t="s">
        <v>31</v>
      </c>
      <c r="C9435" s="348" t="s">
        <v>220</v>
      </c>
      <c r="D9435" s="335" t="s">
        <v>221</v>
      </c>
      <c r="E9435" s="336">
        <v>43804</v>
      </c>
      <c r="F9435" s="336">
        <v>43803</v>
      </c>
      <c r="G9435" s="399"/>
      <c r="H9435" s="334" t="s">
        <v>19369</v>
      </c>
      <c r="I9435" s="444">
        <v>15618032559</v>
      </c>
      <c r="J9435" s="438" t="s">
        <v>19370</v>
      </c>
      <c r="K9435" s="356">
        <v>500</v>
      </c>
      <c r="N9435" s="362">
        <f t="shared" si="323"/>
        <v>0</v>
      </c>
      <c r="P9435" s="366" t="s">
        <v>52</v>
      </c>
    </row>
    <row r="9436" ht="15" customHeight="1" spans="1:16">
      <c r="A9436" s="550" t="s">
        <v>16327</v>
      </c>
      <c r="B9436" s="334" t="s">
        <v>31</v>
      </c>
      <c r="C9436" s="348" t="s">
        <v>220</v>
      </c>
      <c r="D9436" s="335" t="s">
        <v>221</v>
      </c>
      <c r="E9436" s="336">
        <v>43804</v>
      </c>
      <c r="F9436" s="336">
        <v>43803</v>
      </c>
      <c r="G9436" s="399"/>
      <c r="H9436" s="334" t="s">
        <v>19371</v>
      </c>
      <c r="I9436" s="444">
        <v>13816886500</v>
      </c>
      <c r="J9436" s="438" t="s">
        <v>19372</v>
      </c>
      <c r="K9436" s="356">
        <v>1000</v>
      </c>
      <c r="N9436" s="362">
        <f t="shared" si="323"/>
        <v>0</v>
      </c>
      <c r="P9436" s="366" t="s">
        <v>52</v>
      </c>
    </row>
    <row r="9437" ht="15" customHeight="1" spans="1:14">
      <c r="A9437" s="550" t="s">
        <v>16520</v>
      </c>
      <c r="B9437" s="334" t="s">
        <v>31</v>
      </c>
      <c r="C9437" s="348" t="s">
        <v>251</v>
      </c>
      <c r="D9437" s="334" t="s">
        <v>221</v>
      </c>
      <c r="E9437" s="336">
        <v>43804</v>
      </c>
      <c r="F9437" s="336">
        <v>43774</v>
      </c>
      <c r="G9437" s="399">
        <v>43804</v>
      </c>
      <c r="H9437" s="334" t="s">
        <v>19373</v>
      </c>
      <c r="I9437" s="444">
        <v>13585718579</v>
      </c>
      <c r="J9437" s="438" t="s">
        <v>19374</v>
      </c>
      <c r="K9437" s="356">
        <v>20000</v>
      </c>
      <c r="L9437" s="334">
        <v>20000</v>
      </c>
      <c r="N9437" s="362">
        <f t="shared" si="323"/>
        <v>20000</v>
      </c>
    </row>
    <row r="9438" ht="15" customHeight="1" spans="1:14">
      <c r="A9438" s="550" t="s">
        <v>12611</v>
      </c>
      <c r="B9438" s="334" t="s">
        <v>185</v>
      </c>
      <c r="C9438" s="348" t="s">
        <v>1204</v>
      </c>
      <c r="D9438" s="334" t="s">
        <v>187</v>
      </c>
      <c r="E9438" s="336">
        <v>43809</v>
      </c>
      <c r="F9438" s="336">
        <v>43804</v>
      </c>
      <c r="G9438" s="336">
        <v>43809</v>
      </c>
      <c r="H9438" s="334" t="s">
        <v>19375</v>
      </c>
      <c r="I9438" s="444">
        <v>13818037433</v>
      </c>
      <c r="J9438" s="438" t="s">
        <v>19376</v>
      </c>
      <c r="K9438" s="356">
        <f>1000+1000</f>
        <v>2000</v>
      </c>
      <c r="L9438" s="334">
        <v>8599</v>
      </c>
      <c r="N9438" s="362">
        <f t="shared" si="323"/>
        <v>8599</v>
      </c>
    </row>
    <row r="9439" ht="15" customHeight="1" spans="1:15">
      <c r="A9439" s="550" t="s">
        <v>19377</v>
      </c>
      <c r="B9439" s="334" t="s">
        <v>405</v>
      </c>
      <c r="C9439" s="348" t="s">
        <v>1234</v>
      </c>
      <c r="D9439" s="335" t="s">
        <v>407</v>
      </c>
      <c r="E9439" s="336">
        <v>43813</v>
      </c>
      <c r="F9439" s="336">
        <v>43802</v>
      </c>
      <c r="G9439" s="336">
        <v>43812</v>
      </c>
      <c r="H9439" s="334" t="s">
        <v>19378</v>
      </c>
      <c r="I9439" s="444">
        <v>13817540468</v>
      </c>
      <c r="J9439" s="438" t="s">
        <v>19379</v>
      </c>
      <c r="K9439" s="356">
        <v>20000</v>
      </c>
      <c r="L9439" s="334">
        <v>200000</v>
      </c>
      <c r="N9439" s="362">
        <f t="shared" si="323"/>
        <v>200000</v>
      </c>
      <c r="O9439" s="356" t="s">
        <v>52</v>
      </c>
    </row>
    <row r="9440" ht="15" customHeight="1" spans="1:14">
      <c r="A9440" s="550" t="s">
        <v>19380</v>
      </c>
      <c r="B9440" s="334" t="s">
        <v>5435</v>
      </c>
      <c r="C9440" s="334" t="s">
        <v>1728</v>
      </c>
      <c r="D9440" s="334" t="s">
        <v>149</v>
      </c>
      <c r="E9440" s="336">
        <v>43814</v>
      </c>
      <c r="F9440" s="336">
        <v>43804</v>
      </c>
      <c r="G9440" s="336">
        <v>43813</v>
      </c>
      <c r="H9440" s="334" t="s">
        <v>19381</v>
      </c>
      <c r="I9440" s="444">
        <v>13641937696</v>
      </c>
      <c r="J9440" s="438" t="s">
        <v>19382</v>
      </c>
      <c r="K9440" s="356">
        <v>1000</v>
      </c>
      <c r="L9440" s="334">
        <v>9611</v>
      </c>
      <c r="N9440" s="362">
        <f t="shared" si="323"/>
        <v>9611</v>
      </c>
    </row>
    <row r="9441" ht="15" customHeight="1" spans="1:17">
      <c r="A9441" s="550" t="s">
        <v>19383</v>
      </c>
      <c r="B9441" s="334" t="s">
        <v>405</v>
      </c>
      <c r="C9441" s="348" t="s">
        <v>19384</v>
      </c>
      <c r="D9441" s="335" t="s">
        <v>407</v>
      </c>
      <c r="E9441" s="440">
        <v>43839</v>
      </c>
      <c r="F9441" s="336">
        <v>43804</v>
      </c>
      <c r="G9441" s="440">
        <v>43835</v>
      </c>
      <c r="H9441" s="441" t="s">
        <v>19385</v>
      </c>
      <c r="I9441" s="444">
        <v>13918658299</v>
      </c>
      <c r="J9441" s="438" t="s">
        <v>19386</v>
      </c>
      <c r="K9441" s="356">
        <v>500</v>
      </c>
      <c r="L9441" s="439">
        <v>2852</v>
      </c>
      <c r="N9441" s="362">
        <f t="shared" si="323"/>
        <v>2852</v>
      </c>
      <c r="Q9441" s="502" t="s">
        <v>52</v>
      </c>
    </row>
    <row r="9442" ht="15" customHeight="1" spans="1:15">
      <c r="A9442" s="550" t="s">
        <v>19387</v>
      </c>
      <c r="B9442" s="334" t="s">
        <v>153</v>
      </c>
      <c r="C9442" s="348" t="s">
        <v>154</v>
      </c>
      <c r="D9442" s="335" t="s">
        <v>155</v>
      </c>
      <c r="E9442" s="336">
        <v>43804</v>
      </c>
      <c r="F9442" s="336">
        <v>43802</v>
      </c>
      <c r="G9442" s="399"/>
      <c r="H9442" s="334" t="s">
        <v>19388</v>
      </c>
      <c r="I9442" s="444">
        <v>18502181496</v>
      </c>
      <c r="J9442" s="438" t="s">
        <v>19389</v>
      </c>
      <c r="K9442" s="356">
        <v>500</v>
      </c>
      <c r="N9442" s="362">
        <f t="shared" si="323"/>
        <v>0</v>
      </c>
      <c r="O9442" s="353" t="s">
        <v>19</v>
      </c>
    </row>
    <row r="9443" ht="15" customHeight="1" spans="1:22">
      <c r="A9443" s="550" t="s">
        <v>19390</v>
      </c>
      <c r="B9443" s="334" t="s">
        <v>153</v>
      </c>
      <c r="C9443" s="348" t="s">
        <v>154</v>
      </c>
      <c r="D9443" s="335" t="s">
        <v>155</v>
      </c>
      <c r="E9443" s="336">
        <v>43804</v>
      </c>
      <c r="F9443" s="336">
        <v>43802</v>
      </c>
      <c r="G9443" s="399"/>
      <c r="H9443" s="334" t="s">
        <v>14449</v>
      </c>
      <c r="I9443" s="444">
        <v>18521567299</v>
      </c>
      <c r="J9443" s="438" t="s">
        <v>19391</v>
      </c>
      <c r="K9443" s="356">
        <v>500</v>
      </c>
      <c r="N9443" s="362">
        <f t="shared" si="323"/>
        <v>0</v>
      </c>
      <c r="U9443" s="353">
        <v>12.26</v>
      </c>
      <c r="V9443" s="353" t="s">
        <v>19392</v>
      </c>
    </row>
    <row r="9444" ht="15" customHeight="1" spans="1:17">
      <c r="A9444" s="550" t="s">
        <v>19393</v>
      </c>
      <c r="B9444" s="334" t="s">
        <v>359</v>
      </c>
      <c r="C9444" s="348" t="s">
        <v>3018</v>
      </c>
      <c r="D9444" s="335" t="s">
        <v>361</v>
      </c>
      <c r="E9444" s="336">
        <v>43804</v>
      </c>
      <c r="F9444" s="336">
        <v>43804</v>
      </c>
      <c r="G9444" s="399"/>
      <c r="H9444" s="334" t="s">
        <v>19394</v>
      </c>
      <c r="I9444" s="444">
        <v>13501757093</v>
      </c>
      <c r="J9444" s="438" t="s">
        <v>19395</v>
      </c>
      <c r="K9444" s="356">
        <v>3000</v>
      </c>
      <c r="N9444" s="362">
        <f t="shared" si="323"/>
        <v>0</v>
      </c>
      <c r="Q9444" s="353" t="s">
        <v>21</v>
      </c>
    </row>
    <row r="9445" ht="15" customHeight="1" spans="1:14">
      <c r="A9445" s="550" t="s">
        <v>7881</v>
      </c>
      <c r="B9445" s="334" t="s">
        <v>73</v>
      </c>
      <c r="C9445" s="348" t="s">
        <v>178</v>
      </c>
      <c r="D9445" s="334" t="s">
        <v>2381</v>
      </c>
      <c r="E9445" s="336">
        <v>43806</v>
      </c>
      <c r="F9445" s="336">
        <v>43804</v>
      </c>
      <c r="G9445" s="336">
        <v>43806</v>
      </c>
      <c r="H9445" s="334" t="s">
        <v>19396</v>
      </c>
      <c r="I9445" s="444">
        <v>13501782518</v>
      </c>
      <c r="J9445" s="348" t="s">
        <v>19397</v>
      </c>
      <c r="K9445" s="334">
        <v>1000</v>
      </c>
      <c r="L9445" s="334">
        <v>6525</v>
      </c>
      <c r="N9445" s="362">
        <f t="shared" si="323"/>
        <v>6525</v>
      </c>
    </row>
    <row r="9446" ht="15" customHeight="1" spans="1:21">
      <c r="A9446" s="550" t="s">
        <v>1387</v>
      </c>
      <c r="B9446" s="334" t="s">
        <v>66</v>
      </c>
      <c r="C9446" s="348" t="s">
        <v>7029</v>
      </c>
      <c r="D9446" s="335" t="s">
        <v>68</v>
      </c>
      <c r="E9446" s="336">
        <v>43804</v>
      </c>
      <c r="F9446" s="336">
        <v>43804</v>
      </c>
      <c r="G9446" s="399"/>
      <c r="H9446" s="334" t="s">
        <v>16266</v>
      </c>
      <c r="I9446" s="444">
        <v>13391377171</v>
      </c>
      <c r="J9446" s="438" t="s">
        <v>19398</v>
      </c>
      <c r="K9446" s="356">
        <v>1000</v>
      </c>
      <c r="N9446" s="362">
        <f t="shared" si="323"/>
        <v>0</v>
      </c>
      <c r="U9446" s="467" t="s">
        <v>52</v>
      </c>
    </row>
    <row r="9447" ht="15" customHeight="1" spans="1:17">
      <c r="A9447" s="550" t="s">
        <v>19399</v>
      </c>
      <c r="B9447" s="334" t="s">
        <v>405</v>
      </c>
      <c r="C9447" s="334" t="s">
        <v>1234</v>
      </c>
      <c r="D9447" s="335" t="s">
        <v>407</v>
      </c>
      <c r="E9447" s="336">
        <v>43804</v>
      </c>
      <c r="F9447" s="336">
        <v>43801</v>
      </c>
      <c r="G9447" s="399"/>
      <c r="H9447" s="334" t="s">
        <v>19400</v>
      </c>
      <c r="I9447" s="444"/>
      <c r="J9447" s="438" t="s">
        <v>19401</v>
      </c>
      <c r="K9447" s="356">
        <v>500</v>
      </c>
      <c r="N9447" s="362">
        <f t="shared" si="323"/>
        <v>0</v>
      </c>
      <c r="Q9447" s="502" t="s">
        <v>52</v>
      </c>
    </row>
    <row r="9448" ht="15" customHeight="1" spans="1:15">
      <c r="A9448" s="550" t="s">
        <v>12729</v>
      </c>
      <c r="B9448" s="334" t="s">
        <v>335</v>
      </c>
      <c r="C9448" s="348" t="s">
        <v>615</v>
      </c>
      <c r="D9448" s="335" t="s">
        <v>337</v>
      </c>
      <c r="E9448" s="336">
        <v>43804</v>
      </c>
      <c r="F9448" s="336">
        <v>43804</v>
      </c>
      <c r="G9448" s="399"/>
      <c r="H9448" s="334" t="s">
        <v>19402</v>
      </c>
      <c r="I9448" s="444"/>
      <c r="J9448" s="438" t="s">
        <v>19403</v>
      </c>
      <c r="K9448" s="356">
        <v>1000</v>
      </c>
      <c r="N9448" s="362">
        <f t="shared" si="323"/>
        <v>0</v>
      </c>
      <c r="O9448" s="353" t="s">
        <v>17340</v>
      </c>
    </row>
    <row r="9449" ht="15" customHeight="1" spans="2:14">
      <c r="B9449" s="334" t="s">
        <v>35</v>
      </c>
      <c r="C9449" s="334" t="s">
        <v>392</v>
      </c>
      <c r="D9449" s="334" t="s">
        <v>37</v>
      </c>
      <c r="E9449" s="336">
        <v>43804</v>
      </c>
      <c r="G9449" s="336">
        <v>43802</v>
      </c>
      <c r="H9449" s="334" t="s">
        <v>19404</v>
      </c>
      <c r="I9449" s="444">
        <v>18616787697</v>
      </c>
      <c r="J9449" s="348" t="s">
        <v>19405</v>
      </c>
      <c r="K9449" s="356">
        <v>11000</v>
      </c>
      <c r="L9449" s="334">
        <v>11000</v>
      </c>
      <c r="N9449" s="362">
        <f t="shared" ref="N9449:N9471" si="324">L9449+M9449</f>
        <v>11000</v>
      </c>
    </row>
    <row r="9450" ht="15" customHeight="1" spans="2:14">
      <c r="B9450" s="334" t="s">
        <v>16169</v>
      </c>
      <c r="C9450" s="334" t="s">
        <v>16170</v>
      </c>
      <c r="D9450" s="334" t="s">
        <v>271</v>
      </c>
      <c r="E9450" s="336">
        <v>43804</v>
      </c>
      <c r="G9450" s="336">
        <v>43804</v>
      </c>
      <c r="H9450" s="334" t="s">
        <v>19406</v>
      </c>
      <c r="I9450" s="444">
        <v>18602117366</v>
      </c>
      <c r="J9450" s="348" t="s">
        <v>19407</v>
      </c>
      <c r="L9450" s="334">
        <v>4220</v>
      </c>
      <c r="N9450" s="362">
        <f t="shared" si="324"/>
        <v>4220</v>
      </c>
    </row>
    <row r="9451" ht="15" customHeight="1" spans="2:14">
      <c r="B9451" s="334" t="s">
        <v>4009</v>
      </c>
      <c r="C9451" s="334" t="s">
        <v>6401</v>
      </c>
      <c r="D9451" s="334" t="s">
        <v>207</v>
      </c>
      <c r="E9451" s="336">
        <v>43804</v>
      </c>
      <c r="G9451" s="336">
        <v>43800</v>
      </c>
      <c r="H9451" s="334" t="s">
        <v>19408</v>
      </c>
      <c r="I9451" s="444">
        <v>13916905259</v>
      </c>
      <c r="J9451" s="348" t="s">
        <v>19409</v>
      </c>
      <c r="L9451" s="334">
        <v>14534</v>
      </c>
      <c r="N9451" s="362">
        <f t="shared" si="324"/>
        <v>14534</v>
      </c>
    </row>
    <row r="9452" ht="15" customHeight="1" spans="2:14">
      <c r="B9452" s="334" t="s">
        <v>137</v>
      </c>
      <c r="C9452" s="334" t="s">
        <v>2705</v>
      </c>
      <c r="D9452" s="334" t="s">
        <v>2381</v>
      </c>
      <c r="E9452" s="336">
        <v>43804</v>
      </c>
      <c r="G9452" s="336">
        <v>43803</v>
      </c>
      <c r="H9452" s="334" t="s">
        <v>15394</v>
      </c>
      <c r="I9452" s="444">
        <v>13636318860</v>
      </c>
      <c r="J9452" s="348" t="s">
        <v>15395</v>
      </c>
      <c r="M9452" s="334">
        <v>1756</v>
      </c>
      <c r="N9452" s="362">
        <f t="shared" si="324"/>
        <v>1756</v>
      </c>
    </row>
    <row r="9453" ht="15" customHeight="1" spans="2:14">
      <c r="B9453" s="334" t="s">
        <v>726</v>
      </c>
      <c r="C9453" s="334" t="s">
        <v>727</v>
      </c>
      <c r="D9453" s="334" t="s">
        <v>271</v>
      </c>
      <c r="E9453" s="336">
        <v>43804</v>
      </c>
      <c r="G9453" s="336">
        <v>43803</v>
      </c>
      <c r="H9453" s="334" t="s">
        <v>16549</v>
      </c>
      <c r="I9453" s="465">
        <v>18917320200</v>
      </c>
      <c r="J9453" s="508" t="s">
        <v>16550</v>
      </c>
      <c r="M9453" s="334">
        <v>963</v>
      </c>
      <c r="N9453" s="362">
        <f t="shared" si="324"/>
        <v>963</v>
      </c>
    </row>
    <row r="9454" ht="15" customHeight="1" spans="2:14">
      <c r="B9454" s="334" t="s">
        <v>726</v>
      </c>
      <c r="C9454" s="334" t="s">
        <v>727</v>
      </c>
      <c r="D9454" s="334" t="s">
        <v>271</v>
      </c>
      <c r="E9454" s="336">
        <v>43804</v>
      </c>
      <c r="G9454" s="336">
        <v>43803</v>
      </c>
      <c r="H9454" s="334" t="s">
        <v>2040</v>
      </c>
      <c r="I9454" s="356">
        <v>18001654798</v>
      </c>
      <c r="J9454" s="348" t="s">
        <v>2041</v>
      </c>
      <c r="M9454" s="334">
        <v>2100</v>
      </c>
      <c r="N9454" s="362">
        <f t="shared" si="324"/>
        <v>2100</v>
      </c>
    </row>
    <row r="9455" ht="15" customHeight="1" spans="2:14">
      <c r="B9455" s="487" t="s">
        <v>153</v>
      </c>
      <c r="C9455" s="334" t="s">
        <v>302</v>
      </c>
      <c r="D9455" s="334" t="s">
        <v>155</v>
      </c>
      <c r="E9455" s="336">
        <v>43804</v>
      </c>
      <c r="G9455" s="336">
        <v>43803</v>
      </c>
      <c r="H9455" s="334" t="s">
        <v>13348</v>
      </c>
      <c r="I9455" s="334">
        <v>13916007991</v>
      </c>
      <c r="J9455" s="334" t="s">
        <v>16770</v>
      </c>
      <c r="M9455" s="334">
        <v>1000</v>
      </c>
      <c r="N9455" s="362">
        <f t="shared" si="324"/>
        <v>1000</v>
      </c>
    </row>
    <row r="9456" ht="15" customHeight="1" spans="2:14">
      <c r="B9456" s="334" t="s">
        <v>66</v>
      </c>
      <c r="C9456" s="334" t="s">
        <v>1749</v>
      </c>
      <c r="D9456" s="334" t="s">
        <v>68</v>
      </c>
      <c r="E9456" s="336">
        <v>43804</v>
      </c>
      <c r="G9456" s="336">
        <v>43803</v>
      </c>
      <c r="H9456" s="334" t="s">
        <v>7011</v>
      </c>
      <c r="I9456" s="334">
        <v>15900801352</v>
      </c>
      <c r="J9456" s="334" t="s">
        <v>18920</v>
      </c>
      <c r="M9456" s="334">
        <v>808</v>
      </c>
      <c r="N9456" s="362">
        <f t="shared" si="324"/>
        <v>808</v>
      </c>
    </row>
    <row r="9457" ht="15" customHeight="1" spans="2:14">
      <c r="B9457" s="334" t="s">
        <v>335</v>
      </c>
      <c r="C9457" s="334" t="s">
        <v>399</v>
      </c>
      <c r="D9457" s="334" t="s">
        <v>44</v>
      </c>
      <c r="E9457" s="336">
        <v>43804</v>
      </c>
      <c r="G9457" s="336">
        <v>43803</v>
      </c>
      <c r="H9457" s="334" t="s">
        <v>17329</v>
      </c>
      <c r="I9457" s="444">
        <v>13852867804</v>
      </c>
      <c r="J9457" s="348" t="s">
        <v>17330</v>
      </c>
      <c r="M9457" s="334">
        <v>1500</v>
      </c>
      <c r="N9457" s="362">
        <f t="shared" si="324"/>
        <v>1500</v>
      </c>
    </row>
    <row r="9458" ht="15" customHeight="1" spans="2:14">
      <c r="B9458" s="334" t="s">
        <v>66</v>
      </c>
      <c r="C9458" s="334" t="s">
        <v>505</v>
      </c>
      <c r="D9458" s="334" t="s">
        <v>68</v>
      </c>
      <c r="E9458" s="336">
        <v>43804</v>
      </c>
      <c r="G9458" s="336">
        <v>43802</v>
      </c>
      <c r="H9458" s="334" t="s">
        <v>18378</v>
      </c>
      <c r="I9458" s="444">
        <v>15821307808</v>
      </c>
      <c r="J9458" s="438" t="s">
        <v>18379</v>
      </c>
      <c r="M9458" s="334">
        <v>400</v>
      </c>
      <c r="N9458" s="362">
        <f t="shared" si="324"/>
        <v>400</v>
      </c>
    </row>
    <row r="9459" ht="15" customHeight="1" spans="2:14">
      <c r="B9459" s="334" t="s">
        <v>58</v>
      </c>
      <c r="C9459" s="334" t="s">
        <v>342</v>
      </c>
      <c r="D9459" s="334" t="s">
        <v>343</v>
      </c>
      <c r="E9459" s="336">
        <v>43804</v>
      </c>
      <c r="G9459" s="336">
        <v>43803</v>
      </c>
      <c r="H9459" s="334" t="s">
        <v>14420</v>
      </c>
      <c r="I9459" s="444">
        <v>13641690812</v>
      </c>
      <c r="J9459" s="348" t="s">
        <v>14421</v>
      </c>
      <c r="M9459" s="334">
        <v>2026</v>
      </c>
      <c r="N9459" s="362">
        <f t="shared" si="324"/>
        <v>2026</v>
      </c>
    </row>
    <row r="9460" ht="15" customHeight="1" spans="2:14">
      <c r="B9460" s="334" t="s">
        <v>243</v>
      </c>
      <c r="C9460" s="334" t="s">
        <v>304</v>
      </c>
      <c r="D9460" s="334" t="s">
        <v>49</v>
      </c>
      <c r="E9460" s="336">
        <v>43804</v>
      </c>
      <c r="G9460" s="336">
        <v>43804</v>
      </c>
      <c r="H9460" s="334" t="s">
        <v>13198</v>
      </c>
      <c r="I9460" s="334">
        <v>13701725248</v>
      </c>
      <c r="J9460" s="334" t="s">
        <v>19410</v>
      </c>
      <c r="M9460" s="334">
        <v>3349</v>
      </c>
      <c r="N9460" s="362">
        <f t="shared" si="324"/>
        <v>3349</v>
      </c>
    </row>
    <row r="9461" ht="15" customHeight="1" spans="2:14">
      <c r="B9461" s="334" t="s">
        <v>35</v>
      </c>
      <c r="C9461" s="334" t="s">
        <v>328</v>
      </c>
      <c r="D9461" s="334" t="s">
        <v>37</v>
      </c>
      <c r="E9461" s="336">
        <v>43804</v>
      </c>
      <c r="G9461" s="336">
        <v>43804</v>
      </c>
      <c r="H9461" s="334" t="s">
        <v>19000</v>
      </c>
      <c r="I9461" s="444">
        <v>13817682222</v>
      </c>
      <c r="J9461" s="348" t="s">
        <v>19411</v>
      </c>
      <c r="M9461" s="334">
        <v>1599</v>
      </c>
      <c r="N9461" s="362">
        <f t="shared" si="324"/>
        <v>1599</v>
      </c>
    </row>
    <row r="9462" ht="15" customHeight="1" spans="2:14">
      <c r="B9462" s="334" t="s">
        <v>137</v>
      </c>
      <c r="C9462" s="334" t="s">
        <v>2705</v>
      </c>
      <c r="D9462" s="334" t="s">
        <v>2381</v>
      </c>
      <c r="E9462" s="336">
        <v>43804</v>
      </c>
      <c r="G9462" s="336">
        <v>43800</v>
      </c>
      <c r="H9462" s="334" t="s">
        <v>15467</v>
      </c>
      <c r="I9462" s="444">
        <v>13816322174</v>
      </c>
      <c r="J9462" s="348" t="s">
        <v>16679</v>
      </c>
      <c r="M9462" s="334">
        <v>1807</v>
      </c>
      <c r="N9462" s="362">
        <f t="shared" si="324"/>
        <v>1807</v>
      </c>
    </row>
    <row r="9463" ht="15" customHeight="1" spans="2:14">
      <c r="B9463" s="334" t="s">
        <v>5435</v>
      </c>
      <c r="C9463" s="334" t="s">
        <v>1728</v>
      </c>
      <c r="D9463" s="334" t="s">
        <v>237</v>
      </c>
      <c r="E9463" s="336">
        <v>43804</v>
      </c>
      <c r="G9463" s="336">
        <v>43802</v>
      </c>
      <c r="H9463" s="334" t="s">
        <v>14862</v>
      </c>
      <c r="I9463" s="444">
        <v>18121000219</v>
      </c>
      <c r="J9463" s="348" t="s">
        <v>14863</v>
      </c>
      <c r="M9463" s="334">
        <v>-2424</v>
      </c>
      <c r="N9463" s="362">
        <f t="shared" si="324"/>
        <v>-2424</v>
      </c>
    </row>
    <row r="9464" ht="15" customHeight="1" spans="2:14">
      <c r="B9464" s="334" t="s">
        <v>87</v>
      </c>
      <c r="C9464" s="334" t="s">
        <v>199</v>
      </c>
      <c r="D9464" s="334" t="s">
        <v>89</v>
      </c>
      <c r="E9464" s="336">
        <v>43804</v>
      </c>
      <c r="G9464" s="336">
        <v>43804</v>
      </c>
      <c r="H9464" s="334" t="s">
        <v>19412</v>
      </c>
      <c r="I9464" s="356">
        <v>15026616956</v>
      </c>
      <c r="J9464" s="348" t="s">
        <v>19413</v>
      </c>
      <c r="M9464" s="334">
        <v>3159</v>
      </c>
      <c r="N9464" s="362">
        <f t="shared" si="324"/>
        <v>3159</v>
      </c>
    </row>
    <row r="9465" ht="15" customHeight="1" spans="2:14">
      <c r="B9465" s="334" t="s">
        <v>2625</v>
      </c>
      <c r="C9465" s="334" t="s">
        <v>2626</v>
      </c>
      <c r="D9465" s="334" t="s">
        <v>44</v>
      </c>
      <c r="E9465" s="336">
        <v>43804</v>
      </c>
      <c r="G9465" s="336">
        <v>43804</v>
      </c>
      <c r="H9465" s="334" t="s">
        <v>10573</v>
      </c>
      <c r="I9465" s="444">
        <v>13621807045</v>
      </c>
      <c r="J9465" s="334" t="s">
        <v>10574</v>
      </c>
      <c r="M9465" s="334">
        <v>2650</v>
      </c>
      <c r="N9465" s="362">
        <f t="shared" si="324"/>
        <v>2650</v>
      </c>
    </row>
    <row r="9466" ht="15" customHeight="1" spans="2:14">
      <c r="B9466" s="334" t="s">
        <v>58</v>
      </c>
      <c r="C9466" s="334" t="s">
        <v>109</v>
      </c>
      <c r="D9466" s="334" t="s">
        <v>110</v>
      </c>
      <c r="E9466" s="336">
        <v>43804</v>
      </c>
      <c r="G9466" s="336">
        <v>43804</v>
      </c>
      <c r="H9466" s="334" t="s">
        <v>14039</v>
      </c>
      <c r="I9466" s="334">
        <v>18217195603</v>
      </c>
      <c r="J9466" s="348" t="s">
        <v>19414</v>
      </c>
      <c r="M9466" s="334">
        <v>2315</v>
      </c>
      <c r="N9466" s="362">
        <f t="shared" si="324"/>
        <v>2315</v>
      </c>
    </row>
    <row r="9467" ht="15" customHeight="1" spans="2:14">
      <c r="B9467" s="334" t="s">
        <v>42</v>
      </c>
      <c r="C9467" s="334" t="s">
        <v>12765</v>
      </c>
      <c r="D9467" s="334" t="s">
        <v>207</v>
      </c>
      <c r="E9467" s="336">
        <v>43804</v>
      </c>
      <c r="G9467" s="336">
        <v>43804</v>
      </c>
      <c r="H9467" s="334" t="s">
        <v>15499</v>
      </c>
      <c r="I9467" s="444">
        <v>1301978365</v>
      </c>
      <c r="J9467" s="348" t="s">
        <v>15500</v>
      </c>
      <c r="M9467" s="334">
        <v>703</v>
      </c>
      <c r="N9467" s="362">
        <f t="shared" si="324"/>
        <v>703</v>
      </c>
    </row>
    <row r="9468" ht="15" customHeight="1" spans="2:14">
      <c r="B9468" s="334" t="s">
        <v>185</v>
      </c>
      <c r="C9468" s="334" t="s">
        <v>886</v>
      </c>
      <c r="D9468" s="334" t="s">
        <v>44</v>
      </c>
      <c r="E9468" s="336">
        <v>43804</v>
      </c>
      <c r="G9468" s="336">
        <v>43797</v>
      </c>
      <c r="H9468" s="334" t="s">
        <v>14186</v>
      </c>
      <c r="I9468" s="444">
        <v>15026784188</v>
      </c>
      <c r="J9468" s="438" t="s">
        <v>14187</v>
      </c>
      <c r="M9468" s="334">
        <v>1647</v>
      </c>
      <c r="N9468" s="362">
        <f t="shared" si="324"/>
        <v>1647</v>
      </c>
    </row>
    <row r="9469" ht="15" customHeight="1" spans="2:14">
      <c r="B9469" s="334" t="s">
        <v>73</v>
      </c>
      <c r="C9469" s="334" t="s">
        <v>74</v>
      </c>
      <c r="D9469" s="334" t="s">
        <v>125</v>
      </c>
      <c r="E9469" s="336">
        <v>43804</v>
      </c>
      <c r="G9469" s="336">
        <v>43804</v>
      </c>
      <c r="H9469" s="334" t="s">
        <v>12773</v>
      </c>
      <c r="I9469" s="426">
        <v>13585827776</v>
      </c>
      <c r="J9469" s="426" t="s">
        <v>12774</v>
      </c>
      <c r="M9469" s="334">
        <v>7309</v>
      </c>
      <c r="N9469" s="362">
        <f t="shared" si="324"/>
        <v>7309</v>
      </c>
    </row>
    <row r="9470" ht="15" customHeight="1" spans="2:14">
      <c r="B9470" s="334" t="s">
        <v>73</v>
      </c>
      <c r="C9470" s="334" t="s">
        <v>178</v>
      </c>
      <c r="D9470" s="334" t="s">
        <v>125</v>
      </c>
      <c r="E9470" s="336">
        <v>43804</v>
      </c>
      <c r="G9470" s="336">
        <v>43804</v>
      </c>
      <c r="H9470" s="334" t="s">
        <v>2549</v>
      </c>
      <c r="I9470" s="444">
        <v>13818472034</v>
      </c>
      <c r="J9470" s="348" t="s">
        <v>19415</v>
      </c>
      <c r="M9470" s="334">
        <v>1385</v>
      </c>
      <c r="N9470" s="362">
        <f t="shared" si="324"/>
        <v>1385</v>
      </c>
    </row>
    <row r="9471" ht="15" customHeight="1" spans="2:14">
      <c r="B9471" s="334" t="s">
        <v>315</v>
      </c>
      <c r="C9471" s="334" t="s">
        <v>275</v>
      </c>
      <c r="D9471" s="334" t="s">
        <v>162</v>
      </c>
      <c r="E9471" s="336">
        <v>43804</v>
      </c>
      <c r="G9471" s="336">
        <v>43802</v>
      </c>
      <c r="H9471" s="334" t="s">
        <v>14551</v>
      </c>
      <c r="I9471" s="334">
        <v>13816631215</v>
      </c>
      <c r="J9471" s="334" t="s">
        <v>14552</v>
      </c>
      <c r="M9471" s="334">
        <v>4500</v>
      </c>
      <c r="N9471" s="362">
        <f t="shared" si="324"/>
        <v>4500</v>
      </c>
    </row>
    <row r="9472" ht="15" customHeight="1" spans="1:21">
      <c r="A9472" s="550" t="s">
        <v>425</v>
      </c>
      <c r="B9472" s="334" t="s">
        <v>169</v>
      </c>
      <c r="C9472" s="348" t="s">
        <v>634</v>
      </c>
      <c r="D9472" s="335" t="s">
        <v>635</v>
      </c>
      <c r="E9472" s="336">
        <v>43805</v>
      </c>
      <c r="F9472" s="336">
        <v>43805</v>
      </c>
      <c r="G9472" s="399"/>
      <c r="H9472" s="334" t="s">
        <v>19416</v>
      </c>
      <c r="I9472" s="444">
        <v>15021759899</v>
      </c>
      <c r="J9472" s="438" t="s">
        <v>19417</v>
      </c>
      <c r="K9472" s="356">
        <v>500</v>
      </c>
      <c r="N9472" s="362">
        <f t="shared" ref="N9472:N9485" si="325">L9472+M9472</f>
        <v>0</v>
      </c>
      <c r="U9472" s="353" t="s">
        <v>40</v>
      </c>
    </row>
    <row r="9473" ht="15" customHeight="1" spans="1:14">
      <c r="A9473" s="550" t="s">
        <v>11317</v>
      </c>
      <c r="B9473" s="334" t="s">
        <v>169</v>
      </c>
      <c r="C9473" s="348" t="s">
        <v>634</v>
      </c>
      <c r="D9473" s="335" t="s">
        <v>635</v>
      </c>
      <c r="E9473" s="336">
        <v>43808</v>
      </c>
      <c r="F9473" s="336">
        <v>43802</v>
      </c>
      <c r="G9473" s="336">
        <v>43807</v>
      </c>
      <c r="H9473" s="334" t="s">
        <v>3094</v>
      </c>
      <c r="I9473" s="444">
        <v>13582726413</v>
      </c>
      <c r="J9473" s="438" t="s">
        <v>19418</v>
      </c>
      <c r="K9473" s="356">
        <v>1000</v>
      </c>
      <c r="L9473" s="334">
        <v>10444</v>
      </c>
      <c r="N9473" s="362">
        <f t="shared" si="325"/>
        <v>10444</v>
      </c>
    </row>
    <row r="9474" ht="15" customHeight="1" spans="1:21">
      <c r="A9474" s="550" t="s">
        <v>15114</v>
      </c>
      <c r="B9474" s="334" t="s">
        <v>58</v>
      </c>
      <c r="C9474" s="348" t="s">
        <v>794</v>
      </c>
      <c r="D9474" s="335" t="s">
        <v>110</v>
      </c>
      <c r="E9474" s="336">
        <v>43805</v>
      </c>
      <c r="F9474" s="336">
        <v>43804</v>
      </c>
      <c r="G9474" s="399"/>
      <c r="H9474" s="334" t="s">
        <v>11898</v>
      </c>
      <c r="I9474" s="444">
        <v>18916169816</v>
      </c>
      <c r="J9474" s="438" t="s">
        <v>19419</v>
      </c>
      <c r="K9474" s="356">
        <v>5000</v>
      </c>
      <c r="N9474" s="362">
        <f t="shared" si="325"/>
        <v>0</v>
      </c>
      <c r="O9474" s="365" t="s">
        <v>52</v>
      </c>
      <c r="Q9474" s="467"/>
      <c r="U9474" s="489">
        <v>43829</v>
      </c>
    </row>
    <row r="9475" ht="15" customHeight="1" spans="1:14">
      <c r="A9475" s="550" t="s">
        <v>7908</v>
      </c>
      <c r="B9475" s="334" t="s">
        <v>315</v>
      </c>
      <c r="C9475" s="348" t="s">
        <v>181</v>
      </c>
      <c r="D9475" s="334" t="s">
        <v>1431</v>
      </c>
      <c r="E9475" s="336">
        <v>43815</v>
      </c>
      <c r="F9475" s="336">
        <v>43802</v>
      </c>
      <c r="G9475" s="336">
        <v>43815</v>
      </c>
      <c r="H9475" s="334" t="s">
        <v>1932</v>
      </c>
      <c r="I9475" s="444">
        <v>18621294280</v>
      </c>
      <c r="J9475" s="438" t="s">
        <v>19420</v>
      </c>
      <c r="K9475" s="356">
        <v>500</v>
      </c>
      <c r="L9475" s="334">
        <v>7734</v>
      </c>
      <c r="N9475" s="362">
        <f t="shared" si="325"/>
        <v>7734</v>
      </c>
    </row>
    <row r="9476" ht="15" customHeight="1" spans="1:14">
      <c r="A9476" s="550" t="s">
        <v>19421</v>
      </c>
      <c r="B9476" s="334" t="s">
        <v>31</v>
      </c>
      <c r="C9476" s="348" t="s">
        <v>2716</v>
      </c>
      <c r="D9476" s="334" t="s">
        <v>954</v>
      </c>
      <c r="E9476" s="336">
        <v>43805</v>
      </c>
      <c r="F9476" s="336">
        <v>43804</v>
      </c>
      <c r="G9476" s="399">
        <v>43804</v>
      </c>
      <c r="H9476" s="334" t="s">
        <v>19422</v>
      </c>
      <c r="I9476" s="444">
        <v>13301726170</v>
      </c>
      <c r="J9476" s="348" t="s">
        <v>19423</v>
      </c>
      <c r="K9476" s="334">
        <v>19033</v>
      </c>
      <c r="L9476" s="334">
        <v>19033</v>
      </c>
      <c r="N9476" s="362">
        <f t="shared" si="325"/>
        <v>19033</v>
      </c>
    </row>
    <row r="9477" ht="15" customHeight="1" spans="1:21">
      <c r="A9477" s="550" t="s">
        <v>19424</v>
      </c>
      <c r="B9477" s="334" t="s">
        <v>31</v>
      </c>
      <c r="C9477" s="348" t="s">
        <v>3186</v>
      </c>
      <c r="D9477" s="335" t="s">
        <v>221</v>
      </c>
      <c r="E9477" s="336">
        <v>43805</v>
      </c>
      <c r="F9477" s="336">
        <v>43804</v>
      </c>
      <c r="G9477" s="399"/>
      <c r="H9477" s="334" t="s">
        <v>19425</v>
      </c>
      <c r="I9477" s="444">
        <v>13916098278</v>
      </c>
      <c r="J9477" s="438" t="s">
        <v>19426</v>
      </c>
      <c r="K9477" s="356">
        <v>1000</v>
      </c>
      <c r="N9477" s="362">
        <f t="shared" si="325"/>
        <v>0</v>
      </c>
      <c r="U9477" s="353" t="s">
        <v>63</v>
      </c>
    </row>
    <row r="9478" ht="15" customHeight="1" spans="1:15">
      <c r="A9478" s="550" t="s">
        <v>19427</v>
      </c>
      <c r="B9478" s="334" t="s">
        <v>87</v>
      </c>
      <c r="C9478" s="348" t="s">
        <v>9318</v>
      </c>
      <c r="D9478" s="335" t="s">
        <v>89</v>
      </c>
      <c r="E9478" s="336">
        <v>43808</v>
      </c>
      <c r="F9478" s="336">
        <v>43805</v>
      </c>
      <c r="G9478" s="336">
        <v>43807</v>
      </c>
      <c r="H9478" s="334" t="s">
        <v>19428</v>
      </c>
      <c r="I9478" s="444">
        <v>18918132199</v>
      </c>
      <c r="J9478" s="438" t="s">
        <v>19429</v>
      </c>
      <c r="K9478" s="356">
        <v>1000</v>
      </c>
      <c r="L9478" s="334">
        <v>27728</v>
      </c>
      <c r="N9478" s="362">
        <f t="shared" si="325"/>
        <v>27728</v>
      </c>
      <c r="O9478" s="353" t="s">
        <v>19</v>
      </c>
    </row>
    <row r="9479" ht="15" customHeight="1" spans="1:21">
      <c r="A9479" s="550" t="s">
        <v>19430</v>
      </c>
      <c r="B9479" s="334" t="s">
        <v>31</v>
      </c>
      <c r="C9479" s="348" t="s">
        <v>251</v>
      </c>
      <c r="D9479" s="335" t="s">
        <v>33</v>
      </c>
      <c r="E9479" s="336">
        <v>43805</v>
      </c>
      <c r="F9479" s="336">
        <v>43775</v>
      </c>
      <c r="G9479" s="399"/>
      <c r="H9479" s="334" t="s">
        <v>19431</v>
      </c>
      <c r="I9479" s="444">
        <v>13761161398</v>
      </c>
      <c r="J9479" s="438" t="s">
        <v>19432</v>
      </c>
      <c r="K9479" s="356">
        <v>10808</v>
      </c>
      <c r="N9479" s="362">
        <f t="shared" si="325"/>
        <v>0</v>
      </c>
      <c r="O9479" s="353"/>
      <c r="Q9479" s="385" t="s">
        <v>52</v>
      </c>
      <c r="U9479" s="353"/>
    </row>
    <row r="9480" ht="15" customHeight="1" spans="1:14">
      <c r="A9480" s="550" t="s">
        <v>5183</v>
      </c>
      <c r="B9480" s="334" t="s">
        <v>123</v>
      </c>
      <c r="C9480" s="348" t="s">
        <v>902</v>
      </c>
      <c r="D9480" s="334" t="s">
        <v>155</v>
      </c>
      <c r="E9480" s="336">
        <v>43805</v>
      </c>
      <c r="F9480" s="336">
        <v>43805</v>
      </c>
      <c r="G9480" s="399">
        <v>43805</v>
      </c>
      <c r="H9480" s="334" t="s">
        <v>19433</v>
      </c>
      <c r="I9480" s="444">
        <v>13611827896</v>
      </c>
      <c r="J9480" s="348" t="s">
        <v>19434</v>
      </c>
      <c r="K9480" s="334">
        <v>4563</v>
      </c>
      <c r="L9480" s="334">
        <v>4563</v>
      </c>
      <c r="N9480" s="362">
        <f t="shared" si="325"/>
        <v>4563</v>
      </c>
    </row>
    <row r="9481" ht="15" customHeight="1" spans="1:15">
      <c r="A9481" s="550" t="s">
        <v>19435</v>
      </c>
      <c r="B9481" s="334" t="s">
        <v>137</v>
      </c>
      <c r="C9481" s="348" t="s">
        <v>411</v>
      </c>
      <c r="D9481" s="335" t="s">
        <v>139</v>
      </c>
      <c r="E9481" s="336">
        <v>43829</v>
      </c>
      <c r="F9481" s="336">
        <v>43805</v>
      </c>
      <c r="G9481" s="336">
        <v>43829</v>
      </c>
      <c r="H9481" s="334" t="s">
        <v>19436</v>
      </c>
      <c r="I9481" s="444">
        <v>15000506678</v>
      </c>
      <c r="J9481" s="438" t="s">
        <v>19437</v>
      </c>
      <c r="K9481" s="356">
        <v>1000</v>
      </c>
      <c r="L9481" s="334">
        <v>19900</v>
      </c>
      <c r="N9481" s="362">
        <f t="shared" si="325"/>
        <v>19900</v>
      </c>
      <c r="O9481" s="353" t="s">
        <v>16361</v>
      </c>
    </row>
    <row r="9482" ht="15" customHeight="1" spans="1:14">
      <c r="A9482" s="550" t="s">
        <v>12913</v>
      </c>
      <c r="B9482" s="334" t="s">
        <v>58</v>
      </c>
      <c r="C9482" s="348" t="s">
        <v>794</v>
      </c>
      <c r="D9482" s="334" t="s">
        <v>271</v>
      </c>
      <c r="E9482" s="336">
        <v>43806</v>
      </c>
      <c r="F9482" s="336">
        <v>43804</v>
      </c>
      <c r="G9482" s="336">
        <v>43805</v>
      </c>
      <c r="H9482" s="334" t="s">
        <v>19438</v>
      </c>
      <c r="I9482" s="444">
        <v>13524874774</v>
      </c>
      <c r="J9482" s="438" t="s">
        <v>19439</v>
      </c>
      <c r="K9482" s="356">
        <v>2699</v>
      </c>
      <c r="L9482" s="334">
        <v>3998</v>
      </c>
      <c r="N9482" s="362">
        <f t="shared" si="325"/>
        <v>3998</v>
      </c>
    </row>
    <row r="9483" ht="15" customHeight="1" spans="1:14">
      <c r="A9483" s="550" t="s">
        <v>12696</v>
      </c>
      <c r="B9483" s="334" t="s">
        <v>185</v>
      </c>
      <c r="C9483" s="348" t="s">
        <v>1204</v>
      </c>
      <c r="D9483" s="334" t="s">
        <v>44</v>
      </c>
      <c r="E9483" s="336">
        <v>43805</v>
      </c>
      <c r="F9483" s="336">
        <v>43805</v>
      </c>
      <c r="G9483" s="399">
        <v>43805</v>
      </c>
      <c r="H9483" s="334" t="s">
        <v>19440</v>
      </c>
      <c r="I9483" s="444">
        <v>18221766016</v>
      </c>
      <c r="J9483" s="348" t="s">
        <v>19441</v>
      </c>
      <c r="K9483" s="356">
        <v>43000</v>
      </c>
      <c r="L9483" s="334">
        <v>43000</v>
      </c>
      <c r="N9483" s="362">
        <f t="shared" si="325"/>
        <v>43000</v>
      </c>
    </row>
    <row r="9484" ht="15" customHeight="1" spans="1:14">
      <c r="A9484" s="550" t="s">
        <v>2125</v>
      </c>
      <c r="B9484" s="334" t="s">
        <v>315</v>
      </c>
      <c r="C9484" s="348" t="s">
        <v>161</v>
      </c>
      <c r="D9484" s="334" t="s">
        <v>149</v>
      </c>
      <c r="E9484" s="336">
        <v>43812</v>
      </c>
      <c r="F9484" s="336">
        <v>43805</v>
      </c>
      <c r="G9484" s="336">
        <v>43812</v>
      </c>
      <c r="H9484" s="334" t="s">
        <v>5702</v>
      </c>
      <c r="I9484" s="444">
        <v>18616762575</v>
      </c>
      <c r="J9484" s="438" t="s">
        <v>19442</v>
      </c>
      <c r="K9484" s="356">
        <v>1000</v>
      </c>
      <c r="L9484" s="334">
        <v>1119</v>
      </c>
      <c r="N9484" s="362">
        <f t="shared" si="325"/>
        <v>1119</v>
      </c>
    </row>
    <row r="9485" ht="15" customHeight="1" spans="2:14">
      <c r="B9485" s="334" t="s">
        <v>16169</v>
      </c>
      <c r="C9485" s="334" t="s">
        <v>16170</v>
      </c>
      <c r="D9485" s="334" t="s">
        <v>271</v>
      </c>
      <c r="E9485" s="336">
        <v>43805</v>
      </c>
      <c r="G9485" s="336">
        <v>43805</v>
      </c>
      <c r="H9485" s="334" t="s">
        <v>19443</v>
      </c>
      <c r="I9485" s="444">
        <v>18951087398</v>
      </c>
      <c r="J9485" s="348" t="s">
        <v>19444</v>
      </c>
      <c r="L9485" s="334">
        <v>4360</v>
      </c>
      <c r="N9485" s="362">
        <f t="shared" ref="N9485:N9500" si="326">L9485+M9485</f>
        <v>4360</v>
      </c>
    </row>
    <row r="9486" ht="15" customHeight="1" spans="2:14">
      <c r="B9486" s="334" t="s">
        <v>281</v>
      </c>
      <c r="C9486" s="334" t="s">
        <v>517</v>
      </c>
      <c r="D9486" s="334" t="s">
        <v>518</v>
      </c>
      <c r="E9486" s="336">
        <v>43805</v>
      </c>
      <c r="G9486" s="336">
        <v>43805</v>
      </c>
      <c r="H9486" s="334" t="s">
        <v>19445</v>
      </c>
      <c r="I9486" s="444">
        <v>13166373934</v>
      </c>
      <c r="J9486" s="348" t="s">
        <v>19446</v>
      </c>
      <c r="L9486" s="334">
        <v>20793</v>
      </c>
      <c r="N9486" s="362">
        <f t="shared" si="326"/>
        <v>20793</v>
      </c>
    </row>
    <row r="9487" ht="15" customHeight="1" spans="2:14">
      <c r="B9487" s="334" t="s">
        <v>73</v>
      </c>
      <c r="C9487" s="334" t="s">
        <v>178</v>
      </c>
      <c r="D9487" s="334" t="s">
        <v>2381</v>
      </c>
      <c r="E9487" s="336">
        <v>43805</v>
      </c>
      <c r="G9487" s="336">
        <v>43804</v>
      </c>
      <c r="H9487" s="334" t="s">
        <v>6428</v>
      </c>
      <c r="I9487" s="444">
        <v>13641698866</v>
      </c>
      <c r="J9487" s="334" t="s">
        <v>10329</v>
      </c>
      <c r="M9487" s="334">
        <v>-9717</v>
      </c>
      <c r="N9487" s="362">
        <f t="shared" si="326"/>
        <v>-9717</v>
      </c>
    </row>
    <row r="9488" ht="15" customHeight="1" spans="2:14">
      <c r="B9488" s="334" t="s">
        <v>169</v>
      </c>
      <c r="C9488" s="334" t="s">
        <v>542</v>
      </c>
      <c r="D9488" s="334" t="s">
        <v>171</v>
      </c>
      <c r="E9488" s="336">
        <v>43805</v>
      </c>
      <c r="G9488" s="336">
        <v>43805</v>
      </c>
      <c r="H9488" s="334" t="s">
        <v>17752</v>
      </c>
      <c r="I9488" s="444">
        <v>13916179201</v>
      </c>
      <c r="J9488" s="348" t="s">
        <v>17753</v>
      </c>
      <c r="M9488" s="334">
        <v>1439</v>
      </c>
      <c r="N9488" s="362">
        <f t="shared" si="326"/>
        <v>1439</v>
      </c>
    </row>
    <row r="9489" ht="15" customHeight="1" spans="2:14">
      <c r="B9489" s="334" t="s">
        <v>315</v>
      </c>
      <c r="C9489" s="334" t="s">
        <v>230</v>
      </c>
      <c r="D9489" s="334" t="s">
        <v>182</v>
      </c>
      <c r="E9489" s="336">
        <v>43805</v>
      </c>
      <c r="G9489" s="336">
        <v>43805</v>
      </c>
      <c r="H9489" s="334" t="s">
        <v>16903</v>
      </c>
      <c r="I9489" s="444">
        <v>18621614413</v>
      </c>
      <c r="J9489" s="438" t="s">
        <v>16904</v>
      </c>
      <c r="M9489" s="334">
        <v>1600</v>
      </c>
      <c r="N9489" s="362">
        <f t="shared" si="326"/>
        <v>1600</v>
      </c>
    </row>
    <row r="9490" ht="15" customHeight="1" spans="2:14">
      <c r="B9490" s="334" t="s">
        <v>31</v>
      </c>
      <c r="C9490" s="334" t="s">
        <v>3186</v>
      </c>
      <c r="D9490" s="334" t="s">
        <v>954</v>
      </c>
      <c r="E9490" s="336">
        <v>43805</v>
      </c>
      <c r="G9490" s="336">
        <v>43805</v>
      </c>
      <c r="H9490" s="334" t="s">
        <v>9763</v>
      </c>
      <c r="I9490" s="334">
        <v>13818084351</v>
      </c>
      <c r="J9490" s="348" t="s">
        <v>9764</v>
      </c>
      <c r="M9490" s="334">
        <v>98</v>
      </c>
      <c r="N9490" s="362">
        <f t="shared" si="326"/>
        <v>98</v>
      </c>
    </row>
    <row r="9491" ht="15" customHeight="1" spans="2:14">
      <c r="B9491" s="334" t="s">
        <v>354</v>
      </c>
      <c r="C9491" s="334" t="s">
        <v>355</v>
      </c>
      <c r="D9491" s="334" t="s">
        <v>237</v>
      </c>
      <c r="E9491" s="336">
        <v>43805</v>
      </c>
      <c r="G9491" s="336">
        <v>43805</v>
      </c>
      <c r="H9491" s="334" t="s">
        <v>17967</v>
      </c>
      <c r="I9491" s="444">
        <v>18217066253</v>
      </c>
      <c r="J9491" s="348" t="s">
        <v>17968</v>
      </c>
      <c r="M9491" s="334">
        <v>24</v>
      </c>
      <c r="N9491" s="362">
        <f t="shared" si="326"/>
        <v>24</v>
      </c>
    </row>
    <row r="9492" ht="15" customHeight="1" spans="2:14">
      <c r="B9492" s="334" t="s">
        <v>42</v>
      </c>
      <c r="C9492" s="334" t="s">
        <v>43</v>
      </c>
      <c r="D9492" s="334" t="s">
        <v>44</v>
      </c>
      <c r="E9492" s="336">
        <v>43805</v>
      </c>
      <c r="G9492" s="336">
        <v>43805</v>
      </c>
      <c r="H9492" s="334" t="s">
        <v>17962</v>
      </c>
      <c r="I9492" s="444">
        <v>13918267928</v>
      </c>
      <c r="J9492" s="348" t="s">
        <v>17963</v>
      </c>
      <c r="M9492" s="334">
        <v>1000</v>
      </c>
      <c r="N9492" s="362">
        <f t="shared" si="326"/>
        <v>1000</v>
      </c>
    </row>
    <row r="9493" ht="15" customHeight="1" spans="2:14">
      <c r="B9493" s="334" t="s">
        <v>42</v>
      </c>
      <c r="C9493" s="334" t="s">
        <v>43</v>
      </c>
      <c r="D9493" s="334" t="s">
        <v>207</v>
      </c>
      <c r="E9493" s="336">
        <v>43805</v>
      </c>
      <c r="G9493" s="336">
        <v>43802</v>
      </c>
      <c r="H9493" s="334" t="s">
        <v>12513</v>
      </c>
      <c r="I9493" s="334">
        <v>15821816379</v>
      </c>
      <c r="J9493" s="334" t="s">
        <v>19447</v>
      </c>
      <c r="M9493" s="334">
        <v>-2752</v>
      </c>
      <c r="N9493" s="362">
        <f t="shared" si="326"/>
        <v>-2752</v>
      </c>
    </row>
    <row r="9494" ht="15" customHeight="1" spans="2:14">
      <c r="B9494" s="348" t="s">
        <v>35</v>
      </c>
      <c r="C9494" s="334" t="s">
        <v>36</v>
      </c>
      <c r="D9494" s="334" t="s">
        <v>37</v>
      </c>
      <c r="E9494" s="336">
        <v>43805</v>
      </c>
      <c r="G9494" s="336">
        <v>43805</v>
      </c>
      <c r="H9494" s="334" t="s">
        <v>4338</v>
      </c>
      <c r="I9494" s="444">
        <v>18621368126</v>
      </c>
      <c r="J9494" s="348" t="s">
        <v>19448</v>
      </c>
      <c r="M9494" s="334">
        <v>5000</v>
      </c>
      <c r="N9494" s="362">
        <f t="shared" si="326"/>
        <v>5000</v>
      </c>
    </row>
    <row r="9495" ht="15" customHeight="1" spans="2:14">
      <c r="B9495" s="334" t="s">
        <v>35</v>
      </c>
      <c r="C9495" s="334" t="s">
        <v>36</v>
      </c>
      <c r="D9495" s="334" t="s">
        <v>37</v>
      </c>
      <c r="E9495" s="336">
        <v>43805</v>
      </c>
      <c r="G9495" s="336">
        <v>43802</v>
      </c>
      <c r="H9495" s="334" t="s">
        <v>265</v>
      </c>
      <c r="I9495" s="334">
        <v>13585546620</v>
      </c>
      <c r="J9495" s="334" t="s">
        <v>9577</v>
      </c>
      <c r="M9495" s="334">
        <v>1566</v>
      </c>
      <c r="N9495" s="362">
        <f t="shared" si="326"/>
        <v>1566</v>
      </c>
    </row>
    <row r="9496" ht="15" customHeight="1" spans="2:14">
      <c r="B9496" s="334" t="s">
        <v>315</v>
      </c>
      <c r="C9496" s="334" t="s">
        <v>366</v>
      </c>
      <c r="D9496" s="334" t="s">
        <v>182</v>
      </c>
      <c r="E9496" s="336">
        <v>43805</v>
      </c>
      <c r="G9496" s="336">
        <v>43805</v>
      </c>
      <c r="H9496" s="334" t="s">
        <v>19449</v>
      </c>
      <c r="I9496" s="444">
        <v>13795424181</v>
      </c>
      <c r="J9496" s="334" t="s">
        <v>19450</v>
      </c>
      <c r="M9496" s="334">
        <v>-9447</v>
      </c>
      <c r="N9496" s="362">
        <f t="shared" si="326"/>
        <v>-9447</v>
      </c>
    </row>
    <row r="9497" ht="15" customHeight="1" spans="1:14">
      <c r="A9497" s="550" t="s">
        <v>8748</v>
      </c>
      <c r="B9497" s="334" t="s">
        <v>354</v>
      </c>
      <c r="C9497" s="348" t="s">
        <v>355</v>
      </c>
      <c r="D9497" s="334" t="s">
        <v>237</v>
      </c>
      <c r="E9497" s="336">
        <v>43811</v>
      </c>
      <c r="F9497" s="336">
        <v>43802</v>
      </c>
      <c r="G9497" s="336">
        <v>43811</v>
      </c>
      <c r="H9497" s="334" t="s">
        <v>19451</v>
      </c>
      <c r="I9497" s="444">
        <v>13482047900</v>
      </c>
      <c r="J9497" s="438" t="s">
        <v>19452</v>
      </c>
      <c r="K9497" s="356">
        <v>5000</v>
      </c>
      <c r="L9497" s="334">
        <v>5343</v>
      </c>
      <c r="N9497" s="362">
        <f t="shared" si="326"/>
        <v>5343</v>
      </c>
    </row>
    <row r="9498" ht="15" customHeight="1" spans="1:15">
      <c r="A9498" s="550" t="s">
        <v>1988</v>
      </c>
      <c r="B9498" s="334" t="s">
        <v>185</v>
      </c>
      <c r="C9498" s="348" t="s">
        <v>886</v>
      </c>
      <c r="D9498" s="335" t="s">
        <v>187</v>
      </c>
      <c r="E9498" s="336">
        <v>43806</v>
      </c>
      <c r="F9498" s="336">
        <v>43806</v>
      </c>
      <c r="G9498" s="399"/>
      <c r="H9498" s="334" t="s">
        <v>19453</v>
      </c>
      <c r="I9498" s="444">
        <v>15800902767</v>
      </c>
      <c r="J9498" s="438" t="s">
        <v>19454</v>
      </c>
      <c r="K9498" s="356">
        <v>500</v>
      </c>
      <c r="N9498" s="362">
        <f t="shared" si="326"/>
        <v>0</v>
      </c>
      <c r="O9498" s="467" t="s">
        <v>52</v>
      </c>
    </row>
    <row r="9499" ht="15" customHeight="1" spans="1:14">
      <c r="A9499" s="550" t="s">
        <v>19455</v>
      </c>
      <c r="B9499" s="334" t="s">
        <v>58</v>
      </c>
      <c r="C9499" s="348" t="s">
        <v>347</v>
      </c>
      <c r="D9499" s="334" t="s">
        <v>343</v>
      </c>
      <c r="E9499" s="336">
        <v>43806</v>
      </c>
      <c r="F9499" s="336">
        <v>43805</v>
      </c>
      <c r="G9499" s="399">
        <v>43805</v>
      </c>
      <c r="H9499" s="334" t="s">
        <v>19456</v>
      </c>
      <c r="I9499" s="444">
        <v>13323180008</v>
      </c>
      <c r="J9499" s="348" t="s">
        <v>19457</v>
      </c>
      <c r="K9499" s="356">
        <v>14552</v>
      </c>
      <c r="L9499" s="334">
        <v>14552</v>
      </c>
      <c r="N9499" s="362">
        <f t="shared" si="326"/>
        <v>14552</v>
      </c>
    </row>
    <row r="9500" ht="15" customHeight="1" spans="1:16">
      <c r="A9500" s="550" t="s">
        <v>7779</v>
      </c>
      <c r="B9500" s="334" t="s">
        <v>405</v>
      </c>
      <c r="C9500" s="348" t="s">
        <v>19384</v>
      </c>
      <c r="D9500" s="335" t="s">
        <v>407</v>
      </c>
      <c r="E9500" s="336">
        <v>43806</v>
      </c>
      <c r="F9500" s="336">
        <v>43804</v>
      </c>
      <c r="G9500" s="399"/>
      <c r="H9500" s="334" t="s">
        <v>1131</v>
      </c>
      <c r="I9500" s="444">
        <v>13166016696</v>
      </c>
      <c r="J9500" s="438" t="s">
        <v>19458</v>
      </c>
      <c r="K9500" s="356">
        <v>500</v>
      </c>
      <c r="N9500" s="362">
        <f t="shared" si="326"/>
        <v>0</v>
      </c>
      <c r="P9500" s="502" t="s">
        <v>52</v>
      </c>
    </row>
    <row r="9501" ht="15" customHeight="1" spans="1:16">
      <c r="A9501" s="550" t="s">
        <v>19459</v>
      </c>
      <c r="B9501" s="334" t="s">
        <v>405</v>
      </c>
      <c r="C9501" s="348" t="s">
        <v>1234</v>
      </c>
      <c r="D9501" s="335" t="s">
        <v>407</v>
      </c>
      <c r="E9501" s="336" t="s">
        <v>19460</v>
      </c>
      <c r="F9501" s="336">
        <v>43778</v>
      </c>
      <c r="G9501" s="399"/>
      <c r="H9501" s="334" t="s">
        <v>16656</v>
      </c>
      <c r="I9501" s="444">
        <v>13621628003</v>
      </c>
      <c r="J9501" s="438" t="s">
        <v>16657</v>
      </c>
      <c r="K9501" s="356">
        <v>1000</v>
      </c>
      <c r="N9501" s="362">
        <f t="shared" ref="N9501:N9533" si="327">L9501+M9501</f>
        <v>0</v>
      </c>
      <c r="P9501" s="502" t="s">
        <v>52</v>
      </c>
    </row>
    <row r="9502" ht="15" customHeight="1" spans="1:14">
      <c r="A9502" s="550" t="s">
        <v>7884</v>
      </c>
      <c r="B9502" s="334" t="s">
        <v>354</v>
      </c>
      <c r="C9502" s="348" t="s">
        <v>355</v>
      </c>
      <c r="D9502" s="334" t="s">
        <v>162</v>
      </c>
      <c r="E9502" s="336">
        <v>43830</v>
      </c>
      <c r="F9502" s="336">
        <v>43806</v>
      </c>
      <c r="G9502" s="336">
        <v>43830</v>
      </c>
      <c r="H9502" s="334" t="s">
        <v>19461</v>
      </c>
      <c r="I9502" s="444">
        <v>13817506543</v>
      </c>
      <c r="J9502" s="438" t="s">
        <v>19462</v>
      </c>
      <c r="K9502" s="356">
        <v>10000</v>
      </c>
      <c r="L9502" s="334">
        <v>10000</v>
      </c>
      <c r="N9502" s="362">
        <f t="shared" si="327"/>
        <v>10000</v>
      </c>
    </row>
    <row r="9503" ht="15" customHeight="1" spans="1:14">
      <c r="A9503" s="550" t="s">
        <v>19463</v>
      </c>
      <c r="B9503" s="334" t="s">
        <v>58</v>
      </c>
      <c r="C9503" s="348" t="s">
        <v>342</v>
      </c>
      <c r="D9503" s="335" t="s">
        <v>343</v>
      </c>
      <c r="E9503" s="336">
        <v>43830</v>
      </c>
      <c r="F9503" s="336">
        <v>43806</v>
      </c>
      <c r="G9503" s="336">
        <v>43830</v>
      </c>
      <c r="H9503" s="334" t="s">
        <v>574</v>
      </c>
      <c r="I9503" s="444" t="s">
        <v>19464</v>
      </c>
      <c r="J9503" s="438" t="s">
        <v>19465</v>
      </c>
      <c r="K9503" s="356">
        <f>30000+500</f>
        <v>30500</v>
      </c>
      <c r="L9503" s="334">
        <v>30000</v>
      </c>
      <c r="N9503" s="362">
        <f t="shared" si="327"/>
        <v>30000</v>
      </c>
    </row>
    <row r="9504" ht="15" customHeight="1" spans="1:17">
      <c r="A9504" s="550" t="s">
        <v>12244</v>
      </c>
      <c r="B9504" s="334" t="s">
        <v>66</v>
      </c>
      <c r="C9504" s="348" t="s">
        <v>1749</v>
      </c>
      <c r="D9504" s="335" t="s">
        <v>1436</v>
      </c>
      <c r="E9504" s="336">
        <v>43806</v>
      </c>
      <c r="F9504" s="336">
        <v>43806</v>
      </c>
      <c r="G9504" s="399"/>
      <c r="H9504" s="334" t="s">
        <v>13516</v>
      </c>
      <c r="I9504" s="444">
        <v>13818192895</v>
      </c>
      <c r="J9504" s="438" t="s">
        <v>19466</v>
      </c>
      <c r="K9504" s="356">
        <v>11340</v>
      </c>
      <c r="N9504" s="362">
        <f t="shared" si="327"/>
        <v>0</v>
      </c>
      <c r="Q9504" s="353" t="s">
        <v>52</v>
      </c>
    </row>
    <row r="9505" ht="15" customHeight="1" spans="1:15">
      <c r="A9505" s="550" t="s">
        <v>14767</v>
      </c>
      <c r="B9505" s="334" t="s">
        <v>185</v>
      </c>
      <c r="C9505" s="348" t="s">
        <v>186</v>
      </c>
      <c r="D9505" s="335" t="s">
        <v>187</v>
      </c>
      <c r="E9505" s="336">
        <v>43806</v>
      </c>
      <c r="F9505" s="336">
        <v>43806</v>
      </c>
      <c r="G9505" s="399"/>
      <c r="H9505" s="334" t="s">
        <v>19467</v>
      </c>
      <c r="I9505" s="444">
        <v>13701829033</v>
      </c>
      <c r="J9505" s="438" t="s">
        <v>19468</v>
      </c>
      <c r="K9505" s="356">
        <v>1000</v>
      </c>
      <c r="N9505" s="362">
        <f t="shared" si="327"/>
        <v>0</v>
      </c>
      <c r="O9505" s="467" t="s">
        <v>52</v>
      </c>
    </row>
    <row r="9506" ht="15" customHeight="1" spans="1:14">
      <c r="A9506" s="550" t="s">
        <v>15122</v>
      </c>
      <c r="B9506" s="334" t="s">
        <v>66</v>
      </c>
      <c r="C9506" s="348" t="s">
        <v>505</v>
      </c>
      <c r="D9506" s="334" t="s">
        <v>2302</v>
      </c>
      <c r="E9506" s="336">
        <v>43830</v>
      </c>
      <c r="F9506" s="336">
        <v>43806</v>
      </c>
      <c r="G9506" s="336">
        <v>43830</v>
      </c>
      <c r="H9506" s="334" t="s">
        <v>19469</v>
      </c>
      <c r="I9506" s="444">
        <v>13585858163</v>
      </c>
      <c r="J9506" s="438" t="s">
        <v>19470</v>
      </c>
      <c r="K9506" s="356">
        <v>6000</v>
      </c>
      <c r="L9506" s="334">
        <v>6000</v>
      </c>
      <c r="N9506" s="362">
        <f t="shared" si="327"/>
        <v>6000</v>
      </c>
    </row>
    <row r="9507" ht="15" customHeight="1" spans="1:14">
      <c r="A9507" s="348"/>
      <c r="B9507" s="334" t="s">
        <v>243</v>
      </c>
      <c r="C9507" s="348" t="s">
        <v>304</v>
      </c>
      <c r="D9507" s="335" t="s">
        <v>49</v>
      </c>
      <c r="E9507" s="336">
        <v>43806</v>
      </c>
      <c r="F9507" s="336">
        <v>43806</v>
      </c>
      <c r="G9507" s="399">
        <v>43806</v>
      </c>
      <c r="H9507" s="334" t="s">
        <v>19471</v>
      </c>
      <c r="I9507" s="444">
        <v>13636531186</v>
      </c>
      <c r="J9507" s="348" t="s">
        <v>19472</v>
      </c>
      <c r="K9507" s="356">
        <v>4700</v>
      </c>
      <c r="L9507" s="334">
        <v>5000</v>
      </c>
      <c r="N9507" s="362">
        <f t="shared" si="327"/>
        <v>5000</v>
      </c>
    </row>
    <row r="9508" ht="15" customHeight="1" spans="1:14">
      <c r="A9508" s="550" t="s">
        <v>18185</v>
      </c>
      <c r="B9508" s="334" t="s">
        <v>31</v>
      </c>
      <c r="C9508" s="334" t="s">
        <v>220</v>
      </c>
      <c r="D9508" s="334" t="s">
        <v>954</v>
      </c>
      <c r="E9508" s="336">
        <v>43806</v>
      </c>
      <c r="F9508" s="336">
        <v>43806</v>
      </c>
      <c r="G9508" s="399">
        <v>43806</v>
      </c>
      <c r="H9508" s="334" t="s">
        <v>19473</v>
      </c>
      <c r="I9508" s="444">
        <v>13818933687</v>
      </c>
      <c r="J9508" s="348" t="s">
        <v>19474</v>
      </c>
      <c r="K9508" s="356">
        <v>6400</v>
      </c>
      <c r="L9508" s="334">
        <v>6400</v>
      </c>
      <c r="N9508" s="362">
        <f t="shared" si="327"/>
        <v>6400</v>
      </c>
    </row>
    <row r="9509" ht="15" customHeight="1" spans="1:15">
      <c r="A9509" s="550" t="s">
        <v>10706</v>
      </c>
      <c r="B9509" s="334" t="s">
        <v>123</v>
      </c>
      <c r="C9509" s="334" t="s">
        <v>32</v>
      </c>
      <c r="D9509" s="334" t="s">
        <v>44</v>
      </c>
      <c r="E9509" s="336">
        <v>43806</v>
      </c>
      <c r="F9509" s="336">
        <v>43806</v>
      </c>
      <c r="G9509" s="399">
        <v>43806</v>
      </c>
      <c r="H9509" s="334" t="s">
        <v>4847</v>
      </c>
      <c r="I9509" s="444">
        <v>15890527875</v>
      </c>
      <c r="J9509" s="348" t="s">
        <v>19475</v>
      </c>
      <c r="K9509" s="356">
        <v>4056</v>
      </c>
      <c r="L9509" s="334">
        <v>4056</v>
      </c>
      <c r="N9509" s="362">
        <f t="shared" si="327"/>
        <v>4056</v>
      </c>
      <c r="O9509" s="467" t="s">
        <v>52</v>
      </c>
    </row>
    <row r="9510" ht="15" customHeight="1" spans="1:16">
      <c r="A9510" s="550" t="s">
        <v>18351</v>
      </c>
      <c r="B9510" s="334" t="s">
        <v>31</v>
      </c>
      <c r="C9510" s="348" t="s">
        <v>220</v>
      </c>
      <c r="D9510" s="335" t="s">
        <v>33</v>
      </c>
      <c r="E9510" s="336">
        <v>43806</v>
      </c>
      <c r="F9510" s="336">
        <v>43806</v>
      </c>
      <c r="G9510" s="399"/>
      <c r="H9510" s="334" t="s">
        <v>19369</v>
      </c>
      <c r="I9510" s="444"/>
      <c r="J9510" s="438" t="s">
        <v>19476</v>
      </c>
      <c r="K9510" s="356">
        <v>5000</v>
      </c>
      <c r="N9510" s="362">
        <f t="shared" si="327"/>
        <v>0</v>
      </c>
      <c r="P9510" s="366" t="s">
        <v>52</v>
      </c>
    </row>
    <row r="9511" ht="15" customHeight="1" spans="1:14">
      <c r="A9511" s="550" t="s">
        <v>4217</v>
      </c>
      <c r="B9511" s="334" t="s">
        <v>31</v>
      </c>
      <c r="C9511" s="348" t="s">
        <v>13171</v>
      </c>
      <c r="D9511" s="334" t="s">
        <v>954</v>
      </c>
      <c r="E9511" s="336">
        <v>43823</v>
      </c>
      <c r="F9511" s="336">
        <v>43806</v>
      </c>
      <c r="G9511" s="336">
        <v>43823</v>
      </c>
      <c r="H9511" s="334" t="s">
        <v>19477</v>
      </c>
      <c r="I9511" s="444">
        <v>13061690318</v>
      </c>
      <c r="J9511" s="438" t="s">
        <v>19478</v>
      </c>
      <c r="K9511" s="356">
        <v>3531</v>
      </c>
      <c r="L9511" s="334">
        <v>4000</v>
      </c>
      <c r="N9511" s="362">
        <f t="shared" si="327"/>
        <v>4000</v>
      </c>
    </row>
    <row r="9512" ht="15" customHeight="1" spans="1:15">
      <c r="A9512" s="550" t="s">
        <v>668</v>
      </c>
      <c r="B9512" s="334" t="s">
        <v>137</v>
      </c>
      <c r="C9512" s="348" t="s">
        <v>406</v>
      </c>
      <c r="D9512" s="334" t="s">
        <v>2381</v>
      </c>
      <c r="E9512" s="336">
        <v>43830</v>
      </c>
      <c r="F9512" s="336">
        <v>43806</v>
      </c>
      <c r="G9512" s="336">
        <v>43830</v>
      </c>
      <c r="H9512" s="334" t="s">
        <v>19479</v>
      </c>
      <c r="I9512" s="444">
        <v>13916278280</v>
      </c>
      <c r="J9512" s="438" t="s">
        <v>19480</v>
      </c>
      <c r="K9512" s="356">
        <v>27000</v>
      </c>
      <c r="L9512" s="334">
        <v>27000</v>
      </c>
      <c r="N9512" s="362">
        <f t="shared" si="327"/>
        <v>27000</v>
      </c>
      <c r="O9512" s="330" t="s">
        <v>19</v>
      </c>
    </row>
    <row r="9513" ht="15" customHeight="1" spans="1:14">
      <c r="A9513" s="550" t="s">
        <v>3567</v>
      </c>
      <c r="B9513" s="334" t="s">
        <v>87</v>
      </c>
      <c r="C9513" s="348" t="s">
        <v>199</v>
      </c>
      <c r="D9513" s="334" t="s">
        <v>89</v>
      </c>
      <c r="E9513" s="336">
        <v>43806</v>
      </c>
      <c r="F9513" s="336">
        <v>43806</v>
      </c>
      <c r="G9513" s="399">
        <v>43806</v>
      </c>
      <c r="H9513" s="334" t="s">
        <v>19481</v>
      </c>
      <c r="I9513" s="444">
        <v>15821041973</v>
      </c>
      <c r="J9513" s="438" t="s">
        <v>19482</v>
      </c>
      <c r="K9513" s="356">
        <v>12998</v>
      </c>
      <c r="L9513" s="334">
        <v>12998</v>
      </c>
      <c r="N9513" s="362">
        <f t="shared" si="327"/>
        <v>12998</v>
      </c>
    </row>
    <row r="9514" ht="15" customHeight="1" spans="1:14">
      <c r="A9514" s="550" t="s">
        <v>19483</v>
      </c>
      <c r="B9514" s="334" t="s">
        <v>31</v>
      </c>
      <c r="C9514" s="348" t="s">
        <v>2716</v>
      </c>
      <c r="D9514" s="335" t="s">
        <v>33</v>
      </c>
      <c r="E9514" s="336">
        <v>43808</v>
      </c>
      <c r="F9514" s="336">
        <v>43806</v>
      </c>
      <c r="G9514" s="336">
        <v>43807</v>
      </c>
      <c r="H9514" s="334" t="s">
        <v>19484</v>
      </c>
      <c r="I9514" s="444">
        <v>13917086942</v>
      </c>
      <c r="J9514" s="438" t="s">
        <v>19485</v>
      </c>
      <c r="K9514" s="356">
        <v>1000</v>
      </c>
      <c r="L9514" s="334">
        <v>4506</v>
      </c>
      <c r="N9514" s="362">
        <f t="shared" si="327"/>
        <v>4506</v>
      </c>
    </row>
    <row r="9515" ht="15" customHeight="1" spans="1:15">
      <c r="A9515" s="550" t="s">
        <v>3445</v>
      </c>
      <c r="B9515" s="334" t="s">
        <v>805</v>
      </c>
      <c r="C9515" s="348" t="s">
        <v>498</v>
      </c>
      <c r="D9515" s="335" t="s">
        <v>635</v>
      </c>
      <c r="E9515" s="336">
        <v>43807</v>
      </c>
      <c r="F9515" s="336">
        <v>43806</v>
      </c>
      <c r="G9515" s="399"/>
      <c r="H9515" s="334" t="s">
        <v>19486</v>
      </c>
      <c r="I9515" s="444">
        <v>13564462053</v>
      </c>
      <c r="J9515" s="438" t="s">
        <v>19487</v>
      </c>
      <c r="K9515" s="356">
        <v>1000</v>
      </c>
      <c r="N9515" s="362">
        <f t="shared" si="327"/>
        <v>0</v>
      </c>
      <c r="O9515" s="467"/>
    </row>
    <row r="9516" ht="15" customHeight="1" spans="1:14">
      <c r="A9516" s="550" t="s">
        <v>19488</v>
      </c>
      <c r="B9516" s="334" t="s">
        <v>236</v>
      </c>
      <c r="C9516" s="348" t="s">
        <v>703</v>
      </c>
      <c r="D9516" s="335" t="s">
        <v>125</v>
      </c>
      <c r="E9516" s="336">
        <v>43809</v>
      </c>
      <c r="F9516" s="336">
        <v>43806</v>
      </c>
      <c r="G9516" s="336">
        <v>43808</v>
      </c>
      <c r="H9516" s="334" t="s">
        <v>19489</v>
      </c>
      <c r="I9516" s="444">
        <v>13817114612</v>
      </c>
      <c r="J9516" s="438" t="s">
        <v>19490</v>
      </c>
      <c r="K9516" s="356">
        <v>8937</v>
      </c>
      <c r="L9516" s="334">
        <v>9962</v>
      </c>
      <c r="N9516" s="362">
        <f t="shared" si="327"/>
        <v>9962</v>
      </c>
    </row>
    <row r="9517" ht="15" customHeight="1" spans="1:18">
      <c r="A9517" s="550" t="s">
        <v>19491</v>
      </c>
      <c r="B9517" s="334" t="s">
        <v>315</v>
      </c>
      <c r="C9517" s="348" t="s">
        <v>10014</v>
      </c>
      <c r="D9517" s="334" t="s">
        <v>132</v>
      </c>
      <c r="E9517" s="336">
        <v>43830</v>
      </c>
      <c r="F9517" s="336">
        <v>43806</v>
      </c>
      <c r="G9517" s="336">
        <v>43830</v>
      </c>
      <c r="H9517" s="334" t="s">
        <v>19492</v>
      </c>
      <c r="I9517" s="444">
        <v>13916367516</v>
      </c>
      <c r="J9517" s="438" t="s">
        <v>19493</v>
      </c>
      <c r="K9517" s="356">
        <v>30000</v>
      </c>
      <c r="L9517" s="334">
        <v>30000</v>
      </c>
      <c r="N9517" s="362">
        <f t="shared" si="327"/>
        <v>30000</v>
      </c>
      <c r="R9517" s="330">
        <v>1</v>
      </c>
    </row>
    <row r="9518" ht="15" customHeight="1" spans="1:21">
      <c r="A9518" s="550" t="s">
        <v>19494</v>
      </c>
      <c r="B9518" s="334" t="s">
        <v>153</v>
      </c>
      <c r="C9518" s="348" t="s">
        <v>154</v>
      </c>
      <c r="D9518" s="335" t="s">
        <v>155</v>
      </c>
      <c r="E9518" s="336">
        <v>43807</v>
      </c>
      <c r="F9518" s="336">
        <v>43806</v>
      </c>
      <c r="G9518" s="399"/>
      <c r="H9518" s="334" t="s">
        <v>19495</v>
      </c>
      <c r="I9518" s="444">
        <v>13166139186</v>
      </c>
      <c r="J9518" s="438" t="s">
        <v>19496</v>
      </c>
      <c r="K9518" s="356">
        <v>1000</v>
      </c>
      <c r="N9518" s="362">
        <f t="shared" si="327"/>
        <v>0</v>
      </c>
      <c r="U9518" s="353">
        <v>12.23</v>
      </c>
    </row>
    <row r="9519" ht="15" customHeight="1" spans="1:16">
      <c r="A9519" s="550" t="s">
        <v>15935</v>
      </c>
      <c r="B9519" s="334" t="s">
        <v>58</v>
      </c>
      <c r="C9519" s="348" t="s">
        <v>109</v>
      </c>
      <c r="D9519" s="335" t="s">
        <v>110</v>
      </c>
      <c r="E9519" s="336">
        <v>43807</v>
      </c>
      <c r="F9519" s="336">
        <v>43806</v>
      </c>
      <c r="G9519" s="399"/>
      <c r="H9519" s="334" t="s">
        <v>19497</v>
      </c>
      <c r="I9519" s="444">
        <v>13391061772</v>
      </c>
      <c r="J9519" s="438" t="s">
        <v>19498</v>
      </c>
      <c r="K9519" s="356">
        <v>5000</v>
      </c>
      <c r="N9519" s="362">
        <f t="shared" si="327"/>
        <v>0</v>
      </c>
      <c r="P9519" s="467" t="s">
        <v>52</v>
      </c>
    </row>
    <row r="9520" ht="15" customHeight="1" spans="1:16">
      <c r="A9520" s="550" t="s">
        <v>19499</v>
      </c>
      <c r="B9520" s="334" t="s">
        <v>137</v>
      </c>
      <c r="C9520" s="348" t="s">
        <v>411</v>
      </c>
      <c r="D9520" s="335" t="s">
        <v>443</v>
      </c>
      <c r="E9520" s="336">
        <v>43830</v>
      </c>
      <c r="F9520" s="336">
        <v>43806</v>
      </c>
      <c r="G9520" s="336">
        <v>43829</v>
      </c>
      <c r="H9520" s="334" t="s">
        <v>19500</v>
      </c>
      <c r="I9520" s="444">
        <v>13818054386</v>
      </c>
      <c r="J9520" s="438" t="s">
        <v>19501</v>
      </c>
      <c r="K9520" s="356">
        <v>16200</v>
      </c>
      <c r="L9520" s="334">
        <v>16200</v>
      </c>
      <c r="N9520" s="362">
        <f t="shared" si="327"/>
        <v>16200</v>
      </c>
      <c r="O9520" s="353"/>
      <c r="P9520" s="353" t="s">
        <v>17229</v>
      </c>
    </row>
    <row r="9521" ht="15" customHeight="1" spans="1:17">
      <c r="A9521" s="550" t="s">
        <v>8967</v>
      </c>
      <c r="B9521" s="334" t="s">
        <v>73</v>
      </c>
      <c r="C9521" s="348" t="s">
        <v>178</v>
      </c>
      <c r="D9521" s="335" t="s">
        <v>75</v>
      </c>
      <c r="E9521" s="336">
        <v>43830</v>
      </c>
      <c r="F9521" s="336">
        <v>43807</v>
      </c>
      <c r="G9521" s="336">
        <v>43830</v>
      </c>
      <c r="H9521" s="334" t="s">
        <v>2627</v>
      </c>
      <c r="I9521" s="444">
        <v>13636385370</v>
      </c>
      <c r="J9521" s="438" t="s">
        <v>19502</v>
      </c>
      <c r="K9521" s="356">
        <v>1000</v>
      </c>
      <c r="L9521" s="334">
        <v>32560</v>
      </c>
      <c r="N9521" s="362">
        <f t="shared" si="327"/>
        <v>32560</v>
      </c>
      <c r="O9521" s="405"/>
      <c r="P9521" s="331"/>
      <c r="Q9521" s="405" t="s">
        <v>52</v>
      </c>
    </row>
    <row r="9522" ht="15" customHeight="1" spans="1:14">
      <c r="A9522" s="550" t="s">
        <v>11990</v>
      </c>
      <c r="B9522" s="334" t="s">
        <v>73</v>
      </c>
      <c r="C9522" s="348" t="s">
        <v>74</v>
      </c>
      <c r="D9522" s="334" t="s">
        <v>2381</v>
      </c>
      <c r="E9522" s="336">
        <v>43807</v>
      </c>
      <c r="F9522" s="336">
        <v>43807</v>
      </c>
      <c r="G9522" s="399">
        <v>43807</v>
      </c>
      <c r="H9522" s="334" t="s">
        <v>19503</v>
      </c>
      <c r="I9522" s="444">
        <v>18721409776</v>
      </c>
      <c r="J9522" s="438" t="s">
        <v>19504</v>
      </c>
      <c r="K9522" s="356">
        <v>1000</v>
      </c>
      <c r="L9522" s="334">
        <v>11371</v>
      </c>
      <c r="N9522" s="362">
        <f t="shared" si="327"/>
        <v>11371</v>
      </c>
    </row>
    <row r="9523" ht="15" customHeight="1" spans="1:15">
      <c r="A9523" s="550" t="s">
        <v>17888</v>
      </c>
      <c r="B9523" s="334" t="s">
        <v>315</v>
      </c>
      <c r="C9523" s="348" t="s">
        <v>275</v>
      </c>
      <c r="D9523" s="335" t="s">
        <v>162</v>
      </c>
      <c r="E9523" s="336">
        <v>43807</v>
      </c>
      <c r="F9523" s="336">
        <v>43806</v>
      </c>
      <c r="G9523" s="399"/>
      <c r="H9523" s="334" t="s">
        <v>6968</v>
      </c>
      <c r="I9523" s="444">
        <v>13501922042</v>
      </c>
      <c r="J9523" s="438" t="s">
        <v>19505</v>
      </c>
      <c r="K9523" s="356">
        <v>18000</v>
      </c>
      <c r="N9523" s="362">
        <f t="shared" si="327"/>
        <v>0</v>
      </c>
      <c r="O9523" s="330">
        <v>1</v>
      </c>
    </row>
    <row r="9524" ht="15" customHeight="1" spans="1:15">
      <c r="A9524" s="550" t="s">
        <v>15062</v>
      </c>
      <c r="B9524" s="334" t="s">
        <v>58</v>
      </c>
      <c r="C9524" s="348" t="s">
        <v>347</v>
      </c>
      <c r="D9524" s="335" t="s">
        <v>343</v>
      </c>
      <c r="E9524" s="336">
        <v>43821</v>
      </c>
      <c r="F9524" s="336">
        <v>43807</v>
      </c>
      <c r="G9524" s="336">
        <v>43819</v>
      </c>
      <c r="H9524" s="334" t="s">
        <v>19506</v>
      </c>
      <c r="I9524" s="444">
        <v>18616990380</v>
      </c>
      <c r="J9524" s="438" t="s">
        <v>19507</v>
      </c>
      <c r="K9524" s="356">
        <v>1000</v>
      </c>
      <c r="L9524" s="334">
        <v>5614</v>
      </c>
      <c r="N9524" s="362">
        <f t="shared" si="327"/>
        <v>5614</v>
      </c>
      <c r="O9524" s="467" t="s">
        <v>52</v>
      </c>
    </row>
    <row r="9525" ht="15" customHeight="1" spans="1:15">
      <c r="A9525" s="550" t="s">
        <v>159</v>
      </c>
      <c r="B9525" s="334" t="s">
        <v>315</v>
      </c>
      <c r="C9525" s="348" t="s">
        <v>181</v>
      </c>
      <c r="D9525" s="335" t="s">
        <v>182</v>
      </c>
      <c r="E9525" s="336">
        <v>43807</v>
      </c>
      <c r="F9525" s="336">
        <v>43806</v>
      </c>
      <c r="G9525" s="399"/>
      <c r="H9525" s="334" t="s">
        <v>19508</v>
      </c>
      <c r="I9525" s="444">
        <v>15300533390</v>
      </c>
      <c r="J9525" s="438" t="s">
        <v>19509</v>
      </c>
      <c r="K9525" s="356">
        <v>1299</v>
      </c>
      <c r="N9525" s="362">
        <f t="shared" si="327"/>
        <v>0</v>
      </c>
      <c r="O9525" s="330">
        <v>1</v>
      </c>
    </row>
    <row r="9526" ht="15" customHeight="1" spans="1:22">
      <c r="A9526" s="550" t="s">
        <v>5192</v>
      </c>
      <c r="B9526" s="334" t="s">
        <v>123</v>
      </c>
      <c r="C9526" s="348" t="s">
        <v>902</v>
      </c>
      <c r="D9526" s="335" t="s">
        <v>125</v>
      </c>
      <c r="E9526" s="336">
        <v>43810</v>
      </c>
      <c r="F9526" s="336">
        <v>43807</v>
      </c>
      <c r="G9526" s="336">
        <v>43809</v>
      </c>
      <c r="H9526" s="334" t="s">
        <v>19510</v>
      </c>
      <c r="I9526" s="444">
        <v>18621515751</v>
      </c>
      <c r="J9526" s="438" t="s">
        <v>19511</v>
      </c>
      <c r="K9526" s="356">
        <v>1000</v>
      </c>
      <c r="L9526" s="334">
        <v>5494</v>
      </c>
      <c r="N9526" s="362">
        <f t="shared" si="327"/>
        <v>5494</v>
      </c>
      <c r="V9526" s="353" t="s">
        <v>98</v>
      </c>
    </row>
    <row r="9527" ht="15" customHeight="1" spans="1:16">
      <c r="A9527" s="550" t="s">
        <v>19512</v>
      </c>
      <c r="B9527" s="334" t="s">
        <v>123</v>
      </c>
      <c r="C9527" s="348" t="s">
        <v>32</v>
      </c>
      <c r="D9527" s="335" t="s">
        <v>125</v>
      </c>
      <c r="E9527" s="336">
        <v>43807</v>
      </c>
      <c r="F9527" s="336">
        <v>43807</v>
      </c>
      <c r="G9527" s="399"/>
      <c r="H9527" s="334" t="s">
        <v>19513</v>
      </c>
      <c r="I9527" s="444">
        <v>17317574609</v>
      </c>
      <c r="J9527" s="438" t="s">
        <v>19514</v>
      </c>
      <c r="K9527" s="356">
        <v>1000</v>
      </c>
      <c r="N9527" s="362">
        <f t="shared" si="327"/>
        <v>0</v>
      </c>
      <c r="O9527" s="353" t="s">
        <v>1608</v>
      </c>
      <c r="P9527" s="467"/>
    </row>
    <row r="9528" ht="15" customHeight="1" spans="1:14">
      <c r="A9528" s="550" t="s">
        <v>10561</v>
      </c>
      <c r="B9528" s="334" t="s">
        <v>185</v>
      </c>
      <c r="C9528" s="348" t="s">
        <v>1204</v>
      </c>
      <c r="D9528" s="334" t="s">
        <v>187</v>
      </c>
      <c r="E9528" s="336">
        <v>43809</v>
      </c>
      <c r="F9528" s="336">
        <v>43806</v>
      </c>
      <c r="G9528" s="336">
        <v>43808</v>
      </c>
      <c r="H9528" s="334" t="s">
        <v>19515</v>
      </c>
      <c r="I9528" s="444">
        <v>18621500597</v>
      </c>
      <c r="J9528" s="438" t="s">
        <v>19516</v>
      </c>
      <c r="K9528" s="356">
        <v>1000</v>
      </c>
      <c r="L9528" s="334">
        <v>9400</v>
      </c>
      <c r="N9528" s="362">
        <f t="shared" si="327"/>
        <v>9400</v>
      </c>
    </row>
    <row r="9529" ht="15" customHeight="1" spans="1:17">
      <c r="A9529" s="550" t="s">
        <v>13565</v>
      </c>
      <c r="B9529" s="334" t="s">
        <v>35</v>
      </c>
      <c r="C9529" s="348" t="s">
        <v>36</v>
      </c>
      <c r="D9529" s="335" t="s">
        <v>37</v>
      </c>
      <c r="E9529" s="336">
        <v>43807</v>
      </c>
      <c r="F9529" s="336">
        <v>43806</v>
      </c>
      <c r="G9529" s="399"/>
      <c r="H9529" s="334" t="s">
        <v>19517</v>
      </c>
      <c r="I9529" s="444">
        <v>18616829927</v>
      </c>
      <c r="J9529" s="438" t="s">
        <v>19518</v>
      </c>
      <c r="K9529" s="356">
        <v>1000</v>
      </c>
      <c r="N9529" s="362">
        <f t="shared" si="327"/>
        <v>0</v>
      </c>
      <c r="Q9529" s="356" t="s">
        <v>52</v>
      </c>
    </row>
    <row r="9530" ht="15" customHeight="1" spans="1:14">
      <c r="A9530" s="550" t="s">
        <v>19519</v>
      </c>
      <c r="B9530" s="334" t="s">
        <v>335</v>
      </c>
      <c r="C9530" s="348" t="s">
        <v>148</v>
      </c>
      <c r="D9530" s="334" t="s">
        <v>337</v>
      </c>
      <c r="E9530" s="336">
        <v>43807</v>
      </c>
      <c r="F9530" s="336">
        <v>43806</v>
      </c>
      <c r="G9530" s="399">
        <v>43806</v>
      </c>
      <c r="H9530" s="334" t="s">
        <v>19520</v>
      </c>
      <c r="I9530" s="444">
        <v>13816785214</v>
      </c>
      <c r="J9530" s="438" t="s">
        <v>19521</v>
      </c>
      <c r="K9530" s="356">
        <v>3000</v>
      </c>
      <c r="L9530" s="334">
        <v>3000</v>
      </c>
      <c r="N9530" s="362">
        <f t="shared" si="327"/>
        <v>3000</v>
      </c>
    </row>
    <row r="9531" ht="15" customHeight="1" spans="1:14">
      <c r="A9531" s="550" t="s">
        <v>18440</v>
      </c>
      <c r="B9531" s="334" t="s">
        <v>315</v>
      </c>
      <c r="C9531" s="334" t="s">
        <v>886</v>
      </c>
      <c r="D9531" s="334" t="s">
        <v>162</v>
      </c>
      <c r="E9531" s="336">
        <v>43811</v>
      </c>
      <c r="F9531" s="336">
        <v>43807</v>
      </c>
      <c r="G9531" s="336">
        <v>43811</v>
      </c>
      <c r="H9531" s="334" t="s">
        <v>19522</v>
      </c>
      <c r="I9531" s="444">
        <v>13482650162</v>
      </c>
      <c r="J9531" s="438" t="s">
        <v>19523</v>
      </c>
      <c r="K9531" s="356">
        <v>5000</v>
      </c>
      <c r="L9531" s="334">
        <v>10800</v>
      </c>
      <c r="N9531" s="362">
        <f t="shared" si="327"/>
        <v>10800</v>
      </c>
    </row>
    <row r="9532" ht="15" customHeight="1" spans="1:14">
      <c r="A9532" s="348"/>
      <c r="B9532" s="334" t="s">
        <v>137</v>
      </c>
      <c r="C9532" s="348" t="s">
        <v>861</v>
      </c>
      <c r="D9532" s="334" t="s">
        <v>139</v>
      </c>
      <c r="E9532" s="336">
        <v>43816</v>
      </c>
      <c r="F9532" s="336">
        <v>43806</v>
      </c>
      <c r="G9532" s="336">
        <v>43814</v>
      </c>
      <c r="H9532" s="334" t="s">
        <v>19524</v>
      </c>
      <c r="I9532" s="444">
        <v>17701858076</v>
      </c>
      <c r="J9532" s="438" t="s">
        <v>19525</v>
      </c>
      <c r="K9532" s="356">
        <v>13500</v>
      </c>
      <c r="L9532" s="334">
        <v>16714</v>
      </c>
      <c r="N9532" s="362">
        <f t="shared" si="327"/>
        <v>16714</v>
      </c>
    </row>
    <row r="9533" ht="15" customHeight="1" spans="1:17">
      <c r="A9533" s="550" t="s">
        <v>8969</v>
      </c>
      <c r="B9533" s="334" t="s">
        <v>73</v>
      </c>
      <c r="C9533" s="348" t="s">
        <v>74</v>
      </c>
      <c r="D9533" s="335" t="s">
        <v>75</v>
      </c>
      <c r="E9533" s="336">
        <v>43808</v>
      </c>
      <c r="F9533" s="336">
        <v>43807</v>
      </c>
      <c r="G9533" s="399"/>
      <c r="H9533" s="334" t="s">
        <v>19526</v>
      </c>
      <c r="I9533" s="444">
        <v>15821305871</v>
      </c>
      <c r="J9533" s="438" t="s">
        <v>19527</v>
      </c>
      <c r="K9533" s="356">
        <v>1000</v>
      </c>
      <c r="N9533" s="362">
        <f t="shared" si="327"/>
        <v>0</v>
      </c>
      <c r="O9533" s="366" t="s">
        <v>52</v>
      </c>
      <c r="Q9533" s="331"/>
    </row>
    <row r="9534" ht="15" customHeight="1" spans="1:14">
      <c r="A9534" s="550" t="s">
        <v>13751</v>
      </c>
      <c r="B9534" s="334" t="s">
        <v>335</v>
      </c>
      <c r="C9534" s="348" t="s">
        <v>399</v>
      </c>
      <c r="D9534" s="334" t="s">
        <v>110</v>
      </c>
      <c r="E9534" s="336">
        <v>43824</v>
      </c>
      <c r="F9534" s="336">
        <v>43806</v>
      </c>
      <c r="G9534" s="336">
        <v>43817</v>
      </c>
      <c r="H9534" s="334" t="s">
        <v>19528</v>
      </c>
      <c r="I9534" s="444">
        <v>15216713119</v>
      </c>
      <c r="J9534" s="438" t="s">
        <v>19529</v>
      </c>
      <c r="K9534" s="356">
        <v>1000</v>
      </c>
      <c r="L9534" s="334">
        <v>12695</v>
      </c>
      <c r="N9534" s="362">
        <f t="shared" ref="N9533:N9556" si="328">L9534+M9534</f>
        <v>12695</v>
      </c>
    </row>
    <row r="9535" ht="15" customHeight="1" spans="1:18">
      <c r="A9535" s="550" t="s">
        <v>12876</v>
      </c>
      <c r="B9535" s="334" t="s">
        <v>335</v>
      </c>
      <c r="C9535" s="348" t="s">
        <v>399</v>
      </c>
      <c r="D9535" s="335" t="s">
        <v>337</v>
      </c>
      <c r="E9535" s="336" t="s">
        <v>2424</v>
      </c>
      <c r="F9535" s="336">
        <v>43806</v>
      </c>
      <c r="G9535" s="399"/>
      <c r="H9535" s="334" t="s">
        <v>17291</v>
      </c>
      <c r="I9535" s="444">
        <v>18668805856</v>
      </c>
      <c r="J9535" s="438" t="s">
        <v>19530</v>
      </c>
      <c r="K9535" s="356">
        <v>500</v>
      </c>
      <c r="N9535" s="362">
        <f t="shared" si="328"/>
        <v>0</v>
      </c>
      <c r="R9535" s="338" t="s">
        <v>19531</v>
      </c>
    </row>
    <row r="9536" ht="15" customHeight="1" spans="1:18">
      <c r="A9536" s="348">
        <v>2024300</v>
      </c>
      <c r="B9536" s="334" t="s">
        <v>335</v>
      </c>
      <c r="C9536" s="348" t="s">
        <v>399</v>
      </c>
      <c r="D9536" s="334" t="s">
        <v>44</v>
      </c>
      <c r="E9536" s="336">
        <v>43830</v>
      </c>
      <c r="F9536" s="336">
        <v>43806</v>
      </c>
      <c r="G9536" s="336">
        <v>43830</v>
      </c>
      <c r="H9536" s="334" t="s">
        <v>19532</v>
      </c>
      <c r="I9536" s="444">
        <v>15921808340</v>
      </c>
      <c r="J9536" s="438" t="s">
        <v>19533</v>
      </c>
      <c r="K9536" s="356">
        <v>500</v>
      </c>
      <c r="L9536" s="334">
        <v>11928</v>
      </c>
      <c r="N9536" s="362">
        <f t="shared" si="328"/>
        <v>11928</v>
      </c>
      <c r="R9536" s="338" t="s">
        <v>19534</v>
      </c>
    </row>
    <row r="9537" ht="15" customHeight="1" spans="1:14">
      <c r="A9537" s="550" t="s">
        <v>4640</v>
      </c>
      <c r="B9537" s="334" t="s">
        <v>31</v>
      </c>
      <c r="C9537" s="348" t="s">
        <v>419</v>
      </c>
      <c r="D9537" s="334" t="s">
        <v>33</v>
      </c>
      <c r="E9537" s="336">
        <v>43829</v>
      </c>
      <c r="F9537" s="336">
        <v>43807</v>
      </c>
      <c r="G9537" s="336">
        <v>43828</v>
      </c>
      <c r="H9537" s="334" t="s">
        <v>19535</v>
      </c>
      <c r="I9537" s="444">
        <v>13918869781</v>
      </c>
      <c r="J9537" s="438" t="s">
        <v>19536</v>
      </c>
      <c r="K9537" s="356">
        <v>3000</v>
      </c>
      <c r="L9537" s="334">
        <v>15200</v>
      </c>
      <c r="N9537" s="362">
        <f t="shared" si="328"/>
        <v>15200</v>
      </c>
    </row>
    <row r="9538" ht="15" customHeight="1" spans="1:17">
      <c r="A9538" s="348"/>
      <c r="B9538" s="334" t="s">
        <v>35</v>
      </c>
      <c r="C9538" s="348" t="s">
        <v>328</v>
      </c>
      <c r="D9538" s="335" t="s">
        <v>37</v>
      </c>
      <c r="E9538" s="336">
        <v>43813</v>
      </c>
      <c r="F9538" s="336">
        <v>43806</v>
      </c>
      <c r="G9538" s="336">
        <v>43813</v>
      </c>
      <c r="H9538" s="334" t="s">
        <v>19537</v>
      </c>
      <c r="I9538" s="444">
        <v>18501679291</v>
      </c>
      <c r="J9538" s="438" t="s">
        <v>19538</v>
      </c>
      <c r="K9538" s="356">
        <v>4500</v>
      </c>
      <c r="L9538" s="334">
        <v>15432</v>
      </c>
      <c r="N9538" s="362">
        <f t="shared" si="328"/>
        <v>15432</v>
      </c>
      <c r="Q9538" s="356" t="s">
        <v>52</v>
      </c>
    </row>
    <row r="9539" ht="15" customHeight="1" spans="1:14">
      <c r="A9539" s="550" t="s">
        <v>6463</v>
      </c>
      <c r="B9539" s="334" t="s">
        <v>137</v>
      </c>
      <c r="C9539" s="348" t="s">
        <v>411</v>
      </c>
      <c r="D9539" s="334" t="s">
        <v>2381</v>
      </c>
      <c r="E9539" s="336">
        <v>43807</v>
      </c>
      <c r="F9539" s="336">
        <v>43745</v>
      </c>
      <c r="G9539" s="336">
        <v>43807</v>
      </c>
      <c r="H9539" s="334" t="s">
        <v>19539</v>
      </c>
      <c r="I9539" s="444">
        <v>13262752085</v>
      </c>
      <c r="J9539" s="438" t="s">
        <v>19540</v>
      </c>
      <c r="K9539" s="356">
        <v>2000</v>
      </c>
      <c r="L9539" s="334">
        <v>4192</v>
      </c>
      <c r="N9539" s="362">
        <f t="shared" si="328"/>
        <v>4192</v>
      </c>
    </row>
    <row r="9540" ht="15" customHeight="1" spans="1:21">
      <c r="A9540" s="550" t="s">
        <v>19541</v>
      </c>
      <c r="B9540" s="334" t="s">
        <v>31</v>
      </c>
      <c r="C9540" s="348" t="s">
        <v>419</v>
      </c>
      <c r="D9540" s="335" t="s">
        <v>221</v>
      </c>
      <c r="E9540" s="336">
        <v>43807</v>
      </c>
      <c r="F9540" s="336">
        <v>43807</v>
      </c>
      <c r="G9540" s="399"/>
      <c r="H9540" s="334" t="s">
        <v>8212</v>
      </c>
      <c r="I9540" s="444">
        <v>13918030278</v>
      </c>
      <c r="J9540" s="438" t="s">
        <v>19542</v>
      </c>
      <c r="K9540" s="356">
        <v>500</v>
      </c>
      <c r="N9540" s="362">
        <f t="shared" si="328"/>
        <v>0</v>
      </c>
      <c r="U9540" s="353" t="s">
        <v>40</v>
      </c>
    </row>
    <row r="9541" ht="15" customHeight="1" spans="1:14">
      <c r="A9541" s="550" t="s">
        <v>17407</v>
      </c>
      <c r="B9541" s="334" t="s">
        <v>726</v>
      </c>
      <c r="C9541" s="348" t="s">
        <v>727</v>
      </c>
      <c r="D9541" s="334" t="s">
        <v>271</v>
      </c>
      <c r="E9541" s="336">
        <v>43807</v>
      </c>
      <c r="F9541" s="336">
        <v>43806</v>
      </c>
      <c r="G9541" s="399">
        <v>43807</v>
      </c>
      <c r="H9541" s="334" t="s">
        <v>19543</v>
      </c>
      <c r="I9541" s="444">
        <v>13764450804</v>
      </c>
      <c r="J9541" s="438" t="s">
        <v>19544</v>
      </c>
      <c r="K9541" s="356">
        <v>27994</v>
      </c>
      <c r="L9541" s="334">
        <v>27994</v>
      </c>
      <c r="N9541" s="362">
        <f t="shared" si="328"/>
        <v>27994</v>
      </c>
    </row>
    <row r="9542" ht="15" customHeight="1" spans="1:16">
      <c r="A9542" s="550" t="s">
        <v>19545</v>
      </c>
      <c r="B9542" s="334" t="s">
        <v>123</v>
      </c>
      <c r="C9542" s="348" t="s">
        <v>32</v>
      </c>
      <c r="D9542" s="335" t="s">
        <v>125</v>
      </c>
      <c r="E9542" s="336">
        <v>43807</v>
      </c>
      <c r="F9542" s="336">
        <v>43807</v>
      </c>
      <c r="G9542" s="399"/>
      <c r="H9542" s="334" t="s">
        <v>19546</v>
      </c>
      <c r="I9542" s="444">
        <v>17621530098</v>
      </c>
      <c r="J9542" s="438" t="s">
        <v>19547</v>
      </c>
      <c r="K9542" s="356">
        <v>1000</v>
      </c>
      <c r="N9542" s="362">
        <f t="shared" si="328"/>
        <v>0</v>
      </c>
      <c r="O9542" s="353" t="s">
        <v>1608</v>
      </c>
      <c r="P9542" s="467"/>
    </row>
    <row r="9543" ht="15" customHeight="1" spans="1:14">
      <c r="A9543" s="550" t="s">
        <v>10748</v>
      </c>
      <c r="B9543" s="334" t="s">
        <v>185</v>
      </c>
      <c r="C9543" s="348" t="s">
        <v>886</v>
      </c>
      <c r="D9543" s="334" t="s">
        <v>2381</v>
      </c>
      <c r="E9543" s="336">
        <v>43808</v>
      </c>
      <c r="F9543" s="336">
        <v>43807</v>
      </c>
      <c r="G9543" s="336">
        <v>43807</v>
      </c>
      <c r="H9543" s="334" t="s">
        <v>19548</v>
      </c>
      <c r="I9543" s="444">
        <v>13761624723</v>
      </c>
      <c r="J9543" s="438" t="s">
        <v>19549</v>
      </c>
      <c r="K9543" s="356">
        <v>6000</v>
      </c>
      <c r="L9543" s="334">
        <v>6931</v>
      </c>
      <c r="N9543" s="362">
        <f t="shared" si="328"/>
        <v>6931</v>
      </c>
    </row>
    <row r="9544" ht="15" customHeight="1" spans="1:14">
      <c r="A9544" s="550" t="s">
        <v>19550</v>
      </c>
      <c r="B9544" s="334" t="s">
        <v>87</v>
      </c>
      <c r="C9544" s="348" t="s">
        <v>199</v>
      </c>
      <c r="D9544" s="335" t="s">
        <v>89</v>
      </c>
      <c r="E9544" s="336">
        <v>43815</v>
      </c>
      <c r="F9544" s="336">
        <v>43807</v>
      </c>
      <c r="G9544" s="336">
        <v>43814</v>
      </c>
      <c r="H9544" s="334" t="s">
        <v>19551</v>
      </c>
      <c r="I9544" s="444">
        <v>13585940070</v>
      </c>
      <c r="J9544" s="438" t="s">
        <v>19552</v>
      </c>
      <c r="K9544" s="356">
        <v>1000</v>
      </c>
      <c r="L9544" s="334">
        <v>21353</v>
      </c>
      <c r="N9544" s="362">
        <f t="shared" si="328"/>
        <v>21353</v>
      </c>
    </row>
    <row r="9545" ht="15" customHeight="1" spans="1:15">
      <c r="A9545" s="550" t="s">
        <v>876</v>
      </c>
      <c r="B9545" s="334" t="s">
        <v>185</v>
      </c>
      <c r="C9545" s="348" t="s">
        <v>186</v>
      </c>
      <c r="D9545" s="335" t="s">
        <v>187</v>
      </c>
      <c r="E9545" s="336">
        <v>43807</v>
      </c>
      <c r="F9545" s="336">
        <v>43807</v>
      </c>
      <c r="G9545" s="399"/>
      <c r="H9545" s="334" t="s">
        <v>19553</v>
      </c>
      <c r="I9545" s="444">
        <v>18801901466</v>
      </c>
      <c r="J9545" s="438" t="s">
        <v>19554</v>
      </c>
      <c r="K9545" s="356">
        <v>1000</v>
      </c>
      <c r="N9545" s="362">
        <f t="shared" si="328"/>
        <v>0</v>
      </c>
      <c r="O9545" s="467" t="s">
        <v>52</v>
      </c>
    </row>
    <row r="9546" ht="15" customHeight="1" spans="1:18">
      <c r="A9546" s="348"/>
      <c r="B9546" s="334" t="s">
        <v>2625</v>
      </c>
      <c r="C9546" s="348" t="s">
        <v>2626</v>
      </c>
      <c r="D9546" s="335" t="s">
        <v>44</v>
      </c>
      <c r="E9546" s="336">
        <v>43807</v>
      </c>
      <c r="F9546" s="336">
        <v>43807</v>
      </c>
      <c r="G9546" s="399"/>
      <c r="H9546" s="334" t="s">
        <v>19555</v>
      </c>
      <c r="I9546" s="444">
        <v>13671817432</v>
      </c>
      <c r="J9546" s="438" t="s">
        <v>19556</v>
      </c>
      <c r="K9546" s="356">
        <v>1000</v>
      </c>
      <c r="N9546" s="362">
        <f t="shared" si="328"/>
        <v>0</v>
      </c>
      <c r="O9546" s="477"/>
      <c r="P9546" s="477"/>
      <c r="Q9546" s="477"/>
      <c r="R9546" s="509" t="s">
        <v>4631</v>
      </c>
    </row>
    <row r="9547" ht="15" customHeight="1" spans="1:17">
      <c r="A9547" s="550" t="s">
        <v>13448</v>
      </c>
      <c r="B9547" s="334" t="s">
        <v>137</v>
      </c>
      <c r="C9547" s="348" t="s">
        <v>480</v>
      </c>
      <c r="D9547" s="335" t="s">
        <v>443</v>
      </c>
      <c r="E9547" s="336">
        <v>43807</v>
      </c>
      <c r="F9547" s="336">
        <v>43806</v>
      </c>
      <c r="G9547" s="399"/>
      <c r="H9547" s="334" t="s">
        <v>9107</v>
      </c>
      <c r="I9547" s="444">
        <v>18017294346</v>
      </c>
      <c r="J9547" s="438" t="s">
        <v>19557</v>
      </c>
      <c r="K9547" s="356">
        <v>1000</v>
      </c>
      <c r="N9547" s="362">
        <f t="shared" si="328"/>
        <v>0</v>
      </c>
      <c r="Q9547" s="353" t="s">
        <v>21</v>
      </c>
    </row>
    <row r="9548" ht="15" customHeight="1" spans="1:14">
      <c r="A9548" s="550" t="s">
        <v>19558</v>
      </c>
      <c r="B9548" s="334" t="s">
        <v>137</v>
      </c>
      <c r="C9548" s="348" t="s">
        <v>861</v>
      </c>
      <c r="D9548" s="334" t="s">
        <v>443</v>
      </c>
      <c r="E9548" s="336">
        <v>43823</v>
      </c>
      <c r="F9548" s="336">
        <v>43807</v>
      </c>
      <c r="G9548" s="336">
        <v>43822</v>
      </c>
      <c r="H9548" s="334" t="s">
        <v>19559</v>
      </c>
      <c r="I9548" s="444">
        <v>18017223434</v>
      </c>
      <c r="J9548" s="438" t="s">
        <v>19560</v>
      </c>
      <c r="K9548" s="356">
        <v>21600</v>
      </c>
      <c r="L9548" s="334">
        <v>13424</v>
      </c>
      <c r="N9548" s="362">
        <f t="shared" si="328"/>
        <v>13424</v>
      </c>
    </row>
    <row r="9549" ht="15" customHeight="1" spans="1:16">
      <c r="A9549" s="550" t="s">
        <v>168</v>
      </c>
      <c r="B9549" s="334" t="s">
        <v>123</v>
      </c>
      <c r="C9549" s="348" t="s">
        <v>9890</v>
      </c>
      <c r="D9549" s="335" t="s">
        <v>125</v>
      </c>
      <c r="E9549" s="336">
        <v>43810</v>
      </c>
      <c r="F9549" s="336">
        <v>43807</v>
      </c>
      <c r="G9549" s="336">
        <v>43810</v>
      </c>
      <c r="H9549" s="334" t="s">
        <v>19561</v>
      </c>
      <c r="I9549" s="444">
        <v>15021388908</v>
      </c>
      <c r="J9549" s="438" t="s">
        <v>19562</v>
      </c>
      <c r="K9549" s="356">
        <v>1000</v>
      </c>
      <c r="L9549" s="334">
        <v>13700</v>
      </c>
      <c r="N9549" s="362">
        <f t="shared" si="328"/>
        <v>13700</v>
      </c>
      <c r="P9549" s="467" t="s">
        <v>52</v>
      </c>
    </row>
    <row r="9550" ht="15" customHeight="1" spans="1:16">
      <c r="A9550" s="550" t="s">
        <v>7881</v>
      </c>
      <c r="B9550" s="334" t="s">
        <v>354</v>
      </c>
      <c r="C9550" s="348" t="s">
        <v>355</v>
      </c>
      <c r="D9550" s="335" t="s">
        <v>149</v>
      </c>
      <c r="E9550" s="336">
        <v>43807</v>
      </c>
      <c r="F9550" s="336">
        <v>43807</v>
      </c>
      <c r="G9550" s="399"/>
      <c r="H9550" s="334" t="s">
        <v>19563</v>
      </c>
      <c r="I9550" s="444">
        <v>13636311406</v>
      </c>
      <c r="J9550" s="438" t="s">
        <v>19564</v>
      </c>
      <c r="K9550" s="356">
        <v>2000</v>
      </c>
      <c r="N9550" s="362">
        <f t="shared" si="328"/>
        <v>0</v>
      </c>
      <c r="P9550" s="356" t="s">
        <v>52</v>
      </c>
    </row>
    <row r="9551" ht="15" customHeight="1" spans="1:17">
      <c r="A9551" s="550" t="s">
        <v>15895</v>
      </c>
      <c r="B9551" s="334" t="s">
        <v>66</v>
      </c>
      <c r="C9551" s="348" t="s">
        <v>119</v>
      </c>
      <c r="D9551" s="335" t="s">
        <v>1436</v>
      </c>
      <c r="E9551" s="336">
        <v>43828</v>
      </c>
      <c r="F9551" s="336">
        <v>43807</v>
      </c>
      <c r="G9551" s="336">
        <v>43827</v>
      </c>
      <c r="H9551" s="334" t="s">
        <v>19565</v>
      </c>
      <c r="I9551" s="444">
        <v>13661648950</v>
      </c>
      <c r="J9551" s="438" t="s">
        <v>19566</v>
      </c>
      <c r="K9551" s="356">
        <v>1000</v>
      </c>
      <c r="L9551" s="334">
        <v>9520</v>
      </c>
      <c r="N9551" s="362">
        <f t="shared" si="328"/>
        <v>9520</v>
      </c>
      <c r="Q9551" s="353" t="s">
        <v>21</v>
      </c>
    </row>
    <row r="9552" ht="15" customHeight="1" spans="1:14">
      <c r="A9552" s="348">
        <v>2068439</v>
      </c>
      <c r="B9552" s="334" t="s">
        <v>47</v>
      </c>
      <c r="C9552" s="348" t="s">
        <v>53</v>
      </c>
      <c r="D9552" s="335" t="s">
        <v>49</v>
      </c>
      <c r="E9552" s="336">
        <v>43807</v>
      </c>
      <c r="F9552" s="336">
        <v>43807</v>
      </c>
      <c r="G9552" s="399">
        <v>43807</v>
      </c>
      <c r="H9552" s="334" t="s">
        <v>19567</v>
      </c>
      <c r="I9552" s="444">
        <v>13601924267</v>
      </c>
      <c r="J9552" s="438" t="s">
        <v>19568</v>
      </c>
      <c r="K9552" s="356">
        <v>9227</v>
      </c>
      <c r="L9552" s="334">
        <v>9227</v>
      </c>
      <c r="N9552" s="362">
        <f t="shared" si="328"/>
        <v>9227</v>
      </c>
    </row>
    <row r="9553" ht="15" customHeight="1" spans="1:23">
      <c r="A9553" s="348"/>
      <c r="B9553" s="334" t="s">
        <v>2625</v>
      </c>
      <c r="C9553" s="348" t="s">
        <v>2626</v>
      </c>
      <c r="D9553" s="335" t="s">
        <v>337</v>
      </c>
      <c r="E9553" s="336">
        <v>43808</v>
      </c>
      <c r="F9553" s="336">
        <v>43807</v>
      </c>
      <c r="G9553" s="336">
        <v>43808</v>
      </c>
      <c r="H9553" s="334" t="s">
        <v>9578</v>
      </c>
      <c r="I9553" s="444">
        <v>15102408518</v>
      </c>
      <c r="J9553" s="438" t="s">
        <v>19569</v>
      </c>
      <c r="K9553" s="356">
        <v>1000</v>
      </c>
      <c r="L9553" s="334">
        <v>6200</v>
      </c>
      <c r="N9553" s="362">
        <f t="shared" si="328"/>
        <v>6200</v>
      </c>
      <c r="W9553" s="489">
        <v>43807</v>
      </c>
    </row>
    <row r="9554" ht="15" customHeight="1" spans="1:14">
      <c r="A9554" s="550" t="s">
        <v>6329</v>
      </c>
      <c r="B9554" s="334" t="s">
        <v>147</v>
      </c>
      <c r="C9554" s="348" t="s">
        <v>13719</v>
      </c>
      <c r="D9554" s="335" t="s">
        <v>149</v>
      </c>
      <c r="E9554" s="336">
        <v>43807</v>
      </c>
      <c r="F9554" s="336">
        <v>43807</v>
      </c>
      <c r="G9554" s="399"/>
      <c r="H9554" s="334" t="s">
        <v>19570</v>
      </c>
      <c r="I9554" s="444">
        <v>13661514344</v>
      </c>
      <c r="J9554" s="438" t="s">
        <v>19571</v>
      </c>
      <c r="K9554" s="356">
        <v>1000</v>
      </c>
      <c r="N9554" s="362">
        <f t="shared" si="328"/>
        <v>0</v>
      </c>
    </row>
    <row r="9555" ht="15" customHeight="1" spans="1:14">
      <c r="A9555" s="348">
        <v>2023298</v>
      </c>
      <c r="B9555" s="334" t="s">
        <v>94</v>
      </c>
      <c r="C9555" s="348" t="s">
        <v>95</v>
      </c>
      <c r="D9555" s="335" t="s">
        <v>49</v>
      </c>
      <c r="E9555" s="336">
        <v>43825</v>
      </c>
      <c r="F9555" s="336">
        <v>43807</v>
      </c>
      <c r="G9555" s="336">
        <v>43823</v>
      </c>
      <c r="H9555" s="334" t="s">
        <v>19572</v>
      </c>
      <c r="I9555" s="444">
        <v>13671901319</v>
      </c>
      <c r="J9555" s="438" t="s">
        <v>19573</v>
      </c>
      <c r="K9555" s="356">
        <v>1000</v>
      </c>
      <c r="L9555" s="334">
        <v>12392</v>
      </c>
      <c r="N9555" s="362">
        <f t="shared" si="328"/>
        <v>12392</v>
      </c>
    </row>
    <row r="9556" ht="15" customHeight="1" spans="2:14">
      <c r="B9556" s="334" t="s">
        <v>87</v>
      </c>
      <c r="C9556" s="334" t="s">
        <v>199</v>
      </c>
      <c r="D9556" s="334" t="s">
        <v>89</v>
      </c>
      <c r="E9556" s="336">
        <v>43806</v>
      </c>
      <c r="G9556" s="336">
        <v>43806</v>
      </c>
      <c r="H9556" s="334" t="s">
        <v>19574</v>
      </c>
      <c r="I9556" s="496">
        <v>13472635538</v>
      </c>
      <c r="J9556" s="496" t="s">
        <v>19575</v>
      </c>
      <c r="L9556" s="334">
        <v>15800</v>
      </c>
      <c r="N9556" s="362">
        <f t="shared" ref="N9556:N9591" si="329">L9556+M9556</f>
        <v>15800</v>
      </c>
    </row>
    <row r="9557" ht="15" customHeight="1" spans="2:14">
      <c r="B9557" s="334" t="s">
        <v>73</v>
      </c>
      <c r="C9557" s="334" t="s">
        <v>74</v>
      </c>
      <c r="D9557" s="335" t="s">
        <v>125</v>
      </c>
      <c r="E9557" s="336">
        <v>43807</v>
      </c>
      <c r="G9557" s="336">
        <v>43807</v>
      </c>
      <c r="H9557" s="334" t="s">
        <v>19576</v>
      </c>
      <c r="I9557" s="444">
        <v>13764750195</v>
      </c>
      <c r="J9557" s="438" t="s">
        <v>19577</v>
      </c>
      <c r="L9557" s="334">
        <v>13517</v>
      </c>
      <c r="N9557" s="362">
        <f t="shared" si="329"/>
        <v>13517</v>
      </c>
    </row>
    <row r="9558" ht="15" customHeight="1" spans="2:14">
      <c r="B9558" s="334" t="s">
        <v>137</v>
      </c>
      <c r="C9558" s="334" t="s">
        <v>480</v>
      </c>
      <c r="D9558" s="334" t="s">
        <v>139</v>
      </c>
      <c r="E9558" s="336">
        <v>43806</v>
      </c>
      <c r="G9558" s="336">
        <v>43806</v>
      </c>
      <c r="H9558" s="334" t="s">
        <v>14579</v>
      </c>
      <c r="I9558" s="334">
        <v>13564289133</v>
      </c>
      <c r="J9558" s="348" t="s">
        <v>19578</v>
      </c>
      <c r="M9558" s="334">
        <v>351</v>
      </c>
      <c r="N9558" s="362">
        <f t="shared" si="329"/>
        <v>351</v>
      </c>
    </row>
    <row r="9559" ht="15" customHeight="1" spans="2:14">
      <c r="B9559" s="334" t="s">
        <v>42</v>
      </c>
      <c r="C9559" s="334" t="s">
        <v>43</v>
      </c>
      <c r="D9559" s="334" t="s">
        <v>44</v>
      </c>
      <c r="E9559" s="336">
        <v>43806</v>
      </c>
      <c r="G9559" s="336">
        <v>43805</v>
      </c>
      <c r="H9559" s="334" t="s">
        <v>12513</v>
      </c>
      <c r="I9559" s="334">
        <v>15821816379</v>
      </c>
      <c r="J9559" s="334" t="s">
        <v>19447</v>
      </c>
      <c r="M9559" s="334">
        <v>-124</v>
      </c>
      <c r="N9559" s="362">
        <f t="shared" si="329"/>
        <v>-124</v>
      </c>
    </row>
    <row r="9560" ht="15" customHeight="1" spans="2:14">
      <c r="B9560" s="334" t="s">
        <v>73</v>
      </c>
      <c r="C9560" s="334" t="s">
        <v>178</v>
      </c>
      <c r="D9560" s="334" t="s">
        <v>187</v>
      </c>
      <c r="E9560" s="336">
        <v>43806</v>
      </c>
      <c r="G9560" s="336">
        <v>43806</v>
      </c>
      <c r="H9560" s="334" t="s">
        <v>12776</v>
      </c>
      <c r="I9560" s="334">
        <v>13701600803</v>
      </c>
      <c r="J9560" s="348" t="s">
        <v>19579</v>
      </c>
      <c r="M9560" s="334">
        <v>976</v>
      </c>
      <c r="N9560" s="362">
        <f t="shared" si="329"/>
        <v>976</v>
      </c>
    </row>
    <row r="9561" ht="15" customHeight="1" spans="2:14">
      <c r="B9561" s="334" t="s">
        <v>66</v>
      </c>
      <c r="C9561" s="334" t="s">
        <v>7029</v>
      </c>
      <c r="D9561" s="334" t="s">
        <v>1436</v>
      </c>
      <c r="E9561" s="336">
        <v>43806</v>
      </c>
      <c r="G9561" s="336">
        <v>43806</v>
      </c>
      <c r="H9561" s="334" t="s">
        <v>19580</v>
      </c>
      <c r="I9561" s="356">
        <v>13901755150</v>
      </c>
      <c r="J9561" s="348" t="s">
        <v>19581</v>
      </c>
      <c r="M9561" s="334">
        <v>2377</v>
      </c>
      <c r="N9561" s="362">
        <f t="shared" si="329"/>
        <v>2377</v>
      </c>
    </row>
    <row r="9562" ht="15" customHeight="1" spans="2:14">
      <c r="B9562" s="334" t="s">
        <v>4009</v>
      </c>
      <c r="C9562" s="334" t="s">
        <v>6401</v>
      </c>
      <c r="D9562" s="334" t="s">
        <v>8334</v>
      </c>
      <c r="E9562" s="336">
        <v>43806</v>
      </c>
      <c r="G9562" s="336">
        <v>43806</v>
      </c>
      <c r="H9562" s="334" t="s">
        <v>19274</v>
      </c>
      <c r="I9562" s="444">
        <v>18721730518</v>
      </c>
      <c r="J9562" s="348" t="s">
        <v>19275</v>
      </c>
      <c r="M9562" s="334">
        <v>1469</v>
      </c>
      <c r="N9562" s="362">
        <f t="shared" si="329"/>
        <v>1469</v>
      </c>
    </row>
    <row r="9563" ht="15" customHeight="1" spans="2:14">
      <c r="B9563" s="334" t="s">
        <v>73</v>
      </c>
      <c r="C9563" s="334" t="s">
        <v>74</v>
      </c>
      <c r="D9563" s="334" t="s">
        <v>143</v>
      </c>
      <c r="E9563" s="336">
        <v>43806</v>
      </c>
      <c r="G9563" s="336">
        <v>43806</v>
      </c>
      <c r="H9563" s="334" t="s">
        <v>19582</v>
      </c>
      <c r="I9563" s="444">
        <v>13918370335</v>
      </c>
      <c r="J9563" s="348" t="s">
        <v>19583</v>
      </c>
      <c r="M9563" s="334">
        <v>399</v>
      </c>
      <c r="N9563" s="362">
        <f t="shared" si="329"/>
        <v>399</v>
      </c>
    </row>
    <row r="9564" ht="15" customHeight="1" spans="2:14">
      <c r="B9564" s="334" t="s">
        <v>73</v>
      </c>
      <c r="C9564" s="334" t="s">
        <v>74</v>
      </c>
      <c r="D9564" s="334" t="s">
        <v>717</v>
      </c>
      <c r="E9564" s="336">
        <v>43806</v>
      </c>
      <c r="G9564" s="336">
        <v>43806</v>
      </c>
      <c r="H9564" s="334" t="s">
        <v>14539</v>
      </c>
      <c r="I9564" s="334">
        <v>13701831259</v>
      </c>
      <c r="J9564" s="334" t="s">
        <v>14540</v>
      </c>
      <c r="M9564" s="334">
        <v>2329</v>
      </c>
      <c r="N9564" s="362">
        <f t="shared" si="329"/>
        <v>2329</v>
      </c>
    </row>
    <row r="9565" ht="15" customHeight="1" spans="2:14">
      <c r="B9565" s="334" t="s">
        <v>2625</v>
      </c>
      <c r="C9565" s="334" t="s">
        <v>2626</v>
      </c>
      <c r="D9565" s="334" t="s">
        <v>44</v>
      </c>
      <c r="E9565" s="336">
        <v>43807</v>
      </c>
      <c r="G9565" s="336">
        <v>43806</v>
      </c>
      <c r="H9565" s="334" t="s">
        <v>7115</v>
      </c>
      <c r="I9565" s="356">
        <v>18621976760</v>
      </c>
      <c r="J9565" s="348" t="s">
        <v>16463</v>
      </c>
      <c r="M9565" s="334">
        <v>891</v>
      </c>
      <c r="N9565" s="362">
        <f t="shared" si="329"/>
        <v>891</v>
      </c>
    </row>
    <row r="9566" ht="15" customHeight="1" spans="2:14">
      <c r="B9566" s="334" t="s">
        <v>137</v>
      </c>
      <c r="C9566" s="334" t="s">
        <v>406</v>
      </c>
      <c r="D9566" s="334" t="s">
        <v>443</v>
      </c>
      <c r="E9566" s="336">
        <v>43807</v>
      </c>
      <c r="G9566" s="336">
        <v>43806</v>
      </c>
      <c r="H9566" s="334" t="s">
        <v>14706</v>
      </c>
      <c r="I9566" s="444">
        <v>13764093201</v>
      </c>
      <c r="J9566" s="348" t="s">
        <v>14707</v>
      </c>
      <c r="M9566" s="334">
        <v>-40</v>
      </c>
      <c r="N9566" s="362">
        <f t="shared" si="329"/>
        <v>-40</v>
      </c>
    </row>
    <row r="9567" ht="15" customHeight="1" spans="2:14">
      <c r="B9567" s="334" t="s">
        <v>35</v>
      </c>
      <c r="C9567" s="334" t="s">
        <v>328</v>
      </c>
      <c r="D9567" s="334" t="s">
        <v>37</v>
      </c>
      <c r="E9567" s="336">
        <v>43807</v>
      </c>
      <c r="G9567" s="336">
        <v>43806</v>
      </c>
      <c r="H9567" s="334" t="s">
        <v>14804</v>
      </c>
      <c r="I9567" s="444">
        <v>13918872809</v>
      </c>
      <c r="J9567" s="348" t="s">
        <v>19584</v>
      </c>
      <c r="M9567" s="334">
        <v>2567</v>
      </c>
      <c r="N9567" s="362">
        <f t="shared" si="329"/>
        <v>2567</v>
      </c>
    </row>
    <row r="9568" ht="15" customHeight="1" spans="2:14">
      <c r="B9568" s="334" t="s">
        <v>66</v>
      </c>
      <c r="C9568" s="334" t="s">
        <v>15301</v>
      </c>
      <c r="D9568" s="334" t="s">
        <v>2302</v>
      </c>
      <c r="E9568" s="336">
        <v>43807</v>
      </c>
      <c r="G9568" s="336">
        <v>43799</v>
      </c>
      <c r="H9568" s="334" t="s">
        <v>19083</v>
      </c>
      <c r="I9568" s="444">
        <v>15618296591</v>
      </c>
      <c r="J9568" s="438" t="s">
        <v>16965</v>
      </c>
      <c r="M9568" s="334">
        <v>1650</v>
      </c>
      <c r="N9568" s="362">
        <f t="shared" si="329"/>
        <v>1650</v>
      </c>
    </row>
    <row r="9569" ht="15" customHeight="1" spans="2:14">
      <c r="B9569" s="334" t="s">
        <v>31</v>
      </c>
      <c r="C9569" s="334" t="s">
        <v>220</v>
      </c>
      <c r="D9569" s="334" t="s">
        <v>954</v>
      </c>
      <c r="E9569" s="336">
        <v>43807</v>
      </c>
      <c r="G9569" s="336">
        <v>43806</v>
      </c>
      <c r="H9569" s="334" t="s">
        <v>16214</v>
      </c>
      <c r="I9569" s="444">
        <v>13560952557</v>
      </c>
      <c r="J9569" s="348" t="s">
        <v>18555</v>
      </c>
      <c r="M9569" s="334">
        <v>1211</v>
      </c>
      <c r="N9569" s="362">
        <f t="shared" si="329"/>
        <v>1211</v>
      </c>
    </row>
    <row r="9570" ht="15" customHeight="1" spans="2:14">
      <c r="B9570" s="334" t="s">
        <v>405</v>
      </c>
      <c r="C9570" s="334" t="s">
        <v>823</v>
      </c>
      <c r="D9570" s="334" t="s">
        <v>407</v>
      </c>
      <c r="E9570" s="336">
        <v>43807</v>
      </c>
      <c r="G9570" s="336">
        <v>43800</v>
      </c>
      <c r="H9570" s="334" t="s">
        <v>17142</v>
      </c>
      <c r="I9570" s="444">
        <v>15618398668</v>
      </c>
      <c r="J9570" s="348" t="s">
        <v>17143</v>
      </c>
      <c r="M9570" s="334">
        <v>8000</v>
      </c>
      <c r="N9570" s="362">
        <f t="shared" si="329"/>
        <v>8000</v>
      </c>
    </row>
    <row r="9571" ht="15" customHeight="1" spans="2:14">
      <c r="B9571" s="334" t="s">
        <v>169</v>
      </c>
      <c r="C9571" s="334" t="s">
        <v>634</v>
      </c>
      <c r="D9571" s="334" t="s">
        <v>171</v>
      </c>
      <c r="E9571" s="336">
        <v>43807</v>
      </c>
      <c r="G9571" s="336">
        <v>43806</v>
      </c>
      <c r="H9571" s="334" t="s">
        <v>5776</v>
      </c>
      <c r="I9571" s="334">
        <v>13601884098</v>
      </c>
      <c r="J9571" s="348" t="s">
        <v>19585</v>
      </c>
      <c r="M9571" s="334">
        <v>1823</v>
      </c>
      <c r="N9571" s="362">
        <f t="shared" si="329"/>
        <v>1823</v>
      </c>
    </row>
    <row r="9572" ht="15" customHeight="1" spans="2:14">
      <c r="B9572" s="334" t="s">
        <v>169</v>
      </c>
      <c r="C9572" s="334" t="s">
        <v>634</v>
      </c>
      <c r="D9572" s="334" t="s">
        <v>635</v>
      </c>
      <c r="E9572" s="336">
        <v>43807</v>
      </c>
      <c r="G9572" s="336">
        <v>43806</v>
      </c>
      <c r="H9572" s="334" t="s">
        <v>16284</v>
      </c>
      <c r="I9572" s="444">
        <v>13162202261</v>
      </c>
      <c r="J9572" s="348" t="s">
        <v>16285</v>
      </c>
      <c r="M9572" s="334">
        <v>1171</v>
      </c>
      <c r="N9572" s="362">
        <f t="shared" si="329"/>
        <v>1171</v>
      </c>
    </row>
    <row r="9573" ht="15" customHeight="1" spans="2:14">
      <c r="B9573" s="334" t="s">
        <v>35</v>
      </c>
      <c r="C9573" s="334" t="s">
        <v>392</v>
      </c>
      <c r="D9573" s="334" t="s">
        <v>37</v>
      </c>
      <c r="E9573" s="336">
        <v>43807</v>
      </c>
      <c r="G9573" s="336">
        <v>43807</v>
      </c>
      <c r="H9573" s="334" t="s">
        <v>17918</v>
      </c>
      <c r="I9573" s="444">
        <v>13601803996</v>
      </c>
      <c r="J9573" s="348" t="s">
        <v>18532</v>
      </c>
      <c r="M9573" s="334">
        <v>1700</v>
      </c>
      <c r="N9573" s="362">
        <f t="shared" si="329"/>
        <v>1700</v>
      </c>
    </row>
    <row r="9574" ht="15" customHeight="1" spans="2:14">
      <c r="B9574" s="334" t="s">
        <v>66</v>
      </c>
      <c r="C9574" s="334" t="s">
        <v>119</v>
      </c>
      <c r="D9574" s="334" t="s">
        <v>1436</v>
      </c>
      <c r="E9574" s="336">
        <v>43807</v>
      </c>
      <c r="G9574" s="336">
        <v>43806</v>
      </c>
      <c r="H9574" s="334" t="s">
        <v>16630</v>
      </c>
      <c r="I9574" s="444">
        <v>17621343653</v>
      </c>
      <c r="J9574" s="438" t="s">
        <v>16631</v>
      </c>
      <c r="M9574" s="334">
        <v>4428</v>
      </c>
      <c r="N9574" s="362">
        <f t="shared" si="329"/>
        <v>4428</v>
      </c>
    </row>
    <row r="9575" ht="15" customHeight="1" spans="2:14">
      <c r="B9575" s="334" t="s">
        <v>281</v>
      </c>
      <c r="C9575" s="334" t="s">
        <v>491</v>
      </c>
      <c r="D9575" s="334" t="s">
        <v>518</v>
      </c>
      <c r="E9575" s="336">
        <v>43807</v>
      </c>
      <c r="G9575" s="336">
        <v>43807</v>
      </c>
      <c r="H9575" s="334" t="s">
        <v>13485</v>
      </c>
      <c r="I9575" s="426">
        <v>1896492385</v>
      </c>
      <c r="J9575" s="426" t="s">
        <v>19586</v>
      </c>
      <c r="M9575" s="334">
        <v>1968</v>
      </c>
      <c r="N9575" s="362">
        <f t="shared" si="329"/>
        <v>1968</v>
      </c>
    </row>
    <row r="9576" ht="15" customHeight="1" spans="2:14">
      <c r="B9576" s="334" t="s">
        <v>73</v>
      </c>
      <c r="C9576" s="334" t="s">
        <v>74</v>
      </c>
      <c r="D9576" s="334" t="s">
        <v>132</v>
      </c>
      <c r="E9576" s="336">
        <v>43807</v>
      </c>
      <c r="G9576" s="336">
        <v>43807</v>
      </c>
      <c r="H9576" s="334" t="s">
        <v>14665</v>
      </c>
      <c r="I9576" s="444">
        <v>13916400699</v>
      </c>
      <c r="J9576" s="348" t="s">
        <v>18083</v>
      </c>
      <c r="M9576" s="334">
        <v>2842</v>
      </c>
      <c r="N9576" s="362">
        <f t="shared" si="329"/>
        <v>2842</v>
      </c>
    </row>
    <row r="9577" ht="15" customHeight="1" spans="2:14">
      <c r="B9577" s="334" t="s">
        <v>359</v>
      </c>
      <c r="C9577" s="334" t="s">
        <v>3018</v>
      </c>
      <c r="D9577" s="335" t="s">
        <v>361</v>
      </c>
      <c r="E9577" s="336">
        <v>43807</v>
      </c>
      <c r="G9577" s="336">
        <v>43807</v>
      </c>
      <c r="H9577" s="334" t="s">
        <v>14973</v>
      </c>
      <c r="I9577" s="334">
        <v>13916935193</v>
      </c>
      <c r="J9577" s="348" t="s">
        <v>19587</v>
      </c>
      <c r="M9577" s="334">
        <f>1567+20911</f>
        <v>22478</v>
      </c>
      <c r="N9577" s="362">
        <f t="shared" si="329"/>
        <v>22478</v>
      </c>
    </row>
    <row r="9578" ht="15" customHeight="1" spans="2:14">
      <c r="B9578" s="334" t="s">
        <v>147</v>
      </c>
      <c r="C9578" s="334" t="s">
        <v>148</v>
      </c>
      <c r="D9578" s="334" t="s">
        <v>1170</v>
      </c>
      <c r="E9578" s="336">
        <v>43806</v>
      </c>
      <c r="G9578" s="336">
        <v>43792</v>
      </c>
      <c r="H9578" s="408" t="s">
        <v>13055</v>
      </c>
      <c r="I9578" s="334">
        <v>13311605980</v>
      </c>
      <c r="J9578" s="334" t="s">
        <v>13056</v>
      </c>
      <c r="M9578" s="338">
        <v>8</v>
      </c>
      <c r="N9578" s="362">
        <f t="shared" si="329"/>
        <v>8</v>
      </c>
    </row>
    <row r="9579" ht="15" customHeight="1" spans="1:14">
      <c r="A9579" s="348">
        <v>2023299</v>
      </c>
      <c r="B9579" s="334" t="s">
        <v>94</v>
      </c>
      <c r="C9579" s="334" t="s">
        <v>95</v>
      </c>
      <c r="D9579" s="334" t="s">
        <v>407</v>
      </c>
      <c r="E9579" s="336">
        <v>43808</v>
      </c>
      <c r="F9579" s="336">
        <v>43807</v>
      </c>
      <c r="G9579" s="399">
        <v>43807</v>
      </c>
      <c r="H9579" s="334" t="s">
        <v>19588</v>
      </c>
      <c r="I9579" s="444">
        <v>13901980399</v>
      </c>
      <c r="J9579" s="438" t="s">
        <v>19589</v>
      </c>
      <c r="K9579" s="356">
        <v>22395</v>
      </c>
      <c r="L9579" s="334">
        <v>22395</v>
      </c>
      <c r="N9579" s="362">
        <f t="shared" si="329"/>
        <v>22395</v>
      </c>
    </row>
    <row r="9580" ht="15" customHeight="1" spans="1:15">
      <c r="A9580" s="550" t="s">
        <v>9445</v>
      </c>
      <c r="B9580" s="334" t="s">
        <v>205</v>
      </c>
      <c r="C9580" s="348" t="s">
        <v>1467</v>
      </c>
      <c r="D9580" s="334" t="s">
        <v>207</v>
      </c>
      <c r="E9580" s="336">
        <v>43830</v>
      </c>
      <c r="F9580" s="336">
        <v>43807</v>
      </c>
      <c r="G9580" s="336">
        <v>43830</v>
      </c>
      <c r="H9580" s="334" t="s">
        <v>19590</v>
      </c>
      <c r="I9580" s="444">
        <v>18217454402</v>
      </c>
      <c r="J9580" s="438" t="s">
        <v>19591</v>
      </c>
      <c r="K9580" s="356">
        <v>5300</v>
      </c>
      <c r="L9580" s="334">
        <v>5300</v>
      </c>
      <c r="N9580" s="362">
        <f t="shared" si="329"/>
        <v>5300</v>
      </c>
      <c r="O9580" s="353" t="s">
        <v>1608</v>
      </c>
    </row>
    <row r="9581" ht="15" customHeight="1" spans="1:16">
      <c r="A9581" s="550" t="s">
        <v>8947</v>
      </c>
      <c r="B9581" s="334" t="s">
        <v>726</v>
      </c>
      <c r="C9581" s="348" t="s">
        <v>727</v>
      </c>
      <c r="D9581" s="334" t="s">
        <v>271</v>
      </c>
      <c r="E9581" s="336">
        <v>43829</v>
      </c>
      <c r="F9581" s="336">
        <v>43807</v>
      </c>
      <c r="G9581" s="336">
        <v>43828</v>
      </c>
      <c r="H9581" s="334" t="s">
        <v>19592</v>
      </c>
      <c r="I9581" s="444">
        <v>13795230835</v>
      </c>
      <c r="J9581" s="438" t="s">
        <v>19593</v>
      </c>
      <c r="K9581" s="356">
        <v>13983</v>
      </c>
      <c r="L9581" s="334">
        <v>13983</v>
      </c>
      <c r="N9581" s="362">
        <f t="shared" si="329"/>
        <v>13983</v>
      </c>
      <c r="P9581" s="353" t="s">
        <v>1526</v>
      </c>
    </row>
    <row r="9582" ht="15" customHeight="1" spans="1:14">
      <c r="A9582" s="550" t="s">
        <v>1243</v>
      </c>
      <c r="B9582" s="334" t="s">
        <v>5435</v>
      </c>
      <c r="C9582" s="348" t="s">
        <v>1728</v>
      </c>
      <c r="D9582" s="335" t="s">
        <v>149</v>
      </c>
      <c r="E9582" s="336">
        <v>43829</v>
      </c>
      <c r="F9582" s="336">
        <v>43807</v>
      </c>
      <c r="G9582" s="336">
        <v>43829</v>
      </c>
      <c r="H9582" s="334" t="s">
        <v>19594</v>
      </c>
      <c r="I9582" s="444">
        <v>18018693735</v>
      </c>
      <c r="J9582" s="438" t="s">
        <v>19595</v>
      </c>
      <c r="K9582" s="356">
        <v>9558</v>
      </c>
      <c r="L9582" s="334">
        <v>18525</v>
      </c>
      <c r="N9582" s="362">
        <f t="shared" si="329"/>
        <v>18525</v>
      </c>
    </row>
    <row r="9583" ht="15" customHeight="1" spans="1:14">
      <c r="A9583" s="550" t="s">
        <v>11959</v>
      </c>
      <c r="B9583" s="334" t="s">
        <v>66</v>
      </c>
      <c r="C9583" s="348" t="s">
        <v>7029</v>
      </c>
      <c r="D9583" s="335" t="s">
        <v>68</v>
      </c>
      <c r="E9583" s="336">
        <v>43813</v>
      </c>
      <c r="F9583" s="336">
        <v>43807</v>
      </c>
      <c r="G9583" s="336">
        <v>43813</v>
      </c>
      <c r="H9583" s="334" t="s">
        <v>19596</v>
      </c>
      <c r="I9583" s="444">
        <v>15522862734</v>
      </c>
      <c r="J9583" s="438" t="s">
        <v>19597</v>
      </c>
      <c r="K9583" s="356">
        <v>10000</v>
      </c>
      <c r="L9583" s="334">
        <v>13366</v>
      </c>
      <c r="N9583" s="362">
        <f t="shared" si="329"/>
        <v>13366</v>
      </c>
    </row>
    <row r="9584" ht="15" customHeight="1" spans="1:19">
      <c r="A9584" s="550" t="s">
        <v>11405</v>
      </c>
      <c r="B9584" s="334" t="s">
        <v>42</v>
      </c>
      <c r="C9584" s="348" t="s">
        <v>43</v>
      </c>
      <c r="D9584" s="335" t="s">
        <v>44</v>
      </c>
      <c r="E9584" s="336">
        <v>43808</v>
      </c>
      <c r="F9584" s="336">
        <v>43807</v>
      </c>
      <c r="G9584" s="399"/>
      <c r="H9584" s="334" t="s">
        <v>19598</v>
      </c>
      <c r="I9584" s="444">
        <v>13564557914</v>
      </c>
      <c r="J9584" s="438" t="s">
        <v>19599</v>
      </c>
      <c r="K9584" s="356">
        <v>3000</v>
      </c>
      <c r="N9584" s="362">
        <f t="shared" si="329"/>
        <v>0</v>
      </c>
      <c r="O9584" s="467"/>
      <c r="S9584" s="356" t="s">
        <v>52</v>
      </c>
    </row>
    <row r="9585" ht="15" customHeight="1" spans="1:14">
      <c r="A9585" s="550" t="s">
        <v>1383</v>
      </c>
      <c r="B9585" s="334" t="s">
        <v>66</v>
      </c>
      <c r="C9585" s="348" t="s">
        <v>119</v>
      </c>
      <c r="D9585" s="334" t="s">
        <v>1436</v>
      </c>
      <c r="E9585" s="336">
        <v>43811</v>
      </c>
      <c r="F9585" s="336">
        <v>43807</v>
      </c>
      <c r="G9585" s="336">
        <v>43810</v>
      </c>
      <c r="H9585" s="334" t="s">
        <v>19600</v>
      </c>
      <c r="I9585" s="444">
        <v>15821009839</v>
      </c>
      <c r="J9585" s="438" t="s">
        <v>19601</v>
      </c>
      <c r="K9585" s="356">
        <v>5000</v>
      </c>
      <c r="L9585" s="334">
        <v>11637</v>
      </c>
      <c r="N9585" s="362">
        <f t="shared" si="329"/>
        <v>11637</v>
      </c>
    </row>
    <row r="9586" ht="15" customHeight="1" spans="1:14">
      <c r="A9586" s="550" t="s">
        <v>16068</v>
      </c>
      <c r="B9586" s="334" t="s">
        <v>58</v>
      </c>
      <c r="C9586" s="348" t="s">
        <v>342</v>
      </c>
      <c r="D9586" s="335" t="s">
        <v>343</v>
      </c>
      <c r="E9586" s="336">
        <v>43810</v>
      </c>
      <c r="F9586" s="336">
        <v>43807</v>
      </c>
      <c r="G9586" s="336">
        <v>43810</v>
      </c>
      <c r="H9586" s="334" t="s">
        <v>19602</v>
      </c>
      <c r="I9586" s="444">
        <v>18616672217</v>
      </c>
      <c r="J9586" s="438" t="s">
        <v>19603</v>
      </c>
      <c r="K9586" s="356">
        <v>5000</v>
      </c>
      <c r="L9586" s="334">
        <v>18630</v>
      </c>
      <c r="N9586" s="362">
        <f t="shared" si="329"/>
        <v>18630</v>
      </c>
    </row>
    <row r="9587" ht="15" customHeight="1" spans="1:14">
      <c r="A9587" s="550" t="s">
        <v>2153</v>
      </c>
      <c r="B9587" s="334" t="s">
        <v>66</v>
      </c>
      <c r="C9587" s="348" t="s">
        <v>15301</v>
      </c>
      <c r="D9587" s="334" t="s">
        <v>2302</v>
      </c>
      <c r="E9587" s="336">
        <v>43824</v>
      </c>
      <c r="F9587" s="336">
        <v>43807</v>
      </c>
      <c r="G9587" s="336">
        <v>43823</v>
      </c>
      <c r="H9587" s="334" t="s">
        <v>19604</v>
      </c>
      <c r="I9587" s="444">
        <v>18001919721</v>
      </c>
      <c r="J9587" s="438" t="s">
        <v>19605</v>
      </c>
      <c r="K9587" s="356">
        <v>6560</v>
      </c>
      <c r="L9587" s="334">
        <v>7012</v>
      </c>
      <c r="N9587" s="362">
        <f t="shared" si="329"/>
        <v>7012</v>
      </c>
    </row>
    <row r="9588" ht="15" customHeight="1" spans="1:14">
      <c r="A9588" s="550" t="s">
        <v>16717</v>
      </c>
      <c r="B9588" s="334" t="s">
        <v>58</v>
      </c>
      <c r="C9588" s="348" t="s">
        <v>342</v>
      </c>
      <c r="D9588" s="334" t="s">
        <v>110</v>
      </c>
      <c r="E9588" s="336">
        <v>43816</v>
      </c>
      <c r="F9588" s="336">
        <v>43807</v>
      </c>
      <c r="G9588" s="336">
        <v>43807</v>
      </c>
      <c r="H9588" s="334" t="s">
        <v>19606</v>
      </c>
      <c r="I9588" s="444">
        <v>18601756827</v>
      </c>
      <c r="J9588" s="438" t="s">
        <v>19607</v>
      </c>
      <c r="K9588" s="356">
        <v>8014</v>
      </c>
      <c r="L9588" s="334">
        <v>8014</v>
      </c>
      <c r="N9588" s="362">
        <f t="shared" si="329"/>
        <v>8014</v>
      </c>
    </row>
    <row r="9589" ht="15" customHeight="1" spans="1:14">
      <c r="A9589" s="550" t="s">
        <v>18713</v>
      </c>
      <c r="B9589" s="334" t="s">
        <v>169</v>
      </c>
      <c r="C9589" s="348" t="s">
        <v>634</v>
      </c>
      <c r="D9589" s="335" t="s">
        <v>635</v>
      </c>
      <c r="E9589" s="336">
        <v>43826</v>
      </c>
      <c r="F9589" s="336">
        <v>43807</v>
      </c>
      <c r="G9589" s="336">
        <v>43826</v>
      </c>
      <c r="H9589" s="334" t="s">
        <v>19608</v>
      </c>
      <c r="I9589" s="444">
        <v>13636437910</v>
      </c>
      <c r="J9589" s="438" t="s">
        <v>19609</v>
      </c>
      <c r="K9589" s="356">
        <v>13500</v>
      </c>
      <c r="L9589" s="334">
        <v>25651</v>
      </c>
      <c r="N9589" s="362">
        <f t="shared" si="329"/>
        <v>25651</v>
      </c>
    </row>
    <row r="9590" ht="15" customHeight="1" spans="1:14">
      <c r="A9590" s="550" t="s">
        <v>12239</v>
      </c>
      <c r="B9590" s="334" t="s">
        <v>169</v>
      </c>
      <c r="C9590" s="348" t="s">
        <v>634</v>
      </c>
      <c r="D9590" s="335" t="s">
        <v>635</v>
      </c>
      <c r="E9590" s="336">
        <v>43821</v>
      </c>
      <c r="F9590" s="336">
        <v>43807</v>
      </c>
      <c r="G9590" s="336">
        <v>43820</v>
      </c>
      <c r="H9590" s="334" t="s">
        <v>19610</v>
      </c>
      <c r="I9590" s="444">
        <v>15821071643</v>
      </c>
      <c r="J9590" s="438" t="s">
        <v>19611</v>
      </c>
      <c r="K9590" s="356">
        <v>5400</v>
      </c>
      <c r="L9590" s="334">
        <f>-368+9665</f>
        <v>9297</v>
      </c>
      <c r="N9590" s="362">
        <f t="shared" si="329"/>
        <v>9297</v>
      </c>
    </row>
    <row r="9591" ht="15" customHeight="1" spans="1:22">
      <c r="A9591" s="550" t="s">
        <v>19612</v>
      </c>
      <c r="B9591" s="334" t="s">
        <v>169</v>
      </c>
      <c r="C9591" s="348" t="s">
        <v>634</v>
      </c>
      <c r="D9591" s="335" t="s">
        <v>635</v>
      </c>
      <c r="E9591" s="336">
        <v>43830</v>
      </c>
      <c r="F9591" s="336">
        <v>43807</v>
      </c>
      <c r="G9591" s="336">
        <v>43822</v>
      </c>
      <c r="H9591" s="334" t="s">
        <v>5433</v>
      </c>
      <c r="I9591" s="444">
        <v>13918281169</v>
      </c>
      <c r="J9591" s="438" t="s">
        <v>19613</v>
      </c>
      <c r="K9591" s="356">
        <v>40500</v>
      </c>
      <c r="L9591" s="334">
        <v>41500</v>
      </c>
      <c r="N9591" s="362">
        <f t="shared" si="329"/>
        <v>41500</v>
      </c>
      <c r="P9591" s="330" t="s">
        <v>52</v>
      </c>
      <c r="V9591" s="353" t="s">
        <v>1481</v>
      </c>
    </row>
    <row r="9592" ht="15" customHeight="1" spans="1:14">
      <c r="A9592" s="550" t="s">
        <v>19614</v>
      </c>
      <c r="B9592" s="334" t="s">
        <v>153</v>
      </c>
      <c r="C9592" s="348" t="s">
        <v>302</v>
      </c>
      <c r="D9592" s="334" t="s">
        <v>155</v>
      </c>
      <c r="E9592" s="336">
        <v>43809</v>
      </c>
      <c r="F9592" s="336">
        <v>43807</v>
      </c>
      <c r="G9592" s="336">
        <v>43808</v>
      </c>
      <c r="H9592" s="334" t="s">
        <v>19615</v>
      </c>
      <c r="I9592" s="444">
        <v>18616760122</v>
      </c>
      <c r="J9592" s="438" t="s">
        <v>19616</v>
      </c>
      <c r="K9592" s="356">
        <v>1000</v>
      </c>
      <c r="L9592" s="334">
        <v>10100</v>
      </c>
      <c r="N9592" s="362">
        <f t="shared" ref="N9592:N9608" si="330">L9592+M9592</f>
        <v>10100</v>
      </c>
    </row>
    <row r="9593" ht="15" customHeight="1" spans="1:16">
      <c r="A9593" s="550" t="s">
        <v>8975</v>
      </c>
      <c r="B9593" s="334" t="s">
        <v>73</v>
      </c>
      <c r="C9593" s="348" t="s">
        <v>178</v>
      </c>
      <c r="D9593" s="335" t="s">
        <v>75</v>
      </c>
      <c r="E9593" s="336">
        <v>43811</v>
      </c>
      <c r="F9593" s="336">
        <v>43811</v>
      </c>
      <c r="G9593" s="399"/>
      <c r="H9593" s="334" t="s">
        <v>19617</v>
      </c>
      <c r="I9593" s="444">
        <v>18302172015</v>
      </c>
      <c r="J9593" s="438" t="s">
        <v>19618</v>
      </c>
      <c r="K9593" s="356">
        <v>1000</v>
      </c>
      <c r="N9593" s="362">
        <f t="shared" si="330"/>
        <v>0</v>
      </c>
      <c r="O9593" s="366"/>
      <c r="P9593" s="405" t="s">
        <v>52</v>
      </c>
    </row>
    <row r="9594" ht="15" customHeight="1" spans="1:15">
      <c r="A9594" s="550" t="s">
        <v>19619</v>
      </c>
      <c r="B9594" s="334" t="s">
        <v>185</v>
      </c>
      <c r="C9594" s="348" t="s">
        <v>1620</v>
      </c>
      <c r="D9594" s="335" t="s">
        <v>44</v>
      </c>
      <c r="E9594" s="336">
        <v>43808</v>
      </c>
      <c r="F9594" s="336">
        <v>43806</v>
      </c>
      <c r="G9594" s="399"/>
      <c r="H9594" s="334" t="s">
        <v>19620</v>
      </c>
      <c r="I9594" s="444">
        <v>15906259885</v>
      </c>
      <c r="J9594" s="438" t="s">
        <v>19621</v>
      </c>
      <c r="K9594" s="356">
        <v>1000</v>
      </c>
      <c r="N9594" s="362">
        <f t="shared" si="330"/>
        <v>0</v>
      </c>
      <c r="O9594" s="467" t="s">
        <v>52</v>
      </c>
    </row>
    <row r="9595" ht="15" customHeight="1" spans="1:16">
      <c r="A9595" s="550" t="s">
        <v>10793</v>
      </c>
      <c r="B9595" s="334" t="s">
        <v>185</v>
      </c>
      <c r="C9595" s="348" t="s">
        <v>1620</v>
      </c>
      <c r="D9595" s="335" t="s">
        <v>44</v>
      </c>
      <c r="E9595" s="336">
        <v>43827</v>
      </c>
      <c r="F9595" s="336">
        <v>43807</v>
      </c>
      <c r="G9595" s="336">
        <v>43827</v>
      </c>
      <c r="H9595" s="334" t="s">
        <v>19622</v>
      </c>
      <c r="I9595" s="444">
        <v>13391034791</v>
      </c>
      <c r="J9595" s="438" t="s">
        <v>19623</v>
      </c>
      <c r="K9595" s="356">
        <v>17606</v>
      </c>
      <c r="L9595" s="334">
        <v>17606</v>
      </c>
      <c r="N9595" s="362">
        <f t="shared" si="330"/>
        <v>17606</v>
      </c>
      <c r="P9595" s="467" t="s">
        <v>52</v>
      </c>
    </row>
    <row r="9596" ht="15" customHeight="1" spans="1:18">
      <c r="A9596" s="550" t="s">
        <v>16724</v>
      </c>
      <c r="B9596" s="334" t="s">
        <v>94</v>
      </c>
      <c r="C9596" s="348" t="s">
        <v>3196</v>
      </c>
      <c r="D9596" s="335" t="s">
        <v>49</v>
      </c>
      <c r="E9596" s="336">
        <v>43808</v>
      </c>
      <c r="F9596" s="336">
        <v>43807</v>
      </c>
      <c r="G9596" s="399"/>
      <c r="H9596" s="334" t="s">
        <v>19624</v>
      </c>
      <c r="I9596" s="444">
        <v>15201983070</v>
      </c>
      <c r="J9596" s="438" t="s">
        <v>19625</v>
      </c>
      <c r="K9596" s="356">
        <v>5058</v>
      </c>
      <c r="N9596" s="362">
        <f t="shared" si="330"/>
        <v>0</v>
      </c>
      <c r="R9596" s="467" t="s">
        <v>52</v>
      </c>
    </row>
    <row r="9597" ht="15" customHeight="1" spans="1:14">
      <c r="A9597" s="550" t="s">
        <v>11667</v>
      </c>
      <c r="B9597" s="334" t="s">
        <v>185</v>
      </c>
      <c r="C9597" s="334" t="s">
        <v>1204</v>
      </c>
      <c r="D9597" s="334" t="s">
        <v>44</v>
      </c>
      <c r="E9597" s="336">
        <v>43808</v>
      </c>
      <c r="F9597" s="336">
        <v>43807</v>
      </c>
      <c r="G9597" s="399">
        <v>43807</v>
      </c>
      <c r="H9597" s="334" t="s">
        <v>19626</v>
      </c>
      <c r="I9597" s="444">
        <v>13501746868</v>
      </c>
      <c r="J9597" s="438" t="s">
        <v>19627</v>
      </c>
      <c r="K9597" s="356">
        <v>9626</v>
      </c>
      <c r="L9597" s="334">
        <v>9626</v>
      </c>
      <c r="N9597" s="362">
        <f t="shared" si="330"/>
        <v>9626</v>
      </c>
    </row>
    <row r="9598" ht="15" customHeight="1" spans="1:14">
      <c r="A9598" s="348">
        <v>2024299</v>
      </c>
      <c r="B9598" s="334" t="s">
        <v>335</v>
      </c>
      <c r="C9598" s="348" t="s">
        <v>615</v>
      </c>
      <c r="D9598" s="334" t="s">
        <v>337</v>
      </c>
      <c r="E9598" s="336">
        <v>43808</v>
      </c>
      <c r="F9598" s="336">
        <v>43807</v>
      </c>
      <c r="G9598" s="399">
        <v>43807</v>
      </c>
      <c r="H9598" s="334" t="s">
        <v>19628</v>
      </c>
      <c r="I9598" s="444">
        <v>15000957822</v>
      </c>
      <c r="J9598" s="438" t="s">
        <v>19629</v>
      </c>
      <c r="K9598" s="356">
        <v>11900</v>
      </c>
      <c r="L9598" s="334">
        <v>11900</v>
      </c>
      <c r="N9598" s="362">
        <f t="shared" si="330"/>
        <v>11900</v>
      </c>
    </row>
    <row r="9599" ht="15" customHeight="1" spans="1:15">
      <c r="A9599" s="348"/>
      <c r="B9599" s="348" t="s">
        <v>5336</v>
      </c>
      <c r="C9599" s="348" t="s">
        <v>5336</v>
      </c>
      <c r="D9599" s="334" t="s">
        <v>8334</v>
      </c>
      <c r="E9599" s="336">
        <v>43808</v>
      </c>
      <c r="F9599" s="336">
        <v>43808</v>
      </c>
      <c r="G9599" s="399"/>
      <c r="H9599" s="334" t="s">
        <v>19630</v>
      </c>
      <c r="I9599" s="444">
        <v>18621285576</v>
      </c>
      <c r="J9599" s="438" t="s">
        <v>19631</v>
      </c>
      <c r="K9599" s="356">
        <v>9000</v>
      </c>
      <c r="N9599" s="362">
        <f t="shared" si="330"/>
        <v>0</v>
      </c>
      <c r="O9599" s="353" t="s">
        <v>52</v>
      </c>
    </row>
    <row r="9600" ht="15" customHeight="1" spans="1:14">
      <c r="A9600" s="550" t="s">
        <v>19632</v>
      </c>
      <c r="B9600" s="334" t="s">
        <v>236</v>
      </c>
      <c r="C9600" s="348" t="s">
        <v>703</v>
      </c>
      <c r="D9600" s="334" t="s">
        <v>207</v>
      </c>
      <c r="E9600" s="336">
        <v>43809</v>
      </c>
      <c r="F9600" s="336">
        <v>43807</v>
      </c>
      <c r="G9600" s="336">
        <v>43809</v>
      </c>
      <c r="H9600" s="334" t="s">
        <v>19633</v>
      </c>
      <c r="I9600" s="444">
        <v>13916847705</v>
      </c>
      <c r="J9600" s="438" t="s">
        <v>19634</v>
      </c>
      <c r="K9600" s="356">
        <v>5200</v>
      </c>
      <c r="L9600" s="334">
        <v>6604</v>
      </c>
      <c r="N9600" s="362">
        <f t="shared" si="330"/>
        <v>6604</v>
      </c>
    </row>
    <row r="9601" customHeight="1" spans="1:16">
      <c r="A9601" s="550" t="s">
        <v>19635</v>
      </c>
      <c r="B9601" s="334" t="s">
        <v>236</v>
      </c>
      <c r="C9601" s="348" t="s">
        <v>703</v>
      </c>
      <c r="D9601" s="334" t="s">
        <v>207</v>
      </c>
      <c r="E9601" s="336">
        <v>43829</v>
      </c>
      <c r="F9601" s="336">
        <v>43807</v>
      </c>
      <c r="G9601" s="336">
        <v>43827</v>
      </c>
      <c r="H9601" s="334" t="s">
        <v>19636</v>
      </c>
      <c r="I9601" s="444">
        <v>18016403010</v>
      </c>
      <c r="J9601" s="438" t="s">
        <v>19637</v>
      </c>
      <c r="K9601" s="356">
        <v>5000</v>
      </c>
      <c r="L9601" s="334">
        <v>5000</v>
      </c>
      <c r="N9601" s="362">
        <f t="shared" si="330"/>
        <v>5000</v>
      </c>
      <c r="P9601" s="356" t="s">
        <v>52</v>
      </c>
    </row>
    <row r="9602" ht="15" customHeight="1" spans="1:15">
      <c r="A9602" s="550" t="s">
        <v>17532</v>
      </c>
      <c r="B9602" s="334" t="s">
        <v>169</v>
      </c>
      <c r="C9602" s="348" t="s">
        <v>634</v>
      </c>
      <c r="D9602" s="335" t="s">
        <v>635</v>
      </c>
      <c r="E9602" s="336">
        <v>43808</v>
      </c>
      <c r="F9602" s="336">
        <v>43808</v>
      </c>
      <c r="G9602" s="399"/>
      <c r="H9602" s="334" t="s">
        <v>19638</v>
      </c>
      <c r="I9602" s="444">
        <v>13162367256</v>
      </c>
      <c r="J9602" s="438" t="s">
        <v>19639</v>
      </c>
      <c r="K9602" s="356">
        <v>1000</v>
      </c>
      <c r="N9602" s="362">
        <f t="shared" si="330"/>
        <v>0</v>
      </c>
      <c r="O9602" s="353" t="s">
        <v>19</v>
      </c>
    </row>
    <row r="9603" ht="15" customHeight="1" spans="1:14">
      <c r="A9603" s="550" t="s">
        <v>19640</v>
      </c>
      <c r="B9603" s="334" t="s">
        <v>137</v>
      </c>
      <c r="C9603" s="348" t="s">
        <v>2705</v>
      </c>
      <c r="D9603" s="334" t="s">
        <v>2381</v>
      </c>
      <c r="E9603" s="336">
        <v>43809</v>
      </c>
      <c r="F9603" s="336">
        <v>43804</v>
      </c>
      <c r="G9603" s="336">
        <v>43803</v>
      </c>
      <c r="H9603" s="334" t="s">
        <v>19641</v>
      </c>
      <c r="I9603" s="444">
        <v>13222444524</v>
      </c>
      <c r="J9603" s="438" t="s">
        <v>19642</v>
      </c>
      <c r="K9603" s="356">
        <v>1367</v>
      </c>
      <c r="L9603" s="334">
        <v>1367</v>
      </c>
      <c r="N9603" s="362">
        <f t="shared" si="330"/>
        <v>1367</v>
      </c>
    </row>
    <row r="9604" ht="15" customHeight="1" spans="1:15">
      <c r="A9604" s="550" t="s">
        <v>15830</v>
      </c>
      <c r="B9604" s="334" t="s">
        <v>315</v>
      </c>
      <c r="C9604" s="348" t="s">
        <v>161</v>
      </c>
      <c r="D9604" s="335" t="s">
        <v>162</v>
      </c>
      <c r="E9604" s="336">
        <v>43808</v>
      </c>
      <c r="F9604" s="336">
        <v>43807</v>
      </c>
      <c r="G9604" s="399"/>
      <c r="H9604" s="334" t="s">
        <v>5488</v>
      </c>
      <c r="I9604" s="444">
        <v>13162536503</v>
      </c>
      <c r="J9604" s="438" t="s">
        <v>19643</v>
      </c>
      <c r="K9604" s="356">
        <v>1000</v>
      </c>
      <c r="N9604" s="362">
        <f t="shared" si="330"/>
        <v>0</v>
      </c>
      <c r="O9604" s="330">
        <v>1</v>
      </c>
    </row>
    <row r="9605" ht="15" customHeight="1" spans="1:14">
      <c r="A9605" s="550" t="s">
        <v>19644</v>
      </c>
      <c r="B9605" s="334" t="s">
        <v>137</v>
      </c>
      <c r="C9605" s="348" t="s">
        <v>411</v>
      </c>
      <c r="D9605" s="334" t="s">
        <v>427</v>
      </c>
      <c r="E9605" s="336">
        <v>43811</v>
      </c>
      <c r="F9605" s="336">
        <v>43808</v>
      </c>
      <c r="G9605" s="336">
        <v>43811</v>
      </c>
      <c r="H9605" s="334" t="s">
        <v>19645</v>
      </c>
      <c r="I9605" s="444">
        <v>13687889063</v>
      </c>
      <c r="J9605" s="438" t="s">
        <v>19646</v>
      </c>
      <c r="K9605" s="356">
        <v>5400</v>
      </c>
      <c r="L9605" s="334">
        <v>14138</v>
      </c>
      <c r="N9605" s="362">
        <f t="shared" si="330"/>
        <v>14138</v>
      </c>
    </row>
    <row r="9606" ht="15" customHeight="1" spans="1:14">
      <c r="A9606" s="550" t="s">
        <v>19647</v>
      </c>
      <c r="B9606" s="334" t="s">
        <v>315</v>
      </c>
      <c r="C9606" s="348" t="s">
        <v>275</v>
      </c>
      <c r="D9606" s="334" t="s">
        <v>1431</v>
      </c>
      <c r="E9606" s="336">
        <v>43808</v>
      </c>
      <c r="F9606" s="336">
        <v>43808</v>
      </c>
      <c r="G9606" s="399">
        <v>43808</v>
      </c>
      <c r="H9606" s="334" t="s">
        <v>19648</v>
      </c>
      <c r="I9606" s="444">
        <v>13585595658</v>
      </c>
      <c r="J9606" s="438" t="s">
        <v>19649</v>
      </c>
      <c r="K9606" s="356">
        <v>11000</v>
      </c>
      <c r="L9606" s="334">
        <v>11000</v>
      </c>
      <c r="N9606" s="362">
        <f t="shared" si="330"/>
        <v>11000</v>
      </c>
    </row>
    <row r="9607" ht="15" customHeight="1" spans="1:14">
      <c r="A9607" s="550" t="s">
        <v>19650</v>
      </c>
      <c r="B9607" s="334" t="s">
        <v>66</v>
      </c>
      <c r="C9607" s="348" t="s">
        <v>505</v>
      </c>
      <c r="D9607" s="334" t="s">
        <v>68</v>
      </c>
      <c r="E9607" s="336">
        <v>43809</v>
      </c>
      <c r="F9607" s="336">
        <v>43807</v>
      </c>
      <c r="G9607" s="336">
        <v>43809</v>
      </c>
      <c r="H9607" s="334" t="s">
        <v>19651</v>
      </c>
      <c r="I9607" s="444">
        <v>18918010979</v>
      </c>
      <c r="J9607" s="438" t="s">
        <v>19652</v>
      </c>
      <c r="K9607" s="356">
        <v>1000</v>
      </c>
      <c r="L9607" s="334">
        <v>2033</v>
      </c>
      <c r="N9607" s="362">
        <f t="shared" si="330"/>
        <v>2033</v>
      </c>
    </row>
    <row r="9608" ht="15" customHeight="1" spans="2:14">
      <c r="B9608" s="334" t="s">
        <v>66</v>
      </c>
      <c r="C9608" s="334" t="s">
        <v>7029</v>
      </c>
      <c r="D9608" s="334" t="s">
        <v>68</v>
      </c>
      <c r="E9608" s="336">
        <v>43808</v>
      </c>
      <c r="G9608" s="336">
        <v>43807</v>
      </c>
      <c r="H9608" s="334" t="s">
        <v>16090</v>
      </c>
      <c r="I9608" s="444">
        <v>13917477842</v>
      </c>
      <c r="J9608" s="348" t="s">
        <v>19653</v>
      </c>
      <c r="M9608" s="334">
        <v>6412</v>
      </c>
      <c r="N9608" s="362">
        <f t="shared" ref="N9608:N9621" si="331">L9608+M9608</f>
        <v>6412</v>
      </c>
    </row>
    <row r="9609" ht="15" customHeight="1" spans="2:14">
      <c r="B9609" s="334" t="s">
        <v>66</v>
      </c>
      <c r="C9609" s="334" t="s">
        <v>119</v>
      </c>
      <c r="D9609" s="334" t="s">
        <v>1436</v>
      </c>
      <c r="E9609" s="336">
        <v>43808</v>
      </c>
      <c r="G9609" s="336">
        <v>43807</v>
      </c>
      <c r="H9609" s="334" t="s">
        <v>16205</v>
      </c>
      <c r="I9609" s="444">
        <v>13501805284</v>
      </c>
      <c r="J9609" s="438" t="s">
        <v>16206</v>
      </c>
      <c r="M9609" s="334">
        <v>8737</v>
      </c>
      <c r="N9609" s="362">
        <f t="shared" si="331"/>
        <v>8737</v>
      </c>
    </row>
    <row r="9610" ht="15" customHeight="1" spans="2:14">
      <c r="B9610" s="334" t="s">
        <v>31</v>
      </c>
      <c r="C9610" s="334" t="s">
        <v>251</v>
      </c>
      <c r="D9610" s="334" t="s">
        <v>221</v>
      </c>
      <c r="E9610" s="336">
        <v>43808</v>
      </c>
      <c r="G9610" s="336">
        <v>43806</v>
      </c>
      <c r="H9610" s="334" t="s">
        <v>19654</v>
      </c>
      <c r="I9610" s="444">
        <v>13817923567</v>
      </c>
      <c r="J9610" s="348" t="s">
        <v>18999</v>
      </c>
      <c r="M9610" s="334">
        <v>9630</v>
      </c>
      <c r="N9610" s="362">
        <f t="shared" si="331"/>
        <v>9630</v>
      </c>
    </row>
    <row r="9611" ht="15" customHeight="1" spans="2:14">
      <c r="B9611" s="334" t="s">
        <v>66</v>
      </c>
      <c r="C9611" s="334" t="s">
        <v>119</v>
      </c>
      <c r="D9611" s="334" t="s">
        <v>1436</v>
      </c>
      <c r="E9611" s="336">
        <v>43808</v>
      </c>
      <c r="G9611" s="336">
        <v>43777</v>
      </c>
      <c r="H9611" s="334" t="s">
        <v>16641</v>
      </c>
      <c r="I9611" s="444">
        <v>13916830973</v>
      </c>
      <c r="J9611" s="348" t="s">
        <v>16642</v>
      </c>
      <c r="M9611" s="334">
        <v>16333</v>
      </c>
      <c r="N9611" s="362">
        <f t="shared" si="331"/>
        <v>16333</v>
      </c>
    </row>
    <row r="9612" ht="15" customHeight="1" spans="2:14">
      <c r="B9612" s="334" t="s">
        <v>87</v>
      </c>
      <c r="C9612" s="334" t="s">
        <v>466</v>
      </c>
      <c r="D9612" s="334" t="s">
        <v>89</v>
      </c>
      <c r="E9612" s="336">
        <v>43808</v>
      </c>
      <c r="G9612" s="336">
        <v>43807</v>
      </c>
      <c r="H9612" s="334" t="s">
        <v>18388</v>
      </c>
      <c r="I9612" s="444">
        <v>15802162550</v>
      </c>
      <c r="J9612" s="348" t="s">
        <v>18389</v>
      </c>
      <c r="M9612" s="334">
        <v>947</v>
      </c>
      <c r="N9612" s="362">
        <f t="shared" si="331"/>
        <v>947</v>
      </c>
    </row>
    <row r="9613" ht="15" customHeight="1" spans="2:14">
      <c r="B9613" s="334" t="s">
        <v>66</v>
      </c>
      <c r="C9613" s="334" t="s">
        <v>505</v>
      </c>
      <c r="D9613" s="334" t="s">
        <v>2302</v>
      </c>
      <c r="E9613" s="336">
        <v>43808</v>
      </c>
      <c r="G9613" s="336">
        <v>43807</v>
      </c>
      <c r="H9613" s="334" t="s">
        <v>14879</v>
      </c>
      <c r="I9613" s="444">
        <v>18321743562</v>
      </c>
      <c r="J9613" s="438" t="s">
        <v>14880</v>
      </c>
      <c r="M9613" s="334">
        <v>7540</v>
      </c>
      <c r="N9613" s="362">
        <f t="shared" si="331"/>
        <v>7540</v>
      </c>
    </row>
    <row r="9614" ht="15" customHeight="1" spans="2:14">
      <c r="B9614" s="334" t="s">
        <v>153</v>
      </c>
      <c r="C9614" s="334" t="s">
        <v>154</v>
      </c>
      <c r="D9614" s="334" t="s">
        <v>155</v>
      </c>
      <c r="E9614" s="336">
        <v>43808</v>
      </c>
      <c r="G9614" s="336">
        <v>43807</v>
      </c>
      <c r="H9614" s="334" t="s">
        <v>14743</v>
      </c>
      <c r="I9614" s="334">
        <v>13651906805</v>
      </c>
      <c r="J9614" s="348" t="s">
        <v>19655</v>
      </c>
      <c r="M9614" s="334">
        <v>1655</v>
      </c>
      <c r="N9614" s="362">
        <f t="shared" si="331"/>
        <v>1655</v>
      </c>
    </row>
    <row r="9615" ht="15" customHeight="1" spans="2:14">
      <c r="B9615" s="334" t="s">
        <v>47</v>
      </c>
      <c r="C9615" s="425" t="s">
        <v>80</v>
      </c>
      <c r="D9615" s="334" t="s">
        <v>49</v>
      </c>
      <c r="E9615" s="336">
        <v>43808</v>
      </c>
      <c r="G9615" s="336">
        <v>43808</v>
      </c>
      <c r="H9615" s="334" t="s">
        <v>17629</v>
      </c>
      <c r="I9615" s="334">
        <v>15921570776</v>
      </c>
      <c r="J9615" s="348" t="s">
        <v>17630</v>
      </c>
      <c r="M9615" s="334">
        <v>867</v>
      </c>
      <c r="N9615" s="362">
        <f t="shared" si="331"/>
        <v>867</v>
      </c>
    </row>
    <row r="9616" ht="15" customHeight="1" spans="2:14">
      <c r="B9616" s="425" t="s">
        <v>47</v>
      </c>
      <c r="C9616" s="425" t="s">
        <v>80</v>
      </c>
      <c r="D9616" s="334" t="s">
        <v>49</v>
      </c>
      <c r="E9616" s="336">
        <v>43808</v>
      </c>
      <c r="G9616" s="336">
        <v>43808</v>
      </c>
      <c r="H9616" s="334" t="s">
        <v>19656</v>
      </c>
      <c r="I9616" s="496">
        <v>13761955577</v>
      </c>
      <c r="J9616" s="496" t="s">
        <v>19657</v>
      </c>
      <c r="M9616" s="334">
        <v>2050</v>
      </c>
      <c r="N9616" s="362">
        <f t="shared" si="331"/>
        <v>2050</v>
      </c>
    </row>
    <row r="9617" ht="15" customHeight="1" spans="2:14">
      <c r="B9617" s="334" t="s">
        <v>169</v>
      </c>
      <c r="C9617" s="334" t="s">
        <v>634</v>
      </c>
      <c r="D9617" s="334" t="s">
        <v>635</v>
      </c>
      <c r="E9617" s="336">
        <v>43808</v>
      </c>
      <c r="G9617" s="336">
        <v>43762</v>
      </c>
      <c r="H9617" s="334" t="s">
        <v>11487</v>
      </c>
      <c r="I9617" s="426">
        <v>13621693211</v>
      </c>
      <c r="J9617" s="334" t="s">
        <v>11488</v>
      </c>
      <c r="M9617" s="334">
        <v>238</v>
      </c>
      <c r="N9617" s="362">
        <f t="shared" si="331"/>
        <v>238</v>
      </c>
    </row>
    <row r="9618" ht="15" customHeight="1" spans="2:14">
      <c r="B9618" s="334" t="s">
        <v>35</v>
      </c>
      <c r="C9618" s="334" t="s">
        <v>328</v>
      </c>
      <c r="D9618" s="334" t="s">
        <v>37</v>
      </c>
      <c r="E9618" s="336">
        <v>43808</v>
      </c>
      <c r="G9618" s="336">
        <v>43807</v>
      </c>
      <c r="H9618" s="334" t="s">
        <v>13325</v>
      </c>
      <c r="I9618" s="334">
        <v>13865421003</v>
      </c>
      <c r="J9618" s="334" t="s">
        <v>19658</v>
      </c>
      <c r="M9618" s="334">
        <v>1400</v>
      </c>
      <c r="N9618" s="362">
        <f t="shared" si="331"/>
        <v>1400</v>
      </c>
    </row>
    <row r="9619" ht="15" customHeight="1" spans="2:14">
      <c r="B9619" s="334" t="s">
        <v>169</v>
      </c>
      <c r="C9619" s="334" t="s">
        <v>542</v>
      </c>
      <c r="D9619" s="334" t="s">
        <v>171</v>
      </c>
      <c r="E9619" s="336">
        <v>43808</v>
      </c>
      <c r="G9619" s="336">
        <v>43808</v>
      </c>
      <c r="H9619" s="334" t="s">
        <v>11176</v>
      </c>
      <c r="I9619" s="334">
        <v>13918317067</v>
      </c>
      <c r="J9619" s="334" t="s">
        <v>14732</v>
      </c>
      <c r="M9619" s="334">
        <v>228</v>
      </c>
      <c r="N9619" s="362">
        <f t="shared" si="331"/>
        <v>228</v>
      </c>
    </row>
    <row r="9620" ht="15" customHeight="1" spans="2:14">
      <c r="B9620" s="334" t="s">
        <v>73</v>
      </c>
      <c r="C9620" s="334" t="s">
        <v>74</v>
      </c>
      <c r="D9620" s="334" t="s">
        <v>717</v>
      </c>
      <c r="E9620" s="336">
        <v>43808</v>
      </c>
      <c r="G9620" s="336">
        <v>43808</v>
      </c>
      <c r="H9620" s="334" t="s">
        <v>6074</v>
      </c>
      <c r="I9620" s="444">
        <v>18917901261</v>
      </c>
      <c r="J9620" s="438" t="s">
        <v>19659</v>
      </c>
      <c r="M9620" s="334">
        <v>1682</v>
      </c>
      <c r="N9620" s="362">
        <f t="shared" si="331"/>
        <v>1682</v>
      </c>
    </row>
    <row r="9621" ht="15" customHeight="1" spans="2:14">
      <c r="B9621" s="334" t="s">
        <v>73</v>
      </c>
      <c r="C9621" s="334" t="s">
        <v>178</v>
      </c>
      <c r="D9621" s="334" t="s">
        <v>44</v>
      </c>
      <c r="E9621" s="336">
        <v>43808</v>
      </c>
      <c r="G9621" s="336">
        <v>43807</v>
      </c>
      <c r="H9621" s="334" t="s">
        <v>16268</v>
      </c>
      <c r="I9621" s="444">
        <v>13512152451</v>
      </c>
      <c r="J9621" s="438" t="s">
        <v>16269</v>
      </c>
      <c r="M9621" s="334">
        <v>8514</v>
      </c>
      <c r="N9621" s="362">
        <f t="shared" si="331"/>
        <v>8514</v>
      </c>
    </row>
    <row r="9622" ht="15" customHeight="1" spans="1:14">
      <c r="A9622" s="550" t="s">
        <v>12726</v>
      </c>
      <c r="B9622" s="334" t="s">
        <v>335</v>
      </c>
      <c r="C9622" s="348" t="s">
        <v>615</v>
      </c>
      <c r="D9622" s="336" t="s">
        <v>337</v>
      </c>
      <c r="E9622" s="336">
        <v>43809</v>
      </c>
      <c r="F9622" s="336">
        <v>43808</v>
      </c>
      <c r="G9622" s="399">
        <v>43808</v>
      </c>
      <c r="H9622" s="334" t="s">
        <v>19660</v>
      </c>
      <c r="I9622" s="444">
        <v>13906115801</v>
      </c>
      <c r="J9622" s="438" t="s">
        <v>19661</v>
      </c>
      <c r="K9622" s="356">
        <v>5300</v>
      </c>
      <c r="L9622" s="334">
        <v>5300</v>
      </c>
      <c r="N9622" s="362">
        <f t="shared" ref="N9622:N9635" si="332">L9622+M9622</f>
        <v>5300</v>
      </c>
    </row>
    <row r="9623" ht="15" customHeight="1" spans="1:14">
      <c r="A9623" s="550" t="s">
        <v>3026</v>
      </c>
      <c r="B9623" s="334" t="s">
        <v>153</v>
      </c>
      <c r="C9623" s="348" t="s">
        <v>154</v>
      </c>
      <c r="D9623" s="334" t="s">
        <v>155</v>
      </c>
      <c r="E9623" s="336">
        <v>43810</v>
      </c>
      <c r="F9623" s="336">
        <v>43808</v>
      </c>
      <c r="G9623" s="336">
        <v>43810</v>
      </c>
      <c r="H9623" s="334" t="s">
        <v>19662</v>
      </c>
      <c r="I9623" s="444">
        <v>13801777062</v>
      </c>
      <c r="J9623" s="438" t="s">
        <v>19663</v>
      </c>
      <c r="K9623" s="356">
        <v>1000</v>
      </c>
      <c r="L9623" s="334">
        <v>7000</v>
      </c>
      <c r="N9623" s="362">
        <f t="shared" si="332"/>
        <v>7000</v>
      </c>
    </row>
    <row r="9624" ht="15" customHeight="1" spans="1:17">
      <c r="A9624" s="550" t="s">
        <v>14030</v>
      </c>
      <c r="B9624" s="334" t="s">
        <v>137</v>
      </c>
      <c r="C9624" s="348" t="s">
        <v>2705</v>
      </c>
      <c r="D9624" s="336" t="s">
        <v>443</v>
      </c>
      <c r="E9624" s="336">
        <v>43809</v>
      </c>
      <c r="F9624" s="336">
        <v>43808</v>
      </c>
      <c r="G9624" s="399"/>
      <c r="H9624" s="334" t="s">
        <v>19664</v>
      </c>
      <c r="I9624" s="444">
        <v>18621868965</v>
      </c>
      <c r="J9624" s="438" t="s">
        <v>19665</v>
      </c>
      <c r="K9624" s="356">
        <v>2648</v>
      </c>
      <c r="N9624" s="362">
        <f t="shared" si="332"/>
        <v>0</v>
      </c>
      <c r="Q9624" s="353">
        <v>1</v>
      </c>
    </row>
    <row r="9625" ht="15" customHeight="1" spans="1:14">
      <c r="A9625" s="550" t="s">
        <v>247</v>
      </c>
      <c r="B9625" s="334" t="s">
        <v>315</v>
      </c>
      <c r="C9625" s="334" t="s">
        <v>14638</v>
      </c>
      <c r="D9625" s="334" t="s">
        <v>149</v>
      </c>
      <c r="E9625" s="336">
        <v>43809</v>
      </c>
      <c r="F9625" s="336">
        <v>43805</v>
      </c>
      <c r="G9625" s="399">
        <v>43808</v>
      </c>
      <c r="H9625" s="334" t="s">
        <v>19666</v>
      </c>
      <c r="I9625" s="444">
        <v>13641939606</v>
      </c>
      <c r="J9625" s="438" t="s">
        <v>19667</v>
      </c>
      <c r="K9625" s="356">
        <v>1000</v>
      </c>
      <c r="L9625" s="334">
        <v>9084</v>
      </c>
      <c r="N9625" s="362">
        <f t="shared" si="332"/>
        <v>9084</v>
      </c>
    </row>
    <row r="9626" ht="15" customHeight="1" spans="1:14">
      <c r="A9626" s="550" t="s">
        <v>19668</v>
      </c>
      <c r="B9626" s="334" t="s">
        <v>31</v>
      </c>
      <c r="C9626" s="348" t="s">
        <v>251</v>
      </c>
      <c r="D9626" s="334" t="s">
        <v>33</v>
      </c>
      <c r="E9626" s="336">
        <v>43809</v>
      </c>
      <c r="F9626" s="336">
        <v>43809</v>
      </c>
      <c r="G9626" s="399">
        <v>43809</v>
      </c>
      <c r="H9626" s="334" t="s">
        <v>19669</v>
      </c>
      <c r="I9626" s="444">
        <v>13120628909</v>
      </c>
      <c r="J9626" s="438" t="s">
        <v>19670</v>
      </c>
      <c r="K9626" s="356">
        <v>16865</v>
      </c>
      <c r="L9626" s="356">
        <v>16865</v>
      </c>
      <c r="N9626" s="362">
        <f t="shared" si="332"/>
        <v>16865</v>
      </c>
    </row>
    <row r="9627" ht="15" customHeight="1" spans="1:14">
      <c r="A9627" s="348"/>
      <c r="B9627" s="334" t="s">
        <v>6313</v>
      </c>
      <c r="C9627" s="348" t="s">
        <v>7818</v>
      </c>
      <c r="D9627" s="334" t="s">
        <v>7871</v>
      </c>
      <c r="E9627" s="336">
        <v>43809</v>
      </c>
      <c r="F9627" s="336">
        <v>43799</v>
      </c>
      <c r="G9627" s="399">
        <v>43806</v>
      </c>
      <c r="H9627" s="334" t="s">
        <v>19671</v>
      </c>
      <c r="I9627" s="444">
        <v>18516290514</v>
      </c>
      <c r="J9627" s="438" t="s">
        <v>19672</v>
      </c>
      <c r="K9627" s="356">
        <v>10000</v>
      </c>
      <c r="L9627" s="334">
        <f>6049+901+10000</f>
        <v>16950</v>
      </c>
      <c r="N9627" s="362">
        <f t="shared" si="332"/>
        <v>16950</v>
      </c>
    </row>
    <row r="9628" ht="15" customHeight="1" spans="1:14">
      <c r="A9628" s="550" t="s">
        <v>19673</v>
      </c>
      <c r="B9628" s="334" t="s">
        <v>35</v>
      </c>
      <c r="C9628" s="348" t="s">
        <v>328</v>
      </c>
      <c r="D9628" s="334" t="s">
        <v>37</v>
      </c>
      <c r="E9628" s="336">
        <v>43809</v>
      </c>
      <c r="F9628" s="336">
        <v>43802</v>
      </c>
      <c r="G9628" s="399">
        <v>43808</v>
      </c>
      <c r="H9628" s="334" t="s">
        <v>19674</v>
      </c>
      <c r="I9628" s="444">
        <v>16605150880</v>
      </c>
      <c r="J9628" s="438" t="s">
        <v>19675</v>
      </c>
      <c r="K9628" s="356">
        <v>500</v>
      </c>
      <c r="L9628" s="334">
        <v>14000</v>
      </c>
      <c r="N9628" s="362">
        <f t="shared" si="332"/>
        <v>14000</v>
      </c>
    </row>
    <row r="9629" ht="15" customHeight="1" spans="1:14">
      <c r="A9629" s="550" t="s">
        <v>19676</v>
      </c>
      <c r="B9629" s="334" t="s">
        <v>66</v>
      </c>
      <c r="C9629" s="348" t="s">
        <v>1749</v>
      </c>
      <c r="D9629" s="334" t="s">
        <v>1436</v>
      </c>
      <c r="E9629" s="336">
        <v>43810</v>
      </c>
      <c r="F9629" s="336">
        <v>43809</v>
      </c>
      <c r="G9629" s="336">
        <v>43810</v>
      </c>
      <c r="H9629" s="334" t="s">
        <v>19677</v>
      </c>
      <c r="I9629" s="444">
        <v>13966050603</v>
      </c>
      <c r="J9629" s="438" t="s">
        <v>19678</v>
      </c>
      <c r="K9629" s="356">
        <v>10000</v>
      </c>
      <c r="L9629" s="334">
        <v>10199</v>
      </c>
      <c r="N9629" s="362">
        <f t="shared" si="332"/>
        <v>10199</v>
      </c>
    </row>
    <row r="9630" ht="15" customHeight="1" spans="1:14">
      <c r="A9630" s="550" t="s">
        <v>9632</v>
      </c>
      <c r="B9630" s="334" t="s">
        <v>205</v>
      </c>
      <c r="C9630" s="348" t="s">
        <v>1467</v>
      </c>
      <c r="D9630" s="334" t="s">
        <v>343</v>
      </c>
      <c r="E9630" s="336">
        <v>43819</v>
      </c>
      <c r="F9630" s="336">
        <v>43809</v>
      </c>
      <c r="G9630" s="336">
        <v>43819</v>
      </c>
      <c r="H9630" s="334" t="s">
        <v>19679</v>
      </c>
      <c r="I9630" s="444">
        <v>13611636636</v>
      </c>
      <c r="J9630" s="438" t="s">
        <v>19680</v>
      </c>
      <c r="K9630" s="356">
        <v>72492</v>
      </c>
      <c r="L9630" s="334">
        <v>36114</v>
      </c>
      <c r="N9630" s="362">
        <f t="shared" si="332"/>
        <v>36114</v>
      </c>
    </row>
    <row r="9631" ht="15" customHeight="1" spans="1:15">
      <c r="A9631" s="550" t="s">
        <v>19681</v>
      </c>
      <c r="B9631" s="334" t="s">
        <v>169</v>
      </c>
      <c r="C9631" s="348" t="s">
        <v>15883</v>
      </c>
      <c r="D9631" s="336" t="s">
        <v>171</v>
      </c>
      <c r="E9631" s="336">
        <v>43828</v>
      </c>
      <c r="F9631" s="336">
        <v>43809</v>
      </c>
      <c r="G9631" s="336">
        <v>43828</v>
      </c>
      <c r="H9631" s="334" t="s">
        <v>13160</v>
      </c>
      <c r="I9631" s="444">
        <v>13301665388</v>
      </c>
      <c r="J9631" s="438" t="s">
        <v>19682</v>
      </c>
      <c r="K9631" s="356">
        <f>85900+1000</f>
        <v>86900</v>
      </c>
      <c r="L9631" s="334">
        <v>86900</v>
      </c>
      <c r="N9631" s="362">
        <f t="shared" si="332"/>
        <v>86900</v>
      </c>
      <c r="O9631" s="353" t="s">
        <v>19</v>
      </c>
    </row>
    <row r="9632" ht="15" customHeight="1" spans="1:14">
      <c r="A9632" s="550" t="s">
        <v>19421</v>
      </c>
      <c r="B9632" s="334" t="s">
        <v>31</v>
      </c>
      <c r="C9632" s="348" t="s">
        <v>251</v>
      </c>
      <c r="D9632" s="336" t="s">
        <v>187</v>
      </c>
      <c r="E9632" s="336">
        <v>43809</v>
      </c>
      <c r="F9632" s="336">
        <v>43809</v>
      </c>
      <c r="G9632" s="399">
        <v>43809</v>
      </c>
      <c r="H9632" s="334" t="s">
        <v>19683</v>
      </c>
      <c r="I9632" s="444">
        <v>15902109266</v>
      </c>
      <c r="J9632" s="438" t="s">
        <v>19684</v>
      </c>
      <c r="K9632" s="356">
        <v>5600</v>
      </c>
      <c r="L9632" s="334">
        <v>5600</v>
      </c>
      <c r="N9632" s="362">
        <f t="shared" si="332"/>
        <v>5600</v>
      </c>
    </row>
    <row r="9633" ht="15" customHeight="1" spans="2:14">
      <c r="B9633" s="334" t="s">
        <v>4009</v>
      </c>
      <c r="C9633" s="334" t="s">
        <v>6401</v>
      </c>
      <c r="D9633" s="334" t="s">
        <v>207</v>
      </c>
      <c r="E9633" s="336">
        <v>43809</v>
      </c>
      <c r="G9633" s="336">
        <v>43788</v>
      </c>
      <c r="H9633" s="334" t="s">
        <v>19685</v>
      </c>
      <c r="I9633" s="444">
        <v>13918704960</v>
      </c>
      <c r="J9633" s="438" t="s">
        <v>19686</v>
      </c>
      <c r="L9633" s="334">
        <v>6900</v>
      </c>
      <c r="N9633" s="362">
        <f t="shared" si="332"/>
        <v>6900</v>
      </c>
    </row>
    <row r="9634" ht="15" customHeight="1" spans="2:14">
      <c r="B9634" s="334" t="s">
        <v>205</v>
      </c>
      <c r="C9634" s="348" t="s">
        <v>1467</v>
      </c>
      <c r="D9634" s="334" t="s">
        <v>207</v>
      </c>
      <c r="E9634" s="336">
        <v>43809</v>
      </c>
      <c r="G9634" s="336">
        <v>43809</v>
      </c>
      <c r="H9634" s="334" t="s">
        <v>18477</v>
      </c>
      <c r="I9634" s="444">
        <v>13801609021</v>
      </c>
      <c r="J9634" s="438" t="s">
        <v>19687</v>
      </c>
      <c r="L9634" s="338">
        <v>24712</v>
      </c>
      <c r="N9634" s="362">
        <f t="shared" si="332"/>
        <v>24712</v>
      </c>
    </row>
    <row r="9635" ht="15" customHeight="1" spans="2:14">
      <c r="B9635" s="334" t="s">
        <v>137</v>
      </c>
      <c r="C9635" s="334" t="s">
        <v>861</v>
      </c>
      <c r="D9635" s="335" t="s">
        <v>443</v>
      </c>
      <c r="E9635" s="336">
        <v>43809</v>
      </c>
      <c r="G9635" s="336">
        <v>43809</v>
      </c>
      <c r="H9635" s="334" t="s">
        <v>11617</v>
      </c>
      <c r="I9635" s="334">
        <v>13601648519</v>
      </c>
      <c r="J9635" s="334" t="s">
        <v>19688</v>
      </c>
      <c r="L9635" s="334">
        <f>10789-900</f>
        <v>9889</v>
      </c>
      <c r="N9635" s="362">
        <f t="shared" si="332"/>
        <v>9889</v>
      </c>
    </row>
    <row r="9636" ht="15" customHeight="1" spans="2:14">
      <c r="B9636" s="334" t="s">
        <v>185</v>
      </c>
      <c r="C9636" s="334" t="s">
        <v>186</v>
      </c>
      <c r="D9636" s="334" t="s">
        <v>187</v>
      </c>
      <c r="E9636" s="336">
        <v>43809</v>
      </c>
      <c r="G9636" s="336">
        <v>43801</v>
      </c>
      <c r="H9636" s="334" t="s">
        <v>18987</v>
      </c>
      <c r="I9636" s="444">
        <v>18321169521</v>
      </c>
      <c r="J9636" s="348" t="s">
        <v>18988</v>
      </c>
      <c r="M9636" s="334">
        <v>3085</v>
      </c>
      <c r="N9636" s="362">
        <f t="shared" ref="N9636:N9650" si="333">L9636+M9636</f>
        <v>3085</v>
      </c>
    </row>
    <row r="9637" ht="15" customHeight="1" spans="2:14">
      <c r="B9637" s="334" t="s">
        <v>315</v>
      </c>
      <c r="C9637" s="334" t="s">
        <v>161</v>
      </c>
      <c r="D9637" s="334" t="s">
        <v>1431</v>
      </c>
      <c r="E9637" s="336">
        <v>43809</v>
      </c>
      <c r="G9637" s="336">
        <v>43808</v>
      </c>
      <c r="H9637" s="334" t="s">
        <v>17411</v>
      </c>
      <c r="I9637" s="444">
        <v>18916629739</v>
      </c>
      <c r="J9637" s="438" t="s">
        <v>19689</v>
      </c>
      <c r="M9637" s="334">
        <v>300</v>
      </c>
      <c r="N9637" s="362">
        <f t="shared" si="333"/>
        <v>300</v>
      </c>
    </row>
    <row r="9638" ht="15" customHeight="1" spans="2:14">
      <c r="B9638" s="334" t="s">
        <v>185</v>
      </c>
      <c r="C9638" s="334" t="s">
        <v>886</v>
      </c>
      <c r="D9638" s="334" t="s">
        <v>44</v>
      </c>
      <c r="E9638" s="336">
        <v>43809</v>
      </c>
      <c r="G9638" s="336">
        <v>43797</v>
      </c>
      <c r="H9638" s="334" t="s">
        <v>14186</v>
      </c>
      <c r="I9638" s="444">
        <v>15026784188</v>
      </c>
      <c r="J9638" s="438" t="s">
        <v>14187</v>
      </c>
      <c r="M9638" s="334">
        <v>5778</v>
      </c>
      <c r="N9638" s="362">
        <f t="shared" si="333"/>
        <v>5778</v>
      </c>
    </row>
    <row r="9639" ht="15" customHeight="1" spans="2:14">
      <c r="B9639" s="334" t="s">
        <v>236</v>
      </c>
      <c r="C9639" s="334" t="s">
        <v>195</v>
      </c>
      <c r="D9639" s="334" t="s">
        <v>207</v>
      </c>
      <c r="E9639" s="336">
        <v>43809</v>
      </c>
      <c r="G9639" s="336">
        <v>43806</v>
      </c>
      <c r="H9639" s="334" t="s">
        <v>14760</v>
      </c>
      <c r="I9639" s="444">
        <v>18201808828</v>
      </c>
      <c r="J9639" s="348" t="s">
        <v>14761</v>
      </c>
      <c r="M9639" s="334">
        <v>5334</v>
      </c>
      <c r="N9639" s="362">
        <f t="shared" si="333"/>
        <v>5334</v>
      </c>
    </row>
    <row r="9640" ht="15" customHeight="1" spans="2:14">
      <c r="B9640" s="334" t="s">
        <v>315</v>
      </c>
      <c r="C9640" s="334" t="s">
        <v>722</v>
      </c>
      <c r="D9640" s="334" t="s">
        <v>1431</v>
      </c>
      <c r="E9640" s="336">
        <v>43809</v>
      </c>
      <c r="G9640" s="336">
        <v>43807</v>
      </c>
      <c r="H9640" s="334" t="s">
        <v>756</v>
      </c>
      <c r="I9640" s="444">
        <v>13816685122</v>
      </c>
      <c r="J9640" s="334" t="s">
        <v>19690</v>
      </c>
      <c r="M9640" s="334">
        <v>19136</v>
      </c>
      <c r="N9640" s="362">
        <f t="shared" si="333"/>
        <v>19136</v>
      </c>
    </row>
    <row r="9641" ht="15" customHeight="1" spans="2:14">
      <c r="B9641" s="334" t="s">
        <v>73</v>
      </c>
      <c r="C9641" s="334" t="s">
        <v>74</v>
      </c>
      <c r="D9641" s="334" t="s">
        <v>427</v>
      </c>
      <c r="E9641" s="336">
        <v>43809</v>
      </c>
      <c r="G9641" s="336">
        <v>43808</v>
      </c>
      <c r="H9641" s="334" t="s">
        <v>12435</v>
      </c>
      <c r="I9641" s="444">
        <v>13311869221</v>
      </c>
      <c r="J9641" s="348" t="s">
        <v>19691</v>
      </c>
      <c r="M9641" s="334">
        <v>-11373</v>
      </c>
      <c r="N9641" s="362">
        <f t="shared" si="333"/>
        <v>-11373</v>
      </c>
    </row>
    <row r="9642" ht="15" customHeight="1" spans="2:14">
      <c r="B9642" s="334" t="s">
        <v>405</v>
      </c>
      <c r="C9642" s="334" t="s">
        <v>823</v>
      </c>
      <c r="D9642" s="334" t="s">
        <v>407</v>
      </c>
      <c r="E9642" s="336">
        <v>43809</v>
      </c>
      <c r="G9642" s="336">
        <v>43785</v>
      </c>
      <c r="H9642" s="334" t="s">
        <v>12871</v>
      </c>
      <c r="I9642" s="426">
        <v>13003234825</v>
      </c>
      <c r="J9642" s="334" t="s">
        <v>12872</v>
      </c>
      <c r="M9642" s="334">
        <v>800</v>
      </c>
      <c r="N9642" s="362">
        <f t="shared" si="333"/>
        <v>800</v>
      </c>
    </row>
    <row r="9643" ht="15" customHeight="1" spans="2:14">
      <c r="B9643" s="334" t="s">
        <v>42</v>
      </c>
      <c r="C9643" s="334" t="s">
        <v>43</v>
      </c>
      <c r="D9643" s="334" t="s">
        <v>207</v>
      </c>
      <c r="E9643" s="336">
        <v>43809</v>
      </c>
      <c r="G9643" s="336">
        <v>43793</v>
      </c>
      <c r="H9643" s="334" t="s">
        <v>13605</v>
      </c>
      <c r="I9643" s="426">
        <v>13817982082</v>
      </c>
      <c r="J9643" s="334" t="s">
        <v>13766</v>
      </c>
      <c r="M9643" s="334">
        <v>164</v>
      </c>
      <c r="N9643" s="362">
        <f t="shared" si="333"/>
        <v>164</v>
      </c>
    </row>
    <row r="9644" ht="15" customHeight="1" spans="2:14">
      <c r="B9644" s="334" t="s">
        <v>137</v>
      </c>
      <c r="C9644" s="334" t="s">
        <v>406</v>
      </c>
      <c r="D9644" s="334" t="s">
        <v>2381</v>
      </c>
      <c r="E9644" s="336">
        <v>43809</v>
      </c>
      <c r="G9644" s="336">
        <v>43809</v>
      </c>
      <c r="H9644" s="334" t="s">
        <v>19692</v>
      </c>
      <c r="I9644" s="444">
        <v>18217348006</v>
      </c>
      <c r="J9644" s="438" t="s">
        <v>16307</v>
      </c>
      <c r="M9644" s="334">
        <v>4112</v>
      </c>
      <c r="N9644" s="362">
        <f t="shared" si="333"/>
        <v>4112</v>
      </c>
    </row>
    <row r="9645" ht="15" customHeight="1" spans="2:14">
      <c r="B9645" s="334" t="s">
        <v>205</v>
      </c>
      <c r="C9645" s="334" t="s">
        <v>1467</v>
      </c>
      <c r="D9645" s="334" t="s">
        <v>207</v>
      </c>
      <c r="E9645" s="336">
        <v>43809</v>
      </c>
      <c r="G9645" s="336">
        <v>43809</v>
      </c>
      <c r="H9645" s="334" t="s">
        <v>18477</v>
      </c>
      <c r="I9645" s="444">
        <v>13801609021</v>
      </c>
      <c r="J9645" s="438" t="s">
        <v>18478</v>
      </c>
      <c r="M9645" s="334">
        <v>-2684</v>
      </c>
      <c r="N9645" s="362">
        <f t="shared" si="333"/>
        <v>-2684</v>
      </c>
    </row>
    <row r="9646" ht="15" customHeight="1" spans="2:14">
      <c r="B9646" s="334" t="s">
        <v>58</v>
      </c>
      <c r="C9646" s="334" t="s">
        <v>59</v>
      </c>
      <c r="D9646" s="334" t="s">
        <v>271</v>
      </c>
      <c r="E9646" s="336">
        <v>43809</v>
      </c>
      <c r="G9646" s="336">
        <v>43807</v>
      </c>
      <c r="H9646" s="334" t="s">
        <v>10382</v>
      </c>
      <c r="I9646" s="444">
        <v>13917415645</v>
      </c>
      <c r="J9646" s="334" t="s">
        <v>10383</v>
      </c>
      <c r="M9646" s="334">
        <v>8025</v>
      </c>
      <c r="N9646" s="362">
        <f t="shared" si="333"/>
        <v>8025</v>
      </c>
    </row>
    <row r="9647" ht="15" customHeight="1" spans="2:14">
      <c r="B9647" s="334" t="s">
        <v>73</v>
      </c>
      <c r="C9647" s="334" t="s">
        <v>178</v>
      </c>
      <c r="D9647" s="334" t="s">
        <v>75</v>
      </c>
      <c r="E9647" s="336">
        <v>43809</v>
      </c>
      <c r="G9647" s="336">
        <v>43809</v>
      </c>
      <c r="H9647" s="334" t="s">
        <v>8684</v>
      </c>
      <c r="I9647" s="334">
        <v>18616788605</v>
      </c>
      <c r="J9647" s="334" t="s">
        <v>19693</v>
      </c>
      <c r="M9647" s="334">
        <v>2182</v>
      </c>
      <c r="N9647" s="362">
        <f t="shared" si="333"/>
        <v>2182</v>
      </c>
    </row>
    <row r="9648" ht="15" customHeight="1" spans="2:14">
      <c r="B9648" s="334" t="s">
        <v>66</v>
      </c>
      <c r="C9648" s="334" t="s">
        <v>505</v>
      </c>
      <c r="D9648" s="334" t="s">
        <v>2302</v>
      </c>
      <c r="E9648" s="336">
        <v>43809</v>
      </c>
      <c r="G9648" s="336">
        <v>43809</v>
      </c>
      <c r="H9648" s="334" t="s">
        <v>12323</v>
      </c>
      <c r="I9648" s="356">
        <v>17317971212</v>
      </c>
      <c r="J9648" s="348" t="s">
        <v>12324</v>
      </c>
      <c r="M9648" s="334">
        <v>15820</v>
      </c>
      <c r="N9648" s="362">
        <f t="shared" si="333"/>
        <v>15820</v>
      </c>
    </row>
    <row r="9649" ht="15" customHeight="1" spans="2:14">
      <c r="B9649" s="334" t="s">
        <v>315</v>
      </c>
      <c r="C9649" s="334" t="s">
        <v>181</v>
      </c>
      <c r="D9649" s="334" t="s">
        <v>162</v>
      </c>
      <c r="E9649" s="336">
        <v>43809</v>
      </c>
      <c r="G9649" s="336">
        <v>43808</v>
      </c>
      <c r="H9649" s="334" t="s">
        <v>2729</v>
      </c>
      <c r="I9649" s="444">
        <v>15300511977</v>
      </c>
      <c r="J9649" s="348" t="s">
        <v>2730</v>
      </c>
      <c r="M9649" s="334">
        <v>2000</v>
      </c>
      <c r="N9649" s="362">
        <f t="shared" si="333"/>
        <v>2000</v>
      </c>
    </row>
    <row r="9650" ht="15" customHeight="1" spans="2:14">
      <c r="B9650" s="334" t="s">
        <v>137</v>
      </c>
      <c r="C9650" s="334" t="s">
        <v>138</v>
      </c>
      <c r="D9650" s="334" t="s">
        <v>443</v>
      </c>
      <c r="E9650" s="336">
        <v>43809</v>
      </c>
      <c r="G9650" s="336">
        <v>43809</v>
      </c>
      <c r="H9650" s="334" t="s">
        <v>1449</v>
      </c>
      <c r="I9650" s="444">
        <v>13817935173</v>
      </c>
      <c r="J9650" s="348" t="s">
        <v>1450</v>
      </c>
      <c r="M9650" s="334">
        <v>-564</v>
      </c>
      <c r="N9650" s="362">
        <f t="shared" si="333"/>
        <v>-564</v>
      </c>
    </row>
    <row r="9651" ht="15" customHeight="1" spans="1:22">
      <c r="A9651" s="550" t="s">
        <v>3074</v>
      </c>
      <c r="B9651" s="334" t="s">
        <v>153</v>
      </c>
      <c r="C9651" s="348" t="s">
        <v>154</v>
      </c>
      <c r="D9651" s="335" t="s">
        <v>155</v>
      </c>
      <c r="E9651" s="336">
        <v>43833</v>
      </c>
      <c r="F9651" s="336">
        <v>43809</v>
      </c>
      <c r="G9651" s="336">
        <v>43832</v>
      </c>
      <c r="H9651" s="334" t="s">
        <v>19694</v>
      </c>
      <c r="I9651" s="444">
        <v>18918838539</v>
      </c>
      <c r="J9651" s="438" t="s">
        <v>19695</v>
      </c>
      <c r="K9651" s="356">
        <v>1000</v>
      </c>
      <c r="L9651" s="334">
        <v>3207</v>
      </c>
      <c r="N9651" s="362">
        <f t="shared" ref="N9651:N9662" si="334">L9651+M9651</f>
        <v>3207</v>
      </c>
      <c r="V9651" s="353" t="s">
        <v>2494</v>
      </c>
    </row>
    <row r="9652" ht="15" customHeight="1" spans="1:14">
      <c r="A9652" s="550" t="s">
        <v>10718</v>
      </c>
      <c r="B9652" s="334" t="s">
        <v>123</v>
      </c>
      <c r="C9652" s="348" t="s">
        <v>902</v>
      </c>
      <c r="D9652" s="335" t="s">
        <v>125</v>
      </c>
      <c r="E9652" s="336">
        <v>43813</v>
      </c>
      <c r="F9652" s="336">
        <v>43808</v>
      </c>
      <c r="G9652" s="336">
        <v>43813</v>
      </c>
      <c r="H9652" s="334" t="s">
        <v>19696</v>
      </c>
      <c r="I9652" s="444">
        <v>13916744526</v>
      </c>
      <c r="J9652" s="438" t="s">
        <v>19697</v>
      </c>
      <c r="K9652" s="356">
        <v>6134</v>
      </c>
      <c r="L9652" s="334">
        <v>10753</v>
      </c>
      <c r="N9652" s="362">
        <f t="shared" si="334"/>
        <v>10753</v>
      </c>
    </row>
    <row r="9653" ht="15" customHeight="1" spans="1:18">
      <c r="A9653" s="550" t="s">
        <v>13760</v>
      </c>
      <c r="B9653" s="334" t="s">
        <v>137</v>
      </c>
      <c r="C9653" s="348" t="s">
        <v>2705</v>
      </c>
      <c r="D9653" s="334" t="s">
        <v>2381</v>
      </c>
      <c r="E9653" s="336">
        <v>43827</v>
      </c>
      <c r="F9653" s="336">
        <v>43810</v>
      </c>
      <c r="G9653" s="336">
        <v>43825</v>
      </c>
      <c r="H9653" s="334" t="s">
        <v>19698</v>
      </c>
      <c r="I9653" s="444">
        <v>18516113930</v>
      </c>
      <c r="J9653" s="438" t="s">
        <v>19699</v>
      </c>
      <c r="K9653" s="356">
        <v>10800</v>
      </c>
      <c r="L9653" s="334">
        <v>14090</v>
      </c>
      <c r="N9653" s="362">
        <f t="shared" si="334"/>
        <v>14090</v>
      </c>
      <c r="R9653" s="353">
        <v>1</v>
      </c>
    </row>
    <row r="9654" ht="15" customHeight="1" spans="1:14">
      <c r="A9654" s="550" t="s">
        <v>8246</v>
      </c>
      <c r="B9654" s="334" t="s">
        <v>66</v>
      </c>
      <c r="C9654" s="348" t="s">
        <v>1749</v>
      </c>
      <c r="D9654" s="334" t="s">
        <v>2302</v>
      </c>
      <c r="E9654" s="336">
        <v>43810</v>
      </c>
      <c r="F9654" s="336">
        <v>43810</v>
      </c>
      <c r="G9654" s="336">
        <v>43810</v>
      </c>
      <c r="H9654" s="334" t="s">
        <v>19700</v>
      </c>
      <c r="I9654" s="444">
        <v>13701708365</v>
      </c>
      <c r="J9654" s="438" t="s">
        <v>19701</v>
      </c>
      <c r="K9654" s="356">
        <v>4654</v>
      </c>
      <c r="L9654" s="334">
        <v>4654</v>
      </c>
      <c r="N9654" s="362">
        <f t="shared" si="334"/>
        <v>4654</v>
      </c>
    </row>
    <row r="9655" ht="15" customHeight="1" spans="1:14">
      <c r="A9655" s="550" t="s">
        <v>14030</v>
      </c>
      <c r="B9655" s="334" t="s">
        <v>137</v>
      </c>
      <c r="C9655" s="348" t="s">
        <v>2705</v>
      </c>
      <c r="D9655" s="334" t="s">
        <v>427</v>
      </c>
      <c r="E9655" s="336">
        <v>43810</v>
      </c>
      <c r="F9655" s="336">
        <v>43808</v>
      </c>
      <c r="G9655" s="336">
        <v>43809</v>
      </c>
      <c r="H9655" s="334" t="s">
        <v>19664</v>
      </c>
      <c r="I9655" s="444">
        <v>18621868965</v>
      </c>
      <c r="J9655" s="438" t="s">
        <v>19702</v>
      </c>
      <c r="K9655" s="356">
        <v>2648</v>
      </c>
      <c r="L9655" s="334">
        <v>2648</v>
      </c>
      <c r="N9655" s="362">
        <f t="shared" si="334"/>
        <v>2648</v>
      </c>
    </row>
    <row r="9656" ht="15" customHeight="1" spans="1:14">
      <c r="A9656" s="550" t="s">
        <v>14334</v>
      </c>
      <c r="B9656" s="334" t="s">
        <v>137</v>
      </c>
      <c r="C9656" s="348" t="s">
        <v>138</v>
      </c>
      <c r="D9656" s="334" t="s">
        <v>139</v>
      </c>
      <c r="E9656" s="336">
        <v>43814</v>
      </c>
      <c r="F9656" s="336">
        <v>43810</v>
      </c>
      <c r="G9656" s="336">
        <v>43813</v>
      </c>
      <c r="H9656" s="334" t="s">
        <v>19703</v>
      </c>
      <c r="I9656" s="444">
        <v>13601818409</v>
      </c>
      <c r="J9656" s="438" t="s">
        <v>19704</v>
      </c>
      <c r="K9656" s="356">
        <v>10800</v>
      </c>
      <c r="L9656" s="334">
        <v>10800</v>
      </c>
      <c r="N9656" s="362">
        <f t="shared" si="334"/>
        <v>10800</v>
      </c>
    </row>
    <row r="9657" ht="15" customHeight="1" spans="1:14">
      <c r="A9657" s="550" t="s">
        <v>9716</v>
      </c>
      <c r="B9657" s="334" t="s">
        <v>153</v>
      </c>
      <c r="C9657" s="348" t="s">
        <v>302</v>
      </c>
      <c r="D9657" s="335" t="s">
        <v>19705</v>
      </c>
      <c r="E9657" s="336">
        <v>43818</v>
      </c>
      <c r="F9657" s="336">
        <v>43809</v>
      </c>
      <c r="G9657" s="336">
        <v>43818</v>
      </c>
      <c r="H9657" s="334" t="s">
        <v>19706</v>
      </c>
      <c r="I9657" s="444">
        <v>13918841466</v>
      </c>
      <c r="J9657" s="438" t="s">
        <v>19707</v>
      </c>
      <c r="K9657" s="356">
        <v>52600</v>
      </c>
      <c r="L9657" s="334">
        <v>52600</v>
      </c>
      <c r="N9657" s="362">
        <f t="shared" si="334"/>
        <v>52600</v>
      </c>
    </row>
    <row r="9658" ht="15" customHeight="1" spans="1:14">
      <c r="A9658" s="348"/>
      <c r="B9658" s="348" t="s">
        <v>5336</v>
      </c>
      <c r="C9658" s="348" t="s">
        <v>5336</v>
      </c>
      <c r="D9658" s="334" t="s">
        <v>8334</v>
      </c>
      <c r="E9658" s="336">
        <v>43810</v>
      </c>
      <c r="F9658" s="336">
        <v>43810</v>
      </c>
      <c r="G9658" s="336">
        <v>43810</v>
      </c>
      <c r="H9658" s="334" t="s">
        <v>19708</v>
      </c>
      <c r="I9658" s="444">
        <v>15000935578</v>
      </c>
      <c r="J9658" s="438" t="s">
        <v>19709</v>
      </c>
      <c r="K9658" s="356">
        <v>24404</v>
      </c>
      <c r="L9658" s="334">
        <v>24404</v>
      </c>
      <c r="N9658" s="362">
        <f t="shared" si="334"/>
        <v>24404</v>
      </c>
    </row>
    <row r="9659" ht="15" customHeight="1" spans="1:14">
      <c r="A9659" s="550" t="s">
        <v>19710</v>
      </c>
      <c r="B9659" s="334" t="s">
        <v>42</v>
      </c>
      <c r="C9659" s="348" t="s">
        <v>43</v>
      </c>
      <c r="D9659" s="334" t="s">
        <v>207</v>
      </c>
      <c r="E9659" s="336">
        <v>43810</v>
      </c>
      <c r="F9659" s="336">
        <v>43810</v>
      </c>
      <c r="G9659" s="399">
        <v>43810</v>
      </c>
      <c r="H9659" s="334" t="s">
        <v>19711</v>
      </c>
      <c r="I9659" s="444">
        <v>13611789599</v>
      </c>
      <c r="J9659" s="438" t="s">
        <v>19712</v>
      </c>
      <c r="K9659" s="356">
        <v>5362</v>
      </c>
      <c r="L9659" s="334">
        <v>5362</v>
      </c>
      <c r="N9659" s="362">
        <f t="shared" si="334"/>
        <v>5362</v>
      </c>
    </row>
    <row r="9660" ht="15" customHeight="1" spans="1:17">
      <c r="A9660" s="550" t="s">
        <v>14407</v>
      </c>
      <c r="B9660" s="334" t="s">
        <v>137</v>
      </c>
      <c r="C9660" s="334" t="s">
        <v>411</v>
      </c>
      <c r="D9660" s="335" t="s">
        <v>427</v>
      </c>
      <c r="E9660" s="336">
        <v>43810</v>
      </c>
      <c r="F9660" s="336">
        <v>43810</v>
      </c>
      <c r="G9660" s="399"/>
      <c r="H9660" s="334" t="s">
        <v>18067</v>
      </c>
      <c r="I9660" s="444">
        <v>17317394927</v>
      </c>
      <c r="J9660" s="438" t="s">
        <v>19713</v>
      </c>
      <c r="K9660" s="356">
        <v>6000</v>
      </c>
      <c r="N9660" s="362">
        <f t="shared" si="334"/>
        <v>0</v>
      </c>
      <c r="Q9660" s="353" t="s">
        <v>21</v>
      </c>
    </row>
    <row r="9661" ht="15" customHeight="1" spans="1:23">
      <c r="A9661" s="550" t="s">
        <v>19714</v>
      </c>
      <c r="B9661" s="334" t="s">
        <v>58</v>
      </c>
      <c r="C9661" s="348" t="s">
        <v>109</v>
      </c>
      <c r="D9661" s="335" t="s">
        <v>110</v>
      </c>
      <c r="E9661" s="336">
        <v>43837</v>
      </c>
      <c r="F9661" s="336">
        <v>43809</v>
      </c>
      <c r="G9661" s="336">
        <v>43834</v>
      </c>
      <c r="H9661" s="425" t="s">
        <v>19715</v>
      </c>
      <c r="I9661" s="444">
        <v>13816285167</v>
      </c>
      <c r="J9661" s="438" t="s">
        <v>19716</v>
      </c>
      <c r="K9661" s="356">
        <v>1000</v>
      </c>
      <c r="L9661" s="334">
        <v>22833</v>
      </c>
      <c r="N9661" s="362">
        <f t="shared" si="334"/>
        <v>22833</v>
      </c>
      <c r="P9661" s="467"/>
      <c r="W9661" s="471">
        <v>43829</v>
      </c>
    </row>
    <row r="9662" ht="15" customHeight="1" spans="1:14">
      <c r="A9662" s="550" t="s">
        <v>19717</v>
      </c>
      <c r="B9662" s="334" t="s">
        <v>315</v>
      </c>
      <c r="C9662" s="348" t="s">
        <v>722</v>
      </c>
      <c r="D9662" s="334" t="s">
        <v>162</v>
      </c>
      <c r="E9662" s="336">
        <v>43817</v>
      </c>
      <c r="G9662" s="336">
        <v>43817</v>
      </c>
      <c r="H9662" s="334" t="s">
        <v>19718</v>
      </c>
      <c r="I9662" s="444">
        <v>13681973598</v>
      </c>
      <c r="J9662" s="438" t="s">
        <v>19719</v>
      </c>
      <c r="K9662" s="356">
        <v>1000</v>
      </c>
      <c r="L9662" s="334">
        <v>18262</v>
      </c>
      <c r="N9662" s="362">
        <f t="shared" si="334"/>
        <v>18262</v>
      </c>
    </row>
    <row r="9663" ht="15" customHeight="1" spans="2:14">
      <c r="B9663" s="334" t="s">
        <v>137</v>
      </c>
      <c r="C9663" s="334" t="s">
        <v>138</v>
      </c>
      <c r="D9663" s="334" t="s">
        <v>427</v>
      </c>
      <c r="E9663" s="336">
        <v>43810</v>
      </c>
      <c r="G9663" s="336">
        <v>43809</v>
      </c>
      <c r="H9663" s="334" t="s">
        <v>19720</v>
      </c>
      <c r="I9663" s="444">
        <v>13671571576</v>
      </c>
      <c r="J9663" s="438" t="s">
        <v>19721</v>
      </c>
      <c r="L9663" s="334">
        <v>13467</v>
      </c>
      <c r="N9663" s="362">
        <f t="shared" ref="N9663:N9677" si="335">L9663+M9663</f>
        <v>13467</v>
      </c>
    </row>
    <row r="9664" ht="15" customHeight="1" spans="2:14">
      <c r="B9664" s="348" t="s">
        <v>66</v>
      </c>
      <c r="C9664" s="348" t="s">
        <v>951</v>
      </c>
      <c r="D9664" s="352" t="s">
        <v>143</v>
      </c>
      <c r="E9664" s="336">
        <v>43810</v>
      </c>
      <c r="G9664" s="336">
        <v>43809</v>
      </c>
      <c r="H9664" s="334" t="s">
        <v>7138</v>
      </c>
      <c r="I9664" s="334">
        <v>17621632053</v>
      </c>
      <c r="J9664" s="438" t="s">
        <v>19722</v>
      </c>
      <c r="M9664" s="334">
        <v>370</v>
      </c>
      <c r="N9664" s="362">
        <f t="shared" si="335"/>
        <v>370</v>
      </c>
    </row>
    <row r="9665" ht="15" customHeight="1" spans="2:14">
      <c r="B9665" s="334" t="s">
        <v>73</v>
      </c>
      <c r="C9665" s="334" t="s">
        <v>74</v>
      </c>
      <c r="D9665" s="334" t="s">
        <v>75</v>
      </c>
      <c r="E9665" s="336">
        <v>43810</v>
      </c>
      <c r="G9665" s="336">
        <v>43810</v>
      </c>
      <c r="H9665" s="334" t="s">
        <v>5204</v>
      </c>
      <c r="I9665" s="334">
        <v>15921080858</v>
      </c>
      <c r="J9665" s="334" t="s">
        <v>5205</v>
      </c>
      <c r="M9665" s="334">
        <v>1719</v>
      </c>
      <c r="N9665" s="362">
        <f t="shared" si="335"/>
        <v>1719</v>
      </c>
    </row>
    <row r="9666" ht="15" customHeight="1" spans="2:14">
      <c r="B9666" s="334" t="s">
        <v>31</v>
      </c>
      <c r="C9666" s="334" t="s">
        <v>220</v>
      </c>
      <c r="D9666" s="334" t="s">
        <v>954</v>
      </c>
      <c r="E9666" s="336">
        <v>43810</v>
      </c>
      <c r="G9666" s="336">
        <v>43792</v>
      </c>
      <c r="H9666" s="334" t="s">
        <v>16214</v>
      </c>
      <c r="I9666" s="444">
        <v>13560952557</v>
      </c>
      <c r="J9666" s="348" t="s">
        <v>18555</v>
      </c>
      <c r="M9666" s="334">
        <v>-650</v>
      </c>
      <c r="N9666" s="362">
        <f t="shared" si="335"/>
        <v>-650</v>
      </c>
    </row>
    <row r="9667" ht="15" customHeight="1" spans="2:14">
      <c r="B9667" s="334" t="s">
        <v>31</v>
      </c>
      <c r="C9667" s="334" t="s">
        <v>220</v>
      </c>
      <c r="D9667" s="334" t="s">
        <v>33</v>
      </c>
      <c r="E9667" s="336">
        <v>43810</v>
      </c>
      <c r="G9667" s="336">
        <v>43709</v>
      </c>
      <c r="H9667" s="334" t="s">
        <v>10100</v>
      </c>
      <c r="I9667" s="334">
        <v>1616590505</v>
      </c>
      <c r="J9667" s="334" t="s">
        <v>10686</v>
      </c>
      <c r="M9667" s="334">
        <v>-664</v>
      </c>
      <c r="N9667" s="362">
        <f t="shared" si="335"/>
        <v>-664</v>
      </c>
    </row>
    <row r="9668" ht="15" customHeight="1" spans="2:14">
      <c r="B9668" s="334" t="s">
        <v>726</v>
      </c>
      <c r="C9668" s="334" t="s">
        <v>727</v>
      </c>
      <c r="D9668" s="334" t="s">
        <v>271</v>
      </c>
      <c r="E9668" s="336">
        <v>43810</v>
      </c>
      <c r="G9668" s="336">
        <v>43810</v>
      </c>
      <c r="H9668" s="334" t="s">
        <v>12658</v>
      </c>
      <c r="I9668" s="444">
        <v>13817045876</v>
      </c>
      <c r="J9668" s="348" t="s">
        <v>12659</v>
      </c>
      <c r="M9668" s="334">
        <v>1447</v>
      </c>
      <c r="N9668" s="362">
        <f t="shared" si="335"/>
        <v>1447</v>
      </c>
    </row>
    <row r="9669" ht="15" customHeight="1" spans="2:14">
      <c r="B9669" s="334" t="s">
        <v>31</v>
      </c>
      <c r="C9669" s="334" t="s">
        <v>220</v>
      </c>
      <c r="D9669" s="334" t="s">
        <v>337</v>
      </c>
      <c r="E9669" s="336">
        <v>43810</v>
      </c>
      <c r="G9669" s="336">
        <v>43810</v>
      </c>
      <c r="H9669" s="334" t="s">
        <v>8541</v>
      </c>
      <c r="I9669" s="334">
        <v>13512130018</v>
      </c>
      <c r="J9669" s="334" t="s">
        <v>19723</v>
      </c>
      <c r="M9669" s="334">
        <v>1020</v>
      </c>
      <c r="N9669" s="362">
        <f t="shared" si="335"/>
        <v>1020</v>
      </c>
    </row>
    <row r="9670" ht="15" customHeight="1" spans="2:14">
      <c r="B9670" s="334" t="s">
        <v>31</v>
      </c>
      <c r="C9670" s="334" t="s">
        <v>220</v>
      </c>
      <c r="D9670" s="334" t="s">
        <v>221</v>
      </c>
      <c r="E9670" s="336">
        <v>43810</v>
      </c>
      <c r="G9670" s="336">
        <v>43810</v>
      </c>
      <c r="H9670" s="334" t="s">
        <v>12730</v>
      </c>
      <c r="I9670" s="444">
        <v>13004177905</v>
      </c>
      <c r="J9670" s="348" t="s">
        <v>12731</v>
      </c>
      <c r="M9670" s="334">
        <v>-200</v>
      </c>
      <c r="N9670" s="362">
        <f t="shared" si="335"/>
        <v>-200</v>
      </c>
    </row>
    <row r="9671" ht="15" customHeight="1" spans="2:14">
      <c r="B9671" s="334" t="s">
        <v>73</v>
      </c>
      <c r="C9671" s="334" t="s">
        <v>74</v>
      </c>
      <c r="D9671" s="334" t="s">
        <v>427</v>
      </c>
      <c r="E9671" s="336">
        <v>43810</v>
      </c>
      <c r="G9671" s="336">
        <v>43810</v>
      </c>
      <c r="H9671" s="334" t="s">
        <v>14747</v>
      </c>
      <c r="I9671" s="444">
        <v>18964177125</v>
      </c>
      <c r="J9671" s="348" t="s">
        <v>14748</v>
      </c>
      <c r="M9671" s="334">
        <v>-19418</v>
      </c>
      <c r="N9671" s="362">
        <f t="shared" si="335"/>
        <v>-19418</v>
      </c>
    </row>
    <row r="9672" ht="15" customHeight="1" spans="2:14">
      <c r="B9672" s="348" t="s">
        <v>153</v>
      </c>
      <c r="C9672" s="348" t="s">
        <v>302</v>
      </c>
      <c r="D9672" s="334" t="s">
        <v>155</v>
      </c>
      <c r="E9672" s="336">
        <v>43810</v>
      </c>
      <c r="G9672" s="336">
        <v>43662</v>
      </c>
      <c r="H9672" s="334" t="s">
        <v>6428</v>
      </c>
      <c r="I9672" s="356">
        <v>18621585577</v>
      </c>
      <c r="J9672" s="348" t="s">
        <v>19724</v>
      </c>
      <c r="M9672" s="334">
        <v>-1974</v>
      </c>
      <c r="N9672" s="362">
        <f t="shared" si="335"/>
        <v>-1974</v>
      </c>
    </row>
    <row r="9673" ht="15" customHeight="1" spans="2:14">
      <c r="B9673" s="334" t="s">
        <v>66</v>
      </c>
      <c r="C9673" s="334" t="s">
        <v>119</v>
      </c>
      <c r="D9673" s="334" t="s">
        <v>68</v>
      </c>
      <c r="E9673" s="336">
        <v>43810</v>
      </c>
      <c r="G9673" s="336">
        <v>43809</v>
      </c>
      <c r="H9673" s="334" t="s">
        <v>14398</v>
      </c>
      <c r="I9673" s="334">
        <v>18016385880</v>
      </c>
      <c r="J9673" s="348" t="s">
        <v>19096</v>
      </c>
      <c r="M9673" s="334">
        <v>1297</v>
      </c>
      <c r="N9673" s="362">
        <f t="shared" si="335"/>
        <v>1297</v>
      </c>
    </row>
    <row r="9674" ht="15" customHeight="1" spans="2:14">
      <c r="B9674" s="334" t="s">
        <v>137</v>
      </c>
      <c r="C9674" s="348" t="s">
        <v>480</v>
      </c>
      <c r="D9674" s="334" t="s">
        <v>443</v>
      </c>
      <c r="E9674" s="336">
        <v>43810</v>
      </c>
      <c r="G9674" s="336">
        <v>43810</v>
      </c>
      <c r="H9674" s="334" t="s">
        <v>17583</v>
      </c>
      <c r="I9674" s="444">
        <v>15026965636</v>
      </c>
      <c r="J9674" s="348" t="s">
        <v>17584</v>
      </c>
      <c r="M9674" s="334">
        <v>5424</v>
      </c>
      <c r="N9674" s="362">
        <f t="shared" si="335"/>
        <v>5424</v>
      </c>
    </row>
    <row r="9675" ht="15" customHeight="1" spans="2:14">
      <c r="B9675" s="334" t="s">
        <v>137</v>
      </c>
      <c r="C9675" s="334" t="s">
        <v>411</v>
      </c>
      <c r="D9675" s="334" t="s">
        <v>443</v>
      </c>
      <c r="E9675" s="336">
        <v>43810</v>
      </c>
      <c r="G9675" s="336">
        <v>43810</v>
      </c>
      <c r="H9675" s="334" t="s">
        <v>10136</v>
      </c>
      <c r="I9675" s="334">
        <v>15601816025</v>
      </c>
      <c r="J9675" s="334" t="s">
        <v>19725</v>
      </c>
      <c r="M9675" s="334">
        <v>998</v>
      </c>
      <c r="N9675" s="362">
        <f t="shared" si="335"/>
        <v>998</v>
      </c>
    </row>
    <row r="9676" ht="15" customHeight="1" spans="2:14">
      <c r="B9676" s="334" t="s">
        <v>31</v>
      </c>
      <c r="C9676" s="334" t="s">
        <v>377</v>
      </c>
      <c r="D9676" s="334" t="s">
        <v>221</v>
      </c>
      <c r="E9676" s="336">
        <v>43810</v>
      </c>
      <c r="G9676" s="336">
        <v>43810</v>
      </c>
      <c r="H9676" s="334" t="s">
        <v>17255</v>
      </c>
      <c r="I9676" s="444">
        <v>18217252915</v>
      </c>
      <c r="J9676" s="348" t="s">
        <v>17256</v>
      </c>
      <c r="M9676" s="334">
        <v>1200</v>
      </c>
      <c r="N9676" s="362">
        <f t="shared" si="335"/>
        <v>1200</v>
      </c>
    </row>
    <row r="9677" ht="15" customHeight="1" spans="2:14">
      <c r="B9677" s="334" t="s">
        <v>31</v>
      </c>
      <c r="C9677" s="334" t="s">
        <v>2716</v>
      </c>
      <c r="D9677" s="334" t="s">
        <v>33</v>
      </c>
      <c r="E9677" s="336">
        <v>43810</v>
      </c>
      <c r="G9677" s="336">
        <v>43799</v>
      </c>
      <c r="H9677" s="334" t="s">
        <v>14175</v>
      </c>
      <c r="I9677" s="444">
        <v>13013722911</v>
      </c>
      <c r="J9677" s="438" t="s">
        <v>14176</v>
      </c>
      <c r="M9677" s="334">
        <v>200</v>
      </c>
      <c r="N9677" s="362">
        <f t="shared" si="335"/>
        <v>200</v>
      </c>
    </row>
    <row r="9678" ht="15" customHeight="1" spans="1:14">
      <c r="A9678" s="550" t="s">
        <v>19726</v>
      </c>
      <c r="B9678" s="334" t="s">
        <v>137</v>
      </c>
      <c r="C9678" s="348" t="s">
        <v>2705</v>
      </c>
      <c r="D9678" s="334" t="s">
        <v>139</v>
      </c>
      <c r="E9678" s="336">
        <v>43812</v>
      </c>
      <c r="F9678" s="336">
        <v>43809</v>
      </c>
      <c r="G9678" s="336">
        <v>43809</v>
      </c>
      <c r="H9678" s="334" t="s">
        <v>19727</v>
      </c>
      <c r="I9678" s="444">
        <v>18221078865</v>
      </c>
      <c r="J9678" s="438" t="s">
        <v>19728</v>
      </c>
      <c r="K9678" s="356">
        <v>20729</v>
      </c>
      <c r="L9678" s="334">
        <v>20729</v>
      </c>
      <c r="N9678" s="362">
        <f t="shared" ref="N9678:N9713" si="336">L9678+M9678</f>
        <v>20729</v>
      </c>
    </row>
    <row r="9679" ht="15" customHeight="1" spans="1:17">
      <c r="A9679" s="550" t="s">
        <v>16557</v>
      </c>
      <c r="B9679" s="334" t="s">
        <v>58</v>
      </c>
      <c r="C9679" s="348" t="s">
        <v>59</v>
      </c>
      <c r="D9679" s="334" t="s">
        <v>110</v>
      </c>
      <c r="E9679" s="336">
        <v>43828</v>
      </c>
      <c r="F9679" s="336">
        <v>43810</v>
      </c>
      <c r="G9679" s="336">
        <v>43828</v>
      </c>
      <c r="H9679" s="334" t="s">
        <v>19729</v>
      </c>
      <c r="I9679" s="444">
        <v>13585622487</v>
      </c>
      <c r="J9679" s="438" t="s">
        <v>19730</v>
      </c>
      <c r="K9679" s="356">
        <v>10000</v>
      </c>
      <c r="L9679" s="334">
        <v>9524</v>
      </c>
      <c r="N9679" s="362">
        <f t="shared" si="336"/>
        <v>9524</v>
      </c>
      <c r="Q9679" s="467" t="s">
        <v>52</v>
      </c>
    </row>
    <row r="9680" ht="15" customHeight="1" spans="1:14">
      <c r="A9680" s="348"/>
      <c r="B9680" s="348" t="s">
        <v>5336</v>
      </c>
      <c r="C9680" s="348" t="s">
        <v>5336</v>
      </c>
      <c r="D9680" s="334" t="s">
        <v>8334</v>
      </c>
      <c r="E9680" s="336">
        <v>43811</v>
      </c>
      <c r="F9680" s="336">
        <v>43811</v>
      </c>
      <c r="G9680" s="399">
        <v>43811</v>
      </c>
      <c r="H9680" s="334" t="s">
        <v>19731</v>
      </c>
      <c r="I9680" s="444">
        <v>13701680221</v>
      </c>
      <c r="J9680" s="438" t="s">
        <v>19732</v>
      </c>
      <c r="K9680" s="356">
        <v>14550</v>
      </c>
      <c r="L9680" s="334">
        <v>14550</v>
      </c>
      <c r="N9680" s="362">
        <f t="shared" si="336"/>
        <v>14550</v>
      </c>
    </row>
    <row r="9681" ht="15" customHeight="1" spans="1:20">
      <c r="A9681" s="550" t="s">
        <v>19733</v>
      </c>
      <c r="B9681" s="334" t="s">
        <v>315</v>
      </c>
      <c r="C9681" s="348" t="s">
        <v>181</v>
      </c>
      <c r="D9681" s="334" t="s">
        <v>1431</v>
      </c>
      <c r="E9681" s="336">
        <v>43827</v>
      </c>
      <c r="F9681" s="336">
        <v>43810</v>
      </c>
      <c r="G9681" s="336">
        <v>43827</v>
      </c>
      <c r="H9681" s="334" t="s">
        <v>19734</v>
      </c>
      <c r="I9681" s="444">
        <v>17316562720</v>
      </c>
      <c r="J9681" s="438" t="s">
        <v>19735</v>
      </c>
      <c r="K9681" s="356">
        <v>1000</v>
      </c>
      <c r="L9681" s="334">
        <v>23633</v>
      </c>
      <c r="N9681" s="362">
        <f t="shared" si="336"/>
        <v>23633</v>
      </c>
      <c r="T9681" s="330">
        <v>1</v>
      </c>
    </row>
    <row r="9682" ht="15" customHeight="1" spans="1:21">
      <c r="A9682" s="550" t="s">
        <v>7191</v>
      </c>
      <c r="B9682" s="334" t="s">
        <v>87</v>
      </c>
      <c r="C9682" s="348" t="s">
        <v>199</v>
      </c>
      <c r="D9682" s="335" t="s">
        <v>89</v>
      </c>
      <c r="E9682" s="336">
        <v>43826</v>
      </c>
      <c r="F9682" s="336">
        <v>43811</v>
      </c>
      <c r="G9682" s="336">
        <v>43826</v>
      </c>
      <c r="H9682" s="334" t="s">
        <v>19736</v>
      </c>
      <c r="I9682" s="444">
        <v>13621637321</v>
      </c>
      <c r="J9682" s="438" t="s">
        <v>19737</v>
      </c>
      <c r="K9682" s="356">
        <v>22062</v>
      </c>
      <c r="L9682" s="334">
        <v>32235</v>
      </c>
      <c r="N9682" s="362">
        <f t="shared" si="336"/>
        <v>32235</v>
      </c>
      <c r="U9682" s="353" t="s">
        <v>98</v>
      </c>
    </row>
    <row r="9683" ht="15" customHeight="1" spans="1:14">
      <c r="A9683" s="550" t="s">
        <v>10138</v>
      </c>
      <c r="B9683" s="334" t="s">
        <v>94</v>
      </c>
      <c r="C9683" s="348" t="s">
        <v>3196</v>
      </c>
      <c r="D9683" s="335" t="s">
        <v>49</v>
      </c>
      <c r="E9683" s="336">
        <v>43820</v>
      </c>
      <c r="F9683" s="336">
        <v>43810</v>
      </c>
      <c r="G9683" s="336">
        <v>43820</v>
      </c>
      <c r="H9683" s="334" t="s">
        <v>19738</v>
      </c>
      <c r="I9683" s="444">
        <v>13818624418</v>
      </c>
      <c r="J9683" s="438" t="s">
        <v>19739</v>
      </c>
      <c r="K9683" s="356">
        <v>5000</v>
      </c>
      <c r="L9683" s="334">
        <v>10145</v>
      </c>
      <c r="N9683" s="362">
        <f t="shared" si="336"/>
        <v>10145</v>
      </c>
    </row>
    <row r="9684" ht="15" customHeight="1" spans="1:14">
      <c r="A9684" s="550" t="s">
        <v>19740</v>
      </c>
      <c r="B9684" s="334" t="s">
        <v>31</v>
      </c>
      <c r="C9684" s="348" t="s">
        <v>3186</v>
      </c>
      <c r="D9684" s="334" t="s">
        <v>954</v>
      </c>
      <c r="E9684" s="336">
        <v>43815</v>
      </c>
      <c r="F9684" s="336">
        <v>43811</v>
      </c>
      <c r="G9684" s="336">
        <v>43813</v>
      </c>
      <c r="H9684" s="334" t="s">
        <v>3201</v>
      </c>
      <c r="I9684" s="444">
        <v>13774248051</v>
      </c>
      <c r="J9684" s="438" t="s">
        <v>19741</v>
      </c>
      <c r="K9684" s="356">
        <v>5375</v>
      </c>
      <c r="L9684" s="334">
        <v>5454</v>
      </c>
      <c r="N9684" s="362">
        <f t="shared" si="336"/>
        <v>5454</v>
      </c>
    </row>
    <row r="9685" ht="15" customHeight="1" spans="1:16">
      <c r="A9685" s="550" t="s">
        <v>8717</v>
      </c>
      <c r="B9685" s="336" t="s">
        <v>66</v>
      </c>
      <c r="C9685" s="348" t="s">
        <v>7029</v>
      </c>
      <c r="D9685" s="335" t="s">
        <v>68</v>
      </c>
      <c r="E9685" s="336">
        <v>43811</v>
      </c>
      <c r="F9685" s="336">
        <v>43811</v>
      </c>
      <c r="G9685" s="399"/>
      <c r="H9685" s="334" t="s">
        <v>19742</v>
      </c>
      <c r="I9685" s="444">
        <v>17717821693</v>
      </c>
      <c r="J9685" s="438" t="s">
        <v>19743</v>
      </c>
      <c r="K9685" s="356">
        <v>3080</v>
      </c>
      <c r="N9685" s="362">
        <f t="shared" si="336"/>
        <v>0</v>
      </c>
      <c r="P9685" s="467" t="s">
        <v>52</v>
      </c>
    </row>
    <row r="9686" ht="15" customHeight="1" spans="1:14">
      <c r="A9686" s="550" t="s">
        <v>3131</v>
      </c>
      <c r="B9686" s="334" t="s">
        <v>335</v>
      </c>
      <c r="C9686" s="348" t="s">
        <v>148</v>
      </c>
      <c r="D9686" s="334" t="s">
        <v>337</v>
      </c>
      <c r="E9686" s="336">
        <v>43811</v>
      </c>
      <c r="F9686" s="336">
        <v>43809</v>
      </c>
      <c r="G9686" s="399">
        <v>43809</v>
      </c>
      <c r="H9686" s="334" t="s">
        <v>19744</v>
      </c>
      <c r="I9686" s="444">
        <v>19892699921</v>
      </c>
      <c r="J9686" s="438" t="s">
        <v>19745</v>
      </c>
      <c r="K9686" s="356">
        <v>19500</v>
      </c>
      <c r="L9686" s="334">
        <v>19500</v>
      </c>
      <c r="N9686" s="362">
        <f t="shared" si="336"/>
        <v>19500</v>
      </c>
    </row>
    <row r="9687" ht="15" customHeight="1" spans="1:14">
      <c r="A9687" s="550" t="s">
        <v>19430</v>
      </c>
      <c r="B9687" s="334" t="s">
        <v>31</v>
      </c>
      <c r="C9687" s="348" t="s">
        <v>13171</v>
      </c>
      <c r="D9687" s="334" t="s">
        <v>954</v>
      </c>
      <c r="E9687" s="336">
        <v>43812</v>
      </c>
      <c r="F9687" s="336">
        <v>43811</v>
      </c>
      <c r="G9687" s="336">
        <v>43812</v>
      </c>
      <c r="H9687" s="334" t="s">
        <v>19746</v>
      </c>
      <c r="I9687" s="444">
        <v>13482287447</v>
      </c>
      <c r="J9687" s="438" t="s">
        <v>19747</v>
      </c>
      <c r="K9687" s="356">
        <v>1629</v>
      </c>
      <c r="L9687" s="334">
        <v>1629</v>
      </c>
      <c r="N9687" s="362">
        <f t="shared" si="336"/>
        <v>1629</v>
      </c>
    </row>
    <row r="9688" ht="15" customHeight="1" spans="1:18">
      <c r="A9688" s="550" t="s">
        <v>8804</v>
      </c>
      <c r="B9688" s="334" t="s">
        <v>153</v>
      </c>
      <c r="C9688" s="348" t="s">
        <v>302</v>
      </c>
      <c r="D9688" s="335" t="s">
        <v>155</v>
      </c>
      <c r="E9688" s="336">
        <v>43811</v>
      </c>
      <c r="F9688" s="336">
        <v>43811</v>
      </c>
      <c r="G9688" s="399"/>
      <c r="H9688" s="334" t="s">
        <v>19748</v>
      </c>
      <c r="I9688" s="444">
        <v>13801992358</v>
      </c>
      <c r="J9688" s="438" t="s">
        <v>19749</v>
      </c>
      <c r="K9688" s="356">
        <v>3297</v>
      </c>
      <c r="N9688" s="362">
        <f t="shared" si="336"/>
        <v>0</v>
      </c>
      <c r="Q9688" s="467"/>
      <c r="R9688" s="467" t="s">
        <v>52</v>
      </c>
    </row>
    <row r="9689" ht="15" customHeight="1" spans="1:14">
      <c r="A9689" s="348">
        <v>2001916</v>
      </c>
      <c r="B9689" s="334" t="s">
        <v>147</v>
      </c>
      <c r="C9689" s="348" t="s">
        <v>13719</v>
      </c>
      <c r="D9689" s="335" t="s">
        <v>149</v>
      </c>
      <c r="E9689" s="336">
        <v>43811</v>
      </c>
      <c r="F9689" s="336">
        <v>43810</v>
      </c>
      <c r="G9689" s="399"/>
      <c r="H9689" s="334" t="s">
        <v>19750</v>
      </c>
      <c r="I9689" s="444">
        <v>13817173882</v>
      </c>
      <c r="J9689" s="438" t="s">
        <v>19751</v>
      </c>
      <c r="K9689" s="356">
        <v>1000</v>
      </c>
      <c r="N9689" s="362">
        <f t="shared" si="336"/>
        <v>0</v>
      </c>
    </row>
    <row r="9690" ht="15" customHeight="1" spans="1:14">
      <c r="A9690" s="550" t="s">
        <v>8098</v>
      </c>
      <c r="B9690" s="334" t="s">
        <v>354</v>
      </c>
      <c r="C9690" s="348" t="s">
        <v>355</v>
      </c>
      <c r="D9690" s="334" t="s">
        <v>237</v>
      </c>
      <c r="E9690" s="336">
        <v>43827</v>
      </c>
      <c r="F9690" s="336">
        <v>43811</v>
      </c>
      <c r="G9690" s="336">
        <v>43827</v>
      </c>
      <c r="H9690" s="334" t="s">
        <v>19752</v>
      </c>
      <c r="I9690" s="444">
        <v>15000228447</v>
      </c>
      <c r="J9690" s="438" t="s">
        <v>19753</v>
      </c>
      <c r="K9690" s="356">
        <v>3317</v>
      </c>
      <c r="L9690" s="334">
        <v>3317</v>
      </c>
      <c r="N9690" s="362">
        <f t="shared" si="336"/>
        <v>3317</v>
      </c>
    </row>
    <row r="9691" ht="15" customHeight="1" spans="1:16">
      <c r="A9691" s="550" t="s">
        <v>19754</v>
      </c>
      <c r="B9691" s="334" t="s">
        <v>58</v>
      </c>
      <c r="C9691" s="348" t="s">
        <v>342</v>
      </c>
      <c r="D9691" s="334" t="s">
        <v>343</v>
      </c>
      <c r="E9691" s="336">
        <v>43828</v>
      </c>
      <c r="F9691" s="336">
        <v>43811</v>
      </c>
      <c r="G9691" s="336">
        <v>43827</v>
      </c>
      <c r="H9691" s="334" t="s">
        <v>11726</v>
      </c>
      <c r="I9691" s="444">
        <v>13601867443</v>
      </c>
      <c r="J9691" s="438" t="s">
        <v>19755</v>
      </c>
      <c r="K9691" s="356">
        <v>6704</v>
      </c>
      <c r="L9691" s="334">
        <v>4258</v>
      </c>
      <c r="N9691" s="362">
        <f t="shared" si="336"/>
        <v>4258</v>
      </c>
      <c r="P9691" s="467" t="s">
        <v>52</v>
      </c>
    </row>
    <row r="9692" ht="15" customHeight="1" spans="1:17">
      <c r="A9692" s="550" t="s">
        <v>16548</v>
      </c>
      <c r="B9692" s="334" t="s">
        <v>58</v>
      </c>
      <c r="C9692" s="348" t="s">
        <v>342</v>
      </c>
      <c r="D9692" s="334" t="s">
        <v>343</v>
      </c>
      <c r="E9692" s="336">
        <v>43832</v>
      </c>
      <c r="F9692" s="336">
        <v>43811</v>
      </c>
      <c r="G9692" s="336">
        <v>43818</v>
      </c>
      <c r="H9692" s="425" t="s">
        <v>19756</v>
      </c>
      <c r="I9692" s="444">
        <v>18021029619</v>
      </c>
      <c r="J9692" s="438" t="s">
        <v>19757</v>
      </c>
      <c r="K9692" s="356">
        <v>99</v>
      </c>
      <c r="L9692" s="334">
        <v>4119</v>
      </c>
      <c r="N9692" s="362">
        <f t="shared" si="336"/>
        <v>4119</v>
      </c>
      <c r="Q9692" s="467" t="s">
        <v>52</v>
      </c>
    </row>
    <row r="9693" ht="15" customHeight="1" spans="1:14">
      <c r="A9693" s="550" t="s">
        <v>1769</v>
      </c>
      <c r="B9693" s="334" t="s">
        <v>66</v>
      </c>
      <c r="C9693" s="348" t="s">
        <v>505</v>
      </c>
      <c r="D9693" s="335" t="s">
        <v>68</v>
      </c>
      <c r="E9693" s="336">
        <v>43811</v>
      </c>
      <c r="F9693" s="336">
        <v>43811</v>
      </c>
      <c r="G9693" s="399"/>
      <c r="H9693" s="334" t="s">
        <v>19758</v>
      </c>
      <c r="I9693" s="444">
        <v>18614063774</v>
      </c>
      <c r="J9693" s="438" t="s">
        <v>19759</v>
      </c>
      <c r="K9693" s="356">
        <v>1998</v>
      </c>
      <c r="N9693" s="362">
        <f t="shared" si="336"/>
        <v>0</v>
      </c>
    </row>
    <row r="9694" ht="15" customHeight="1" spans="1:18">
      <c r="A9694" s="550" t="s">
        <v>19760</v>
      </c>
      <c r="B9694" s="334" t="s">
        <v>405</v>
      </c>
      <c r="C9694" s="348" t="s">
        <v>1234</v>
      </c>
      <c r="D9694" s="335" t="s">
        <v>407</v>
      </c>
      <c r="E9694" s="336">
        <v>43811</v>
      </c>
      <c r="F9694" s="336">
        <v>43811</v>
      </c>
      <c r="G9694" s="399"/>
      <c r="H9694" s="334" t="s">
        <v>19761</v>
      </c>
      <c r="I9694" s="444">
        <v>13564180396</v>
      </c>
      <c r="J9694" s="438" t="s">
        <v>19762</v>
      </c>
      <c r="K9694" s="356">
        <v>1000</v>
      </c>
      <c r="N9694" s="362">
        <f t="shared" si="336"/>
        <v>0</v>
      </c>
      <c r="R9694" s="502" t="s">
        <v>52</v>
      </c>
    </row>
    <row r="9695" ht="15" customHeight="1" spans="1:14">
      <c r="A9695" s="550" t="s">
        <v>5994</v>
      </c>
      <c r="B9695" s="334" t="s">
        <v>153</v>
      </c>
      <c r="C9695" s="348" t="s">
        <v>302</v>
      </c>
      <c r="D9695" s="334" t="s">
        <v>155</v>
      </c>
      <c r="E9695" s="336">
        <v>43814</v>
      </c>
      <c r="F9695" s="336">
        <v>43811</v>
      </c>
      <c r="G9695" s="336">
        <v>43813</v>
      </c>
      <c r="H9695" s="334" t="s">
        <v>19763</v>
      </c>
      <c r="I9695" s="444">
        <v>13611828792</v>
      </c>
      <c r="J9695" s="438" t="s">
        <v>19764</v>
      </c>
      <c r="K9695" s="356">
        <v>1998</v>
      </c>
      <c r="L9695" s="334">
        <v>5739</v>
      </c>
      <c r="N9695" s="362">
        <f t="shared" si="336"/>
        <v>5739</v>
      </c>
    </row>
    <row r="9696" ht="15" customHeight="1" spans="1:16">
      <c r="A9696" s="550" t="s">
        <v>9109</v>
      </c>
      <c r="B9696" s="334" t="s">
        <v>73</v>
      </c>
      <c r="C9696" s="348" t="s">
        <v>178</v>
      </c>
      <c r="D9696" s="335" t="s">
        <v>75</v>
      </c>
      <c r="E9696" s="336">
        <v>43811</v>
      </c>
      <c r="F9696" s="336">
        <v>43811</v>
      </c>
      <c r="G9696" s="399"/>
      <c r="H9696" s="334" t="s">
        <v>19765</v>
      </c>
      <c r="I9696" s="444">
        <v>18964513185</v>
      </c>
      <c r="J9696" s="438" t="s">
        <v>19766</v>
      </c>
      <c r="K9696" s="356">
        <v>1000</v>
      </c>
      <c r="N9696" s="362">
        <f t="shared" si="336"/>
        <v>0</v>
      </c>
      <c r="O9696" s="366" t="s">
        <v>52</v>
      </c>
      <c r="P9696" s="331"/>
    </row>
    <row r="9697" ht="15" customHeight="1" spans="1:14">
      <c r="A9697" s="550" t="s">
        <v>9599</v>
      </c>
      <c r="B9697" s="334" t="s">
        <v>354</v>
      </c>
      <c r="C9697" s="348" t="s">
        <v>355</v>
      </c>
      <c r="D9697" s="334" t="s">
        <v>237</v>
      </c>
      <c r="E9697" s="336">
        <v>43830</v>
      </c>
      <c r="F9697" s="336">
        <v>43805</v>
      </c>
      <c r="G9697" s="336">
        <v>43830</v>
      </c>
      <c r="H9697" s="334" t="s">
        <v>19767</v>
      </c>
      <c r="I9697" s="444">
        <v>18121250598</v>
      </c>
      <c r="J9697" s="438" t="s">
        <v>19768</v>
      </c>
      <c r="K9697" s="356">
        <v>4386</v>
      </c>
      <c r="L9697" s="334">
        <v>4651</v>
      </c>
      <c r="N9697" s="362">
        <f t="shared" si="336"/>
        <v>4651</v>
      </c>
    </row>
    <row r="9698" ht="15" customHeight="1" spans="1:16">
      <c r="A9698" s="550" t="s">
        <v>19769</v>
      </c>
      <c r="B9698" s="334" t="s">
        <v>31</v>
      </c>
      <c r="C9698" s="348" t="s">
        <v>220</v>
      </c>
      <c r="D9698" s="335" t="s">
        <v>221</v>
      </c>
      <c r="E9698" s="336">
        <v>43811</v>
      </c>
      <c r="F9698" s="336">
        <v>43811</v>
      </c>
      <c r="G9698" s="399"/>
      <c r="H9698" s="334" t="s">
        <v>19770</v>
      </c>
      <c r="I9698" s="444">
        <v>13611731107</v>
      </c>
      <c r="J9698" s="438" t="s">
        <v>19771</v>
      </c>
      <c r="K9698" s="356">
        <v>999</v>
      </c>
      <c r="N9698" s="362">
        <f t="shared" si="336"/>
        <v>0</v>
      </c>
      <c r="P9698" s="366" t="s">
        <v>52</v>
      </c>
    </row>
    <row r="9699" ht="15" customHeight="1" spans="1:14">
      <c r="A9699" s="550" t="s">
        <v>19772</v>
      </c>
      <c r="B9699" s="334" t="s">
        <v>66</v>
      </c>
      <c r="C9699" s="348" t="s">
        <v>1749</v>
      </c>
      <c r="D9699" s="334" t="s">
        <v>2302</v>
      </c>
      <c r="E9699" s="336">
        <v>43811</v>
      </c>
      <c r="F9699" s="336">
        <v>43811</v>
      </c>
      <c r="G9699" s="399">
        <v>43811</v>
      </c>
      <c r="H9699" s="334" t="s">
        <v>19773</v>
      </c>
      <c r="I9699" s="444">
        <v>13796626805</v>
      </c>
      <c r="J9699" s="438" t="s">
        <v>19774</v>
      </c>
      <c r="K9699" s="356">
        <v>26000</v>
      </c>
      <c r="L9699" s="334">
        <v>26000</v>
      </c>
      <c r="N9699" s="362">
        <f t="shared" si="336"/>
        <v>26000</v>
      </c>
    </row>
    <row r="9700" ht="15" customHeight="1" spans="1:14">
      <c r="A9700" s="550" t="s">
        <v>19775</v>
      </c>
      <c r="B9700" s="334" t="s">
        <v>315</v>
      </c>
      <c r="C9700" s="348" t="s">
        <v>161</v>
      </c>
      <c r="D9700" s="335" t="s">
        <v>162</v>
      </c>
      <c r="E9700" s="336">
        <v>43811</v>
      </c>
      <c r="F9700" s="336">
        <v>43811</v>
      </c>
      <c r="G9700" s="399" t="s">
        <v>69</v>
      </c>
      <c r="H9700" s="334" t="s">
        <v>19776</v>
      </c>
      <c r="I9700" s="444">
        <v>18602185581</v>
      </c>
      <c r="J9700" s="438" t="s">
        <v>19777</v>
      </c>
      <c r="K9700" s="356">
        <v>16764</v>
      </c>
      <c r="N9700" s="362">
        <f t="shared" si="336"/>
        <v>0</v>
      </c>
    </row>
    <row r="9701" ht="15" customHeight="1" spans="1:15">
      <c r="A9701" s="550" t="s">
        <v>19760</v>
      </c>
      <c r="B9701" s="334" t="s">
        <v>315</v>
      </c>
      <c r="C9701" s="348" t="s">
        <v>161</v>
      </c>
      <c r="D9701" s="335" t="s">
        <v>162</v>
      </c>
      <c r="E9701" s="336">
        <v>43811</v>
      </c>
      <c r="F9701" s="336">
        <v>43811</v>
      </c>
      <c r="G9701" s="399"/>
      <c r="H9701" s="334" t="s">
        <v>19778</v>
      </c>
      <c r="I9701" s="444">
        <v>18049941572</v>
      </c>
      <c r="J9701" s="438" t="s">
        <v>19779</v>
      </c>
      <c r="K9701" s="356">
        <v>1998</v>
      </c>
      <c r="N9701" s="362">
        <f t="shared" si="336"/>
        <v>0</v>
      </c>
      <c r="O9701" s="330">
        <v>1</v>
      </c>
    </row>
    <row r="9702" ht="15" customHeight="1" spans="1:14">
      <c r="A9702" s="550" t="s">
        <v>19780</v>
      </c>
      <c r="B9702" s="334" t="s">
        <v>315</v>
      </c>
      <c r="C9702" s="348" t="s">
        <v>161</v>
      </c>
      <c r="D9702" s="335" t="s">
        <v>162</v>
      </c>
      <c r="E9702" s="336">
        <v>43822</v>
      </c>
      <c r="F9702" s="336">
        <v>43818</v>
      </c>
      <c r="G9702" s="336">
        <v>43821</v>
      </c>
      <c r="H9702" s="334" t="s">
        <v>19781</v>
      </c>
      <c r="I9702" s="444">
        <v>18917700719</v>
      </c>
      <c r="J9702" s="438" t="s">
        <v>19782</v>
      </c>
      <c r="K9702" s="356">
        <v>16000</v>
      </c>
      <c r="L9702" s="334">
        <v>16000</v>
      </c>
      <c r="N9702" s="362">
        <f t="shared" si="336"/>
        <v>16000</v>
      </c>
    </row>
    <row r="9703" ht="15" customHeight="1" spans="1:14">
      <c r="A9703" s="550" t="s">
        <v>4499</v>
      </c>
      <c r="B9703" s="334" t="s">
        <v>5435</v>
      </c>
      <c r="C9703" s="348" t="s">
        <v>1728</v>
      </c>
      <c r="D9703" s="334" t="s">
        <v>149</v>
      </c>
      <c r="E9703" s="336">
        <v>43816</v>
      </c>
      <c r="F9703" s="336">
        <v>43811</v>
      </c>
      <c r="G9703" s="336">
        <v>43815</v>
      </c>
      <c r="H9703" s="334" t="s">
        <v>19783</v>
      </c>
      <c r="I9703" s="444">
        <v>13918947071</v>
      </c>
      <c r="J9703" s="438" t="s">
        <v>19784</v>
      </c>
      <c r="K9703" s="356">
        <v>6439</v>
      </c>
      <c r="L9703" s="334">
        <v>5420</v>
      </c>
      <c r="N9703" s="362">
        <f t="shared" si="336"/>
        <v>5420</v>
      </c>
    </row>
    <row r="9704" ht="15" customHeight="1" spans="1:15">
      <c r="A9704" s="550" t="s">
        <v>19377</v>
      </c>
      <c r="B9704" s="334" t="s">
        <v>315</v>
      </c>
      <c r="C9704" s="348" t="s">
        <v>275</v>
      </c>
      <c r="D9704" s="335" t="s">
        <v>162</v>
      </c>
      <c r="E9704" s="336">
        <v>43811</v>
      </c>
      <c r="F9704" s="336">
        <v>43777</v>
      </c>
      <c r="G9704" s="399"/>
      <c r="H9704" s="334" t="s">
        <v>19785</v>
      </c>
      <c r="I9704" s="444">
        <v>13524298160</v>
      </c>
      <c r="J9704" s="438" t="s">
        <v>19786</v>
      </c>
      <c r="K9704" s="356">
        <v>1000</v>
      </c>
      <c r="N9704" s="362">
        <f t="shared" si="336"/>
        <v>0</v>
      </c>
      <c r="O9704" s="330">
        <v>1</v>
      </c>
    </row>
    <row r="9705" ht="15" customHeight="1" spans="1:15">
      <c r="A9705" s="550" t="s">
        <v>18581</v>
      </c>
      <c r="B9705" s="334" t="s">
        <v>315</v>
      </c>
      <c r="C9705" s="348" t="s">
        <v>275</v>
      </c>
      <c r="D9705" s="335" t="s">
        <v>162</v>
      </c>
      <c r="E9705" s="336">
        <v>43811</v>
      </c>
      <c r="F9705" s="336">
        <v>43807</v>
      </c>
      <c r="G9705" s="399"/>
      <c r="H9705" s="334" t="s">
        <v>19787</v>
      </c>
      <c r="I9705" s="444">
        <v>18961827589</v>
      </c>
      <c r="J9705" s="438" t="s">
        <v>19788</v>
      </c>
      <c r="K9705" s="356">
        <v>1000</v>
      </c>
      <c r="N9705" s="362">
        <f t="shared" si="336"/>
        <v>0</v>
      </c>
      <c r="O9705" s="330">
        <v>1</v>
      </c>
    </row>
    <row r="9706" ht="15" customHeight="1" spans="1:15">
      <c r="A9706" s="550" t="s">
        <v>14634</v>
      </c>
      <c r="B9706" s="334" t="s">
        <v>137</v>
      </c>
      <c r="C9706" s="348" t="s">
        <v>138</v>
      </c>
      <c r="D9706" s="334" t="s">
        <v>443</v>
      </c>
      <c r="E9706" s="336">
        <v>43830</v>
      </c>
      <c r="F9706" s="336">
        <v>43811</v>
      </c>
      <c r="G9706" s="336">
        <v>43829</v>
      </c>
      <c r="H9706" s="334" t="s">
        <v>19789</v>
      </c>
      <c r="I9706" s="444">
        <v>13761290427</v>
      </c>
      <c r="J9706" s="438" t="s">
        <v>19790</v>
      </c>
      <c r="K9706" s="356">
        <f>22098-2100</f>
        <v>19998</v>
      </c>
      <c r="L9706" s="334">
        <v>19998</v>
      </c>
      <c r="N9706" s="362">
        <f t="shared" si="336"/>
        <v>19998</v>
      </c>
      <c r="O9706" s="353" t="s">
        <v>1118</v>
      </c>
    </row>
    <row r="9707" ht="15" customHeight="1" spans="1:14">
      <c r="A9707" s="550" t="s">
        <v>14641</v>
      </c>
      <c r="B9707" s="334" t="s">
        <v>137</v>
      </c>
      <c r="C9707" s="348" t="s">
        <v>138</v>
      </c>
      <c r="D9707" s="334" t="s">
        <v>443</v>
      </c>
      <c r="E9707" s="336">
        <v>43811</v>
      </c>
      <c r="F9707" s="336">
        <v>43811</v>
      </c>
      <c r="G9707" s="399">
        <v>43811</v>
      </c>
      <c r="H9707" s="334" t="s">
        <v>19791</v>
      </c>
      <c r="I9707" s="444">
        <v>18616575066</v>
      </c>
      <c r="J9707" s="438" t="s">
        <v>19792</v>
      </c>
      <c r="K9707" s="356">
        <v>6275</v>
      </c>
      <c r="L9707" s="334">
        <v>6275</v>
      </c>
      <c r="N9707" s="362">
        <f t="shared" si="336"/>
        <v>6275</v>
      </c>
    </row>
    <row r="9708" ht="15" customHeight="1" spans="1:16">
      <c r="A9708" s="550" t="s">
        <v>19793</v>
      </c>
      <c r="B9708" s="334" t="s">
        <v>31</v>
      </c>
      <c r="C9708" s="348" t="s">
        <v>220</v>
      </c>
      <c r="D9708" s="335" t="s">
        <v>221</v>
      </c>
      <c r="E9708" s="336">
        <v>43811</v>
      </c>
      <c r="F9708" s="336">
        <v>43811</v>
      </c>
      <c r="G9708" s="399"/>
      <c r="H9708" s="334" t="s">
        <v>19794</v>
      </c>
      <c r="I9708" s="444">
        <v>13564065735</v>
      </c>
      <c r="J9708" s="438" t="s">
        <v>19795</v>
      </c>
      <c r="K9708" s="356">
        <v>1000</v>
      </c>
      <c r="N9708" s="362">
        <f t="shared" si="336"/>
        <v>0</v>
      </c>
      <c r="P9708" s="366" t="s">
        <v>52</v>
      </c>
    </row>
    <row r="9709" ht="15" customHeight="1" spans="1:14">
      <c r="A9709" s="550" t="s">
        <v>18496</v>
      </c>
      <c r="B9709" s="334" t="s">
        <v>137</v>
      </c>
      <c r="C9709" s="348" t="s">
        <v>275</v>
      </c>
      <c r="D9709" s="334" t="s">
        <v>1431</v>
      </c>
      <c r="E9709" s="336">
        <v>43811</v>
      </c>
      <c r="F9709" s="336">
        <v>43807</v>
      </c>
      <c r="G9709" s="399">
        <v>43811</v>
      </c>
      <c r="H9709" s="334" t="s">
        <v>19796</v>
      </c>
      <c r="I9709" s="444">
        <v>18721146097</v>
      </c>
      <c r="J9709" s="438" t="s">
        <v>19797</v>
      </c>
      <c r="K9709" s="356">
        <v>12000</v>
      </c>
      <c r="L9709" s="334">
        <v>12000</v>
      </c>
      <c r="N9709" s="362">
        <f t="shared" si="336"/>
        <v>12000</v>
      </c>
    </row>
    <row r="9710" ht="15" customHeight="1" spans="1:18">
      <c r="A9710" s="550" t="s">
        <v>19798</v>
      </c>
      <c r="B9710" s="334" t="s">
        <v>73</v>
      </c>
      <c r="C9710" s="348" t="s">
        <v>74</v>
      </c>
      <c r="D9710" s="335" t="s">
        <v>75</v>
      </c>
      <c r="E9710" s="336">
        <v>43814</v>
      </c>
      <c r="F9710" s="336">
        <v>43813</v>
      </c>
      <c r="G9710" s="399"/>
      <c r="H9710" s="334" t="s">
        <v>19799</v>
      </c>
      <c r="I9710" s="444">
        <v>13801958383</v>
      </c>
      <c r="J9710" s="438" t="s">
        <v>19800</v>
      </c>
      <c r="K9710" s="356">
        <v>1000</v>
      </c>
      <c r="N9710" s="362">
        <f t="shared" si="336"/>
        <v>0</v>
      </c>
      <c r="O9710" s="366"/>
      <c r="R9710" s="366" t="s">
        <v>52</v>
      </c>
    </row>
    <row r="9711" ht="15" customHeight="1" spans="1:14">
      <c r="A9711" s="550" t="s">
        <v>19801</v>
      </c>
      <c r="B9711" s="334" t="s">
        <v>5435</v>
      </c>
      <c r="C9711" s="348" t="s">
        <v>1728</v>
      </c>
      <c r="D9711" s="335" t="s">
        <v>207</v>
      </c>
      <c r="E9711" s="336">
        <v>43811</v>
      </c>
      <c r="F9711" s="336">
        <v>43811</v>
      </c>
      <c r="G9711" s="399"/>
      <c r="H9711" s="334" t="s">
        <v>19802</v>
      </c>
      <c r="I9711" s="444">
        <v>13901660718</v>
      </c>
      <c r="J9711" s="438" t="s">
        <v>19803</v>
      </c>
      <c r="K9711" s="356">
        <v>999</v>
      </c>
      <c r="N9711" s="362">
        <f t="shared" si="336"/>
        <v>0</v>
      </c>
    </row>
    <row r="9712" ht="15" customHeight="1" spans="1:15">
      <c r="A9712" s="550" t="s">
        <v>5051</v>
      </c>
      <c r="B9712" s="334" t="s">
        <v>726</v>
      </c>
      <c r="C9712" s="348" t="s">
        <v>12699</v>
      </c>
      <c r="D9712" s="335" t="s">
        <v>207</v>
      </c>
      <c r="E9712" s="336">
        <v>43811</v>
      </c>
      <c r="F9712" s="336">
        <v>43811</v>
      </c>
      <c r="G9712" s="399"/>
      <c r="H9712" s="334" t="s">
        <v>19804</v>
      </c>
      <c r="I9712" s="444">
        <v>18623950030</v>
      </c>
      <c r="J9712" s="438" t="s">
        <v>19805</v>
      </c>
      <c r="K9712" s="356">
        <v>1000</v>
      </c>
      <c r="N9712" s="362">
        <f t="shared" si="336"/>
        <v>0</v>
      </c>
      <c r="O9712" s="353" t="s">
        <v>19</v>
      </c>
    </row>
    <row r="9713" ht="15" customHeight="1" spans="2:14">
      <c r="B9713" s="334" t="s">
        <v>4009</v>
      </c>
      <c r="C9713" s="334" t="s">
        <v>6401</v>
      </c>
      <c r="D9713" s="334" t="s">
        <v>207</v>
      </c>
      <c r="E9713" s="336">
        <v>43811</v>
      </c>
      <c r="G9713" s="336">
        <v>43809</v>
      </c>
      <c r="H9713" s="334" t="s">
        <v>19806</v>
      </c>
      <c r="I9713" s="444">
        <v>13917717489</v>
      </c>
      <c r="J9713" s="438" t="s">
        <v>19807</v>
      </c>
      <c r="L9713" s="334">
        <v>9779</v>
      </c>
      <c r="N9713" s="362">
        <f t="shared" ref="N9713:N9725" si="337">L9713+M9713</f>
        <v>9779</v>
      </c>
    </row>
    <row r="9714" ht="15" customHeight="1" spans="2:14">
      <c r="B9714" s="334" t="s">
        <v>4009</v>
      </c>
      <c r="C9714" s="334" t="s">
        <v>6401</v>
      </c>
      <c r="D9714" s="334" t="s">
        <v>8334</v>
      </c>
      <c r="E9714" s="336">
        <v>43811</v>
      </c>
      <c r="G9714" s="336">
        <v>43802</v>
      </c>
      <c r="H9714" s="334" t="s">
        <v>19808</v>
      </c>
      <c r="I9714" s="444">
        <v>13918104960</v>
      </c>
      <c r="J9714" s="438" t="s">
        <v>19809</v>
      </c>
      <c r="L9714" s="334">
        <v>6900</v>
      </c>
      <c r="N9714" s="362">
        <f t="shared" si="337"/>
        <v>6900</v>
      </c>
    </row>
    <row r="9715" ht="15" customHeight="1" spans="2:14">
      <c r="B9715" s="334" t="s">
        <v>35</v>
      </c>
      <c r="C9715" s="334" t="s">
        <v>392</v>
      </c>
      <c r="D9715" s="334" t="s">
        <v>37</v>
      </c>
      <c r="E9715" s="336">
        <v>43811</v>
      </c>
      <c r="G9715" s="336">
        <v>43807</v>
      </c>
      <c r="H9715" s="334" t="s">
        <v>19810</v>
      </c>
      <c r="I9715" s="444">
        <v>15000687240</v>
      </c>
      <c r="J9715" s="438" t="s">
        <v>19811</v>
      </c>
      <c r="L9715" s="334">
        <v>23500</v>
      </c>
      <c r="N9715" s="362">
        <f t="shared" si="337"/>
        <v>23500</v>
      </c>
    </row>
    <row r="9716" ht="15" customHeight="1" spans="2:14">
      <c r="B9716" s="334" t="s">
        <v>35</v>
      </c>
      <c r="C9716" s="334" t="s">
        <v>392</v>
      </c>
      <c r="D9716" s="334" t="s">
        <v>37</v>
      </c>
      <c r="E9716" s="336">
        <v>43811</v>
      </c>
      <c r="G9716" s="336">
        <v>43809</v>
      </c>
      <c r="H9716" s="334" t="s">
        <v>19812</v>
      </c>
      <c r="I9716" s="444">
        <v>13818881576</v>
      </c>
      <c r="J9716" s="438" t="s">
        <v>19813</v>
      </c>
      <c r="L9716" s="334">
        <v>14700</v>
      </c>
      <c r="N9716" s="362">
        <f t="shared" si="337"/>
        <v>14700</v>
      </c>
    </row>
    <row r="9717" ht="15" customHeight="1" spans="2:14">
      <c r="B9717" s="334" t="s">
        <v>31</v>
      </c>
      <c r="C9717" s="334" t="s">
        <v>377</v>
      </c>
      <c r="D9717" s="334" t="s">
        <v>33</v>
      </c>
      <c r="E9717" s="336">
        <v>43811</v>
      </c>
      <c r="G9717" s="336">
        <v>43810</v>
      </c>
      <c r="H9717" s="334" t="s">
        <v>12230</v>
      </c>
      <c r="I9717" s="426">
        <v>1122172303</v>
      </c>
      <c r="J9717" s="426" t="s">
        <v>12231</v>
      </c>
      <c r="M9717" s="334">
        <v>-1631</v>
      </c>
      <c r="N9717" s="362">
        <f t="shared" si="337"/>
        <v>-1631</v>
      </c>
    </row>
    <row r="9718" ht="15" customHeight="1" spans="2:14">
      <c r="B9718" s="334" t="s">
        <v>315</v>
      </c>
      <c r="C9718" s="334" t="s">
        <v>230</v>
      </c>
      <c r="D9718" s="334" t="s">
        <v>182</v>
      </c>
      <c r="E9718" s="336">
        <v>43811</v>
      </c>
      <c r="G9718" s="336">
        <v>43810</v>
      </c>
      <c r="H9718" s="334" t="s">
        <v>19814</v>
      </c>
      <c r="I9718" s="444">
        <v>18601669269</v>
      </c>
      <c r="J9718" s="438" t="s">
        <v>19815</v>
      </c>
      <c r="M9718" s="334">
        <v>307</v>
      </c>
      <c r="N9718" s="362">
        <f t="shared" si="337"/>
        <v>307</v>
      </c>
    </row>
    <row r="9719" ht="15" customHeight="1" spans="2:14">
      <c r="B9719" s="334" t="s">
        <v>405</v>
      </c>
      <c r="C9719" s="334" t="s">
        <v>1234</v>
      </c>
      <c r="D9719" s="334" t="s">
        <v>407</v>
      </c>
      <c r="E9719" s="336">
        <v>43811</v>
      </c>
      <c r="G9719" s="336">
        <v>43810</v>
      </c>
      <c r="H9719" s="334" t="s">
        <v>17484</v>
      </c>
      <c r="I9719" s="444">
        <v>18914625566</v>
      </c>
      <c r="J9719" s="348" t="s">
        <v>17485</v>
      </c>
      <c r="M9719" s="334">
        <v>200</v>
      </c>
      <c r="N9719" s="362">
        <f t="shared" si="337"/>
        <v>200</v>
      </c>
    </row>
    <row r="9720" ht="15" customHeight="1" spans="2:14">
      <c r="B9720" s="334" t="s">
        <v>315</v>
      </c>
      <c r="C9720" s="334" t="s">
        <v>275</v>
      </c>
      <c r="D9720" s="334" t="s">
        <v>162</v>
      </c>
      <c r="E9720" s="336">
        <v>43811</v>
      </c>
      <c r="G9720" s="336">
        <v>43799</v>
      </c>
      <c r="H9720" s="334" t="s">
        <v>13183</v>
      </c>
      <c r="I9720" s="426">
        <v>13611784560</v>
      </c>
      <c r="J9720" s="334" t="s">
        <v>13184</v>
      </c>
      <c r="M9720" s="334">
        <v>-1000</v>
      </c>
      <c r="N9720" s="362">
        <f t="shared" si="337"/>
        <v>-1000</v>
      </c>
    </row>
    <row r="9721" ht="15" customHeight="1" spans="2:14">
      <c r="B9721" s="334" t="s">
        <v>35</v>
      </c>
      <c r="C9721" s="334" t="s">
        <v>36</v>
      </c>
      <c r="D9721" s="334" t="s">
        <v>187</v>
      </c>
      <c r="E9721" s="336">
        <v>43811</v>
      </c>
      <c r="G9721" s="336">
        <v>43807</v>
      </c>
      <c r="H9721" s="334" t="s">
        <v>8677</v>
      </c>
      <c r="I9721" s="356">
        <v>17717536129</v>
      </c>
      <c r="J9721" s="348" t="s">
        <v>8678</v>
      </c>
      <c r="M9721" s="334">
        <v>500</v>
      </c>
      <c r="N9721" s="362">
        <f t="shared" si="337"/>
        <v>500</v>
      </c>
    </row>
    <row r="9722" ht="15" customHeight="1" spans="2:14">
      <c r="B9722" s="334" t="s">
        <v>66</v>
      </c>
      <c r="C9722" s="334" t="s">
        <v>7029</v>
      </c>
      <c r="D9722" s="334" t="s">
        <v>2302</v>
      </c>
      <c r="E9722" s="336">
        <v>43811</v>
      </c>
      <c r="G9722" s="336">
        <v>43811</v>
      </c>
      <c r="H9722" s="334" t="s">
        <v>16618</v>
      </c>
      <c r="I9722" s="444">
        <v>18602109540</v>
      </c>
      <c r="J9722" s="348" t="s">
        <v>19816</v>
      </c>
      <c r="M9722" s="334">
        <v>12267</v>
      </c>
      <c r="N9722" s="362">
        <f t="shared" si="337"/>
        <v>12267</v>
      </c>
    </row>
    <row r="9723" ht="15" customHeight="1" spans="2:14">
      <c r="B9723" s="334" t="s">
        <v>66</v>
      </c>
      <c r="C9723" s="334" t="s">
        <v>1749</v>
      </c>
      <c r="D9723" s="334" t="s">
        <v>68</v>
      </c>
      <c r="E9723" s="336">
        <v>43811</v>
      </c>
      <c r="G9723" s="336">
        <v>43809</v>
      </c>
      <c r="H9723" s="334" t="s">
        <v>16448</v>
      </c>
      <c r="I9723" s="465">
        <v>18516691413</v>
      </c>
      <c r="J9723" s="445" t="s">
        <v>16449</v>
      </c>
      <c r="M9723" s="334">
        <v>1557</v>
      </c>
      <c r="N9723" s="362">
        <f t="shared" si="337"/>
        <v>1557</v>
      </c>
    </row>
    <row r="9724" ht="15" customHeight="1" spans="2:14">
      <c r="B9724" s="334" t="s">
        <v>315</v>
      </c>
      <c r="C9724" s="334" t="s">
        <v>161</v>
      </c>
      <c r="D9724" s="334" t="s">
        <v>162</v>
      </c>
      <c r="E9724" s="336">
        <v>43811</v>
      </c>
      <c r="G9724" s="336">
        <v>43811</v>
      </c>
      <c r="H9724" s="334" t="s">
        <v>596</v>
      </c>
      <c r="I9724" s="444">
        <v>18602152018</v>
      </c>
      <c r="J9724" s="334" t="s">
        <v>18921</v>
      </c>
      <c r="M9724" s="334">
        <v>397</v>
      </c>
      <c r="N9724" s="362">
        <f t="shared" si="337"/>
        <v>397</v>
      </c>
    </row>
    <row r="9725" ht="15" customHeight="1" spans="2:14">
      <c r="B9725" s="334" t="s">
        <v>281</v>
      </c>
      <c r="C9725" s="334" t="s">
        <v>491</v>
      </c>
      <c r="D9725" s="334" t="s">
        <v>518</v>
      </c>
      <c r="E9725" s="336">
        <v>43810</v>
      </c>
      <c r="G9725" s="336">
        <v>43810</v>
      </c>
      <c r="H9725" s="334" t="s">
        <v>13710</v>
      </c>
      <c r="I9725" s="444">
        <v>17717877729</v>
      </c>
      <c r="J9725" s="334" t="s">
        <v>19817</v>
      </c>
      <c r="L9725" s="334"/>
      <c r="M9725" s="334">
        <v>5199</v>
      </c>
      <c r="N9725" s="362">
        <f t="shared" si="337"/>
        <v>5199</v>
      </c>
    </row>
    <row r="9726" ht="15" customHeight="1" spans="1:15">
      <c r="A9726" s="550" t="s">
        <v>4386</v>
      </c>
      <c r="B9726" s="334" t="s">
        <v>315</v>
      </c>
      <c r="C9726" s="348" t="s">
        <v>14638</v>
      </c>
      <c r="D9726" s="335" t="s">
        <v>132</v>
      </c>
      <c r="E9726" s="336">
        <v>43812</v>
      </c>
      <c r="F9726" s="336">
        <v>43811</v>
      </c>
      <c r="G9726" s="399" t="s">
        <v>231</v>
      </c>
      <c r="H9726" s="334" t="s">
        <v>19818</v>
      </c>
      <c r="I9726" s="444">
        <v>13761082959</v>
      </c>
      <c r="J9726" s="438" t="s">
        <v>19819</v>
      </c>
      <c r="K9726" s="356">
        <v>1000</v>
      </c>
      <c r="N9726" s="362">
        <f t="shared" ref="N9726:N9754" si="338">L9726+M9726</f>
        <v>0</v>
      </c>
      <c r="O9726" s="330">
        <v>1</v>
      </c>
    </row>
    <row r="9727" ht="15" customHeight="1" spans="1:22">
      <c r="A9727" s="550" t="s">
        <v>9186</v>
      </c>
      <c r="B9727" s="334" t="s">
        <v>354</v>
      </c>
      <c r="C9727" s="348" t="s">
        <v>355</v>
      </c>
      <c r="D9727" s="335" t="s">
        <v>207</v>
      </c>
      <c r="E9727" s="336">
        <v>43812</v>
      </c>
      <c r="F9727" s="336">
        <v>43780</v>
      </c>
      <c r="G9727" s="399"/>
      <c r="H9727" s="334" t="s">
        <v>3267</v>
      </c>
      <c r="I9727" s="444">
        <v>18017236919</v>
      </c>
      <c r="J9727" s="438" t="s">
        <v>19820</v>
      </c>
      <c r="K9727" s="356">
        <v>500</v>
      </c>
      <c r="N9727" s="362">
        <f t="shared" si="338"/>
        <v>0</v>
      </c>
      <c r="V9727" s="356" t="s">
        <v>52</v>
      </c>
    </row>
    <row r="9728" ht="15" customHeight="1" spans="1:14">
      <c r="A9728" s="550" t="s">
        <v>8286</v>
      </c>
      <c r="B9728" s="334" t="s">
        <v>354</v>
      </c>
      <c r="C9728" s="348" t="s">
        <v>355</v>
      </c>
      <c r="D9728" s="334" t="s">
        <v>162</v>
      </c>
      <c r="E9728" s="336">
        <v>43830</v>
      </c>
      <c r="F9728" s="336">
        <v>43811</v>
      </c>
      <c r="G9728" s="336">
        <v>43830</v>
      </c>
      <c r="H9728" s="334" t="s">
        <v>19821</v>
      </c>
      <c r="I9728" s="444">
        <v>13917785015</v>
      </c>
      <c r="J9728" s="438" t="s">
        <v>19822</v>
      </c>
      <c r="K9728" s="356">
        <v>10000</v>
      </c>
      <c r="L9728" s="334">
        <v>10000</v>
      </c>
      <c r="N9728" s="362">
        <f t="shared" si="338"/>
        <v>10000</v>
      </c>
    </row>
    <row r="9729" ht="15" customHeight="1" spans="1:22">
      <c r="A9729" s="550" t="s">
        <v>11603</v>
      </c>
      <c r="B9729" s="334" t="s">
        <v>42</v>
      </c>
      <c r="C9729" s="348" t="s">
        <v>43</v>
      </c>
      <c r="D9729" s="334" t="s">
        <v>207</v>
      </c>
      <c r="E9729" s="336">
        <v>43828</v>
      </c>
      <c r="F9729" s="336">
        <v>43811</v>
      </c>
      <c r="G9729" s="336">
        <v>43827</v>
      </c>
      <c r="H9729" s="334" t="s">
        <v>19823</v>
      </c>
      <c r="I9729" s="444">
        <v>13167009392</v>
      </c>
      <c r="J9729" s="438" t="s">
        <v>19824</v>
      </c>
      <c r="K9729" s="356">
        <v>5368</v>
      </c>
      <c r="L9729" s="334">
        <v>5368</v>
      </c>
      <c r="N9729" s="362">
        <f t="shared" si="338"/>
        <v>5368</v>
      </c>
      <c r="V9729" s="471">
        <v>43824</v>
      </c>
    </row>
    <row r="9730" ht="15" customHeight="1" spans="1:14">
      <c r="A9730" s="550" t="s">
        <v>19825</v>
      </c>
      <c r="B9730" s="334" t="s">
        <v>35</v>
      </c>
      <c r="C9730" s="348" t="s">
        <v>328</v>
      </c>
      <c r="D9730" s="334" t="s">
        <v>37</v>
      </c>
      <c r="E9730" s="336">
        <v>43812</v>
      </c>
      <c r="F9730" s="336">
        <v>43811</v>
      </c>
      <c r="G9730" s="399">
        <v>43812</v>
      </c>
      <c r="H9730" s="334" t="s">
        <v>19826</v>
      </c>
      <c r="I9730" s="444">
        <v>13512158030</v>
      </c>
      <c r="J9730" s="438" t="s">
        <v>19827</v>
      </c>
      <c r="K9730" s="356">
        <v>20000</v>
      </c>
      <c r="L9730" s="334">
        <v>19584</v>
      </c>
      <c r="N9730" s="362">
        <f t="shared" si="338"/>
        <v>19584</v>
      </c>
    </row>
    <row r="9731" ht="15" customHeight="1" spans="1:14">
      <c r="A9731" s="550" t="s">
        <v>19828</v>
      </c>
      <c r="B9731" s="334" t="s">
        <v>147</v>
      </c>
      <c r="C9731" s="348" t="s">
        <v>15901</v>
      </c>
      <c r="D9731" s="335" t="s">
        <v>207</v>
      </c>
      <c r="E9731" s="336">
        <v>43822</v>
      </c>
      <c r="F9731" s="336">
        <v>43811</v>
      </c>
      <c r="G9731" s="336">
        <v>43822</v>
      </c>
      <c r="H9731" s="334" t="s">
        <v>14500</v>
      </c>
      <c r="I9731" s="444">
        <v>13761171117</v>
      </c>
      <c r="J9731" s="438" t="s">
        <v>19829</v>
      </c>
      <c r="K9731" s="356">
        <v>1000</v>
      </c>
      <c r="L9731" s="334">
        <v>3999</v>
      </c>
      <c r="N9731" s="362">
        <f t="shared" si="338"/>
        <v>3999</v>
      </c>
    </row>
    <row r="9732" ht="15" customHeight="1" spans="1:16">
      <c r="A9732" s="550" t="s">
        <v>19830</v>
      </c>
      <c r="B9732" s="334" t="s">
        <v>58</v>
      </c>
      <c r="C9732" s="348" t="s">
        <v>342</v>
      </c>
      <c r="D9732" s="334" t="s">
        <v>343</v>
      </c>
      <c r="E9732" s="336">
        <v>43834</v>
      </c>
      <c r="F9732" s="336">
        <v>43811</v>
      </c>
      <c r="G9732" s="336">
        <v>43811</v>
      </c>
      <c r="H9732" s="334" t="s">
        <v>19831</v>
      </c>
      <c r="I9732" s="444">
        <v>13052036575</v>
      </c>
      <c r="J9732" s="438" t="s">
        <v>19832</v>
      </c>
      <c r="K9732" s="356">
        <v>4516</v>
      </c>
      <c r="L9732" s="334">
        <v>5238</v>
      </c>
      <c r="N9732" s="362">
        <f t="shared" si="338"/>
        <v>5238</v>
      </c>
      <c r="P9732" s="467" t="s">
        <v>52</v>
      </c>
    </row>
    <row r="9733" ht="15" customHeight="1" spans="1:22">
      <c r="A9733" s="550" t="s">
        <v>13896</v>
      </c>
      <c r="B9733" s="334" t="s">
        <v>137</v>
      </c>
      <c r="C9733" s="348" t="s">
        <v>406</v>
      </c>
      <c r="D9733" s="336" t="s">
        <v>443</v>
      </c>
      <c r="E9733" s="336">
        <v>43828</v>
      </c>
      <c r="F9733" s="336">
        <v>43811</v>
      </c>
      <c r="G9733" s="336">
        <v>43826</v>
      </c>
      <c r="H9733" s="334" t="s">
        <v>19833</v>
      </c>
      <c r="I9733" s="444">
        <v>15652964267</v>
      </c>
      <c r="J9733" s="438" t="s">
        <v>19834</v>
      </c>
      <c r="K9733" s="356">
        <v>8100</v>
      </c>
      <c r="L9733" s="334">
        <v>6469</v>
      </c>
      <c r="N9733" s="362">
        <f t="shared" si="338"/>
        <v>6469</v>
      </c>
      <c r="V9733" s="330" t="s">
        <v>19835</v>
      </c>
    </row>
    <row r="9734" ht="15" customHeight="1" spans="1:14">
      <c r="A9734" s="348"/>
      <c r="B9734" s="334" t="s">
        <v>47</v>
      </c>
      <c r="C9734" s="348" t="s">
        <v>53</v>
      </c>
      <c r="D9734" s="335" t="s">
        <v>49</v>
      </c>
      <c r="E9734" s="336">
        <v>43812</v>
      </c>
      <c r="F9734" s="336">
        <v>43812</v>
      </c>
      <c r="G9734" s="399">
        <v>43812</v>
      </c>
      <c r="H9734" s="334" t="s">
        <v>19836</v>
      </c>
      <c r="I9734" s="444">
        <v>18721395636</v>
      </c>
      <c r="J9734" s="438" t="s">
        <v>19837</v>
      </c>
      <c r="K9734" s="356">
        <v>2000</v>
      </c>
      <c r="L9734" s="334">
        <v>13400</v>
      </c>
      <c r="N9734" s="362">
        <f t="shared" si="338"/>
        <v>13400</v>
      </c>
    </row>
    <row r="9735" ht="15" customHeight="1" spans="1:16">
      <c r="A9735" s="550" t="s">
        <v>11767</v>
      </c>
      <c r="B9735" s="334" t="s">
        <v>185</v>
      </c>
      <c r="C9735" s="348" t="s">
        <v>1204</v>
      </c>
      <c r="D9735" s="335" t="s">
        <v>44</v>
      </c>
      <c r="E9735" s="336">
        <v>43812</v>
      </c>
      <c r="F9735" s="336">
        <v>43811</v>
      </c>
      <c r="G9735" s="399"/>
      <c r="H9735" s="334" t="s">
        <v>19838</v>
      </c>
      <c r="I9735" s="444">
        <v>15201911867</v>
      </c>
      <c r="J9735" s="438" t="s">
        <v>19839</v>
      </c>
      <c r="K9735" s="356">
        <v>2359</v>
      </c>
      <c r="N9735" s="362">
        <f t="shared" si="338"/>
        <v>0</v>
      </c>
      <c r="P9735" s="467" t="s">
        <v>52</v>
      </c>
    </row>
    <row r="9736" ht="15" customHeight="1" spans="1:14">
      <c r="A9736" s="550" t="s">
        <v>11597</v>
      </c>
      <c r="B9736" s="334" t="s">
        <v>185</v>
      </c>
      <c r="C9736" s="348" t="s">
        <v>14185</v>
      </c>
      <c r="D9736" s="334" t="s">
        <v>44</v>
      </c>
      <c r="E9736" s="336">
        <v>43818</v>
      </c>
      <c r="F9736" s="336">
        <v>43812</v>
      </c>
      <c r="G9736" s="336">
        <v>43817</v>
      </c>
      <c r="H9736" s="334" t="s">
        <v>19840</v>
      </c>
      <c r="I9736" s="444">
        <v>13661646160</v>
      </c>
      <c r="J9736" s="438" t="s">
        <v>19841</v>
      </c>
      <c r="K9736" s="356">
        <v>4148</v>
      </c>
      <c r="L9736" s="334">
        <v>5472</v>
      </c>
      <c r="N9736" s="362">
        <f t="shared" si="338"/>
        <v>5472</v>
      </c>
    </row>
    <row r="9737" ht="15" customHeight="1" spans="1:17">
      <c r="A9737" s="550" t="s">
        <v>19842</v>
      </c>
      <c r="B9737" s="334" t="s">
        <v>359</v>
      </c>
      <c r="C9737" s="348" t="s">
        <v>3018</v>
      </c>
      <c r="D9737" s="335" t="s">
        <v>361</v>
      </c>
      <c r="E9737" s="336">
        <v>43812</v>
      </c>
      <c r="F9737" s="336">
        <v>43812</v>
      </c>
      <c r="G9737" s="399"/>
      <c r="H9737" s="334" t="s">
        <v>19843</v>
      </c>
      <c r="I9737" s="444">
        <v>13917257304</v>
      </c>
      <c r="J9737" s="438" t="s">
        <v>19844</v>
      </c>
      <c r="K9737" s="356">
        <v>10000</v>
      </c>
      <c r="N9737" s="362">
        <f t="shared" si="338"/>
        <v>0</v>
      </c>
      <c r="Q9737" s="353" t="s">
        <v>21</v>
      </c>
    </row>
    <row r="9738" ht="15" customHeight="1" spans="1:14">
      <c r="A9738" s="550" t="s">
        <v>12720</v>
      </c>
      <c r="B9738" s="334" t="s">
        <v>137</v>
      </c>
      <c r="C9738" s="348" t="s">
        <v>2705</v>
      </c>
      <c r="D9738" s="334" t="s">
        <v>2381</v>
      </c>
      <c r="E9738" s="336">
        <v>43813</v>
      </c>
      <c r="F9738" s="336">
        <v>43811</v>
      </c>
      <c r="G9738" s="336">
        <v>43812</v>
      </c>
      <c r="H9738" s="334" t="s">
        <v>19845</v>
      </c>
      <c r="I9738" s="444">
        <v>15301927009</v>
      </c>
      <c r="J9738" s="438" t="s">
        <v>19846</v>
      </c>
      <c r="K9738" s="356">
        <v>5668</v>
      </c>
      <c r="L9738" s="334">
        <v>6251</v>
      </c>
      <c r="N9738" s="362">
        <f t="shared" si="338"/>
        <v>6251</v>
      </c>
    </row>
    <row r="9739" ht="15" customHeight="1" spans="1:14">
      <c r="A9739" s="550" t="s">
        <v>12717</v>
      </c>
      <c r="B9739" s="334" t="s">
        <v>137</v>
      </c>
      <c r="C9739" s="348" t="s">
        <v>2705</v>
      </c>
      <c r="D9739" s="334" t="s">
        <v>2381</v>
      </c>
      <c r="E9739" s="336">
        <v>43816</v>
      </c>
      <c r="F9739" s="336">
        <v>43811</v>
      </c>
      <c r="G9739" s="336">
        <v>43816</v>
      </c>
      <c r="H9739" s="334" t="s">
        <v>19847</v>
      </c>
      <c r="I9739" s="444">
        <v>18501745019</v>
      </c>
      <c r="J9739" s="438" t="s">
        <v>19848</v>
      </c>
      <c r="K9739" s="356">
        <v>5701</v>
      </c>
      <c r="L9739" s="334">
        <v>9801</v>
      </c>
      <c r="N9739" s="362">
        <f t="shared" si="338"/>
        <v>9801</v>
      </c>
    </row>
    <row r="9740" ht="15" customHeight="1" spans="1:14">
      <c r="A9740" s="550" t="s">
        <v>14376</v>
      </c>
      <c r="B9740" s="334" t="s">
        <v>137</v>
      </c>
      <c r="C9740" s="348" t="s">
        <v>2705</v>
      </c>
      <c r="D9740" s="334" t="s">
        <v>2381</v>
      </c>
      <c r="E9740" s="336">
        <v>43812</v>
      </c>
      <c r="F9740" s="336">
        <v>43810</v>
      </c>
      <c r="G9740" s="399">
        <v>43810</v>
      </c>
      <c r="H9740" s="334" t="s">
        <v>19849</v>
      </c>
      <c r="I9740" s="444">
        <v>15618392965</v>
      </c>
      <c r="J9740" s="438" t="s">
        <v>19850</v>
      </c>
      <c r="K9740" s="356">
        <v>2899</v>
      </c>
      <c r="L9740" s="334">
        <v>2899</v>
      </c>
      <c r="N9740" s="362">
        <f t="shared" si="338"/>
        <v>2899</v>
      </c>
    </row>
    <row r="9741" ht="15" customHeight="1" spans="1:14">
      <c r="A9741" s="550" t="s">
        <v>2398</v>
      </c>
      <c r="B9741" s="334" t="s">
        <v>185</v>
      </c>
      <c r="C9741" s="348" t="s">
        <v>886</v>
      </c>
      <c r="D9741" s="334" t="s">
        <v>187</v>
      </c>
      <c r="E9741" s="336">
        <v>43812</v>
      </c>
      <c r="F9741" s="336">
        <v>43812</v>
      </c>
      <c r="G9741" s="399">
        <v>43812</v>
      </c>
      <c r="H9741" s="334" t="s">
        <v>19851</v>
      </c>
      <c r="I9741" s="444">
        <v>13651768652</v>
      </c>
      <c r="J9741" s="438" t="s">
        <v>19852</v>
      </c>
      <c r="K9741" s="356">
        <v>15196</v>
      </c>
      <c r="L9741" s="334">
        <v>15196</v>
      </c>
      <c r="N9741" s="362">
        <f t="shared" si="338"/>
        <v>15196</v>
      </c>
    </row>
    <row r="9742" ht="15" customHeight="1" spans="1:15">
      <c r="A9742" s="550" t="s">
        <v>19853</v>
      </c>
      <c r="B9742" s="334" t="s">
        <v>315</v>
      </c>
      <c r="C9742" s="348" t="s">
        <v>161</v>
      </c>
      <c r="D9742" s="335" t="s">
        <v>162</v>
      </c>
      <c r="E9742" s="336">
        <v>43812</v>
      </c>
      <c r="F9742" s="336">
        <v>43811</v>
      </c>
      <c r="G9742" s="399" t="s">
        <v>231</v>
      </c>
      <c r="H9742" s="334" t="s">
        <v>19854</v>
      </c>
      <c r="I9742" s="444">
        <v>13774223760</v>
      </c>
      <c r="J9742" s="438" t="s">
        <v>19855</v>
      </c>
      <c r="K9742" s="356">
        <v>999</v>
      </c>
      <c r="N9742" s="362">
        <f t="shared" si="338"/>
        <v>0</v>
      </c>
      <c r="O9742" s="330">
        <v>1</v>
      </c>
    </row>
    <row r="9743" ht="15" customHeight="1" spans="1:15">
      <c r="A9743" s="550" t="s">
        <v>14460</v>
      </c>
      <c r="B9743" s="334" t="s">
        <v>315</v>
      </c>
      <c r="C9743" s="348" t="s">
        <v>161</v>
      </c>
      <c r="D9743" s="335" t="s">
        <v>162</v>
      </c>
      <c r="E9743" s="336">
        <v>43812</v>
      </c>
      <c r="F9743" s="336">
        <v>43811</v>
      </c>
      <c r="G9743" s="399" t="s">
        <v>231</v>
      </c>
      <c r="H9743" s="334" t="s">
        <v>2850</v>
      </c>
      <c r="I9743" s="444">
        <v>18616806019</v>
      </c>
      <c r="J9743" s="438" t="s">
        <v>19856</v>
      </c>
      <c r="K9743" s="356">
        <v>1100</v>
      </c>
      <c r="N9743" s="362">
        <f t="shared" si="338"/>
        <v>0</v>
      </c>
      <c r="O9743" s="330">
        <v>1</v>
      </c>
    </row>
    <row r="9744" ht="15" customHeight="1" spans="1:15">
      <c r="A9744" s="348"/>
      <c r="B9744" s="334" t="s">
        <v>87</v>
      </c>
      <c r="C9744" s="348" t="s">
        <v>9318</v>
      </c>
      <c r="D9744" s="335" t="s">
        <v>89</v>
      </c>
      <c r="E9744" s="336">
        <v>43812</v>
      </c>
      <c r="F9744" s="336">
        <v>43812</v>
      </c>
      <c r="G9744" s="399"/>
      <c r="H9744" s="334" t="s">
        <v>19857</v>
      </c>
      <c r="I9744" s="444">
        <v>18616606924</v>
      </c>
      <c r="J9744" s="438" t="s">
        <v>19858</v>
      </c>
      <c r="K9744" s="356">
        <v>999</v>
      </c>
      <c r="N9744" s="362">
        <f t="shared" si="338"/>
        <v>0</v>
      </c>
      <c r="O9744" s="356" t="s">
        <v>52</v>
      </c>
    </row>
    <row r="9745" ht="15" customHeight="1" spans="1:15">
      <c r="A9745" s="348"/>
      <c r="B9745" s="348" t="s">
        <v>5336</v>
      </c>
      <c r="C9745" s="348" t="s">
        <v>5336</v>
      </c>
      <c r="D9745" s="335" t="s">
        <v>8334</v>
      </c>
      <c r="E9745" s="336">
        <v>43812</v>
      </c>
      <c r="F9745" s="336">
        <v>43812</v>
      </c>
      <c r="G9745" s="399"/>
      <c r="H9745" s="334" t="s">
        <v>19859</v>
      </c>
      <c r="I9745" s="444" t="s">
        <v>19860</v>
      </c>
      <c r="J9745" s="438" t="s">
        <v>19861</v>
      </c>
      <c r="K9745" s="356">
        <v>34857</v>
      </c>
      <c r="N9745" s="362">
        <f t="shared" si="338"/>
        <v>0</v>
      </c>
      <c r="O9745" s="353" t="s">
        <v>52</v>
      </c>
    </row>
    <row r="9746" ht="15" customHeight="1" spans="1:17">
      <c r="A9746" s="550" t="s">
        <v>2081</v>
      </c>
      <c r="B9746" s="334" t="s">
        <v>31</v>
      </c>
      <c r="C9746" s="348" t="s">
        <v>419</v>
      </c>
      <c r="D9746" s="335" t="s">
        <v>221</v>
      </c>
      <c r="E9746" s="336">
        <v>43812</v>
      </c>
      <c r="F9746" s="336">
        <v>43812</v>
      </c>
      <c r="G9746" s="399"/>
      <c r="H9746" s="334" t="s">
        <v>19862</v>
      </c>
      <c r="I9746" s="444">
        <v>13127664981</v>
      </c>
      <c r="J9746" s="438" t="s">
        <v>19863</v>
      </c>
      <c r="K9746" s="356">
        <v>3000</v>
      </c>
      <c r="N9746" s="362">
        <f t="shared" si="338"/>
        <v>0</v>
      </c>
      <c r="Q9746" s="366" t="s">
        <v>52</v>
      </c>
    </row>
    <row r="9747" ht="15" customHeight="1" spans="1:17">
      <c r="A9747" s="550" t="s">
        <v>9637</v>
      </c>
      <c r="B9747" s="334" t="s">
        <v>153</v>
      </c>
      <c r="C9747" s="348" t="s">
        <v>302</v>
      </c>
      <c r="D9747" s="335" t="s">
        <v>155</v>
      </c>
      <c r="E9747" s="336">
        <v>43812</v>
      </c>
      <c r="F9747" s="336">
        <v>43811</v>
      </c>
      <c r="G9747" s="399"/>
      <c r="H9747" s="334" t="s">
        <v>19864</v>
      </c>
      <c r="I9747" s="444">
        <v>17701606609</v>
      </c>
      <c r="J9747" s="438" t="s">
        <v>19865</v>
      </c>
      <c r="K9747" s="356">
        <v>2534</v>
      </c>
      <c r="N9747" s="362">
        <f t="shared" si="338"/>
        <v>0</v>
      </c>
      <c r="P9747" s="467"/>
      <c r="Q9747" s="467" t="s">
        <v>52</v>
      </c>
    </row>
    <row r="9748" ht="15" customHeight="1" spans="1:14">
      <c r="A9748" s="550" t="s">
        <v>18019</v>
      </c>
      <c r="B9748" s="334" t="s">
        <v>58</v>
      </c>
      <c r="C9748" s="348" t="s">
        <v>794</v>
      </c>
      <c r="D9748" s="334" t="s">
        <v>271</v>
      </c>
      <c r="E9748" s="336">
        <v>43818</v>
      </c>
      <c r="F9748" s="336">
        <v>43811</v>
      </c>
      <c r="G9748" s="336">
        <v>43816</v>
      </c>
      <c r="H9748" s="334" t="s">
        <v>19866</v>
      </c>
      <c r="I9748" s="444">
        <v>13817394627</v>
      </c>
      <c r="J9748" s="438" t="s">
        <v>19867</v>
      </c>
      <c r="K9748" s="356">
        <v>4701</v>
      </c>
      <c r="L9748" s="334">
        <v>14500</v>
      </c>
      <c r="N9748" s="362">
        <f t="shared" si="338"/>
        <v>14500</v>
      </c>
    </row>
    <row r="9749" ht="15" customHeight="1" spans="1:16">
      <c r="A9749" s="550" t="s">
        <v>18785</v>
      </c>
      <c r="B9749" s="334" t="s">
        <v>58</v>
      </c>
      <c r="C9749" s="348" t="s">
        <v>794</v>
      </c>
      <c r="D9749" s="335" t="s">
        <v>110</v>
      </c>
      <c r="E9749" s="336">
        <v>43812</v>
      </c>
      <c r="F9749" s="336">
        <v>43811</v>
      </c>
      <c r="G9749" s="399"/>
      <c r="H9749" s="334" t="s">
        <v>19868</v>
      </c>
      <c r="I9749" s="444">
        <v>13699258796</v>
      </c>
      <c r="J9749" s="438" t="s">
        <v>19869</v>
      </c>
      <c r="K9749" s="356">
        <v>5017</v>
      </c>
      <c r="N9749" s="362">
        <f t="shared" si="338"/>
        <v>0</v>
      </c>
      <c r="O9749" s="467"/>
      <c r="P9749" s="467" t="s">
        <v>52</v>
      </c>
    </row>
    <row r="9750" ht="15" customHeight="1" spans="1:14">
      <c r="A9750" s="550" t="s">
        <v>12804</v>
      </c>
      <c r="B9750" s="334" t="s">
        <v>185</v>
      </c>
      <c r="C9750" s="348" t="s">
        <v>186</v>
      </c>
      <c r="D9750" s="335" t="s">
        <v>187</v>
      </c>
      <c r="E9750" s="336">
        <v>43815</v>
      </c>
      <c r="F9750" s="336">
        <v>43812</v>
      </c>
      <c r="G9750" s="336">
        <v>43814</v>
      </c>
      <c r="H9750" s="334" t="s">
        <v>13596</v>
      </c>
      <c r="I9750" s="444">
        <v>18018850191</v>
      </c>
      <c r="J9750" s="438" t="s">
        <v>19870</v>
      </c>
      <c r="K9750" s="356">
        <v>9970</v>
      </c>
      <c r="L9750" s="334">
        <v>20143</v>
      </c>
      <c r="N9750" s="362">
        <f t="shared" si="338"/>
        <v>20143</v>
      </c>
    </row>
    <row r="9751" ht="15" customHeight="1" spans="1:14">
      <c r="A9751" s="348"/>
      <c r="B9751" s="334" t="s">
        <v>47</v>
      </c>
      <c r="C9751" s="348" t="s">
        <v>80</v>
      </c>
      <c r="D9751" s="334" t="s">
        <v>19871</v>
      </c>
      <c r="E9751" s="336">
        <v>43812</v>
      </c>
      <c r="F9751" s="336">
        <v>43811</v>
      </c>
      <c r="G9751" s="399">
        <v>43812</v>
      </c>
      <c r="H9751" s="334" t="s">
        <v>19872</v>
      </c>
      <c r="I9751" s="444">
        <v>15645614166</v>
      </c>
      <c r="J9751" s="438" t="s">
        <v>19873</v>
      </c>
      <c r="K9751" s="356">
        <v>1000</v>
      </c>
      <c r="L9751" s="334">
        <v>8593</v>
      </c>
      <c r="N9751" s="362">
        <f t="shared" si="338"/>
        <v>8593</v>
      </c>
    </row>
    <row r="9752" ht="15" customHeight="1" spans="1:16">
      <c r="A9752" s="550" t="s">
        <v>19874</v>
      </c>
      <c r="B9752" s="334" t="s">
        <v>31</v>
      </c>
      <c r="C9752" s="348" t="s">
        <v>3186</v>
      </c>
      <c r="D9752" s="335" t="s">
        <v>221</v>
      </c>
      <c r="E9752" s="336">
        <v>43812</v>
      </c>
      <c r="F9752" s="336">
        <v>43812</v>
      </c>
      <c r="G9752" s="399"/>
      <c r="H9752" s="334" t="s">
        <v>15351</v>
      </c>
      <c r="I9752" s="444">
        <v>15021830553</v>
      </c>
      <c r="J9752" s="438" t="s">
        <v>19875</v>
      </c>
      <c r="K9752" s="356">
        <v>1000</v>
      </c>
      <c r="N9752" s="362">
        <f t="shared" si="338"/>
        <v>0</v>
      </c>
      <c r="P9752" s="366" t="s">
        <v>52</v>
      </c>
    </row>
    <row r="9753" ht="15" customHeight="1" spans="1:16">
      <c r="A9753" s="550" t="s">
        <v>9546</v>
      </c>
      <c r="B9753" s="334" t="s">
        <v>66</v>
      </c>
      <c r="C9753" s="348" t="s">
        <v>15301</v>
      </c>
      <c r="D9753" s="334" t="s">
        <v>2302</v>
      </c>
      <c r="E9753" s="336">
        <v>43829</v>
      </c>
      <c r="F9753" s="336">
        <v>43812</v>
      </c>
      <c r="G9753" s="336">
        <v>43829</v>
      </c>
      <c r="H9753" s="334" t="s">
        <v>19876</v>
      </c>
      <c r="I9753" s="444">
        <v>13761324847</v>
      </c>
      <c r="J9753" s="438" t="s">
        <v>19877</v>
      </c>
      <c r="K9753" s="356">
        <v>10000</v>
      </c>
      <c r="L9753" s="334">
        <v>10000</v>
      </c>
      <c r="N9753" s="362">
        <f t="shared" si="338"/>
        <v>10000</v>
      </c>
      <c r="P9753" s="467" t="s">
        <v>52</v>
      </c>
    </row>
    <row r="9754" ht="15" customHeight="1" spans="1:14">
      <c r="A9754" s="550" t="s">
        <v>3307</v>
      </c>
      <c r="B9754" s="334" t="s">
        <v>335</v>
      </c>
      <c r="C9754" s="348" t="s">
        <v>148</v>
      </c>
      <c r="D9754" s="334" t="s">
        <v>337</v>
      </c>
      <c r="E9754" s="336">
        <v>43812</v>
      </c>
      <c r="F9754" s="336">
        <v>43812</v>
      </c>
      <c r="G9754" s="399">
        <v>43812</v>
      </c>
      <c r="H9754" s="334" t="s">
        <v>7825</v>
      </c>
      <c r="I9754" s="444">
        <v>18621073665</v>
      </c>
      <c r="J9754" s="438" t="s">
        <v>19878</v>
      </c>
      <c r="K9754" s="356">
        <v>5100</v>
      </c>
      <c r="L9754" s="334">
        <v>5100</v>
      </c>
      <c r="N9754" s="362">
        <f t="shared" si="338"/>
        <v>5100</v>
      </c>
    </row>
    <row r="9755" ht="15" customHeight="1" spans="2:14">
      <c r="B9755" s="334" t="s">
        <v>137</v>
      </c>
      <c r="C9755" s="348" t="s">
        <v>406</v>
      </c>
      <c r="D9755" s="334" t="s">
        <v>2381</v>
      </c>
      <c r="E9755" s="336">
        <v>43812</v>
      </c>
      <c r="G9755" s="336">
        <v>43762</v>
      </c>
      <c r="H9755" s="334" t="s">
        <v>14739</v>
      </c>
      <c r="I9755" s="444">
        <v>18918122355</v>
      </c>
      <c r="J9755" s="348" t="s">
        <v>19879</v>
      </c>
      <c r="L9755" s="452">
        <v>17333</v>
      </c>
      <c r="N9755" s="362">
        <f t="shared" ref="N9755:N9762" si="339">L9755+M9755</f>
        <v>17333</v>
      </c>
    </row>
    <row r="9756" ht="15" customHeight="1" spans="2:14">
      <c r="B9756" s="334" t="s">
        <v>153</v>
      </c>
      <c r="C9756" s="334" t="s">
        <v>302</v>
      </c>
      <c r="D9756" s="334" t="s">
        <v>155</v>
      </c>
      <c r="E9756" s="336">
        <v>43812</v>
      </c>
      <c r="G9756" s="336">
        <v>43800</v>
      </c>
      <c r="H9756" s="334" t="s">
        <v>11037</v>
      </c>
      <c r="I9756" s="334" t="s">
        <v>11038</v>
      </c>
      <c r="J9756" s="334" t="s">
        <v>11039</v>
      </c>
      <c r="M9756" s="334">
        <v>8763</v>
      </c>
      <c r="N9756" s="362">
        <f t="shared" si="339"/>
        <v>8763</v>
      </c>
    </row>
    <row r="9757" ht="15" customHeight="1" spans="2:14">
      <c r="B9757" s="334" t="s">
        <v>47</v>
      </c>
      <c r="C9757" s="334" t="s">
        <v>53</v>
      </c>
      <c r="D9757" s="334" t="s">
        <v>49</v>
      </c>
      <c r="E9757" s="336">
        <v>43812</v>
      </c>
      <c r="G9757" s="336">
        <v>43812</v>
      </c>
      <c r="H9757" s="334" t="s">
        <v>17627</v>
      </c>
      <c r="I9757" s="444">
        <v>15618511991</v>
      </c>
      <c r="J9757" s="348" t="s">
        <v>17628</v>
      </c>
      <c r="M9757" s="334">
        <v>580</v>
      </c>
      <c r="N9757" s="362">
        <f t="shared" si="339"/>
        <v>580</v>
      </c>
    </row>
    <row r="9758" ht="15" customHeight="1" spans="2:14">
      <c r="B9758" s="334" t="s">
        <v>805</v>
      </c>
      <c r="C9758" s="334" t="s">
        <v>806</v>
      </c>
      <c r="D9758" s="334" t="s">
        <v>171</v>
      </c>
      <c r="E9758" s="336">
        <v>43812</v>
      </c>
      <c r="G9758" s="336">
        <v>43811</v>
      </c>
      <c r="H9758" s="334" t="s">
        <v>19880</v>
      </c>
      <c r="I9758" s="444">
        <v>13041668824</v>
      </c>
      <c r="J9758" s="348" t="s">
        <v>19263</v>
      </c>
      <c r="M9758" s="334">
        <v>5550</v>
      </c>
      <c r="N9758" s="362">
        <f t="shared" si="339"/>
        <v>5550</v>
      </c>
    </row>
    <row r="9759" ht="15" customHeight="1" spans="2:14">
      <c r="B9759" s="334" t="s">
        <v>58</v>
      </c>
      <c r="C9759" s="334" t="s">
        <v>794</v>
      </c>
      <c r="D9759" s="334" t="s">
        <v>110</v>
      </c>
      <c r="E9759" s="336">
        <v>43812</v>
      </c>
      <c r="G9759" s="336">
        <v>43812</v>
      </c>
      <c r="H9759" s="334" t="s">
        <v>12335</v>
      </c>
      <c r="I9759" s="334">
        <v>13611713339</v>
      </c>
      <c r="J9759" s="334" t="s">
        <v>12336</v>
      </c>
      <c r="M9759" s="334">
        <v>3492</v>
      </c>
      <c r="N9759" s="362">
        <f t="shared" si="339"/>
        <v>3492</v>
      </c>
    </row>
    <row r="9760" ht="15" customHeight="1" spans="2:14">
      <c r="B9760" s="334" t="s">
        <v>87</v>
      </c>
      <c r="C9760" s="334" t="s">
        <v>199</v>
      </c>
      <c r="D9760" s="334" t="s">
        <v>89</v>
      </c>
      <c r="E9760" s="336">
        <v>43812</v>
      </c>
      <c r="G9760" s="336">
        <v>43811</v>
      </c>
      <c r="H9760" s="334" t="s">
        <v>11567</v>
      </c>
      <c r="I9760" s="426">
        <v>13917365779</v>
      </c>
      <c r="J9760" s="426" t="s">
        <v>11568</v>
      </c>
      <c r="M9760" s="334">
        <v>1696</v>
      </c>
      <c r="N9760" s="362">
        <f t="shared" si="339"/>
        <v>1696</v>
      </c>
    </row>
    <row r="9761" ht="15" customHeight="1" spans="2:14">
      <c r="B9761" s="334" t="s">
        <v>58</v>
      </c>
      <c r="C9761" s="334" t="s">
        <v>794</v>
      </c>
      <c r="D9761" s="334" t="s">
        <v>110</v>
      </c>
      <c r="E9761" s="336">
        <v>43812</v>
      </c>
      <c r="G9761" s="336">
        <v>43812</v>
      </c>
      <c r="H9761" s="334" t="s">
        <v>15887</v>
      </c>
      <c r="I9761" s="444">
        <v>13801701717</v>
      </c>
      <c r="J9761" s="348" t="s">
        <v>15888</v>
      </c>
      <c r="M9761" s="334">
        <v>1329</v>
      </c>
      <c r="N9761" s="362">
        <f t="shared" si="339"/>
        <v>1329</v>
      </c>
    </row>
    <row r="9762" ht="15" customHeight="1" spans="2:14">
      <c r="B9762" s="334" t="s">
        <v>354</v>
      </c>
      <c r="C9762" s="334" t="s">
        <v>355</v>
      </c>
      <c r="D9762" s="334" t="s">
        <v>237</v>
      </c>
      <c r="E9762" s="336">
        <v>43812</v>
      </c>
      <c r="G9762" s="336">
        <v>43812</v>
      </c>
      <c r="H9762" s="334" t="s">
        <v>16996</v>
      </c>
      <c r="I9762" s="444">
        <v>13818818924</v>
      </c>
      <c r="J9762" s="348" t="s">
        <v>16997</v>
      </c>
      <c r="M9762" s="334">
        <v>200</v>
      </c>
      <c r="N9762" s="362">
        <f t="shared" si="339"/>
        <v>200</v>
      </c>
    </row>
    <row r="9763" ht="15" customHeight="1" spans="1:15">
      <c r="A9763" s="550" t="s">
        <v>19881</v>
      </c>
      <c r="B9763" s="334" t="s">
        <v>58</v>
      </c>
      <c r="C9763" s="348" t="s">
        <v>109</v>
      </c>
      <c r="D9763" s="335" t="s">
        <v>110</v>
      </c>
      <c r="E9763" s="336">
        <v>43813</v>
      </c>
      <c r="F9763" s="336">
        <v>43812</v>
      </c>
      <c r="G9763" s="399"/>
      <c r="H9763" s="334" t="s">
        <v>19882</v>
      </c>
      <c r="I9763" s="444">
        <v>17717867865</v>
      </c>
      <c r="J9763" s="438" t="s">
        <v>19883</v>
      </c>
      <c r="K9763" s="356">
        <v>1000</v>
      </c>
      <c r="N9763" s="362">
        <f t="shared" ref="N9763:N9794" si="340">L9763+M9763</f>
        <v>0</v>
      </c>
      <c r="O9763" s="467" t="s">
        <v>52</v>
      </c>
    </row>
    <row r="9764" ht="15" customHeight="1" spans="1:16">
      <c r="A9764" s="550" t="s">
        <v>19780</v>
      </c>
      <c r="B9764" s="334" t="s">
        <v>405</v>
      </c>
      <c r="C9764" s="348" t="s">
        <v>14070</v>
      </c>
      <c r="D9764" s="335" t="s">
        <v>407</v>
      </c>
      <c r="E9764" s="336">
        <v>43813</v>
      </c>
      <c r="F9764" s="336">
        <v>43811</v>
      </c>
      <c r="G9764" s="399"/>
      <c r="H9764" s="334" t="s">
        <v>19884</v>
      </c>
      <c r="I9764" s="444"/>
      <c r="J9764" s="438" t="s">
        <v>19885</v>
      </c>
      <c r="K9764" s="356">
        <v>999</v>
      </c>
      <c r="N9764" s="362">
        <f t="shared" si="340"/>
        <v>0</v>
      </c>
      <c r="P9764" s="502" t="s">
        <v>52</v>
      </c>
    </row>
    <row r="9765" ht="15" customHeight="1" spans="1:15">
      <c r="A9765" s="550" t="s">
        <v>19886</v>
      </c>
      <c r="B9765" s="334" t="s">
        <v>405</v>
      </c>
      <c r="C9765" s="348" t="s">
        <v>14070</v>
      </c>
      <c r="D9765" s="335" t="s">
        <v>407</v>
      </c>
      <c r="E9765" s="336">
        <v>43813</v>
      </c>
      <c r="F9765" s="336">
        <v>43811</v>
      </c>
      <c r="G9765" s="399"/>
      <c r="H9765" s="334" t="s">
        <v>401</v>
      </c>
      <c r="I9765" s="444">
        <v>13816648098</v>
      </c>
      <c r="J9765" s="438" t="s">
        <v>19887</v>
      </c>
      <c r="K9765" s="356">
        <v>1998</v>
      </c>
      <c r="N9765" s="362">
        <f t="shared" si="340"/>
        <v>0</v>
      </c>
      <c r="O9765" s="502" t="s">
        <v>52</v>
      </c>
    </row>
    <row r="9766" ht="15" customHeight="1" spans="1:14">
      <c r="A9766" s="550" t="s">
        <v>11910</v>
      </c>
      <c r="B9766" s="334" t="s">
        <v>153</v>
      </c>
      <c r="C9766" s="348" t="s">
        <v>15883</v>
      </c>
      <c r="D9766" s="334" t="s">
        <v>171</v>
      </c>
      <c r="E9766" s="336">
        <v>43817</v>
      </c>
      <c r="F9766" s="336">
        <v>43812</v>
      </c>
      <c r="G9766" s="336">
        <v>43817</v>
      </c>
      <c r="H9766" s="334" t="s">
        <v>19888</v>
      </c>
      <c r="I9766" s="444">
        <v>15601652109</v>
      </c>
      <c r="J9766" s="438" t="s">
        <v>19889</v>
      </c>
      <c r="K9766" s="356">
        <v>8100</v>
      </c>
      <c r="L9766" s="334">
        <v>8531</v>
      </c>
      <c r="N9766" s="362">
        <f t="shared" si="340"/>
        <v>8531</v>
      </c>
    </row>
    <row r="9767" ht="15" customHeight="1" spans="1:17">
      <c r="A9767" s="550" t="s">
        <v>19890</v>
      </c>
      <c r="B9767" s="334" t="s">
        <v>66</v>
      </c>
      <c r="C9767" s="348" t="s">
        <v>1749</v>
      </c>
      <c r="D9767" s="335" t="s">
        <v>1436</v>
      </c>
      <c r="E9767" s="336">
        <v>43813</v>
      </c>
      <c r="F9767" s="336">
        <v>43811</v>
      </c>
      <c r="G9767" s="399"/>
      <c r="H9767" s="334" t="s">
        <v>19891</v>
      </c>
      <c r="I9767" s="444">
        <v>17637219329</v>
      </c>
      <c r="J9767" s="438" t="s">
        <v>19892</v>
      </c>
      <c r="K9767" s="356">
        <v>1699</v>
      </c>
      <c r="N9767" s="362">
        <f t="shared" si="340"/>
        <v>0</v>
      </c>
      <c r="Q9767" s="467" t="s">
        <v>52</v>
      </c>
    </row>
    <row r="9768" ht="15" customHeight="1" spans="1:14">
      <c r="A9768" s="550" t="s">
        <v>19893</v>
      </c>
      <c r="B9768" s="334" t="s">
        <v>137</v>
      </c>
      <c r="C9768" s="348" t="s">
        <v>480</v>
      </c>
      <c r="D9768" s="334" t="s">
        <v>2381</v>
      </c>
      <c r="E9768" s="336">
        <v>43822</v>
      </c>
      <c r="F9768" s="336">
        <v>43812</v>
      </c>
      <c r="G9768" s="336">
        <v>43822</v>
      </c>
      <c r="H9768" s="334" t="s">
        <v>19894</v>
      </c>
      <c r="I9768" s="444">
        <v>18953091230</v>
      </c>
      <c r="J9768" s="438" t="s">
        <v>19895</v>
      </c>
      <c r="K9768" s="356">
        <v>6000</v>
      </c>
      <c r="L9768" s="334">
        <v>6939</v>
      </c>
      <c r="N9768" s="362">
        <f t="shared" si="340"/>
        <v>6939</v>
      </c>
    </row>
    <row r="9769" ht="15" customHeight="1" spans="1:15">
      <c r="A9769" s="550" t="s">
        <v>19896</v>
      </c>
      <c r="B9769" s="334" t="s">
        <v>31</v>
      </c>
      <c r="C9769" s="348" t="s">
        <v>419</v>
      </c>
      <c r="D9769" s="335" t="s">
        <v>221</v>
      </c>
      <c r="E9769" s="336">
        <v>43813</v>
      </c>
      <c r="F9769" s="336">
        <v>43812</v>
      </c>
      <c r="G9769" s="399"/>
      <c r="H9769" s="334" t="s">
        <v>19897</v>
      </c>
      <c r="I9769" s="444">
        <v>18001632737</v>
      </c>
      <c r="J9769" s="438" t="s">
        <v>19898</v>
      </c>
      <c r="K9769" s="356">
        <v>500</v>
      </c>
      <c r="N9769" s="362">
        <f t="shared" si="340"/>
        <v>0</v>
      </c>
      <c r="O9769" s="366" t="s">
        <v>52</v>
      </c>
    </row>
    <row r="9770" ht="15" customHeight="1" spans="1:15">
      <c r="A9770" s="550" t="s">
        <v>8369</v>
      </c>
      <c r="B9770" s="334" t="s">
        <v>315</v>
      </c>
      <c r="C9770" s="348" t="s">
        <v>275</v>
      </c>
      <c r="D9770" s="335" t="s">
        <v>162</v>
      </c>
      <c r="E9770" s="336">
        <v>43813</v>
      </c>
      <c r="F9770" s="336">
        <v>43811</v>
      </c>
      <c r="G9770" s="399"/>
      <c r="H9770" s="334" t="s">
        <v>19899</v>
      </c>
      <c r="I9770" s="444">
        <v>13918983782</v>
      </c>
      <c r="J9770" s="438" t="s">
        <v>19900</v>
      </c>
      <c r="K9770" s="356">
        <v>1299</v>
      </c>
      <c r="N9770" s="362">
        <f t="shared" si="340"/>
        <v>0</v>
      </c>
      <c r="O9770" s="330">
        <v>1</v>
      </c>
    </row>
    <row r="9771" ht="15" customHeight="1" spans="1:14">
      <c r="A9771" s="348">
        <v>2068440</v>
      </c>
      <c r="B9771" s="334" t="s">
        <v>47</v>
      </c>
      <c r="C9771" s="348" t="s">
        <v>80</v>
      </c>
      <c r="D9771" s="334" t="s">
        <v>19871</v>
      </c>
      <c r="E9771" s="336">
        <v>43813</v>
      </c>
      <c r="F9771" s="336">
        <v>43813</v>
      </c>
      <c r="G9771" s="399">
        <v>43813</v>
      </c>
      <c r="H9771" s="334" t="s">
        <v>19901</v>
      </c>
      <c r="I9771" s="444">
        <v>18918696658</v>
      </c>
      <c r="J9771" s="438" t="s">
        <v>19902</v>
      </c>
      <c r="K9771" s="356">
        <v>1000</v>
      </c>
      <c r="L9771" s="334">
        <v>7315</v>
      </c>
      <c r="N9771" s="362">
        <f t="shared" si="340"/>
        <v>7315</v>
      </c>
    </row>
    <row r="9772" ht="15" customHeight="1" spans="1:17">
      <c r="A9772" s="550" t="s">
        <v>9529</v>
      </c>
      <c r="B9772" s="334" t="s">
        <v>153</v>
      </c>
      <c r="C9772" s="348" t="s">
        <v>302</v>
      </c>
      <c r="D9772" s="335" t="s">
        <v>155</v>
      </c>
      <c r="E9772" s="336">
        <v>43830</v>
      </c>
      <c r="F9772" s="336">
        <v>43813</v>
      </c>
      <c r="G9772" s="336">
        <v>43828</v>
      </c>
      <c r="H9772" s="334" t="s">
        <v>19903</v>
      </c>
      <c r="I9772" s="444">
        <v>18017094628</v>
      </c>
      <c r="J9772" s="438" t="s">
        <v>19904</v>
      </c>
      <c r="K9772" s="356">
        <v>16000</v>
      </c>
      <c r="L9772" s="334">
        <v>16000</v>
      </c>
      <c r="N9772" s="362">
        <f t="shared" si="340"/>
        <v>16000</v>
      </c>
      <c r="Q9772" s="467" t="s">
        <v>52</v>
      </c>
    </row>
    <row r="9773" ht="15" customHeight="1" spans="1:16">
      <c r="A9773" s="550" t="s">
        <v>19905</v>
      </c>
      <c r="B9773" s="334" t="s">
        <v>405</v>
      </c>
      <c r="C9773" s="348" t="s">
        <v>1234</v>
      </c>
      <c r="D9773" s="335" t="s">
        <v>407</v>
      </c>
      <c r="E9773" s="336">
        <v>43813</v>
      </c>
      <c r="F9773" s="336">
        <v>43811</v>
      </c>
      <c r="G9773" s="399"/>
      <c r="H9773" s="334" t="s">
        <v>19906</v>
      </c>
      <c r="I9773" s="444">
        <v>18664887423</v>
      </c>
      <c r="J9773" s="438" t="s">
        <v>19907</v>
      </c>
      <c r="K9773" s="356">
        <v>1998</v>
      </c>
      <c r="N9773" s="362">
        <f t="shared" si="340"/>
        <v>0</v>
      </c>
      <c r="P9773" s="502" t="s">
        <v>52</v>
      </c>
    </row>
    <row r="9774" ht="15" customHeight="1" spans="1:14">
      <c r="A9774" s="550" t="s">
        <v>19908</v>
      </c>
      <c r="B9774" s="334" t="s">
        <v>405</v>
      </c>
      <c r="C9774" s="348" t="s">
        <v>1234</v>
      </c>
      <c r="D9774" s="334" t="s">
        <v>407</v>
      </c>
      <c r="E9774" s="336">
        <v>43813</v>
      </c>
      <c r="F9774" s="336">
        <v>43812</v>
      </c>
      <c r="G9774" s="399">
        <v>43812</v>
      </c>
      <c r="H9774" s="334" t="s">
        <v>19909</v>
      </c>
      <c r="I9774" s="444">
        <v>13816227636</v>
      </c>
      <c r="J9774" s="438" t="s">
        <v>19910</v>
      </c>
      <c r="K9774" s="356">
        <v>5998</v>
      </c>
      <c r="L9774" s="334">
        <v>5998</v>
      </c>
      <c r="N9774" s="362">
        <f t="shared" si="340"/>
        <v>5998</v>
      </c>
    </row>
    <row r="9775" ht="15" customHeight="1" spans="1:15">
      <c r="A9775" s="550" t="s">
        <v>19911</v>
      </c>
      <c r="B9775" s="334" t="s">
        <v>185</v>
      </c>
      <c r="C9775" s="348" t="s">
        <v>186</v>
      </c>
      <c r="D9775" s="335" t="s">
        <v>187</v>
      </c>
      <c r="E9775" s="336">
        <v>43813</v>
      </c>
      <c r="F9775" s="336">
        <v>43813</v>
      </c>
      <c r="G9775" s="399"/>
      <c r="H9775" s="334" t="s">
        <v>19912</v>
      </c>
      <c r="I9775" s="444">
        <v>13651947859</v>
      </c>
      <c r="J9775" s="438" t="s">
        <v>19913</v>
      </c>
      <c r="K9775" s="356">
        <v>1000</v>
      </c>
      <c r="N9775" s="362">
        <f t="shared" si="340"/>
        <v>0</v>
      </c>
      <c r="O9775" s="467" t="s">
        <v>52</v>
      </c>
    </row>
    <row r="9776" ht="15" customHeight="1" spans="1:14">
      <c r="A9776" s="550" t="s">
        <v>12130</v>
      </c>
      <c r="B9776" s="334" t="s">
        <v>153</v>
      </c>
      <c r="C9776" s="348" t="s">
        <v>15883</v>
      </c>
      <c r="D9776" s="334" t="s">
        <v>171</v>
      </c>
      <c r="E9776" s="336">
        <v>43821</v>
      </c>
      <c r="F9776" s="336">
        <v>43813</v>
      </c>
      <c r="G9776" s="336">
        <v>43821</v>
      </c>
      <c r="H9776" s="334" t="s">
        <v>3094</v>
      </c>
      <c r="I9776" s="444">
        <v>13764495081</v>
      </c>
      <c r="J9776" s="438" t="s">
        <v>19914</v>
      </c>
      <c r="K9776" s="356">
        <v>1000</v>
      </c>
      <c r="L9776" s="334">
        <v>15468</v>
      </c>
      <c r="N9776" s="362">
        <f t="shared" si="340"/>
        <v>15468</v>
      </c>
    </row>
    <row r="9777" ht="15" customHeight="1" spans="1:14">
      <c r="A9777" s="550" t="s">
        <v>12783</v>
      </c>
      <c r="B9777" s="334" t="s">
        <v>137</v>
      </c>
      <c r="C9777" s="348" t="s">
        <v>411</v>
      </c>
      <c r="D9777" s="334" t="s">
        <v>139</v>
      </c>
      <c r="E9777" s="336">
        <v>43821</v>
      </c>
      <c r="F9777" s="336">
        <v>43813</v>
      </c>
      <c r="G9777" s="336">
        <v>43820</v>
      </c>
      <c r="H9777" s="334" t="s">
        <v>19915</v>
      </c>
      <c r="I9777" s="444">
        <v>13795290309</v>
      </c>
      <c r="J9777" s="438" t="s">
        <v>19916</v>
      </c>
      <c r="K9777" s="356">
        <v>21600</v>
      </c>
      <c r="L9777" s="334">
        <v>23505</v>
      </c>
      <c r="N9777" s="362">
        <f t="shared" si="340"/>
        <v>23505</v>
      </c>
    </row>
    <row r="9778" ht="15" customHeight="1" spans="1:15">
      <c r="A9778" s="550" t="s">
        <v>19917</v>
      </c>
      <c r="B9778" s="334" t="s">
        <v>58</v>
      </c>
      <c r="C9778" s="348" t="s">
        <v>342</v>
      </c>
      <c r="D9778" s="334" t="s">
        <v>343</v>
      </c>
      <c r="E9778" s="336">
        <v>43830</v>
      </c>
      <c r="F9778" s="336">
        <v>43812</v>
      </c>
      <c r="G9778" s="336">
        <v>43830</v>
      </c>
      <c r="H9778" s="334" t="s">
        <v>19918</v>
      </c>
      <c r="I9778" s="444">
        <v>18917785435</v>
      </c>
      <c r="J9778" s="438" t="s">
        <v>19919</v>
      </c>
      <c r="K9778" s="356">
        <v>1000</v>
      </c>
      <c r="L9778" s="334">
        <v>19900</v>
      </c>
      <c r="N9778" s="362">
        <f t="shared" si="340"/>
        <v>19900</v>
      </c>
      <c r="O9778" s="467" t="s">
        <v>52</v>
      </c>
    </row>
    <row r="9779" ht="15" customHeight="1" spans="1:18">
      <c r="A9779" s="550" t="s">
        <v>12810</v>
      </c>
      <c r="B9779" s="334" t="s">
        <v>137</v>
      </c>
      <c r="C9779" s="348" t="s">
        <v>2705</v>
      </c>
      <c r="D9779" s="336" t="s">
        <v>443</v>
      </c>
      <c r="E9779" s="336">
        <v>43813</v>
      </c>
      <c r="F9779" s="336">
        <v>43813</v>
      </c>
      <c r="G9779" s="399"/>
      <c r="H9779" s="334" t="s">
        <v>19920</v>
      </c>
      <c r="I9779" s="444">
        <v>13764386598</v>
      </c>
      <c r="J9779" s="438" t="s">
        <v>19921</v>
      </c>
      <c r="K9779" s="356">
        <v>3281</v>
      </c>
      <c r="N9779" s="362">
        <f t="shared" si="340"/>
        <v>0</v>
      </c>
      <c r="R9779" s="353">
        <v>1</v>
      </c>
    </row>
    <row r="9780" ht="15" customHeight="1" spans="1:14">
      <c r="A9780" s="550" t="s">
        <v>12835</v>
      </c>
      <c r="B9780" s="334" t="s">
        <v>137</v>
      </c>
      <c r="C9780" s="348" t="s">
        <v>2705</v>
      </c>
      <c r="D9780" s="334" t="s">
        <v>2381</v>
      </c>
      <c r="E9780" s="336">
        <v>43813</v>
      </c>
      <c r="F9780" s="336">
        <v>43813</v>
      </c>
      <c r="G9780" s="399">
        <v>43812</v>
      </c>
      <c r="H9780" s="334" t="s">
        <v>19922</v>
      </c>
      <c r="I9780" s="444">
        <v>13381693145</v>
      </c>
      <c r="J9780" s="438" t="s">
        <v>19923</v>
      </c>
      <c r="K9780" s="356">
        <v>5400</v>
      </c>
      <c r="L9780" s="334">
        <v>5400</v>
      </c>
      <c r="N9780" s="362">
        <f t="shared" si="340"/>
        <v>5400</v>
      </c>
    </row>
    <row r="9781" ht="15" customHeight="1" spans="1:16">
      <c r="A9781" s="550" t="s">
        <v>6676</v>
      </c>
      <c r="B9781" s="334" t="s">
        <v>805</v>
      </c>
      <c r="C9781" s="348" t="s">
        <v>4935</v>
      </c>
      <c r="D9781" s="335" t="s">
        <v>171</v>
      </c>
      <c r="E9781" s="336">
        <v>43813</v>
      </c>
      <c r="F9781" s="336">
        <v>43813</v>
      </c>
      <c r="G9781" s="399"/>
      <c r="H9781" s="334" t="s">
        <v>19924</v>
      </c>
      <c r="I9781" s="444">
        <v>13162547445</v>
      </c>
      <c r="J9781" s="438" t="s">
        <v>19925</v>
      </c>
      <c r="K9781" s="356">
        <v>20000</v>
      </c>
      <c r="N9781" s="362">
        <f t="shared" si="340"/>
        <v>0</v>
      </c>
      <c r="O9781" s="467"/>
      <c r="P9781" s="467" t="s">
        <v>52</v>
      </c>
    </row>
    <row r="9782" ht="15" customHeight="1" spans="1:14">
      <c r="A9782" s="550" t="s">
        <v>12404</v>
      </c>
      <c r="B9782" s="334" t="s">
        <v>137</v>
      </c>
      <c r="C9782" s="348" t="s">
        <v>138</v>
      </c>
      <c r="D9782" s="334" t="s">
        <v>635</v>
      </c>
      <c r="E9782" s="336">
        <v>43825</v>
      </c>
      <c r="F9782" s="336">
        <v>43813</v>
      </c>
      <c r="G9782" s="336">
        <v>43825</v>
      </c>
      <c r="H9782" s="334" t="s">
        <v>19926</v>
      </c>
      <c r="I9782" s="444">
        <v>13916366826</v>
      </c>
      <c r="J9782" s="438" t="s">
        <v>19927</v>
      </c>
      <c r="K9782" s="356">
        <v>29700</v>
      </c>
      <c r="L9782" s="334">
        <v>30700</v>
      </c>
      <c r="N9782" s="362">
        <f t="shared" si="340"/>
        <v>30700</v>
      </c>
    </row>
    <row r="9783" ht="15" customHeight="1" spans="1:14">
      <c r="A9783" s="550" t="s">
        <v>18720</v>
      </c>
      <c r="B9783" s="334" t="s">
        <v>123</v>
      </c>
      <c r="C9783" s="348" t="s">
        <v>902</v>
      </c>
      <c r="D9783" s="335" t="s">
        <v>125</v>
      </c>
      <c r="E9783" s="336">
        <v>43813</v>
      </c>
      <c r="F9783" s="336">
        <v>43813</v>
      </c>
      <c r="G9783" s="399">
        <v>43814</v>
      </c>
      <c r="H9783" s="334" t="s">
        <v>19928</v>
      </c>
      <c r="I9783" s="444">
        <v>19921034583</v>
      </c>
      <c r="J9783" s="438" t="s">
        <v>19929</v>
      </c>
      <c r="K9783" s="356">
        <v>1000</v>
      </c>
      <c r="L9783" s="334">
        <v>11172</v>
      </c>
      <c r="N9783" s="362">
        <f t="shared" si="340"/>
        <v>11172</v>
      </c>
    </row>
    <row r="9784" ht="15" customHeight="1" spans="1:14">
      <c r="A9784" s="550" t="s">
        <v>12807</v>
      </c>
      <c r="B9784" s="334" t="s">
        <v>185</v>
      </c>
      <c r="C9784" s="348" t="s">
        <v>1620</v>
      </c>
      <c r="D9784" s="335" t="s">
        <v>44</v>
      </c>
      <c r="E9784" s="336">
        <v>43815</v>
      </c>
      <c r="F9784" s="336">
        <v>43813</v>
      </c>
      <c r="G9784" s="336">
        <v>43815</v>
      </c>
      <c r="H9784" s="334" t="s">
        <v>19930</v>
      </c>
      <c r="I9784" s="444">
        <v>13501617195</v>
      </c>
      <c r="J9784" s="438" t="s">
        <v>19931</v>
      </c>
      <c r="K9784" s="356">
        <v>1000</v>
      </c>
      <c r="L9784" s="334">
        <v>3999</v>
      </c>
      <c r="N9784" s="362">
        <f t="shared" si="340"/>
        <v>3999</v>
      </c>
    </row>
    <row r="9785" ht="15" customHeight="1" spans="1:17">
      <c r="A9785" s="550" t="s">
        <v>19932</v>
      </c>
      <c r="B9785" s="334" t="s">
        <v>405</v>
      </c>
      <c r="C9785" s="348" t="s">
        <v>823</v>
      </c>
      <c r="D9785" s="335" t="s">
        <v>407</v>
      </c>
      <c r="E9785" s="336">
        <v>43813</v>
      </c>
      <c r="F9785" s="336">
        <v>43813</v>
      </c>
      <c r="G9785" s="399"/>
      <c r="H9785" s="334" t="s">
        <v>19933</v>
      </c>
      <c r="I9785" s="444">
        <v>13601750801</v>
      </c>
      <c r="J9785" s="438" t="s">
        <v>19934</v>
      </c>
      <c r="K9785" s="356">
        <v>5000</v>
      </c>
      <c r="N9785" s="362">
        <f t="shared" si="340"/>
        <v>0</v>
      </c>
      <c r="Q9785" s="502" t="s">
        <v>52</v>
      </c>
    </row>
    <row r="9786" ht="15" customHeight="1" spans="1:15">
      <c r="A9786" s="550" t="s">
        <v>12921</v>
      </c>
      <c r="B9786" s="334" t="s">
        <v>137</v>
      </c>
      <c r="C9786" s="348" t="s">
        <v>411</v>
      </c>
      <c r="D9786" s="335" t="s">
        <v>427</v>
      </c>
      <c r="E9786" s="336">
        <v>43813</v>
      </c>
      <c r="F9786" s="336">
        <v>43813</v>
      </c>
      <c r="G9786" s="353" t="s">
        <v>69</v>
      </c>
      <c r="H9786" s="334" t="s">
        <v>19935</v>
      </c>
      <c r="I9786" s="444">
        <v>13788998869</v>
      </c>
      <c r="J9786" s="438" t="s">
        <v>19936</v>
      </c>
      <c r="K9786" s="356">
        <v>6000</v>
      </c>
      <c r="N9786" s="362">
        <f t="shared" si="340"/>
        <v>0</v>
      </c>
      <c r="O9786" s="353"/>
    </row>
    <row r="9787" ht="15" customHeight="1" spans="1:16">
      <c r="A9787" s="550" t="s">
        <v>19937</v>
      </c>
      <c r="B9787" s="334" t="s">
        <v>405</v>
      </c>
      <c r="C9787" s="348" t="s">
        <v>14070</v>
      </c>
      <c r="D9787" s="335" t="s">
        <v>407</v>
      </c>
      <c r="E9787" s="336">
        <v>43813</v>
      </c>
      <c r="F9787" s="336">
        <v>43813</v>
      </c>
      <c r="G9787" s="399"/>
      <c r="H9787" s="334" t="s">
        <v>7289</v>
      </c>
      <c r="I9787" s="444">
        <v>13482777022</v>
      </c>
      <c r="J9787" s="438" t="s">
        <v>19938</v>
      </c>
      <c r="K9787" s="356">
        <v>999</v>
      </c>
      <c r="N9787" s="362">
        <f t="shared" si="340"/>
        <v>0</v>
      </c>
      <c r="P9787" s="502" t="s">
        <v>52</v>
      </c>
    </row>
    <row r="9788" ht="15" customHeight="1" spans="1:16">
      <c r="A9788" s="550" t="s">
        <v>3136</v>
      </c>
      <c r="B9788" s="334" t="s">
        <v>153</v>
      </c>
      <c r="C9788" s="348" t="s">
        <v>302</v>
      </c>
      <c r="D9788" s="335" t="s">
        <v>155</v>
      </c>
      <c r="E9788" s="336">
        <v>43814</v>
      </c>
      <c r="F9788" s="336">
        <v>43813</v>
      </c>
      <c r="G9788" s="399"/>
      <c r="H9788" s="334" t="s">
        <v>19939</v>
      </c>
      <c r="I9788" s="444">
        <v>13681922169</v>
      </c>
      <c r="J9788" s="438" t="s">
        <v>19940</v>
      </c>
      <c r="K9788" s="356">
        <v>2000</v>
      </c>
      <c r="N9788" s="362">
        <f t="shared" si="340"/>
        <v>0</v>
      </c>
      <c r="P9788" s="467" t="s">
        <v>52</v>
      </c>
    </row>
    <row r="9789" ht="15" customHeight="1" spans="1:14">
      <c r="A9789" s="550" t="s">
        <v>225</v>
      </c>
      <c r="B9789" s="334" t="s">
        <v>35</v>
      </c>
      <c r="C9789" s="348" t="s">
        <v>392</v>
      </c>
      <c r="D9789" s="335" t="s">
        <v>37</v>
      </c>
      <c r="E9789" s="336">
        <v>43814</v>
      </c>
      <c r="F9789" s="336">
        <v>43814</v>
      </c>
      <c r="G9789" s="399" t="s">
        <v>69</v>
      </c>
      <c r="H9789" s="334" t="s">
        <v>19810</v>
      </c>
      <c r="I9789" s="444">
        <v>15000687240</v>
      </c>
      <c r="J9789" s="438" t="s">
        <v>19941</v>
      </c>
      <c r="K9789" s="356">
        <v>23500</v>
      </c>
      <c r="N9789" s="362">
        <f t="shared" si="340"/>
        <v>0</v>
      </c>
    </row>
    <row r="9790" ht="15" customHeight="1" spans="1:14">
      <c r="A9790" s="550" t="s">
        <v>14099</v>
      </c>
      <c r="B9790" s="334" t="s">
        <v>35</v>
      </c>
      <c r="C9790" s="348" t="s">
        <v>392</v>
      </c>
      <c r="D9790" s="335" t="s">
        <v>37</v>
      </c>
      <c r="E9790" s="336">
        <v>43814</v>
      </c>
      <c r="F9790" s="336">
        <v>43814</v>
      </c>
      <c r="G9790" s="399" t="s">
        <v>69</v>
      </c>
      <c r="H9790" s="334" t="s">
        <v>19812</v>
      </c>
      <c r="I9790" s="444">
        <v>13818881576</v>
      </c>
      <c r="J9790" s="438" t="s">
        <v>19942</v>
      </c>
      <c r="K9790" s="356">
        <v>12495</v>
      </c>
      <c r="N9790" s="362">
        <f t="shared" si="340"/>
        <v>0</v>
      </c>
    </row>
    <row r="9791" ht="15" customHeight="1" spans="1:14">
      <c r="A9791" s="550" t="s">
        <v>19943</v>
      </c>
      <c r="B9791" s="334" t="s">
        <v>236</v>
      </c>
      <c r="C9791" s="348" t="s">
        <v>703</v>
      </c>
      <c r="D9791" s="334" t="s">
        <v>207</v>
      </c>
      <c r="E9791" s="336">
        <v>43814</v>
      </c>
      <c r="F9791" s="336">
        <v>43813</v>
      </c>
      <c r="G9791" s="399">
        <v>43813</v>
      </c>
      <c r="H9791" s="334" t="s">
        <v>19944</v>
      </c>
      <c r="I9791" s="444">
        <v>13916156446</v>
      </c>
      <c r="J9791" s="438" t="s">
        <v>19945</v>
      </c>
      <c r="K9791" s="356">
        <v>4000</v>
      </c>
      <c r="L9791" s="334">
        <v>4000</v>
      </c>
      <c r="N9791" s="362">
        <f t="shared" si="340"/>
        <v>4000</v>
      </c>
    </row>
    <row r="9792" customHeight="1" spans="1:16">
      <c r="A9792" s="550" t="s">
        <v>19946</v>
      </c>
      <c r="B9792" s="334" t="s">
        <v>236</v>
      </c>
      <c r="C9792" s="348" t="s">
        <v>703</v>
      </c>
      <c r="D9792" s="334" t="s">
        <v>207</v>
      </c>
      <c r="E9792" s="336">
        <v>43829</v>
      </c>
      <c r="F9792" s="336">
        <v>43811</v>
      </c>
      <c r="G9792" s="336">
        <v>43827</v>
      </c>
      <c r="H9792" s="334" t="s">
        <v>11360</v>
      </c>
      <c r="I9792" s="444">
        <v>13917457035</v>
      </c>
      <c r="J9792" s="438" t="s">
        <v>19947</v>
      </c>
      <c r="K9792" s="356">
        <v>5654</v>
      </c>
      <c r="L9792" s="334">
        <v>5654</v>
      </c>
      <c r="N9792" s="362">
        <f t="shared" si="340"/>
        <v>5654</v>
      </c>
      <c r="P9792" s="356" t="s">
        <v>52</v>
      </c>
    </row>
    <row r="9793" ht="15" customHeight="1" spans="1:14">
      <c r="A9793" s="550" t="s">
        <v>19948</v>
      </c>
      <c r="B9793" s="334" t="s">
        <v>236</v>
      </c>
      <c r="C9793" s="348" t="s">
        <v>703</v>
      </c>
      <c r="D9793" s="334" t="s">
        <v>207</v>
      </c>
      <c r="E9793" s="336">
        <v>43818</v>
      </c>
      <c r="F9793" s="336">
        <v>43812</v>
      </c>
      <c r="G9793" s="336">
        <v>43817</v>
      </c>
      <c r="H9793" s="334" t="s">
        <v>3435</v>
      </c>
      <c r="I9793" s="444">
        <v>15262934635</v>
      </c>
      <c r="J9793" s="438" t="s">
        <v>19949</v>
      </c>
      <c r="K9793" s="356">
        <v>1627</v>
      </c>
      <c r="L9793" s="334">
        <v>2027</v>
      </c>
      <c r="N9793" s="362">
        <f t="shared" si="340"/>
        <v>2027</v>
      </c>
    </row>
    <row r="9794" ht="15" customHeight="1" spans="1:14">
      <c r="A9794" s="550" t="s">
        <v>19950</v>
      </c>
      <c r="B9794" s="334" t="s">
        <v>58</v>
      </c>
      <c r="C9794" s="348" t="s">
        <v>109</v>
      </c>
      <c r="D9794" s="334" t="s">
        <v>110</v>
      </c>
      <c r="E9794" s="336">
        <v>43814</v>
      </c>
      <c r="F9794" s="336">
        <v>43813</v>
      </c>
      <c r="G9794" s="399">
        <v>43814</v>
      </c>
      <c r="H9794" s="334" t="s">
        <v>19951</v>
      </c>
      <c r="I9794" s="444">
        <v>18516597371</v>
      </c>
      <c r="J9794" s="438" t="s">
        <v>19952</v>
      </c>
      <c r="K9794" s="356">
        <v>6000</v>
      </c>
      <c r="L9794" s="334">
        <v>6847</v>
      </c>
      <c r="N9794" s="362">
        <f t="shared" ref="N9794:N9838" si="341">L9794+M9794</f>
        <v>6847</v>
      </c>
    </row>
    <row r="9795" ht="15" customHeight="1" spans="1:15">
      <c r="A9795" s="550" t="s">
        <v>12205</v>
      </c>
      <c r="B9795" s="334" t="s">
        <v>58</v>
      </c>
      <c r="C9795" s="348" t="s">
        <v>109</v>
      </c>
      <c r="D9795" s="335" t="s">
        <v>110</v>
      </c>
      <c r="E9795" s="336">
        <v>43814</v>
      </c>
      <c r="F9795" s="336">
        <v>43813</v>
      </c>
      <c r="G9795" s="399"/>
      <c r="H9795" s="334" t="s">
        <v>19953</v>
      </c>
      <c r="I9795" s="444">
        <v>15000743665</v>
      </c>
      <c r="J9795" s="438" t="s">
        <v>19954</v>
      </c>
      <c r="K9795" s="356">
        <v>1000</v>
      </c>
      <c r="N9795" s="362">
        <f t="shared" si="341"/>
        <v>0</v>
      </c>
      <c r="O9795" s="467" t="s">
        <v>52</v>
      </c>
    </row>
    <row r="9796" ht="15" customHeight="1" spans="1:17">
      <c r="A9796" s="550" t="s">
        <v>19955</v>
      </c>
      <c r="B9796" s="334" t="s">
        <v>137</v>
      </c>
      <c r="C9796" s="348" t="s">
        <v>480</v>
      </c>
      <c r="D9796" s="335" t="s">
        <v>139</v>
      </c>
      <c r="E9796" s="336">
        <v>43829</v>
      </c>
      <c r="F9796" s="336">
        <v>43813</v>
      </c>
      <c r="G9796" s="336">
        <v>43828</v>
      </c>
      <c r="H9796" s="334" t="s">
        <v>19956</v>
      </c>
      <c r="I9796" s="444">
        <v>18616766177</v>
      </c>
      <c r="J9796" s="438" t="s">
        <v>19957</v>
      </c>
      <c r="K9796" s="356">
        <v>13500</v>
      </c>
      <c r="L9796" s="334">
        <v>13500</v>
      </c>
      <c r="N9796" s="362">
        <f t="shared" si="341"/>
        <v>13500</v>
      </c>
      <c r="Q9796" s="353" t="s">
        <v>21</v>
      </c>
    </row>
    <row r="9797" ht="15" customHeight="1" spans="1:15">
      <c r="A9797" s="550" t="s">
        <v>13881</v>
      </c>
      <c r="B9797" s="334" t="s">
        <v>335</v>
      </c>
      <c r="C9797" s="348" t="s">
        <v>399</v>
      </c>
      <c r="D9797" s="335" t="s">
        <v>337</v>
      </c>
      <c r="E9797" s="336">
        <v>43814</v>
      </c>
      <c r="F9797" s="336">
        <v>43811</v>
      </c>
      <c r="G9797" s="399"/>
      <c r="H9797" s="334" t="s">
        <v>534</v>
      </c>
      <c r="I9797" s="444">
        <v>18621569057</v>
      </c>
      <c r="J9797" s="438" t="s">
        <v>19958</v>
      </c>
      <c r="K9797" s="356">
        <v>1000</v>
      </c>
      <c r="N9797" s="362">
        <f t="shared" si="341"/>
        <v>0</v>
      </c>
      <c r="O9797" s="338" t="s">
        <v>17340</v>
      </c>
    </row>
    <row r="9798" ht="15" customHeight="1" spans="1:15">
      <c r="A9798" s="550" t="s">
        <v>6393</v>
      </c>
      <c r="B9798" s="334" t="s">
        <v>58</v>
      </c>
      <c r="C9798" s="348" t="s">
        <v>794</v>
      </c>
      <c r="D9798" s="334" t="s">
        <v>271</v>
      </c>
      <c r="E9798" s="336">
        <v>43830</v>
      </c>
      <c r="F9798" s="336">
        <v>43813</v>
      </c>
      <c r="G9798" s="336">
        <v>43828</v>
      </c>
      <c r="H9798" s="334" t="s">
        <v>19959</v>
      </c>
      <c r="I9798" s="444">
        <v>13918010805</v>
      </c>
      <c r="J9798" s="438" t="s">
        <v>19960</v>
      </c>
      <c r="K9798" s="356">
        <v>1000</v>
      </c>
      <c r="L9798" s="334">
        <v>11800</v>
      </c>
      <c r="N9798" s="362">
        <f t="shared" si="341"/>
        <v>11800</v>
      </c>
      <c r="O9798" s="467" t="s">
        <v>52</v>
      </c>
    </row>
    <row r="9799" ht="15" customHeight="1" spans="1:17">
      <c r="A9799" s="550" t="s">
        <v>12034</v>
      </c>
      <c r="B9799" s="334" t="s">
        <v>185</v>
      </c>
      <c r="C9799" s="348" t="s">
        <v>1620</v>
      </c>
      <c r="D9799" s="335" t="s">
        <v>44</v>
      </c>
      <c r="E9799" s="336">
        <v>43814</v>
      </c>
      <c r="F9799" s="336">
        <v>43813</v>
      </c>
      <c r="G9799" s="399"/>
      <c r="H9799" s="334" t="s">
        <v>19961</v>
      </c>
      <c r="I9799" s="444">
        <v>18717745210</v>
      </c>
      <c r="J9799" s="438" t="s">
        <v>19962</v>
      </c>
      <c r="K9799" s="356">
        <v>1000</v>
      </c>
      <c r="N9799" s="362">
        <f t="shared" si="341"/>
        <v>0</v>
      </c>
      <c r="Q9799" s="467" t="s">
        <v>52</v>
      </c>
    </row>
    <row r="9800" ht="15" customHeight="1" spans="1:14">
      <c r="A9800" s="550" t="s">
        <v>19963</v>
      </c>
      <c r="B9800" s="334" t="s">
        <v>42</v>
      </c>
      <c r="C9800" s="348" t="s">
        <v>43</v>
      </c>
      <c r="D9800" s="334" t="s">
        <v>207</v>
      </c>
      <c r="E9800" s="336">
        <v>43817</v>
      </c>
      <c r="F9800" s="336">
        <v>43813</v>
      </c>
      <c r="G9800" s="336">
        <v>43814</v>
      </c>
      <c r="H9800" s="334" t="s">
        <v>19964</v>
      </c>
      <c r="I9800" s="444">
        <v>13122066142</v>
      </c>
      <c r="J9800" s="438" t="s">
        <v>19965</v>
      </c>
      <c r="K9800" s="356">
        <v>9952</v>
      </c>
      <c r="L9800" s="334">
        <v>9952</v>
      </c>
      <c r="N9800" s="362">
        <f t="shared" si="341"/>
        <v>9952</v>
      </c>
    </row>
    <row r="9801" ht="15" customHeight="1" spans="1:15">
      <c r="A9801" s="550" t="s">
        <v>19966</v>
      </c>
      <c r="B9801" s="334" t="s">
        <v>73</v>
      </c>
      <c r="C9801" s="348" t="s">
        <v>74</v>
      </c>
      <c r="D9801" s="334" t="s">
        <v>44</v>
      </c>
      <c r="E9801" s="336">
        <v>43817</v>
      </c>
      <c r="F9801" s="336">
        <v>43814</v>
      </c>
      <c r="G9801" s="336">
        <v>43817</v>
      </c>
      <c r="H9801" s="334" t="s">
        <v>19967</v>
      </c>
      <c r="I9801" s="444">
        <v>15618511700</v>
      </c>
      <c r="J9801" s="438" t="s">
        <v>19968</v>
      </c>
      <c r="K9801" s="356">
        <v>1000</v>
      </c>
      <c r="L9801" s="334">
        <v>15811</v>
      </c>
      <c r="N9801" s="362">
        <f t="shared" si="341"/>
        <v>15811</v>
      </c>
      <c r="O9801" s="366" t="s">
        <v>52</v>
      </c>
    </row>
    <row r="9802" ht="15" customHeight="1" spans="1:15">
      <c r="A9802" s="550" t="s">
        <v>8960</v>
      </c>
      <c r="B9802" s="334" t="s">
        <v>73</v>
      </c>
      <c r="C9802" s="348" t="s">
        <v>74</v>
      </c>
      <c r="D9802" s="335" t="s">
        <v>75</v>
      </c>
      <c r="E9802" s="336">
        <v>43814</v>
      </c>
      <c r="F9802" s="336">
        <v>43813</v>
      </c>
      <c r="G9802" s="399"/>
      <c r="H9802" s="334" t="s">
        <v>19969</v>
      </c>
      <c r="I9802" s="444">
        <v>18918166003</v>
      </c>
      <c r="J9802" s="438" t="s">
        <v>19970</v>
      </c>
      <c r="K9802" s="356">
        <v>1000</v>
      </c>
      <c r="N9802" s="362">
        <f t="shared" si="341"/>
        <v>0</v>
      </c>
      <c r="O9802" s="366" t="s">
        <v>52</v>
      </c>
    </row>
    <row r="9803" ht="15" customHeight="1" spans="1:15">
      <c r="A9803" s="550" t="s">
        <v>9214</v>
      </c>
      <c r="B9803" s="334" t="s">
        <v>73</v>
      </c>
      <c r="C9803" s="348" t="s">
        <v>178</v>
      </c>
      <c r="D9803" s="335" t="s">
        <v>75</v>
      </c>
      <c r="E9803" s="336">
        <v>43820</v>
      </c>
      <c r="F9803" s="336">
        <v>43819</v>
      </c>
      <c r="G9803" s="399"/>
      <c r="H9803" s="334" t="s">
        <v>3435</v>
      </c>
      <c r="I9803" s="444">
        <v>18621019516</v>
      </c>
      <c r="J9803" s="438" t="s">
        <v>19971</v>
      </c>
      <c r="K9803" s="356">
        <v>1000</v>
      </c>
      <c r="N9803" s="362">
        <f t="shared" si="341"/>
        <v>0</v>
      </c>
      <c r="O9803" s="366" t="s">
        <v>52</v>
      </c>
    </row>
    <row r="9804" ht="15" customHeight="1" spans="1:14">
      <c r="A9804" s="550" t="s">
        <v>15833</v>
      </c>
      <c r="B9804" s="334" t="s">
        <v>137</v>
      </c>
      <c r="C9804" s="348" t="s">
        <v>480</v>
      </c>
      <c r="D9804" s="334" t="s">
        <v>443</v>
      </c>
      <c r="E9804" s="336">
        <v>43825</v>
      </c>
      <c r="F9804" s="336">
        <v>43813</v>
      </c>
      <c r="G9804" s="336">
        <v>43825</v>
      </c>
      <c r="H9804" s="334" t="s">
        <v>19972</v>
      </c>
      <c r="I9804" s="444">
        <v>18001743006</v>
      </c>
      <c r="J9804" s="438" t="s">
        <v>19973</v>
      </c>
      <c r="K9804" s="356">
        <v>6000</v>
      </c>
      <c r="L9804" s="334">
        <v>8629</v>
      </c>
      <c r="N9804" s="362">
        <f t="shared" si="341"/>
        <v>8629</v>
      </c>
    </row>
    <row r="9805" ht="15" customHeight="1" spans="1:14">
      <c r="A9805" s="550" t="s">
        <v>19125</v>
      </c>
      <c r="B9805" s="334" t="s">
        <v>31</v>
      </c>
      <c r="C9805" s="348" t="s">
        <v>251</v>
      </c>
      <c r="D9805" s="335" t="s">
        <v>33</v>
      </c>
      <c r="E9805" s="336">
        <v>43823</v>
      </c>
      <c r="F9805" s="336">
        <v>43813</v>
      </c>
      <c r="G9805" s="336">
        <v>43822</v>
      </c>
      <c r="H9805" s="334" t="s">
        <v>13320</v>
      </c>
      <c r="I9805" s="444">
        <v>18918900847</v>
      </c>
      <c r="J9805" s="438" t="s">
        <v>19974</v>
      </c>
      <c r="K9805" s="356">
        <v>3000</v>
      </c>
      <c r="L9805" s="334">
        <v>8141</v>
      </c>
      <c r="N9805" s="362">
        <f t="shared" si="341"/>
        <v>8141</v>
      </c>
    </row>
    <row r="9806" ht="15" customHeight="1" spans="1:14">
      <c r="A9806" s="348"/>
      <c r="B9806" s="334" t="s">
        <v>58</v>
      </c>
      <c r="C9806" s="348" t="s">
        <v>347</v>
      </c>
      <c r="D9806" s="334" t="s">
        <v>343</v>
      </c>
      <c r="E9806" s="336">
        <v>43814</v>
      </c>
      <c r="F9806" s="336">
        <v>43813</v>
      </c>
      <c r="G9806" s="399">
        <v>43813</v>
      </c>
      <c r="H9806" s="334" t="s">
        <v>19975</v>
      </c>
      <c r="I9806" s="444">
        <v>15202160152</v>
      </c>
      <c r="J9806" s="438" t="s">
        <v>19976</v>
      </c>
      <c r="K9806" s="356">
        <v>3000</v>
      </c>
      <c r="L9806" s="334">
        <v>8065</v>
      </c>
      <c r="N9806" s="362">
        <f t="shared" si="341"/>
        <v>8065</v>
      </c>
    </row>
    <row r="9807" ht="15" customHeight="1" spans="1:15">
      <c r="A9807" s="550" t="s">
        <v>2173</v>
      </c>
      <c r="B9807" s="334" t="s">
        <v>31</v>
      </c>
      <c r="C9807" s="348" t="s">
        <v>377</v>
      </c>
      <c r="D9807" s="335" t="s">
        <v>33</v>
      </c>
      <c r="E9807" s="336">
        <v>43814</v>
      </c>
      <c r="F9807" s="336">
        <v>43814</v>
      </c>
      <c r="G9807" s="399"/>
      <c r="H9807" s="334" t="s">
        <v>19977</v>
      </c>
      <c r="I9807" s="444">
        <v>13901733784</v>
      </c>
      <c r="J9807" s="438" t="s">
        <v>19978</v>
      </c>
      <c r="K9807" s="356">
        <v>1000</v>
      </c>
      <c r="N9807" s="362">
        <f t="shared" si="341"/>
        <v>0</v>
      </c>
      <c r="O9807" s="366" t="s">
        <v>52</v>
      </c>
    </row>
    <row r="9808" ht="15" customHeight="1" spans="1:21">
      <c r="A9808" s="550" t="s">
        <v>9523</v>
      </c>
      <c r="B9808" s="334" t="s">
        <v>354</v>
      </c>
      <c r="C9808" s="348" t="s">
        <v>355</v>
      </c>
      <c r="D9808" s="335" t="s">
        <v>207</v>
      </c>
      <c r="E9808" s="336">
        <v>43814</v>
      </c>
      <c r="F9808" s="336">
        <v>43813</v>
      </c>
      <c r="G9808" s="399"/>
      <c r="H9808" s="334" t="s">
        <v>19979</v>
      </c>
      <c r="I9808" s="444">
        <v>13611735081</v>
      </c>
      <c r="J9808" s="438" t="s">
        <v>19980</v>
      </c>
      <c r="K9808" s="356">
        <v>500</v>
      </c>
      <c r="N9808" s="362">
        <f t="shared" si="341"/>
        <v>0</v>
      </c>
      <c r="U9808" s="353" t="s">
        <v>12</v>
      </c>
    </row>
    <row r="9809" ht="15" customHeight="1" spans="1:14">
      <c r="A9809" s="550" t="s">
        <v>10825</v>
      </c>
      <c r="B9809" s="334" t="s">
        <v>123</v>
      </c>
      <c r="C9809" s="348" t="s">
        <v>32</v>
      </c>
      <c r="D9809" s="335" t="s">
        <v>125</v>
      </c>
      <c r="E9809" s="336">
        <v>43814</v>
      </c>
      <c r="F9809" s="336">
        <v>43813</v>
      </c>
      <c r="G9809" s="399">
        <v>43813</v>
      </c>
      <c r="H9809" s="334" t="s">
        <v>19981</v>
      </c>
      <c r="I9809" s="444">
        <v>17721001041</v>
      </c>
      <c r="J9809" s="438" t="s">
        <v>19982</v>
      </c>
      <c r="K9809" s="356">
        <v>12071</v>
      </c>
      <c r="L9809" s="334">
        <f>-1104+12069</f>
        <v>10965</v>
      </c>
      <c r="N9809" s="362">
        <f t="shared" si="341"/>
        <v>10965</v>
      </c>
    </row>
    <row r="9810" ht="15" customHeight="1" spans="1:14">
      <c r="A9810" s="550" t="s">
        <v>14096</v>
      </c>
      <c r="B9810" s="334" t="s">
        <v>35</v>
      </c>
      <c r="C9810" s="348" t="s">
        <v>392</v>
      </c>
      <c r="D9810" s="334" t="s">
        <v>37</v>
      </c>
      <c r="E9810" s="336">
        <v>43814</v>
      </c>
      <c r="F9810" s="336">
        <v>43814</v>
      </c>
      <c r="G9810" s="399">
        <v>43814</v>
      </c>
      <c r="H9810" s="334" t="s">
        <v>19983</v>
      </c>
      <c r="I9810" s="444">
        <v>18502138585</v>
      </c>
      <c r="J9810" s="438" t="s">
        <v>19984</v>
      </c>
      <c r="K9810" s="356">
        <v>21135</v>
      </c>
      <c r="L9810" s="334">
        <v>21135</v>
      </c>
      <c r="N9810" s="362">
        <f t="shared" si="341"/>
        <v>21135</v>
      </c>
    </row>
    <row r="9811" ht="15" customHeight="1" spans="1:14">
      <c r="A9811" s="550" t="s">
        <v>12810</v>
      </c>
      <c r="B9811" s="334" t="s">
        <v>137</v>
      </c>
      <c r="C9811" s="348" t="s">
        <v>2705</v>
      </c>
      <c r="D9811" s="334" t="s">
        <v>2381</v>
      </c>
      <c r="E9811" s="336">
        <v>43814</v>
      </c>
      <c r="F9811" s="336">
        <v>43813</v>
      </c>
      <c r="G9811" s="399">
        <v>43813</v>
      </c>
      <c r="H9811" s="334" t="s">
        <v>19985</v>
      </c>
      <c r="I9811" s="444">
        <v>13761386598</v>
      </c>
      <c r="J9811" s="438" t="s">
        <v>19986</v>
      </c>
      <c r="K9811" s="356">
        <v>3281</v>
      </c>
      <c r="L9811" s="334">
        <v>3281</v>
      </c>
      <c r="N9811" s="362">
        <f t="shared" si="341"/>
        <v>3281</v>
      </c>
    </row>
    <row r="9812" ht="15" customHeight="1" spans="1:14">
      <c r="A9812" s="550" t="s">
        <v>7281</v>
      </c>
      <c r="B9812" s="334" t="s">
        <v>87</v>
      </c>
      <c r="C9812" s="348" t="s">
        <v>466</v>
      </c>
      <c r="D9812" s="335" t="s">
        <v>89</v>
      </c>
      <c r="E9812" s="336">
        <v>43819</v>
      </c>
      <c r="F9812" s="336">
        <v>43813</v>
      </c>
      <c r="G9812" s="336">
        <v>43817</v>
      </c>
      <c r="H9812" s="334" t="s">
        <v>19987</v>
      </c>
      <c r="I9812" s="444">
        <v>15618531821</v>
      </c>
      <c r="J9812" s="438" t="s">
        <v>19988</v>
      </c>
      <c r="K9812" s="356">
        <v>1000</v>
      </c>
      <c r="L9812" s="334">
        <v>20476</v>
      </c>
      <c r="N9812" s="362">
        <f t="shared" si="341"/>
        <v>20476</v>
      </c>
    </row>
    <row r="9813" ht="15" customHeight="1" spans="1:14">
      <c r="A9813" s="550" t="s">
        <v>12154</v>
      </c>
      <c r="B9813" s="334" t="s">
        <v>169</v>
      </c>
      <c r="C9813" s="348" t="s">
        <v>634</v>
      </c>
      <c r="D9813" s="335" t="s">
        <v>635</v>
      </c>
      <c r="E9813" s="336">
        <v>43824</v>
      </c>
      <c r="F9813" s="336">
        <v>43813</v>
      </c>
      <c r="G9813" s="336">
        <v>43823</v>
      </c>
      <c r="H9813" s="334" t="s">
        <v>19989</v>
      </c>
      <c r="I9813" s="444">
        <v>13482815292</v>
      </c>
      <c r="J9813" s="438" t="s">
        <v>19990</v>
      </c>
      <c r="K9813" s="356">
        <v>16200</v>
      </c>
      <c r="L9813" s="334">
        <v>21698</v>
      </c>
      <c r="N9813" s="362">
        <f t="shared" si="341"/>
        <v>21698</v>
      </c>
    </row>
    <row r="9814" ht="15" customHeight="1" spans="1:14">
      <c r="A9814" s="550" t="s">
        <v>1002</v>
      </c>
      <c r="B9814" s="334" t="s">
        <v>5435</v>
      </c>
      <c r="C9814" s="348" t="s">
        <v>1728</v>
      </c>
      <c r="D9814" s="334" t="s">
        <v>149</v>
      </c>
      <c r="E9814" s="336">
        <v>43828</v>
      </c>
      <c r="F9814" s="336">
        <v>43813</v>
      </c>
      <c r="G9814" s="336">
        <v>43828</v>
      </c>
      <c r="H9814" s="334" t="s">
        <v>19991</v>
      </c>
      <c r="I9814" s="444">
        <v>13524939983</v>
      </c>
      <c r="J9814" s="438" t="s">
        <v>19992</v>
      </c>
      <c r="K9814" s="356">
        <v>8000</v>
      </c>
      <c r="L9814" s="334">
        <v>11254</v>
      </c>
      <c r="N9814" s="362">
        <f t="shared" si="341"/>
        <v>11254</v>
      </c>
    </row>
    <row r="9815" ht="15" customHeight="1" spans="1:21">
      <c r="A9815" s="550" t="s">
        <v>19993</v>
      </c>
      <c r="B9815" s="334" t="s">
        <v>153</v>
      </c>
      <c r="C9815" s="348" t="s">
        <v>302</v>
      </c>
      <c r="D9815" s="335" t="s">
        <v>155</v>
      </c>
      <c r="E9815" s="336">
        <v>43814</v>
      </c>
      <c r="F9815" s="336">
        <v>43814</v>
      </c>
      <c r="G9815" s="399"/>
      <c r="H9815" s="334" t="s">
        <v>3435</v>
      </c>
      <c r="I9815" s="444">
        <v>18621038166</v>
      </c>
      <c r="J9815" s="438" t="s">
        <v>19994</v>
      </c>
      <c r="K9815" s="356">
        <v>1299</v>
      </c>
      <c r="N9815" s="362">
        <f t="shared" si="341"/>
        <v>0</v>
      </c>
      <c r="U9815" s="353">
        <v>12.17</v>
      </c>
    </row>
    <row r="9816" ht="15" customHeight="1" spans="1:22">
      <c r="A9816" s="550" t="s">
        <v>1583</v>
      </c>
      <c r="B9816" s="334" t="s">
        <v>137</v>
      </c>
      <c r="C9816" s="348" t="s">
        <v>406</v>
      </c>
      <c r="D9816" s="334" t="s">
        <v>2381</v>
      </c>
      <c r="E9816" s="336">
        <v>43829</v>
      </c>
      <c r="F9816" s="336">
        <v>43814</v>
      </c>
      <c r="G9816" s="336">
        <v>43828</v>
      </c>
      <c r="H9816" s="334" t="s">
        <v>19995</v>
      </c>
      <c r="I9816" s="444">
        <v>17521501249</v>
      </c>
      <c r="J9816" s="438" t="s">
        <v>19996</v>
      </c>
      <c r="K9816" s="356">
        <v>1000</v>
      </c>
      <c r="L9816" s="334">
        <v>4617</v>
      </c>
      <c r="N9816" s="362">
        <f t="shared" si="341"/>
        <v>4617</v>
      </c>
      <c r="V9816" s="330" t="s">
        <v>19835</v>
      </c>
    </row>
    <row r="9817" ht="15" customHeight="1" spans="1:14">
      <c r="A9817" s="550" t="s">
        <v>6144</v>
      </c>
      <c r="B9817" s="334" t="s">
        <v>147</v>
      </c>
      <c r="C9817" s="348" t="s">
        <v>13719</v>
      </c>
      <c r="D9817" s="334" t="s">
        <v>237</v>
      </c>
      <c r="E9817" s="336">
        <v>43814</v>
      </c>
      <c r="F9817" s="336">
        <v>43785</v>
      </c>
      <c r="G9817" s="399">
        <v>43813</v>
      </c>
      <c r="H9817" s="334" t="s">
        <v>19997</v>
      </c>
      <c r="I9817" s="444">
        <v>15815506847</v>
      </c>
      <c r="J9817" s="438" t="s">
        <v>19998</v>
      </c>
      <c r="K9817" s="356">
        <v>1000</v>
      </c>
      <c r="L9817" s="334">
        <v>12700</v>
      </c>
      <c r="N9817" s="362">
        <f t="shared" si="341"/>
        <v>12700</v>
      </c>
    </row>
    <row r="9818" ht="15" customHeight="1" spans="1:15">
      <c r="A9818" s="550" t="s">
        <v>19999</v>
      </c>
      <c r="B9818" s="334" t="s">
        <v>42</v>
      </c>
      <c r="C9818" s="348" t="s">
        <v>43</v>
      </c>
      <c r="D9818" s="334" t="s">
        <v>207</v>
      </c>
      <c r="E9818" s="336">
        <v>43828</v>
      </c>
      <c r="F9818" s="336">
        <v>43814</v>
      </c>
      <c r="G9818" s="336">
        <v>43828</v>
      </c>
      <c r="H9818" s="334" t="s">
        <v>20000</v>
      </c>
      <c r="I9818" s="444">
        <v>13918060575</v>
      </c>
      <c r="J9818" s="438" t="s">
        <v>20001</v>
      </c>
      <c r="K9818" s="356">
        <v>20000</v>
      </c>
      <c r="L9818" s="334">
        <v>19777</v>
      </c>
      <c r="N9818" s="362">
        <f t="shared" si="341"/>
        <v>19777</v>
      </c>
      <c r="O9818" s="353" t="s">
        <v>52</v>
      </c>
    </row>
    <row r="9819" ht="15" customHeight="1" spans="1:17">
      <c r="A9819" s="550" t="s">
        <v>20002</v>
      </c>
      <c r="B9819" s="334" t="s">
        <v>405</v>
      </c>
      <c r="C9819" s="348" t="s">
        <v>823</v>
      </c>
      <c r="D9819" s="335" t="s">
        <v>407</v>
      </c>
      <c r="E9819" s="336">
        <v>43814</v>
      </c>
      <c r="F9819" s="336">
        <v>43814</v>
      </c>
      <c r="G9819" s="399"/>
      <c r="H9819" s="334" t="s">
        <v>18620</v>
      </c>
      <c r="I9819" s="444">
        <v>13917794750</v>
      </c>
      <c r="J9819" s="438" t="s">
        <v>20003</v>
      </c>
      <c r="K9819" s="356">
        <v>5000</v>
      </c>
      <c r="N9819" s="362">
        <f t="shared" si="341"/>
        <v>0</v>
      </c>
      <c r="Q9819" s="502" t="s">
        <v>52</v>
      </c>
    </row>
    <row r="9820" ht="15" customHeight="1" spans="1:22">
      <c r="A9820" s="550" t="s">
        <v>20004</v>
      </c>
      <c r="B9820" s="334" t="s">
        <v>123</v>
      </c>
      <c r="C9820" s="348" t="s">
        <v>32</v>
      </c>
      <c r="D9820" s="335" t="s">
        <v>125</v>
      </c>
      <c r="E9820" s="336">
        <v>43821</v>
      </c>
      <c r="F9820" s="336">
        <v>43814</v>
      </c>
      <c r="G9820" s="336">
        <v>43820</v>
      </c>
      <c r="H9820" s="334" t="s">
        <v>1705</v>
      </c>
      <c r="I9820" s="444">
        <v>13917977066</v>
      </c>
      <c r="J9820" s="438" t="s">
        <v>20005</v>
      </c>
      <c r="K9820" s="356">
        <v>3598</v>
      </c>
      <c r="L9820" s="334">
        <v>15300</v>
      </c>
      <c r="N9820" s="362">
        <f t="shared" si="341"/>
        <v>15300</v>
      </c>
      <c r="V9820" s="353" t="s">
        <v>98</v>
      </c>
    </row>
    <row r="9821" ht="15" customHeight="1" spans="1:21">
      <c r="A9821" s="550" t="s">
        <v>14174</v>
      </c>
      <c r="B9821" s="334" t="s">
        <v>137</v>
      </c>
      <c r="C9821" s="348" t="s">
        <v>138</v>
      </c>
      <c r="D9821" s="335" t="s">
        <v>139</v>
      </c>
      <c r="E9821" s="336">
        <v>43814</v>
      </c>
      <c r="F9821" s="336">
        <v>43814</v>
      </c>
      <c r="G9821" s="399"/>
      <c r="H9821" s="334" t="s">
        <v>20006</v>
      </c>
      <c r="I9821" s="444">
        <v>18521004677</v>
      </c>
      <c r="J9821" s="438" t="s">
        <v>20007</v>
      </c>
      <c r="K9821" s="356">
        <v>1000</v>
      </c>
      <c r="N9821" s="362">
        <f t="shared" si="341"/>
        <v>0</v>
      </c>
      <c r="U9821" s="353" t="s">
        <v>889</v>
      </c>
    </row>
    <row r="9822" ht="15" customHeight="1" spans="1:15">
      <c r="A9822" s="550" t="s">
        <v>12876</v>
      </c>
      <c r="B9822" s="334" t="s">
        <v>169</v>
      </c>
      <c r="C9822" s="348" t="s">
        <v>542</v>
      </c>
      <c r="D9822" s="336" t="s">
        <v>171</v>
      </c>
      <c r="E9822" s="336">
        <v>43829</v>
      </c>
      <c r="F9822" s="336">
        <v>43814</v>
      </c>
      <c r="G9822" s="336">
        <v>43829</v>
      </c>
      <c r="H9822" s="334" t="s">
        <v>20008</v>
      </c>
      <c r="I9822" s="444">
        <v>13651867970</v>
      </c>
      <c r="J9822" s="438" t="s">
        <v>20009</v>
      </c>
      <c r="K9822" s="356">
        <v>10800</v>
      </c>
      <c r="L9822" s="334">
        <v>10800</v>
      </c>
      <c r="N9822" s="362">
        <f t="shared" si="341"/>
        <v>10800</v>
      </c>
      <c r="O9822" s="356" t="s">
        <v>18643</v>
      </c>
    </row>
    <row r="9823" ht="15" customHeight="1" spans="1:14">
      <c r="A9823" s="550" t="s">
        <v>1250</v>
      </c>
      <c r="B9823" s="334" t="s">
        <v>66</v>
      </c>
      <c r="C9823" s="348" t="s">
        <v>1749</v>
      </c>
      <c r="D9823" s="335" t="s">
        <v>1436</v>
      </c>
      <c r="E9823" s="336">
        <v>43814</v>
      </c>
      <c r="F9823" s="336">
        <v>43814</v>
      </c>
      <c r="G9823" s="362" t="s">
        <v>69</v>
      </c>
      <c r="H9823" s="334" t="s">
        <v>10853</v>
      </c>
      <c r="I9823" s="444">
        <v>13585746925</v>
      </c>
      <c r="J9823" s="438" t="s">
        <v>20010</v>
      </c>
      <c r="K9823" s="356">
        <v>10000</v>
      </c>
      <c r="N9823" s="362">
        <f t="shared" si="341"/>
        <v>0</v>
      </c>
    </row>
    <row r="9824" ht="15" customHeight="1" spans="1:14">
      <c r="A9824" s="550" t="s">
        <v>9832</v>
      </c>
      <c r="B9824" s="334" t="s">
        <v>205</v>
      </c>
      <c r="C9824" s="348" t="s">
        <v>1467</v>
      </c>
      <c r="D9824" s="335" t="s">
        <v>207</v>
      </c>
      <c r="E9824" s="336">
        <v>43815</v>
      </c>
      <c r="F9824" s="336">
        <v>43814</v>
      </c>
      <c r="G9824" s="336">
        <v>43814</v>
      </c>
      <c r="H9824" s="334" t="s">
        <v>20011</v>
      </c>
      <c r="I9824" s="444">
        <v>18918989289</v>
      </c>
      <c r="J9824" s="438" t="s">
        <v>20012</v>
      </c>
      <c r="K9824" s="356">
        <v>2267</v>
      </c>
      <c r="L9824" s="334">
        <v>2567</v>
      </c>
      <c r="N9824" s="362">
        <f t="shared" si="341"/>
        <v>2567</v>
      </c>
    </row>
    <row r="9825" ht="15" customHeight="1" spans="1:14">
      <c r="A9825" s="550" t="s">
        <v>9651</v>
      </c>
      <c r="B9825" s="334" t="s">
        <v>205</v>
      </c>
      <c r="C9825" s="348" t="s">
        <v>1467</v>
      </c>
      <c r="D9825" s="335" t="s">
        <v>207</v>
      </c>
      <c r="E9825" s="336">
        <v>43816</v>
      </c>
      <c r="F9825" s="336">
        <v>43814</v>
      </c>
      <c r="G9825" s="336">
        <v>43816</v>
      </c>
      <c r="H9825" s="334" t="s">
        <v>20013</v>
      </c>
      <c r="I9825" s="444">
        <v>13913815187</v>
      </c>
      <c r="J9825" s="438" t="s">
        <v>20014</v>
      </c>
      <c r="K9825" s="356">
        <v>4996</v>
      </c>
      <c r="L9825" s="334">
        <v>6350</v>
      </c>
      <c r="N9825" s="362">
        <f t="shared" si="341"/>
        <v>6350</v>
      </c>
    </row>
    <row r="9826" ht="15" customHeight="1" spans="1:14">
      <c r="A9826" s="348"/>
      <c r="B9826" s="334" t="s">
        <v>87</v>
      </c>
      <c r="C9826" s="348" t="s">
        <v>199</v>
      </c>
      <c r="D9826" s="335" t="s">
        <v>89</v>
      </c>
      <c r="E9826" s="336">
        <v>43814</v>
      </c>
      <c r="F9826" s="336">
        <v>43814</v>
      </c>
      <c r="G9826" s="353" t="s">
        <v>69</v>
      </c>
      <c r="H9826" s="334" t="s">
        <v>20015</v>
      </c>
      <c r="I9826" s="444">
        <v>13331997359</v>
      </c>
      <c r="J9826" s="438" t="s">
        <v>20016</v>
      </c>
      <c r="K9826" s="356">
        <v>1567</v>
      </c>
      <c r="N9826" s="362">
        <f t="shared" si="341"/>
        <v>0</v>
      </c>
    </row>
    <row r="9827" ht="15" customHeight="1" spans="1:14">
      <c r="A9827" s="550" t="s">
        <v>13728</v>
      </c>
      <c r="B9827" s="334" t="s">
        <v>281</v>
      </c>
      <c r="C9827" s="334" t="s">
        <v>517</v>
      </c>
      <c r="D9827" s="334" t="s">
        <v>518</v>
      </c>
      <c r="E9827" s="336">
        <v>43822</v>
      </c>
      <c r="F9827" s="336">
        <v>43813</v>
      </c>
      <c r="G9827" s="336">
        <v>43822</v>
      </c>
      <c r="H9827" s="334" t="s">
        <v>20017</v>
      </c>
      <c r="I9827" s="444">
        <v>17701824405</v>
      </c>
      <c r="J9827" s="438" t="s">
        <v>20018</v>
      </c>
      <c r="K9827" s="356">
        <v>1000</v>
      </c>
      <c r="L9827" s="334">
        <v>18700</v>
      </c>
      <c r="N9827" s="362">
        <f t="shared" si="341"/>
        <v>18700</v>
      </c>
    </row>
    <row r="9828" ht="15" customHeight="1" spans="1:18">
      <c r="A9828" s="550" t="s">
        <v>6692</v>
      </c>
      <c r="B9828" s="334" t="s">
        <v>281</v>
      </c>
      <c r="C9828" s="348" t="s">
        <v>491</v>
      </c>
      <c r="D9828" s="335" t="s">
        <v>49</v>
      </c>
      <c r="E9828" s="336">
        <v>43814</v>
      </c>
      <c r="F9828" s="336">
        <v>43813</v>
      </c>
      <c r="G9828" s="399"/>
      <c r="H9828" s="334" t="s">
        <v>20019</v>
      </c>
      <c r="I9828" s="444">
        <v>15829729644</v>
      </c>
      <c r="J9828" s="438"/>
      <c r="K9828" s="356">
        <v>1000</v>
      </c>
      <c r="N9828" s="362">
        <f t="shared" si="341"/>
        <v>0</v>
      </c>
      <c r="R9828" s="356" t="s">
        <v>52</v>
      </c>
    </row>
    <row r="9829" ht="15" customHeight="1" spans="1:17">
      <c r="A9829" s="550" t="s">
        <v>1717</v>
      </c>
      <c r="B9829" s="334" t="s">
        <v>281</v>
      </c>
      <c r="C9829" s="348" t="s">
        <v>491</v>
      </c>
      <c r="D9829" s="335" t="s">
        <v>49</v>
      </c>
      <c r="E9829" s="336">
        <v>43814</v>
      </c>
      <c r="F9829" s="336">
        <v>43813</v>
      </c>
      <c r="G9829" s="399"/>
      <c r="H9829" s="334" t="s">
        <v>492</v>
      </c>
      <c r="I9829" s="444">
        <v>13916771369</v>
      </c>
      <c r="J9829" s="438"/>
      <c r="K9829" s="356">
        <v>1000</v>
      </c>
      <c r="N9829" s="362">
        <f t="shared" si="341"/>
        <v>0</v>
      </c>
      <c r="Q9829" s="356" t="s">
        <v>52</v>
      </c>
    </row>
    <row r="9830" ht="15" customHeight="1" spans="1:16">
      <c r="A9830" s="550" t="s">
        <v>4803</v>
      </c>
      <c r="B9830" s="334" t="s">
        <v>281</v>
      </c>
      <c r="C9830" s="348" t="s">
        <v>491</v>
      </c>
      <c r="D9830" s="335" t="s">
        <v>49</v>
      </c>
      <c r="E9830" s="336">
        <v>43814</v>
      </c>
      <c r="F9830" s="336">
        <v>43813</v>
      </c>
      <c r="G9830" s="399"/>
      <c r="H9830" s="334" t="s">
        <v>20020</v>
      </c>
      <c r="I9830" s="444">
        <v>13371881212</v>
      </c>
      <c r="J9830" s="438"/>
      <c r="K9830" s="356">
        <v>3000</v>
      </c>
      <c r="N9830" s="362">
        <f t="shared" si="341"/>
        <v>0</v>
      </c>
      <c r="P9830" s="356" t="s">
        <v>52</v>
      </c>
    </row>
    <row r="9831" ht="15" customHeight="1" spans="1:15">
      <c r="A9831" s="550" t="s">
        <v>4611</v>
      </c>
      <c r="B9831" s="334" t="s">
        <v>281</v>
      </c>
      <c r="C9831" s="348" t="s">
        <v>491</v>
      </c>
      <c r="D9831" s="335" t="s">
        <v>49</v>
      </c>
      <c r="E9831" s="336">
        <v>43814</v>
      </c>
      <c r="F9831" s="336">
        <v>43813</v>
      </c>
      <c r="G9831" s="399"/>
      <c r="H9831" s="334" t="s">
        <v>20021</v>
      </c>
      <c r="I9831" s="444">
        <v>15821882668</v>
      </c>
      <c r="J9831" s="438" t="s">
        <v>20022</v>
      </c>
      <c r="K9831" s="356">
        <v>3000</v>
      </c>
      <c r="N9831" s="362">
        <f t="shared" si="341"/>
        <v>0</v>
      </c>
      <c r="O9831" s="356" t="s">
        <v>52</v>
      </c>
    </row>
    <row r="9832" ht="15" customHeight="1" spans="1:15">
      <c r="A9832" s="550" t="s">
        <v>3984</v>
      </c>
      <c r="B9832" s="334" t="s">
        <v>281</v>
      </c>
      <c r="C9832" s="348" t="s">
        <v>491</v>
      </c>
      <c r="D9832" s="335" t="s">
        <v>49</v>
      </c>
      <c r="E9832" s="336">
        <v>43814</v>
      </c>
      <c r="F9832" s="336">
        <v>43813</v>
      </c>
      <c r="G9832" s="399"/>
      <c r="H9832" s="334" t="s">
        <v>20023</v>
      </c>
      <c r="I9832" s="444">
        <v>13584817812</v>
      </c>
      <c r="J9832" s="438" t="s">
        <v>20024</v>
      </c>
      <c r="K9832" s="356">
        <v>2000</v>
      </c>
      <c r="N9832" s="362">
        <f t="shared" si="341"/>
        <v>0</v>
      </c>
      <c r="O9832" s="356" t="s">
        <v>52</v>
      </c>
    </row>
    <row r="9833" ht="15" customHeight="1" spans="1:15">
      <c r="A9833" s="550" t="s">
        <v>20025</v>
      </c>
      <c r="B9833" s="334" t="s">
        <v>281</v>
      </c>
      <c r="C9833" s="348" t="s">
        <v>491</v>
      </c>
      <c r="D9833" s="335" t="s">
        <v>49</v>
      </c>
      <c r="E9833" s="336">
        <v>43814</v>
      </c>
      <c r="F9833" s="336">
        <v>43813</v>
      </c>
      <c r="G9833" s="399"/>
      <c r="H9833" s="334" t="s">
        <v>20026</v>
      </c>
      <c r="I9833" s="444">
        <v>13788918183</v>
      </c>
      <c r="J9833" s="438" t="s">
        <v>20027</v>
      </c>
      <c r="K9833" s="356">
        <v>3000</v>
      </c>
      <c r="N9833" s="362">
        <f t="shared" si="341"/>
        <v>0</v>
      </c>
      <c r="O9833" s="356" t="s">
        <v>52</v>
      </c>
    </row>
    <row r="9834" ht="15" customHeight="1" spans="1:14">
      <c r="A9834" s="550" t="s">
        <v>20028</v>
      </c>
      <c r="B9834" s="334" t="s">
        <v>281</v>
      </c>
      <c r="C9834" s="348" t="s">
        <v>491</v>
      </c>
      <c r="D9834" s="335" t="s">
        <v>49</v>
      </c>
      <c r="E9834" s="336">
        <v>43814</v>
      </c>
      <c r="F9834" s="336">
        <v>43813</v>
      </c>
      <c r="G9834" s="399"/>
      <c r="H9834" s="334" t="s">
        <v>20029</v>
      </c>
      <c r="I9834" s="444">
        <v>13402156489</v>
      </c>
      <c r="J9834" s="438" t="s">
        <v>20030</v>
      </c>
      <c r="K9834" s="356">
        <v>3000</v>
      </c>
      <c r="N9834" s="362">
        <f t="shared" si="341"/>
        <v>0</v>
      </c>
    </row>
    <row r="9835" ht="15" customHeight="1" spans="1:15">
      <c r="A9835" s="550" t="s">
        <v>20031</v>
      </c>
      <c r="B9835" s="334" t="s">
        <v>281</v>
      </c>
      <c r="C9835" s="348" t="s">
        <v>491</v>
      </c>
      <c r="D9835" s="335" t="s">
        <v>49</v>
      </c>
      <c r="E9835" s="336">
        <v>43814</v>
      </c>
      <c r="F9835" s="336">
        <v>43813</v>
      </c>
      <c r="G9835" s="399"/>
      <c r="H9835" s="334" t="s">
        <v>9178</v>
      </c>
      <c r="I9835" s="444">
        <v>13611721625</v>
      </c>
      <c r="J9835" s="438" t="s">
        <v>20032</v>
      </c>
      <c r="K9835" s="356">
        <v>3000</v>
      </c>
      <c r="N9835" s="362">
        <f t="shared" si="341"/>
        <v>0</v>
      </c>
      <c r="O9835" s="356" t="s">
        <v>52</v>
      </c>
    </row>
    <row r="9836" ht="15" customHeight="1" spans="1:14">
      <c r="A9836" s="550" t="s">
        <v>20033</v>
      </c>
      <c r="B9836" s="334" t="s">
        <v>281</v>
      </c>
      <c r="C9836" s="348" t="s">
        <v>491</v>
      </c>
      <c r="D9836" s="335" t="s">
        <v>49</v>
      </c>
      <c r="E9836" s="336">
        <v>43814</v>
      </c>
      <c r="F9836" s="336">
        <v>43813</v>
      </c>
      <c r="G9836" s="399"/>
      <c r="H9836" s="334" t="s">
        <v>20034</v>
      </c>
      <c r="I9836" s="444">
        <v>13171778147</v>
      </c>
      <c r="J9836" s="438" t="s">
        <v>20035</v>
      </c>
      <c r="K9836" s="356">
        <v>3000</v>
      </c>
      <c r="N9836" s="362">
        <f t="shared" si="341"/>
        <v>0</v>
      </c>
    </row>
    <row r="9837" ht="15" customHeight="1" spans="1:14">
      <c r="A9837" s="550" t="s">
        <v>20036</v>
      </c>
      <c r="B9837" s="334" t="s">
        <v>281</v>
      </c>
      <c r="C9837" s="348" t="s">
        <v>491</v>
      </c>
      <c r="D9837" s="334" t="s">
        <v>518</v>
      </c>
      <c r="E9837" s="336">
        <v>43826</v>
      </c>
      <c r="F9837" s="336">
        <v>43813</v>
      </c>
      <c r="G9837" s="336">
        <v>43826</v>
      </c>
      <c r="H9837" s="334" t="s">
        <v>20037</v>
      </c>
      <c r="I9837" s="444">
        <v>18821028933</v>
      </c>
      <c r="J9837" s="438" t="s">
        <v>20038</v>
      </c>
      <c r="K9837" s="356">
        <v>3000</v>
      </c>
      <c r="L9837" s="334">
        <v>16052</v>
      </c>
      <c r="N9837" s="362">
        <f t="shared" si="341"/>
        <v>16052</v>
      </c>
    </row>
    <row r="9838" ht="15" customHeight="1" spans="1:15">
      <c r="A9838" s="550" t="s">
        <v>20039</v>
      </c>
      <c r="B9838" s="334" t="s">
        <v>281</v>
      </c>
      <c r="C9838" s="348" t="s">
        <v>491</v>
      </c>
      <c r="D9838" s="335" t="s">
        <v>49</v>
      </c>
      <c r="E9838" s="336">
        <v>43814</v>
      </c>
      <c r="F9838" s="336">
        <v>43813</v>
      </c>
      <c r="G9838" s="399"/>
      <c r="H9838" s="334" t="s">
        <v>20040</v>
      </c>
      <c r="I9838" s="444">
        <v>13636330258</v>
      </c>
      <c r="J9838" s="438" t="s">
        <v>20041</v>
      </c>
      <c r="K9838" s="356">
        <v>1000</v>
      </c>
      <c r="N9838" s="362">
        <f t="shared" si="341"/>
        <v>0</v>
      </c>
      <c r="O9838" s="356" t="s">
        <v>52</v>
      </c>
    </row>
    <row r="9839" ht="15" customHeight="1" spans="2:14">
      <c r="B9839" s="334" t="s">
        <v>805</v>
      </c>
      <c r="C9839" s="334" t="s">
        <v>806</v>
      </c>
      <c r="D9839" s="334" t="s">
        <v>75</v>
      </c>
      <c r="E9839" s="336">
        <v>43813</v>
      </c>
      <c r="G9839" s="336">
        <v>43813</v>
      </c>
      <c r="H9839" s="334" t="s">
        <v>20042</v>
      </c>
      <c r="I9839" s="444">
        <v>13222222327</v>
      </c>
      <c r="J9839" s="438" t="s">
        <v>20043</v>
      </c>
      <c r="L9839" s="334">
        <v>20226</v>
      </c>
      <c r="N9839" s="362">
        <f t="shared" ref="N9839:N9863" si="342">L9839+M9839</f>
        <v>20226</v>
      </c>
    </row>
    <row r="9840" ht="15" customHeight="1" spans="2:14">
      <c r="B9840" s="334" t="s">
        <v>153</v>
      </c>
      <c r="C9840" s="334" t="s">
        <v>302</v>
      </c>
      <c r="D9840" s="334" t="s">
        <v>155</v>
      </c>
      <c r="E9840" s="336">
        <v>43814</v>
      </c>
      <c r="G9840" s="336">
        <v>43813</v>
      </c>
      <c r="H9840" s="334" t="s">
        <v>20044</v>
      </c>
      <c r="I9840" s="444">
        <v>13311858667</v>
      </c>
      <c r="J9840" s="438" t="s">
        <v>14038</v>
      </c>
      <c r="L9840" s="334">
        <v>19615</v>
      </c>
      <c r="N9840" s="362">
        <f t="shared" si="342"/>
        <v>19615</v>
      </c>
    </row>
    <row r="9841" ht="15" customHeight="1" spans="2:14">
      <c r="B9841" s="334" t="s">
        <v>94</v>
      </c>
      <c r="C9841" s="334" t="s">
        <v>95</v>
      </c>
      <c r="D9841" s="335" t="s">
        <v>49</v>
      </c>
      <c r="E9841" s="336">
        <v>43814</v>
      </c>
      <c r="G9841" s="336">
        <v>43814</v>
      </c>
      <c r="H9841" s="334" t="s">
        <v>11103</v>
      </c>
      <c r="I9841" s="444">
        <v>13501673846</v>
      </c>
      <c r="J9841" s="438" t="s">
        <v>20045</v>
      </c>
      <c r="L9841" s="334">
        <v>9300</v>
      </c>
      <c r="N9841" s="362">
        <f t="shared" si="342"/>
        <v>9300</v>
      </c>
    </row>
    <row r="9842" ht="15" customHeight="1" spans="2:14">
      <c r="B9842" s="334" t="s">
        <v>153</v>
      </c>
      <c r="C9842" s="334" t="s">
        <v>154</v>
      </c>
      <c r="D9842" s="334" t="s">
        <v>155</v>
      </c>
      <c r="E9842" s="336">
        <v>43813</v>
      </c>
      <c r="G9842" s="336">
        <v>43812</v>
      </c>
      <c r="H9842" s="334" t="s">
        <v>12355</v>
      </c>
      <c r="I9842" s="334">
        <v>13701767363</v>
      </c>
      <c r="J9842" s="334" t="s">
        <v>20046</v>
      </c>
      <c r="M9842" s="334">
        <v>11400</v>
      </c>
      <c r="N9842" s="362">
        <f t="shared" si="342"/>
        <v>11400</v>
      </c>
    </row>
    <row r="9843" ht="15" customHeight="1" spans="2:14">
      <c r="B9843" s="334" t="s">
        <v>35</v>
      </c>
      <c r="C9843" s="334" t="s">
        <v>36</v>
      </c>
      <c r="D9843" s="334" t="s">
        <v>37</v>
      </c>
      <c r="E9843" s="336">
        <v>43813</v>
      </c>
      <c r="G9843" s="336">
        <v>43793</v>
      </c>
      <c r="H9843" s="334" t="s">
        <v>18897</v>
      </c>
      <c r="I9843" s="444">
        <v>15921863229</v>
      </c>
      <c r="J9843" s="438" t="s">
        <v>18898</v>
      </c>
      <c r="M9843" s="334">
        <v>4576</v>
      </c>
      <c r="N9843" s="362">
        <f t="shared" si="342"/>
        <v>4576</v>
      </c>
    </row>
    <row r="9844" ht="15" customHeight="1" spans="2:14">
      <c r="B9844" s="334" t="s">
        <v>315</v>
      </c>
      <c r="C9844" s="334" t="s">
        <v>275</v>
      </c>
      <c r="D9844" s="334" t="s">
        <v>162</v>
      </c>
      <c r="E9844" s="336">
        <v>43813</v>
      </c>
      <c r="G9844" s="336">
        <v>43799</v>
      </c>
      <c r="H9844" s="334" t="s">
        <v>276</v>
      </c>
      <c r="I9844" s="334">
        <v>1816253002</v>
      </c>
      <c r="J9844" s="334" t="s">
        <v>20047</v>
      </c>
      <c r="M9844" s="334">
        <v>2580</v>
      </c>
      <c r="N9844" s="362">
        <f t="shared" si="342"/>
        <v>2580</v>
      </c>
    </row>
    <row r="9845" ht="15" customHeight="1" spans="2:14">
      <c r="B9845" s="334" t="s">
        <v>66</v>
      </c>
      <c r="C9845" s="334" t="s">
        <v>7029</v>
      </c>
      <c r="D9845" s="334" t="s">
        <v>2302</v>
      </c>
      <c r="E9845" s="336">
        <v>43813</v>
      </c>
      <c r="G9845" s="336">
        <v>43813</v>
      </c>
      <c r="H9845" s="334" t="s">
        <v>9314</v>
      </c>
      <c r="I9845" s="334">
        <v>13386080302</v>
      </c>
      <c r="J9845" s="334" t="s">
        <v>20048</v>
      </c>
      <c r="M9845" s="334">
        <v>-13348</v>
      </c>
      <c r="N9845" s="362">
        <f t="shared" si="342"/>
        <v>-13348</v>
      </c>
    </row>
    <row r="9846" ht="15" customHeight="1" spans="2:14">
      <c r="B9846" s="334" t="s">
        <v>185</v>
      </c>
      <c r="C9846" s="334" t="s">
        <v>1204</v>
      </c>
      <c r="D9846" s="334" t="s">
        <v>44</v>
      </c>
      <c r="E9846" s="336">
        <v>43813</v>
      </c>
      <c r="G9846" s="336">
        <v>43813</v>
      </c>
      <c r="H9846" s="334" t="s">
        <v>17037</v>
      </c>
      <c r="I9846" s="444">
        <v>18521033693</v>
      </c>
      <c r="J9846" s="348" t="s">
        <v>17038</v>
      </c>
      <c r="M9846" s="334">
        <v>2227</v>
      </c>
      <c r="N9846" s="362">
        <f t="shared" si="342"/>
        <v>2227</v>
      </c>
    </row>
    <row r="9847" ht="15" customHeight="1" spans="2:14">
      <c r="B9847" s="334" t="s">
        <v>58</v>
      </c>
      <c r="C9847" s="334" t="s">
        <v>347</v>
      </c>
      <c r="D9847" s="334" t="s">
        <v>44</v>
      </c>
      <c r="E9847" s="336">
        <v>43813</v>
      </c>
      <c r="G9847" s="336">
        <v>43813</v>
      </c>
      <c r="H9847" s="334" t="s">
        <v>18627</v>
      </c>
      <c r="I9847" s="444">
        <v>13914570612</v>
      </c>
      <c r="J9847" s="348" t="s">
        <v>18628</v>
      </c>
      <c r="M9847" s="334">
        <v>2916</v>
      </c>
      <c r="N9847" s="362">
        <f t="shared" si="342"/>
        <v>2916</v>
      </c>
    </row>
    <row r="9848" ht="15" customHeight="1" spans="2:14">
      <c r="B9848" s="334" t="s">
        <v>47</v>
      </c>
      <c r="C9848" s="334" t="s">
        <v>80</v>
      </c>
      <c r="D9848" s="334" t="s">
        <v>49</v>
      </c>
      <c r="E9848" s="336">
        <v>43813</v>
      </c>
      <c r="G9848" s="336">
        <v>43813</v>
      </c>
      <c r="H9848" s="334" t="s">
        <v>17755</v>
      </c>
      <c r="I9848" s="444">
        <v>18801962846</v>
      </c>
      <c r="J9848" s="438" t="s">
        <v>17756</v>
      </c>
      <c r="M9848" s="334">
        <v>5170</v>
      </c>
      <c r="N9848" s="362">
        <f t="shared" si="342"/>
        <v>5170</v>
      </c>
    </row>
    <row r="9849" ht="15" customHeight="1" spans="2:14">
      <c r="B9849" s="334" t="s">
        <v>137</v>
      </c>
      <c r="C9849" s="334" t="s">
        <v>411</v>
      </c>
      <c r="D9849" s="334" t="s">
        <v>443</v>
      </c>
      <c r="E9849" s="336">
        <v>43813</v>
      </c>
      <c r="G9849" s="336">
        <v>43812</v>
      </c>
      <c r="H9849" s="334" t="s">
        <v>15129</v>
      </c>
      <c r="I9849" s="444">
        <v>13918318222</v>
      </c>
      <c r="J9849" s="348" t="s">
        <v>15130</v>
      </c>
      <c r="M9849" s="334">
        <v>6597</v>
      </c>
      <c r="N9849" s="362">
        <f t="shared" si="342"/>
        <v>6597</v>
      </c>
    </row>
    <row r="9850" ht="15" customHeight="1" spans="2:14">
      <c r="B9850" s="334" t="s">
        <v>5435</v>
      </c>
      <c r="C9850" s="334" t="s">
        <v>1728</v>
      </c>
      <c r="D9850" s="334" t="s">
        <v>149</v>
      </c>
      <c r="E9850" s="336">
        <v>43813</v>
      </c>
      <c r="G9850" s="336">
        <v>43811</v>
      </c>
      <c r="H9850" s="334" t="s">
        <v>15924</v>
      </c>
      <c r="I9850" s="444">
        <v>13901725717</v>
      </c>
      <c r="J9850" s="348" t="s">
        <v>15925</v>
      </c>
      <c r="M9850" s="334">
        <v>4207</v>
      </c>
      <c r="N9850" s="362">
        <f t="shared" si="342"/>
        <v>4207</v>
      </c>
    </row>
    <row r="9851" ht="15" customHeight="1" spans="2:14">
      <c r="B9851" s="334" t="s">
        <v>315</v>
      </c>
      <c r="C9851" s="334" t="s">
        <v>275</v>
      </c>
      <c r="D9851" s="334" t="s">
        <v>132</v>
      </c>
      <c r="E9851" s="336">
        <v>43813</v>
      </c>
      <c r="G9851" s="336">
        <v>43813</v>
      </c>
      <c r="H9851" s="334" t="s">
        <v>14689</v>
      </c>
      <c r="I9851" s="444">
        <v>13611941337</v>
      </c>
      <c r="J9851" s="348" t="s">
        <v>14690</v>
      </c>
      <c r="M9851" s="334">
        <v>160</v>
      </c>
      <c r="N9851" s="362">
        <f t="shared" si="342"/>
        <v>160</v>
      </c>
    </row>
    <row r="9852" ht="15" customHeight="1" spans="2:14">
      <c r="B9852" s="334" t="s">
        <v>58</v>
      </c>
      <c r="C9852" s="334" t="s">
        <v>342</v>
      </c>
      <c r="D9852" s="334" t="s">
        <v>75</v>
      </c>
      <c r="E9852" s="336">
        <v>43813</v>
      </c>
      <c r="G9852" s="336">
        <v>43813</v>
      </c>
      <c r="H9852" s="334" t="s">
        <v>10133</v>
      </c>
      <c r="I9852" s="334">
        <v>13857775566</v>
      </c>
      <c r="J9852" s="334" t="s">
        <v>9570</v>
      </c>
      <c r="M9852" s="334">
        <v>2687</v>
      </c>
      <c r="N9852" s="362">
        <f t="shared" si="342"/>
        <v>2687</v>
      </c>
    </row>
    <row r="9853" ht="15" customHeight="1" spans="2:14">
      <c r="B9853" s="334" t="s">
        <v>73</v>
      </c>
      <c r="C9853" s="334" t="s">
        <v>74</v>
      </c>
      <c r="D9853" s="334" t="s">
        <v>427</v>
      </c>
      <c r="E9853" s="336">
        <v>43813</v>
      </c>
      <c r="G9853" s="336">
        <v>43814</v>
      </c>
      <c r="H9853" s="334" t="s">
        <v>19084</v>
      </c>
      <c r="I9853" s="444">
        <v>13601785323</v>
      </c>
      <c r="J9853" s="348" t="s">
        <v>19085</v>
      </c>
      <c r="M9853" s="334">
        <v>-2407</v>
      </c>
      <c r="N9853" s="362">
        <f t="shared" si="342"/>
        <v>-2407</v>
      </c>
    </row>
    <row r="9854" ht="15" customHeight="1" spans="2:14">
      <c r="B9854" s="334" t="s">
        <v>123</v>
      </c>
      <c r="C9854" s="334" t="s">
        <v>32</v>
      </c>
      <c r="D9854" s="334" t="s">
        <v>125</v>
      </c>
      <c r="E9854" s="336">
        <v>43814</v>
      </c>
      <c r="G9854" s="336">
        <v>43813</v>
      </c>
      <c r="H9854" s="334" t="s">
        <v>19981</v>
      </c>
      <c r="I9854" s="444">
        <v>17721001041</v>
      </c>
      <c r="J9854" s="438" t="s">
        <v>19982</v>
      </c>
      <c r="M9854" s="334">
        <v>1104</v>
      </c>
      <c r="N9854" s="362">
        <f t="shared" si="342"/>
        <v>1104</v>
      </c>
    </row>
    <row r="9855" ht="15" customHeight="1" spans="2:14">
      <c r="B9855" s="334" t="s">
        <v>243</v>
      </c>
      <c r="C9855" s="334" t="s">
        <v>304</v>
      </c>
      <c r="D9855" s="334" t="s">
        <v>49</v>
      </c>
      <c r="E9855" s="336">
        <v>43814</v>
      </c>
      <c r="G9855" s="336">
        <v>43813</v>
      </c>
      <c r="H9855" s="334" t="s">
        <v>6623</v>
      </c>
      <c r="I9855" s="444">
        <v>13801823658</v>
      </c>
      <c r="J9855" s="348" t="s">
        <v>6624</v>
      </c>
      <c r="M9855" s="334">
        <v>1700</v>
      </c>
      <c r="N9855" s="362">
        <f t="shared" si="342"/>
        <v>1700</v>
      </c>
    </row>
    <row r="9856" ht="15" customHeight="1" spans="2:14">
      <c r="B9856" s="334" t="s">
        <v>805</v>
      </c>
      <c r="C9856" s="334" t="s">
        <v>4935</v>
      </c>
      <c r="D9856" s="334" t="s">
        <v>171</v>
      </c>
      <c r="E9856" s="336">
        <v>43814</v>
      </c>
      <c r="G9856" s="336">
        <v>43763</v>
      </c>
      <c r="H9856" s="334" t="s">
        <v>15170</v>
      </c>
      <c r="I9856" s="334">
        <v>13817846201</v>
      </c>
      <c r="J9856" s="348" t="s">
        <v>15171</v>
      </c>
      <c r="M9856" s="334">
        <v>490</v>
      </c>
      <c r="N9856" s="362">
        <f t="shared" si="342"/>
        <v>490</v>
      </c>
    </row>
    <row r="9857" ht="15" customHeight="1" spans="2:14">
      <c r="B9857" s="334" t="s">
        <v>137</v>
      </c>
      <c r="C9857" s="348" t="s">
        <v>480</v>
      </c>
      <c r="D9857" s="334" t="s">
        <v>171</v>
      </c>
      <c r="E9857" s="336">
        <v>43814</v>
      </c>
      <c r="G9857" s="336">
        <v>43813</v>
      </c>
      <c r="H9857" s="334" t="s">
        <v>20049</v>
      </c>
      <c r="I9857" s="356">
        <v>13861708326</v>
      </c>
      <c r="J9857" s="348" t="s">
        <v>20050</v>
      </c>
      <c r="M9857" s="334">
        <v>1016</v>
      </c>
      <c r="N9857" s="362">
        <f t="shared" si="342"/>
        <v>1016</v>
      </c>
    </row>
    <row r="9858" ht="15" customHeight="1" spans="2:14">
      <c r="B9858" s="334" t="s">
        <v>147</v>
      </c>
      <c r="C9858" s="334" t="s">
        <v>13719</v>
      </c>
      <c r="D9858" s="334" t="s">
        <v>237</v>
      </c>
      <c r="E9858" s="336">
        <v>43814</v>
      </c>
      <c r="G9858" s="336">
        <v>43809</v>
      </c>
      <c r="H9858" s="334" t="s">
        <v>16919</v>
      </c>
      <c r="I9858" s="444">
        <v>13701620654</v>
      </c>
      <c r="J9858" s="438" t="s">
        <v>16920</v>
      </c>
      <c r="M9858" s="334">
        <v>900</v>
      </c>
      <c r="N9858" s="362">
        <f t="shared" si="342"/>
        <v>900</v>
      </c>
    </row>
    <row r="9859" ht="15" customHeight="1" spans="2:14">
      <c r="B9859" s="334" t="s">
        <v>58</v>
      </c>
      <c r="C9859" s="334" t="s">
        <v>794</v>
      </c>
      <c r="D9859" s="334" t="s">
        <v>110</v>
      </c>
      <c r="E9859" s="336">
        <v>43814</v>
      </c>
      <c r="G9859" s="336">
        <v>43814</v>
      </c>
      <c r="H9859" s="334" t="s">
        <v>16212</v>
      </c>
      <c r="I9859" s="444">
        <v>13917964980</v>
      </c>
      <c r="J9859" s="348" t="s">
        <v>16213</v>
      </c>
      <c r="M9859" s="334">
        <v>117</v>
      </c>
      <c r="N9859" s="362">
        <f t="shared" si="342"/>
        <v>117</v>
      </c>
    </row>
    <row r="9860" ht="15" customHeight="1" spans="2:14">
      <c r="B9860" s="334" t="s">
        <v>185</v>
      </c>
      <c r="C9860" s="334" t="s">
        <v>886</v>
      </c>
      <c r="D9860" s="334" t="s">
        <v>187</v>
      </c>
      <c r="E9860" s="336">
        <v>43814</v>
      </c>
      <c r="G9860" s="336">
        <v>43813</v>
      </c>
      <c r="H9860" s="334" t="s">
        <v>14907</v>
      </c>
      <c r="I9860" s="444">
        <v>18801911357</v>
      </c>
      <c r="J9860" s="438" t="s">
        <v>14908</v>
      </c>
      <c r="M9860" s="334">
        <v>1430</v>
      </c>
      <c r="N9860" s="362">
        <f t="shared" si="342"/>
        <v>1430</v>
      </c>
    </row>
    <row r="9861" ht="15" customHeight="1" spans="2:14">
      <c r="B9861" s="334" t="s">
        <v>137</v>
      </c>
      <c r="C9861" s="334" t="s">
        <v>406</v>
      </c>
      <c r="D9861" s="334" t="s">
        <v>443</v>
      </c>
      <c r="E9861" s="336">
        <v>43814</v>
      </c>
      <c r="G9861" s="336">
        <v>43813</v>
      </c>
      <c r="H9861" s="334" t="s">
        <v>16382</v>
      </c>
      <c r="I9861" s="334">
        <v>13764628692</v>
      </c>
      <c r="J9861" s="348" t="s">
        <v>16383</v>
      </c>
      <c r="M9861" s="334">
        <v>1978</v>
      </c>
      <c r="N9861" s="362">
        <f t="shared" si="342"/>
        <v>1978</v>
      </c>
    </row>
    <row r="9862" ht="15" customHeight="1" spans="2:14">
      <c r="B9862" s="334" t="s">
        <v>73</v>
      </c>
      <c r="C9862" s="334" t="s">
        <v>74</v>
      </c>
      <c r="D9862" s="334" t="s">
        <v>75</v>
      </c>
      <c r="E9862" s="336">
        <v>43814</v>
      </c>
      <c r="G9862" s="336">
        <v>43814</v>
      </c>
      <c r="H9862" s="334" t="s">
        <v>10395</v>
      </c>
      <c r="I9862" s="426">
        <v>13524669166</v>
      </c>
      <c r="J9862" s="334" t="s">
        <v>10396</v>
      </c>
      <c r="M9862" s="334">
        <v>4590</v>
      </c>
      <c r="N9862" s="362">
        <f t="shared" si="342"/>
        <v>4590</v>
      </c>
    </row>
    <row r="9863" ht="15" customHeight="1" spans="2:14">
      <c r="B9863" s="334" t="s">
        <v>94</v>
      </c>
      <c r="C9863" s="334" t="s">
        <v>95</v>
      </c>
      <c r="D9863" s="334" t="s">
        <v>44</v>
      </c>
      <c r="E9863" s="336">
        <v>43814</v>
      </c>
      <c r="G9863" s="336">
        <v>43814</v>
      </c>
      <c r="H9863" s="334" t="s">
        <v>14513</v>
      </c>
      <c r="I9863" s="444">
        <v>13651855395</v>
      </c>
      <c r="J9863" s="348" t="s">
        <v>14514</v>
      </c>
      <c r="M9863" s="334">
        <v>519</v>
      </c>
      <c r="N9863" s="362">
        <f t="shared" si="342"/>
        <v>519</v>
      </c>
    </row>
    <row r="9864" ht="15" customHeight="1" spans="1:16">
      <c r="A9864" s="550" t="s">
        <v>20051</v>
      </c>
      <c r="B9864" s="334" t="s">
        <v>359</v>
      </c>
      <c r="C9864" s="348" t="s">
        <v>3018</v>
      </c>
      <c r="D9864" s="335" t="s">
        <v>361</v>
      </c>
      <c r="E9864" s="336">
        <v>43815</v>
      </c>
      <c r="F9864" s="336">
        <v>43814</v>
      </c>
      <c r="G9864" s="399"/>
      <c r="H9864" s="334" t="s">
        <v>20052</v>
      </c>
      <c r="I9864" s="444">
        <v>13818274227</v>
      </c>
      <c r="J9864" s="438" t="s">
        <v>20053</v>
      </c>
      <c r="K9864" s="356">
        <v>2000</v>
      </c>
      <c r="N9864" s="362">
        <f t="shared" ref="N9864:N9896" si="343">L9864+M9864</f>
        <v>0</v>
      </c>
      <c r="P9864" s="359" t="s">
        <v>20</v>
      </c>
    </row>
    <row r="9865" ht="15" customHeight="1" spans="1:14">
      <c r="A9865" s="550" t="s">
        <v>13725</v>
      </c>
      <c r="B9865" s="334" t="s">
        <v>281</v>
      </c>
      <c r="C9865" s="348" t="s">
        <v>491</v>
      </c>
      <c r="D9865" s="334" t="s">
        <v>518</v>
      </c>
      <c r="E9865" s="336">
        <v>43832</v>
      </c>
      <c r="F9865" s="336">
        <v>43813</v>
      </c>
      <c r="G9865" s="336">
        <v>43832</v>
      </c>
      <c r="H9865" s="334" t="s">
        <v>20054</v>
      </c>
      <c r="I9865" s="444">
        <v>18516257399</v>
      </c>
      <c r="J9865" s="438" t="s">
        <v>20055</v>
      </c>
      <c r="K9865" s="356">
        <v>1000</v>
      </c>
      <c r="L9865" s="334">
        <v>30282</v>
      </c>
      <c r="N9865" s="362">
        <f t="shared" si="343"/>
        <v>30282</v>
      </c>
    </row>
    <row r="9866" ht="15" customHeight="1" spans="1:15">
      <c r="A9866" s="550" t="s">
        <v>6327</v>
      </c>
      <c r="B9866" s="334" t="s">
        <v>58</v>
      </c>
      <c r="C9866" s="348" t="s">
        <v>794</v>
      </c>
      <c r="D9866" s="334" t="s">
        <v>271</v>
      </c>
      <c r="E9866" s="336">
        <v>43829</v>
      </c>
      <c r="F9866" s="336">
        <v>43813</v>
      </c>
      <c r="G9866" s="336">
        <v>43828</v>
      </c>
      <c r="H9866" s="334" t="s">
        <v>20056</v>
      </c>
      <c r="I9866" s="444">
        <v>13611716467</v>
      </c>
      <c r="J9866" s="438" t="s">
        <v>20057</v>
      </c>
      <c r="K9866" s="356">
        <v>18900</v>
      </c>
      <c r="L9866" s="334">
        <v>18900</v>
      </c>
      <c r="N9866" s="362">
        <f t="shared" si="343"/>
        <v>18900</v>
      </c>
      <c r="O9866" s="467" t="s">
        <v>52</v>
      </c>
    </row>
    <row r="9867" ht="15" customHeight="1" spans="1:17">
      <c r="A9867" s="550" t="s">
        <v>9561</v>
      </c>
      <c r="B9867" s="334" t="s">
        <v>153</v>
      </c>
      <c r="C9867" s="348" t="s">
        <v>302</v>
      </c>
      <c r="D9867" s="335" t="s">
        <v>155</v>
      </c>
      <c r="E9867" s="336">
        <v>43815</v>
      </c>
      <c r="F9867" s="336">
        <v>43814</v>
      </c>
      <c r="G9867" s="399"/>
      <c r="H9867" s="334" t="s">
        <v>20058</v>
      </c>
      <c r="I9867" s="444">
        <v>13817682062</v>
      </c>
      <c r="J9867" s="438" t="s">
        <v>20059</v>
      </c>
      <c r="K9867" s="356">
        <v>1000</v>
      </c>
      <c r="N9867" s="362">
        <f t="shared" si="343"/>
        <v>0</v>
      </c>
      <c r="Q9867" s="467" t="s">
        <v>52</v>
      </c>
    </row>
    <row r="9868" ht="15" customHeight="1" spans="1:20">
      <c r="A9868" s="550" t="s">
        <v>20060</v>
      </c>
      <c r="B9868" s="334" t="s">
        <v>31</v>
      </c>
      <c r="C9868" s="348" t="s">
        <v>377</v>
      </c>
      <c r="D9868" s="335" t="s">
        <v>221</v>
      </c>
      <c r="E9868" s="336">
        <v>43815</v>
      </c>
      <c r="F9868" s="336">
        <v>43814</v>
      </c>
      <c r="G9868" s="399"/>
      <c r="H9868" s="334" t="s">
        <v>20061</v>
      </c>
      <c r="I9868" s="444">
        <v>13901869344</v>
      </c>
      <c r="J9868" s="438" t="s">
        <v>20062</v>
      </c>
      <c r="K9868" s="356">
        <v>1000</v>
      </c>
      <c r="N9868" s="362">
        <f t="shared" si="343"/>
        <v>0</v>
      </c>
      <c r="T9868" s="366" t="s">
        <v>52</v>
      </c>
    </row>
    <row r="9869" ht="15" customHeight="1" spans="1:15">
      <c r="A9869" s="550" t="s">
        <v>20063</v>
      </c>
      <c r="B9869" s="334" t="s">
        <v>805</v>
      </c>
      <c r="C9869" s="348" t="s">
        <v>4935</v>
      </c>
      <c r="D9869" s="335" t="s">
        <v>635</v>
      </c>
      <c r="E9869" s="336">
        <v>43815</v>
      </c>
      <c r="F9869" s="336">
        <v>43815</v>
      </c>
      <c r="G9869" s="399"/>
      <c r="H9869" s="334" t="s">
        <v>20064</v>
      </c>
      <c r="I9869" s="444">
        <v>13371960768</v>
      </c>
      <c r="J9869" s="438" t="s">
        <v>20065</v>
      </c>
      <c r="K9869" s="356">
        <v>1000</v>
      </c>
      <c r="N9869" s="362">
        <f t="shared" si="343"/>
        <v>0</v>
      </c>
      <c r="O9869" s="467" t="s">
        <v>52</v>
      </c>
    </row>
    <row r="9870" ht="15" customHeight="1" spans="1:14">
      <c r="A9870" s="550" t="s">
        <v>9854</v>
      </c>
      <c r="B9870" s="334" t="s">
        <v>185</v>
      </c>
      <c r="C9870" s="348" t="s">
        <v>186</v>
      </c>
      <c r="D9870" s="334" t="s">
        <v>187</v>
      </c>
      <c r="E9870" s="336">
        <v>43815</v>
      </c>
      <c r="F9870" s="336">
        <v>43813</v>
      </c>
      <c r="G9870" s="399">
        <v>43813</v>
      </c>
      <c r="H9870" s="334" t="s">
        <v>20066</v>
      </c>
      <c r="I9870" s="444">
        <v>18201099782</v>
      </c>
      <c r="J9870" s="438" t="s">
        <v>20067</v>
      </c>
      <c r="K9870" s="356">
        <v>10000</v>
      </c>
      <c r="L9870" s="334">
        <v>10000</v>
      </c>
      <c r="N9870" s="362">
        <f t="shared" si="343"/>
        <v>10000</v>
      </c>
    </row>
    <row r="9871" ht="15" customHeight="1" spans="1:14">
      <c r="A9871" s="550" t="s">
        <v>18975</v>
      </c>
      <c r="B9871" s="334" t="s">
        <v>31</v>
      </c>
      <c r="C9871" s="348" t="s">
        <v>2716</v>
      </c>
      <c r="D9871" s="334" t="s">
        <v>33</v>
      </c>
      <c r="E9871" s="336">
        <v>43815</v>
      </c>
      <c r="F9871" s="336">
        <v>43807</v>
      </c>
      <c r="G9871" s="399">
        <v>43814</v>
      </c>
      <c r="H9871" s="334" t="s">
        <v>20068</v>
      </c>
      <c r="I9871" s="444">
        <v>13901977757</v>
      </c>
      <c r="J9871" s="438" t="s">
        <v>20069</v>
      </c>
      <c r="K9871" s="356">
        <v>1000</v>
      </c>
      <c r="L9871" s="334">
        <v>11872</v>
      </c>
      <c r="N9871" s="362">
        <f t="shared" si="343"/>
        <v>11872</v>
      </c>
    </row>
    <row r="9872" ht="15" customHeight="1" spans="1:14">
      <c r="A9872" s="550" t="s">
        <v>7220</v>
      </c>
      <c r="B9872" s="334" t="s">
        <v>58</v>
      </c>
      <c r="C9872" s="348" t="s">
        <v>794</v>
      </c>
      <c r="D9872" s="334" t="s">
        <v>271</v>
      </c>
      <c r="E9872" s="336">
        <v>43821</v>
      </c>
      <c r="F9872" s="336">
        <v>43814</v>
      </c>
      <c r="G9872" s="336">
        <v>43820</v>
      </c>
      <c r="H9872" s="334" t="s">
        <v>20070</v>
      </c>
      <c r="I9872" s="444">
        <v>18049870506</v>
      </c>
      <c r="J9872" s="438" t="s">
        <v>20071</v>
      </c>
      <c r="K9872" s="356">
        <v>14000</v>
      </c>
      <c r="L9872" s="334">
        <v>12200</v>
      </c>
      <c r="N9872" s="362">
        <f t="shared" si="343"/>
        <v>12200</v>
      </c>
    </row>
    <row r="9873" ht="15" customHeight="1" spans="1:21">
      <c r="A9873" s="550" t="s">
        <v>7633</v>
      </c>
      <c r="B9873" s="334" t="s">
        <v>58</v>
      </c>
      <c r="C9873" s="348" t="s">
        <v>794</v>
      </c>
      <c r="D9873" s="335" t="s">
        <v>110</v>
      </c>
      <c r="E9873" s="336">
        <v>43815</v>
      </c>
      <c r="F9873" s="336">
        <v>43814</v>
      </c>
      <c r="G9873" s="399"/>
      <c r="H9873" s="334" t="s">
        <v>20072</v>
      </c>
      <c r="I9873" s="444">
        <v>18916212080</v>
      </c>
      <c r="J9873" s="438" t="s">
        <v>20073</v>
      </c>
      <c r="K9873" s="356">
        <v>20000</v>
      </c>
      <c r="N9873" s="362">
        <f t="shared" si="343"/>
        <v>0</v>
      </c>
      <c r="O9873" s="467" t="s">
        <v>52</v>
      </c>
      <c r="U9873" s="471">
        <v>43825</v>
      </c>
    </row>
    <row r="9874" ht="15" customHeight="1" spans="1:22">
      <c r="A9874" s="348"/>
      <c r="B9874" s="348" t="s">
        <v>5336</v>
      </c>
      <c r="C9874" s="348" t="s">
        <v>5336</v>
      </c>
      <c r="D9874" s="335" t="s">
        <v>491</v>
      </c>
      <c r="E9874" s="336">
        <v>43815</v>
      </c>
      <c r="F9874" s="336">
        <v>43812</v>
      </c>
      <c r="G9874" s="399"/>
      <c r="H9874" s="334" t="s">
        <v>3801</v>
      </c>
      <c r="I9874" s="444">
        <v>13636663949</v>
      </c>
      <c r="J9874" s="438" t="s">
        <v>20074</v>
      </c>
      <c r="K9874" s="356">
        <v>5556</v>
      </c>
      <c r="N9874" s="362">
        <f t="shared" si="343"/>
        <v>0</v>
      </c>
      <c r="O9874" s="353"/>
      <c r="V9874" s="353" t="s">
        <v>52</v>
      </c>
    </row>
    <row r="9875" ht="15" customHeight="1" spans="1:15">
      <c r="A9875" s="550" t="s">
        <v>20075</v>
      </c>
      <c r="B9875" s="334" t="s">
        <v>137</v>
      </c>
      <c r="C9875" s="348" t="s">
        <v>411</v>
      </c>
      <c r="D9875" s="335" t="s">
        <v>427</v>
      </c>
      <c r="E9875" s="336">
        <v>43815</v>
      </c>
      <c r="F9875" s="336">
        <v>43814</v>
      </c>
      <c r="G9875" s="399"/>
      <c r="H9875" s="334" t="s">
        <v>2931</v>
      </c>
      <c r="I9875" s="444">
        <v>13817923642</v>
      </c>
      <c r="J9875" s="438" t="s">
        <v>20076</v>
      </c>
      <c r="K9875" s="356">
        <v>2000</v>
      </c>
      <c r="N9875" s="362">
        <f t="shared" si="343"/>
        <v>0</v>
      </c>
      <c r="O9875" s="353" t="s">
        <v>16361</v>
      </c>
    </row>
    <row r="9876" ht="15" customHeight="1" spans="1:17">
      <c r="A9876" s="550" t="s">
        <v>6434</v>
      </c>
      <c r="B9876" s="334" t="s">
        <v>137</v>
      </c>
      <c r="C9876" s="348" t="s">
        <v>480</v>
      </c>
      <c r="D9876" s="335" t="s">
        <v>139</v>
      </c>
      <c r="E9876" s="336">
        <v>43829</v>
      </c>
      <c r="F9876" s="336">
        <v>43814</v>
      </c>
      <c r="G9876" s="336">
        <v>43828</v>
      </c>
      <c r="H9876" s="334" t="s">
        <v>20077</v>
      </c>
      <c r="I9876" s="444">
        <v>13917029930</v>
      </c>
      <c r="J9876" s="438" t="s">
        <v>20078</v>
      </c>
      <c r="K9876" s="356">
        <v>54000</v>
      </c>
      <c r="L9876" s="334">
        <v>54000</v>
      </c>
      <c r="N9876" s="362">
        <f t="shared" si="343"/>
        <v>54000</v>
      </c>
      <c r="Q9876" s="353" t="s">
        <v>21</v>
      </c>
    </row>
    <row r="9877" ht="15" customHeight="1" spans="1:14">
      <c r="A9877" s="550" t="s">
        <v>20079</v>
      </c>
      <c r="B9877" s="334" t="s">
        <v>335</v>
      </c>
      <c r="C9877" s="348" t="s">
        <v>399</v>
      </c>
      <c r="D9877" s="335" t="s">
        <v>337</v>
      </c>
      <c r="E9877" s="336">
        <v>43826</v>
      </c>
      <c r="F9877" s="336">
        <v>43814</v>
      </c>
      <c r="G9877" s="336">
        <v>43824</v>
      </c>
      <c r="H9877" s="334" t="s">
        <v>20080</v>
      </c>
      <c r="I9877" s="444">
        <v>13601696188</v>
      </c>
      <c r="J9877" s="438" t="s">
        <v>20081</v>
      </c>
      <c r="K9877" s="356">
        <v>1000</v>
      </c>
      <c r="L9877" s="334">
        <v>21496</v>
      </c>
      <c r="N9877" s="362">
        <f t="shared" si="343"/>
        <v>21496</v>
      </c>
    </row>
    <row r="9878" ht="15" customHeight="1" spans="1:15">
      <c r="A9878" s="550" t="s">
        <v>7194</v>
      </c>
      <c r="B9878" s="334" t="s">
        <v>58</v>
      </c>
      <c r="C9878" s="348" t="s">
        <v>109</v>
      </c>
      <c r="D9878" s="335" t="s">
        <v>110</v>
      </c>
      <c r="E9878" s="336">
        <v>43830</v>
      </c>
      <c r="F9878" s="336">
        <v>43814</v>
      </c>
      <c r="G9878" s="336">
        <v>43830</v>
      </c>
      <c r="H9878" s="334" t="s">
        <v>20082</v>
      </c>
      <c r="I9878" s="444">
        <v>18016395286</v>
      </c>
      <c r="J9878" s="438" t="s">
        <v>20083</v>
      </c>
      <c r="K9878" s="356">
        <v>30000</v>
      </c>
      <c r="L9878" s="334">
        <v>30000</v>
      </c>
      <c r="N9878" s="362">
        <f t="shared" si="343"/>
        <v>30000</v>
      </c>
      <c r="O9878" s="467" t="s">
        <v>52</v>
      </c>
    </row>
    <row r="9879" ht="15" customHeight="1" spans="1:15">
      <c r="A9879" s="550" t="s">
        <v>18479</v>
      </c>
      <c r="B9879" s="334" t="s">
        <v>185</v>
      </c>
      <c r="C9879" s="348" t="s">
        <v>886</v>
      </c>
      <c r="D9879" s="335" t="s">
        <v>187</v>
      </c>
      <c r="E9879" s="336">
        <v>43815</v>
      </c>
      <c r="F9879" s="336">
        <v>43813</v>
      </c>
      <c r="G9879" s="399"/>
      <c r="H9879" s="334" t="s">
        <v>6217</v>
      </c>
      <c r="I9879" s="444">
        <v>18616569658</v>
      </c>
      <c r="J9879" s="438" t="s">
        <v>20084</v>
      </c>
      <c r="K9879" s="356">
        <v>1000</v>
      </c>
      <c r="N9879" s="362">
        <f t="shared" si="343"/>
        <v>0</v>
      </c>
      <c r="O9879" s="467" t="s">
        <v>52</v>
      </c>
    </row>
    <row r="9880" ht="15" customHeight="1" spans="1:14">
      <c r="A9880" s="550" t="s">
        <v>8441</v>
      </c>
      <c r="B9880" s="334" t="s">
        <v>185</v>
      </c>
      <c r="C9880" s="348" t="s">
        <v>186</v>
      </c>
      <c r="D9880" s="335" t="s">
        <v>187</v>
      </c>
      <c r="E9880" s="336">
        <v>43819</v>
      </c>
      <c r="F9880" s="336">
        <v>43814</v>
      </c>
      <c r="G9880" s="336">
        <v>43819</v>
      </c>
      <c r="H9880" s="334" t="s">
        <v>20085</v>
      </c>
      <c r="I9880" s="444">
        <v>18019761273</v>
      </c>
      <c r="J9880" s="438" t="s">
        <v>20086</v>
      </c>
      <c r="K9880" s="356">
        <v>2598</v>
      </c>
      <c r="L9880" s="334">
        <v>8794</v>
      </c>
      <c r="N9880" s="362">
        <f t="shared" si="343"/>
        <v>8794</v>
      </c>
    </row>
    <row r="9881" ht="15" customHeight="1" spans="1:14">
      <c r="A9881" s="550" t="s">
        <v>7217</v>
      </c>
      <c r="B9881" s="334" t="s">
        <v>58</v>
      </c>
      <c r="C9881" s="348" t="s">
        <v>20087</v>
      </c>
      <c r="D9881" s="335" t="s">
        <v>343</v>
      </c>
      <c r="E9881" s="336">
        <v>43827</v>
      </c>
      <c r="F9881" s="336">
        <v>43814</v>
      </c>
      <c r="G9881" s="336">
        <v>43825</v>
      </c>
      <c r="H9881" s="334" t="s">
        <v>8256</v>
      </c>
      <c r="I9881" s="444">
        <v>13917412962</v>
      </c>
      <c r="J9881" s="438" t="s">
        <v>20088</v>
      </c>
      <c r="K9881" s="356">
        <v>5000</v>
      </c>
      <c r="L9881" s="334">
        <v>5419</v>
      </c>
      <c r="N9881" s="362">
        <f t="shared" si="343"/>
        <v>5419</v>
      </c>
    </row>
    <row r="9882" ht="15" customHeight="1" spans="1:17">
      <c r="A9882" s="550" t="s">
        <v>12306</v>
      </c>
      <c r="B9882" s="334" t="s">
        <v>35</v>
      </c>
      <c r="C9882" s="348" t="s">
        <v>36</v>
      </c>
      <c r="D9882" s="335" t="s">
        <v>37</v>
      </c>
      <c r="E9882" s="336">
        <v>43830</v>
      </c>
      <c r="F9882" s="336">
        <v>43814</v>
      </c>
      <c r="G9882" s="336">
        <v>43830</v>
      </c>
      <c r="H9882" s="334" t="s">
        <v>20089</v>
      </c>
      <c r="I9882" s="444">
        <v>13795389940</v>
      </c>
      <c r="J9882" s="438" t="s">
        <v>20090</v>
      </c>
      <c r="K9882" s="356">
        <v>20000</v>
      </c>
      <c r="L9882" s="334">
        <v>20000</v>
      </c>
      <c r="N9882" s="362">
        <f t="shared" si="343"/>
        <v>20000</v>
      </c>
      <c r="Q9882" s="356" t="s">
        <v>52</v>
      </c>
    </row>
    <row r="9883" ht="15" customHeight="1" spans="1:14">
      <c r="A9883" s="550" t="s">
        <v>12493</v>
      </c>
      <c r="B9883" s="334" t="s">
        <v>169</v>
      </c>
      <c r="C9883" s="348" t="s">
        <v>542</v>
      </c>
      <c r="D9883" s="334" t="s">
        <v>68</v>
      </c>
      <c r="E9883" s="336">
        <v>43815</v>
      </c>
      <c r="F9883" s="336">
        <v>43814</v>
      </c>
      <c r="G9883" s="399">
        <v>43814</v>
      </c>
      <c r="H9883" s="334" t="s">
        <v>20091</v>
      </c>
      <c r="I9883" s="444">
        <v>15821442649</v>
      </c>
      <c r="J9883" s="438" t="s">
        <v>20092</v>
      </c>
      <c r="K9883" s="356">
        <v>10406</v>
      </c>
      <c r="L9883" s="334">
        <v>10306</v>
      </c>
      <c r="N9883" s="362">
        <f t="shared" si="343"/>
        <v>10306</v>
      </c>
    </row>
    <row r="9884" ht="15" customHeight="1" spans="1:14">
      <c r="A9884" s="550" t="s">
        <v>15999</v>
      </c>
      <c r="B9884" s="334" t="s">
        <v>185</v>
      </c>
      <c r="C9884" s="348" t="s">
        <v>1204</v>
      </c>
      <c r="D9884" s="335" t="s">
        <v>44</v>
      </c>
      <c r="E9884" s="336">
        <v>43816</v>
      </c>
      <c r="F9884" s="336">
        <v>43813</v>
      </c>
      <c r="G9884" s="336">
        <v>43816</v>
      </c>
      <c r="H9884" s="334" t="s">
        <v>20093</v>
      </c>
      <c r="I9884" s="444">
        <v>15800497473</v>
      </c>
      <c r="J9884" s="438" t="s">
        <v>20094</v>
      </c>
      <c r="K9884" s="356">
        <v>1799</v>
      </c>
      <c r="L9884" s="334">
        <v>2489</v>
      </c>
      <c r="N9884" s="362">
        <f t="shared" si="343"/>
        <v>2489</v>
      </c>
    </row>
    <row r="9885" ht="15" customHeight="1" spans="1:19">
      <c r="A9885" s="550" t="s">
        <v>18427</v>
      </c>
      <c r="B9885" s="334" t="s">
        <v>31</v>
      </c>
      <c r="C9885" s="348" t="s">
        <v>419</v>
      </c>
      <c r="D9885" s="335" t="s">
        <v>221</v>
      </c>
      <c r="E9885" s="336">
        <v>43815</v>
      </c>
      <c r="F9885" s="336">
        <v>43814</v>
      </c>
      <c r="G9885" s="399"/>
      <c r="H9885" s="334" t="s">
        <v>20095</v>
      </c>
      <c r="I9885" s="444">
        <v>15821816990</v>
      </c>
      <c r="J9885" s="438" t="s">
        <v>20096</v>
      </c>
      <c r="K9885" s="356">
        <v>2598</v>
      </c>
      <c r="N9885" s="362">
        <f t="shared" si="343"/>
        <v>0</v>
      </c>
      <c r="S9885" s="366" t="s">
        <v>52</v>
      </c>
    </row>
    <row r="9886" ht="15" customHeight="1" spans="1:14">
      <c r="A9886" s="550" t="s">
        <v>10822</v>
      </c>
      <c r="B9886" s="334" t="s">
        <v>185</v>
      </c>
      <c r="C9886" s="348" t="s">
        <v>186</v>
      </c>
      <c r="D9886" s="334" t="s">
        <v>2302</v>
      </c>
      <c r="E9886" s="336">
        <v>43819</v>
      </c>
      <c r="F9886" s="336">
        <v>43814</v>
      </c>
      <c r="G9886" s="336">
        <v>43818</v>
      </c>
      <c r="H9886" s="334" t="s">
        <v>20097</v>
      </c>
      <c r="I9886" s="444">
        <v>15900760058</v>
      </c>
      <c r="J9886" s="438" t="s">
        <v>20098</v>
      </c>
      <c r="K9886" s="356">
        <v>10000</v>
      </c>
      <c r="L9886" s="334">
        <v>27500</v>
      </c>
      <c r="N9886" s="362">
        <f t="shared" si="343"/>
        <v>27500</v>
      </c>
    </row>
    <row r="9887" ht="15" customHeight="1" spans="1:14">
      <c r="A9887" s="550" t="s">
        <v>5380</v>
      </c>
      <c r="B9887" s="334" t="s">
        <v>335</v>
      </c>
      <c r="C9887" s="348" t="s">
        <v>399</v>
      </c>
      <c r="D9887" s="334" t="s">
        <v>110</v>
      </c>
      <c r="E9887" s="336">
        <v>43815</v>
      </c>
      <c r="F9887" s="336">
        <v>43814</v>
      </c>
      <c r="G9887" s="399">
        <v>43814</v>
      </c>
      <c r="H9887" s="334" t="s">
        <v>20099</v>
      </c>
      <c r="I9887" s="444">
        <v>13651779320</v>
      </c>
      <c r="J9887" s="438" t="s">
        <v>20100</v>
      </c>
      <c r="K9887" s="356">
        <v>7900</v>
      </c>
      <c r="L9887" s="334">
        <v>7900</v>
      </c>
      <c r="N9887" s="362">
        <f t="shared" si="343"/>
        <v>7900</v>
      </c>
    </row>
    <row r="9888" ht="15" customHeight="1" spans="1:14">
      <c r="A9888" s="348" t="s">
        <v>13074</v>
      </c>
      <c r="B9888" s="334" t="s">
        <v>315</v>
      </c>
      <c r="C9888" s="348" t="s">
        <v>161</v>
      </c>
      <c r="D9888" s="334" t="s">
        <v>20101</v>
      </c>
      <c r="E9888" s="336">
        <v>43815</v>
      </c>
      <c r="F9888" s="336">
        <v>43814</v>
      </c>
      <c r="G9888" s="399">
        <v>43814</v>
      </c>
      <c r="H9888" s="334" t="s">
        <v>20102</v>
      </c>
      <c r="I9888" s="444" t="s">
        <v>20103</v>
      </c>
      <c r="J9888" s="438" t="s">
        <v>20104</v>
      </c>
      <c r="K9888" s="356">
        <f>21419+145019</f>
        <v>166438</v>
      </c>
      <c r="L9888" s="334">
        <v>166438</v>
      </c>
      <c r="N9888" s="362">
        <f t="shared" si="343"/>
        <v>166438</v>
      </c>
    </row>
    <row r="9889" ht="15" customHeight="1" spans="1:14">
      <c r="A9889" s="550" t="s">
        <v>4757</v>
      </c>
      <c r="B9889" s="334" t="s">
        <v>5435</v>
      </c>
      <c r="C9889" s="348" t="s">
        <v>1728</v>
      </c>
      <c r="D9889" s="334" t="s">
        <v>237</v>
      </c>
      <c r="E9889" s="336">
        <v>43815</v>
      </c>
      <c r="F9889" s="336">
        <v>43814</v>
      </c>
      <c r="G9889" s="399">
        <v>43814</v>
      </c>
      <c r="H9889" s="334" t="s">
        <v>20105</v>
      </c>
      <c r="I9889" s="444">
        <v>18721003946</v>
      </c>
      <c r="J9889" s="438" t="s">
        <v>20106</v>
      </c>
      <c r="K9889" s="356">
        <v>999</v>
      </c>
      <c r="L9889" s="334">
        <v>1667</v>
      </c>
      <c r="N9889" s="362">
        <f t="shared" si="343"/>
        <v>1667</v>
      </c>
    </row>
    <row r="9890" ht="15" customHeight="1" spans="1:14">
      <c r="A9890" s="550" t="s">
        <v>4554</v>
      </c>
      <c r="B9890" s="334" t="s">
        <v>66</v>
      </c>
      <c r="C9890" s="348" t="s">
        <v>505</v>
      </c>
      <c r="D9890" s="334" t="s">
        <v>2302</v>
      </c>
      <c r="E9890" s="336">
        <v>43822</v>
      </c>
      <c r="F9890" s="336">
        <v>43815</v>
      </c>
      <c r="G9890" s="336">
        <v>43821</v>
      </c>
      <c r="H9890" s="334" t="s">
        <v>20107</v>
      </c>
      <c r="I9890" s="444">
        <v>13651677789</v>
      </c>
      <c r="J9890" s="438" t="s">
        <v>20108</v>
      </c>
      <c r="K9890" s="356">
        <v>30000</v>
      </c>
      <c r="L9890" s="334">
        <v>42317</v>
      </c>
      <c r="N9890" s="362">
        <f t="shared" si="343"/>
        <v>42317</v>
      </c>
    </row>
    <row r="9891" ht="15" customHeight="1" spans="1:20">
      <c r="A9891" s="348"/>
      <c r="B9891" s="334" t="s">
        <v>87</v>
      </c>
      <c r="C9891" s="348" t="s">
        <v>466</v>
      </c>
      <c r="D9891" s="335" t="s">
        <v>89</v>
      </c>
      <c r="E9891" s="336">
        <v>43827</v>
      </c>
      <c r="F9891" s="336">
        <v>43814</v>
      </c>
      <c r="G9891" s="336">
        <v>43827</v>
      </c>
      <c r="H9891" s="334" t="s">
        <v>20109</v>
      </c>
      <c r="I9891" s="444">
        <v>15221219896</v>
      </c>
      <c r="J9891" s="438" t="s">
        <v>20110</v>
      </c>
      <c r="K9891" s="356">
        <v>1000</v>
      </c>
      <c r="L9891" s="334">
        <v>9633</v>
      </c>
      <c r="N9891" s="362">
        <f t="shared" si="343"/>
        <v>9633</v>
      </c>
      <c r="T9891" s="356" t="s">
        <v>52</v>
      </c>
    </row>
    <row r="9892" ht="15" customHeight="1" spans="1:14">
      <c r="A9892" s="550" t="s">
        <v>6549</v>
      </c>
      <c r="B9892" s="334" t="s">
        <v>137</v>
      </c>
      <c r="C9892" s="348" t="s">
        <v>480</v>
      </c>
      <c r="D9892" s="334" t="s">
        <v>139</v>
      </c>
      <c r="E9892" s="336">
        <v>43815</v>
      </c>
      <c r="F9892" s="336">
        <v>43815</v>
      </c>
      <c r="G9892" s="399">
        <v>43815</v>
      </c>
      <c r="H9892" s="334" t="s">
        <v>20111</v>
      </c>
      <c r="I9892" s="444">
        <v>13661620054</v>
      </c>
      <c r="J9892" s="438" t="s">
        <v>20112</v>
      </c>
      <c r="K9892" s="356">
        <v>8910</v>
      </c>
      <c r="L9892" s="334">
        <v>8910</v>
      </c>
      <c r="N9892" s="362">
        <f t="shared" si="343"/>
        <v>8910</v>
      </c>
    </row>
    <row r="9893" ht="15" customHeight="1" spans="1:22">
      <c r="A9893" s="550" t="s">
        <v>927</v>
      </c>
      <c r="B9893" s="334" t="s">
        <v>185</v>
      </c>
      <c r="C9893" s="348" t="s">
        <v>186</v>
      </c>
      <c r="D9893" s="335" t="s">
        <v>187</v>
      </c>
      <c r="E9893" s="336">
        <v>43815</v>
      </c>
      <c r="F9893" s="336">
        <v>43815</v>
      </c>
      <c r="G9893" s="399"/>
      <c r="H9893" s="334" t="s">
        <v>20113</v>
      </c>
      <c r="I9893" s="555" t="s">
        <v>20114</v>
      </c>
      <c r="J9893" s="438" t="s">
        <v>20115</v>
      </c>
      <c r="K9893" s="356">
        <v>1000</v>
      </c>
      <c r="N9893" s="362">
        <f t="shared" si="343"/>
        <v>0</v>
      </c>
      <c r="O9893" s="467"/>
      <c r="V9893" s="471">
        <v>43836</v>
      </c>
    </row>
    <row r="9894" ht="15" customHeight="1" spans="1:17">
      <c r="A9894" s="550" t="s">
        <v>7367</v>
      </c>
      <c r="B9894" s="334" t="s">
        <v>58</v>
      </c>
      <c r="C9894" s="348" t="s">
        <v>59</v>
      </c>
      <c r="D9894" s="335" t="s">
        <v>271</v>
      </c>
      <c r="E9894" s="336">
        <v>43815</v>
      </c>
      <c r="F9894" s="336">
        <v>43814</v>
      </c>
      <c r="G9894" s="399"/>
      <c r="H9894" s="334" t="s">
        <v>20116</v>
      </c>
      <c r="I9894" s="444">
        <v>13127815278</v>
      </c>
      <c r="J9894" s="438" t="s">
        <v>20117</v>
      </c>
      <c r="K9894" s="356">
        <v>10000</v>
      </c>
      <c r="N9894" s="362">
        <f t="shared" si="343"/>
        <v>0</v>
      </c>
      <c r="P9894" s="467" t="s">
        <v>52</v>
      </c>
      <c r="Q9894" s="467"/>
    </row>
    <row r="9895" ht="15" customHeight="1" spans="1:18">
      <c r="A9895" s="550" t="s">
        <v>7223</v>
      </c>
      <c r="B9895" s="334" t="s">
        <v>58</v>
      </c>
      <c r="C9895" s="348" t="s">
        <v>59</v>
      </c>
      <c r="D9895" s="334" t="s">
        <v>110</v>
      </c>
      <c r="E9895" s="336">
        <v>43828</v>
      </c>
      <c r="F9895" s="336">
        <v>43814</v>
      </c>
      <c r="G9895" s="336">
        <v>43828</v>
      </c>
      <c r="H9895" s="334" t="s">
        <v>20118</v>
      </c>
      <c r="I9895" s="444">
        <v>18502186878</v>
      </c>
      <c r="J9895" s="438" t="s">
        <v>20119</v>
      </c>
      <c r="K9895" s="356">
        <v>10843</v>
      </c>
      <c r="L9895" s="334">
        <v>10843</v>
      </c>
      <c r="N9895" s="362">
        <f t="shared" si="343"/>
        <v>10843</v>
      </c>
      <c r="O9895" s="467" t="s">
        <v>52</v>
      </c>
      <c r="R9895" s="467"/>
    </row>
    <row r="9896" ht="15" customHeight="1" spans="2:14">
      <c r="B9896" s="334" t="s">
        <v>185</v>
      </c>
      <c r="C9896" s="348" t="s">
        <v>1204</v>
      </c>
      <c r="D9896" s="334" t="s">
        <v>187</v>
      </c>
      <c r="E9896" s="336">
        <v>43815</v>
      </c>
      <c r="G9896" s="336">
        <v>43809</v>
      </c>
      <c r="H9896" s="334" t="s">
        <v>20120</v>
      </c>
      <c r="I9896" s="444">
        <v>13818037433</v>
      </c>
      <c r="J9896" s="438" t="s">
        <v>19376</v>
      </c>
      <c r="L9896" s="334">
        <v>9105</v>
      </c>
      <c r="M9896" s="334">
        <v>8599</v>
      </c>
      <c r="N9896" s="362">
        <f t="shared" ref="N9896:N9912" si="344">L9896+M9896</f>
        <v>17704</v>
      </c>
    </row>
    <row r="9897" ht="15" customHeight="1" spans="2:14">
      <c r="B9897" s="334" t="s">
        <v>58</v>
      </c>
      <c r="C9897" s="334" t="s">
        <v>347</v>
      </c>
      <c r="D9897" s="334" t="s">
        <v>343</v>
      </c>
      <c r="E9897" s="336">
        <v>43815</v>
      </c>
      <c r="G9897" s="336">
        <v>43813</v>
      </c>
      <c r="H9897" s="334" t="s">
        <v>20121</v>
      </c>
      <c r="I9897" s="444">
        <v>13636320123</v>
      </c>
      <c r="J9897" s="438" t="s">
        <v>20122</v>
      </c>
      <c r="L9897" s="334">
        <v>13498</v>
      </c>
      <c r="N9897" s="362">
        <f t="shared" si="344"/>
        <v>13498</v>
      </c>
    </row>
    <row r="9898" ht="15" customHeight="1" spans="2:14">
      <c r="B9898" s="334" t="s">
        <v>66</v>
      </c>
      <c r="C9898" s="334" t="s">
        <v>7029</v>
      </c>
      <c r="D9898" s="334" t="s">
        <v>68</v>
      </c>
      <c r="E9898" s="336">
        <v>43815</v>
      </c>
      <c r="G9898" s="336">
        <v>43814</v>
      </c>
      <c r="H9898" s="334" t="s">
        <v>4837</v>
      </c>
      <c r="I9898" s="444">
        <v>15801731881</v>
      </c>
      <c r="J9898" s="438" t="s">
        <v>20123</v>
      </c>
      <c r="L9898" s="334">
        <v>24678</v>
      </c>
      <c r="N9898" s="362">
        <f t="shared" si="344"/>
        <v>24678</v>
      </c>
    </row>
    <row r="9899" ht="15" customHeight="1" spans="2:14">
      <c r="B9899" s="334" t="s">
        <v>58</v>
      </c>
      <c r="C9899" s="334" t="s">
        <v>342</v>
      </c>
      <c r="D9899" s="334" t="s">
        <v>343</v>
      </c>
      <c r="E9899" s="336">
        <v>43815</v>
      </c>
      <c r="G9899" s="336">
        <v>43814</v>
      </c>
      <c r="H9899" s="334" t="s">
        <v>20124</v>
      </c>
      <c r="I9899" s="444">
        <v>13671624337</v>
      </c>
      <c r="J9899" s="438" t="s">
        <v>20125</v>
      </c>
      <c r="L9899" s="334">
        <v>11806</v>
      </c>
      <c r="N9899" s="362">
        <f t="shared" si="344"/>
        <v>11806</v>
      </c>
    </row>
    <row r="9900" ht="15" customHeight="1" spans="2:14">
      <c r="B9900" s="334" t="s">
        <v>6313</v>
      </c>
      <c r="C9900" s="334" t="s">
        <v>7818</v>
      </c>
      <c r="D9900" s="445" t="s">
        <v>7871</v>
      </c>
      <c r="E9900" s="336">
        <v>43815</v>
      </c>
      <c r="G9900" s="336">
        <v>43815</v>
      </c>
      <c r="H9900" s="334" t="s">
        <v>17696</v>
      </c>
      <c r="I9900" s="444">
        <v>13585972985</v>
      </c>
      <c r="J9900" s="438" t="s">
        <v>17697</v>
      </c>
      <c r="L9900" s="334">
        <v>5393</v>
      </c>
      <c r="N9900" s="362">
        <f t="shared" si="344"/>
        <v>5393</v>
      </c>
    </row>
    <row r="9901" ht="15" customHeight="1" spans="2:14">
      <c r="B9901" s="334" t="s">
        <v>58</v>
      </c>
      <c r="C9901" s="334" t="s">
        <v>59</v>
      </c>
      <c r="D9901" s="334" t="s">
        <v>271</v>
      </c>
      <c r="E9901" s="336">
        <v>43815</v>
      </c>
      <c r="G9901" s="336">
        <v>43814</v>
      </c>
      <c r="H9901" s="334" t="s">
        <v>17201</v>
      </c>
      <c r="I9901" s="444">
        <v>18918967711</v>
      </c>
      <c r="J9901" s="438" t="s">
        <v>17202</v>
      </c>
      <c r="M9901" s="334">
        <v>1090</v>
      </c>
      <c r="N9901" s="362">
        <f t="shared" si="344"/>
        <v>1090</v>
      </c>
    </row>
    <row r="9902" ht="15" customHeight="1" spans="2:14">
      <c r="B9902" s="334" t="s">
        <v>31</v>
      </c>
      <c r="C9902" s="334" t="s">
        <v>220</v>
      </c>
      <c r="D9902" s="334" t="s">
        <v>954</v>
      </c>
      <c r="E9902" s="336">
        <v>43815</v>
      </c>
      <c r="G9902" s="336">
        <v>43814</v>
      </c>
      <c r="H9902" s="334" t="s">
        <v>20126</v>
      </c>
      <c r="I9902" s="444">
        <v>13524136263</v>
      </c>
      <c r="J9902" s="334" t="s">
        <v>20127</v>
      </c>
      <c r="M9902" s="334">
        <v>390</v>
      </c>
      <c r="N9902" s="362">
        <f t="shared" si="344"/>
        <v>390</v>
      </c>
    </row>
    <row r="9903" ht="15" customHeight="1" spans="2:14">
      <c r="B9903" s="334" t="s">
        <v>185</v>
      </c>
      <c r="C9903" s="334" t="s">
        <v>186</v>
      </c>
      <c r="D9903" s="334" t="s">
        <v>44</v>
      </c>
      <c r="E9903" s="336">
        <v>43815</v>
      </c>
      <c r="G9903" s="336">
        <v>43824</v>
      </c>
      <c r="H9903" s="334" t="s">
        <v>16210</v>
      </c>
      <c r="I9903" s="444">
        <v>18621820712</v>
      </c>
      <c r="J9903" s="348" t="s">
        <v>16211</v>
      </c>
      <c r="M9903" s="334">
        <v>6413</v>
      </c>
      <c r="N9903" s="362">
        <f t="shared" si="344"/>
        <v>6413</v>
      </c>
    </row>
    <row r="9904" ht="15" customHeight="1" spans="2:14">
      <c r="B9904" s="334" t="s">
        <v>66</v>
      </c>
      <c r="C9904" s="334" t="s">
        <v>119</v>
      </c>
      <c r="D9904" s="334" t="s">
        <v>68</v>
      </c>
      <c r="E9904" s="336">
        <v>43815</v>
      </c>
      <c r="G9904" s="336">
        <v>43814</v>
      </c>
      <c r="H9904" s="334" t="s">
        <v>16330</v>
      </c>
      <c r="I9904" s="444">
        <v>18683117327</v>
      </c>
      <c r="J9904" s="348" t="s">
        <v>16331</v>
      </c>
      <c r="M9904" s="334">
        <v>1349</v>
      </c>
      <c r="N9904" s="362">
        <f t="shared" si="344"/>
        <v>1349</v>
      </c>
    </row>
    <row r="9905" ht="15" customHeight="1" spans="2:14">
      <c r="B9905" s="334" t="s">
        <v>205</v>
      </c>
      <c r="C9905" s="334" t="s">
        <v>1467</v>
      </c>
      <c r="D9905" s="334" t="s">
        <v>89</v>
      </c>
      <c r="E9905" s="336">
        <v>43815</v>
      </c>
      <c r="G9905" s="336">
        <v>43784</v>
      </c>
      <c r="H9905" s="334" t="s">
        <v>2483</v>
      </c>
      <c r="I9905" s="356">
        <v>13918900287</v>
      </c>
      <c r="J9905" s="348" t="s">
        <v>15981</v>
      </c>
      <c r="M9905" s="334">
        <v>3896</v>
      </c>
      <c r="N9905" s="362">
        <f t="shared" si="344"/>
        <v>3896</v>
      </c>
    </row>
    <row r="9906" ht="15" customHeight="1" spans="2:14">
      <c r="B9906" s="334" t="s">
        <v>137</v>
      </c>
      <c r="C9906" s="334" t="s">
        <v>406</v>
      </c>
      <c r="D9906" s="334" t="s">
        <v>443</v>
      </c>
      <c r="E9906" s="336">
        <v>43815</v>
      </c>
      <c r="G9906" s="336">
        <v>43813</v>
      </c>
      <c r="H9906" s="334" t="s">
        <v>16435</v>
      </c>
      <c r="I9906" s="444">
        <v>13817772357</v>
      </c>
      <c r="J9906" s="348" t="s">
        <v>16436</v>
      </c>
      <c r="M9906" s="334">
        <v>3586</v>
      </c>
      <c r="N9906" s="362">
        <f t="shared" si="344"/>
        <v>3586</v>
      </c>
    </row>
    <row r="9907" ht="15" customHeight="1" spans="2:14">
      <c r="B9907" s="334" t="s">
        <v>87</v>
      </c>
      <c r="C9907" s="334" t="s">
        <v>466</v>
      </c>
      <c r="D9907" s="334" t="s">
        <v>89</v>
      </c>
      <c r="E9907" s="336">
        <v>43815</v>
      </c>
      <c r="G9907" s="336">
        <v>43814</v>
      </c>
      <c r="H9907" s="334" t="s">
        <v>12908</v>
      </c>
      <c r="I9907" s="356">
        <v>13661791403</v>
      </c>
      <c r="J9907" s="348" t="s">
        <v>20128</v>
      </c>
      <c r="M9907" s="334">
        <v>2307</v>
      </c>
      <c r="N9907" s="362">
        <f t="shared" si="344"/>
        <v>2307</v>
      </c>
    </row>
    <row r="9908" ht="15" customHeight="1" spans="2:14">
      <c r="B9908" s="334" t="s">
        <v>315</v>
      </c>
      <c r="C9908" s="334" t="s">
        <v>366</v>
      </c>
      <c r="D9908" s="334" t="s">
        <v>132</v>
      </c>
      <c r="E9908" s="336">
        <v>43815</v>
      </c>
      <c r="G9908" s="336">
        <v>43814</v>
      </c>
      <c r="H9908" s="334" t="s">
        <v>19099</v>
      </c>
      <c r="I9908" s="444">
        <v>15121018164</v>
      </c>
      <c r="J9908" s="348" t="s">
        <v>10490</v>
      </c>
      <c r="M9908" s="334">
        <v>3480</v>
      </c>
      <c r="N9908" s="362">
        <f t="shared" si="344"/>
        <v>3480</v>
      </c>
    </row>
    <row r="9909" ht="15" customHeight="1" spans="2:14">
      <c r="B9909" s="334" t="s">
        <v>185</v>
      </c>
      <c r="C9909" s="334" t="s">
        <v>4146</v>
      </c>
      <c r="D9909" s="334" t="s">
        <v>187</v>
      </c>
      <c r="E9909" s="336">
        <v>43815</v>
      </c>
      <c r="G9909" s="336">
        <v>43815</v>
      </c>
      <c r="H9909" s="334" t="s">
        <v>17136</v>
      </c>
      <c r="I9909" s="444">
        <v>13916276480</v>
      </c>
      <c r="J9909" s="348" t="s">
        <v>17137</v>
      </c>
      <c r="M9909" s="334">
        <v>600</v>
      </c>
      <c r="N9909" s="362">
        <f t="shared" si="344"/>
        <v>600</v>
      </c>
    </row>
    <row r="9910" ht="15" customHeight="1" spans="2:14">
      <c r="B9910" s="334" t="s">
        <v>243</v>
      </c>
      <c r="C9910" s="334" t="s">
        <v>304</v>
      </c>
      <c r="D9910" s="334" t="s">
        <v>49</v>
      </c>
      <c r="E9910" s="336">
        <v>43815</v>
      </c>
      <c r="G9910" s="336">
        <v>43798</v>
      </c>
      <c r="H9910" s="334" t="s">
        <v>7674</v>
      </c>
      <c r="I9910" s="444">
        <v>18121388031</v>
      </c>
      <c r="J9910" s="348" t="s">
        <v>16429</v>
      </c>
      <c r="M9910" s="334">
        <v>10000</v>
      </c>
      <c r="N9910" s="362">
        <f t="shared" si="344"/>
        <v>10000</v>
      </c>
    </row>
    <row r="9911" ht="15" customHeight="1" spans="2:14">
      <c r="B9911" s="334" t="s">
        <v>281</v>
      </c>
      <c r="C9911" s="334" t="s">
        <v>13525</v>
      </c>
      <c r="D9911" s="334" t="s">
        <v>518</v>
      </c>
      <c r="E9911" s="336">
        <v>43815</v>
      </c>
      <c r="G9911" s="336">
        <v>43815</v>
      </c>
      <c r="H9911" s="334" t="s">
        <v>13526</v>
      </c>
      <c r="I9911" s="426">
        <v>13918928864</v>
      </c>
      <c r="J9911" s="334" t="s">
        <v>13527</v>
      </c>
      <c r="M9911" s="334">
        <v>3045</v>
      </c>
      <c r="N9911" s="362">
        <f t="shared" si="344"/>
        <v>3045</v>
      </c>
    </row>
    <row r="9912" ht="15" customHeight="1" spans="2:14">
      <c r="B9912" s="334" t="s">
        <v>315</v>
      </c>
      <c r="C9912" s="334" t="s">
        <v>275</v>
      </c>
      <c r="D9912" s="334" t="s">
        <v>162</v>
      </c>
      <c r="E9912" s="336">
        <v>43815</v>
      </c>
      <c r="G9912" s="336">
        <v>43814</v>
      </c>
      <c r="H9912" s="334" t="s">
        <v>13210</v>
      </c>
      <c r="I9912" s="426">
        <v>13917040581</v>
      </c>
      <c r="J9912" s="334" t="s">
        <v>13211</v>
      </c>
      <c r="M9912" s="334">
        <v>1000</v>
      </c>
      <c r="N9912" s="362">
        <f t="shared" si="344"/>
        <v>1000</v>
      </c>
    </row>
    <row r="9913" ht="15" customHeight="1" spans="1:14">
      <c r="A9913" s="550" t="s">
        <v>4026</v>
      </c>
      <c r="B9913" s="334" t="s">
        <v>185</v>
      </c>
      <c r="C9913" s="348" t="s">
        <v>186</v>
      </c>
      <c r="D9913" s="334" t="s">
        <v>44</v>
      </c>
      <c r="E9913" s="336">
        <v>43821</v>
      </c>
      <c r="F9913" s="336">
        <v>43816</v>
      </c>
      <c r="G9913" s="336">
        <v>43820</v>
      </c>
      <c r="H9913" s="334" t="s">
        <v>20129</v>
      </c>
      <c r="I9913" s="444">
        <v>18610946306</v>
      </c>
      <c r="J9913" s="438" t="s">
        <v>20130</v>
      </c>
      <c r="K9913" s="356">
        <v>6096</v>
      </c>
      <c r="L9913" s="334">
        <v>10655</v>
      </c>
      <c r="N9913" s="362">
        <f t="shared" ref="N9913:N9929" si="345">L9913+M9913</f>
        <v>10655</v>
      </c>
    </row>
    <row r="9914" ht="15" customHeight="1" spans="1:18">
      <c r="A9914" s="550" t="s">
        <v>7699</v>
      </c>
      <c r="B9914" s="334" t="s">
        <v>58</v>
      </c>
      <c r="C9914" s="348" t="s">
        <v>59</v>
      </c>
      <c r="D9914" s="334" t="s">
        <v>110</v>
      </c>
      <c r="E9914" s="336">
        <v>43827</v>
      </c>
      <c r="F9914" s="336">
        <v>43815</v>
      </c>
      <c r="G9914" s="336">
        <v>43826</v>
      </c>
      <c r="H9914" s="334" t="s">
        <v>20131</v>
      </c>
      <c r="I9914" s="444">
        <v>13601957658</v>
      </c>
      <c r="J9914" s="438" t="s">
        <v>20132</v>
      </c>
      <c r="K9914" s="356">
        <v>45200</v>
      </c>
      <c r="L9914" s="334">
        <v>45200</v>
      </c>
      <c r="N9914" s="362">
        <f t="shared" si="345"/>
        <v>45200</v>
      </c>
      <c r="R9914" s="467" t="s">
        <v>52</v>
      </c>
    </row>
    <row r="9915" ht="15" customHeight="1" spans="1:18">
      <c r="A9915" s="550" t="s">
        <v>20051</v>
      </c>
      <c r="B9915" s="334" t="s">
        <v>137</v>
      </c>
      <c r="C9915" s="348" t="s">
        <v>2705</v>
      </c>
      <c r="D9915" s="334" t="s">
        <v>2381</v>
      </c>
      <c r="E9915" s="336">
        <v>43830</v>
      </c>
      <c r="F9915" s="336">
        <v>43814</v>
      </c>
      <c r="G9915" s="336">
        <v>43828</v>
      </c>
      <c r="H9915" s="334" t="s">
        <v>20133</v>
      </c>
      <c r="I9915" s="444">
        <v>19921782650</v>
      </c>
      <c r="J9915" s="438" t="s">
        <v>20134</v>
      </c>
      <c r="K9915" s="356">
        <v>18900</v>
      </c>
      <c r="L9915" s="334">
        <v>18639</v>
      </c>
      <c r="N9915" s="362">
        <f t="shared" si="345"/>
        <v>18639</v>
      </c>
      <c r="R9915" s="353">
        <v>1</v>
      </c>
    </row>
    <row r="9916" ht="15" customHeight="1" spans="1:15">
      <c r="A9916" s="550" t="s">
        <v>20135</v>
      </c>
      <c r="B9916" s="334" t="s">
        <v>58</v>
      </c>
      <c r="C9916" s="334" t="s">
        <v>347</v>
      </c>
      <c r="D9916" s="335" t="s">
        <v>343</v>
      </c>
      <c r="E9916" s="336">
        <v>43816</v>
      </c>
      <c r="F9916" s="336">
        <v>43815</v>
      </c>
      <c r="G9916" s="399"/>
      <c r="H9916" s="334" t="s">
        <v>20136</v>
      </c>
      <c r="I9916" s="444">
        <v>13167230927</v>
      </c>
      <c r="J9916" s="438" t="s">
        <v>20137</v>
      </c>
      <c r="K9916" s="356">
        <v>1000</v>
      </c>
      <c r="N9916" s="362">
        <f t="shared" si="345"/>
        <v>0</v>
      </c>
      <c r="O9916" s="467" t="s">
        <v>52</v>
      </c>
    </row>
    <row r="9917" ht="15" customHeight="1" spans="1:15">
      <c r="A9917" s="550" t="s">
        <v>20138</v>
      </c>
      <c r="B9917" s="334" t="s">
        <v>58</v>
      </c>
      <c r="C9917" s="334" t="s">
        <v>347</v>
      </c>
      <c r="D9917" s="335" t="s">
        <v>343</v>
      </c>
      <c r="E9917" s="336">
        <v>43816</v>
      </c>
      <c r="F9917" s="336">
        <v>43815</v>
      </c>
      <c r="G9917" s="399"/>
      <c r="H9917" s="334" t="s">
        <v>15302</v>
      </c>
      <c r="I9917" s="444">
        <v>13311318795</v>
      </c>
      <c r="J9917" s="438" t="s">
        <v>20139</v>
      </c>
      <c r="K9917" s="356">
        <v>15700</v>
      </c>
      <c r="N9917" s="362">
        <f t="shared" si="345"/>
        <v>0</v>
      </c>
      <c r="O9917" s="467" t="s">
        <v>52</v>
      </c>
    </row>
    <row r="9918" ht="15" customHeight="1" spans="1:18">
      <c r="A9918" s="550" t="s">
        <v>20140</v>
      </c>
      <c r="B9918" s="334" t="s">
        <v>405</v>
      </c>
      <c r="C9918" s="348" t="s">
        <v>14070</v>
      </c>
      <c r="D9918" s="335" t="s">
        <v>407</v>
      </c>
      <c r="E9918" s="336">
        <v>43828</v>
      </c>
      <c r="F9918" s="336">
        <v>43814</v>
      </c>
      <c r="G9918" s="336">
        <v>43827</v>
      </c>
      <c r="H9918" s="334" t="s">
        <v>20141</v>
      </c>
      <c r="I9918" s="444">
        <v>13524062538</v>
      </c>
      <c r="J9918" s="438" t="s">
        <v>20142</v>
      </c>
      <c r="K9918" s="356">
        <v>1000</v>
      </c>
      <c r="L9918" s="334">
        <v>16353</v>
      </c>
      <c r="N9918" s="362">
        <f t="shared" si="345"/>
        <v>16353</v>
      </c>
      <c r="R9918" s="502" t="s">
        <v>52</v>
      </c>
    </row>
    <row r="9919" ht="15" customHeight="1" spans="1:14">
      <c r="A9919" s="550" t="s">
        <v>6451</v>
      </c>
      <c r="B9919" s="334" t="s">
        <v>137</v>
      </c>
      <c r="C9919" s="348" t="s">
        <v>2705</v>
      </c>
      <c r="D9919" s="334" t="s">
        <v>2381</v>
      </c>
      <c r="E9919" s="336">
        <v>43816</v>
      </c>
      <c r="F9919" s="336">
        <v>43811</v>
      </c>
      <c r="G9919" s="399">
        <v>43815</v>
      </c>
      <c r="H9919" s="334" t="s">
        <v>20143</v>
      </c>
      <c r="I9919" s="444">
        <v>13917390450</v>
      </c>
      <c r="J9919" s="438" t="s">
        <v>20144</v>
      </c>
      <c r="K9919" s="356">
        <v>3080</v>
      </c>
      <c r="L9919" s="334">
        <v>3905</v>
      </c>
      <c r="N9919" s="362">
        <f t="shared" si="345"/>
        <v>3905</v>
      </c>
    </row>
    <row r="9920" ht="15" customHeight="1" spans="1:14">
      <c r="A9920" s="550" t="s">
        <v>18720</v>
      </c>
      <c r="B9920" s="334" t="s">
        <v>66</v>
      </c>
      <c r="C9920" s="348" t="s">
        <v>1749</v>
      </c>
      <c r="D9920" s="334" t="s">
        <v>1436</v>
      </c>
      <c r="E9920" s="336">
        <v>43820</v>
      </c>
      <c r="F9920" s="336">
        <v>43816</v>
      </c>
      <c r="G9920" s="336">
        <v>43820</v>
      </c>
      <c r="H9920" s="334" t="s">
        <v>20145</v>
      </c>
      <c r="I9920" s="444">
        <v>15618001726</v>
      </c>
      <c r="J9920" s="438" t="s">
        <v>20146</v>
      </c>
      <c r="K9920" s="356">
        <v>4740</v>
      </c>
      <c r="L9920" s="334">
        <v>5040</v>
      </c>
      <c r="N9920" s="362">
        <f t="shared" si="345"/>
        <v>5040</v>
      </c>
    </row>
    <row r="9921" ht="15" customHeight="1" spans="1:22">
      <c r="A9921" s="550" t="s">
        <v>1619</v>
      </c>
      <c r="B9921" s="334" t="s">
        <v>137</v>
      </c>
      <c r="C9921" s="348" t="s">
        <v>861</v>
      </c>
      <c r="D9921" s="334" t="s">
        <v>443</v>
      </c>
      <c r="E9921" s="336">
        <v>43829</v>
      </c>
      <c r="F9921" s="336">
        <v>43814</v>
      </c>
      <c r="G9921" s="336">
        <v>43828</v>
      </c>
      <c r="H9921" s="334" t="s">
        <v>20147</v>
      </c>
      <c r="I9921" s="444">
        <v>18201827795</v>
      </c>
      <c r="J9921" s="438" t="s">
        <v>20148</v>
      </c>
      <c r="K9921" s="356">
        <v>14500</v>
      </c>
      <c r="L9921" s="334">
        <v>14500</v>
      </c>
      <c r="N9921" s="362">
        <f t="shared" si="345"/>
        <v>14500</v>
      </c>
      <c r="V9921" s="330" t="s">
        <v>20149</v>
      </c>
    </row>
    <row r="9922" ht="15" customHeight="1" spans="1:15">
      <c r="A9922" s="348"/>
      <c r="B9922" s="334" t="s">
        <v>123</v>
      </c>
      <c r="C9922" s="348" t="s">
        <v>32</v>
      </c>
      <c r="D9922" s="335" t="s">
        <v>125</v>
      </c>
      <c r="E9922" s="336">
        <v>43835</v>
      </c>
      <c r="F9922" s="336">
        <v>43816</v>
      </c>
      <c r="G9922" s="336">
        <v>43835</v>
      </c>
      <c r="H9922" s="334" t="s">
        <v>20150</v>
      </c>
      <c r="I9922" s="444">
        <v>13661481266</v>
      </c>
      <c r="J9922" s="438" t="s">
        <v>20151</v>
      </c>
      <c r="K9922" s="356">
        <v>2534</v>
      </c>
      <c r="L9922" s="334">
        <v>2864</v>
      </c>
      <c r="N9922" s="362">
        <f t="shared" si="345"/>
        <v>2864</v>
      </c>
      <c r="O9922" s="353" t="s">
        <v>1608</v>
      </c>
    </row>
    <row r="9923" ht="15" customHeight="1" spans="1:18">
      <c r="A9923" s="550" t="s">
        <v>20152</v>
      </c>
      <c r="B9923" s="334" t="s">
        <v>405</v>
      </c>
      <c r="C9923" s="348" t="s">
        <v>1234</v>
      </c>
      <c r="D9923" s="335" t="s">
        <v>407</v>
      </c>
      <c r="E9923" s="336">
        <v>43830</v>
      </c>
      <c r="F9923" s="336">
        <v>43814</v>
      </c>
      <c r="G9923" s="336">
        <v>43830</v>
      </c>
      <c r="H9923" s="334" t="s">
        <v>20153</v>
      </c>
      <c r="I9923" s="444">
        <v>13817687670</v>
      </c>
      <c r="J9923" s="438" t="s">
        <v>20154</v>
      </c>
      <c r="K9923" s="356">
        <v>5000</v>
      </c>
      <c r="L9923" s="334">
        <v>15000</v>
      </c>
      <c r="N9923" s="362">
        <f t="shared" si="345"/>
        <v>15000</v>
      </c>
      <c r="R9923" s="502" t="s">
        <v>52</v>
      </c>
    </row>
    <row r="9924" ht="15" customHeight="1" spans="1:14">
      <c r="A9924" s="550" t="s">
        <v>12726</v>
      </c>
      <c r="B9924" s="334" t="s">
        <v>169</v>
      </c>
      <c r="C9924" s="348" t="s">
        <v>634</v>
      </c>
      <c r="D9924" s="334" t="s">
        <v>635</v>
      </c>
      <c r="E9924" s="336">
        <v>43817</v>
      </c>
      <c r="F9924" s="336">
        <v>43816</v>
      </c>
      <c r="G9924" s="336">
        <v>43816</v>
      </c>
      <c r="H9924" s="334" t="s">
        <v>19440</v>
      </c>
      <c r="I9924" s="444">
        <v>18049988809</v>
      </c>
      <c r="J9924" s="438" t="s">
        <v>20155</v>
      </c>
      <c r="K9924" s="356">
        <v>1000</v>
      </c>
      <c r="L9924" s="334">
        <v>4289</v>
      </c>
      <c r="N9924" s="362">
        <f t="shared" si="345"/>
        <v>4289</v>
      </c>
    </row>
    <row r="9925" ht="15" customHeight="1" spans="1:15">
      <c r="A9925" s="550" t="s">
        <v>16724</v>
      </c>
      <c r="B9925" s="334" t="s">
        <v>137</v>
      </c>
      <c r="C9925" s="348" t="s">
        <v>861</v>
      </c>
      <c r="D9925" s="334" t="s">
        <v>443</v>
      </c>
      <c r="E9925" s="336">
        <v>43830</v>
      </c>
      <c r="F9925" s="336">
        <v>43816</v>
      </c>
      <c r="G9925" s="336">
        <v>43830</v>
      </c>
      <c r="H9925" s="334" t="s">
        <v>20156</v>
      </c>
      <c r="I9925" s="444">
        <v>18916956875</v>
      </c>
      <c r="J9925" s="438" t="s">
        <v>20157</v>
      </c>
      <c r="K9925" s="356">
        <v>10800</v>
      </c>
      <c r="L9925" s="334">
        <v>10800</v>
      </c>
      <c r="N9925" s="362">
        <f t="shared" si="345"/>
        <v>10800</v>
      </c>
      <c r="O9925" s="330" t="s">
        <v>1608</v>
      </c>
    </row>
    <row r="9926" ht="15" customHeight="1" spans="1:17">
      <c r="A9926" s="550" t="s">
        <v>1166</v>
      </c>
      <c r="B9926" s="334" t="s">
        <v>405</v>
      </c>
      <c r="C9926" s="348" t="s">
        <v>14070</v>
      </c>
      <c r="D9926" s="335" t="s">
        <v>407</v>
      </c>
      <c r="E9926" s="336">
        <v>43816</v>
      </c>
      <c r="F9926" s="336">
        <v>43816</v>
      </c>
      <c r="G9926" s="399"/>
      <c r="H9926" s="334" t="s">
        <v>7749</v>
      </c>
      <c r="I9926" s="444">
        <v>13918638369</v>
      </c>
      <c r="J9926" s="438" t="s">
        <v>20158</v>
      </c>
      <c r="K9926" s="356">
        <v>1299</v>
      </c>
      <c r="N9926" s="362">
        <f t="shared" si="345"/>
        <v>0</v>
      </c>
      <c r="Q9926" s="502" t="s">
        <v>52</v>
      </c>
    </row>
    <row r="9927" ht="15" customHeight="1" spans="1:22">
      <c r="A9927" s="550" t="s">
        <v>20159</v>
      </c>
      <c r="B9927" s="334" t="s">
        <v>137</v>
      </c>
      <c r="C9927" s="348" t="s">
        <v>138</v>
      </c>
      <c r="D9927" s="335" t="s">
        <v>139</v>
      </c>
      <c r="E9927" s="336">
        <v>43830</v>
      </c>
      <c r="F9927" s="336">
        <v>43816</v>
      </c>
      <c r="G9927" s="336">
        <v>43830</v>
      </c>
      <c r="H9927" s="334" t="s">
        <v>20160</v>
      </c>
      <c r="I9927" s="444">
        <v>13817818515</v>
      </c>
      <c r="J9927" s="438" t="s">
        <v>20161</v>
      </c>
      <c r="K9927" s="356">
        <v>16200</v>
      </c>
      <c r="L9927" s="334">
        <v>16200</v>
      </c>
      <c r="N9927" s="362">
        <f t="shared" si="345"/>
        <v>16200</v>
      </c>
      <c r="V9927" s="330" t="s">
        <v>13267</v>
      </c>
    </row>
    <row r="9928" ht="15" customHeight="1" spans="1:14">
      <c r="A9928" s="550" t="s">
        <v>4217</v>
      </c>
      <c r="B9928" s="334" t="s">
        <v>35</v>
      </c>
      <c r="C9928" s="348" t="s">
        <v>36</v>
      </c>
      <c r="D9928" s="335" t="s">
        <v>37</v>
      </c>
      <c r="E9928" s="336">
        <v>43822</v>
      </c>
      <c r="F9928" s="336">
        <v>43816</v>
      </c>
      <c r="G9928" s="336">
        <v>43822</v>
      </c>
      <c r="H9928" s="334" t="s">
        <v>3819</v>
      </c>
      <c r="I9928" s="444">
        <v>15002105583</v>
      </c>
      <c r="J9928" s="438" t="s">
        <v>20162</v>
      </c>
      <c r="K9928" s="356">
        <v>1000</v>
      </c>
      <c r="L9928" s="334">
        <v>25520</v>
      </c>
      <c r="N9928" s="362">
        <f t="shared" si="345"/>
        <v>25520</v>
      </c>
    </row>
    <row r="9929" ht="15" customHeight="1" spans="1:17">
      <c r="A9929" s="550" t="s">
        <v>10239</v>
      </c>
      <c r="B9929" s="334" t="s">
        <v>243</v>
      </c>
      <c r="C9929" s="348" t="s">
        <v>304</v>
      </c>
      <c r="D9929" s="335" t="s">
        <v>49</v>
      </c>
      <c r="E9929" s="336" t="s">
        <v>13074</v>
      </c>
      <c r="F9929" s="336">
        <v>43816</v>
      </c>
      <c r="G9929" s="399"/>
      <c r="H9929" s="334" t="s">
        <v>20163</v>
      </c>
      <c r="I9929" s="444">
        <v>18101848586</v>
      </c>
      <c r="J9929" s="438" t="s">
        <v>20164</v>
      </c>
      <c r="K9929" s="356">
        <v>20000</v>
      </c>
      <c r="N9929" s="362">
        <f t="shared" si="345"/>
        <v>0</v>
      </c>
      <c r="Q9929" s="356" t="s">
        <v>52</v>
      </c>
    </row>
    <row r="9930" ht="15" customHeight="1" spans="2:14">
      <c r="B9930" s="334" t="s">
        <v>4009</v>
      </c>
      <c r="C9930" s="334" t="s">
        <v>6401</v>
      </c>
      <c r="D9930" s="334" t="s">
        <v>207</v>
      </c>
      <c r="E9930" s="336">
        <v>43816</v>
      </c>
      <c r="G9930" s="336">
        <v>43814</v>
      </c>
      <c r="H9930" s="334" t="s">
        <v>19408</v>
      </c>
      <c r="I9930" s="444">
        <v>18502196699</v>
      </c>
      <c r="J9930" s="348" t="s">
        <v>20165</v>
      </c>
      <c r="L9930" s="334">
        <v>10135</v>
      </c>
      <c r="N9930" s="362">
        <f t="shared" ref="N9930:N9935" si="346">L9930+M9930</f>
        <v>10135</v>
      </c>
    </row>
    <row r="9931" ht="15" customHeight="1" spans="2:14">
      <c r="B9931" s="334" t="s">
        <v>31</v>
      </c>
      <c r="C9931" s="334" t="s">
        <v>377</v>
      </c>
      <c r="D9931" s="334" t="s">
        <v>33</v>
      </c>
      <c r="E9931" s="336">
        <v>43816</v>
      </c>
      <c r="G9931" s="336">
        <v>43815</v>
      </c>
      <c r="H9931" s="334" t="s">
        <v>8238</v>
      </c>
      <c r="I9931" s="334">
        <v>13020125892</v>
      </c>
      <c r="J9931" s="334" t="s">
        <v>20166</v>
      </c>
      <c r="M9931" s="334">
        <v>98</v>
      </c>
      <c r="N9931" s="362">
        <f t="shared" si="346"/>
        <v>98</v>
      </c>
    </row>
    <row r="9932" ht="15" customHeight="1" spans="2:14">
      <c r="B9932" s="334" t="s">
        <v>66</v>
      </c>
      <c r="C9932" s="334" t="s">
        <v>1749</v>
      </c>
      <c r="D9932" s="334" t="s">
        <v>68</v>
      </c>
      <c r="E9932" s="336">
        <v>43816</v>
      </c>
      <c r="G9932" s="336">
        <v>43815</v>
      </c>
      <c r="H9932" s="334" t="s">
        <v>13475</v>
      </c>
      <c r="I9932" s="444">
        <v>13918367457</v>
      </c>
      <c r="J9932" s="348" t="s">
        <v>13476</v>
      </c>
      <c r="M9932" s="334">
        <v>2589</v>
      </c>
      <c r="N9932" s="362">
        <f t="shared" si="346"/>
        <v>2589</v>
      </c>
    </row>
    <row r="9933" ht="15" customHeight="1" spans="2:14">
      <c r="B9933" s="334" t="s">
        <v>243</v>
      </c>
      <c r="C9933" s="334" t="s">
        <v>304</v>
      </c>
      <c r="D9933" s="334" t="s">
        <v>49</v>
      </c>
      <c r="E9933" s="336">
        <v>43816</v>
      </c>
      <c r="G9933" s="336">
        <v>43816</v>
      </c>
      <c r="H9933" s="334" t="s">
        <v>6623</v>
      </c>
      <c r="I9933" s="444">
        <v>13801823658</v>
      </c>
      <c r="J9933" s="348" t="s">
        <v>6624</v>
      </c>
      <c r="M9933" s="334">
        <v>1640</v>
      </c>
      <c r="N9933" s="362">
        <f t="shared" si="346"/>
        <v>1640</v>
      </c>
    </row>
    <row r="9934" ht="15" customHeight="1" spans="2:14">
      <c r="B9934" s="334" t="s">
        <v>137</v>
      </c>
      <c r="C9934" s="334" t="s">
        <v>480</v>
      </c>
      <c r="D9934" s="334" t="s">
        <v>443</v>
      </c>
      <c r="E9934" s="336">
        <v>43816</v>
      </c>
      <c r="G9934" s="336">
        <v>43813</v>
      </c>
      <c r="H9934" s="334" t="s">
        <v>20167</v>
      </c>
      <c r="I9934" s="356">
        <v>18017766300</v>
      </c>
      <c r="J9934" s="348" t="s">
        <v>4745</v>
      </c>
      <c r="M9934" s="334">
        <v>-284</v>
      </c>
      <c r="N9934" s="362">
        <f t="shared" si="346"/>
        <v>-284</v>
      </c>
    </row>
    <row r="9935" ht="15" customHeight="1" spans="2:14">
      <c r="B9935" s="334" t="s">
        <v>73</v>
      </c>
      <c r="C9935" s="334" t="s">
        <v>74</v>
      </c>
      <c r="D9935" s="334" t="s">
        <v>171</v>
      </c>
      <c r="E9935" s="336">
        <v>43816</v>
      </c>
      <c r="G9935" s="336">
        <v>43816</v>
      </c>
      <c r="H9935" s="334" t="s">
        <v>12432</v>
      </c>
      <c r="I9935" s="426">
        <v>13917588550</v>
      </c>
      <c r="J9935" s="334" t="s">
        <v>12433</v>
      </c>
      <c r="M9935" s="334">
        <v>1459</v>
      </c>
      <c r="N9935" s="362">
        <f t="shared" si="346"/>
        <v>1459</v>
      </c>
    </row>
    <row r="9936" ht="15" customHeight="1" spans="1:14">
      <c r="A9936" s="550" t="s">
        <v>4361</v>
      </c>
      <c r="B9936" s="334" t="s">
        <v>354</v>
      </c>
      <c r="C9936" s="348" t="s">
        <v>355</v>
      </c>
      <c r="D9936" s="334" t="s">
        <v>162</v>
      </c>
      <c r="E9936" s="336">
        <v>43817</v>
      </c>
      <c r="F9936" s="336">
        <v>43809</v>
      </c>
      <c r="G9936" s="399">
        <v>43816</v>
      </c>
      <c r="H9936" s="334" t="s">
        <v>20168</v>
      </c>
      <c r="I9936" s="444">
        <v>18001578790</v>
      </c>
      <c r="J9936" s="438" t="s">
        <v>20169</v>
      </c>
      <c r="K9936" s="356">
        <v>500</v>
      </c>
      <c r="L9936" s="334">
        <v>16000</v>
      </c>
      <c r="N9936" s="362">
        <f t="shared" ref="N9936:N9954" si="347">L9936+M9936</f>
        <v>16000</v>
      </c>
    </row>
    <row r="9937" ht="15" customHeight="1" spans="1:15">
      <c r="A9937" s="550" t="s">
        <v>6872</v>
      </c>
      <c r="B9937" s="334" t="s">
        <v>137</v>
      </c>
      <c r="C9937" s="348" t="s">
        <v>411</v>
      </c>
      <c r="D9937" s="335" t="s">
        <v>443</v>
      </c>
      <c r="E9937" s="336">
        <v>43829</v>
      </c>
      <c r="F9937" s="336">
        <v>43816</v>
      </c>
      <c r="G9937" s="336">
        <v>43829</v>
      </c>
      <c r="H9937" s="334" t="s">
        <v>20170</v>
      </c>
      <c r="I9937" s="444">
        <v>13918228800</v>
      </c>
      <c r="J9937" s="438" t="s">
        <v>20171</v>
      </c>
      <c r="K9937" s="356">
        <f>24000-2400</f>
        <v>21600</v>
      </c>
      <c r="L9937" s="334">
        <v>21600</v>
      </c>
      <c r="N9937" s="362">
        <f t="shared" si="347"/>
        <v>21600</v>
      </c>
      <c r="O9937" s="353" t="s">
        <v>16361</v>
      </c>
    </row>
    <row r="9938" ht="15" customHeight="1" spans="1:20">
      <c r="A9938" s="550" t="s">
        <v>20172</v>
      </c>
      <c r="B9938" s="334" t="s">
        <v>315</v>
      </c>
      <c r="C9938" s="348" t="s">
        <v>161</v>
      </c>
      <c r="D9938" s="439" t="s">
        <v>149</v>
      </c>
      <c r="E9938" s="440">
        <v>43839</v>
      </c>
      <c r="F9938" s="336">
        <v>43816</v>
      </c>
      <c r="G9938" s="440">
        <v>43837</v>
      </c>
      <c r="H9938" s="334" t="s">
        <v>20173</v>
      </c>
      <c r="I9938" s="444">
        <v>13916154292</v>
      </c>
      <c r="J9938" s="438" t="s">
        <v>20174</v>
      </c>
      <c r="K9938" s="356">
        <v>1000</v>
      </c>
      <c r="L9938" s="439">
        <v>3536</v>
      </c>
      <c r="N9938" s="362">
        <f t="shared" si="347"/>
        <v>3536</v>
      </c>
      <c r="T9938" s="330">
        <v>1</v>
      </c>
    </row>
    <row r="9939" ht="15" customHeight="1" spans="1:14">
      <c r="A9939" s="550" t="s">
        <v>20175</v>
      </c>
      <c r="B9939" s="334" t="s">
        <v>66</v>
      </c>
      <c r="C9939" s="348" t="s">
        <v>505</v>
      </c>
      <c r="D9939" s="334" t="s">
        <v>2302</v>
      </c>
      <c r="E9939" s="336">
        <v>43829</v>
      </c>
      <c r="F9939" s="336">
        <v>43816</v>
      </c>
      <c r="G9939" s="336">
        <v>43829</v>
      </c>
      <c r="H9939" s="334" t="s">
        <v>20176</v>
      </c>
      <c r="I9939" s="444">
        <v>13761510109</v>
      </c>
      <c r="J9939" s="438" t="s">
        <v>20177</v>
      </c>
      <c r="K9939" s="356">
        <v>10000</v>
      </c>
      <c r="L9939" s="334">
        <v>10000</v>
      </c>
      <c r="N9939" s="362">
        <f t="shared" si="347"/>
        <v>10000</v>
      </c>
    </row>
    <row r="9940" ht="15" customHeight="1" spans="1:16">
      <c r="A9940" s="550" t="s">
        <v>20178</v>
      </c>
      <c r="B9940" s="334" t="s">
        <v>31</v>
      </c>
      <c r="C9940" s="348" t="s">
        <v>2716</v>
      </c>
      <c r="D9940" s="335" t="s">
        <v>221</v>
      </c>
      <c r="E9940" s="336">
        <v>43817</v>
      </c>
      <c r="F9940" s="336">
        <v>43815</v>
      </c>
      <c r="G9940" s="399"/>
      <c r="H9940" s="334" t="s">
        <v>20179</v>
      </c>
      <c r="I9940" s="444">
        <v>18757717302</v>
      </c>
      <c r="J9940" s="438" t="s">
        <v>20180</v>
      </c>
      <c r="K9940" s="356">
        <v>1000</v>
      </c>
      <c r="N9940" s="362">
        <f t="shared" si="347"/>
        <v>0</v>
      </c>
      <c r="P9940" s="366" t="s">
        <v>52</v>
      </c>
    </row>
    <row r="9941" ht="15" customHeight="1" spans="1:19">
      <c r="A9941" s="550" t="s">
        <v>4789</v>
      </c>
      <c r="B9941" s="334" t="s">
        <v>726</v>
      </c>
      <c r="C9941" s="348" t="s">
        <v>12699</v>
      </c>
      <c r="D9941" s="335" t="s">
        <v>149</v>
      </c>
      <c r="E9941" s="336">
        <v>43817</v>
      </c>
      <c r="F9941" s="336">
        <v>43817</v>
      </c>
      <c r="G9941" s="399"/>
      <c r="H9941" s="334" t="s">
        <v>20181</v>
      </c>
      <c r="I9941" s="444">
        <v>13817773725</v>
      </c>
      <c r="J9941" s="438" t="s">
        <v>20182</v>
      </c>
      <c r="K9941" s="356">
        <v>1000</v>
      </c>
      <c r="N9941" s="362">
        <f t="shared" si="347"/>
        <v>0</v>
      </c>
      <c r="O9941" s="467"/>
      <c r="S9941" s="353" t="s">
        <v>23</v>
      </c>
    </row>
    <row r="9942" ht="15" customHeight="1" spans="1:18">
      <c r="A9942" s="550" t="s">
        <v>6872</v>
      </c>
      <c r="B9942" s="334" t="s">
        <v>94</v>
      </c>
      <c r="C9942" s="348" t="s">
        <v>95</v>
      </c>
      <c r="D9942" s="335" t="s">
        <v>49</v>
      </c>
      <c r="E9942" s="336">
        <v>43818</v>
      </c>
      <c r="F9942" s="336">
        <v>43817</v>
      </c>
      <c r="G9942" s="399"/>
      <c r="H9942" s="334" t="s">
        <v>20183</v>
      </c>
      <c r="I9942" s="444">
        <v>13701961198</v>
      </c>
      <c r="J9942" s="438" t="s">
        <v>20184</v>
      </c>
      <c r="K9942" s="356">
        <v>5000</v>
      </c>
      <c r="N9942" s="362">
        <f t="shared" si="347"/>
        <v>0</v>
      </c>
      <c r="R9942" s="467" t="s">
        <v>52</v>
      </c>
    </row>
    <row r="9943" ht="15" customHeight="1" spans="1:21">
      <c r="A9943" s="550" t="s">
        <v>8359</v>
      </c>
      <c r="B9943" s="334" t="s">
        <v>315</v>
      </c>
      <c r="C9943" s="348" t="s">
        <v>14638</v>
      </c>
      <c r="D9943" s="335" t="s">
        <v>182</v>
      </c>
      <c r="E9943" s="336">
        <v>43818</v>
      </c>
      <c r="F9943" s="336">
        <v>43813</v>
      </c>
      <c r="G9943" s="399"/>
      <c r="H9943" s="334" t="s">
        <v>20185</v>
      </c>
      <c r="I9943" s="444">
        <v>18602106511</v>
      </c>
      <c r="J9943" s="438" t="s">
        <v>20186</v>
      </c>
      <c r="K9943" s="356">
        <v>1000</v>
      </c>
      <c r="N9943" s="362">
        <f t="shared" si="347"/>
        <v>0</v>
      </c>
      <c r="U9943" s="330" t="s">
        <v>12</v>
      </c>
    </row>
    <row r="9944" ht="15" customHeight="1" spans="1:15">
      <c r="A9944" s="550" t="s">
        <v>13119</v>
      </c>
      <c r="B9944" s="334" t="s">
        <v>58</v>
      </c>
      <c r="C9944" s="348" t="s">
        <v>347</v>
      </c>
      <c r="D9944" s="335" t="s">
        <v>343</v>
      </c>
      <c r="E9944" s="336">
        <v>43818</v>
      </c>
      <c r="F9944" s="336">
        <v>43817</v>
      </c>
      <c r="G9944" s="399"/>
      <c r="H9944" s="334" t="s">
        <v>2899</v>
      </c>
      <c r="I9944" s="444">
        <v>13701858601</v>
      </c>
      <c r="J9944" s="438" t="s">
        <v>20187</v>
      </c>
      <c r="K9944" s="356">
        <v>500</v>
      </c>
      <c r="N9944" s="362">
        <f t="shared" si="347"/>
        <v>0</v>
      </c>
      <c r="O9944" s="467" t="s">
        <v>52</v>
      </c>
    </row>
    <row r="9945" ht="15" customHeight="1" spans="1:15">
      <c r="A9945" s="550" t="s">
        <v>17471</v>
      </c>
      <c r="B9945" s="334" t="s">
        <v>58</v>
      </c>
      <c r="C9945" s="348" t="s">
        <v>347</v>
      </c>
      <c r="D9945" s="335" t="s">
        <v>343</v>
      </c>
      <c r="E9945" s="336">
        <v>43818</v>
      </c>
      <c r="F9945" s="336">
        <v>43807</v>
      </c>
      <c r="G9945" s="399"/>
      <c r="H9945" s="334" t="s">
        <v>20188</v>
      </c>
      <c r="I9945" s="444">
        <v>15921887190</v>
      </c>
      <c r="J9945" s="438" t="s">
        <v>20189</v>
      </c>
      <c r="K9945" s="356">
        <v>500</v>
      </c>
      <c r="N9945" s="362">
        <f t="shared" si="347"/>
        <v>0</v>
      </c>
      <c r="O9945" s="467" t="s">
        <v>52</v>
      </c>
    </row>
    <row r="9946" ht="15" customHeight="1" spans="1:14">
      <c r="A9946" s="348"/>
      <c r="B9946" s="334" t="s">
        <v>153</v>
      </c>
      <c r="C9946" s="334" t="s">
        <v>15883</v>
      </c>
      <c r="D9946" s="335" t="s">
        <v>155</v>
      </c>
      <c r="E9946" s="336">
        <v>43818</v>
      </c>
      <c r="F9946" s="336">
        <v>43794</v>
      </c>
      <c r="G9946" s="399">
        <v>43794</v>
      </c>
      <c r="H9946" s="334" t="s">
        <v>18674</v>
      </c>
      <c r="I9946" s="444">
        <v>17317609779</v>
      </c>
      <c r="J9946" s="348" t="s">
        <v>18675</v>
      </c>
      <c r="K9946" s="334">
        <v>5000</v>
      </c>
      <c r="N9946" s="362">
        <f t="shared" si="347"/>
        <v>0</v>
      </c>
    </row>
    <row r="9947" ht="15" customHeight="1" spans="1:17">
      <c r="A9947" s="550" t="s">
        <v>20190</v>
      </c>
      <c r="B9947" s="334" t="s">
        <v>359</v>
      </c>
      <c r="C9947" s="348" t="s">
        <v>3018</v>
      </c>
      <c r="D9947" s="335" t="s">
        <v>361</v>
      </c>
      <c r="E9947" s="336">
        <v>43818</v>
      </c>
      <c r="F9947" s="336">
        <v>43818</v>
      </c>
      <c r="G9947" s="399"/>
      <c r="H9947" s="334" t="s">
        <v>2479</v>
      </c>
      <c r="I9947" s="444">
        <v>13816059636</v>
      </c>
      <c r="J9947" s="438" t="s">
        <v>20191</v>
      </c>
      <c r="K9947" s="356">
        <v>3000</v>
      </c>
      <c r="N9947" s="362">
        <f t="shared" si="347"/>
        <v>0</v>
      </c>
      <c r="Q9947" s="353" t="s">
        <v>21</v>
      </c>
    </row>
    <row r="9948" ht="15" customHeight="1" spans="1:22">
      <c r="A9948" s="550" t="s">
        <v>14925</v>
      </c>
      <c r="B9948" s="334" t="s">
        <v>185</v>
      </c>
      <c r="C9948" s="348" t="s">
        <v>886</v>
      </c>
      <c r="D9948" s="335" t="s">
        <v>187</v>
      </c>
      <c r="E9948" s="336">
        <v>43829</v>
      </c>
      <c r="F9948" s="336">
        <v>43818</v>
      </c>
      <c r="G9948" s="336">
        <v>43827</v>
      </c>
      <c r="H9948" s="334" t="s">
        <v>20192</v>
      </c>
      <c r="I9948" s="444">
        <v>17316466049</v>
      </c>
      <c r="J9948" s="438" t="s">
        <v>20193</v>
      </c>
      <c r="K9948" s="356">
        <v>1000</v>
      </c>
      <c r="L9948" s="334">
        <v>26029</v>
      </c>
      <c r="N9948" s="362">
        <f t="shared" si="347"/>
        <v>26029</v>
      </c>
      <c r="V9948" s="471">
        <v>43826</v>
      </c>
    </row>
    <row r="9949" ht="15" customHeight="1" spans="1:17">
      <c r="A9949" s="550" t="s">
        <v>20194</v>
      </c>
      <c r="B9949" s="334" t="s">
        <v>31</v>
      </c>
      <c r="C9949" s="348" t="s">
        <v>251</v>
      </c>
      <c r="D9949" s="334" t="s">
        <v>33</v>
      </c>
      <c r="E9949" s="336">
        <v>43832</v>
      </c>
      <c r="F9949" s="336">
        <v>43818</v>
      </c>
      <c r="G9949" s="336">
        <v>43831</v>
      </c>
      <c r="H9949" s="334" t="s">
        <v>84</v>
      </c>
      <c r="I9949" s="444">
        <v>15121044226</v>
      </c>
      <c r="J9949" s="438" t="s">
        <v>20195</v>
      </c>
      <c r="K9949" s="356">
        <v>8853</v>
      </c>
      <c r="L9949" s="334">
        <v>9325</v>
      </c>
      <c r="N9949" s="362">
        <f t="shared" si="347"/>
        <v>9325</v>
      </c>
      <c r="Q9949" s="385" t="s">
        <v>52</v>
      </c>
    </row>
    <row r="9950" ht="15" customHeight="1" spans="1:20">
      <c r="A9950" s="550" t="s">
        <v>20196</v>
      </c>
      <c r="B9950" s="334" t="s">
        <v>359</v>
      </c>
      <c r="C9950" s="348" t="s">
        <v>3018</v>
      </c>
      <c r="D9950" s="335" t="s">
        <v>361</v>
      </c>
      <c r="E9950" s="336">
        <v>43828</v>
      </c>
      <c r="F9950" s="336">
        <v>43818</v>
      </c>
      <c r="G9950" s="336">
        <v>43827</v>
      </c>
      <c r="H9950" s="334" t="s">
        <v>20197</v>
      </c>
      <c r="I9950" s="444">
        <v>18121305385</v>
      </c>
      <c r="J9950" s="438" t="s">
        <v>20198</v>
      </c>
      <c r="K9950" s="356">
        <v>1000</v>
      </c>
      <c r="L9950" s="334">
        <v>6494</v>
      </c>
      <c r="N9950" s="362">
        <f t="shared" si="347"/>
        <v>6494</v>
      </c>
      <c r="T9950" s="359" t="s">
        <v>24</v>
      </c>
    </row>
    <row r="9951" ht="15" customHeight="1" spans="1:17">
      <c r="A9951" s="550" t="s">
        <v>9102</v>
      </c>
      <c r="B9951" s="334" t="s">
        <v>315</v>
      </c>
      <c r="C9951" s="348" t="s">
        <v>181</v>
      </c>
      <c r="D9951" s="335" t="s">
        <v>182</v>
      </c>
      <c r="E9951" s="336">
        <v>43818</v>
      </c>
      <c r="F9951" s="336">
        <v>43818</v>
      </c>
      <c r="G9951" s="399" t="s">
        <v>231</v>
      </c>
      <c r="H9951" s="334" t="s">
        <v>20199</v>
      </c>
      <c r="I9951" s="444">
        <v>13701896472</v>
      </c>
      <c r="J9951" s="438" t="s">
        <v>20200</v>
      </c>
      <c r="K9951" s="356">
        <v>2699</v>
      </c>
      <c r="N9951" s="362">
        <f t="shared" si="347"/>
        <v>0</v>
      </c>
      <c r="Q9951" s="330">
        <v>1</v>
      </c>
    </row>
    <row r="9952" ht="15" customHeight="1" spans="1:14">
      <c r="A9952" s="550" t="s">
        <v>16114</v>
      </c>
      <c r="B9952" s="334" t="s">
        <v>315</v>
      </c>
      <c r="C9952" s="348" t="s">
        <v>181</v>
      </c>
      <c r="D9952" s="334" t="s">
        <v>182</v>
      </c>
      <c r="E9952" s="336">
        <v>43819</v>
      </c>
      <c r="F9952" s="336">
        <v>43818</v>
      </c>
      <c r="G9952" s="336">
        <v>43818</v>
      </c>
      <c r="H9952" s="334" t="s">
        <v>1932</v>
      </c>
      <c r="I9952" s="444">
        <v>15061592159</v>
      </c>
      <c r="J9952" s="438" t="s">
        <v>20201</v>
      </c>
      <c r="K9952" s="356">
        <v>20000</v>
      </c>
      <c r="L9952" s="334">
        <v>46450</v>
      </c>
      <c r="N9952" s="362">
        <f t="shared" si="347"/>
        <v>46450</v>
      </c>
    </row>
    <row r="9953" ht="15" customHeight="1" spans="1:14">
      <c r="A9953" s="550" t="s">
        <v>541</v>
      </c>
      <c r="B9953" s="334" t="s">
        <v>123</v>
      </c>
      <c r="C9953" s="348" t="s">
        <v>32</v>
      </c>
      <c r="D9953" s="335" t="s">
        <v>125</v>
      </c>
      <c r="E9953" s="336">
        <v>43818</v>
      </c>
      <c r="F9953" s="336">
        <v>43818</v>
      </c>
      <c r="G9953" s="399">
        <v>43818</v>
      </c>
      <c r="H9953" s="334" t="s">
        <v>20202</v>
      </c>
      <c r="I9953" s="444">
        <v>13817097850</v>
      </c>
      <c r="J9953" s="348" t="s">
        <v>20203</v>
      </c>
      <c r="K9953" s="356">
        <v>5025</v>
      </c>
      <c r="L9953" s="334">
        <v>5025</v>
      </c>
      <c r="N9953" s="362">
        <f t="shared" si="347"/>
        <v>5025</v>
      </c>
    </row>
    <row r="9954" ht="15" customHeight="1" spans="1:14">
      <c r="A9954" s="550" t="s">
        <v>8146</v>
      </c>
      <c r="B9954" s="334" t="s">
        <v>58</v>
      </c>
      <c r="C9954" s="348" t="s">
        <v>347</v>
      </c>
      <c r="D9954" s="335" t="s">
        <v>343</v>
      </c>
      <c r="E9954" s="336">
        <v>43821</v>
      </c>
      <c r="F9954" s="336">
        <v>43817</v>
      </c>
      <c r="G9954" s="336">
        <v>43819</v>
      </c>
      <c r="H9954" s="334" t="s">
        <v>15351</v>
      </c>
      <c r="I9954" s="444">
        <v>1391755369</v>
      </c>
      <c r="J9954" s="438" t="s">
        <v>20204</v>
      </c>
      <c r="K9954" s="356">
        <v>14717</v>
      </c>
      <c r="L9954" s="334">
        <v>14717</v>
      </c>
      <c r="N9954" s="362">
        <f t="shared" si="347"/>
        <v>14717</v>
      </c>
    </row>
    <row r="9955" ht="15" customHeight="1" spans="2:14">
      <c r="B9955" s="334" t="s">
        <v>66</v>
      </c>
      <c r="C9955" s="334" t="s">
        <v>1749</v>
      </c>
      <c r="D9955" s="334" t="s">
        <v>68</v>
      </c>
      <c r="E9955" s="336">
        <v>43818</v>
      </c>
      <c r="G9955" s="336">
        <v>43814</v>
      </c>
      <c r="H9955" s="334" t="s">
        <v>20205</v>
      </c>
      <c r="I9955" s="444">
        <v>18918326921</v>
      </c>
      <c r="J9955" s="348" t="s">
        <v>20206</v>
      </c>
      <c r="L9955" s="334">
        <v>6800</v>
      </c>
      <c r="N9955" s="362">
        <f t="shared" ref="N9955:N9978" si="348">L9955+M9955</f>
        <v>6800</v>
      </c>
    </row>
    <row r="9956" ht="15" customHeight="1" spans="2:14">
      <c r="B9956" s="334" t="s">
        <v>281</v>
      </c>
      <c r="C9956" s="334" t="s">
        <v>13525</v>
      </c>
      <c r="D9956" s="334" t="s">
        <v>518</v>
      </c>
      <c r="E9956" s="336">
        <v>43817</v>
      </c>
      <c r="G9956" s="336">
        <v>43817</v>
      </c>
      <c r="H9956" s="334" t="s">
        <v>16353</v>
      </c>
      <c r="I9956" s="426">
        <v>13818021823</v>
      </c>
      <c r="J9956" s="334" t="s">
        <v>20207</v>
      </c>
      <c r="M9956" s="334">
        <v>1200</v>
      </c>
      <c r="N9956" s="362">
        <f t="shared" si="348"/>
        <v>1200</v>
      </c>
    </row>
    <row r="9957" ht="15" customHeight="1" spans="2:14">
      <c r="B9957" s="334" t="s">
        <v>42</v>
      </c>
      <c r="C9957" s="334" t="s">
        <v>43</v>
      </c>
      <c r="D9957" s="334" t="s">
        <v>125</v>
      </c>
      <c r="E9957" s="336">
        <v>43817</v>
      </c>
      <c r="G9957" s="336">
        <v>43721</v>
      </c>
      <c r="H9957" s="334" t="s">
        <v>8653</v>
      </c>
      <c r="I9957" s="334">
        <v>13916350216</v>
      </c>
      <c r="J9957" s="334" t="s">
        <v>8654</v>
      </c>
      <c r="M9957" s="334">
        <v>-461</v>
      </c>
      <c r="N9957" s="362">
        <f t="shared" si="348"/>
        <v>-461</v>
      </c>
    </row>
    <row r="9958" ht="15" customHeight="1" spans="2:14">
      <c r="B9958" s="334" t="s">
        <v>185</v>
      </c>
      <c r="C9958" s="334" t="s">
        <v>1204</v>
      </c>
      <c r="D9958" s="334" t="s">
        <v>44</v>
      </c>
      <c r="E9958" s="336">
        <v>43817</v>
      </c>
      <c r="G9958" s="336">
        <v>43816</v>
      </c>
      <c r="H9958" s="334" t="s">
        <v>17027</v>
      </c>
      <c r="I9958" s="444">
        <v>13761795623</v>
      </c>
      <c r="J9958" s="348" t="s">
        <v>17028</v>
      </c>
      <c r="M9958" s="334">
        <f>1104+4503</f>
        <v>5607</v>
      </c>
      <c r="N9958" s="362">
        <f t="shared" si="348"/>
        <v>5607</v>
      </c>
    </row>
    <row r="9959" ht="15" customHeight="1" spans="2:14">
      <c r="B9959" s="334" t="s">
        <v>31</v>
      </c>
      <c r="C9959" s="334" t="s">
        <v>419</v>
      </c>
      <c r="D9959" s="334" t="s">
        <v>221</v>
      </c>
      <c r="E9959" s="336">
        <v>43817</v>
      </c>
      <c r="G9959" s="336">
        <v>43817</v>
      </c>
      <c r="H9959" s="334" t="s">
        <v>16603</v>
      </c>
      <c r="I9959" s="444">
        <v>13524308682</v>
      </c>
      <c r="J9959" s="348" t="s">
        <v>16604</v>
      </c>
      <c r="M9959" s="334">
        <v>1896</v>
      </c>
      <c r="N9959" s="362">
        <f t="shared" si="348"/>
        <v>1896</v>
      </c>
    </row>
    <row r="9960" ht="15" customHeight="1" spans="2:14">
      <c r="B9960" s="334" t="s">
        <v>137</v>
      </c>
      <c r="C9960" s="334" t="s">
        <v>861</v>
      </c>
      <c r="D9960" s="334" t="s">
        <v>139</v>
      </c>
      <c r="E9960" s="336">
        <v>43817</v>
      </c>
      <c r="G9960" s="336">
        <v>43817</v>
      </c>
      <c r="H9960" s="334" t="s">
        <v>17853</v>
      </c>
      <c r="I9960" s="444">
        <v>13918636589</v>
      </c>
      <c r="J9960" s="348" t="s">
        <v>17854</v>
      </c>
      <c r="M9960" s="334">
        <v>831</v>
      </c>
      <c r="N9960" s="362">
        <f t="shared" si="348"/>
        <v>831</v>
      </c>
    </row>
    <row r="9961" ht="15" customHeight="1" spans="2:14">
      <c r="B9961" s="334" t="s">
        <v>42</v>
      </c>
      <c r="C9961" s="334" t="s">
        <v>43</v>
      </c>
      <c r="D9961" s="334" t="s">
        <v>207</v>
      </c>
      <c r="E9961" s="336">
        <v>43817</v>
      </c>
      <c r="G9961" s="336">
        <v>43817</v>
      </c>
      <c r="H9961" s="334" t="s">
        <v>19711</v>
      </c>
      <c r="I9961" s="444">
        <v>13611789599</v>
      </c>
      <c r="J9961" s="438" t="s">
        <v>19712</v>
      </c>
      <c r="M9961" s="334">
        <v>1150</v>
      </c>
      <c r="N9961" s="362">
        <f t="shared" si="348"/>
        <v>1150</v>
      </c>
    </row>
    <row r="9962" ht="15" customHeight="1" spans="2:14">
      <c r="B9962" s="334" t="s">
        <v>5336</v>
      </c>
      <c r="C9962" s="334" t="s">
        <v>5336</v>
      </c>
      <c r="D9962" s="334" t="s">
        <v>8334</v>
      </c>
      <c r="E9962" s="336">
        <v>43817</v>
      </c>
      <c r="G9962" s="336">
        <v>43817</v>
      </c>
      <c r="H9962" s="334" t="s">
        <v>3267</v>
      </c>
      <c r="I9962" s="334">
        <v>13916786201</v>
      </c>
      <c r="J9962" s="334" t="s">
        <v>17846</v>
      </c>
      <c r="M9962" s="334">
        <v>1635</v>
      </c>
      <c r="N9962" s="362">
        <f t="shared" si="348"/>
        <v>1635</v>
      </c>
    </row>
    <row r="9963" ht="15" customHeight="1" spans="2:14">
      <c r="B9963" s="334" t="s">
        <v>94</v>
      </c>
      <c r="C9963" s="334" t="s">
        <v>95</v>
      </c>
      <c r="D9963" s="334" t="s">
        <v>44</v>
      </c>
      <c r="E9963" s="336">
        <v>43817</v>
      </c>
      <c r="G9963" s="336">
        <v>43814</v>
      </c>
      <c r="H9963" s="334" t="s">
        <v>14513</v>
      </c>
      <c r="I9963" s="444">
        <v>13651855395</v>
      </c>
      <c r="J9963" s="348" t="s">
        <v>14514</v>
      </c>
      <c r="M9963" s="334">
        <v>-19</v>
      </c>
      <c r="N9963" s="362">
        <f t="shared" si="348"/>
        <v>-19</v>
      </c>
    </row>
    <row r="9964" ht="15" customHeight="1" spans="2:14">
      <c r="B9964" s="334" t="s">
        <v>87</v>
      </c>
      <c r="C9964" s="334" t="s">
        <v>199</v>
      </c>
      <c r="D9964" s="334" t="s">
        <v>89</v>
      </c>
      <c r="E9964" s="336">
        <v>43817</v>
      </c>
      <c r="G9964" s="336">
        <v>43817</v>
      </c>
      <c r="H9964" s="334" t="s">
        <v>20208</v>
      </c>
      <c r="I9964" s="444">
        <v>13331997359</v>
      </c>
      <c r="J9964" s="334" t="s">
        <v>20209</v>
      </c>
      <c r="M9964" s="334">
        <v>2176</v>
      </c>
      <c r="N9964" s="362">
        <f t="shared" si="348"/>
        <v>2176</v>
      </c>
    </row>
    <row r="9965" ht="15" customHeight="1" spans="2:14">
      <c r="B9965" s="334" t="s">
        <v>66</v>
      </c>
      <c r="C9965" s="334" t="s">
        <v>505</v>
      </c>
      <c r="D9965" s="334" t="s">
        <v>2302</v>
      </c>
      <c r="E9965" s="336">
        <v>43817</v>
      </c>
      <c r="G9965" s="336">
        <v>43817</v>
      </c>
      <c r="H9965" s="334" t="s">
        <v>9382</v>
      </c>
      <c r="I9965" s="334">
        <v>13587631396</v>
      </c>
      <c r="J9965" s="334" t="s">
        <v>9383</v>
      </c>
      <c r="M9965" s="334">
        <f>202+12155</f>
        <v>12357</v>
      </c>
      <c r="N9965" s="362">
        <f t="shared" si="348"/>
        <v>12357</v>
      </c>
    </row>
    <row r="9966" ht="15" customHeight="1" spans="2:14">
      <c r="B9966" s="334" t="s">
        <v>354</v>
      </c>
      <c r="C9966" s="334" t="s">
        <v>355</v>
      </c>
      <c r="D9966" s="334" t="s">
        <v>162</v>
      </c>
      <c r="E9966" s="336">
        <v>43818</v>
      </c>
      <c r="G9966" s="336">
        <v>43816</v>
      </c>
      <c r="H9966" s="334" t="s">
        <v>13160</v>
      </c>
      <c r="I9966" s="334">
        <v>13391152098</v>
      </c>
      <c r="J9966" s="334" t="s">
        <v>13161</v>
      </c>
      <c r="M9966" s="334">
        <v>5886</v>
      </c>
      <c r="N9966" s="362">
        <f t="shared" si="348"/>
        <v>5886</v>
      </c>
    </row>
    <row r="9967" ht="15" customHeight="1" spans="2:14">
      <c r="B9967" s="334" t="s">
        <v>236</v>
      </c>
      <c r="C9967" s="334" t="s">
        <v>195</v>
      </c>
      <c r="D9967" s="334" t="s">
        <v>207</v>
      </c>
      <c r="E9967" s="336">
        <v>43818</v>
      </c>
      <c r="G9967" s="336">
        <v>43817</v>
      </c>
      <c r="H9967" s="334" t="s">
        <v>17235</v>
      </c>
      <c r="I9967" s="444">
        <v>13817950717</v>
      </c>
      <c r="J9967" s="438" t="s">
        <v>17236</v>
      </c>
      <c r="M9967" s="334">
        <v>3000</v>
      </c>
      <c r="N9967" s="362">
        <f t="shared" si="348"/>
        <v>3000</v>
      </c>
    </row>
    <row r="9968" ht="15" customHeight="1" spans="2:14">
      <c r="B9968" s="334" t="s">
        <v>335</v>
      </c>
      <c r="C9968" s="334" t="s">
        <v>399</v>
      </c>
      <c r="D9968" s="334" t="s">
        <v>635</v>
      </c>
      <c r="E9968" s="336">
        <v>43818</v>
      </c>
      <c r="G9968" s="336">
        <v>43817</v>
      </c>
      <c r="H9968" s="334" t="s">
        <v>20210</v>
      </c>
      <c r="I9968" s="444">
        <v>13918957285</v>
      </c>
      <c r="J9968" s="334" t="s">
        <v>12708</v>
      </c>
      <c r="M9968" s="334">
        <v>3026</v>
      </c>
      <c r="N9968" s="362">
        <f t="shared" si="348"/>
        <v>3026</v>
      </c>
    </row>
    <row r="9969" ht="15" customHeight="1" spans="2:14">
      <c r="B9969" s="334" t="s">
        <v>169</v>
      </c>
      <c r="C9969" s="334" t="s">
        <v>542</v>
      </c>
      <c r="D9969" s="334" t="s">
        <v>171</v>
      </c>
      <c r="E9969" s="336">
        <v>43818</v>
      </c>
      <c r="G9969" s="336">
        <v>43817</v>
      </c>
      <c r="H9969" s="334" t="s">
        <v>5906</v>
      </c>
      <c r="I9969" s="334">
        <v>13301752451</v>
      </c>
      <c r="J9969" s="334" t="s">
        <v>12458</v>
      </c>
      <c r="M9969" s="334">
        <v>820</v>
      </c>
      <c r="N9969" s="362">
        <f t="shared" si="348"/>
        <v>820</v>
      </c>
    </row>
    <row r="9970" ht="15" customHeight="1" spans="2:14">
      <c r="B9970" s="334" t="s">
        <v>153</v>
      </c>
      <c r="C9970" s="334" t="s">
        <v>302</v>
      </c>
      <c r="D9970" s="334" t="s">
        <v>155</v>
      </c>
      <c r="E9970" s="336">
        <v>43818</v>
      </c>
      <c r="G9970" s="336">
        <v>43817</v>
      </c>
      <c r="H9970" s="334" t="s">
        <v>16877</v>
      </c>
      <c r="I9970" s="444">
        <v>13641735431</v>
      </c>
      <c r="J9970" s="348" t="s">
        <v>16878</v>
      </c>
      <c r="M9970" s="334">
        <v>1650</v>
      </c>
      <c r="N9970" s="362">
        <f t="shared" si="348"/>
        <v>1650</v>
      </c>
    </row>
    <row r="9971" ht="15" customHeight="1" spans="2:14">
      <c r="B9971" s="334" t="s">
        <v>66</v>
      </c>
      <c r="C9971" s="334" t="s">
        <v>1749</v>
      </c>
      <c r="D9971" s="334" t="s">
        <v>68</v>
      </c>
      <c r="E9971" s="336">
        <v>43818</v>
      </c>
      <c r="G9971" s="336">
        <v>43816</v>
      </c>
      <c r="H9971" s="334" t="s">
        <v>17325</v>
      </c>
      <c r="I9971" s="444">
        <v>13817671059</v>
      </c>
      <c r="J9971" s="348" t="s">
        <v>17326</v>
      </c>
      <c r="M9971" s="334">
        <v>5429</v>
      </c>
      <c r="N9971" s="362">
        <f t="shared" si="348"/>
        <v>5429</v>
      </c>
    </row>
    <row r="9972" ht="15" customHeight="1" spans="2:14">
      <c r="B9972" s="334" t="s">
        <v>66</v>
      </c>
      <c r="C9972" s="334" t="s">
        <v>1749</v>
      </c>
      <c r="D9972" s="334" t="s">
        <v>68</v>
      </c>
      <c r="E9972" s="336">
        <v>43818</v>
      </c>
      <c r="G9972" s="336">
        <v>43816</v>
      </c>
      <c r="H9972" s="334" t="s">
        <v>2236</v>
      </c>
      <c r="I9972" s="555" t="s">
        <v>17327</v>
      </c>
      <c r="J9972" s="348" t="s">
        <v>17328</v>
      </c>
      <c r="M9972" s="334">
        <v>6671</v>
      </c>
      <c r="N9972" s="362">
        <f t="shared" si="348"/>
        <v>6671</v>
      </c>
    </row>
    <row r="9973" ht="15" customHeight="1" spans="2:14">
      <c r="B9973" s="334" t="s">
        <v>66</v>
      </c>
      <c r="C9973" s="334" t="s">
        <v>1749</v>
      </c>
      <c r="D9973" s="334" t="s">
        <v>68</v>
      </c>
      <c r="E9973" s="336">
        <v>43818</v>
      </c>
      <c r="G9973" s="336">
        <v>43816</v>
      </c>
      <c r="H9973" s="334" t="s">
        <v>17479</v>
      </c>
      <c r="I9973" s="444">
        <v>15221691588</v>
      </c>
      <c r="J9973" s="438" t="s">
        <v>17480</v>
      </c>
      <c r="M9973" s="334">
        <v>4458</v>
      </c>
      <c r="N9973" s="362">
        <f t="shared" si="348"/>
        <v>4458</v>
      </c>
    </row>
    <row r="9974" ht="15" customHeight="1" spans="2:14">
      <c r="B9974" s="334" t="s">
        <v>58</v>
      </c>
      <c r="C9974" s="334" t="s">
        <v>794</v>
      </c>
      <c r="D9974" s="334" t="s">
        <v>271</v>
      </c>
      <c r="E9974" s="336">
        <v>43818</v>
      </c>
      <c r="G9974" s="336">
        <v>43815</v>
      </c>
      <c r="H9974" s="334" t="s">
        <v>13181</v>
      </c>
      <c r="I9974" s="426">
        <v>13585664260</v>
      </c>
      <c r="J9974" s="334" t="s">
        <v>13182</v>
      </c>
      <c r="M9974" s="334">
        <v>-23</v>
      </c>
      <c r="N9974" s="362">
        <f t="shared" si="348"/>
        <v>-23</v>
      </c>
    </row>
    <row r="9975" ht="15" customHeight="1" spans="2:14">
      <c r="B9975" s="334" t="s">
        <v>5435</v>
      </c>
      <c r="C9975" s="334" t="s">
        <v>1728</v>
      </c>
      <c r="D9975" s="334" t="s">
        <v>149</v>
      </c>
      <c r="E9975" s="336">
        <v>43818</v>
      </c>
      <c r="G9975" s="336">
        <v>43814</v>
      </c>
      <c r="H9975" s="334" t="s">
        <v>12724</v>
      </c>
      <c r="I9975" s="334">
        <v>13816097931</v>
      </c>
      <c r="J9975" s="334" t="s">
        <v>20211</v>
      </c>
      <c r="M9975" s="334">
        <v>4142</v>
      </c>
      <c r="N9975" s="362">
        <f t="shared" si="348"/>
        <v>4142</v>
      </c>
    </row>
    <row r="9976" ht="15" customHeight="1" spans="2:14">
      <c r="B9976" s="334" t="s">
        <v>726</v>
      </c>
      <c r="C9976" s="334" t="s">
        <v>12699</v>
      </c>
      <c r="D9976" s="334" t="s">
        <v>271</v>
      </c>
      <c r="E9976" s="336">
        <v>43818</v>
      </c>
      <c r="G9976" s="336">
        <v>43780</v>
      </c>
      <c r="H9976" s="334" t="s">
        <v>17607</v>
      </c>
      <c r="I9976" s="334">
        <v>13636352243</v>
      </c>
      <c r="J9976" s="348" t="s">
        <v>17608</v>
      </c>
      <c r="M9976" s="334">
        <v>307</v>
      </c>
      <c r="N9976" s="362">
        <f t="shared" si="348"/>
        <v>307</v>
      </c>
    </row>
    <row r="9977" ht="15" customHeight="1" spans="2:14">
      <c r="B9977" s="334" t="s">
        <v>137</v>
      </c>
      <c r="C9977" s="334" t="s">
        <v>480</v>
      </c>
      <c r="D9977" s="334" t="s">
        <v>139</v>
      </c>
      <c r="E9977" s="336">
        <v>43818</v>
      </c>
      <c r="G9977" s="336">
        <v>43818</v>
      </c>
      <c r="H9977" s="334" t="s">
        <v>1111</v>
      </c>
      <c r="I9977" s="334">
        <v>13917728517</v>
      </c>
      <c r="J9977" s="348" t="s">
        <v>14561</v>
      </c>
      <c r="M9977" s="334">
        <v>2749</v>
      </c>
      <c r="N9977" s="362">
        <f t="shared" si="348"/>
        <v>2749</v>
      </c>
    </row>
    <row r="9978" ht="15" customHeight="1" spans="2:14">
      <c r="B9978" s="334" t="s">
        <v>2625</v>
      </c>
      <c r="C9978" s="334" t="s">
        <v>2626</v>
      </c>
      <c r="D9978" s="334" t="s">
        <v>337</v>
      </c>
      <c r="E9978" s="336">
        <v>43818</v>
      </c>
      <c r="G9978" s="336">
        <v>43818</v>
      </c>
      <c r="H9978" s="334" t="s">
        <v>16768</v>
      </c>
      <c r="I9978" s="444">
        <v>13901656757</v>
      </c>
      <c r="J9978" s="348" t="s">
        <v>20212</v>
      </c>
      <c r="M9978" s="334">
        <v>550</v>
      </c>
      <c r="N9978" s="362">
        <f t="shared" si="348"/>
        <v>550</v>
      </c>
    </row>
    <row r="9979" ht="15" customHeight="1" spans="1:17">
      <c r="A9979" s="550" t="s">
        <v>8134</v>
      </c>
      <c r="B9979" s="334" t="s">
        <v>58</v>
      </c>
      <c r="C9979" s="348" t="s">
        <v>59</v>
      </c>
      <c r="D9979" s="335" t="s">
        <v>271</v>
      </c>
      <c r="E9979" s="336">
        <v>43819</v>
      </c>
      <c r="F9979" s="336">
        <v>43818</v>
      </c>
      <c r="G9979" s="399"/>
      <c r="H9979" s="334" t="s">
        <v>20213</v>
      </c>
      <c r="I9979" s="444">
        <v>15901807261</v>
      </c>
      <c r="J9979" s="438" t="s">
        <v>20214</v>
      </c>
      <c r="K9979" s="356">
        <v>1000</v>
      </c>
      <c r="N9979" s="362">
        <f t="shared" ref="N9979:N9990" si="349">L9979+M9979</f>
        <v>0</v>
      </c>
      <c r="Q9979" s="467" t="s">
        <v>52</v>
      </c>
    </row>
    <row r="9980" ht="15" customHeight="1" spans="1:15">
      <c r="A9980" s="550" t="s">
        <v>8131</v>
      </c>
      <c r="B9980" s="334" t="s">
        <v>58</v>
      </c>
      <c r="C9980" s="348" t="s">
        <v>794</v>
      </c>
      <c r="D9980" s="335" t="s">
        <v>110</v>
      </c>
      <c r="E9980" s="336">
        <v>43819</v>
      </c>
      <c r="F9980" s="336">
        <v>43818</v>
      </c>
      <c r="G9980" s="399"/>
      <c r="H9980" s="334" t="s">
        <v>20215</v>
      </c>
      <c r="I9980" s="444">
        <v>13701974340</v>
      </c>
      <c r="J9980" s="438" t="s">
        <v>20216</v>
      </c>
      <c r="K9980" s="356">
        <v>1299</v>
      </c>
      <c r="N9980" s="362">
        <f t="shared" si="349"/>
        <v>0</v>
      </c>
      <c r="O9980" s="467" t="s">
        <v>52</v>
      </c>
    </row>
    <row r="9981" ht="15" customHeight="1" spans="1:14">
      <c r="A9981" s="550" t="s">
        <v>17117</v>
      </c>
      <c r="B9981" s="334" t="s">
        <v>94</v>
      </c>
      <c r="C9981" s="348" t="s">
        <v>95</v>
      </c>
      <c r="D9981" s="335" t="s">
        <v>49</v>
      </c>
      <c r="E9981" s="336">
        <v>43825</v>
      </c>
      <c r="F9981" s="336">
        <v>43819</v>
      </c>
      <c r="G9981" s="336">
        <v>43824</v>
      </c>
      <c r="H9981" s="334" t="s">
        <v>20217</v>
      </c>
      <c r="I9981" s="444">
        <v>15000557208</v>
      </c>
      <c r="J9981" s="438" t="s">
        <v>20218</v>
      </c>
      <c r="K9981" s="356">
        <v>2000</v>
      </c>
      <c r="L9981" s="334">
        <v>3761</v>
      </c>
      <c r="N9981" s="362">
        <f t="shared" si="349"/>
        <v>3761</v>
      </c>
    </row>
    <row r="9982" ht="15" customHeight="1" spans="1:14">
      <c r="A9982" s="550" t="s">
        <v>20219</v>
      </c>
      <c r="B9982" s="334" t="s">
        <v>20220</v>
      </c>
      <c r="C9982" s="348" t="s">
        <v>20221</v>
      </c>
      <c r="D9982" s="335" t="s">
        <v>49</v>
      </c>
      <c r="E9982" s="336">
        <v>43819</v>
      </c>
      <c r="F9982" s="336">
        <v>43819</v>
      </c>
      <c r="G9982" s="399"/>
      <c r="H9982" s="334" t="s">
        <v>10853</v>
      </c>
      <c r="I9982" s="444">
        <v>13386090317</v>
      </c>
      <c r="J9982" s="438" t="s">
        <v>20222</v>
      </c>
      <c r="K9982" s="356">
        <v>1000</v>
      </c>
      <c r="N9982" s="362">
        <f t="shared" si="349"/>
        <v>0</v>
      </c>
    </row>
    <row r="9983" ht="15" customHeight="1" spans="1:14">
      <c r="A9983" s="550" t="s">
        <v>20223</v>
      </c>
      <c r="B9983" s="334" t="s">
        <v>147</v>
      </c>
      <c r="C9983" s="348" t="s">
        <v>13719</v>
      </c>
      <c r="D9983" s="335" t="s">
        <v>149</v>
      </c>
      <c r="E9983" s="336">
        <v>43819</v>
      </c>
      <c r="F9983" s="336">
        <v>43819</v>
      </c>
      <c r="G9983" s="399"/>
      <c r="H9983" s="334" t="s">
        <v>20224</v>
      </c>
      <c r="I9983" s="444">
        <v>13917177793</v>
      </c>
      <c r="J9983" s="438" t="s">
        <v>20225</v>
      </c>
      <c r="K9983" s="356">
        <v>500</v>
      </c>
      <c r="N9983" s="362">
        <f t="shared" si="349"/>
        <v>0</v>
      </c>
    </row>
    <row r="9984" ht="15" customHeight="1" spans="1:14">
      <c r="A9984" s="348">
        <v>2001915</v>
      </c>
      <c r="B9984" s="334" t="s">
        <v>147</v>
      </c>
      <c r="C9984" s="348" t="s">
        <v>13719</v>
      </c>
      <c r="D9984" s="335" t="s">
        <v>149</v>
      </c>
      <c r="E9984" s="336">
        <v>43819</v>
      </c>
      <c r="F9984" s="336">
        <v>43819</v>
      </c>
      <c r="G9984" s="399"/>
      <c r="H9984" s="334" t="s">
        <v>20226</v>
      </c>
      <c r="I9984" s="444">
        <v>13585980699</v>
      </c>
      <c r="J9984" s="438" t="s">
        <v>20227</v>
      </c>
      <c r="K9984" s="356">
        <v>1000</v>
      </c>
      <c r="N9984" s="362">
        <f t="shared" si="349"/>
        <v>0</v>
      </c>
    </row>
    <row r="9985" ht="15" customHeight="1" spans="1:17">
      <c r="A9985" s="550" t="s">
        <v>12534</v>
      </c>
      <c r="B9985" s="334" t="s">
        <v>137</v>
      </c>
      <c r="C9985" s="348" t="s">
        <v>480</v>
      </c>
      <c r="D9985" s="334" t="s">
        <v>139</v>
      </c>
      <c r="E9985" s="336">
        <v>43829</v>
      </c>
      <c r="F9985" s="336">
        <v>43819</v>
      </c>
      <c r="G9985" s="336">
        <v>43828</v>
      </c>
      <c r="H9985" s="334" t="s">
        <v>20228</v>
      </c>
      <c r="I9985" s="444">
        <v>13052379750</v>
      </c>
      <c r="J9985" s="438" t="s">
        <v>20229</v>
      </c>
      <c r="K9985" s="356">
        <v>16200</v>
      </c>
      <c r="L9985" s="334">
        <v>16200</v>
      </c>
      <c r="N9985" s="362">
        <f t="shared" si="349"/>
        <v>16200</v>
      </c>
      <c r="Q9985" s="353" t="s">
        <v>21</v>
      </c>
    </row>
    <row r="9986" ht="15" customHeight="1" spans="1:15">
      <c r="A9986" s="550" t="s">
        <v>9442</v>
      </c>
      <c r="B9986" s="334" t="s">
        <v>354</v>
      </c>
      <c r="C9986" s="348" t="s">
        <v>355</v>
      </c>
      <c r="D9986" s="335" t="s">
        <v>149</v>
      </c>
      <c r="E9986" s="336">
        <v>43819</v>
      </c>
      <c r="F9986" s="336">
        <v>43811</v>
      </c>
      <c r="G9986" s="399"/>
      <c r="H9986" s="334" t="s">
        <v>20230</v>
      </c>
      <c r="I9986" s="444">
        <v>13764072598</v>
      </c>
      <c r="J9986" s="438" t="s">
        <v>20231</v>
      </c>
      <c r="K9986" s="356">
        <v>3000</v>
      </c>
      <c r="N9986" s="362">
        <f t="shared" si="349"/>
        <v>0</v>
      </c>
      <c r="O9986" s="356" t="s">
        <v>52</v>
      </c>
    </row>
    <row r="9987" ht="15" customHeight="1" spans="1:14">
      <c r="A9987" s="550" t="s">
        <v>8543</v>
      </c>
      <c r="B9987" s="334" t="s">
        <v>354</v>
      </c>
      <c r="C9987" s="348" t="s">
        <v>355</v>
      </c>
      <c r="D9987" s="334" t="s">
        <v>237</v>
      </c>
      <c r="E9987" s="336">
        <v>43830</v>
      </c>
      <c r="F9987" s="336">
        <v>43778</v>
      </c>
      <c r="G9987" s="336">
        <v>43830</v>
      </c>
      <c r="H9987" s="334" t="s">
        <v>20232</v>
      </c>
      <c r="I9987" s="444">
        <v>18516337870</v>
      </c>
      <c r="J9987" s="438" t="s">
        <v>20233</v>
      </c>
      <c r="K9987" s="356">
        <v>3457</v>
      </c>
      <c r="L9987" s="334">
        <v>3457</v>
      </c>
      <c r="N9987" s="362">
        <f t="shared" si="349"/>
        <v>3457</v>
      </c>
    </row>
    <row r="9988" ht="15" customHeight="1" spans="1:14">
      <c r="A9988" s="348"/>
      <c r="B9988" s="334" t="s">
        <v>87</v>
      </c>
      <c r="C9988" s="348" t="s">
        <v>9318</v>
      </c>
      <c r="D9988" s="335" t="s">
        <v>89</v>
      </c>
      <c r="E9988" s="336">
        <v>43824</v>
      </c>
      <c r="F9988" s="336">
        <v>43819</v>
      </c>
      <c r="G9988" s="336">
        <v>43824</v>
      </c>
      <c r="H9988" s="334" t="s">
        <v>20234</v>
      </c>
      <c r="I9988" s="444">
        <v>13818919113</v>
      </c>
      <c r="J9988" s="438" t="s">
        <v>20235</v>
      </c>
      <c r="K9988" s="356">
        <v>1000</v>
      </c>
      <c r="L9988" s="334">
        <v>7091</v>
      </c>
      <c r="N9988" s="362">
        <f t="shared" si="349"/>
        <v>7091</v>
      </c>
    </row>
    <row r="9989" ht="15" customHeight="1" spans="1:14">
      <c r="A9989" s="550" t="s">
        <v>15120</v>
      </c>
      <c r="B9989" s="334" t="s">
        <v>58</v>
      </c>
      <c r="C9989" s="348" t="s">
        <v>342</v>
      </c>
      <c r="D9989" s="334" t="s">
        <v>343</v>
      </c>
      <c r="E9989" s="336">
        <v>43821</v>
      </c>
      <c r="F9989" s="336">
        <v>43819</v>
      </c>
      <c r="G9989" s="336">
        <v>43821</v>
      </c>
      <c r="H9989" s="334" t="s">
        <v>20236</v>
      </c>
      <c r="I9989" s="444">
        <v>13162869807</v>
      </c>
      <c r="J9989" s="438" t="s">
        <v>20237</v>
      </c>
      <c r="K9989" s="356">
        <v>2598</v>
      </c>
      <c r="L9989" s="334">
        <v>2954</v>
      </c>
      <c r="N9989" s="362">
        <f t="shared" si="349"/>
        <v>2954</v>
      </c>
    </row>
    <row r="9990" ht="15" customHeight="1" spans="1:21">
      <c r="A9990" s="348"/>
      <c r="B9990" s="334" t="s">
        <v>2625</v>
      </c>
      <c r="C9990" s="348" t="s">
        <v>2626</v>
      </c>
      <c r="D9990" s="335" t="s">
        <v>44</v>
      </c>
      <c r="E9990" s="336">
        <v>43819</v>
      </c>
      <c r="F9990" s="336">
        <v>43819</v>
      </c>
      <c r="G9990" s="399"/>
      <c r="H9990" s="334" t="s">
        <v>20238</v>
      </c>
      <c r="I9990" s="444">
        <v>15221107872</v>
      </c>
      <c r="J9990" s="438" t="s">
        <v>20239</v>
      </c>
      <c r="K9990" s="356">
        <v>1000</v>
      </c>
      <c r="N9990" s="362">
        <f t="shared" si="349"/>
        <v>0</v>
      </c>
      <c r="R9990" s="477"/>
      <c r="U9990" s="489">
        <v>43822</v>
      </c>
    </row>
    <row r="9991" ht="15" customHeight="1" spans="2:14">
      <c r="B9991" s="334" t="s">
        <v>4009</v>
      </c>
      <c r="C9991" s="334" t="s">
        <v>6401</v>
      </c>
      <c r="D9991" s="334" t="s">
        <v>207</v>
      </c>
      <c r="E9991" s="336">
        <v>43819</v>
      </c>
      <c r="G9991" s="336">
        <v>43793</v>
      </c>
      <c r="H9991" s="334" t="s">
        <v>20240</v>
      </c>
      <c r="I9991" s="444">
        <v>18936284584</v>
      </c>
      <c r="J9991" s="348" t="s">
        <v>20241</v>
      </c>
      <c r="L9991" s="334">
        <v>7019</v>
      </c>
      <c r="N9991" s="362">
        <f t="shared" ref="N9991:N10013" si="350">L9991+M9991</f>
        <v>7019</v>
      </c>
    </row>
    <row r="9992" ht="15" customHeight="1" spans="2:14">
      <c r="B9992" s="334" t="s">
        <v>4009</v>
      </c>
      <c r="C9992" s="334" t="s">
        <v>6401</v>
      </c>
      <c r="D9992" s="334" t="s">
        <v>207</v>
      </c>
      <c r="E9992" s="336">
        <v>43819</v>
      </c>
      <c r="G9992" s="336">
        <v>43793</v>
      </c>
      <c r="H9992" s="334" t="s">
        <v>20242</v>
      </c>
      <c r="I9992" s="444">
        <v>18936284584</v>
      </c>
      <c r="J9992" s="348" t="s">
        <v>20243</v>
      </c>
      <c r="L9992" s="334">
        <v>5520</v>
      </c>
      <c r="N9992" s="362">
        <f t="shared" si="350"/>
        <v>5520</v>
      </c>
    </row>
    <row r="9993" ht="15" customHeight="1" spans="2:14">
      <c r="B9993" s="334" t="s">
        <v>4009</v>
      </c>
      <c r="C9993" s="334" t="s">
        <v>6401</v>
      </c>
      <c r="D9993" s="334" t="s">
        <v>207</v>
      </c>
      <c r="E9993" s="336">
        <v>43819</v>
      </c>
      <c r="G9993" s="336">
        <v>43788</v>
      </c>
      <c r="H9993" s="334" t="s">
        <v>20244</v>
      </c>
      <c r="I9993" s="444">
        <v>18721425108</v>
      </c>
      <c r="J9993" s="348" t="s">
        <v>20245</v>
      </c>
      <c r="L9993" s="334">
        <v>9909</v>
      </c>
      <c r="N9993" s="362">
        <f t="shared" si="350"/>
        <v>9909</v>
      </c>
    </row>
    <row r="9994" ht="15" customHeight="1" spans="2:14">
      <c r="B9994" s="334" t="s">
        <v>137</v>
      </c>
      <c r="C9994" s="334" t="s">
        <v>480</v>
      </c>
      <c r="D9994" s="334" t="s">
        <v>139</v>
      </c>
      <c r="E9994" s="336">
        <v>43819</v>
      </c>
      <c r="G9994" s="336">
        <v>43816</v>
      </c>
      <c r="H9994" s="334" t="s">
        <v>20246</v>
      </c>
      <c r="I9994" s="426">
        <v>13816305360</v>
      </c>
      <c r="J9994" s="334" t="s">
        <v>12590</v>
      </c>
      <c r="M9994" s="334">
        <v>500</v>
      </c>
      <c r="N9994" s="362">
        <f t="shared" si="350"/>
        <v>500</v>
      </c>
    </row>
    <row r="9995" ht="15" customHeight="1" spans="2:14">
      <c r="B9995" s="334" t="s">
        <v>405</v>
      </c>
      <c r="C9995" s="334" t="s">
        <v>1234</v>
      </c>
      <c r="D9995" s="334" t="s">
        <v>407</v>
      </c>
      <c r="E9995" s="336">
        <v>43819</v>
      </c>
      <c r="G9995" s="336">
        <v>43814</v>
      </c>
      <c r="H9995" s="334" t="s">
        <v>2225</v>
      </c>
      <c r="I9995" s="444">
        <v>13701937471</v>
      </c>
      <c r="J9995" s="348" t="s">
        <v>2226</v>
      </c>
      <c r="M9995" s="334">
        <v>10500</v>
      </c>
      <c r="N9995" s="362">
        <f t="shared" si="350"/>
        <v>10500</v>
      </c>
    </row>
    <row r="9996" ht="15" customHeight="1" spans="2:14">
      <c r="B9996" s="334" t="s">
        <v>87</v>
      </c>
      <c r="C9996" s="334" t="s">
        <v>9318</v>
      </c>
      <c r="D9996" s="334" t="s">
        <v>89</v>
      </c>
      <c r="E9996" s="336">
        <v>43819</v>
      </c>
      <c r="G9996" s="336">
        <v>43819</v>
      </c>
      <c r="H9996" s="334" t="s">
        <v>12926</v>
      </c>
      <c r="I9996" s="426">
        <v>13564411382</v>
      </c>
      <c r="J9996" s="334" t="s">
        <v>12927</v>
      </c>
      <c r="M9996" s="334">
        <v>174</v>
      </c>
      <c r="N9996" s="362">
        <f t="shared" si="350"/>
        <v>174</v>
      </c>
    </row>
    <row r="9997" ht="15" customHeight="1" spans="2:14">
      <c r="B9997" s="334" t="s">
        <v>35</v>
      </c>
      <c r="C9997" s="334" t="s">
        <v>36</v>
      </c>
      <c r="D9997" s="334" t="s">
        <v>37</v>
      </c>
      <c r="E9997" s="336">
        <v>43819</v>
      </c>
      <c r="G9997" s="336">
        <v>43818</v>
      </c>
      <c r="H9997" s="334" t="s">
        <v>18447</v>
      </c>
      <c r="I9997" s="444">
        <v>15800654804</v>
      </c>
      <c r="J9997" s="438" t="s">
        <v>18448</v>
      </c>
      <c r="M9997" s="334">
        <v>600</v>
      </c>
      <c r="N9997" s="362">
        <f t="shared" si="350"/>
        <v>600</v>
      </c>
    </row>
    <row r="9998" ht="15" customHeight="1" spans="2:14">
      <c r="B9998" s="334" t="s">
        <v>42</v>
      </c>
      <c r="C9998" s="334" t="s">
        <v>43</v>
      </c>
      <c r="D9998" s="334" t="s">
        <v>44</v>
      </c>
      <c r="E9998" s="336">
        <v>43819</v>
      </c>
      <c r="G9998" s="336">
        <v>43819</v>
      </c>
      <c r="H9998" s="334" t="s">
        <v>18077</v>
      </c>
      <c r="I9998" s="444">
        <v>13861796788</v>
      </c>
      <c r="J9998" s="348" t="s">
        <v>18078</v>
      </c>
      <c r="M9998" s="334">
        <v>2675</v>
      </c>
      <c r="N9998" s="362">
        <f t="shared" si="350"/>
        <v>2675</v>
      </c>
    </row>
    <row r="9999" ht="15" customHeight="1" spans="2:14">
      <c r="B9999" s="334" t="s">
        <v>805</v>
      </c>
      <c r="C9999" s="334" t="s">
        <v>4935</v>
      </c>
      <c r="D9999" s="334" t="s">
        <v>427</v>
      </c>
      <c r="E9999" s="336">
        <v>43819</v>
      </c>
      <c r="G9999" s="336">
        <v>43819</v>
      </c>
      <c r="H9999" s="334" t="s">
        <v>11376</v>
      </c>
      <c r="I9999" s="356">
        <v>18049914095</v>
      </c>
      <c r="J9999" s="348" t="s">
        <v>20247</v>
      </c>
      <c r="M9999" s="334">
        <v>1300</v>
      </c>
      <c r="N9999" s="362">
        <f t="shared" si="350"/>
        <v>1300</v>
      </c>
    </row>
    <row r="10000" ht="15" customHeight="1" spans="2:14">
      <c r="B10000" s="334" t="s">
        <v>4009</v>
      </c>
      <c r="C10000" s="334" t="s">
        <v>6401</v>
      </c>
      <c r="D10000" s="334" t="s">
        <v>110</v>
      </c>
      <c r="E10000" s="336">
        <v>43819</v>
      </c>
      <c r="G10000" s="336">
        <v>43785</v>
      </c>
      <c r="H10000" s="334" t="s">
        <v>19274</v>
      </c>
      <c r="I10000" s="444">
        <v>18721730518</v>
      </c>
      <c r="J10000" s="348" t="s">
        <v>19275</v>
      </c>
      <c r="M10000" s="334">
        <v>15482</v>
      </c>
      <c r="N10000" s="362">
        <f t="shared" si="350"/>
        <v>15482</v>
      </c>
    </row>
    <row r="10001" ht="15" customHeight="1" spans="2:14">
      <c r="B10001" s="334" t="s">
        <v>205</v>
      </c>
      <c r="C10001" s="334" t="s">
        <v>1467</v>
      </c>
      <c r="D10001" s="334" t="s">
        <v>343</v>
      </c>
      <c r="E10001" s="336">
        <v>43819</v>
      </c>
      <c r="G10001" s="336">
        <v>43819</v>
      </c>
      <c r="H10001" s="334" t="s">
        <v>20248</v>
      </c>
      <c r="I10001" s="444">
        <v>13611636636</v>
      </c>
      <c r="J10001" s="438" t="s">
        <v>20249</v>
      </c>
      <c r="M10001" s="334">
        <v>40388</v>
      </c>
      <c r="N10001" s="362">
        <f t="shared" si="350"/>
        <v>40388</v>
      </c>
    </row>
    <row r="10002" ht="15" customHeight="1" spans="2:14">
      <c r="B10002" s="334" t="s">
        <v>185</v>
      </c>
      <c r="C10002" s="334" t="s">
        <v>186</v>
      </c>
      <c r="D10002" s="334" t="s">
        <v>187</v>
      </c>
      <c r="E10002" s="336">
        <v>43819</v>
      </c>
      <c r="G10002" s="336">
        <v>43819</v>
      </c>
      <c r="H10002" s="334" t="s">
        <v>16851</v>
      </c>
      <c r="I10002" s="444">
        <v>18321579710</v>
      </c>
      <c r="J10002" s="348" t="s">
        <v>20250</v>
      </c>
      <c r="M10002" s="334">
        <v>-647</v>
      </c>
      <c r="N10002" s="362">
        <f t="shared" si="350"/>
        <v>-647</v>
      </c>
    </row>
    <row r="10003" ht="15" customHeight="1" spans="2:14">
      <c r="B10003" s="334" t="s">
        <v>185</v>
      </c>
      <c r="C10003" s="334" t="s">
        <v>886</v>
      </c>
      <c r="D10003" s="334" t="s">
        <v>187</v>
      </c>
      <c r="E10003" s="336">
        <v>43819</v>
      </c>
      <c r="G10003" s="336">
        <v>43815</v>
      </c>
      <c r="H10003" s="334" t="s">
        <v>9747</v>
      </c>
      <c r="I10003" s="334">
        <v>13482278969</v>
      </c>
      <c r="J10003" s="334" t="s">
        <v>20251</v>
      </c>
      <c r="M10003" s="334">
        <v>9360</v>
      </c>
      <c r="N10003" s="362">
        <f t="shared" si="350"/>
        <v>9360</v>
      </c>
    </row>
    <row r="10004" ht="15" customHeight="1" spans="2:14">
      <c r="B10004" s="334" t="s">
        <v>5435</v>
      </c>
      <c r="C10004" s="334" t="s">
        <v>1728</v>
      </c>
      <c r="D10004" s="334" t="s">
        <v>149</v>
      </c>
      <c r="E10004" s="336">
        <v>43819</v>
      </c>
      <c r="G10004" s="336">
        <v>43819</v>
      </c>
      <c r="H10004" s="334" t="s">
        <v>8259</v>
      </c>
      <c r="I10004" s="426">
        <v>13901714604</v>
      </c>
      <c r="J10004" s="334" t="s">
        <v>20252</v>
      </c>
      <c r="M10004" s="334">
        <v>-1598.48</v>
      </c>
      <c r="N10004" s="362">
        <f t="shared" si="350"/>
        <v>-1598.48</v>
      </c>
    </row>
    <row r="10005" ht="15" customHeight="1" spans="2:14">
      <c r="B10005" s="334" t="s">
        <v>169</v>
      </c>
      <c r="C10005" s="334" t="s">
        <v>634</v>
      </c>
      <c r="D10005" s="334" t="s">
        <v>635</v>
      </c>
      <c r="E10005" s="336">
        <v>43819</v>
      </c>
      <c r="G10005" s="336">
        <v>43819</v>
      </c>
      <c r="H10005" s="334" t="s">
        <v>15223</v>
      </c>
      <c r="I10005" s="444">
        <v>18624393302</v>
      </c>
      <c r="J10005" s="348" t="s">
        <v>15224</v>
      </c>
      <c r="M10005" s="334">
        <v>512</v>
      </c>
      <c r="N10005" s="362">
        <f t="shared" si="350"/>
        <v>512</v>
      </c>
    </row>
    <row r="10006" ht="15" customHeight="1" spans="2:14">
      <c r="B10006" s="334" t="s">
        <v>73</v>
      </c>
      <c r="C10006" s="334" t="s">
        <v>74</v>
      </c>
      <c r="D10006" s="334" t="s">
        <v>75</v>
      </c>
      <c r="E10006" s="336">
        <v>43819</v>
      </c>
      <c r="G10006" s="336">
        <v>43817</v>
      </c>
      <c r="H10006" s="334" t="s">
        <v>12267</v>
      </c>
      <c r="I10006" s="334">
        <v>13901857572</v>
      </c>
      <c r="J10006" s="334" t="s">
        <v>12268</v>
      </c>
      <c r="M10006" s="334">
        <v>1244</v>
      </c>
      <c r="N10006" s="362">
        <f t="shared" si="350"/>
        <v>1244</v>
      </c>
    </row>
    <row r="10007" ht="15" customHeight="1" spans="2:14">
      <c r="B10007" s="334" t="s">
        <v>73</v>
      </c>
      <c r="C10007" s="334" t="s">
        <v>74</v>
      </c>
      <c r="D10007" s="334" t="s">
        <v>75</v>
      </c>
      <c r="E10007" s="336">
        <v>43819</v>
      </c>
      <c r="G10007" s="336">
        <v>43818</v>
      </c>
      <c r="H10007" s="334" t="s">
        <v>19088</v>
      </c>
      <c r="I10007" s="444">
        <v>18301809348</v>
      </c>
      <c r="J10007" s="348" t="s">
        <v>19089</v>
      </c>
      <c r="M10007" s="334">
        <v>-10287</v>
      </c>
      <c r="N10007" s="362">
        <f t="shared" si="350"/>
        <v>-10287</v>
      </c>
    </row>
    <row r="10008" ht="15" customHeight="1" spans="2:14">
      <c r="B10008" s="334" t="s">
        <v>169</v>
      </c>
      <c r="C10008" s="334" t="s">
        <v>634</v>
      </c>
      <c r="D10008" s="334" t="s">
        <v>75</v>
      </c>
      <c r="E10008" s="336">
        <v>43819</v>
      </c>
      <c r="G10008" s="336">
        <v>43801</v>
      </c>
      <c r="H10008" s="334" t="s">
        <v>11268</v>
      </c>
      <c r="I10008" s="356">
        <v>13585769868</v>
      </c>
      <c r="J10008" s="348" t="s">
        <v>11269</v>
      </c>
      <c r="M10008" s="334">
        <v>1563</v>
      </c>
      <c r="N10008" s="362">
        <f t="shared" si="350"/>
        <v>1563</v>
      </c>
    </row>
    <row r="10009" ht="15" customHeight="1" spans="2:14">
      <c r="B10009" s="334" t="s">
        <v>73</v>
      </c>
      <c r="C10009" s="334" t="s">
        <v>178</v>
      </c>
      <c r="D10009" s="334" t="s">
        <v>44</v>
      </c>
      <c r="E10009" s="336">
        <v>43819</v>
      </c>
      <c r="G10009" s="336">
        <v>43818</v>
      </c>
      <c r="H10009" s="334" t="s">
        <v>2565</v>
      </c>
      <c r="I10009" s="444">
        <v>13301827577</v>
      </c>
      <c r="J10009" s="438" t="s">
        <v>6724</v>
      </c>
      <c r="M10009" s="334">
        <v>-4795</v>
      </c>
      <c r="N10009" s="362">
        <f t="shared" si="350"/>
        <v>-4795</v>
      </c>
    </row>
    <row r="10010" ht="15" customHeight="1" spans="1:14">
      <c r="A10010" s="550" t="s">
        <v>20253</v>
      </c>
      <c r="B10010" s="334" t="s">
        <v>66</v>
      </c>
      <c r="C10010" s="348" t="s">
        <v>505</v>
      </c>
      <c r="D10010" s="334" t="s">
        <v>2302</v>
      </c>
      <c r="E10010" s="336">
        <v>43837</v>
      </c>
      <c r="F10010" s="336">
        <v>43819</v>
      </c>
      <c r="G10010" s="336">
        <v>43836</v>
      </c>
      <c r="H10010" s="334" t="s">
        <v>2808</v>
      </c>
      <c r="I10010" s="444">
        <v>18652072916</v>
      </c>
      <c r="J10010" s="438" t="s">
        <v>20254</v>
      </c>
      <c r="K10010" s="356">
        <v>1000</v>
      </c>
      <c r="L10010" s="334">
        <v>4006</v>
      </c>
      <c r="N10010" s="362">
        <f t="shared" si="350"/>
        <v>4006</v>
      </c>
    </row>
    <row r="10011" ht="15" customHeight="1" spans="1:14">
      <c r="A10011" s="550" t="s">
        <v>20255</v>
      </c>
      <c r="B10011" s="334" t="s">
        <v>66</v>
      </c>
      <c r="C10011" s="348" t="s">
        <v>505</v>
      </c>
      <c r="D10011" s="334" t="s">
        <v>2302</v>
      </c>
      <c r="E10011" s="336">
        <v>43829</v>
      </c>
      <c r="F10011" s="336">
        <v>43819</v>
      </c>
      <c r="G10011" s="336">
        <v>43829</v>
      </c>
      <c r="H10011" s="334" t="s">
        <v>5282</v>
      </c>
      <c r="I10011" s="444">
        <v>15821698949</v>
      </c>
      <c r="J10011" s="438" t="s">
        <v>20256</v>
      </c>
      <c r="K10011" s="356">
        <f>200+200</f>
        <v>400</v>
      </c>
      <c r="L10011" s="334">
        <v>10200</v>
      </c>
      <c r="N10011" s="362">
        <f t="shared" si="350"/>
        <v>10200</v>
      </c>
    </row>
    <row r="10012" ht="15" customHeight="1" spans="1:14">
      <c r="A10012" s="348"/>
      <c r="B10012" s="334" t="s">
        <v>66</v>
      </c>
      <c r="C10012" s="348" t="s">
        <v>505</v>
      </c>
      <c r="D10012" s="334" t="s">
        <v>2302</v>
      </c>
      <c r="E10012" s="336">
        <v>43829</v>
      </c>
      <c r="F10012" s="336">
        <v>43819</v>
      </c>
      <c r="G10012" s="336">
        <v>43829</v>
      </c>
      <c r="H10012" s="487" t="s">
        <v>20257</v>
      </c>
      <c r="I10012" s="444">
        <v>18916184575</v>
      </c>
      <c r="J10012" s="438" t="s">
        <v>20258</v>
      </c>
      <c r="K10012" s="356">
        <v>200</v>
      </c>
      <c r="L10012" s="334">
        <v>10200</v>
      </c>
      <c r="N10012" s="362">
        <f t="shared" si="350"/>
        <v>10200</v>
      </c>
    </row>
    <row r="10013" ht="15" customHeight="1" spans="1:14">
      <c r="A10013" s="550" t="s">
        <v>20259</v>
      </c>
      <c r="B10013" s="334" t="s">
        <v>66</v>
      </c>
      <c r="C10013" s="348" t="s">
        <v>505</v>
      </c>
      <c r="D10013" s="335" t="s">
        <v>68</v>
      </c>
      <c r="E10013" s="336">
        <v>43820</v>
      </c>
      <c r="F10013" s="336">
        <v>43819</v>
      </c>
      <c r="G10013" s="399"/>
      <c r="H10013" s="334" t="s">
        <v>20260</v>
      </c>
      <c r="I10013" s="444">
        <v>18917945076</v>
      </c>
      <c r="J10013" s="438" t="s">
        <v>20261</v>
      </c>
      <c r="K10013" s="356">
        <v>200</v>
      </c>
      <c r="N10013" s="362">
        <f t="shared" si="350"/>
        <v>0</v>
      </c>
    </row>
    <row r="10014" ht="15" customHeight="1" spans="1:14">
      <c r="A10014" s="550" t="s">
        <v>13395</v>
      </c>
      <c r="B10014" s="334" t="s">
        <v>66</v>
      </c>
      <c r="C10014" s="348" t="s">
        <v>505</v>
      </c>
      <c r="D10014" s="334" t="s">
        <v>2302</v>
      </c>
      <c r="E10014" s="336">
        <v>43830</v>
      </c>
      <c r="F10014" s="336">
        <v>43819</v>
      </c>
      <c r="G10014" s="336">
        <v>43830</v>
      </c>
      <c r="H10014" s="334" t="s">
        <v>20262</v>
      </c>
      <c r="I10014" s="444">
        <v>18101811267</v>
      </c>
      <c r="J10014" s="438" t="s">
        <v>20263</v>
      </c>
      <c r="K10014" s="356">
        <f>500+200</f>
        <v>700</v>
      </c>
      <c r="L10014" s="334">
        <v>10200</v>
      </c>
      <c r="N10014" s="362">
        <f t="shared" ref="N10014:N10039" si="351">L10014+M10014</f>
        <v>10200</v>
      </c>
    </row>
    <row r="10015" ht="15" customHeight="1" spans="1:14">
      <c r="A10015" s="550" t="s">
        <v>13280</v>
      </c>
      <c r="B10015" s="334" t="s">
        <v>66</v>
      </c>
      <c r="C10015" s="348" t="s">
        <v>505</v>
      </c>
      <c r="D10015" s="334" t="s">
        <v>2302</v>
      </c>
      <c r="E10015" s="336">
        <v>43829</v>
      </c>
      <c r="F10015" s="336">
        <v>43819</v>
      </c>
      <c r="G10015" s="336">
        <v>43829</v>
      </c>
      <c r="H10015" s="334" t="s">
        <v>20264</v>
      </c>
      <c r="I10015" s="444">
        <v>13301679979</v>
      </c>
      <c r="J10015" s="438" t="s">
        <v>20265</v>
      </c>
      <c r="K10015" s="356">
        <v>200</v>
      </c>
      <c r="L10015" s="334">
        <v>10200</v>
      </c>
      <c r="N10015" s="362">
        <f t="shared" si="351"/>
        <v>10200</v>
      </c>
    </row>
    <row r="10016" ht="15" customHeight="1" spans="1:17">
      <c r="A10016" s="550" t="s">
        <v>12192</v>
      </c>
      <c r="B10016" s="334" t="s">
        <v>66</v>
      </c>
      <c r="C10016" s="348" t="s">
        <v>119</v>
      </c>
      <c r="D10016" s="335" t="s">
        <v>1436</v>
      </c>
      <c r="E10016" s="336">
        <v>43830</v>
      </c>
      <c r="F10016" s="336">
        <v>43819</v>
      </c>
      <c r="G10016" s="336">
        <v>43830</v>
      </c>
      <c r="H10016" s="334" t="s">
        <v>20266</v>
      </c>
      <c r="I10016" s="444">
        <v>13901947131</v>
      </c>
      <c r="J10016" s="438" t="s">
        <v>20267</v>
      </c>
      <c r="K10016" s="356">
        <v>200</v>
      </c>
      <c r="L10016" s="334">
        <v>16512</v>
      </c>
      <c r="N10016" s="362">
        <f t="shared" si="351"/>
        <v>16512</v>
      </c>
      <c r="Q10016" s="353" t="s">
        <v>21</v>
      </c>
    </row>
    <row r="10017" ht="15" customHeight="1" spans="1:21">
      <c r="A10017" s="550" t="s">
        <v>7395</v>
      </c>
      <c r="B10017" s="334" t="s">
        <v>87</v>
      </c>
      <c r="C10017" s="348" t="s">
        <v>199</v>
      </c>
      <c r="D10017" s="335" t="s">
        <v>89</v>
      </c>
      <c r="E10017" s="336">
        <v>43820</v>
      </c>
      <c r="F10017" s="336">
        <v>43819</v>
      </c>
      <c r="G10017" s="399"/>
      <c r="H10017" s="334" t="s">
        <v>20268</v>
      </c>
      <c r="I10017" s="444">
        <v>13003187329</v>
      </c>
      <c r="J10017" s="438" t="s">
        <v>20269</v>
      </c>
      <c r="K10017" s="356">
        <v>500</v>
      </c>
      <c r="N10017" s="362">
        <f t="shared" si="351"/>
        <v>0</v>
      </c>
      <c r="U10017" s="353" t="s">
        <v>40</v>
      </c>
    </row>
    <row r="10018" ht="15" customHeight="1" spans="1:17">
      <c r="A10018" s="550" t="s">
        <v>7619</v>
      </c>
      <c r="B10018" s="334" t="s">
        <v>137</v>
      </c>
      <c r="C10018" s="348" t="s">
        <v>480</v>
      </c>
      <c r="D10018" s="334" t="s">
        <v>139</v>
      </c>
      <c r="E10018" s="336">
        <v>43829</v>
      </c>
      <c r="F10018" s="336">
        <v>43820</v>
      </c>
      <c r="G10018" s="336">
        <v>43828</v>
      </c>
      <c r="H10018" s="334" t="s">
        <v>20270</v>
      </c>
      <c r="I10018" s="444">
        <v>13641884520</v>
      </c>
      <c r="J10018" s="438" t="s">
        <v>20271</v>
      </c>
      <c r="K10018" s="356">
        <v>10800</v>
      </c>
      <c r="L10018" s="334">
        <v>10800</v>
      </c>
      <c r="N10018" s="362">
        <f t="shared" si="351"/>
        <v>10800</v>
      </c>
      <c r="Q10018" s="353" t="s">
        <v>21</v>
      </c>
    </row>
    <row r="10019" ht="15" customHeight="1" spans="1:19">
      <c r="A10019" s="550" t="s">
        <v>4640</v>
      </c>
      <c r="B10019" s="334" t="s">
        <v>35</v>
      </c>
      <c r="C10019" s="348" t="s">
        <v>328</v>
      </c>
      <c r="D10019" s="335" t="s">
        <v>37</v>
      </c>
      <c r="E10019" s="336">
        <v>43820</v>
      </c>
      <c r="F10019" s="336">
        <v>43819</v>
      </c>
      <c r="G10019" s="399" t="s">
        <v>69</v>
      </c>
      <c r="H10019" s="334" t="s">
        <v>19826</v>
      </c>
      <c r="I10019" s="444">
        <v>13512158030</v>
      </c>
      <c r="J10019" s="438" t="s">
        <v>19827</v>
      </c>
      <c r="K10019" s="356">
        <v>500</v>
      </c>
      <c r="N10019" s="362">
        <f t="shared" si="351"/>
        <v>0</v>
      </c>
      <c r="S10019" s="356" t="s">
        <v>52</v>
      </c>
    </row>
    <row r="10020" ht="15" customHeight="1" spans="1:18">
      <c r="A10020" s="550" t="s">
        <v>4062</v>
      </c>
      <c r="B10020" s="334" t="s">
        <v>73</v>
      </c>
      <c r="C10020" s="348" t="s">
        <v>74</v>
      </c>
      <c r="D10020" s="335" t="s">
        <v>75</v>
      </c>
      <c r="E10020" s="336">
        <v>43820</v>
      </c>
      <c r="F10020" s="336">
        <v>43819</v>
      </c>
      <c r="G10020" s="399"/>
      <c r="H10020" s="334" t="s">
        <v>20272</v>
      </c>
      <c r="I10020" s="444">
        <v>13764511865</v>
      </c>
      <c r="J10020" s="438" t="s">
        <v>20273</v>
      </c>
      <c r="K10020" s="356">
        <v>1000</v>
      </c>
      <c r="N10020" s="362">
        <f t="shared" si="351"/>
        <v>0</v>
      </c>
      <c r="O10020" s="366"/>
      <c r="R10020" s="366" t="s">
        <v>52</v>
      </c>
    </row>
    <row r="10021" ht="15" customHeight="1" spans="1:15">
      <c r="A10021" s="550" t="s">
        <v>11151</v>
      </c>
      <c r="B10021" s="334" t="s">
        <v>73</v>
      </c>
      <c r="C10021" s="348" t="s">
        <v>74</v>
      </c>
      <c r="D10021" s="335" t="s">
        <v>75</v>
      </c>
      <c r="E10021" s="336">
        <v>43820</v>
      </c>
      <c r="F10021" s="336">
        <v>43818</v>
      </c>
      <c r="G10021" s="399"/>
      <c r="H10021" s="334" t="s">
        <v>20274</v>
      </c>
      <c r="I10021" s="444">
        <v>13052379750</v>
      </c>
      <c r="J10021" s="438" t="s">
        <v>20275</v>
      </c>
      <c r="K10021" s="356">
        <v>1000</v>
      </c>
      <c r="N10021" s="362">
        <f t="shared" si="351"/>
        <v>0</v>
      </c>
      <c r="O10021" s="366" t="s">
        <v>52</v>
      </c>
    </row>
    <row r="10022" ht="15" customHeight="1" spans="1:15">
      <c r="A10022" s="550" t="s">
        <v>8098</v>
      </c>
      <c r="B10022" s="334" t="s">
        <v>73</v>
      </c>
      <c r="C10022" s="348" t="s">
        <v>74</v>
      </c>
      <c r="D10022" s="335" t="s">
        <v>75</v>
      </c>
      <c r="E10022" s="336">
        <v>43820</v>
      </c>
      <c r="F10022" s="336">
        <v>43820</v>
      </c>
      <c r="G10022" s="399"/>
      <c r="H10022" s="334" t="s">
        <v>20276</v>
      </c>
      <c r="I10022" s="444">
        <v>18917198830</v>
      </c>
      <c r="J10022" s="438" t="s">
        <v>20277</v>
      </c>
      <c r="K10022" s="356">
        <v>1000</v>
      </c>
      <c r="N10022" s="362">
        <f t="shared" si="351"/>
        <v>0</v>
      </c>
      <c r="O10022" s="366" t="s">
        <v>52</v>
      </c>
    </row>
    <row r="10023" ht="15" customHeight="1" spans="1:15">
      <c r="A10023" s="550" t="s">
        <v>4361</v>
      </c>
      <c r="B10023" s="334" t="s">
        <v>73</v>
      </c>
      <c r="C10023" s="348" t="s">
        <v>74</v>
      </c>
      <c r="D10023" s="335" t="s">
        <v>75</v>
      </c>
      <c r="E10023" s="336">
        <v>43821</v>
      </c>
      <c r="F10023" s="336">
        <v>43818</v>
      </c>
      <c r="G10023" s="399"/>
      <c r="H10023" s="334" t="s">
        <v>20278</v>
      </c>
      <c r="I10023" s="444">
        <v>18918838156</v>
      </c>
      <c r="J10023" s="438" t="s">
        <v>20279</v>
      </c>
      <c r="K10023" s="356">
        <v>1000</v>
      </c>
      <c r="N10023" s="362">
        <f t="shared" si="351"/>
        <v>0</v>
      </c>
      <c r="O10023" s="366" t="s">
        <v>52</v>
      </c>
    </row>
    <row r="10024" ht="15" customHeight="1" spans="1:21">
      <c r="A10024" s="550" t="s">
        <v>20280</v>
      </c>
      <c r="B10024" s="334" t="s">
        <v>31</v>
      </c>
      <c r="C10024" s="348" t="s">
        <v>3186</v>
      </c>
      <c r="D10024" s="335" t="s">
        <v>221</v>
      </c>
      <c r="E10024" s="336">
        <v>43820</v>
      </c>
      <c r="F10024" s="336">
        <v>43819</v>
      </c>
      <c r="G10024" s="399"/>
      <c r="H10024" s="334" t="s">
        <v>20281</v>
      </c>
      <c r="I10024" s="444">
        <v>13818897131</v>
      </c>
      <c r="J10024" s="438" t="s">
        <v>20282</v>
      </c>
      <c r="K10024" s="356">
        <v>1000</v>
      </c>
      <c r="N10024" s="362">
        <f t="shared" si="351"/>
        <v>0</v>
      </c>
      <c r="U10024" s="353" t="s">
        <v>63</v>
      </c>
    </row>
    <row r="10025" ht="15" customHeight="1" spans="1:18">
      <c r="A10025" s="550" t="s">
        <v>20283</v>
      </c>
      <c r="B10025" s="334" t="s">
        <v>335</v>
      </c>
      <c r="C10025" s="348" t="s">
        <v>615</v>
      </c>
      <c r="D10025" s="335" t="s">
        <v>337</v>
      </c>
      <c r="E10025" s="336">
        <v>43830</v>
      </c>
      <c r="F10025" s="336">
        <v>43819</v>
      </c>
      <c r="G10025" s="336">
        <v>43830</v>
      </c>
      <c r="H10025" s="334" t="s">
        <v>5349</v>
      </c>
      <c r="I10025" s="444">
        <v>13916567010</v>
      </c>
      <c r="J10025" s="438" t="s">
        <v>20284</v>
      </c>
      <c r="K10025" s="356">
        <f>1000+19000</f>
        <v>20000</v>
      </c>
      <c r="L10025" s="334">
        <v>20000</v>
      </c>
      <c r="N10025" s="362">
        <f t="shared" si="351"/>
        <v>20000</v>
      </c>
      <c r="R10025" s="356" t="s">
        <v>22</v>
      </c>
    </row>
    <row r="10026" ht="15" customHeight="1" spans="1:14">
      <c r="A10026" s="550" t="s">
        <v>10892</v>
      </c>
      <c r="B10026" s="334" t="s">
        <v>185</v>
      </c>
      <c r="C10026" s="348" t="s">
        <v>1620</v>
      </c>
      <c r="D10026" s="334" t="s">
        <v>44</v>
      </c>
      <c r="E10026" s="336">
        <v>43824</v>
      </c>
      <c r="F10026" s="336">
        <v>43820</v>
      </c>
      <c r="G10026" s="336">
        <v>43822</v>
      </c>
      <c r="H10026" s="334" t="s">
        <v>20285</v>
      </c>
      <c r="I10026" s="444">
        <v>18918300587</v>
      </c>
      <c r="J10026" s="438" t="s">
        <v>20286</v>
      </c>
      <c r="K10026" s="356">
        <v>1000</v>
      </c>
      <c r="L10026" s="334">
        <v>8858</v>
      </c>
      <c r="N10026" s="362">
        <f t="shared" si="351"/>
        <v>8858</v>
      </c>
    </row>
    <row r="10027" ht="15" customHeight="1" spans="1:15">
      <c r="A10027" s="550" t="s">
        <v>20287</v>
      </c>
      <c r="B10027" s="334" t="s">
        <v>123</v>
      </c>
      <c r="C10027" s="348" t="s">
        <v>902</v>
      </c>
      <c r="D10027" s="335" t="s">
        <v>125</v>
      </c>
      <c r="E10027" s="336">
        <v>43820</v>
      </c>
      <c r="F10027" s="336">
        <v>43820</v>
      </c>
      <c r="G10027" s="399"/>
      <c r="H10027" s="334" t="s">
        <v>20288</v>
      </c>
      <c r="I10027" s="444">
        <v>13816367489</v>
      </c>
      <c r="J10027" s="438" t="s">
        <v>20289</v>
      </c>
      <c r="K10027" s="356">
        <v>500</v>
      </c>
      <c r="N10027" s="362">
        <f t="shared" si="351"/>
        <v>0</v>
      </c>
      <c r="O10027" s="353" t="s">
        <v>20290</v>
      </c>
    </row>
    <row r="10028" ht="15" customHeight="1" spans="1:14">
      <c r="A10028" s="550" t="s">
        <v>20291</v>
      </c>
      <c r="B10028" s="334" t="s">
        <v>205</v>
      </c>
      <c r="C10028" s="348" t="s">
        <v>1467</v>
      </c>
      <c r="D10028" s="334" t="s">
        <v>207</v>
      </c>
      <c r="E10028" s="336">
        <v>43822</v>
      </c>
      <c r="F10028" s="336">
        <v>43820</v>
      </c>
      <c r="G10028" s="336">
        <v>43821</v>
      </c>
      <c r="H10028" s="334" t="s">
        <v>20292</v>
      </c>
      <c r="I10028" s="444">
        <v>13585956935</v>
      </c>
      <c r="J10028" s="438" t="s">
        <v>20293</v>
      </c>
      <c r="K10028" s="356">
        <v>10000</v>
      </c>
      <c r="L10028" s="334">
        <v>11037</v>
      </c>
      <c r="N10028" s="362">
        <f t="shared" si="351"/>
        <v>11037</v>
      </c>
    </row>
    <row r="10029" ht="15" customHeight="1" spans="1:15">
      <c r="A10029" s="550" t="s">
        <v>12473</v>
      </c>
      <c r="B10029" s="334" t="s">
        <v>169</v>
      </c>
      <c r="C10029" s="348" t="s">
        <v>542</v>
      </c>
      <c r="D10029" s="334" t="s">
        <v>171</v>
      </c>
      <c r="E10029" s="336">
        <v>43829</v>
      </c>
      <c r="F10029" s="336">
        <v>43820</v>
      </c>
      <c r="G10029" s="336">
        <v>43829</v>
      </c>
      <c r="H10029" s="334" t="s">
        <v>20294</v>
      </c>
      <c r="I10029" s="444">
        <v>13003280601</v>
      </c>
      <c r="J10029" s="438" t="s">
        <v>20295</v>
      </c>
      <c r="K10029" s="356">
        <v>13500</v>
      </c>
      <c r="L10029" s="334">
        <v>13500</v>
      </c>
      <c r="N10029" s="362">
        <f t="shared" si="351"/>
        <v>13500</v>
      </c>
      <c r="O10029" s="356" t="s">
        <v>18643</v>
      </c>
    </row>
    <row r="10030" ht="15" customHeight="1" spans="1:15">
      <c r="A10030" s="550" t="s">
        <v>20296</v>
      </c>
      <c r="B10030" s="334" t="s">
        <v>31</v>
      </c>
      <c r="C10030" s="348" t="s">
        <v>13171</v>
      </c>
      <c r="D10030" s="334" t="s">
        <v>33</v>
      </c>
      <c r="E10030" s="336">
        <v>43830</v>
      </c>
      <c r="F10030" s="336">
        <v>43820</v>
      </c>
      <c r="G10030" s="336">
        <v>43830</v>
      </c>
      <c r="H10030" s="334" t="s">
        <v>20297</v>
      </c>
      <c r="I10030" s="444">
        <v>13764100066</v>
      </c>
      <c r="J10030" s="438" t="s">
        <v>20298</v>
      </c>
      <c r="K10030" s="356">
        <v>20000</v>
      </c>
      <c r="L10030" s="334">
        <v>20000</v>
      </c>
      <c r="N10030" s="362">
        <f t="shared" si="351"/>
        <v>20000</v>
      </c>
      <c r="O10030" s="467" t="s">
        <v>52</v>
      </c>
    </row>
    <row r="10031" ht="15" customHeight="1" spans="1:14">
      <c r="A10031" s="550" t="s">
        <v>8096</v>
      </c>
      <c r="B10031" s="334" t="s">
        <v>185</v>
      </c>
      <c r="C10031" s="348" t="s">
        <v>1204</v>
      </c>
      <c r="D10031" s="334" t="s">
        <v>44</v>
      </c>
      <c r="E10031" s="336">
        <v>43824</v>
      </c>
      <c r="F10031" s="336">
        <v>43820</v>
      </c>
      <c r="G10031" s="336">
        <v>43824</v>
      </c>
      <c r="H10031" s="334" t="s">
        <v>20299</v>
      </c>
      <c r="I10031" s="444">
        <v>18019020337</v>
      </c>
      <c r="J10031" s="438" t="s">
        <v>20300</v>
      </c>
      <c r="K10031" s="356">
        <v>18600</v>
      </c>
      <c r="L10031" s="334">
        <v>18600</v>
      </c>
      <c r="N10031" s="362">
        <f t="shared" si="351"/>
        <v>18600</v>
      </c>
    </row>
    <row r="10032" ht="15" customHeight="1" spans="1:18">
      <c r="A10032" s="550" t="s">
        <v>20301</v>
      </c>
      <c r="B10032" s="334" t="s">
        <v>405</v>
      </c>
      <c r="C10032" s="348" t="s">
        <v>14070</v>
      </c>
      <c r="D10032" s="335" t="s">
        <v>407</v>
      </c>
      <c r="E10032" s="336">
        <v>43820</v>
      </c>
      <c r="F10032" s="336">
        <v>43820</v>
      </c>
      <c r="G10032" s="399">
        <v>12.23</v>
      </c>
      <c r="H10032" s="334" t="s">
        <v>743</v>
      </c>
      <c r="I10032" s="444">
        <v>13472503201</v>
      </c>
      <c r="J10032" s="438" t="s">
        <v>20302</v>
      </c>
      <c r="K10032" s="356">
        <v>5000</v>
      </c>
      <c r="N10032" s="362">
        <f t="shared" si="351"/>
        <v>0</v>
      </c>
      <c r="R10032" s="502" t="s">
        <v>52</v>
      </c>
    </row>
    <row r="10033" ht="15" customHeight="1" spans="1:15">
      <c r="A10033" s="550" t="s">
        <v>18960</v>
      </c>
      <c r="B10033" s="334" t="s">
        <v>185</v>
      </c>
      <c r="C10033" s="348" t="s">
        <v>20303</v>
      </c>
      <c r="D10033" s="335" t="s">
        <v>187</v>
      </c>
      <c r="E10033" s="336">
        <v>43820</v>
      </c>
      <c r="F10033" s="336">
        <v>43820</v>
      </c>
      <c r="G10033" s="399"/>
      <c r="H10033" s="334" t="s">
        <v>20304</v>
      </c>
      <c r="I10033" s="444">
        <v>13564120331</v>
      </c>
      <c r="J10033" s="438" t="s">
        <v>20305</v>
      </c>
      <c r="K10033" s="356">
        <v>1000</v>
      </c>
      <c r="N10033" s="362">
        <f t="shared" si="351"/>
        <v>0</v>
      </c>
      <c r="O10033" s="356" t="s">
        <v>52</v>
      </c>
    </row>
    <row r="10034" ht="15" customHeight="1" spans="1:14">
      <c r="A10034" s="348">
        <v>2068441</v>
      </c>
      <c r="B10034" s="334" t="s">
        <v>47</v>
      </c>
      <c r="C10034" s="348" t="s">
        <v>80</v>
      </c>
      <c r="D10034" s="335" t="s">
        <v>49</v>
      </c>
      <c r="E10034" s="336">
        <v>43822</v>
      </c>
      <c r="F10034" s="336">
        <v>43817</v>
      </c>
      <c r="G10034" s="336">
        <v>43820</v>
      </c>
      <c r="H10034" s="334" t="s">
        <v>2634</v>
      </c>
      <c r="I10034" s="444">
        <v>17701860350</v>
      </c>
      <c r="J10034" s="438" t="s">
        <v>20306</v>
      </c>
      <c r="K10034" s="356">
        <v>1000</v>
      </c>
      <c r="L10034" s="334">
        <v>5500</v>
      </c>
      <c r="N10034" s="362">
        <f t="shared" si="351"/>
        <v>5500</v>
      </c>
    </row>
    <row r="10035" ht="15" customHeight="1" spans="1:15">
      <c r="A10035" s="348"/>
      <c r="B10035" s="334" t="s">
        <v>35</v>
      </c>
      <c r="C10035" s="348" t="s">
        <v>36</v>
      </c>
      <c r="D10035" s="335" t="s">
        <v>37</v>
      </c>
      <c r="E10035" s="336">
        <v>43820</v>
      </c>
      <c r="F10035" s="336">
        <v>43820</v>
      </c>
      <c r="G10035" s="399"/>
      <c r="H10035" s="334" t="s">
        <v>20307</v>
      </c>
      <c r="I10035" s="444">
        <v>18801770246</v>
      </c>
      <c r="J10035" s="438" t="s">
        <v>20308</v>
      </c>
      <c r="K10035" s="356">
        <v>1000</v>
      </c>
      <c r="N10035" s="362">
        <f t="shared" si="351"/>
        <v>0</v>
      </c>
      <c r="O10035" s="356" t="s">
        <v>52</v>
      </c>
    </row>
    <row r="10036" ht="15" customHeight="1" spans="1:22">
      <c r="A10036" s="550" t="s">
        <v>12540</v>
      </c>
      <c r="B10036" s="334" t="s">
        <v>137</v>
      </c>
      <c r="C10036" s="348" t="s">
        <v>411</v>
      </c>
      <c r="D10036" s="334" t="s">
        <v>443</v>
      </c>
      <c r="E10036" s="336">
        <v>43830</v>
      </c>
      <c r="F10036" s="336">
        <v>43820</v>
      </c>
      <c r="G10036" s="336">
        <v>43829</v>
      </c>
      <c r="H10036" s="334" t="s">
        <v>20309</v>
      </c>
      <c r="I10036" s="444">
        <v>13764112839</v>
      </c>
      <c r="J10036" s="438" t="s">
        <v>20310</v>
      </c>
      <c r="K10036" s="356">
        <v>16200</v>
      </c>
      <c r="L10036" s="334">
        <v>16200</v>
      </c>
      <c r="N10036" s="362">
        <f t="shared" si="351"/>
        <v>16200</v>
      </c>
      <c r="V10036" s="353" t="s">
        <v>98</v>
      </c>
    </row>
    <row r="10037" ht="15" customHeight="1" spans="1:15">
      <c r="A10037" s="550" t="s">
        <v>20311</v>
      </c>
      <c r="B10037" s="334" t="s">
        <v>169</v>
      </c>
      <c r="C10037" s="348" t="s">
        <v>542</v>
      </c>
      <c r="D10037" s="335" t="s">
        <v>635</v>
      </c>
      <c r="E10037" s="336">
        <v>43821</v>
      </c>
      <c r="F10037" s="336">
        <v>43821</v>
      </c>
      <c r="G10037" s="399"/>
      <c r="H10037" s="334" t="s">
        <v>20312</v>
      </c>
      <c r="I10037" s="444">
        <v>13901662491</v>
      </c>
      <c r="J10037" s="438" t="s">
        <v>20313</v>
      </c>
      <c r="K10037" s="356">
        <v>1000</v>
      </c>
      <c r="N10037" s="362">
        <f t="shared" si="351"/>
        <v>0</v>
      </c>
      <c r="O10037" s="353" t="s">
        <v>16733</v>
      </c>
    </row>
    <row r="10038" ht="15" customHeight="1" spans="1:17">
      <c r="A10038" s="550" t="s">
        <v>20314</v>
      </c>
      <c r="B10038" s="334" t="s">
        <v>31</v>
      </c>
      <c r="C10038" s="348" t="s">
        <v>13171</v>
      </c>
      <c r="D10038" s="335" t="s">
        <v>33</v>
      </c>
      <c r="E10038" s="336">
        <v>43821</v>
      </c>
      <c r="F10038" s="336">
        <v>43821</v>
      </c>
      <c r="G10038" s="399"/>
      <c r="H10038" s="334" t="s">
        <v>3368</v>
      </c>
      <c r="I10038" s="444">
        <v>18917606627</v>
      </c>
      <c r="J10038" s="438" t="s">
        <v>20315</v>
      </c>
      <c r="K10038" s="356">
        <v>4134</v>
      </c>
      <c r="N10038" s="362">
        <f t="shared" ref="N10038:N10075" si="352">L10038+M10038</f>
        <v>0</v>
      </c>
      <c r="Q10038" s="467" t="s">
        <v>52</v>
      </c>
    </row>
    <row r="10039" ht="15" customHeight="1" spans="1:23">
      <c r="A10039" s="348"/>
      <c r="B10039" s="334" t="s">
        <v>2625</v>
      </c>
      <c r="C10039" s="348" t="s">
        <v>2626</v>
      </c>
      <c r="D10039" s="335" t="s">
        <v>337</v>
      </c>
      <c r="E10039" s="336">
        <v>43827</v>
      </c>
      <c r="F10039" s="336">
        <v>43820</v>
      </c>
      <c r="G10039" s="336">
        <v>43827</v>
      </c>
      <c r="H10039" s="334" t="s">
        <v>20316</v>
      </c>
      <c r="I10039" s="444">
        <v>13918445354</v>
      </c>
      <c r="J10039" s="438" t="s">
        <v>20317</v>
      </c>
      <c r="K10039" s="356">
        <v>2000</v>
      </c>
      <c r="L10039" s="334">
        <v>12200</v>
      </c>
      <c r="N10039" s="362">
        <f t="shared" si="352"/>
        <v>12200</v>
      </c>
      <c r="W10039" s="489">
        <v>43822</v>
      </c>
    </row>
    <row r="10040" ht="15" customHeight="1" spans="1:14">
      <c r="A10040" s="550" t="s">
        <v>8172</v>
      </c>
      <c r="B10040" s="334" t="s">
        <v>58</v>
      </c>
      <c r="C10040" s="348" t="s">
        <v>109</v>
      </c>
      <c r="D10040" s="334" t="s">
        <v>110</v>
      </c>
      <c r="E10040" s="336">
        <v>43821</v>
      </c>
      <c r="F10040" s="336">
        <v>43820</v>
      </c>
      <c r="G10040" s="399">
        <v>43815</v>
      </c>
      <c r="H10040" s="334" t="s">
        <v>20318</v>
      </c>
      <c r="I10040" s="444">
        <v>18019299695</v>
      </c>
      <c r="J10040" s="438" t="s">
        <v>20319</v>
      </c>
      <c r="K10040" s="356">
        <v>1267</v>
      </c>
      <c r="L10040" s="334">
        <v>2678</v>
      </c>
      <c r="N10040" s="362">
        <f t="shared" si="352"/>
        <v>2678</v>
      </c>
    </row>
    <row r="10041" ht="15" customHeight="1" spans="1:16">
      <c r="A10041" s="550" t="s">
        <v>5057</v>
      </c>
      <c r="B10041" s="334" t="s">
        <v>58</v>
      </c>
      <c r="C10041" s="348" t="s">
        <v>109</v>
      </c>
      <c r="D10041" s="335" t="s">
        <v>110</v>
      </c>
      <c r="E10041" s="336">
        <v>43830</v>
      </c>
      <c r="F10041" s="336">
        <v>43820</v>
      </c>
      <c r="G10041" s="336">
        <v>43830</v>
      </c>
      <c r="H10041" s="334" t="s">
        <v>20320</v>
      </c>
      <c r="I10041" s="444">
        <v>18916166968</v>
      </c>
      <c r="J10041" s="438" t="s">
        <v>20321</v>
      </c>
      <c r="K10041" s="356">
        <v>9100</v>
      </c>
      <c r="L10041" s="334">
        <v>9100</v>
      </c>
      <c r="N10041" s="362">
        <f t="shared" si="352"/>
        <v>9100</v>
      </c>
      <c r="P10041" s="467" t="s">
        <v>52</v>
      </c>
    </row>
    <row r="10042" ht="15" customHeight="1" spans="1:18">
      <c r="A10042" s="550" t="s">
        <v>20322</v>
      </c>
      <c r="B10042" s="334" t="s">
        <v>335</v>
      </c>
      <c r="C10042" s="348" t="s">
        <v>615</v>
      </c>
      <c r="D10042" s="335" t="s">
        <v>337</v>
      </c>
      <c r="E10042" s="336">
        <v>43821</v>
      </c>
      <c r="F10042" s="336">
        <v>43820</v>
      </c>
      <c r="G10042" s="399"/>
      <c r="H10042" s="334" t="s">
        <v>1309</v>
      </c>
      <c r="I10042" s="444">
        <v>17701676095</v>
      </c>
      <c r="J10042" s="438" t="s">
        <v>20323</v>
      </c>
      <c r="K10042" s="356">
        <v>16000</v>
      </c>
      <c r="N10042" s="362">
        <f t="shared" si="352"/>
        <v>0</v>
      </c>
      <c r="R10042" s="356" t="s">
        <v>22</v>
      </c>
    </row>
    <row r="10043" ht="15" customHeight="1" spans="1:18">
      <c r="A10043" s="550" t="s">
        <v>7788</v>
      </c>
      <c r="B10043" s="334" t="s">
        <v>137</v>
      </c>
      <c r="C10043" s="348" t="s">
        <v>2705</v>
      </c>
      <c r="D10043" s="334" t="s">
        <v>2381</v>
      </c>
      <c r="E10043" s="336">
        <v>43826</v>
      </c>
      <c r="F10043" s="336">
        <v>43820</v>
      </c>
      <c r="G10043" s="336">
        <v>43824</v>
      </c>
      <c r="H10043" s="334" t="s">
        <v>20324</v>
      </c>
      <c r="I10043" s="444">
        <v>18616191818</v>
      </c>
      <c r="J10043" s="438" t="s">
        <v>20325</v>
      </c>
      <c r="K10043" s="356">
        <v>21600</v>
      </c>
      <c r="L10043" s="334">
        <v>20685</v>
      </c>
      <c r="N10043" s="362">
        <f t="shared" si="352"/>
        <v>20685</v>
      </c>
      <c r="Q10043" s="353"/>
      <c r="R10043" s="353"/>
    </row>
    <row r="10044" ht="15" customHeight="1" spans="1:14">
      <c r="A10044" s="550" t="s">
        <v>9057</v>
      </c>
      <c r="B10044" s="334" t="s">
        <v>137</v>
      </c>
      <c r="C10044" s="348" t="s">
        <v>861</v>
      </c>
      <c r="D10044" s="334" t="s">
        <v>443</v>
      </c>
      <c r="E10044" s="336">
        <v>43824</v>
      </c>
      <c r="F10044" s="336">
        <v>43820</v>
      </c>
      <c r="G10044" s="336">
        <v>43824</v>
      </c>
      <c r="H10044" s="334" t="s">
        <v>20326</v>
      </c>
      <c r="I10044" s="444">
        <v>15821584063</v>
      </c>
      <c r="J10044" s="438" t="s">
        <v>20327</v>
      </c>
      <c r="K10044" s="356">
        <v>6000</v>
      </c>
      <c r="L10044" s="334">
        <v>6460</v>
      </c>
      <c r="N10044" s="362">
        <f t="shared" si="352"/>
        <v>6460</v>
      </c>
    </row>
    <row r="10045" ht="15" customHeight="1" spans="1:14">
      <c r="A10045" s="550" t="s">
        <v>7782</v>
      </c>
      <c r="B10045" s="334" t="s">
        <v>137</v>
      </c>
      <c r="C10045" s="348" t="s">
        <v>411</v>
      </c>
      <c r="D10045" s="334" t="s">
        <v>443</v>
      </c>
      <c r="E10045" s="336">
        <v>43821</v>
      </c>
      <c r="F10045" s="336">
        <v>43820</v>
      </c>
      <c r="G10045" s="399">
        <v>43820</v>
      </c>
      <c r="H10045" s="334" t="s">
        <v>20328</v>
      </c>
      <c r="I10045" s="444">
        <v>18721188180</v>
      </c>
      <c r="J10045" s="438" t="s">
        <v>20329</v>
      </c>
      <c r="K10045" s="356">
        <v>18373</v>
      </c>
      <c r="L10045" s="334">
        <v>18373</v>
      </c>
      <c r="N10045" s="362">
        <f t="shared" si="352"/>
        <v>18373</v>
      </c>
    </row>
    <row r="10046" ht="15" customHeight="1" spans="1:17">
      <c r="A10046" s="550" t="s">
        <v>16272</v>
      </c>
      <c r="B10046" s="334" t="s">
        <v>137</v>
      </c>
      <c r="C10046" s="348" t="s">
        <v>2705</v>
      </c>
      <c r="D10046" s="335" t="s">
        <v>139</v>
      </c>
      <c r="E10046" s="336">
        <v>43828</v>
      </c>
      <c r="F10046" s="336">
        <v>43820</v>
      </c>
      <c r="G10046" s="336">
        <v>43828</v>
      </c>
      <c r="H10046" s="334" t="s">
        <v>20330</v>
      </c>
      <c r="I10046" s="444">
        <v>13761519253</v>
      </c>
      <c r="J10046" s="438" t="s">
        <v>20331</v>
      </c>
      <c r="K10046" s="356">
        <v>13500</v>
      </c>
      <c r="L10046" s="334">
        <v>13500</v>
      </c>
      <c r="N10046" s="362">
        <f t="shared" si="352"/>
        <v>13500</v>
      </c>
      <c r="Q10046" s="353" t="s">
        <v>21</v>
      </c>
    </row>
    <row r="10047" ht="15" customHeight="1" spans="1:22">
      <c r="A10047" s="550" t="s">
        <v>404</v>
      </c>
      <c r="B10047" s="334" t="s">
        <v>137</v>
      </c>
      <c r="C10047" s="348" t="s">
        <v>406</v>
      </c>
      <c r="D10047" s="334" t="s">
        <v>2381</v>
      </c>
      <c r="E10047" s="336">
        <v>43830</v>
      </c>
      <c r="F10047" s="336">
        <v>43820</v>
      </c>
      <c r="G10047" s="336">
        <v>43830</v>
      </c>
      <c r="H10047" s="334" t="s">
        <v>20332</v>
      </c>
      <c r="I10047" s="444">
        <v>18116179220</v>
      </c>
      <c r="J10047" s="438" t="s">
        <v>20333</v>
      </c>
      <c r="K10047" s="356">
        <v>8100</v>
      </c>
      <c r="L10047" s="334">
        <v>8100</v>
      </c>
      <c r="N10047" s="362">
        <f t="shared" si="352"/>
        <v>8100</v>
      </c>
      <c r="Q10047" s="353" t="s">
        <v>21</v>
      </c>
      <c r="V10047" s="353"/>
    </row>
    <row r="10048" ht="15" customHeight="1" spans="1:22">
      <c r="A10048" s="348">
        <v>2068709</v>
      </c>
      <c r="B10048" s="334" t="s">
        <v>137</v>
      </c>
      <c r="C10048" s="348" t="s">
        <v>138</v>
      </c>
      <c r="D10048" s="334" t="s">
        <v>2381</v>
      </c>
      <c r="E10048" s="336">
        <v>43830</v>
      </c>
      <c r="F10048" s="336">
        <v>43819</v>
      </c>
      <c r="G10048" s="336">
        <v>43829</v>
      </c>
      <c r="H10048" s="334" t="s">
        <v>20334</v>
      </c>
      <c r="I10048" s="444">
        <v>15618082830</v>
      </c>
      <c r="J10048" s="438" t="s">
        <v>20335</v>
      </c>
      <c r="K10048" s="356">
        <v>2981</v>
      </c>
      <c r="L10048" s="334">
        <v>2981</v>
      </c>
      <c r="N10048" s="362">
        <f t="shared" si="352"/>
        <v>2981</v>
      </c>
      <c r="V10048" s="353" t="s">
        <v>98</v>
      </c>
    </row>
    <row r="10049" ht="15" customHeight="1" spans="1:15">
      <c r="A10049" s="550" t="s">
        <v>12543</v>
      </c>
      <c r="B10049" s="334" t="s">
        <v>137</v>
      </c>
      <c r="C10049" s="348" t="s">
        <v>138</v>
      </c>
      <c r="D10049" s="335" t="s">
        <v>443</v>
      </c>
      <c r="E10049" s="336">
        <v>43830</v>
      </c>
      <c r="F10049" s="336">
        <v>43819</v>
      </c>
      <c r="G10049" s="336">
        <v>43830</v>
      </c>
      <c r="H10049" s="334" t="s">
        <v>12471</v>
      </c>
      <c r="I10049" s="444">
        <v>18621874893</v>
      </c>
      <c r="J10049" s="438" t="s">
        <v>20336</v>
      </c>
      <c r="K10049" s="356">
        <v>10800</v>
      </c>
      <c r="L10049" s="334">
        <v>10800</v>
      </c>
      <c r="N10049" s="362">
        <f t="shared" si="352"/>
        <v>10800</v>
      </c>
      <c r="O10049" s="353" t="s">
        <v>1118</v>
      </c>
    </row>
    <row r="10050" ht="15" customHeight="1" spans="1:23">
      <c r="A10050" s="550" t="s">
        <v>9158</v>
      </c>
      <c r="B10050" s="334" t="s">
        <v>58</v>
      </c>
      <c r="C10050" s="348" t="s">
        <v>59</v>
      </c>
      <c r="D10050" s="334" t="s">
        <v>110</v>
      </c>
      <c r="E10050" s="336">
        <v>43830</v>
      </c>
      <c r="F10050" s="336">
        <v>43820</v>
      </c>
      <c r="G10050" s="336">
        <v>43829</v>
      </c>
      <c r="H10050" s="334" t="s">
        <v>20337</v>
      </c>
      <c r="I10050" s="444">
        <v>13816117540</v>
      </c>
      <c r="J10050" s="438" t="s">
        <v>20338</v>
      </c>
      <c r="K10050" s="356">
        <v>1998</v>
      </c>
      <c r="L10050" s="334">
        <v>3083</v>
      </c>
      <c r="N10050" s="362">
        <f t="shared" si="352"/>
        <v>3083</v>
      </c>
      <c r="Q10050" s="467"/>
      <c r="W10050" s="471">
        <v>43829</v>
      </c>
    </row>
    <row r="10051" ht="15" customHeight="1" spans="1:14">
      <c r="A10051" s="550" t="s">
        <v>17881</v>
      </c>
      <c r="B10051" s="334" t="s">
        <v>315</v>
      </c>
      <c r="C10051" s="348" t="s">
        <v>161</v>
      </c>
      <c r="D10051" s="334" t="s">
        <v>149</v>
      </c>
      <c r="E10051" s="336">
        <v>43822</v>
      </c>
      <c r="F10051" s="336">
        <v>43820</v>
      </c>
      <c r="G10051" s="336">
        <v>43821</v>
      </c>
      <c r="H10051" s="334" t="s">
        <v>20339</v>
      </c>
      <c r="I10051" s="444">
        <v>15502184858</v>
      </c>
      <c r="J10051" s="438" t="s">
        <v>20340</v>
      </c>
      <c r="K10051" s="356">
        <v>1000</v>
      </c>
      <c r="L10051" s="334">
        <v>1972</v>
      </c>
      <c r="N10051" s="362">
        <f t="shared" si="352"/>
        <v>1972</v>
      </c>
    </row>
    <row r="10052" ht="15" customHeight="1" spans="1:14">
      <c r="A10052" s="550" t="s">
        <v>20341</v>
      </c>
      <c r="B10052" s="334" t="s">
        <v>58</v>
      </c>
      <c r="C10052" s="348" t="s">
        <v>794</v>
      </c>
      <c r="D10052" s="335" t="s">
        <v>271</v>
      </c>
      <c r="E10052" s="336">
        <v>43822</v>
      </c>
      <c r="F10052" s="336">
        <v>43820</v>
      </c>
      <c r="G10052" s="336">
        <v>43820</v>
      </c>
      <c r="H10052" s="334" t="s">
        <v>20342</v>
      </c>
      <c r="I10052" s="444">
        <v>13817504862</v>
      </c>
      <c r="J10052" s="438" t="s">
        <v>20343</v>
      </c>
      <c r="K10052" s="356">
        <v>5400</v>
      </c>
      <c r="L10052" s="334">
        <v>7400</v>
      </c>
      <c r="N10052" s="362">
        <f t="shared" si="352"/>
        <v>7400</v>
      </c>
    </row>
    <row r="10053" ht="15" customHeight="1" spans="1:18">
      <c r="A10053" s="550" t="s">
        <v>16417</v>
      </c>
      <c r="B10053" s="334" t="s">
        <v>315</v>
      </c>
      <c r="C10053" s="348" t="s">
        <v>14638</v>
      </c>
      <c r="D10053" s="335" t="s">
        <v>162</v>
      </c>
      <c r="E10053" s="336">
        <v>43821</v>
      </c>
      <c r="F10053" s="336">
        <v>43820</v>
      </c>
      <c r="G10053" s="399"/>
      <c r="H10053" s="334" t="s">
        <v>20344</v>
      </c>
      <c r="I10053" s="444">
        <v>13916866966</v>
      </c>
      <c r="J10053" s="438" t="s">
        <v>20345</v>
      </c>
      <c r="K10053" s="356">
        <v>1000</v>
      </c>
      <c r="N10053" s="362">
        <f t="shared" si="352"/>
        <v>0</v>
      </c>
      <c r="R10053" s="330">
        <v>1</v>
      </c>
    </row>
    <row r="10054" ht="15" customHeight="1" spans="1:16">
      <c r="A10054" s="550" t="s">
        <v>20346</v>
      </c>
      <c r="B10054" s="334" t="s">
        <v>31</v>
      </c>
      <c r="C10054" s="348" t="s">
        <v>220</v>
      </c>
      <c r="D10054" s="335" t="s">
        <v>33</v>
      </c>
      <c r="E10054" s="336">
        <v>43821</v>
      </c>
      <c r="F10054" s="336">
        <v>43820</v>
      </c>
      <c r="G10054" s="399"/>
      <c r="H10054" s="334" t="s">
        <v>20347</v>
      </c>
      <c r="I10054" s="444">
        <v>13585858400</v>
      </c>
      <c r="J10054" s="438" t="s">
        <v>20348</v>
      </c>
      <c r="K10054" s="356">
        <v>1000</v>
      </c>
      <c r="N10054" s="362">
        <f t="shared" si="352"/>
        <v>0</v>
      </c>
      <c r="P10054" s="366" t="s">
        <v>52</v>
      </c>
    </row>
    <row r="10055" ht="15" customHeight="1" spans="1:15">
      <c r="A10055" s="550" t="s">
        <v>12488</v>
      </c>
      <c r="B10055" s="334" t="s">
        <v>169</v>
      </c>
      <c r="C10055" s="348" t="s">
        <v>634</v>
      </c>
      <c r="D10055" s="334" t="s">
        <v>635</v>
      </c>
      <c r="E10055" s="336">
        <v>43830</v>
      </c>
      <c r="F10055" s="336">
        <v>43820</v>
      </c>
      <c r="G10055" s="336">
        <v>43822</v>
      </c>
      <c r="H10055" s="334" t="s">
        <v>20349</v>
      </c>
      <c r="I10055" s="444">
        <v>13774311712</v>
      </c>
      <c r="J10055" s="438" t="s">
        <v>20350</v>
      </c>
      <c r="K10055" s="356">
        <v>16200</v>
      </c>
      <c r="L10055" s="334">
        <v>16200</v>
      </c>
      <c r="N10055" s="362">
        <f t="shared" si="352"/>
        <v>16200</v>
      </c>
      <c r="O10055" s="356" t="s">
        <v>19</v>
      </c>
    </row>
    <row r="10056" ht="15" customHeight="1" spans="1:15">
      <c r="A10056" s="550" t="s">
        <v>20351</v>
      </c>
      <c r="B10056" s="334" t="s">
        <v>66</v>
      </c>
      <c r="C10056" s="348" t="s">
        <v>1749</v>
      </c>
      <c r="D10056" s="334" t="s">
        <v>68</v>
      </c>
      <c r="E10056" s="336">
        <v>43829</v>
      </c>
      <c r="F10056" s="336">
        <v>43820</v>
      </c>
      <c r="G10056" s="336">
        <v>43829</v>
      </c>
      <c r="H10056" s="334" t="s">
        <v>20352</v>
      </c>
      <c r="I10056" s="444">
        <v>13816513937</v>
      </c>
      <c r="J10056" s="438" t="s">
        <v>20353</v>
      </c>
      <c r="K10056" s="356">
        <v>20000</v>
      </c>
      <c r="L10056" s="334">
        <v>20000</v>
      </c>
      <c r="N10056" s="362">
        <f t="shared" si="352"/>
        <v>20000</v>
      </c>
      <c r="O10056" s="353" t="s">
        <v>52</v>
      </c>
    </row>
    <row r="10057" ht="15" customHeight="1" spans="1:22">
      <c r="A10057" s="550" t="s">
        <v>20354</v>
      </c>
      <c r="B10057" s="334" t="s">
        <v>123</v>
      </c>
      <c r="C10057" s="348" t="s">
        <v>902</v>
      </c>
      <c r="D10057" s="335" t="s">
        <v>125</v>
      </c>
      <c r="E10057" s="336">
        <v>43825</v>
      </c>
      <c r="F10057" s="336">
        <v>43820</v>
      </c>
      <c r="G10057" s="336">
        <v>43825</v>
      </c>
      <c r="H10057" s="334" t="s">
        <v>20355</v>
      </c>
      <c r="I10057" s="444">
        <v>18616967776</v>
      </c>
      <c r="J10057" s="438" t="s">
        <v>20356</v>
      </c>
      <c r="K10057" s="356">
        <v>1000</v>
      </c>
      <c r="L10057" s="334">
        <v>8337</v>
      </c>
      <c r="N10057" s="362">
        <f t="shared" si="352"/>
        <v>8337</v>
      </c>
      <c r="V10057" s="353" t="s">
        <v>98</v>
      </c>
    </row>
    <row r="10058" ht="15" customHeight="1" spans="1:22">
      <c r="A10058" s="550" t="s">
        <v>541</v>
      </c>
      <c r="B10058" s="334" t="s">
        <v>123</v>
      </c>
      <c r="C10058" s="348" t="s">
        <v>902</v>
      </c>
      <c r="D10058" s="335" t="s">
        <v>125</v>
      </c>
      <c r="E10058" s="336">
        <v>43835</v>
      </c>
      <c r="F10058" s="336">
        <v>43820</v>
      </c>
      <c r="G10058" s="336">
        <v>43835</v>
      </c>
      <c r="H10058" s="334" t="s">
        <v>20357</v>
      </c>
      <c r="I10058" s="444">
        <v>15221100912</v>
      </c>
      <c r="J10058" s="438" t="s">
        <v>20358</v>
      </c>
      <c r="K10058" s="356">
        <v>1000</v>
      </c>
      <c r="L10058" s="334">
        <v>18800</v>
      </c>
      <c r="N10058" s="362">
        <f t="shared" si="352"/>
        <v>18800</v>
      </c>
      <c r="O10058" s="467" t="s">
        <v>52</v>
      </c>
      <c r="V10058" s="353" t="s">
        <v>20359</v>
      </c>
    </row>
    <row r="10059" ht="15" customHeight="1" spans="1:14">
      <c r="A10059" s="550" t="s">
        <v>9596</v>
      </c>
      <c r="B10059" s="334" t="s">
        <v>185</v>
      </c>
      <c r="C10059" s="348" t="s">
        <v>1204</v>
      </c>
      <c r="D10059" s="334" t="s">
        <v>187</v>
      </c>
      <c r="E10059" s="336">
        <v>43821</v>
      </c>
      <c r="F10059" s="336">
        <v>43820</v>
      </c>
      <c r="G10059" s="399">
        <v>43821</v>
      </c>
      <c r="H10059" s="334" t="s">
        <v>19126</v>
      </c>
      <c r="I10059" s="444">
        <v>18601686840</v>
      </c>
      <c r="J10059" s="438" t="s">
        <v>20360</v>
      </c>
      <c r="K10059" s="356">
        <v>5000</v>
      </c>
      <c r="L10059" s="334">
        <v>8266</v>
      </c>
      <c r="N10059" s="362">
        <f t="shared" si="352"/>
        <v>8266</v>
      </c>
    </row>
    <row r="10060" ht="15" customHeight="1" spans="1:15">
      <c r="A10060" s="550" t="s">
        <v>20322</v>
      </c>
      <c r="B10060" s="334" t="s">
        <v>335</v>
      </c>
      <c r="C10060" s="348" t="s">
        <v>615</v>
      </c>
      <c r="D10060" s="335" t="s">
        <v>337</v>
      </c>
      <c r="E10060" s="336">
        <v>43821</v>
      </c>
      <c r="F10060" s="336">
        <v>43821</v>
      </c>
      <c r="G10060" s="399"/>
      <c r="H10060" s="334" t="s">
        <v>20361</v>
      </c>
      <c r="I10060" s="444">
        <v>17701676095</v>
      </c>
      <c r="J10060" s="438" t="s">
        <v>20362</v>
      </c>
      <c r="K10060" s="356">
        <v>0</v>
      </c>
      <c r="N10060" s="362">
        <f t="shared" si="352"/>
        <v>0</v>
      </c>
      <c r="O10060" s="353" t="s">
        <v>19</v>
      </c>
    </row>
    <row r="10061" ht="15" customHeight="1" spans="1:15">
      <c r="A10061" s="550" t="s">
        <v>8330</v>
      </c>
      <c r="B10061" s="334" t="s">
        <v>58</v>
      </c>
      <c r="C10061" s="348" t="s">
        <v>347</v>
      </c>
      <c r="D10061" s="335" t="s">
        <v>343</v>
      </c>
      <c r="E10061" s="336">
        <v>43821</v>
      </c>
      <c r="F10061" s="336">
        <v>43820</v>
      </c>
      <c r="G10061" s="399"/>
      <c r="H10061" s="334" t="s">
        <v>20363</v>
      </c>
      <c r="I10061" s="444">
        <v>18321995122</v>
      </c>
      <c r="J10061" s="438" t="s">
        <v>20364</v>
      </c>
      <c r="K10061" s="356">
        <v>21000</v>
      </c>
      <c r="N10061" s="362">
        <f t="shared" si="352"/>
        <v>0</v>
      </c>
      <c r="O10061" s="467" t="s">
        <v>52</v>
      </c>
    </row>
    <row r="10062" ht="15" customHeight="1" spans="1:15">
      <c r="A10062" s="550" t="s">
        <v>19798</v>
      </c>
      <c r="B10062" s="334" t="s">
        <v>73</v>
      </c>
      <c r="C10062" s="348" t="s">
        <v>74</v>
      </c>
      <c r="D10062" s="335" t="s">
        <v>75</v>
      </c>
      <c r="E10062" s="336">
        <v>43821</v>
      </c>
      <c r="F10062" s="336">
        <v>43821</v>
      </c>
      <c r="G10062" s="399"/>
      <c r="H10062" s="334" t="s">
        <v>20365</v>
      </c>
      <c r="I10062" s="444">
        <v>13701676158</v>
      </c>
      <c r="J10062" s="438" t="s">
        <v>20366</v>
      </c>
      <c r="K10062" s="356">
        <v>1000</v>
      </c>
      <c r="N10062" s="362">
        <f t="shared" si="352"/>
        <v>0</v>
      </c>
      <c r="O10062" s="366" t="s">
        <v>52</v>
      </c>
    </row>
    <row r="10063" ht="15" customHeight="1" spans="1:15">
      <c r="A10063" s="550" t="s">
        <v>11146</v>
      </c>
      <c r="B10063" s="334" t="s">
        <v>73</v>
      </c>
      <c r="C10063" s="348" t="s">
        <v>74</v>
      </c>
      <c r="D10063" s="335" t="s">
        <v>75</v>
      </c>
      <c r="E10063" s="336">
        <v>43821</v>
      </c>
      <c r="F10063" s="336">
        <v>43821</v>
      </c>
      <c r="G10063" s="399"/>
      <c r="H10063" s="334" t="s">
        <v>20367</v>
      </c>
      <c r="I10063" s="444">
        <v>13761207647</v>
      </c>
      <c r="J10063" s="438" t="s">
        <v>20368</v>
      </c>
      <c r="K10063" s="356">
        <f>1000+1000</f>
        <v>2000</v>
      </c>
      <c r="N10063" s="362">
        <f t="shared" si="352"/>
        <v>0</v>
      </c>
      <c r="O10063" s="366" t="s">
        <v>52</v>
      </c>
    </row>
    <row r="10064" ht="15" customHeight="1" spans="1:15">
      <c r="A10064" s="550" t="s">
        <v>18626</v>
      </c>
      <c r="B10064" s="334" t="s">
        <v>73</v>
      </c>
      <c r="C10064" s="348" t="s">
        <v>178</v>
      </c>
      <c r="D10064" s="334" t="s">
        <v>427</v>
      </c>
      <c r="E10064" s="336">
        <v>43830</v>
      </c>
      <c r="F10064" s="336">
        <v>43823</v>
      </c>
      <c r="G10064" s="336">
        <v>43830</v>
      </c>
      <c r="H10064" s="334" t="s">
        <v>20369</v>
      </c>
      <c r="I10064" s="444">
        <v>18019267787</v>
      </c>
      <c r="J10064" s="438" t="s">
        <v>20370</v>
      </c>
      <c r="K10064" s="356">
        <v>1000</v>
      </c>
      <c r="L10064" s="334">
        <v>18274</v>
      </c>
      <c r="N10064" s="362">
        <f t="shared" si="352"/>
        <v>18274</v>
      </c>
      <c r="O10064" s="366" t="s">
        <v>52</v>
      </c>
    </row>
    <row r="10065" ht="15" customHeight="1" spans="1:17">
      <c r="A10065" s="550" t="s">
        <v>20371</v>
      </c>
      <c r="B10065" s="334" t="s">
        <v>405</v>
      </c>
      <c r="C10065" s="348" t="s">
        <v>823</v>
      </c>
      <c r="D10065" s="335" t="s">
        <v>407</v>
      </c>
      <c r="E10065" s="336">
        <v>43821</v>
      </c>
      <c r="F10065" s="336">
        <v>43821</v>
      </c>
      <c r="G10065" s="399"/>
      <c r="H10065" s="334" t="s">
        <v>2956</v>
      </c>
      <c r="I10065" s="444">
        <v>13564600872</v>
      </c>
      <c r="J10065" s="438" t="s">
        <v>20372</v>
      </c>
      <c r="K10065" s="356">
        <v>1000</v>
      </c>
      <c r="N10065" s="362">
        <f t="shared" si="352"/>
        <v>0</v>
      </c>
      <c r="Q10065" s="502" t="s">
        <v>52</v>
      </c>
    </row>
    <row r="10066" ht="15" customHeight="1" spans="1:14">
      <c r="A10066" s="550" t="s">
        <v>20373</v>
      </c>
      <c r="B10066" s="334" t="s">
        <v>66</v>
      </c>
      <c r="C10066" s="348" t="s">
        <v>505</v>
      </c>
      <c r="D10066" s="334" t="s">
        <v>2302</v>
      </c>
      <c r="E10066" s="336">
        <v>43821</v>
      </c>
      <c r="F10066" s="336">
        <v>43821</v>
      </c>
      <c r="G10066" s="399">
        <v>43821</v>
      </c>
      <c r="H10066" s="334" t="s">
        <v>20374</v>
      </c>
      <c r="I10066" s="444">
        <v>13917570931</v>
      </c>
      <c r="J10066" s="348" t="s">
        <v>20375</v>
      </c>
      <c r="K10066" s="356">
        <v>21974</v>
      </c>
      <c r="L10066" s="334">
        <v>21974</v>
      </c>
      <c r="N10066" s="362">
        <f t="shared" si="352"/>
        <v>21974</v>
      </c>
    </row>
    <row r="10067" ht="15" customHeight="1" spans="1:14">
      <c r="A10067" s="550" t="s">
        <v>12921</v>
      </c>
      <c r="B10067" s="334" t="s">
        <v>137</v>
      </c>
      <c r="C10067" s="348" t="s">
        <v>411</v>
      </c>
      <c r="D10067" s="334" t="s">
        <v>443</v>
      </c>
      <c r="E10067" s="336">
        <v>43821</v>
      </c>
      <c r="F10067" s="336">
        <v>43813</v>
      </c>
      <c r="G10067" s="399">
        <v>43821</v>
      </c>
      <c r="H10067" s="334" t="s">
        <v>20376</v>
      </c>
      <c r="I10067" s="444">
        <v>13788998869</v>
      </c>
      <c r="J10067" s="348" t="s">
        <v>20377</v>
      </c>
      <c r="K10067" s="356">
        <v>6000</v>
      </c>
      <c r="L10067" s="334">
        <v>7400</v>
      </c>
      <c r="N10067" s="362">
        <f t="shared" si="352"/>
        <v>7400</v>
      </c>
    </row>
    <row r="10068" ht="15" customHeight="1" spans="1:14">
      <c r="A10068" s="550" t="s">
        <v>16589</v>
      </c>
      <c r="B10068" s="334" t="s">
        <v>137</v>
      </c>
      <c r="C10068" s="334" t="s">
        <v>138</v>
      </c>
      <c r="D10068" s="335" t="s">
        <v>443</v>
      </c>
      <c r="E10068" s="336">
        <v>43821</v>
      </c>
      <c r="F10068" s="336">
        <v>43778</v>
      </c>
      <c r="G10068" s="399">
        <v>43793</v>
      </c>
      <c r="H10068" s="334" t="s">
        <v>18662</v>
      </c>
      <c r="I10068" s="444">
        <v>15601939900</v>
      </c>
      <c r="J10068" s="348" t="s">
        <v>18663</v>
      </c>
      <c r="K10068" s="356">
        <v>30600</v>
      </c>
      <c r="N10068" s="362">
        <f t="shared" si="352"/>
        <v>0</v>
      </c>
    </row>
    <row r="10069" ht="15" customHeight="1" spans="1:15">
      <c r="A10069" s="550" t="s">
        <v>434</v>
      </c>
      <c r="B10069" s="334" t="s">
        <v>137</v>
      </c>
      <c r="C10069" s="348" t="s">
        <v>861</v>
      </c>
      <c r="D10069" s="335" t="s">
        <v>443</v>
      </c>
      <c r="E10069" s="336">
        <v>43830</v>
      </c>
      <c r="F10069" s="336">
        <v>43821</v>
      </c>
      <c r="G10069" s="336">
        <v>43830</v>
      </c>
      <c r="H10069" s="334" t="s">
        <v>2675</v>
      </c>
      <c r="I10069" s="444">
        <v>13916225866</v>
      </c>
      <c r="J10069" s="438" t="s">
        <v>20378</v>
      </c>
      <c r="K10069" s="356">
        <v>5000</v>
      </c>
      <c r="L10069" s="334">
        <v>5000</v>
      </c>
      <c r="N10069" s="362">
        <f t="shared" si="352"/>
        <v>5000</v>
      </c>
      <c r="O10069" s="330" t="s">
        <v>1608</v>
      </c>
    </row>
    <row r="10070" ht="15" customHeight="1" spans="1:15">
      <c r="A10070" s="550" t="s">
        <v>20379</v>
      </c>
      <c r="B10070" s="334" t="s">
        <v>185</v>
      </c>
      <c r="C10070" s="348" t="s">
        <v>1204</v>
      </c>
      <c r="D10070" s="335" t="s">
        <v>44</v>
      </c>
      <c r="E10070" s="336">
        <v>43821</v>
      </c>
      <c r="F10070" s="336">
        <v>43821</v>
      </c>
      <c r="G10070" s="399"/>
      <c r="H10070" s="334" t="s">
        <v>20380</v>
      </c>
      <c r="I10070" s="444">
        <v>13002193661</v>
      </c>
      <c r="J10070" s="438" t="s">
        <v>20381</v>
      </c>
      <c r="K10070" s="356">
        <v>1000</v>
      </c>
      <c r="N10070" s="362">
        <f t="shared" si="352"/>
        <v>0</v>
      </c>
      <c r="O10070" s="356" t="s">
        <v>52</v>
      </c>
    </row>
    <row r="10071" ht="15" customHeight="1" spans="1:14">
      <c r="A10071" s="348"/>
      <c r="B10071" s="334" t="s">
        <v>35</v>
      </c>
      <c r="C10071" s="348" t="s">
        <v>328</v>
      </c>
      <c r="D10071" s="335" t="s">
        <v>37</v>
      </c>
      <c r="E10071" s="336">
        <v>43822</v>
      </c>
      <c r="F10071" s="336">
        <v>43819</v>
      </c>
      <c r="G10071" s="336">
        <v>43821</v>
      </c>
      <c r="H10071" s="334" t="s">
        <v>20382</v>
      </c>
      <c r="I10071" s="444">
        <v>13501797466</v>
      </c>
      <c r="J10071" s="438" t="s">
        <v>20383</v>
      </c>
      <c r="K10071" s="356">
        <v>3000</v>
      </c>
      <c r="L10071" s="334">
        <v>10300</v>
      </c>
      <c r="N10071" s="362">
        <f t="shared" si="352"/>
        <v>10300</v>
      </c>
    </row>
    <row r="10072" ht="15" customHeight="1" spans="1:15">
      <c r="A10072" s="348"/>
      <c r="B10072" s="334" t="s">
        <v>185</v>
      </c>
      <c r="C10072" s="348" t="s">
        <v>4146</v>
      </c>
      <c r="D10072" s="335" t="s">
        <v>44</v>
      </c>
      <c r="E10072" s="336">
        <v>43821</v>
      </c>
      <c r="F10072" s="336">
        <v>43821</v>
      </c>
      <c r="G10072" s="399"/>
      <c r="H10072" s="334" t="s">
        <v>20384</v>
      </c>
      <c r="I10072" s="444">
        <v>18717884433</v>
      </c>
      <c r="J10072" s="438" t="s">
        <v>20385</v>
      </c>
      <c r="K10072" s="356">
        <v>1000</v>
      </c>
      <c r="N10072" s="362">
        <f t="shared" si="352"/>
        <v>0</v>
      </c>
      <c r="O10072" s="356" t="s">
        <v>52</v>
      </c>
    </row>
    <row r="10073" ht="15" customHeight="1" spans="1:17">
      <c r="A10073" s="550" t="s">
        <v>1030</v>
      </c>
      <c r="B10073" s="334" t="s">
        <v>185</v>
      </c>
      <c r="C10073" s="348" t="s">
        <v>4146</v>
      </c>
      <c r="D10073" s="335" t="s">
        <v>44</v>
      </c>
      <c r="E10073" s="336">
        <v>43821</v>
      </c>
      <c r="F10073" s="336">
        <v>43821</v>
      </c>
      <c r="G10073" s="399"/>
      <c r="H10073" s="334" t="s">
        <v>20386</v>
      </c>
      <c r="I10073" s="444">
        <v>17621255434</v>
      </c>
      <c r="J10073" s="438" t="s">
        <v>20387</v>
      </c>
      <c r="K10073" s="356">
        <v>1000</v>
      </c>
      <c r="N10073" s="362">
        <f t="shared" si="352"/>
        <v>0</v>
      </c>
      <c r="Q10073" s="356" t="s">
        <v>52</v>
      </c>
    </row>
    <row r="10074" ht="15" customHeight="1" spans="1:15">
      <c r="A10074" s="550" t="s">
        <v>1416</v>
      </c>
      <c r="B10074" s="334" t="s">
        <v>58</v>
      </c>
      <c r="C10074" s="348" t="s">
        <v>347</v>
      </c>
      <c r="D10074" s="335" t="s">
        <v>343</v>
      </c>
      <c r="E10074" s="336">
        <v>43821</v>
      </c>
      <c r="F10074" s="336">
        <v>43821</v>
      </c>
      <c r="G10074" s="399"/>
      <c r="H10074" s="334" t="s">
        <v>20388</v>
      </c>
      <c r="I10074" s="444">
        <v>13774442111</v>
      </c>
      <c r="J10074" s="438" t="s">
        <v>20389</v>
      </c>
      <c r="K10074" s="356">
        <v>1000</v>
      </c>
      <c r="N10074" s="362">
        <f t="shared" si="352"/>
        <v>0</v>
      </c>
      <c r="O10074" s="467" t="s">
        <v>52</v>
      </c>
    </row>
    <row r="10075" ht="15" customHeight="1" spans="1:23">
      <c r="A10075" s="550" t="s">
        <v>20390</v>
      </c>
      <c r="B10075" s="334" t="s">
        <v>185</v>
      </c>
      <c r="C10075" s="348" t="s">
        <v>886</v>
      </c>
      <c r="D10075" s="335" t="s">
        <v>44</v>
      </c>
      <c r="E10075" s="336">
        <v>43821</v>
      </c>
      <c r="F10075" s="336">
        <v>43821</v>
      </c>
      <c r="G10075" s="399"/>
      <c r="H10075" s="334" t="s">
        <v>20391</v>
      </c>
      <c r="I10075" s="444">
        <v>18502196110</v>
      </c>
      <c r="J10075" s="438" t="s">
        <v>20392</v>
      </c>
      <c r="K10075" s="356">
        <v>0</v>
      </c>
      <c r="N10075" s="362">
        <f t="shared" si="352"/>
        <v>0</v>
      </c>
      <c r="W10075" s="471">
        <v>43826</v>
      </c>
    </row>
    <row r="10076" ht="15" customHeight="1" spans="2:14">
      <c r="B10076" s="334" t="s">
        <v>315</v>
      </c>
      <c r="C10076" s="334" t="s">
        <v>161</v>
      </c>
      <c r="D10076" s="334" t="s">
        <v>1431</v>
      </c>
      <c r="E10076" s="336">
        <v>43820</v>
      </c>
      <c r="G10076" s="336">
        <v>43820</v>
      </c>
      <c r="H10076" s="334" t="s">
        <v>20393</v>
      </c>
      <c r="I10076" s="444">
        <v>13916491517</v>
      </c>
      <c r="J10076" s="348" t="s">
        <v>20394</v>
      </c>
      <c r="L10076" s="334">
        <v>5944</v>
      </c>
      <c r="N10076" s="362">
        <f t="shared" ref="N10076:N10104" si="353">L10076+M10076</f>
        <v>5944</v>
      </c>
    </row>
    <row r="10077" ht="15" customHeight="1" spans="2:14">
      <c r="B10077" s="334" t="s">
        <v>66</v>
      </c>
      <c r="C10077" s="334" t="s">
        <v>1749</v>
      </c>
      <c r="D10077" s="334" t="s">
        <v>1436</v>
      </c>
      <c r="E10077" s="336">
        <v>43820</v>
      </c>
      <c r="G10077" s="336">
        <v>43819</v>
      </c>
      <c r="H10077" s="334" t="s">
        <v>20395</v>
      </c>
      <c r="I10077" s="444">
        <v>15900838006</v>
      </c>
      <c r="J10077" s="348" t="s">
        <v>20396</v>
      </c>
      <c r="L10077" s="334">
        <v>18739</v>
      </c>
      <c r="N10077" s="362">
        <f t="shared" si="353"/>
        <v>18739</v>
      </c>
    </row>
    <row r="10078" ht="15" customHeight="1" spans="2:14">
      <c r="B10078" s="334" t="s">
        <v>805</v>
      </c>
      <c r="C10078" s="334" t="s">
        <v>4935</v>
      </c>
      <c r="D10078" s="334" t="s">
        <v>171</v>
      </c>
      <c r="E10078" s="336">
        <v>43820</v>
      </c>
      <c r="G10078" s="336">
        <v>43820</v>
      </c>
      <c r="H10078" s="334" t="s">
        <v>20397</v>
      </c>
      <c r="I10078" s="444">
        <v>13661851172</v>
      </c>
      <c r="J10078" s="438" t="s">
        <v>20398</v>
      </c>
      <c r="L10078" s="334">
        <v>12700</v>
      </c>
      <c r="N10078" s="362">
        <f t="shared" si="353"/>
        <v>12700</v>
      </c>
    </row>
    <row r="10079" ht="15" customHeight="1" spans="2:14">
      <c r="B10079" s="334" t="s">
        <v>185</v>
      </c>
      <c r="C10079" s="334" t="s">
        <v>886</v>
      </c>
      <c r="D10079" s="334" t="s">
        <v>44</v>
      </c>
      <c r="E10079" s="336">
        <v>43821</v>
      </c>
      <c r="G10079" s="336">
        <v>43820</v>
      </c>
      <c r="H10079" s="334" t="s">
        <v>20399</v>
      </c>
      <c r="I10079" s="444">
        <v>17612169244</v>
      </c>
      <c r="J10079" s="438" t="s">
        <v>20400</v>
      </c>
      <c r="L10079" s="334">
        <v>10463</v>
      </c>
      <c r="N10079" s="362">
        <f t="shared" si="353"/>
        <v>10463</v>
      </c>
    </row>
    <row r="10080" ht="15" customHeight="1" spans="2:14">
      <c r="B10080" s="334" t="s">
        <v>73</v>
      </c>
      <c r="C10080" s="334" t="s">
        <v>74</v>
      </c>
      <c r="D10080" s="335" t="s">
        <v>125</v>
      </c>
      <c r="E10080" s="336">
        <v>43821</v>
      </c>
      <c r="G10080" s="336">
        <v>43820</v>
      </c>
      <c r="H10080" s="334" t="s">
        <v>15275</v>
      </c>
      <c r="I10080" s="444">
        <v>17521561412</v>
      </c>
      <c r="J10080" s="348" t="s">
        <v>15276</v>
      </c>
      <c r="L10080" s="334">
        <v>6540</v>
      </c>
      <c r="N10080" s="362">
        <f t="shared" si="353"/>
        <v>6540</v>
      </c>
    </row>
    <row r="10081" ht="15" customHeight="1" spans="2:14">
      <c r="B10081" s="334" t="s">
        <v>205</v>
      </c>
      <c r="C10081" s="348" t="s">
        <v>1467</v>
      </c>
      <c r="D10081" s="334" t="s">
        <v>343</v>
      </c>
      <c r="E10081" s="336">
        <v>43820</v>
      </c>
      <c r="G10081" s="336">
        <v>43819</v>
      </c>
      <c r="H10081" s="334" t="s">
        <v>20248</v>
      </c>
      <c r="I10081" s="444">
        <v>13611636636</v>
      </c>
      <c r="J10081" s="438" t="s">
        <v>20249</v>
      </c>
      <c r="L10081" s="334">
        <v>36114</v>
      </c>
      <c r="M10081" s="338">
        <v>36566</v>
      </c>
      <c r="N10081" s="362">
        <f t="shared" si="353"/>
        <v>72680</v>
      </c>
    </row>
    <row r="10082" ht="15" customHeight="1" spans="2:14">
      <c r="B10082" s="334" t="s">
        <v>137</v>
      </c>
      <c r="C10082" s="334" t="s">
        <v>411</v>
      </c>
      <c r="D10082" s="334" t="s">
        <v>443</v>
      </c>
      <c r="E10082" s="336">
        <v>43820</v>
      </c>
      <c r="G10082" s="336">
        <v>43819</v>
      </c>
      <c r="H10082" s="334" t="s">
        <v>15129</v>
      </c>
      <c r="I10082" s="444">
        <v>13918318222</v>
      </c>
      <c r="J10082" s="348" t="s">
        <v>15130</v>
      </c>
      <c r="M10082" s="334">
        <v>1463</v>
      </c>
      <c r="N10082" s="362">
        <f t="shared" si="353"/>
        <v>1463</v>
      </c>
    </row>
    <row r="10083" ht="15" customHeight="1" spans="2:14">
      <c r="B10083" s="334" t="s">
        <v>354</v>
      </c>
      <c r="C10083" s="334" t="s">
        <v>355</v>
      </c>
      <c r="D10083" s="334" t="s">
        <v>343</v>
      </c>
      <c r="E10083" s="336">
        <v>43820</v>
      </c>
      <c r="G10083" s="336">
        <v>43820</v>
      </c>
      <c r="H10083" s="334" t="s">
        <v>17790</v>
      </c>
      <c r="I10083" s="444">
        <v>13818140589</v>
      </c>
      <c r="J10083" s="348" t="s">
        <v>17791</v>
      </c>
      <c r="M10083" s="334">
        <v>780</v>
      </c>
      <c r="N10083" s="362">
        <f t="shared" si="353"/>
        <v>780</v>
      </c>
    </row>
    <row r="10084" ht="15" customHeight="1" spans="2:14">
      <c r="B10084" s="334" t="s">
        <v>243</v>
      </c>
      <c r="C10084" s="348" t="s">
        <v>304</v>
      </c>
      <c r="D10084" s="334" t="s">
        <v>49</v>
      </c>
      <c r="E10084" s="336">
        <v>43820</v>
      </c>
      <c r="G10084" s="336">
        <v>43811</v>
      </c>
      <c r="H10084" s="334" t="s">
        <v>18080</v>
      </c>
      <c r="I10084" s="444">
        <v>13311772626</v>
      </c>
      <c r="J10084" s="348" t="s">
        <v>18081</v>
      </c>
      <c r="M10084" s="334">
        <v>3816</v>
      </c>
      <c r="N10084" s="362">
        <f t="shared" si="353"/>
        <v>3816</v>
      </c>
    </row>
    <row r="10085" ht="15" customHeight="1" spans="2:14">
      <c r="B10085" s="334" t="s">
        <v>169</v>
      </c>
      <c r="C10085" s="334" t="s">
        <v>8075</v>
      </c>
      <c r="D10085" s="334" t="s">
        <v>171</v>
      </c>
      <c r="E10085" s="336">
        <v>43820</v>
      </c>
      <c r="G10085" s="336">
        <v>43760</v>
      </c>
      <c r="H10085" s="334" t="s">
        <v>9278</v>
      </c>
      <c r="I10085" s="334">
        <v>19822767324</v>
      </c>
      <c r="J10085" s="334" t="s">
        <v>14663</v>
      </c>
      <c r="M10085" s="334">
        <v>512</v>
      </c>
      <c r="N10085" s="362">
        <f t="shared" si="353"/>
        <v>512</v>
      </c>
    </row>
    <row r="10086" ht="15" customHeight="1" spans="2:14">
      <c r="B10086" s="334" t="s">
        <v>236</v>
      </c>
      <c r="C10086" s="334" t="s">
        <v>703</v>
      </c>
      <c r="D10086" s="334" t="s">
        <v>207</v>
      </c>
      <c r="E10086" s="336">
        <v>43820</v>
      </c>
      <c r="G10086" s="336">
        <v>43813</v>
      </c>
      <c r="H10086" s="334" t="s">
        <v>12612</v>
      </c>
      <c r="I10086" s="444">
        <v>13816227178</v>
      </c>
      <c r="J10086" s="438" t="s">
        <v>19945</v>
      </c>
      <c r="M10086" s="334">
        <v>1090</v>
      </c>
      <c r="N10086" s="362">
        <f t="shared" si="353"/>
        <v>1090</v>
      </c>
    </row>
    <row r="10087" ht="15" customHeight="1" spans="2:14">
      <c r="B10087" s="334" t="s">
        <v>73</v>
      </c>
      <c r="C10087" s="334" t="s">
        <v>74</v>
      </c>
      <c r="D10087" s="334" t="s">
        <v>139</v>
      </c>
      <c r="E10087" s="336">
        <v>43820</v>
      </c>
      <c r="G10087" s="336">
        <v>43820</v>
      </c>
      <c r="H10087" s="334" t="s">
        <v>766</v>
      </c>
      <c r="I10087" s="334">
        <v>13801812106</v>
      </c>
      <c r="J10087" s="334" t="s">
        <v>20401</v>
      </c>
      <c r="M10087" s="334">
        <v>298</v>
      </c>
      <c r="N10087" s="362">
        <f t="shared" si="353"/>
        <v>298</v>
      </c>
    </row>
    <row r="10088" ht="15" customHeight="1" spans="2:14">
      <c r="B10088" s="334" t="s">
        <v>185</v>
      </c>
      <c r="C10088" s="334" t="s">
        <v>186</v>
      </c>
      <c r="D10088" s="334" t="s">
        <v>187</v>
      </c>
      <c r="E10088" s="336">
        <v>43821</v>
      </c>
      <c r="G10088" s="336">
        <v>43819</v>
      </c>
      <c r="H10088" s="334" t="s">
        <v>13622</v>
      </c>
      <c r="I10088" s="334">
        <v>18801946069</v>
      </c>
      <c r="J10088" s="334" t="s">
        <v>20402</v>
      </c>
      <c r="M10088" s="334">
        <v>3105</v>
      </c>
      <c r="N10088" s="362">
        <f t="shared" si="353"/>
        <v>3105</v>
      </c>
    </row>
    <row r="10089" ht="15" customHeight="1" spans="2:14">
      <c r="B10089" s="334" t="s">
        <v>58</v>
      </c>
      <c r="C10089" s="334" t="s">
        <v>59</v>
      </c>
      <c r="D10089" s="334" t="s">
        <v>110</v>
      </c>
      <c r="E10089" s="336">
        <v>43821</v>
      </c>
      <c r="G10089" s="336">
        <v>43820</v>
      </c>
      <c r="H10089" s="334" t="s">
        <v>13723</v>
      </c>
      <c r="I10089" s="444">
        <v>13764385866</v>
      </c>
      <c r="J10089" s="334" t="s">
        <v>13724</v>
      </c>
      <c r="M10089" s="334">
        <v>16098</v>
      </c>
      <c r="N10089" s="362">
        <f t="shared" si="353"/>
        <v>16098</v>
      </c>
    </row>
    <row r="10090" ht="15" customHeight="1" spans="2:14">
      <c r="B10090" s="334" t="s">
        <v>87</v>
      </c>
      <c r="C10090" s="334" t="s">
        <v>466</v>
      </c>
      <c r="D10090" s="334" t="s">
        <v>89</v>
      </c>
      <c r="E10090" s="336">
        <v>43821</v>
      </c>
      <c r="G10090" s="336">
        <v>43820</v>
      </c>
      <c r="H10090" s="334" t="s">
        <v>11034</v>
      </c>
      <c r="I10090" s="426">
        <v>13901974784</v>
      </c>
      <c r="J10090" s="334" t="s">
        <v>11035</v>
      </c>
      <c r="M10090" s="334">
        <v>17794</v>
      </c>
      <c r="N10090" s="362">
        <f t="shared" si="353"/>
        <v>17794</v>
      </c>
    </row>
    <row r="10091" ht="15" customHeight="1" spans="2:14">
      <c r="B10091" s="334" t="s">
        <v>137</v>
      </c>
      <c r="C10091" s="334" t="s">
        <v>138</v>
      </c>
      <c r="D10091" s="334" t="s">
        <v>2381</v>
      </c>
      <c r="E10091" s="336">
        <v>43821</v>
      </c>
      <c r="G10091" s="336">
        <v>43820</v>
      </c>
      <c r="H10091" s="334" t="s">
        <v>17373</v>
      </c>
      <c r="I10091" s="444">
        <v>13564487708</v>
      </c>
      <c r="J10091" s="438" t="s">
        <v>20403</v>
      </c>
      <c r="M10091" s="334">
        <v>-958</v>
      </c>
      <c r="N10091" s="362">
        <f t="shared" si="353"/>
        <v>-958</v>
      </c>
    </row>
    <row r="10092" ht="15" customHeight="1" spans="2:14">
      <c r="B10092" s="334" t="s">
        <v>31</v>
      </c>
      <c r="C10092" s="334" t="s">
        <v>2716</v>
      </c>
      <c r="D10092" s="334" t="s">
        <v>954</v>
      </c>
      <c r="E10092" s="336">
        <v>43821</v>
      </c>
      <c r="G10092" s="336">
        <v>43821</v>
      </c>
      <c r="H10092" s="334" t="s">
        <v>6852</v>
      </c>
      <c r="I10092" s="444">
        <v>15216732886</v>
      </c>
      <c r="J10092" s="348" t="s">
        <v>17783</v>
      </c>
      <c r="M10092" s="334">
        <v>2087</v>
      </c>
      <c r="N10092" s="362">
        <f t="shared" si="353"/>
        <v>2087</v>
      </c>
    </row>
    <row r="10093" ht="15" customHeight="1" spans="2:14">
      <c r="B10093" s="334" t="s">
        <v>58</v>
      </c>
      <c r="C10093" s="334" t="s">
        <v>342</v>
      </c>
      <c r="D10093" s="334" t="s">
        <v>343</v>
      </c>
      <c r="E10093" s="336">
        <v>43821</v>
      </c>
      <c r="G10093" s="336">
        <v>43813</v>
      </c>
      <c r="H10093" s="334" t="s">
        <v>18542</v>
      </c>
      <c r="I10093" s="444">
        <v>13564313091</v>
      </c>
      <c r="J10093" s="348" t="s">
        <v>18543</v>
      </c>
      <c r="M10093" s="334">
        <v>1355</v>
      </c>
      <c r="N10093" s="362">
        <f t="shared" si="353"/>
        <v>1355</v>
      </c>
    </row>
    <row r="10094" ht="15" customHeight="1" spans="2:14">
      <c r="B10094" s="334" t="s">
        <v>169</v>
      </c>
      <c r="C10094" s="334" t="s">
        <v>634</v>
      </c>
      <c r="D10094" s="334" t="s">
        <v>635</v>
      </c>
      <c r="E10094" s="336">
        <v>43821</v>
      </c>
      <c r="G10094" s="336">
        <v>43820</v>
      </c>
      <c r="H10094" s="334" t="s">
        <v>19610</v>
      </c>
      <c r="I10094" s="444">
        <v>15821071643</v>
      </c>
      <c r="J10094" s="438" t="s">
        <v>19611</v>
      </c>
      <c r="M10094" s="334">
        <v>368</v>
      </c>
      <c r="N10094" s="362">
        <f t="shared" si="353"/>
        <v>368</v>
      </c>
    </row>
    <row r="10095" ht="15" customHeight="1" spans="2:14">
      <c r="B10095" s="334" t="s">
        <v>5435</v>
      </c>
      <c r="C10095" s="334" t="s">
        <v>1728</v>
      </c>
      <c r="D10095" s="334" t="s">
        <v>237</v>
      </c>
      <c r="E10095" s="336">
        <v>43821</v>
      </c>
      <c r="G10095" s="336">
        <v>43821</v>
      </c>
      <c r="H10095" s="334" t="s">
        <v>14829</v>
      </c>
      <c r="I10095" s="444">
        <v>13761794707</v>
      </c>
      <c r="J10095" s="348" t="s">
        <v>14830</v>
      </c>
      <c r="M10095" s="334">
        <v>307</v>
      </c>
      <c r="N10095" s="362">
        <f t="shared" si="353"/>
        <v>307</v>
      </c>
    </row>
    <row r="10096" ht="15" customHeight="1" spans="2:14">
      <c r="B10096" s="334" t="s">
        <v>137</v>
      </c>
      <c r="C10096" s="334" t="s">
        <v>138</v>
      </c>
      <c r="D10096" s="334" t="s">
        <v>139</v>
      </c>
      <c r="E10096" s="336">
        <v>43821</v>
      </c>
      <c r="G10096" s="336">
        <v>43820</v>
      </c>
      <c r="H10096" s="334" t="s">
        <v>18662</v>
      </c>
      <c r="I10096" s="444">
        <v>15601939900</v>
      </c>
      <c r="J10096" s="348" t="s">
        <v>18663</v>
      </c>
      <c r="M10096" s="334">
        <v>-2667</v>
      </c>
      <c r="N10096" s="362">
        <f t="shared" si="353"/>
        <v>-2667</v>
      </c>
    </row>
    <row r="10097" ht="15" customHeight="1" spans="2:14">
      <c r="B10097" s="334" t="s">
        <v>243</v>
      </c>
      <c r="C10097" s="334" t="s">
        <v>304</v>
      </c>
      <c r="D10097" s="334" t="s">
        <v>49</v>
      </c>
      <c r="E10097" s="336">
        <v>43821</v>
      </c>
      <c r="G10097" s="336">
        <v>43819</v>
      </c>
      <c r="H10097" s="334" t="s">
        <v>19471</v>
      </c>
      <c r="I10097" s="444">
        <v>13636531186</v>
      </c>
      <c r="J10097" s="348" t="s">
        <v>19472</v>
      </c>
      <c r="M10097" s="334">
        <v>5200</v>
      </c>
      <c r="N10097" s="362">
        <f t="shared" si="353"/>
        <v>5200</v>
      </c>
    </row>
    <row r="10098" ht="15" customHeight="1" spans="2:14">
      <c r="B10098" s="334" t="s">
        <v>73</v>
      </c>
      <c r="C10098" s="334" t="s">
        <v>74</v>
      </c>
      <c r="D10098" s="334" t="s">
        <v>75</v>
      </c>
      <c r="E10098" s="336">
        <v>43821</v>
      </c>
      <c r="G10098" s="336">
        <v>43821</v>
      </c>
      <c r="H10098" s="334" t="s">
        <v>11476</v>
      </c>
      <c r="I10098" s="334">
        <v>15021345732</v>
      </c>
      <c r="J10098" s="334" t="s">
        <v>20404</v>
      </c>
      <c r="M10098" s="334">
        <v>98</v>
      </c>
      <c r="N10098" s="362">
        <f t="shared" si="353"/>
        <v>98</v>
      </c>
    </row>
    <row r="10099" ht="15" customHeight="1" spans="2:14">
      <c r="B10099" s="334" t="s">
        <v>73</v>
      </c>
      <c r="C10099" s="334" t="s">
        <v>74</v>
      </c>
      <c r="D10099" s="334" t="s">
        <v>132</v>
      </c>
      <c r="E10099" s="336">
        <v>43821</v>
      </c>
      <c r="G10099" s="336">
        <v>43821</v>
      </c>
      <c r="H10099" s="334" t="s">
        <v>2619</v>
      </c>
      <c r="I10099" s="334">
        <v>13361813801</v>
      </c>
      <c r="J10099" s="334" t="s">
        <v>16388</v>
      </c>
      <c r="M10099" s="334">
        <v>1023</v>
      </c>
      <c r="N10099" s="362">
        <f t="shared" si="353"/>
        <v>1023</v>
      </c>
    </row>
    <row r="10100" ht="15" customHeight="1" spans="2:14">
      <c r="B10100" s="334" t="s">
        <v>35</v>
      </c>
      <c r="C10100" s="334" t="s">
        <v>36</v>
      </c>
      <c r="D10100" s="334" t="s">
        <v>37</v>
      </c>
      <c r="E10100" s="336">
        <v>43821</v>
      </c>
      <c r="G10100" s="336">
        <v>43821</v>
      </c>
      <c r="H10100" s="334" t="s">
        <v>13756</v>
      </c>
      <c r="I10100" s="426">
        <v>13564399933</v>
      </c>
      <c r="J10100" s="334" t="s">
        <v>13757</v>
      </c>
      <c r="M10100" s="334">
        <v>409</v>
      </c>
      <c r="N10100" s="362">
        <f t="shared" si="353"/>
        <v>409</v>
      </c>
    </row>
    <row r="10101" ht="15" customHeight="1" spans="2:14">
      <c r="B10101" s="334" t="s">
        <v>31</v>
      </c>
      <c r="C10101" s="334" t="s">
        <v>2716</v>
      </c>
      <c r="D10101" s="334" t="s">
        <v>221</v>
      </c>
      <c r="E10101" s="336">
        <v>43821</v>
      </c>
      <c r="G10101" s="336">
        <v>43821</v>
      </c>
      <c r="H10101" s="334" t="s">
        <v>17402</v>
      </c>
      <c r="I10101" s="444">
        <v>13611859999</v>
      </c>
      <c r="J10101" s="438" t="s">
        <v>20405</v>
      </c>
      <c r="M10101" s="334">
        <v>-1883</v>
      </c>
      <c r="N10101" s="362">
        <f t="shared" si="353"/>
        <v>-1883</v>
      </c>
    </row>
    <row r="10102" ht="15" customHeight="1" spans="2:14">
      <c r="B10102" s="334" t="s">
        <v>147</v>
      </c>
      <c r="C10102" s="334" t="s">
        <v>148</v>
      </c>
      <c r="D10102" s="334" t="s">
        <v>207</v>
      </c>
      <c r="E10102" s="336">
        <v>43821</v>
      </c>
      <c r="G10102" s="336">
        <v>43813</v>
      </c>
      <c r="H10102" s="334" t="s">
        <v>13059</v>
      </c>
      <c r="I10102" s="334">
        <v>15901989203</v>
      </c>
      <c r="J10102" s="334" t="s">
        <v>20406</v>
      </c>
      <c r="M10102" s="334">
        <v>-5500</v>
      </c>
      <c r="N10102" s="362">
        <f t="shared" si="353"/>
        <v>-5500</v>
      </c>
    </row>
    <row r="10103" ht="15" customHeight="1" spans="2:14">
      <c r="B10103" s="334" t="s">
        <v>147</v>
      </c>
      <c r="C10103" s="334" t="s">
        <v>15901</v>
      </c>
      <c r="D10103" s="334" t="s">
        <v>207</v>
      </c>
      <c r="E10103" s="336">
        <v>43821</v>
      </c>
      <c r="G10103" s="336">
        <v>43821</v>
      </c>
      <c r="H10103" s="334" t="s">
        <v>16748</v>
      </c>
      <c r="I10103" s="444">
        <v>13311805998</v>
      </c>
      <c r="J10103" s="438" t="s">
        <v>16749</v>
      </c>
      <c r="M10103" s="334">
        <v>1217</v>
      </c>
      <c r="N10103" s="362">
        <f t="shared" si="353"/>
        <v>1217</v>
      </c>
    </row>
    <row r="10104" ht="15" customHeight="1" spans="1:15">
      <c r="A10104" s="550" t="s">
        <v>8312</v>
      </c>
      <c r="B10104" s="334" t="s">
        <v>185</v>
      </c>
      <c r="C10104" s="348" t="s">
        <v>886</v>
      </c>
      <c r="D10104" s="335" t="s">
        <v>44</v>
      </c>
      <c r="E10104" s="336">
        <v>43822</v>
      </c>
      <c r="F10104" s="336">
        <v>43821</v>
      </c>
      <c r="G10104" s="399"/>
      <c r="H10104" s="334" t="s">
        <v>19332</v>
      </c>
      <c r="I10104" s="444">
        <v>15026784188</v>
      </c>
      <c r="J10104" s="438" t="s">
        <v>20407</v>
      </c>
      <c r="K10104" s="356">
        <v>0</v>
      </c>
      <c r="N10104" s="362">
        <f t="shared" ref="N10104:N10126" si="354">L10104+M10104</f>
        <v>0</v>
      </c>
      <c r="O10104" s="467" t="s">
        <v>52</v>
      </c>
    </row>
    <row r="10105" customHeight="1" spans="1:14">
      <c r="A10105" s="550" t="s">
        <v>20408</v>
      </c>
      <c r="B10105" s="334" t="s">
        <v>236</v>
      </c>
      <c r="C10105" s="348" t="s">
        <v>703</v>
      </c>
      <c r="D10105" s="334" t="s">
        <v>207</v>
      </c>
      <c r="E10105" s="336">
        <v>43827</v>
      </c>
      <c r="F10105" s="336">
        <v>43821</v>
      </c>
      <c r="G10105" s="336">
        <v>43825</v>
      </c>
      <c r="H10105" s="334" t="s">
        <v>20409</v>
      </c>
      <c r="I10105" s="444">
        <v>13661507219</v>
      </c>
      <c r="J10105" s="438" t="s">
        <v>20410</v>
      </c>
      <c r="K10105" s="356">
        <v>12700</v>
      </c>
      <c r="L10105" s="334">
        <v>12700</v>
      </c>
      <c r="N10105" s="362">
        <f t="shared" si="354"/>
        <v>12700</v>
      </c>
    </row>
    <row r="10106" ht="15" customHeight="1" spans="1:19">
      <c r="A10106" s="550" t="s">
        <v>18286</v>
      </c>
      <c r="B10106" s="334" t="s">
        <v>42</v>
      </c>
      <c r="C10106" s="348" t="s">
        <v>43</v>
      </c>
      <c r="D10106" s="335" t="s">
        <v>149</v>
      </c>
      <c r="E10106" s="336">
        <v>43822</v>
      </c>
      <c r="F10106" s="336">
        <v>43821</v>
      </c>
      <c r="G10106" s="399"/>
      <c r="H10106" s="334" t="s">
        <v>9478</v>
      </c>
      <c r="I10106" s="444">
        <v>13764295295</v>
      </c>
      <c r="J10106" s="438" t="s">
        <v>20411</v>
      </c>
      <c r="K10106" s="356">
        <v>1000</v>
      </c>
      <c r="N10106" s="362">
        <f t="shared" si="354"/>
        <v>0</v>
      </c>
      <c r="S10106" s="356" t="s">
        <v>52</v>
      </c>
    </row>
    <row r="10107" ht="15" customHeight="1" spans="1:14">
      <c r="A10107" s="550" t="s">
        <v>9134</v>
      </c>
      <c r="B10107" s="334" t="s">
        <v>58</v>
      </c>
      <c r="C10107" s="348" t="s">
        <v>109</v>
      </c>
      <c r="D10107" s="334" t="s">
        <v>110</v>
      </c>
      <c r="E10107" s="336">
        <v>43822</v>
      </c>
      <c r="F10107" s="336">
        <v>43822</v>
      </c>
      <c r="G10107" s="399">
        <v>43821</v>
      </c>
      <c r="H10107" s="334" t="s">
        <v>20412</v>
      </c>
      <c r="I10107" s="444">
        <v>13816773567</v>
      </c>
      <c r="J10107" s="438" t="s">
        <v>20413</v>
      </c>
      <c r="K10107" s="356">
        <v>19543</v>
      </c>
      <c r="L10107" s="334">
        <v>19543</v>
      </c>
      <c r="N10107" s="362">
        <f t="shared" si="354"/>
        <v>19543</v>
      </c>
    </row>
    <row r="10108" ht="15" customHeight="1" spans="1:15">
      <c r="A10108" s="550" t="s">
        <v>2518</v>
      </c>
      <c r="B10108" s="334" t="s">
        <v>35</v>
      </c>
      <c r="C10108" s="348" t="s">
        <v>36</v>
      </c>
      <c r="D10108" s="335" t="s">
        <v>37</v>
      </c>
      <c r="E10108" s="336">
        <v>43822</v>
      </c>
      <c r="F10108" s="336">
        <v>43821</v>
      </c>
      <c r="G10108" s="399"/>
      <c r="H10108" s="334" t="s">
        <v>20414</v>
      </c>
      <c r="I10108" s="444">
        <v>13564569216</v>
      </c>
      <c r="J10108" s="438" t="s">
        <v>20415</v>
      </c>
      <c r="K10108" s="356">
        <v>1000</v>
      </c>
      <c r="N10108" s="362">
        <f t="shared" si="354"/>
        <v>0</v>
      </c>
      <c r="O10108" s="356" t="s">
        <v>52</v>
      </c>
    </row>
    <row r="10109" ht="15" customHeight="1" spans="1:17">
      <c r="A10109" s="550" t="s">
        <v>14942</v>
      </c>
      <c r="B10109" s="334" t="s">
        <v>66</v>
      </c>
      <c r="C10109" s="348" t="s">
        <v>119</v>
      </c>
      <c r="D10109" s="334" t="s">
        <v>1436</v>
      </c>
      <c r="E10109" s="336">
        <v>43829</v>
      </c>
      <c r="F10109" s="336">
        <v>43817</v>
      </c>
      <c r="G10109" s="336">
        <v>43829</v>
      </c>
      <c r="H10109" s="334" t="s">
        <v>20416</v>
      </c>
      <c r="I10109" s="444">
        <v>15618779553</v>
      </c>
      <c r="J10109" s="438" t="s">
        <v>20417</v>
      </c>
      <c r="K10109" s="356">
        <v>10000</v>
      </c>
      <c r="L10109" s="334">
        <v>10000</v>
      </c>
      <c r="N10109" s="362">
        <f t="shared" si="354"/>
        <v>10000</v>
      </c>
      <c r="Q10109" s="353" t="s">
        <v>21</v>
      </c>
    </row>
    <row r="10110" ht="15" customHeight="1" spans="1:17">
      <c r="A10110" s="550" t="s">
        <v>10239</v>
      </c>
      <c r="B10110" s="334" t="s">
        <v>185</v>
      </c>
      <c r="C10110" s="348" t="s">
        <v>1620</v>
      </c>
      <c r="D10110" s="334" t="s">
        <v>44</v>
      </c>
      <c r="E10110" s="336">
        <v>43830</v>
      </c>
      <c r="F10110" s="336">
        <v>43821</v>
      </c>
      <c r="G10110" s="336">
        <v>43830</v>
      </c>
      <c r="H10110" s="334" t="s">
        <v>20418</v>
      </c>
      <c r="I10110" s="444">
        <v>13816023999</v>
      </c>
      <c r="J10110" s="438" t="s">
        <v>20419</v>
      </c>
      <c r="K10110" s="356">
        <v>1000</v>
      </c>
      <c r="L10110" s="334">
        <v>19508</v>
      </c>
      <c r="N10110" s="362">
        <f t="shared" si="354"/>
        <v>19508</v>
      </c>
      <c r="Q10110" s="467" t="s">
        <v>52</v>
      </c>
    </row>
    <row r="10111" ht="15" customHeight="1" spans="1:15">
      <c r="A10111" s="550" t="s">
        <v>10188</v>
      </c>
      <c r="B10111" s="334" t="s">
        <v>66</v>
      </c>
      <c r="C10111" s="348" t="s">
        <v>1749</v>
      </c>
      <c r="D10111" s="335" t="s">
        <v>68</v>
      </c>
      <c r="E10111" s="336">
        <v>43822</v>
      </c>
      <c r="F10111" s="336">
        <v>43821</v>
      </c>
      <c r="G10111" s="399"/>
      <c r="H10111" s="334" t="s">
        <v>11960</v>
      </c>
      <c r="I10111" s="444">
        <v>15202126280</v>
      </c>
      <c r="J10111" s="438" t="s">
        <v>20420</v>
      </c>
      <c r="K10111" s="356">
        <v>1000</v>
      </c>
      <c r="N10111" s="362">
        <f t="shared" si="354"/>
        <v>0</v>
      </c>
      <c r="O10111" s="353" t="s">
        <v>52</v>
      </c>
    </row>
    <row r="10112" ht="15" customHeight="1" spans="1:18">
      <c r="A10112" s="550" t="s">
        <v>20421</v>
      </c>
      <c r="B10112" s="334" t="s">
        <v>315</v>
      </c>
      <c r="C10112" s="348" t="s">
        <v>14638</v>
      </c>
      <c r="D10112" s="335" t="s">
        <v>162</v>
      </c>
      <c r="E10112" s="336">
        <v>43822</v>
      </c>
      <c r="F10112" s="336">
        <v>43821</v>
      </c>
      <c r="G10112" s="399"/>
      <c r="H10112" s="334" t="s">
        <v>20422</v>
      </c>
      <c r="I10112" s="444">
        <v>13764002779</v>
      </c>
      <c r="J10112" s="438" t="s">
        <v>20423</v>
      </c>
      <c r="K10112" s="356">
        <v>1000</v>
      </c>
      <c r="N10112" s="362">
        <f t="shared" si="354"/>
        <v>0</v>
      </c>
      <c r="R10112" s="330">
        <v>1</v>
      </c>
    </row>
    <row r="10113" ht="15" customHeight="1" spans="1:17">
      <c r="A10113" s="550" t="s">
        <v>1159</v>
      </c>
      <c r="B10113" s="334" t="s">
        <v>66</v>
      </c>
      <c r="C10113" s="348" t="s">
        <v>15301</v>
      </c>
      <c r="D10113" s="334" t="s">
        <v>2302</v>
      </c>
      <c r="E10113" s="336">
        <v>43829</v>
      </c>
      <c r="F10113" s="336">
        <v>43821</v>
      </c>
      <c r="G10113" s="336">
        <v>43829</v>
      </c>
      <c r="H10113" s="334" t="s">
        <v>20424</v>
      </c>
      <c r="I10113" s="444">
        <v>13501828752</v>
      </c>
      <c r="J10113" s="438" t="s">
        <v>20425</v>
      </c>
      <c r="K10113" s="356">
        <v>10000</v>
      </c>
      <c r="L10113" s="334">
        <v>10000</v>
      </c>
      <c r="N10113" s="362">
        <f t="shared" si="354"/>
        <v>10000</v>
      </c>
      <c r="Q10113" s="467" t="s">
        <v>52</v>
      </c>
    </row>
    <row r="10114" ht="15" customHeight="1" spans="1:17">
      <c r="A10114" s="550" t="s">
        <v>1092</v>
      </c>
      <c r="B10114" s="334" t="s">
        <v>66</v>
      </c>
      <c r="C10114" s="348" t="s">
        <v>15301</v>
      </c>
      <c r="D10114" s="335" t="s">
        <v>1436</v>
      </c>
      <c r="E10114" s="336">
        <v>43822</v>
      </c>
      <c r="F10114" s="336">
        <v>43821</v>
      </c>
      <c r="G10114" s="399"/>
      <c r="H10114" s="334" t="s">
        <v>20426</v>
      </c>
      <c r="I10114" s="444">
        <v>18930356223</v>
      </c>
      <c r="J10114" s="438" t="s">
        <v>20427</v>
      </c>
      <c r="K10114" s="356">
        <v>1000</v>
      </c>
      <c r="N10114" s="362">
        <f t="shared" si="354"/>
        <v>0</v>
      </c>
      <c r="Q10114" s="467" t="s">
        <v>52</v>
      </c>
    </row>
    <row r="10115" ht="15" customHeight="1" spans="1:14">
      <c r="A10115" s="348"/>
      <c r="B10115" s="334" t="s">
        <v>66</v>
      </c>
      <c r="C10115" s="334" t="s">
        <v>20428</v>
      </c>
      <c r="D10115" s="335" t="s">
        <v>1436</v>
      </c>
      <c r="E10115" s="336">
        <v>43830</v>
      </c>
      <c r="F10115" s="336">
        <v>43821</v>
      </c>
      <c r="G10115" s="336">
        <v>43830</v>
      </c>
      <c r="H10115" s="334" t="s">
        <v>1615</v>
      </c>
      <c r="I10115" s="444">
        <v>18101865352</v>
      </c>
      <c r="J10115" s="438" t="s">
        <v>20429</v>
      </c>
      <c r="K10115" s="356">
        <v>10000</v>
      </c>
      <c r="L10115" s="334">
        <v>19669</v>
      </c>
      <c r="N10115" s="362">
        <f t="shared" si="354"/>
        <v>19669</v>
      </c>
    </row>
    <row r="10116" ht="15" customHeight="1" spans="1:14">
      <c r="A10116" s="550" t="s">
        <v>20430</v>
      </c>
      <c r="B10116" s="334" t="s">
        <v>66</v>
      </c>
      <c r="C10116" s="348" t="s">
        <v>505</v>
      </c>
      <c r="D10116" s="334" t="s">
        <v>2302</v>
      </c>
      <c r="E10116" s="336">
        <v>43823</v>
      </c>
      <c r="F10116" s="336">
        <v>43821</v>
      </c>
      <c r="G10116" s="336">
        <v>43822</v>
      </c>
      <c r="H10116" s="334" t="s">
        <v>20431</v>
      </c>
      <c r="I10116" s="444">
        <v>13801848766</v>
      </c>
      <c r="J10116" s="438" t="s">
        <v>20432</v>
      </c>
      <c r="K10116" s="356">
        <v>10000</v>
      </c>
      <c r="L10116" s="334">
        <v>10748</v>
      </c>
      <c r="N10116" s="362">
        <f t="shared" si="354"/>
        <v>10748</v>
      </c>
    </row>
    <row r="10117" ht="15" customHeight="1" spans="1:23">
      <c r="A10117" s="550" t="s">
        <v>10336</v>
      </c>
      <c r="B10117" s="334" t="s">
        <v>58</v>
      </c>
      <c r="C10117" s="348" t="s">
        <v>342</v>
      </c>
      <c r="D10117" s="335" t="s">
        <v>271</v>
      </c>
      <c r="E10117" s="336">
        <v>43822</v>
      </c>
      <c r="F10117" s="336">
        <v>43821</v>
      </c>
      <c r="G10117" s="399"/>
      <c r="H10117" s="334" t="s">
        <v>20433</v>
      </c>
      <c r="I10117" s="444">
        <v>1380187716</v>
      </c>
      <c r="J10117" s="438" t="s">
        <v>20434</v>
      </c>
      <c r="K10117" s="356">
        <v>1000</v>
      </c>
      <c r="N10117" s="362">
        <f t="shared" si="354"/>
        <v>0</v>
      </c>
      <c r="O10117" s="467" t="s">
        <v>52</v>
      </c>
      <c r="W10117" s="471"/>
    </row>
    <row r="10118" ht="15" customHeight="1" spans="1:23">
      <c r="A10118" s="550" t="s">
        <v>8755</v>
      </c>
      <c r="B10118" s="334" t="s">
        <v>58</v>
      </c>
      <c r="C10118" s="348" t="s">
        <v>59</v>
      </c>
      <c r="D10118" s="334" t="s">
        <v>110</v>
      </c>
      <c r="E10118" s="336">
        <v>43829</v>
      </c>
      <c r="F10118" s="336">
        <v>43821</v>
      </c>
      <c r="G10118" s="336">
        <v>43827</v>
      </c>
      <c r="H10118" s="334" t="s">
        <v>20435</v>
      </c>
      <c r="I10118" s="444">
        <v>18217123711</v>
      </c>
      <c r="J10118" s="438" t="s">
        <v>20436</v>
      </c>
      <c r="K10118" s="356">
        <v>10000</v>
      </c>
      <c r="L10118" s="334">
        <v>15534</v>
      </c>
      <c r="N10118" s="362">
        <f t="shared" si="354"/>
        <v>15534</v>
      </c>
      <c r="V10118" s="471"/>
      <c r="W10118" s="471">
        <v>43829</v>
      </c>
    </row>
    <row r="10119" ht="15" customHeight="1" spans="1:14">
      <c r="A10119" s="550" t="s">
        <v>20437</v>
      </c>
      <c r="B10119" s="334" t="s">
        <v>31</v>
      </c>
      <c r="C10119" s="348" t="s">
        <v>13171</v>
      </c>
      <c r="D10119" s="335" t="s">
        <v>221</v>
      </c>
      <c r="E10119" s="336">
        <v>43822</v>
      </c>
      <c r="F10119" s="336">
        <v>43822</v>
      </c>
      <c r="G10119" s="399"/>
      <c r="H10119" s="334" t="s">
        <v>20438</v>
      </c>
      <c r="I10119" s="444">
        <v>18016209444</v>
      </c>
      <c r="J10119" s="438" t="s">
        <v>20439</v>
      </c>
      <c r="K10119" s="356">
        <v>99</v>
      </c>
      <c r="N10119" s="362">
        <f t="shared" si="354"/>
        <v>0</v>
      </c>
    </row>
    <row r="10120" ht="15" customHeight="1" spans="1:14">
      <c r="A10120" s="550" t="s">
        <v>15988</v>
      </c>
      <c r="B10120" s="334" t="s">
        <v>315</v>
      </c>
      <c r="C10120" s="348" t="s">
        <v>20440</v>
      </c>
      <c r="D10120" s="334" t="s">
        <v>162</v>
      </c>
      <c r="E10120" s="336">
        <v>43822</v>
      </c>
      <c r="F10120" s="336">
        <v>43816</v>
      </c>
      <c r="G10120" s="399">
        <v>43817</v>
      </c>
      <c r="H10120" s="334" t="s">
        <v>15024</v>
      </c>
      <c r="I10120" s="444">
        <v>18017319346</v>
      </c>
      <c r="J10120" s="438" t="s">
        <v>19048</v>
      </c>
      <c r="K10120" s="356">
        <v>0</v>
      </c>
      <c r="L10120" s="334">
        <v>33439</v>
      </c>
      <c r="N10120" s="362">
        <f t="shared" si="354"/>
        <v>33439</v>
      </c>
    </row>
    <row r="10121" ht="15" customHeight="1" spans="1:17">
      <c r="A10121" s="550" t="s">
        <v>5011</v>
      </c>
      <c r="B10121" s="334" t="s">
        <v>726</v>
      </c>
      <c r="C10121" s="348" t="s">
        <v>727</v>
      </c>
      <c r="D10121" s="335" t="s">
        <v>44</v>
      </c>
      <c r="E10121" s="336">
        <v>43822</v>
      </c>
      <c r="F10121" s="336">
        <v>43821</v>
      </c>
      <c r="G10121" s="399"/>
      <c r="H10121" s="334" t="s">
        <v>3070</v>
      </c>
      <c r="I10121" s="444">
        <v>13301880327</v>
      </c>
      <c r="J10121" s="438" t="s">
        <v>20441</v>
      </c>
      <c r="K10121" s="356">
        <v>1000</v>
      </c>
      <c r="N10121" s="362">
        <f t="shared" si="354"/>
        <v>0</v>
      </c>
      <c r="Q10121" s="353" t="s">
        <v>21</v>
      </c>
    </row>
    <row r="10122" ht="15" customHeight="1" spans="1:14">
      <c r="A10122" s="550" t="s">
        <v>6026</v>
      </c>
      <c r="B10122" s="334" t="s">
        <v>5435</v>
      </c>
      <c r="C10122" s="348" t="s">
        <v>1728</v>
      </c>
      <c r="D10122" s="334" t="s">
        <v>149</v>
      </c>
      <c r="E10122" s="336">
        <v>43826</v>
      </c>
      <c r="F10122" s="336">
        <v>43821</v>
      </c>
      <c r="G10122" s="336">
        <v>43824</v>
      </c>
      <c r="H10122" s="334" t="s">
        <v>20442</v>
      </c>
      <c r="I10122" s="444">
        <v>13585788078</v>
      </c>
      <c r="J10122" s="438" t="s">
        <v>20443</v>
      </c>
      <c r="K10122" s="356">
        <v>500</v>
      </c>
      <c r="L10122" s="334">
        <v>4060</v>
      </c>
      <c r="N10122" s="362">
        <f t="shared" si="354"/>
        <v>4060</v>
      </c>
    </row>
    <row r="10123" ht="15" customHeight="1" spans="1:14">
      <c r="A10123" s="550" t="s">
        <v>1006</v>
      </c>
      <c r="B10123" s="334" t="s">
        <v>5435</v>
      </c>
      <c r="C10123" s="348" t="s">
        <v>1728</v>
      </c>
      <c r="D10123" s="334" t="s">
        <v>33</v>
      </c>
      <c r="E10123" s="336">
        <v>43830</v>
      </c>
      <c r="F10123" s="336">
        <v>43821</v>
      </c>
      <c r="G10123" s="336">
        <v>43830</v>
      </c>
      <c r="H10123" s="334" t="s">
        <v>20444</v>
      </c>
      <c r="I10123" s="444">
        <v>13817418191</v>
      </c>
      <c r="J10123" s="438" t="s">
        <v>20445</v>
      </c>
      <c r="K10123" s="356">
        <v>1000</v>
      </c>
      <c r="L10123" s="334">
        <v>13238</v>
      </c>
      <c r="N10123" s="362">
        <f t="shared" si="354"/>
        <v>13238</v>
      </c>
    </row>
    <row r="10124" ht="15" customHeight="1" spans="1:14">
      <c r="A10124" s="550" t="s">
        <v>8333</v>
      </c>
      <c r="B10124" s="334" t="s">
        <v>31</v>
      </c>
      <c r="C10124" s="348" t="s">
        <v>3186</v>
      </c>
      <c r="D10124" s="334" t="s">
        <v>954</v>
      </c>
      <c r="E10124" s="336">
        <v>43822</v>
      </c>
      <c r="F10124" s="336">
        <v>43765</v>
      </c>
      <c r="G10124" s="399">
        <v>43820</v>
      </c>
      <c r="H10124" s="334" t="s">
        <v>20446</v>
      </c>
      <c r="I10124" s="444">
        <v>13818107123</v>
      </c>
      <c r="J10124" s="348" t="s">
        <v>20447</v>
      </c>
      <c r="K10124" s="356">
        <v>1000</v>
      </c>
      <c r="L10124" s="334">
        <v>2650</v>
      </c>
      <c r="N10124" s="362">
        <f t="shared" si="354"/>
        <v>2650</v>
      </c>
    </row>
    <row r="10125" ht="15" customHeight="1" spans="1:23">
      <c r="A10125" s="550" t="s">
        <v>7354</v>
      </c>
      <c r="B10125" s="334" t="s">
        <v>94</v>
      </c>
      <c r="C10125" s="348" t="s">
        <v>3196</v>
      </c>
      <c r="D10125" s="335" t="s">
        <v>49</v>
      </c>
      <c r="E10125" s="336">
        <v>43822</v>
      </c>
      <c r="F10125" s="336">
        <v>43822</v>
      </c>
      <c r="G10125" s="399"/>
      <c r="H10125" s="334" t="s">
        <v>20448</v>
      </c>
      <c r="I10125" s="444">
        <v>15001977495</v>
      </c>
      <c r="J10125" s="438" t="s">
        <v>20449</v>
      </c>
      <c r="K10125" s="356">
        <v>1000</v>
      </c>
      <c r="N10125" s="362">
        <f t="shared" si="354"/>
        <v>0</v>
      </c>
      <c r="W10125" s="353">
        <v>12.27</v>
      </c>
    </row>
    <row r="10126" ht="15" customHeight="1" spans="1:14">
      <c r="A10126" s="550" t="s">
        <v>2330</v>
      </c>
      <c r="B10126" s="334" t="s">
        <v>153</v>
      </c>
      <c r="C10126" s="348" t="s">
        <v>154</v>
      </c>
      <c r="D10126" s="334" t="s">
        <v>155</v>
      </c>
      <c r="E10126" s="336">
        <v>43822</v>
      </c>
      <c r="F10126" s="336">
        <v>43822</v>
      </c>
      <c r="G10126" s="399">
        <v>43822</v>
      </c>
      <c r="H10126" s="334" t="s">
        <v>7413</v>
      </c>
      <c r="I10126" s="444">
        <v>15901568726</v>
      </c>
      <c r="J10126" s="348" t="s">
        <v>20450</v>
      </c>
      <c r="K10126" s="356">
        <v>20000</v>
      </c>
      <c r="L10126" s="334">
        <v>17440</v>
      </c>
      <c r="N10126" s="362">
        <f t="shared" si="354"/>
        <v>17440</v>
      </c>
    </row>
    <row r="10127" ht="15" customHeight="1" spans="2:14">
      <c r="B10127" s="334" t="s">
        <v>5336</v>
      </c>
      <c r="C10127" s="334" t="s">
        <v>5336</v>
      </c>
      <c r="D10127" s="334" t="s">
        <v>8334</v>
      </c>
      <c r="E10127" s="336">
        <v>43822</v>
      </c>
      <c r="G10127" s="336">
        <v>43822</v>
      </c>
      <c r="H10127" s="334" t="s">
        <v>20451</v>
      </c>
      <c r="I10127" s="444">
        <v>18817517790</v>
      </c>
      <c r="J10127" s="348" t="s">
        <v>20452</v>
      </c>
      <c r="L10127" s="334">
        <v>4120</v>
      </c>
      <c r="N10127" s="362">
        <f t="shared" ref="N10127:N10138" si="355">L10127+M10127</f>
        <v>4120</v>
      </c>
    </row>
    <row r="10128" ht="15" customHeight="1" spans="2:14">
      <c r="B10128" s="334" t="s">
        <v>185</v>
      </c>
      <c r="C10128" s="334" t="s">
        <v>886</v>
      </c>
      <c r="D10128" s="334" t="s">
        <v>187</v>
      </c>
      <c r="E10128" s="336">
        <v>43822</v>
      </c>
      <c r="G10128" s="336">
        <v>43821</v>
      </c>
      <c r="H10128" s="334" t="s">
        <v>20453</v>
      </c>
      <c r="I10128" s="444">
        <v>18916171902</v>
      </c>
      <c r="J10128" s="348" t="s">
        <v>20454</v>
      </c>
      <c r="L10128" s="334">
        <v>27446</v>
      </c>
      <c r="N10128" s="362">
        <f t="shared" si="355"/>
        <v>27446</v>
      </c>
    </row>
    <row r="10129" ht="15" customHeight="1" spans="2:14">
      <c r="B10129" s="334" t="s">
        <v>281</v>
      </c>
      <c r="C10129" s="334" t="s">
        <v>491</v>
      </c>
      <c r="D10129" s="334" t="s">
        <v>518</v>
      </c>
      <c r="E10129" s="336">
        <v>43822</v>
      </c>
      <c r="G10129" s="336">
        <v>43822</v>
      </c>
      <c r="H10129" s="334" t="s">
        <v>20455</v>
      </c>
      <c r="I10129" s="444">
        <v>15821283712</v>
      </c>
      <c r="J10129" s="348" t="s">
        <v>20456</v>
      </c>
      <c r="L10129" s="334">
        <v>8931</v>
      </c>
      <c r="N10129" s="362">
        <f t="shared" si="355"/>
        <v>8931</v>
      </c>
    </row>
    <row r="10130" ht="15" customHeight="1" spans="2:14">
      <c r="B10130" s="334" t="s">
        <v>726</v>
      </c>
      <c r="C10130" s="334" t="s">
        <v>727</v>
      </c>
      <c r="D10130" s="334" t="s">
        <v>271</v>
      </c>
      <c r="E10130" s="336">
        <v>43822</v>
      </c>
      <c r="G10130" s="336">
        <v>43821</v>
      </c>
      <c r="H10130" s="334" t="s">
        <v>13357</v>
      </c>
      <c r="I10130" s="426">
        <v>13651966201</v>
      </c>
      <c r="J10130" s="334" t="s">
        <v>13358</v>
      </c>
      <c r="M10130" s="334">
        <v>207</v>
      </c>
      <c r="N10130" s="362">
        <f t="shared" si="355"/>
        <v>207</v>
      </c>
    </row>
    <row r="10131" ht="15" customHeight="1" spans="2:14">
      <c r="B10131" s="334" t="s">
        <v>58</v>
      </c>
      <c r="C10131" s="334" t="s">
        <v>347</v>
      </c>
      <c r="D10131" s="334" t="s">
        <v>343</v>
      </c>
      <c r="E10131" s="336">
        <v>43822</v>
      </c>
      <c r="G10131" s="336">
        <v>43821</v>
      </c>
      <c r="H10131" s="334" t="s">
        <v>20457</v>
      </c>
      <c r="I10131" s="444">
        <v>18516005107</v>
      </c>
      <c r="J10131" s="438" t="s">
        <v>20458</v>
      </c>
      <c r="M10131" s="334">
        <v>23900</v>
      </c>
      <c r="N10131" s="362">
        <f t="shared" si="355"/>
        <v>23900</v>
      </c>
    </row>
    <row r="10132" ht="15" customHeight="1" spans="2:14">
      <c r="B10132" s="334" t="s">
        <v>66</v>
      </c>
      <c r="C10132" s="334" t="s">
        <v>1749</v>
      </c>
      <c r="D10132" s="334" t="s">
        <v>68</v>
      </c>
      <c r="E10132" s="336">
        <v>43822</v>
      </c>
      <c r="G10132" s="336">
        <v>43821</v>
      </c>
      <c r="H10132" s="334" t="s">
        <v>13834</v>
      </c>
      <c r="I10132" s="334">
        <v>13564059608</v>
      </c>
      <c r="J10132" s="334" t="s">
        <v>13835</v>
      </c>
      <c r="M10132" s="334">
        <v>1571</v>
      </c>
      <c r="N10132" s="362">
        <f t="shared" si="355"/>
        <v>1571</v>
      </c>
    </row>
    <row r="10133" ht="15" customHeight="1" spans="2:14">
      <c r="B10133" s="334" t="s">
        <v>66</v>
      </c>
      <c r="C10133" s="334" t="s">
        <v>119</v>
      </c>
      <c r="D10133" s="334" t="s">
        <v>68</v>
      </c>
      <c r="E10133" s="336">
        <v>43822</v>
      </c>
      <c r="G10133" s="336">
        <v>43822</v>
      </c>
      <c r="H10133" s="334" t="s">
        <v>2634</v>
      </c>
      <c r="I10133" s="444">
        <v>13816052229</v>
      </c>
      <c r="J10133" s="348" t="s">
        <v>20459</v>
      </c>
      <c r="M10133" s="334">
        <v>3414</v>
      </c>
      <c r="N10133" s="362">
        <f t="shared" si="355"/>
        <v>3414</v>
      </c>
    </row>
    <row r="10134" ht="15" customHeight="1" spans="2:14">
      <c r="B10134" s="334" t="s">
        <v>66</v>
      </c>
      <c r="C10134" s="334" t="s">
        <v>505</v>
      </c>
      <c r="D10134" s="334" t="s">
        <v>2302</v>
      </c>
      <c r="E10134" s="336">
        <v>43822</v>
      </c>
      <c r="G10134" s="336">
        <v>43822</v>
      </c>
      <c r="H10134" s="334" t="s">
        <v>12950</v>
      </c>
      <c r="I10134" s="426">
        <v>18616717788</v>
      </c>
      <c r="J10134" s="426" t="s">
        <v>12951</v>
      </c>
      <c r="M10134" s="334">
        <v>480</v>
      </c>
      <c r="N10134" s="362">
        <f t="shared" si="355"/>
        <v>480</v>
      </c>
    </row>
    <row r="10135" ht="15" customHeight="1" spans="2:14">
      <c r="B10135" s="334" t="s">
        <v>73</v>
      </c>
      <c r="C10135" s="334" t="s">
        <v>178</v>
      </c>
      <c r="D10135" s="334" t="s">
        <v>44</v>
      </c>
      <c r="E10135" s="336">
        <v>43822</v>
      </c>
      <c r="G10135" s="336">
        <v>43822</v>
      </c>
      <c r="H10135" s="334" t="s">
        <v>13411</v>
      </c>
      <c r="I10135" s="334">
        <v>13818020418</v>
      </c>
      <c r="J10135" s="348" t="s">
        <v>20460</v>
      </c>
      <c r="M10135" s="334">
        <v>990</v>
      </c>
      <c r="N10135" s="362">
        <f t="shared" si="355"/>
        <v>990</v>
      </c>
    </row>
    <row r="10136" ht="15" customHeight="1" spans="2:14">
      <c r="B10136" s="334" t="s">
        <v>169</v>
      </c>
      <c r="C10136" s="348" t="s">
        <v>634</v>
      </c>
      <c r="D10136" s="334" t="s">
        <v>635</v>
      </c>
      <c r="E10136" s="336">
        <v>43822</v>
      </c>
      <c r="G10136" s="336">
        <v>43822</v>
      </c>
      <c r="H10136" s="334" t="s">
        <v>19440</v>
      </c>
      <c r="I10136" s="444">
        <v>18049988809</v>
      </c>
      <c r="J10136" s="438" t="s">
        <v>20155</v>
      </c>
      <c r="M10136" s="334">
        <v>-640</v>
      </c>
      <c r="N10136" s="362">
        <f t="shared" si="355"/>
        <v>-640</v>
      </c>
    </row>
    <row r="10137" ht="15" customHeight="1" spans="2:14">
      <c r="B10137" s="334" t="s">
        <v>73</v>
      </c>
      <c r="C10137" s="334" t="s">
        <v>178</v>
      </c>
      <c r="D10137" s="334" t="s">
        <v>427</v>
      </c>
      <c r="E10137" s="336">
        <v>43822</v>
      </c>
      <c r="G10137" s="336">
        <v>43821</v>
      </c>
      <c r="H10137" s="334" t="s">
        <v>16034</v>
      </c>
      <c r="I10137" s="444">
        <v>15601720622</v>
      </c>
      <c r="J10137" s="438" t="s">
        <v>16035</v>
      </c>
      <c r="M10137" s="334">
        <v>-1194</v>
      </c>
      <c r="N10137" s="362">
        <f t="shared" si="355"/>
        <v>-1194</v>
      </c>
    </row>
    <row r="10138" ht="15" customHeight="1" spans="2:14">
      <c r="B10138" s="334" t="s">
        <v>66</v>
      </c>
      <c r="C10138" s="334" t="s">
        <v>1749</v>
      </c>
      <c r="D10138" s="334" t="s">
        <v>1436</v>
      </c>
      <c r="E10138" s="336">
        <v>43822</v>
      </c>
      <c r="G10138" s="336">
        <v>43817</v>
      </c>
      <c r="H10138" s="334" t="s">
        <v>20145</v>
      </c>
      <c r="I10138" s="444">
        <v>15618001726</v>
      </c>
      <c r="J10138" s="438" t="s">
        <v>20146</v>
      </c>
      <c r="M10138" s="334">
        <v>838</v>
      </c>
      <c r="N10138" s="362">
        <f t="shared" si="355"/>
        <v>838</v>
      </c>
    </row>
    <row r="10139" ht="15" customHeight="1" spans="1:14">
      <c r="A10139" s="550" t="s">
        <v>20461</v>
      </c>
      <c r="B10139" s="334" t="s">
        <v>236</v>
      </c>
      <c r="C10139" s="348" t="s">
        <v>703</v>
      </c>
      <c r="D10139" s="334" t="s">
        <v>207</v>
      </c>
      <c r="E10139" s="336">
        <v>43823</v>
      </c>
      <c r="F10139" s="336">
        <v>43814</v>
      </c>
      <c r="G10139" s="336">
        <v>43821</v>
      </c>
      <c r="H10139" s="334" t="s">
        <v>20462</v>
      </c>
      <c r="I10139" s="444">
        <v>15921832667</v>
      </c>
      <c r="J10139" s="438" t="s">
        <v>20463</v>
      </c>
      <c r="K10139" s="356">
        <v>1000</v>
      </c>
      <c r="L10139" s="334">
        <v>4139</v>
      </c>
      <c r="N10139" s="362">
        <f t="shared" ref="N10139:N10145" si="356">L10139+M10139</f>
        <v>4139</v>
      </c>
    </row>
    <row r="10140" ht="15" customHeight="1" spans="1:17">
      <c r="A10140" s="550" t="s">
        <v>20464</v>
      </c>
      <c r="B10140" s="334" t="s">
        <v>35</v>
      </c>
      <c r="C10140" s="348" t="s">
        <v>36</v>
      </c>
      <c r="D10140" s="335" t="s">
        <v>37</v>
      </c>
      <c r="E10140" s="336">
        <v>43823</v>
      </c>
      <c r="F10140" s="336">
        <v>43822</v>
      </c>
      <c r="G10140" s="399"/>
      <c r="H10140" s="334" t="s">
        <v>20465</v>
      </c>
      <c r="I10140" s="444">
        <v>15021906937</v>
      </c>
      <c r="J10140" s="438" t="s">
        <v>20466</v>
      </c>
      <c r="K10140" s="356">
        <v>1000</v>
      </c>
      <c r="N10140" s="362">
        <f t="shared" si="356"/>
        <v>0</v>
      </c>
      <c r="Q10140" s="356" t="s">
        <v>52</v>
      </c>
    </row>
    <row r="10141" ht="15" customHeight="1" spans="1:14">
      <c r="A10141" s="550" t="s">
        <v>1940</v>
      </c>
      <c r="B10141" s="334" t="s">
        <v>31</v>
      </c>
      <c r="C10141" s="348" t="s">
        <v>13171</v>
      </c>
      <c r="D10141" s="335" t="s">
        <v>221</v>
      </c>
      <c r="E10141" s="336">
        <v>43823</v>
      </c>
      <c r="F10141" s="336">
        <v>43822</v>
      </c>
      <c r="G10141" s="399"/>
      <c r="H10141" s="334" t="s">
        <v>20467</v>
      </c>
      <c r="I10141" s="444">
        <v>13844249766</v>
      </c>
      <c r="J10141" s="438" t="s">
        <v>20468</v>
      </c>
      <c r="K10141" s="356">
        <v>5000</v>
      </c>
      <c r="N10141" s="362">
        <f t="shared" si="356"/>
        <v>0</v>
      </c>
    </row>
    <row r="10142" ht="15" customHeight="1" spans="1:14">
      <c r="A10142" s="550" t="s">
        <v>9152</v>
      </c>
      <c r="B10142" s="334" t="s">
        <v>137</v>
      </c>
      <c r="C10142" s="348" t="s">
        <v>2705</v>
      </c>
      <c r="D10142" s="334" t="s">
        <v>2381</v>
      </c>
      <c r="E10142" s="336">
        <v>43824</v>
      </c>
      <c r="F10142" s="336">
        <v>43823</v>
      </c>
      <c r="G10142" s="336">
        <v>43821</v>
      </c>
      <c r="H10142" s="334" t="s">
        <v>20469</v>
      </c>
      <c r="I10142" s="444">
        <v>18019026865</v>
      </c>
      <c r="J10142" s="438" t="s">
        <v>20470</v>
      </c>
      <c r="K10142" s="356">
        <v>5722</v>
      </c>
      <c r="L10142" s="334">
        <v>5722</v>
      </c>
      <c r="N10142" s="362">
        <f t="shared" si="356"/>
        <v>5722</v>
      </c>
    </row>
    <row r="10143" ht="15" customHeight="1" spans="1:17">
      <c r="A10143" s="550" t="s">
        <v>11013</v>
      </c>
      <c r="B10143" s="334" t="s">
        <v>73</v>
      </c>
      <c r="C10143" s="348" t="s">
        <v>74</v>
      </c>
      <c r="D10143" s="335" t="s">
        <v>75</v>
      </c>
      <c r="E10143" s="336">
        <v>43830</v>
      </c>
      <c r="F10143" s="336">
        <v>43823</v>
      </c>
      <c r="G10143" s="336">
        <v>43830</v>
      </c>
      <c r="H10143" s="334" t="s">
        <v>20471</v>
      </c>
      <c r="I10143" s="444">
        <v>1893017047</v>
      </c>
      <c r="J10143" s="438" t="s">
        <v>20472</v>
      </c>
      <c r="K10143" s="356">
        <v>1000</v>
      </c>
      <c r="L10143" s="334">
        <v>20502</v>
      </c>
      <c r="N10143" s="362">
        <f t="shared" si="356"/>
        <v>20502</v>
      </c>
      <c r="O10143" s="331"/>
      <c r="Q10143" s="405" t="s">
        <v>52</v>
      </c>
    </row>
    <row r="10144" ht="15" customHeight="1" spans="1:22">
      <c r="A10144" s="550" t="s">
        <v>20473</v>
      </c>
      <c r="B10144" s="334" t="s">
        <v>58</v>
      </c>
      <c r="C10144" s="348" t="s">
        <v>794</v>
      </c>
      <c r="D10144" s="335" t="s">
        <v>110</v>
      </c>
      <c r="E10144" s="336">
        <v>43823</v>
      </c>
      <c r="F10144" s="336">
        <v>43822</v>
      </c>
      <c r="G10144" s="399"/>
      <c r="H10144" s="334" t="s">
        <v>20474</v>
      </c>
      <c r="I10144" s="444">
        <v>13701828314</v>
      </c>
      <c r="J10144" s="438" t="s">
        <v>20475</v>
      </c>
      <c r="K10144" s="356">
        <v>2734</v>
      </c>
      <c r="N10144" s="362">
        <f t="shared" si="356"/>
        <v>0</v>
      </c>
      <c r="T10144" s="330">
        <v>1</v>
      </c>
      <c r="U10144" s="489">
        <v>43827</v>
      </c>
      <c r="V10144" s="471">
        <v>43829</v>
      </c>
    </row>
    <row r="10145" ht="15" customHeight="1" spans="1:17">
      <c r="A10145" s="550" t="s">
        <v>4600</v>
      </c>
      <c r="B10145" s="334" t="s">
        <v>73</v>
      </c>
      <c r="C10145" s="348" t="s">
        <v>178</v>
      </c>
      <c r="D10145" s="335" t="s">
        <v>75</v>
      </c>
      <c r="E10145" s="336">
        <v>43824</v>
      </c>
      <c r="F10145" s="336">
        <v>43824</v>
      </c>
      <c r="G10145" s="399"/>
      <c r="H10145" s="334" t="s">
        <v>12550</v>
      </c>
      <c r="I10145" s="444">
        <v>13661816940</v>
      </c>
      <c r="J10145" s="438" t="s">
        <v>20476</v>
      </c>
      <c r="K10145" s="356">
        <v>1000</v>
      </c>
      <c r="N10145" s="362">
        <f t="shared" si="356"/>
        <v>0</v>
      </c>
      <c r="O10145" s="405" t="s">
        <v>52</v>
      </c>
      <c r="Q10145" s="331"/>
    </row>
    <row r="10146" ht="15" customHeight="1" spans="2:14">
      <c r="B10146" s="334" t="s">
        <v>236</v>
      </c>
      <c r="C10146" s="334" t="s">
        <v>703</v>
      </c>
      <c r="D10146" s="334" t="s">
        <v>207</v>
      </c>
      <c r="E10146" s="336">
        <v>43823</v>
      </c>
      <c r="G10146" s="336">
        <v>43817</v>
      </c>
      <c r="H10146" s="334" t="s">
        <v>16054</v>
      </c>
      <c r="I10146" s="444">
        <v>13816761898</v>
      </c>
      <c r="J10146" s="348" t="s">
        <v>16055</v>
      </c>
      <c r="M10146" s="334">
        <v>1072</v>
      </c>
      <c r="N10146" s="362">
        <f t="shared" ref="N10146:N10152" si="357">L10146+M10146</f>
        <v>1072</v>
      </c>
    </row>
    <row r="10147" ht="15" customHeight="1" spans="2:14">
      <c r="B10147" s="334" t="s">
        <v>66</v>
      </c>
      <c r="C10147" s="334" t="s">
        <v>119</v>
      </c>
      <c r="D10147" s="334" t="s">
        <v>68</v>
      </c>
      <c r="E10147" s="336">
        <v>43823</v>
      </c>
      <c r="G10147" s="336">
        <v>43823</v>
      </c>
      <c r="H10147" s="334" t="s">
        <v>20477</v>
      </c>
      <c r="I10147" s="444">
        <v>13918411691</v>
      </c>
      <c r="J10147" s="348" t="s">
        <v>20478</v>
      </c>
      <c r="M10147" s="334">
        <v>247</v>
      </c>
      <c r="N10147" s="362">
        <f t="shared" si="357"/>
        <v>247</v>
      </c>
    </row>
    <row r="10148" ht="15" customHeight="1" spans="2:14">
      <c r="B10148" s="334" t="s">
        <v>73</v>
      </c>
      <c r="C10148" s="334" t="s">
        <v>74</v>
      </c>
      <c r="D10148" s="334" t="s">
        <v>125</v>
      </c>
      <c r="E10148" s="336">
        <v>43823</v>
      </c>
      <c r="G10148" s="336">
        <v>43823</v>
      </c>
      <c r="H10148" s="334" t="s">
        <v>15275</v>
      </c>
      <c r="I10148" s="444">
        <v>17521561412</v>
      </c>
      <c r="J10148" s="348" t="s">
        <v>15276</v>
      </c>
      <c r="M10148" s="334">
        <v>-396</v>
      </c>
      <c r="N10148" s="362">
        <f t="shared" si="357"/>
        <v>-396</v>
      </c>
    </row>
    <row r="10149" ht="15" customHeight="1" spans="2:14">
      <c r="B10149" s="334" t="s">
        <v>66</v>
      </c>
      <c r="C10149" s="334" t="s">
        <v>119</v>
      </c>
      <c r="D10149" s="334" t="s">
        <v>68</v>
      </c>
      <c r="E10149" s="336">
        <v>43823</v>
      </c>
      <c r="G10149" s="336">
        <v>43823</v>
      </c>
      <c r="H10149" s="334" t="s">
        <v>11587</v>
      </c>
      <c r="I10149" s="426">
        <v>13901600637</v>
      </c>
      <c r="J10149" s="334" t="s">
        <v>11588</v>
      </c>
      <c r="M10149" s="334">
        <v>4425</v>
      </c>
      <c r="N10149" s="362">
        <f t="shared" si="357"/>
        <v>4425</v>
      </c>
    </row>
    <row r="10150" ht="15" customHeight="1" spans="2:14">
      <c r="B10150" s="334" t="s">
        <v>58</v>
      </c>
      <c r="C10150" s="334" t="s">
        <v>794</v>
      </c>
      <c r="D10150" s="334" t="s">
        <v>271</v>
      </c>
      <c r="E10150" s="336">
        <v>43823</v>
      </c>
      <c r="G10150" s="336">
        <v>43823</v>
      </c>
      <c r="H10150" s="334" t="s">
        <v>14655</v>
      </c>
      <c r="I10150" s="334">
        <v>13120807263</v>
      </c>
      <c r="J10150" s="334" t="s">
        <v>14656</v>
      </c>
      <c r="M10150" s="334">
        <v>2799</v>
      </c>
      <c r="N10150" s="362">
        <f t="shared" si="357"/>
        <v>2799</v>
      </c>
    </row>
    <row r="10151" ht="15" customHeight="1" spans="2:14">
      <c r="B10151" s="334" t="s">
        <v>16169</v>
      </c>
      <c r="C10151" s="334" t="s">
        <v>16170</v>
      </c>
      <c r="D10151" s="334" t="s">
        <v>271</v>
      </c>
      <c r="E10151" s="336">
        <v>43823</v>
      </c>
      <c r="G10151" s="336">
        <v>43823</v>
      </c>
      <c r="H10151" s="334" t="s">
        <v>19443</v>
      </c>
      <c r="I10151" s="444">
        <v>18951087398</v>
      </c>
      <c r="J10151" s="348" t="s">
        <v>19444</v>
      </c>
      <c r="M10151" s="334">
        <v>2499</v>
      </c>
      <c r="N10151" s="362">
        <f t="shared" si="357"/>
        <v>2499</v>
      </c>
    </row>
    <row r="10152" ht="15" customHeight="1" spans="2:14">
      <c r="B10152" s="334" t="s">
        <v>315</v>
      </c>
      <c r="C10152" s="334" t="s">
        <v>366</v>
      </c>
      <c r="D10152" s="334" t="s">
        <v>132</v>
      </c>
      <c r="E10152" s="336">
        <v>43823</v>
      </c>
      <c r="G10152" s="336">
        <v>43822</v>
      </c>
      <c r="H10152" s="334" t="s">
        <v>18063</v>
      </c>
      <c r="I10152" s="444">
        <v>13311885017</v>
      </c>
      <c r="J10152" s="348" t="s">
        <v>18064</v>
      </c>
      <c r="M10152" s="334">
        <v>2255</v>
      </c>
      <c r="N10152" s="362">
        <f t="shared" si="357"/>
        <v>2255</v>
      </c>
    </row>
    <row r="10153" customHeight="1" spans="1:15">
      <c r="A10153" s="348"/>
      <c r="B10153" s="334" t="s">
        <v>5336</v>
      </c>
      <c r="C10153" s="334" t="s">
        <v>5336</v>
      </c>
      <c r="D10153" s="335" t="s">
        <v>8334</v>
      </c>
      <c r="E10153" s="336">
        <v>43827</v>
      </c>
      <c r="F10153" s="336">
        <v>43823</v>
      </c>
      <c r="G10153" s="336">
        <v>43827</v>
      </c>
      <c r="H10153" s="334" t="s">
        <v>20479</v>
      </c>
      <c r="I10153" s="444">
        <v>13585592618</v>
      </c>
      <c r="J10153" s="348" t="s">
        <v>20480</v>
      </c>
      <c r="K10153" s="356">
        <v>11649</v>
      </c>
      <c r="L10153" s="334">
        <v>11707</v>
      </c>
      <c r="N10153" s="362">
        <f t="shared" ref="N10153:N10159" si="358">L10153+M10153</f>
        <v>11707</v>
      </c>
      <c r="O10153" s="353" t="s">
        <v>52</v>
      </c>
    </row>
    <row r="10154" customHeight="1" spans="1:14">
      <c r="A10154" s="550" t="s">
        <v>17966</v>
      </c>
      <c r="B10154" s="334" t="s">
        <v>58</v>
      </c>
      <c r="C10154" s="348" t="s">
        <v>342</v>
      </c>
      <c r="D10154" s="334" t="s">
        <v>343</v>
      </c>
      <c r="E10154" s="336">
        <v>43824</v>
      </c>
      <c r="F10154" s="336">
        <v>43813</v>
      </c>
      <c r="G10154" s="399">
        <v>43823</v>
      </c>
      <c r="H10154" s="334" t="s">
        <v>20481</v>
      </c>
      <c r="I10154" s="444">
        <v>15921145151</v>
      </c>
      <c r="J10154" s="438" t="s">
        <v>20482</v>
      </c>
      <c r="K10154" s="356">
        <v>12632</v>
      </c>
      <c r="L10154" s="334">
        <v>6316</v>
      </c>
      <c r="N10154" s="362">
        <f t="shared" si="358"/>
        <v>6316</v>
      </c>
    </row>
    <row r="10155" customHeight="1" spans="1:14">
      <c r="A10155" s="550" t="s">
        <v>12873</v>
      </c>
      <c r="B10155" s="334" t="s">
        <v>335</v>
      </c>
      <c r="C10155" s="348" t="s">
        <v>399</v>
      </c>
      <c r="D10155" s="335" t="s">
        <v>125</v>
      </c>
      <c r="E10155" s="336">
        <v>43824</v>
      </c>
      <c r="F10155" s="336">
        <v>43817</v>
      </c>
      <c r="G10155" s="399">
        <v>43821</v>
      </c>
      <c r="H10155" s="334" t="s">
        <v>20483</v>
      </c>
      <c r="I10155" s="444">
        <v>18817562859</v>
      </c>
      <c r="J10155" s="348" t="s">
        <v>20484</v>
      </c>
      <c r="K10155" s="356">
        <v>1000</v>
      </c>
      <c r="L10155" s="334">
        <v>9000</v>
      </c>
      <c r="N10155" s="362">
        <f t="shared" si="358"/>
        <v>9000</v>
      </c>
    </row>
    <row r="10156" customHeight="1" spans="1:17">
      <c r="A10156" s="550" t="s">
        <v>20485</v>
      </c>
      <c r="B10156" s="334" t="s">
        <v>185</v>
      </c>
      <c r="C10156" s="348" t="s">
        <v>886</v>
      </c>
      <c r="D10156" s="335" t="s">
        <v>187</v>
      </c>
      <c r="E10156" s="336">
        <v>43824</v>
      </c>
      <c r="F10156" s="336">
        <v>43824</v>
      </c>
      <c r="G10156" s="399"/>
      <c r="H10156" s="334" t="s">
        <v>20486</v>
      </c>
      <c r="I10156" s="444">
        <v>13601782008</v>
      </c>
      <c r="J10156" s="438" t="s">
        <v>20487</v>
      </c>
      <c r="K10156" s="356">
        <v>2000</v>
      </c>
      <c r="N10156" s="362">
        <f t="shared" si="358"/>
        <v>0</v>
      </c>
      <c r="Q10156" s="467" t="s">
        <v>52</v>
      </c>
    </row>
    <row r="10157" customHeight="1" spans="1:14">
      <c r="A10157" s="550" t="s">
        <v>16099</v>
      </c>
      <c r="B10157" s="334" t="s">
        <v>315</v>
      </c>
      <c r="C10157" s="348" t="s">
        <v>161</v>
      </c>
      <c r="D10157" s="334" t="s">
        <v>149</v>
      </c>
      <c r="E10157" s="336">
        <v>43824</v>
      </c>
      <c r="F10157" s="336">
        <v>43824</v>
      </c>
      <c r="G10157" s="399">
        <v>43824</v>
      </c>
      <c r="H10157" s="334" t="s">
        <v>20488</v>
      </c>
      <c r="I10157" s="444">
        <v>13681827689</v>
      </c>
      <c r="J10157" s="348" t="s">
        <v>20489</v>
      </c>
      <c r="K10157" s="356">
        <v>18238</v>
      </c>
      <c r="L10157" s="334">
        <v>18238</v>
      </c>
      <c r="N10157" s="362">
        <f t="shared" si="358"/>
        <v>18238</v>
      </c>
    </row>
    <row r="10158" customHeight="1" spans="1:28">
      <c r="A10158" s="348">
        <v>2027600</v>
      </c>
      <c r="B10158" s="348" t="s">
        <v>73</v>
      </c>
      <c r="C10158" s="348" t="s">
        <v>178</v>
      </c>
      <c r="D10158" s="349" t="s">
        <v>75</v>
      </c>
      <c r="E10158" s="336" t="s">
        <v>133</v>
      </c>
      <c r="F10158" s="336">
        <v>43648</v>
      </c>
      <c r="G10158" s="399" t="s">
        <v>69</v>
      </c>
      <c r="H10158" s="334" t="s">
        <v>20490</v>
      </c>
      <c r="I10158" s="444">
        <v>13585968833</v>
      </c>
      <c r="J10158" s="510" t="s">
        <v>880</v>
      </c>
      <c r="K10158" s="356">
        <v>1000</v>
      </c>
      <c r="L10158" s="511"/>
      <c r="M10158" s="511"/>
      <c r="N10158" s="362">
        <f t="shared" si="358"/>
        <v>0</v>
      </c>
      <c r="O10158" s="366" t="s">
        <v>52</v>
      </c>
      <c r="P10158" s="402"/>
      <c r="Q10158" s="402"/>
      <c r="R10158" s="402"/>
      <c r="S10158" s="402"/>
      <c r="T10158" s="402"/>
      <c r="U10158" s="512"/>
      <c r="V10158" s="512"/>
      <c r="W10158" s="512"/>
      <c r="X10158" s="513"/>
      <c r="Y10158" s="514" t="s">
        <v>4193</v>
      </c>
      <c r="Z10158" s="514" t="s">
        <v>79</v>
      </c>
      <c r="AA10158" s="514"/>
      <c r="AB10158"/>
    </row>
    <row r="10159" customHeight="1" spans="1:14">
      <c r="A10159" s="550" t="s">
        <v>6480</v>
      </c>
      <c r="B10159" s="334" t="s">
        <v>335</v>
      </c>
      <c r="C10159" s="348" t="s">
        <v>615</v>
      </c>
      <c r="D10159" s="335" t="s">
        <v>337</v>
      </c>
      <c r="E10159" s="336">
        <v>43832</v>
      </c>
      <c r="F10159" s="336">
        <v>43824</v>
      </c>
      <c r="G10159" s="336">
        <v>43831</v>
      </c>
      <c r="H10159" s="334" t="s">
        <v>20491</v>
      </c>
      <c r="I10159" s="444">
        <v>13816270371</v>
      </c>
      <c r="J10159" s="438" t="s">
        <v>20492</v>
      </c>
      <c r="K10159" s="356">
        <v>1000</v>
      </c>
      <c r="L10159" s="334">
        <v>7476</v>
      </c>
      <c r="N10159" s="362">
        <f t="shared" si="358"/>
        <v>7476</v>
      </c>
    </row>
    <row r="10160" customHeight="1" spans="2:14">
      <c r="B10160" s="334" t="s">
        <v>16169</v>
      </c>
      <c r="C10160" s="334" t="s">
        <v>16170</v>
      </c>
      <c r="D10160" s="334" t="s">
        <v>271</v>
      </c>
      <c r="E10160" s="336">
        <v>43824</v>
      </c>
      <c r="G10160" s="336">
        <v>43824</v>
      </c>
      <c r="H10160" s="334" t="s">
        <v>20493</v>
      </c>
      <c r="I10160" s="444">
        <v>13301798205</v>
      </c>
      <c r="J10160" s="348" t="s">
        <v>20494</v>
      </c>
      <c r="L10160" s="334">
        <v>6519</v>
      </c>
      <c r="N10160" s="362">
        <f t="shared" ref="N10160:N10169" si="359">L10160+M10160</f>
        <v>6519</v>
      </c>
    </row>
    <row r="10161" customHeight="1" spans="2:14">
      <c r="B10161" s="334" t="s">
        <v>6313</v>
      </c>
      <c r="C10161" s="334" t="s">
        <v>7818</v>
      </c>
      <c r="D10161" s="334" t="s">
        <v>7871</v>
      </c>
      <c r="E10161" s="336">
        <v>43824</v>
      </c>
      <c r="G10161" s="336">
        <v>43823</v>
      </c>
      <c r="H10161" s="334" t="s">
        <v>20495</v>
      </c>
      <c r="I10161" s="444">
        <v>18516205888</v>
      </c>
      <c r="J10161" s="348" t="s">
        <v>20496</v>
      </c>
      <c r="L10161" s="334">
        <v>27300</v>
      </c>
      <c r="N10161" s="362">
        <f t="shared" si="359"/>
        <v>27300</v>
      </c>
    </row>
    <row r="10162" customHeight="1" spans="2:14">
      <c r="B10162" s="334" t="s">
        <v>31</v>
      </c>
      <c r="C10162" s="334" t="s">
        <v>251</v>
      </c>
      <c r="D10162" s="334" t="s">
        <v>221</v>
      </c>
      <c r="E10162" s="336">
        <v>43824</v>
      </c>
      <c r="G10162" s="336">
        <v>43822</v>
      </c>
      <c r="H10162" s="334" t="s">
        <v>11430</v>
      </c>
      <c r="I10162" s="444">
        <v>13801693611</v>
      </c>
      <c r="J10162" s="334" t="s">
        <v>14556</v>
      </c>
      <c r="M10162" s="334">
        <v>624</v>
      </c>
      <c r="N10162" s="362">
        <f t="shared" si="359"/>
        <v>624</v>
      </c>
    </row>
    <row r="10163" customHeight="1" spans="2:14">
      <c r="B10163" s="334" t="s">
        <v>335</v>
      </c>
      <c r="C10163" s="334" t="s">
        <v>399</v>
      </c>
      <c r="D10163" s="334" t="s">
        <v>125</v>
      </c>
      <c r="E10163" s="336">
        <v>43824</v>
      </c>
      <c r="G10163" s="336">
        <v>43821</v>
      </c>
      <c r="H10163" s="334" t="s">
        <v>20483</v>
      </c>
      <c r="I10163" s="444">
        <v>18817562859</v>
      </c>
      <c r="J10163" s="348" t="s">
        <v>20484</v>
      </c>
      <c r="M10163" s="334">
        <v>1000</v>
      </c>
      <c r="N10163" s="362">
        <f t="shared" si="359"/>
        <v>1000</v>
      </c>
    </row>
    <row r="10164" customHeight="1" spans="2:14">
      <c r="B10164" s="334" t="s">
        <v>66</v>
      </c>
      <c r="C10164" s="334" t="s">
        <v>505</v>
      </c>
      <c r="D10164" s="334" t="s">
        <v>2302</v>
      </c>
      <c r="E10164" s="336">
        <v>43824</v>
      </c>
      <c r="G10164" s="336">
        <v>43824</v>
      </c>
      <c r="H10164" s="334" t="s">
        <v>12323</v>
      </c>
      <c r="I10164" s="356">
        <v>17317971212</v>
      </c>
      <c r="J10164" s="348" t="s">
        <v>12324</v>
      </c>
      <c r="M10164" s="334">
        <v>2038</v>
      </c>
      <c r="N10164" s="362">
        <f t="shared" si="359"/>
        <v>2038</v>
      </c>
    </row>
    <row r="10165" customHeight="1" spans="2:14">
      <c r="B10165" s="334" t="s">
        <v>66</v>
      </c>
      <c r="C10165" s="334" t="s">
        <v>15301</v>
      </c>
      <c r="D10165" s="334" t="s">
        <v>2302</v>
      </c>
      <c r="E10165" s="336">
        <v>43824</v>
      </c>
      <c r="G10165" s="336">
        <v>43823</v>
      </c>
      <c r="H10165" s="334" t="s">
        <v>3532</v>
      </c>
      <c r="I10165" s="444">
        <v>15921585977</v>
      </c>
      <c r="J10165" s="348" t="s">
        <v>20497</v>
      </c>
      <c r="M10165" s="334">
        <v>6662</v>
      </c>
      <c r="N10165" s="362">
        <f t="shared" si="359"/>
        <v>6662</v>
      </c>
    </row>
    <row r="10166" customHeight="1" spans="2:14">
      <c r="B10166" s="334" t="s">
        <v>185</v>
      </c>
      <c r="C10166" s="334" t="s">
        <v>186</v>
      </c>
      <c r="D10166" s="334" t="s">
        <v>187</v>
      </c>
      <c r="E10166" s="336">
        <v>43824</v>
      </c>
      <c r="G10166" s="336">
        <v>43824</v>
      </c>
      <c r="H10166" s="334" t="s">
        <v>16851</v>
      </c>
      <c r="I10166" s="444">
        <v>18321579710</v>
      </c>
      <c r="J10166" s="348" t="s">
        <v>20250</v>
      </c>
      <c r="M10166" s="334">
        <v>1360</v>
      </c>
      <c r="N10166" s="362">
        <f t="shared" si="359"/>
        <v>1360</v>
      </c>
    </row>
    <row r="10167" customHeight="1" spans="2:14">
      <c r="B10167" s="334" t="s">
        <v>87</v>
      </c>
      <c r="C10167" s="334" t="s">
        <v>9318</v>
      </c>
      <c r="D10167" s="334" t="s">
        <v>89</v>
      </c>
      <c r="E10167" s="336">
        <v>43824</v>
      </c>
      <c r="G10167" s="336">
        <v>43824</v>
      </c>
      <c r="H10167" s="334" t="s">
        <v>9319</v>
      </c>
      <c r="I10167" s="444">
        <v>18121241517</v>
      </c>
      <c r="J10167" s="348" t="s">
        <v>9320</v>
      </c>
      <c r="M10167" s="334">
        <v>1464</v>
      </c>
      <c r="N10167" s="362">
        <f t="shared" si="359"/>
        <v>1464</v>
      </c>
    </row>
    <row r="10168" customHeight="1" spans="2:14">
      <c r="B10168" s="334" t="s">
        <v>66</v>
      </c>
      <c r="C10168" s="334" t="s">
        <v>1749</v>
      </c>
      <c r="D10168" s="334" t="s">
        <v>1436</v>
      </c>
      <c r="E10168" s="336">
        <v>43824</v>
      </c>
      <c r="G10168" s="336">
        <v>43824</v>
      </c>
      <c r="H10168" s="334" t="s">
        <v>10026</v>
      </c>
      <c r="I10168" s="444">
        <v>13916833346</v>
      </c>
      <c r="J10168" s="438" t="s">
        <v>10027</v>
      </c>
      <c r="M10168" s="334">
        <v>-927</v>
      </c>
      <c r="N10168" s="362">
        <f t="shared" si="359"/>
        <v>-927</v>
      </c>
    </row>
    <row r="10169" customHeight="1" spans="2:14">
      <c r="B10169" s="334" t="s">
        <v>66</v>
      </c>
      <c r="C10169" s="334" t="s">
        <v>505</v>
      </c>
      <c r="D10169" s="334" t="s">
        <v>2302</v>
      </c>
      <c r="E10169" s="336">
        <v>43824</v>
      </c>
      <c r="G10169" s="336">
        <v>43824</v>
      </c>
      <c r="H10169" s="334" t="s">
        <v>20498</v>
      </c>
      <c r="I10169" s="426">
        <v>13661681514</v>
      </c>
      <c r="J10169" s="426" t="s">
        <v>11570</v>
      </c>
      <c r="M10169" s="334">
        <v>488</v>
      </c>
      <c r="N10169" s="362">
        <f t="shared" si="359"/>
        <v>488</v>
      </c>
    </row>
    <row r="10170" customHeight="1" spans="1:22">
      <c r="A10170" s="550" t="s">
        <v>12729</v>
      </c>
      <c r="B10170" s="334" t="s">
        <v>169</v>
      </c>
      <c r="C10170" s="348" t="s">
        <v>634</v>
      </c>
      <c r="D10170" s="335" t="s">
        <v>635</v>
      </c>
      <c r="E10170" s="336">
        <v>43837</v>
      </c>
      <c r="F10170" s="336">
        <v>43825</v>
      </c>
      <c r="G10170" s="336">
        <v>43837</v>
      </c>
      <c r="H10170" s="334" t="s">
        <v>20499</v>
      </c>
      <c r="I10170" s="444">
        <v>13764155150</v>
      </c>
      <c r="J10170" s="438" t="s">
        <v>20500</v>
      </c>
      <c r="K10170" s="356">
        <v>1000</v>
      </c>
      <c r="L10170" s="334">
        <v>11678</v>
      </c>
      <c r="N10170" s="362">
        <f t="shared" ref="N10170:N10185" si="360">L10170+M10170</f>
        <v>11678</v>
      </c>
      <c r="V10170" s="330" t="s">
        <v>20501</v>
      </c>
    </row>
    <row r="10171" customHeight="1" spans="1:14">
      <c r="A10171" s="550" t="s">
        <v>20502</v>
      </c>
      <c r="B10171" s="334" t="s">
        <v>123</v>
      </c>
      <c r="C10171" s="348" t="s">
        <v>902</v>
      </c>
      <c r="D10171" s="335" t="s">
        <v>125</v>
      </c>
      <c r="E10171" s="336">
        <v>43826</v>
      </c>
      <c r="F10171" s="336">
        <v>43825</v>
      </c>
      <c r="G10171" s="336">
        <v>43826</v>
      </c>
      <c r="H10171" s="334" t="s">
        <v>20503</v>
      </c>
      <c r="I10171" s="444">
        <v>17707361144</v>
      </c>
      <c r="J10171" s="438" t="s">
        <v>20504</v>
      </c>
      <c r="K10171" s="356">
        <v>1000</v>
      </c>
      <c r="L10171" s="334">
        <v>4683</v>
      </c>
      <c r="N10171" s="362">
        <f t="shared" si="360"/>
        <v>4683</v>
      </c>
    </row>
    <row r="10172" customHeight="1" spans="1:14">
      <c r="A10172" s="550" t="s">
        <v>20505</v>
      </c>
      <c r="B10172" s="334" t="s">
        <v>66</v>
      </c>
      <c r="C10172" s="348" t="s">
        <v>1749</v>
      </c>
      <c r="D10172" s="334" t="s">
        <v>2302</v>
      </c>
      <c r="E10172" s="336">
        <v>43825</v>
      </c>
      <c r="F10172" s="336">
        <v>43820</v>
      </c>
      <c r="G10172" s="399">
        <v>43820</v>
      </c>
      <c r="H10172" s="334" t="s">
        <v>14577</v>
      </c>
      <c r="I10172" s="444">
        <v>13024196777</v>
      </c>
      <c r="J10172" s="438" t="s">
        <v>20506</v>
      </c>
      <c r="K10172" s="356">
        <v>6895</v>
      </c>
      <c r="L10172" s="334">
        <v>6895</v>
      </c>
      <c r="N10172" s="362">
        <f t="shared" si="360"/>
        <v>6895</v>
      </c>
    </row>
    <row r="10173" customHeight="1" spans="1:17">
      <c r="A10173" s="348"/>
      <c r="B10173" s="334" t="s">
        <v>2625</v>
      </c>
      <c r="C10173" s="348" t="s">
        <v>2626</v>
      </c>
      <c r="D10173" s="335" t="s">
        <v>44</v>
      </c>
      <c r="E10173" s="336">
        <v>43837</v>
      </c>
      <c r="F10173" s="336">
        <v>43825</v>
      </c>
      <c r="G10173" s="336">
        <v>43837</v>
      </c>
      <c r="H10173" s="334" t="s">
        <v>20507</v>
      </c>
      <c r="I10173" s="444">
        <v>13917607730</v>
      </c>
      <c r="J10173" s="438" t="s">
        <v>20508</v>
      </c>
      <c r="K10173" s="356">
        <v>1000</v>
      </c>
      <c r="L10173" s="334">
        <v>7366</v>
      </c>
      <c r="N10173" s="362">
        <f t="shared" si="360"/>
        <v>7366</v>
      </c>
      <c r="Q10173" s="337" t="s">
        <v>3660</v>
      </c>
    </row>
    <row r="10174" customHeight="1" spans="1:14">
      <c r="A10174" s="550" t="s">
        <v>8875</v>
      </c>
      <c r="B10174" s="334" t="s">
        <v>153</v>
      </c>
      <c r="C10174" s="348" t="s">
        <v>154</v>
      </c>
      <c r="D10174" s="334" t="s">
        <v>155</v>
      </c>
      <c r="E10174" s="336">
        <v>43825</v>
      </c>
      <c r="F10174" s="336">
        <v>43825</v>
      </c>
      <c r="G10174" s="399">
        <v>43825</v>
      </c>
      <c r="H10174" s="334" t="s">
        <v>20509</v>
      </c>
      <c r="I10174" s="444">
        <v>13311670111</v>
      </c>
      <c r="J10174" s="438" t="s">
        <v>20510</v>
      </c>
      <c r="K10174" s="356">
        <v>10000</v>
      </c>
      <c r="L10174" s="334">
        <v>10000</v>
      </c>
      <c r="N10174" s="362">
        <f t="shared" si="360"/>
        <v>10000</v>
      </c>
    </row>
    <row r="10175" customHeight="1" spans="1:23">
      <c r="A10175" s="550" t="s">
        <v>3254</v>
      </c>
      <c r="B10175" s="334" t="s">
        <v>153</v>
      </c>
      <c r="C10175" s="348" t="s">
        <v>13075</v>
      </c>
      <c r="D10175" s="334" t="s">
        <v>155</v>
      </c>
      <c r="E10175" s="336">
        <v>43830</v>
      </c>
      <c r="F10175" s="336">
        <v>43825</v>
      </c>
      <c r="G10175" s="336">
        <v>43830</v>
      </c>
      <c r="H10175" s="334" t="s">
        <v>20511</v>
      </c>
      <c r="I10175" s="444">
        <v>17717018337</v>
      </c>
      <c r="J10175" s="438" t="s">
        <v>20512</v>
      </c>
      <c r="K10175" s="356">
        <v>500</v>
      </c>
      <c r="L10175" s="334">
        <v>7987</v>
      </c>
      <c r="N10175" s="362">
        <f t="shared" si="360"/>
        <v>7987</v>
      </c>
      <c r="V10175" s="353" t="s">
        <v>2494</v>
      </c>
      <c r="W10175" s="353">
        <v>12.26</v>
      </c>
    </row>
    <row r="10176" customHeight="1" spans="1:14">
      <c r="A10176" s="550" t="s">
        <v>6240</v>
      </c>
      <c r="B10176" s="334" t="s">
        <v>335</v>
      </c>
      <c r="C10176" s="348" t="s">
        <v>615</v>
      </c>
      <c r="D10176" s="334" t="s">
        <v>337</v>
      </c>
      <c r="E10176" s="336">
        <v>43825</v>
      </c>
      <c r="F10176" s="336">
        <v>43825</v>
      </c>
      <c r="G10176" s="399">
        <v>43825</v>
      </c>
      <c r="H10176" s="334" t="s">
        <v>441</v>
      </c>
      <c r="I10176" s="444">
        <v>13801843266</v>
      </c>
      <c r="J10176" s="348" t="s">
        <v>20513</v>
      </c>
      <c r="K10176" s="356">
        <v>6300</v>
      </c>
      <c r="L10176" s="334">
        <v>6300</v>
      </c>
      <c r="N10176" s="362">
        <f t="shared" si="360"/>
        <v>6300</v>
      </c>
    </row>
    <row r="10177" customHeight="1" spans="1:15">
      <c r="A10177" s="550" t="s">
        <v>18257</v>
      </c>
      <c r="B10177" s="334" t="s">
        <v>35</v>
      </c>
      <c r="C10177" s="348" t="s">
        <v>36</v>
      </c>
      <c r="D10177" s="335" t="s">
        <v>37</v>
      </c>
      <c r="E10177" s="336">
        <v>43825</v>
      </c>
      <c r="F10177" s="336">
        <v>43825</v>
      </c>
      <c r="G10177" s="399"/>
      <c r="H10177" s="334" t="s">
        <v>20514</v>
      </c>
      <c r="I10177" s="444">
        <v>15201718550</v>
      </c>
      <c r="J10177" s="438" t="s">
        <v>20515</v>
      </c>
      <c r="K10177" s="356">
        <v>1000</v>
      </c>
      <c r="N10177" s="362">
        <f t="shared" si="360"/>
        <v>0</v>
      </c>
      <c r="O10177" s="356" t="s">
        <v>52</v>
      </c>
    </row>
    <row r="10178" customHeight="1" spans="1:14">
      <c r="A10178" s="550" t="s">
        <v>20516</v>
      </c>
      <c r="B10178" s="334" t="s">
        <v>123</v>
      </c>
      <c r="C10178" s="348" t="s">
        <v>9890</v>
      </c>
      <c r="D10178" s="335" t="s">
        <v>125</v>
      </c>
      <c r="E10178" s="336">
        <v>43825</v>
      </c>
      <c r="F10178" s="336">
        <v>43825</v>
      </c>
      <c r="G10178" s="399"/>
      <c r="H10178" s="334" t="s">
        <v>20517</v>
      </c>
      <c r="I10178" s="444">
        <v>13482476611</v>
      </c>
      <c r="J10178" s="438" t="s">
        <v>20518</v>
      </c>
      <c r="K10178" s="356">
        <v>1000</v>
      </c>
      <c r="N10178" s="362">
        <f t="shared" si="360"/>
        <v>0</v>
      </c>
    </row>
    <row r="10179" customHeight="1" spans="1:14">
      <c r="A10179" s="550" t="s">
        <v>19740</v>
      </c>
      <c r="B10179" s="334" t="s">
        <v>31</v>
      </c>
      <c r="C10179" s="348" t="s">
        <v>419</v>
      </c>
      <c r="D10179" s="334" t="s">
        <v>33</v>
      </c>
      <c r="E10179" s="336">
        <v>43830</v>
      </c>
      <c r="F10179" s="336">
        <v>43825</v>
      </c>
      <c r="G10179" s="336">
        <v>43830</v>
      </c>
      <c r="H10179" s="334" t="s">
        <v>20519</v>
      </c>
      <c r="I10179" s="444">
        <v>13816509887</v>
      </c>
      <c r="J10179" s="438" t="s">
        <v>20520</v>
      </c>
      <c r="K10179" s="356">
        <v>11028</v>
      </c>
      <c r="L10179" s="334">
        <v>11028</v>
      </c>
      <c r="N10179" s="362">
        <f t="shared" si="360"/>
        <v>11028</v>
      </c>
    </row>
    <row r="10180" customHeight="1" spans="1:15">
      <c r="A10180" s="550" t="s">
        <v>8363</v>
      </c>
      <c r="B10180" s="334" t="s">
        <v>185</v>
      </c>
      <c r="C10180" s="348" t="s">
        <v>4146</v>
      </c>
      <c r="D10180" s="335" t="s">
        <v>187</v>
      </c>
      <c r="E10180" s="336">
        <v>43825</v>
      </c>
      <c r="F10180" s="336">
        <v>43825</v>
      </c>
      <c r="G10180" s="399"/>
      <c r="H10180" s="334" t="s">
        <v>20521</v>
      </c>
      <c r="I10180" s="444">
        <v>13701858888</v>
      </c>
      <c r="J10180" s="438" t="s">
        <v>20522</v>
      </c>
      <c r="K10180" s="356">
        <v>1000</v>
      </c>
      <c r="N10180" s="362">
        <f t="shared" si="360"/>
        <v>0</v>
      </c>
      <c r="O10180" s="467" t="s">
        <v>52</v>
      </c>
    </row>
    <row r="10181" customHeight="1" spans="2:14">
      <c r="B10181" s="334" t="s">
        <v>66</v>
      </c>
      <c r="C10181" s="334" t="s">
        <v>119</v>
      </c>
      <c r="D10181" s="334" t="s">
        <v>1436</v>
      </c>
      <c r="E10181" s="336">
        <v>43825</v>
      </c>
      <c r="G10181" s="336">
        <v>43825</v>
      </c>
      <c r="H10181" s="334" t="s">
        <v>20523</v>
      </c>
      <c r="I10181" s="444">
        <v>13761008958</v>
      </c>
      <c r="J10181" s="348" t="s">
        <v>20524</v>
      </c>
      <c r="L10181" s="334">
        <v>22950</v>
      </c>
      <c r="N10181" s="362">
        <f t="shared" si="360"/>
        <v>22950</v>
      </c>
    </row>
    <row r="10182" customHeight="1" spans="2:14">
      <c r="B10182" s="334" t="s">
        <v>73</v>
      </c>
      <c r="C10182" s="334" t="s">
        <v>74</v>
      </c>
      <c r="D10182" s="334" t="s">
        <v>75</v>
      </c>
      <c r="E10182" s="336">
        <v>43825</v>
      </c>
      <c r="G10182" s="336">
        <v>43822</v>
      </c>
      <c r="H10182" s="334" t="s">
        <v>20525</v>
      </c>
      <c r="I10182" s="444">
        <v>13651971184</v>
      </c>
      <c r="J10182" s="348" t="s">
        <v>20526</v>
      </c>
      <c r="L10182" s="334">
        <v>14768</v>
      </c>
      <c r="N10182" s="362">
        <f t="shared" si="360"/>
        <v>14768</v>
      </c>
    </row>
    <row r="10183" customHeight="1" spans="2:14">
      <c r="B10183" s="334" t="s">
        <v>405</v>
      </c>
      <c r="C10183" s="348" t="s">
        <v>14070</v>
      </c>
      <c r="D10183" s="335" t="s">
        <v>407</v>
      </c>
      <c r="E10183" s="336">
        <v>43825</v>
      </c>
      <c r="G10183" s="336">
        <v>43821</v>
      </c>
      <c r="H10183" s="334" t="s">
        <v>18465</v>
      </c>
      <c r="I10183" s="444">
        <v>13472503201</v>
      </c>
      <c r="J10183" s="438" t="s">
        <v>20302</v>
      </c>
      <c r="L10183" s="334">
        <v>8641</v>
      </c>
      <c r="N10183" s="362">
        <f t="shared" si="360"/>
        <v>8641</v>
      </c>
    </row>
    <row r="10184" customHeight="1" spans="2:14">
      <c r="B10184" s="334" t="s">
        <v>58</v>
      </c>
      <c r="C10184" s="334" t="s">
        <v>794</v>
      </c>
      <c r="D10184" s="334" t="s">
        <v>271</v>
      </c>
      <c r="E10184" s="336">
        <v>43825</v>
      </c>
      <c r="G10184" s="336">
        <v>43823</v>
      </c>
      <c r="H10184" s="334" t="s">
        <v>20527</v>
      </c>
      <c r="I10184" s="444">
        <v>13817634909</v>
      </c>
      <c r="J10184" s="438" t="s">
        <v>20528</v>
      </c>
      <c r="L10184" s="334">
        <v>16968</v>
      </c>
      <c r="N10184" s="362">
        <f t="shared" si="360"/>
        <v>16968</v>
      </c>
    </row>
    <row r="10185" customHeight="1" spans="2:14">
      <c r="B10185" s="334" t="s">
        <v>58</v>
      </c>
      <c r="C10185" s="334" t="s">
        <v>59</v>
      </c>
      <c r="D10185" s="334" t="s">
        <v>110</v>
      </c>
      <c r="E10185" s="336">
        <v>43825</v>
      </c>
      <c r="G10185" s="336">
        <v>43822</v>
      </c>
      <c r="H10185" s="334" t="s">
        <v>3942</v>
      </c>
      <c r="I10185" s="444">
        <v>13564652757</v>
      </c>
      <c r="J10185" s="348" t="s">
        <v>20529</v>
      </c>
      <c r="L10185" s="334">
        <v>8349</v>
      </c>
      <c r="N10185" s="362">
        <f t="shared" si="360"/>
        <v>8349</v>
      </c>
    </row>
    <row r="10186" customHeight="1" spans="2:14">
      <c r="B10186" s="348" t="s">
        <v>31</v>
      </c>
      <c r="C10186" s="334" t="s">
        <v>32</v>
      </c>
      <c r="D10186" s="334" t="s">
        <v>33</v>
      </c>
      <c r="E10186" s="336">
        <v>43825</v>
      </c>
      <c r="G10186" s="336">
        <v>43693</v>
      </c>
      <c r="H10186" s="334" t="s">
        <v>8668</v>
      </c>
      <c r="I10186" s="356">
        <v>13818288062</v>
      </c>
      <c r="J10186" s="348" t="s">
        <v>8669</v>
      </c>
      <c r="M10186" s="334">
        <v>360</v>
      </c>
      <c r="N10186" s="362">
        <f t="shared" ref="N10186:N10197" si="361">L10186+M10186</f>
        <v>360</v>
      </c>
    </row>
    <row r="10187" customHeight="1" spans="2:14">
      <c r="B10187" s="334" t="s">
        <v>354</v>
      </c>
      <c r="C10187" s="334" t="s">
        <v>355</v>
      </c>
      <c r="D10187" s="334" t="s">
        <v>343</v>
      </c>
      <c r="E10187" s="336">
        <v>43825</v>
      </c>
      <c r="G10187" s="336">
        <v>43799</v>
      </c>
      <c r="H10187" s="334" t="s">
        <v>17950</v>
      </c>
      <c r="I10187" s="444">
        <v>13631286760</v>
      </c>
      <c r="J10187" s="438" t="s">
        <v>17951</v>
      </c>
      <c r="M10187" s="334">
        <v>34</v>
      </c>
      <c r="N10187" s="362">
        <f t="shared" si="361"/>
        <v>34</v>
      </c>
    </row>
    <row r="10188" customHeight="1" spans="2:14">
      <c r="B10188" s="334" t="s">
        <v>66</v>
      </c>
      <c r="C10188" s="334" t="s">
        <v>119</v>
      </c>
      <c r="D10188" s="334" t="s">
        <v>2302</v>
      </c>
      <c r="E10188" s="336">
        <v>43825</v>
      </c>
      <c r="G10188" s="336">
        <v>43795</v>
      </c>
      <c r="H10188" s="334" t="s">
        <v>806</v>
      </c>
      <c r="I10188" s="334">
        <v>13795001804</v>
      </c>
      <c r="J10188" s="348" t="s">
        <v>16238</v>
      </c>
      <c r="M10188" s="334">
        <v>1077</v>
      </c>
      <c r="N10188" s="362">
        <f t="shared" si="361"/>
        <v>1077</v>
      </c>
    </row>
    <row r="10189" customHeight="1" spans="2:14">
      <c r="B10189" s="334" t="s">
        <v>185</v>
      </c>
      <c r="C10189" s="334" t="s">
        <v>186</v>
      </c>
      <c r="D10189" s="334" t="s">
        <v>187</v>
      </c>
      <c r="E10189" s="336">
        <v>43825</v>
      </c>
      <c r="G10189" s="336">
        <v>43782</v>
      </c>
      <c r="H10189" s="334" t="s">
        <v>16107</v>
      </c>
      <c r="I10189" s="444">
        <v>13818765883</v>
      </c>
      <c r="J10189" s="348" t="s">
        <v>16108</v>
      </c>
      <c r="M10189" s="334">
        <v>50</v>
      </c>
      <c r="N10189" s="362">
        <f t="shared" si="361"/>
        <v>50</v>
      </c>
    </row>
    <row r="10190" customHeight="1" spans="2:14">
      <c r="B10190" s="334" t="s">
        <v>153</v>
      </c>
      <c r="C10190" s="334" t="s">
        <v>154</v>
      </c>
      <c r="D10190" s="334" t="s">
        <v>155</v>
      </c>
      <c r="E10190" s="336">
        <v>43825</v>
      </c>
      <c r="G10190" s="336">
        <v>43823</v>
      </c>
      <c r="H10190" s="334" t="s">
        <v>16984</v>
      </c>
      <c r="I10190" s="444">
        <v>13774204589</v>
      </c>
      <c r="J10190" s="438" t="s">
        <v>16985</v>
      </c>
      <c r="M10190" s="334">
        <v>1820</v>
      </c>
      <c r="N10190" s="362">
        <f t="shared" si="361"/>
        <v>1820</v>
      </c>
    </row>
    <row r="10191" customHeight="1" spans="2:14">
      <c r="B10191" s="334" t="s">
        <v>137</v>
      </c>
      <c r="C10191" s="334" t="s">
        <v>138</v>
      </c>
      <c r="D10191" s="334" t="s">
        <v>139</v>
      </c>
      <c r="E10191" s="336">
        <v>43825</v>
      </c>
      <c r="G10191" s="336">
        <v>43825</v>
      </c>
      <c r="H10191" s="334" t="s">
        <v>16823</v>
      </c>
      <c r="I10191" s="444">
        <v>13681797361</v>
      </c>
      <c r="J10191" s="348" t="s">
        <v>20530</v>
      </c>
      <c r="M10191" s="334">
        <v>234</v>
      </c>
      <c r="N10191" s="362">
        <f t="shared" si="361"/>
        <v>234</v>
      </c>
    </row>
    <row r="10192" customHeight="1" spans="2:14">
      <c r="B10192" s="334" t="s">
        <v>137</v>
      </c>
      <c r="C10192" s="334" t="s">
        <v>861</v>
      </c>
      <c r="D10192" s="334" t="s">
        <v>443</v>
      </c>
      <c r="E10192" s="336">
        <v>43825</v>
      </c>
      <c r="G10192" s="336">
        <v>43777</v>
      </c>
      <c r="H10192" s="334" t="s">
        <v>17800</v>
      </c>
      <c r="I10192" s="334">
        <v>13818357233</v>
      </c>
      <c r="J10192" s="348" t="s">
        <v>6943</v>
      </c>
      <c r="M10192" s="334">
        <v>480</v>
      </c>
      <c r="N10192" s="362">
        <f t="shared" si="361"/>
        <v>480</v>
      </c>
    </row>
    <row r="10193" customHeight="1" spans="2:14">
      <c r="B10193" s="334" t="s">
        <v>47</v>
      </c>
      <c r="C10193" s="334" t="s">
        <v>80</v>
      </c>
      <c r="D10193" s="334" t="s">
        <v>49</v>
      </c>
      <c r="E10193" s="336">
        <v>43825</v>
      </c>
      <c r="G10193" s="336">
        <v>43825</v>
      </c>
      <c r="H10193" s="334" t="s">
        <v>11901</v>
      </c>
      <c r="I10193" s="334">
        <v>13901843291</v>
      </c>
      <c r="J10193" s="334" t="s">
        <v>15315</v>
      </c>
      <c r="M10193" s="334">
        <v>280</v>
      </c>
      <c r="N10193" s="362">
        <f t="shared" si="361"/>
        <v>280</v>
      </c>
    </row>
    <row r="10194" customHeight="1" spans="2:23">
      <c r="B10194" s="334" t="s">
        <v>405</v>
      </c>
      <c r="C10194" s="348" t="s">
        <v>14070</v>
      </c>
      <c r="D10194" s="335" t="s">
        <v>407</v>
      </c>
      <c r="E10194" s="438" t="s">
        <v>20531</v>
      </c>
      <c r="G10194" s="350"/>
      <c r="H10194" s="435" t="s">
        <v>13660</v>
      </c>
      <c r="I10194" s="516">
        <v>13916535190</v>
      </c>
      <c r="J10194" s="517" t="s">
        <v>20532</v>
      </c>
      <c r="K10194" s="356">
        <v>1000</v>
      </c>
      <c r="L10194" s="362"/>
      <c r="M10194" s="362"/>
      <c r="N10194" s="362">
        <f t="shared" si="361"/>
        <v>0</v>
      </c>
      <c r="O10194" s="356"/>
      <c r="P10194" s="356"/>
      <c r="Q10194" s="356"/>
      <c r="R10194" s="502" t="s">
        <v>52</v>
      </c>
      <c r="S10194" s="356"/>
      <c r="T10194" s="356"/>
      <c r="U10194" s="372"/>
      <c r="V10194" s="372"/>
      <c r="W10194" s="372" t="s">
        <v>20533</v>
      </c>
    </row>
    <row r="10195" customHeight="1" spans="2:23">
      <c r="B10195" s="334" t="s">
        <v>405</v>
      </c>
      <c r="C10195" s="348" t="s">
        <v>1234</v>
      </c>
      <c r="D10195" s="335" t="s">
        <v>407</v>
      </c>
      <c r="E10195" s="438" t="s">
        <v>20534</v>
      </c>
      <c r="G10195" s="350"/>
      <c r="H10195" s="515" t="s">
        <v>17132</v>
      </c>
      <c r="I10195" s="518">
        <v>13661601946</v>
      </c>
      <c r="J10195" s="515" t="s">
        <v>20535</v>
      </c>
      <c r="K10195" s="356">
        <v>1000</v>
      </c>
      <c r="L10195" s="362"/>
      <c r="M10195" s="362"/>
      <c r="N10195" s="362">
        <f t="shared" si="361"/>
        <v>0</v>
      </c>
      <c r="O10195" s="356"/>
      <c r="P10195" s="404"/>
      <c r="Q10195" s="356"/>
      <c r="R10195" s="502" t="s">
        <v>52</v>
      </c>
      <c r="S10195" s="356"/>
      <c r="T10195" s="356"/>
      <c r="U10195" s="372"/>
      <c r="V10195" s="372"/>
      <c r="W10195" s="353"/>
    </row>
    <row r="10196" customHeight="1" spans="2:23">
      <c r="B10196" s="334" t="s">
        <v>405</v>
      </c>
      <c r="C10196" s="348" t="s">
        <v>1234</v>
      </c>
      <c r="D10196" s="335" t="s">
        <v>407</v>
      </c>
      <c r="E10196" s="438" t="s">
        <v>20536</v>
      </c>
      <c r="G10196" s="350"/>
      <c r="H10196" s="515" t="s">
        <v>20537</v>
      </c>
      <c r="I10196" s="518">
        <v>13122182288</v>
      </c>
      <c r="J10196" s="515" t="s">
        <v>20538</v>
      </c>
      <c r="K10196" s="356">
        <v>10000</v>
      </c>
      <c r="L10196" s="362"/>
      <c r="M10196" s="362"/>
      <c r="N10196" s="362">
        <f t="shared" si="361"/>
        <v>0</v>
      </c>
      <c r="O10196" s="356"/>
      <c r="P10196" s="404"/>
      <c r="Q10196" s="356"/>
      <c r="R10196" s="502" t="s">
        <v>52</v>
      </c>
      <c r="S10196" s="356"/>
      <c r="T10196" s="356"/>
      <c r="U10196" s="372"/>
      <c r="V10196" s="372"/>
      <c r="W10196" s="372" t="s">
        <v>20539</v>
      </c>
    </row>
    <row r="10197" customHeight="1" spans="2:23">
      <c r="B10197" s="334" t="s">
        <v>405</v>
      </c>
      <c r="C10197" s="348" t="s">
        <v>1234</v>
      </c>
      <c r="D10197" s="335" t="s">
        <v>407</v>
      </c>
      <c r="E10197" s="438" t="s">
        <v>20540</v>
      </c>
      <c r="G10197" s="350"/>
      <c r="H10197" s="470" t="s">
        <v>20541</v>
      </c>
      <c r="I10197" s="334">
        <v>13774236975</v>
      </c>
      <c r="J10197" s="334" t="s">
        <v>6179</v>
      </c>
      <c r="K10197" s="356" t="s">
        <v>20542</v>
      </c>
      <c r="L10197" s="362"/>
      <c r="M10197" s="362"/>
      <c r="N10197" s="362">
        <f t="shared" si="361"/>
        <v>0</v>
      </c>
      <c r="O10197" s="356"/>
      <c r="P10197" s="404"/>
      <c r="Q10197" s="356"/>
      <c r="R10197" s="356"/>
      <c r="S10197" s="356"/>
      <c r="T10197" s="502" t="s">
        <v>52</v>
      </c>
      <c r="U10197" s="372"/>
      <c r="V10197" s="372"/>
      <c r="W10197" s="372"/>
    </row>
    <row r="10198" customHeight="1" spans="2:22">
      <c r="B10198" s="330" t="s">
        <v>6313</v>
      </c>
      <c r="C10198" s="330" t="s">
        <v>7818</v>
      </c>
      <c r="D10198" s="335" t="s">
        <v>7871</v>
      </c>
      <c r="H10198" s="330" t="s">
        <v>20543</v>
      </c>
      <c r="I10198" s="330">
        <v>17717344907</v>
      </c>
      <c r="J10198" s="330" t="s">
        <v>20544</v>
      </c>
      <c r="N10198" s="362">
        <f t="shared" ref="N10198:N10212" si="362">L10198+M10198</f>
        <v>0</v>
      </c>
      <c r="V10198" s="330" t="s">
        <v>20545</v>
      </c>
    </row>
    <row r="10199" customHeight="1" spans="1:15">
      <c r="A10199" s="348"/>
      <c r="B10199" s="334" t="s">
        <v>153</v>
      </c>
      <c r="C10199" s="348" t="s">
        <v>154</v>
      </c>
      <c r="D10199" s="334" t="s">
        <v>155</v>
      </c>
      <c r="F10199" s="336" t="s">
        <v>20546</v>
      </c>
      <c r="G10199" s="399"/>
      <c r="H10199" s="334" t="s">
        <v>20547</v>
      </c>
      <c r="I10199" s="426">
        <v>18616632501</v>
      </c>
      <c r="J10199" s="367" t="s">
        <v>20548</v>
      </c>
      <c r="K10199" s="470">
        <v>1000</v>
      </c>
      <c r="N10199" s="362">
        <f t="shared" si="362"/>
        <v>0</v>
      </c>
      <c r="O10199" s="353" t="s">
        <v>19</v>
      </c>
    </row>
    <row r="10200" customHeight="1" spans="1:15">
      <c r="A10200" s="348"/>
      <c r="B10200" s="334" t="s">
        <v>153</v>
      </c>
      <c r="C10200" s="348" t="s">
        <v>154</v>
      </c>
      <c r="D10200" s="334" t="s">
        <v>155</v>
      </c>
      <c r="F10200" s="336" t="s">
        <v>20549</v>
      </c>
      <c r="G10200" s="399"/>
      <c r="H10200" s="334" t="s">
        <v>3801</v>
      </c>
      <c r="I10200" s="426">
        <v>13524552265</v>
      </c>
      <c r="J10200" s="367" t="s">
        <v>20550</v>
      </c>
      <c r="K10200" s="470">
        <v>1000</v>
      </c>
      <c r="N10200" s="362">
        <f t="shared" si="362"/>
        <v>0</v>
      </c>
      <c r="O10200" s="353" t="s">
        <v>19</v>
      </c>
    </row>
    <row r="10201" customHeight="1" spans="1:22">
      <c r="A10201" s="348"/>
      <c r="B10201" s="334" t="s">
        <v>153</v>
      </c>
      <c r="C10201" s="348" t="s">
        <v>154</v>
      </c>
      <c r="D10201" s="334" t="s">
        <v>155</v>
      </c>
      <c r="F10201" s="336" t="s">
        <v>20551</v>
      </c>
      <c r="G10201" s="350" t="s">
        <v>231</v>
      </c>
      <c r="H10201" s="334" t="s">
        <v>16164</v>
      </c>
      <c r="I10201" s="426">
        <v>13681910013</v>
      </c>
      <c r="J10201" s="334" t="s">
        <v>20552</v>
      </c>
      <c r="K10201" s="455"/>
      <c r="L10201" s="338">
        <v>15000</v>
      </c>
      <c r="N10201" s="362">
        <f t="shared" si="362"/>
        <v>15000</v>
      </c>
      <c r="O10201" s="353"/>
      <c r="V10201" s="353" t="s">
        <v>20553</v>
      </c>
    </row>
    <row r="10202" customHeight="1" spans="1:22">
      <c r="A10202" s="348"/>
      <c r="B10202" s="334" t="s">
        <v>153</v>
      </c>
      <c r="C10202" s="348" t="s">
        <v>154</v>
      </c>
      <c r="D10202" s="334" t="s">
        <v>155</v>
      </c>
      <c r="F10202" s="336" t="s">
        <v>20536</v>
      </c>
      <c r="G10202" s="350" t="s">
        <v>231</v>
      </c>
      <c r="H10202" s="334" t="s">
        <v>15358</v>
      </c>
      <c r="I10202" s="426">
        <v>18918213680</v>
      </c>
      <c r="J10202" s="334" t="s">
        <v>20554</v>
      </c>
      <c r="K10202" s="455"/>
      <c r="L10202" s="338">
        <v>18329</v>
      </c>
      <c r="N10202" s="362">
        <f t="shared" si="362"/>
        <v>18329</v>
      </c>
      <c r="O10202" s="353"/>
      <c r="V10202" s="353" t="s">
        <v>20553</v>
      </c>
    </row>
    <row r="10203" customHeight="1" spans="1:22">
      <c r="A10203" s="348"/>
      <c r="B10203" s="334" t="s">
        <v>153</v>
      </c>
      <c r="C10203" s="348" t="s">
        <v>302</v>
      </c>
      <c r="D10203" s="334" t="s">
        <v>155</v>
      </c>
      <c r="F10203" s="336" t="s">
        <v>20555</v>
      </c>
      <c r="G10203" s="399"/>
      <c r="H10203" s="334" t="s">
        <v>17375</v>
      </c>
      <c r="I10203" s="426">
        <v>17898818762</v>
      </c>
      <c r="J10203" s="334" t="s">
        <v>17376</v>
      </c>
      <c r="K10203" s="455"/>
      <c r="N10203" s="362">
        <f t="shared" si="362"/>
        <v>0</v>
      </c>
      <c r="O10203" s="353"/>
      <c r="V10203" s="353" t="s">
        <v>20553</v>
      </c>
    </row>
    <row r="10204" customHeight="1" spans="1:22">
      <c r="A10204" s="348"/>
      <c r="B10204" s="334" t="s">
        <v>153</v>
      </c>
      <c r="C10204" s="348" t="s">
        <v>302</v>
      </c>
      <c r="D10204" s="334" t="s">
        <v>155</v>
      </c>
      <c r="E10204" s="336">
        <v>43834</v>
      </c>
      <c r="F10204" s="336" t="s">
        <v>20556</v>
      </c>
      <c r="G10204" s="336">
        <v>43830</v>
      </c>
      <c r="H10204" s="334" t="s">
        <v>2202</v>
      </c>
      <c r="I10204" s="444">
        <v>13764428851</v>
      </c>
      <c r="J10204" s="348" t="s">
        <v>20557</v>
      </c>
      <c r="K10204" s="452"/>
      <c r="M10204" s="334">
        <v>21920</v>
      </c>
      <c r="N10204" s="362">
        <f t="shared" si="362"/>
        <v>21920</v>
      </c>
      <c r="O10204" s="353"/>
      <c r="V10204" s="353" t="s">
        <v>20553</v>
      </c>
    </row>
    <row r="10205" customHeight="1" spans="1:15">
      <c r="A10205" s="550" t="s">
        <v>4326</v>
      </c>
      <c r="B10205" s="334" t="s">
        <v>35</v>
      </c>
      <c r="C10205" s="348" t="s">
        <v>392</v>
      </c>
      <c r="D10205" s="335" t="s">
        <v>37</v>
      </c>
      <c r="E10205" s="336">
        <v>43826</v>
      </c>
      <c r="F10205" s="336">
        <v>43826</v>
      </c>
      <c r="G10205" s="399"/>
      <c r="H10205" s="334" t="s">
        <v>20558</v>
      </c>
      <c r="I10205" s="444">
        <v>15026990960</v>
      </c>
      <c r="J10205" s="438" t="s">
        <v>20559</v>
      </c>
      <c r="K10205" s="356">
        <v>4598</v>
      </c>
      <c r="N10205" s="362">
        <f t="shared" si="362"/>
        <v>0</v>
      </c>
      <c r="O10205" s="356" t="s">
        <v>52</v>
      </c>
    </row>
    <row r="10206" customHeight="1" spans="1:15">
      <c r="A10206" s="550" t="s">
        <v>1927</v>
      </c>
      <c r="B10206" s="334" t="s">
        <v>185</v>
      </c>
      <c r="C10206" s="348" t="s">
        <v>886</v>
      </c>
      <c r="D10206" s="335" t="s">
        <v>187</v>
      </c>
      <c r="E10206" s="336">
        <v>43826</v>
      </c>
      <c r="F10206" s="336">
        <v>43826</v>
      </c>
      <c r="G10206" s="399"/>
      <c r="H10206" s="334" t="s">
        <v>17368</v>
      </c>
      <c r="I10206" s="444">
        <v>13917286325</v>
      </c>
      <c r="J10206" s="438" t="s">
        <v>20560</v>
      </c>
      <c r="K10206" s="356">
        <v>1049</v>
      </c>
      <c r="N10206" s="362">
        <f t="shared" si="362"/>
        <v>0</v>
      </c>
      <c r="O10206" s="467" t="s">
        <v>52</v>
      </c>
    </row>
    <row r="10207" customHeight="1" spans="1:17">
      <c r="A10207" s="550" t="s">
        <v>9099</v>
      </c>
      <c r="B10207" s="334" t="s">
        <v>58</v>
      </c>
      <c r="C10207" s="348" t="s">
        <v>109</v>
      </c>
      <c r="D10207" s="335" t="s">
        <v>110</v>
      </c>
      <c r="E10207" s="336">
        <v>43826</v>
      </c>
      <c r="F10207" s="336">
        <v>43826</v>
      </c>
      <c r="G10207" s="399"/>
      <c r="H10207" s="334" t="s">
        <v>9035</v>
      </c>
      <c r="I10207" s="444">
        <v>13818071333</v>
      </c>
      <c r="J10207" s="438" t="s">
        <v>20561</v>
      </c>
      <c r="K10207" s="356">
        <v>1000</v>
      </c>
      <c r="N10207" s="362">
        <f t="shared" si="362"/>
        <v>0</v>
      </c>
      <c r="Q10207" s="366" t="s">
        <v>52</v>
      </c>
    </row>
    <row r="10208" customHeight="1" spans="1:14">
      <c r="A10208" s="348">
        <v>2068442</v>
      </c>
      <c r="B10208" s="334" t="s">
        <v>47</v>
      </c>
      <c r="C10208" s="348" t="s">
        <v>53</v>
      </c>
      <c r="D10208" s="334" t="s">
        <v>19871</v>
      </c>
      <c r="E10208" s="336">
        <v>43827</v>
      </c>
      <c r="F10208" s="336">
        <v>43826</v>
      </c>
      <c r="G10208" s="336">
        <v>43827</v>
      </c>
      <c r="H10208" s="334" t="s">
        <v>20562</v>
      </c>
      <c r="I10208" s="444">
        <v>13916267666</v>
      </c>
      <c r="J10208" s="438" t="s">
        <v>20563</v>
      </c>
      <c r="K10208" s="356">
        <v>3239</v>
      </c>
      <c r="L10208" s="334">
        <v>5489</v>
      </c>
      <c r="N10208" s="362">
        <f t="shared" si="362"/>
        <v>5489</v>
      </c>
    </row>
    <row r="10209" customHeight="1" spans="1:15">
      <c r="A10209" s="348"/>
      <c r="B10209" s="334" t="s">
        <v>47</v>
      </c>
      <c r="C10209" s="348" t="s">
        <v>53</v>
      </c>
      <c r="D10209" s="335" t="s">
        <v>49</v>
      </c>
      <c r="E10209" s="336">
        <v>43826</v>
      </c>
      <c r="F10209" s="336">
        <v>43806</v>
      </c>
      <c r="G10209" s="399"/>
      <c r="H10209" s="334" t="s">
        <v>20564</v>
      </c>
      <c r="I10209" s="444">
        <v>13671959831</v>
      </c>
      <c r="J10209" s="438" t="s">
        <v>20565</v>
      </c>
      <c r="K10209" s="356">
        <v>1000</v>
      </c>
      <c r="N10209" s="362">
        <f t="shared" si="362"/>
        <v>0</v>
      </c>
      <c r="O10209" s="353" t="s">
        <v>52</v>
      </c>
    </row>
    <row r="10210" customHeight="1" spans="1:14">
      <c r="A10210" s="348"/>
      <c r="B10210" s="334" t="s">
        <v>185</v>
      </c>
      <c r="C10210" s="348" t="s">
        <v>1620</v>
      </c>
      <c r="D10210" s="334" t="s">
        <v>44</v>
      </c>
      <c r="E10210" s="336">
        <v>43826</v>
      </c>
      <c r="F10210" s="336">
        <v>43826</v>
      </c>
      <c r="G10210" s="399">
        <v>43826</v>
      </c>
      <c r="H10210" s="334" t="s">
        <v>20566</v>
      </c>
      <c r="I10210" s="444">
        <v>13761327500</v>
      </c>
      <c r="J10210" s="348" t="s">
        <v>20567</v>
      </c>
      <c r="K10210" s="356">
        <v>1000</v>
      </c>
      <c r="L10210" s="334">
        <v>6636</v>
      </c>
      <c r="N10210" s="362">
        <f t="shared" si="362"/>
        <v>6636</v>
      </c>
    </row>
    <row r="10211" customHeight="1" spans="1:14">
      <c r="A10211" s="550" t="s">
        <v>20568</v>
      </c>
      <c r="B10211" s="334" t="s">
        <v>137</v>
      </c>
      <c r="C10211" s="348" t="s">
        <v>406</v>
      </c>
      <c r="D10211" s="335" t="s">
        <v>443</v>
      </c>
      <c r="E10211" s="336">
        <v>43835</v>
      </c>
      <c r="F10211" s="336">
        <v>43826</v>
      </c>
      <c r="G10211" s="336">
        <v>43834</v>
      </c>
      <c r="H10211" s="334" t="s">
        <v>20569</v>
      </c>
      <c r="I10211" s="444">
        <v>17317326717</v>
      </c>
      <c r="J10211" s="438" t="s">
        <v>20570</v>
      </c>
      <c r="K10211" s="356">
        <v>3000</v>
      </c>
      <c r="L10211" s="334">
        <v>4161</v>
      </c>
      <c r="N10211" s="362">
        <f t="shared" si="362"/>
        <v>4161</v>
      </c>
    </row>
    <row r="10212" customHeight="1" spans="2:14">
      <c r="B10212" s="334" t="s">
        <v>73</v>
      </c>
      <c r="C10212" s="334" t="s">
        <v>74</v>
      </c>
      <c r="D10212" s="334" t="s">
        <v>187</v>
      </c>
      <c r="E10212" s="336">
        <v>43826</v>
      </c>
      <c r="G10212" s="336">
        <v>43826</v>
      </c>
      <c r="H10212" s="334" t="s">
        <v>20571</v>
      </c>
      <c r="I10212" s="444">
        <v>18117551793</v>
      </c>
      <c r="J10212" s="348" t="s">
        <v>20572</v>
      </c>
      <c r="L10212" s="334">
        <v>36434</v>
      </c>
      <c r="N10212" s="362">
        <f t="shared" ref="N10212:N10220" si="363">L10212+M10212</f>
        <v>36434</v>
      </c>
    </row>
    <row r="10213" customHeight="1" spans="2:14">
      <c r="B10213" s="334" t="s">
        <v>281</v>
      </c>
      <c r="C10213" s="334" t="s">
        <v>517</v>
      </c>
      <c r="D10213" s="334" t="s">
        <v>518</v>
      </c>
      <c r="E10213" s="336">
        <v>43826</v>
      </c>
      <c r="G10213" s="336">
        <v>43826</v>
      </c>
      <c r="H10213" s="334" t="s">
        <v>20573</v>
      </c>
      <c r="I10213" s="444">
        <v>13311660950</v>
      </c>
      <c r="J10213" s="348" t="s">
        <v>20574</v>
      </c>
      <c r="L10213" s="334">
        <v>21000</v>
      </c>
      <c r="N10213" s="362">
        <f t="shared" si="363"/>
        <v>21000</v>
      </c>
    </row>
    <row r="10214" customHeight="1" spans="2:14">
      <c r="B10214" s="334" t="s">
        <v>66</v>
      </c>
      <c r="C10214" s="334" t="s">
        <v>1749</v>
      </c>
      <c r="D10214" s="334" t="s">
        <v>1436</v>
      </c>
      <c r="E10214" s="336">
        <v>43826</v>
      </c>
      <c r="G10214" s="336">
        <v>43824</v>
      </c>
      <c r="H10214" s="334" t="s">
        <v>14251</v>
      </c>
      <c r="I10214" s="444">
        <v>13701697338</v>
      </c>
      <c r="J10214" s="348" t="s">
        <v>14252</v>
      </c>
      <c r="M10214" s="334">
        <v>102</v>
      </c>
      <c r="N10214" s="362">
        <f t="shared" si="363"/>
        <v>102</v>
      </c>
    </row>
    <row r="10215" customHeight="1" spans="2:14">
      <c r="B10215" s="334" t="s">
        <v>31</v>
      </c>
      <c r="C10215" s="334" t="s">
        <v>251</v>
      </c>
      <c r="D10215" s="334" t="s">
        <v>33</v>
      </c>
      <c r="E10215" s="336">
        <v>43826</v>
      </c>
      <c r="G10215" s="336">
        <v>43822</v>
      </c>
      <c r="H10215" s="334" t="s">
        <v>13451</v>
      </c>
      <c r="I10215" s="356">
        <v>18017121757</v>
      </c>
      <c r="J10215" s="348" t="s">
        <v>20575</v>
      </c>
      <c r="M10215" s="334">
        <v>1561</v>
      </c>
      <c r="N10215" s="362">
        <f t="shared" si="363"/>
        <v>1561</v>
      </c>
    </row>
    <row r="10216" customHeight="1" spans="2:14">
      <c r="B10216" s="334" t="s">
        <v>169</v>
      </c>
      <c r="C10216" s="334" t="s">
        <v>15883</v>
      </c>
      <c r="D10216" s="334" t="s">
        <v>171</v>
      </c>
      <c r="E10216" s="336">
        <v>43826</v>
      </c>
      <c r="G10216" s="336">
        <v>43817</v>
      </c>
      <c r="H10216" s="334" t="s">
        <v>19888</v>
      </c>
      <c r="I10216" s="444">
        <v>15601652109</v>
      </c>
      <c r="J10216" s="438" t="s">
        <v>20576</v>
      </c>
      <c r="M10216" s="334">
        <v>584</v>
      </c>
      <c r="N10216" s="362">
        <f t="shared" si="363"/>
        <v>584</v>
      </c>
    </row>
    <row r="10217" customHeight="1" spans="2:14">
      <c r="B10217" s="487" t="s">
        <v>137</v>
      </c>
      <c r="C10217" s="334" t="s">
        <v>406</v>
      </c>
      <c r="D10217" s="334" t="s">
        <v>427</v>
      </c>
      <c r="E10217" s="336">
        <v>43826</v>
      </c>
      <c r="G10217" s="336">
        <v>43826</v>
      </c>
      <c r="H10217" s="334" t="s">
        <v>14658</v>
      </c>
      <c r="I10217" s="334">
        <v>13818213172</v>
      </c>
      <c r="J10217" s="334" t="s">
        <v>14659</v>
      </c>
      <c r="M10217" s="334">
        <v>50</v>
      </c>
      <c r="N10217" s="362">
        <f t="shared" si="363"/>
        <v>50</v>
      </c>
    </row>
    <row r="10218" customHeight="1" spans="2:14">
      <c r="B10218" s="334" t="s">
        <v>281</v>
      </c>
      <c r="C10218" s="334" t="s">
        <v>517</v>
      </c>
      <c r="D10218" s="334" t="s">
        <v>518</v>
      </c>
      <c r="E10218" s="336">
        <v>43826</v>
      </c>
      <c r="G10218" s="336">
        <v>43822</v>
      </c>
      <c r="H10218" s="334" t="s">
        <v>20017</v>
      </c>
      <c r="I10218" s="444">
        <v>17701824405</v>
      </c>
      <c r="J10218" s="438" t="s">
        <v>20018</v>
      </c>
      <c r="M10218" s="334">
        <v>3214</v>
      </c>
      <c r="N10218" s="362">
        <f t="shared" si="363"/>
        <v>3214</v>
      </c>
    </row>
    <row r="10219" customHeight="1" spans="2:14">
      <c r="B10219" s="334" t="s">
        <v>47</v>
      </c>
      <c r="C10219" s="334" t="s">
        <v>80</v>
      </c>
      <c r="D10219" s="335" t="s">
        <v>49</v>
      </c>
      <c r="E10219" s="336">
        <v>43826</v>
      </c>
      <c r="G10219" s="336">
        <v>43826</v>
      </c>
      <c r="H10219" s="334" t="s">
        <v>11901</v>
      </c>
      <c r="I10219" s="334">
        <v>13901843291</v>
      </c>
      <c r="J10219" s="334" t="s">
        <v>15315</v>
      </c>
      <c r="M10219" s="334">
        <v>6600</v>
      </c>
      <c r="N10219" s="362">
        <f t="shared" si="363"/>
        <v>6600</v>
      </c>
    </row>
    <row r="10220" customHeight="1" spans="1:14">
      <c r="A10220" s="348"/>
      <c r="B10220" s="334" t="s">
        <v>5336</v>
      </c>
      <c r="C10220" s="348" t="s">
        <v>5336</v>
      </c>
      <c r="D10220" s="335" t="s">
        <v>8334</v>
      </c>
      <c r="E10220" s="336">
        <v>43829</v>
      </c>
      <c r="F10220" s="336">
        <v>43826</v>
      </c>
      <c r="G10220" s="336">
        <v>43827</v>
      </c>
      <c r="H10220" s="334" t="s">
        <v>20577</v>
      </c>
      <c r="I10220" s="444">
        <v>13916185556</v>
      </c>
      <c r="J10220" s="438" t="s">
        <v>20578</v>
      </c>
      <c r="K10220" s="356">
        <v>7777</v>
      </c>
      <c r="L10220" s="334">
        <v>7777</v>
      </c>
      <c r="N10220" s="362">
        <f t="shared" si="363"/>
        <v>7777</v>
      </c>
    </row>
    <row r="10221" customHeight="1" spans="1:14">
      <c r="A10221" s="550" t="s">
        <v>6594</v>
      </c>
      <c r="B10221" s="334" t="s">
        <v>58</v>
      </c>
      <c r="C10221" s="348" t="s">
        <v>347</v>
      </c>
      <c r="D10221" s="334" t="s">
        <v>343</v>
      </c>
      <c r="E10221" s="336">
        <v>43827</v>
      </c>
      <c r="F10221" s="336">
        <v>43827</v>
      </c>
      <c r="G10221" s="399">
        <v>43827</v>
      </c>
      <c r="H10221" s="334" t="s">
        <v>20579</v>
      </c>
      <c r="I10221" s="444">
        <v>13801953213</v>
      </c>
      <c r="J10221" s="438" t="s">
        <v>20580</v>
      </c>
      <c r="K10221" s="356">
        <v>73715</v>
      </c>
      <c r="L10221" s="334">
        <v>73715</v>
      </c>
      <c r="N10221" s="362">
        <f t="shared" ref="N10221:N10231" si="364">L10221+M10221</f>
        <v>73715</v>
      </c>
    </row>
    <row r="10222" customHeight="1" spans="1:14">
      <c r="A10222" s="550" t="s">
        <v>20581</v>
      </c>
      <c r="B10222" s="334" t="s">
        <v>405</v>
      </c>
      <c r="C10222" s="348" t="s">
        <v>14070</v>
      </c>
      <c r="D10222" s="335" t="s">
        <v>407</v>
      </c>
      <c r="E10222" s="336">
        <v>43827</v>
      </c>
      <c r="F10222" s="336">
        <v>43826</v>
      </c>
      <c r="G10222" s="399"/>
      <c r="H10222" s="334" t="s">
        <v>20582</v>
      </c>
      <c r="I10222" s="444">
        <v>13818283293</v>
      </c>
      <c r="J10222" s="438" t="s">
        <v>20583</v>
      </c>
      <c r="K10222" s="356">
        <v>2299</v>
      </c>
      <c r="N10222" s="362">
        <f t="shared" si="364"/>
        <v>0</v>
      </c>
    </row>
    <row r="10223" customHeight="1" spans="1:14">
      <c r="A10223" s="550" t="s">
        <v>20584</v>
      </c>
      <c r="B10223" s="334" t="s">
        <v>31</v>
      </c>
      <c r="C10223" s="348" t="s">
        <v>220</v>
      </c>
      <c r="D10223" s="335" t="s">
        <v>221</v>
      </c>
      <c r="E10223" s="336">
        <v>43827</v>
      </c>
      <c r="F10223" s="336">
        <v>43827</v>
      </c>
      <c r="G10223" s="399"/>
      <c r="H10223" s="334" t="s">
        <v>20585</v>
      </c>
      <c r="I10223" s="444">
        <v>13818274227</v>
      </c>
      <c r="J10223" s="438" t="s">
        <v>20586</v>
      </c>
      <c r="K10223" s="356">
        <v>5000</v>
      </c>
      <c r="N10223" s="362">
        <f t="shared" si="364"/>
        <v>0</v>
      </c>
    </row>
    <row r="10224" customHeight="1" spans="1:14">
      <c r="A10224" s="550" t="s">
        <v>18288</v>
      </c>
      <c r="B10224" s="334" t="s">
        <v>42</v>
      </c>
      <c r="C10224" s="348" t="s">
        <v>43</v>
      </c>
      <c r="D10224" s="335" t="s">
        <v>207</v>
      </c>
      <c r="E10224" s="336">
        <v>43828</v>
      </c>
      <c r="F10224" s="336">
        <v>43820</v>
      </c>
      <c r="G10224" s="336">
        <v>43828</v>
      </c>
      <c r="H10224" s="334" t="s">
        <v>20587</v>
      </c>
      <c r="I10224" s="444">
        <v>13917787569</v>
      </c>
      <c r="J10224" s="438" t="s">
        <v>20588</v>
      </c>
      <c r="K10224" s="356">
        <v>50000</v>
      </c>
      <c r="L10224" s="334">
        <v>49937</v>
      </c>
      <c r="N10224" s="362">
        <f t="shared" si="364"/>
        <v>49937</v>
      </c>
    </row>
    <row r="10225" customHeight="1" spans="1:14">
      <c r="A10225" s="550" t="s">
        <v>8240</v>
      </c>
      <c r="B10225" s="334" t="s">
        <v>354</v>
      </c>
      <c r="C10225" s="348" t="s">
        <v>355</v>
      </c>
      <c r="D10225" s="334" t="s">
        <v>237</v>
      </c>
      <c r="E10225" s="336">
        <v>43830</v>
      </c>
      <c r="F10225" s="336">
        <v>43827</v>
      </c>
      <c r="G10225" s="336">
        <v>43830</v>
      </c>
      <c r="H10225" s="334" t="s">
        <v>20589</v>
      </c>
      <c r="I10225" s="444">
        <v>13816626463</v>
      </c>
      <c r="J10225" s="438" t="s">
        <v>20590</v>
      </c>
      <c r="K10225" s="356">
        <v>500</v>
      </c>
      <c r="L10225" s="334">
        <v>7420</v>
      </c>
      <c r="N10225" s="362">
        <f t="shared" si="364"/>
        <v>7420</v>
      </c>
    </row>
    <row r="10226" customHeight="1" spans="1:15">
      <c r="A10226" s="550" t="s">
        <v>20591</v>
      </c>
      <c r="B10226" s="334" t="s">
        <v>185</v>
      </c>
      <c r="C10226" s="348" t="s">
        <v>20303</v>
      </c>
      <c r="D10226" s="335" t="s">
        <v>44</v>
      </c>
      <c r="E10226" s="336">
        <v>43827</v>
      </c>
      <c r="F10226" s="336">
        <v>43827</v>
      </c>
      <c r="G10226" s="399"/>
      <c r="H10226" s="334" t="s">
        <v>20592</v>
      </c>
      <c r="I10226" s="444">
        <v>13524284766</v>
      </c>
      <c r="J10226" s="438" t="s">
        <v>20593</v>
      </c>
      <c r="K10226" s="356">
        <v>1000</v>
      </c>
      <c r="N10226" s="362">
        <f t="shared" si="364"/>
        <v>0</v>
      </c>
      <c r="O10226" s="467" t="s">
        <v>52</v>
      </c>
    </row>
    <row r="10227" customHeight="1" spans="1:14">
      <c r="A10227" s="550" t="s">
        <v>14959</v>
      </c>
      <c r="B10227" s="334" t="s">
        <v>16169</v>
      </c>
      <c r="C10227" s="334" t="s">
        <v>16170</v>
      </c>
      <c r="D10227" s="334" t="s">
        <v>271</v>
      </c>
      <c r="E10227" s="336">
        <v>43827</v>
      </c>
      <c r="F10227" s="336">
        <v>43827</v>
      </c>
      <c r="G10227" s="399">
        <v>43827</v>
      </c>
      <c r="H10227" s="334" t="s">
        <v>20594</v>
      </c>
      <c r="I10227" s="444">
        <v>13817800086</v>
      </c>
      <c r="J10227" s="348" t="s">
        <v>20595</v>
      </c>
      <c r="K10227" s="356">
        <v>2000</v>
      </c>
      <c r="L10227" s="334">
        <v>14400</v>
      </c>
      <c r="N10227" s="362">
        <f t="shared" si="364"/>
        <v>14400</v>
      </c>
    </row>
    <row r="10228" customHeight="1" spans="1:14">
      <c r="A10228" s="550" t="s">
        <v>20596</v>
      </c>
      <c r="B10228" s="334" t="s">
        <v>354</v>
      </c>
      <c r="C10228" s="348" t="s">
        <v>355</v>
      </c>
      <c r="D10228" s="334" t="s">
        <v>237</v>
      </c>
      <c r="E10228" s="336">
        <v>43828</v>
      </c>
      <c r="F10228" s="336">
        <v>43827</v>
      </c>
      <c r="G10228" s="336">
        <v>43827</v>
      </c>
      <c r="H10228" s="334" t="s">
        <v>20597</v>
      </c>
      <c r="I10228" s="444">
        <v>13564666890</v>
      </c>
      <c r="J10228" s="438" t="s">
        <v>20598</v>
      </c>
      <c r="K10228" s="356">
        <v>2148</v>
      </c>
      <c r="L10228" s="334">
        <v>2585</v>
      </c>
      <c r="N10228" s="362">
        <f t="shared" si="364"/>
        <v>2585</v>
      </c>
    </row>
    <row r="10229" customHeight="1" spans="1:15">
      <c r="A10229" s="550" t="s">
        <v>11088</v>
      </c>
      <c r="B10229" s="334" t="s">
        <v>73</v>
      </c>
      <c r="C10229" s="348" t="s">
        <v>178</v>
      </c>
      <c r="D10229" s="335" t="s">
        <v>75</v>
      </c>
      <c r="E10229" s="336">
        <v>43827</v>
      </c>
      <c r="F10229" s="336">
        <v>43827</v>
      </c>
      <c r="G10229" s="399"/>
      <c r="H10229" s="334" t="s">
        <v>20599</v>
      </c>
      <c r="I10229" s="444">
        <v>13162516266</v>
      </c>
      <c r="J10229" s="438" t="s">
        <v>20600</v>
      </c>
      <c r="K10229" s="356">
        <v>1000</v>
      </c>
      <c r="N10229" s="362">
        <f t="shared" si="364"/>
        <v>0</v>
      </c>
      <c r="O10229" s="405" t="s">
        <v>52</v>
      </c>
    </row>
    <row r="10230" customHeight="1" spans="1:15">
      <c r="A10230" s="550" t="s">
        <v>8337</v>
      </c>
      <c r="B10230" s="334" t="s">
        <v>185</v>
      </c>
      <c r="C10230" s="348" t="s">
        <v>886</v>
      </c>
      <c r="D10230" s="335" t="s">
        <v>187</v>
      </c>
      <c r="E10230" s="336">
        <v>43827</v>
      </c>
      <c r="F10230" s="336">
        <v>43827</v>
      </c>
      <c r="G10230" s="399"/>
      <c r="H10230" s="334" t="s">
        <v>20601</v>
      </c>
      <c r="I10230" s="444">
        <v>18601782972</v>
      </c>
      <c r="J10230" s="438" t="s">
        <v>20602</v>
      </c>
      <c r="K10230" s="356">
        <v>1000</v>
      </c>
      <c r="N10230" s="362">
        <f t="shared" si="364"/>
        <v>0</v>
      </c>
      <c r="O10230" s="467" t="s">
        <v>52</v>
      </c>
    </row>
    <row r="10231" customHeight="1" spans="1:14">
      <c r="A10231" s="550" t="s">
        <v>7385</v>
      </c>
      <c r="B10231" s="334" t="s">
        <v>87</v>
      </c>
      <c r="C10231" s="348" t="s">
        <v>1757</v>
      </c>
      <c r="D10231" s="335" t="s">
        <v>89</v>
      </c>
      <c r="E10231" s="336">
        <v>43830</v>
      </c>
      <c r="F10231" s="336">
        <v>43827</v>
      </c>
      <c r="G10231" s="336">
        <v>43830</v>
      </c>
      <c r="H10231" s="334" t="s">
        <v>20603</v>
      </c>
      <c r="I10231" s="444">
        <v>17740810029</v>
      </c>
      <c r="J10231" s="438" t="s">
        <v>20604</v>
      </c>
      <c r="K10231" s="356">
        <v>1000</v>
      </c>
      <c r="L10231" s="334">
        <v>51000</v>
      </c>
      <c r="N10231" s="362">
        <f t="shared" si="364"/>
        <v>51000</v>
      </c>
    </row>
    <row r="10232" customHeight="1" spans="2:14">
      <c r="B10232" s="334" t="s">
        <v>236</v>
      </c>
      <c r="C10232" s="334" t="s">
        <v>703</v>
      </c>
      <c r="D10232" s="334" t="s">
        <v>207</v>
      </c>
      <c r="E10232" s="336">
        <v>43827</v>
      </c>
      <c r="G10232" s="336">
        <v>43825</v>
      </c>
      <c r="H10232" s="334" t="s">
        <v>16687</v>
      </c>
      <c r="I10232" s="444">
        <v>13817228837</v>
      </c>
      <c r="J10232" s="438" t="s">
        <v>16688</v>
      </c>
      <c r="M10232" s="334">
        <v>900</v>
      </c>
      <c r="N10232" s="362">
        <f t="shared" ref="N10232:N10250" si="365">L10232+M10232</f>
        <v>900</v>
      </c>
    </row>
    <row r="10233" customHeight="1" spans="2:14">
      <c r="B10233" s="334" t="s">
        <v>185</v>
      </c>
      <c r="C10233" s="334" t="s">
        <v>4146</v>
      </c>
      <c r="D10233" s="334" t="s">
        <v>187</v>
      </c>
      <c r="E10233" s="336">
        <v>43827</v>
      </c>
      <c r="G10233" s="336">
        <v>43822</v>
      </c>
      <c r="H10233" s="334" t="s">
        <v>8477</v>
      </c>
      <c r="I10233" s="444">
        <v>13916184733</v>
      </c>
      <c r="J10233" s="438" t="s">
        <v>8478</v>
      </c>
      <c r="M10233" s="334">
        <v>3100</v>
      </c>
      <c r="N10233" s="362">
        <f t="shared" si="365"/>
        <v>3100</v>
      </c>
    </row>
    <row r="10234" customHeight="1" spans="2:14">
      <c r="B10234" s="334" t="s">
        <v>66</v>
      </c>
      <c r="C10234" s="334" t="s">
        <v>119</v>
      </c>
      <c r="D10234" s="334" t="s">
        <v>2302</v>
      </c>
      <c r="E10234" s="336">
        <v>43827</v>
      </c>
      <c r="G10234" s="336">
        <v>43826</v>
      </c>
      <c r="H10234" s="334" t="s">
        <v>3547</v>
      </c>
      <c r="I10234" s="444">
        <v>18017728831</v>
      </c>
      <c r="J10234" s="348" t="s">
        <v>17811</v>
      </c>
      <c r="M10234" s="334">
        <v>1031</v>
      </c>
      <c r="N10234" s="362">
        <f t="shared" si="365"/>
        <v>1031</v>
      </c>
    </row>
    <row r="10235" customHeight="1" spans="2:14">
      <c r="B10235" s="334" t="s">
        <v>42</v>
      </c>
      <c r="C10235" s="334" t="s">
        <v>43</v>
      </c>
      <c r="D10235" s="334" t="s">
        <v>44</v>
      </c>
      <c r="E10235" s="336">
        <v>43827</v>
      </c>
      <c r="G10235" s="336">
        <v>43827</v>
      </c>
      <c r="H10235" s="334" t="s">
        <v>16750</v>
      </c>
      <c r="I10235" s="444">
        <v>13501667494</v>
      </c>
      <c r="J10235" s="348" t="s">
        <v>20605</v>
      </c>
      <c r="M10235" s="334">
        <v>4647</v>
      </c>
      <c r="N10235" s="362">
        <f t="shared" si="365"/>
        <v>4647</v>
      </c>
    </row>
    <row r="10236" customHeight="1" spans="2:14">
      <c r="B10236" s="334" t="s">
        <v>205</v>
      </c>
      <c r="C10236" s="334" t="s">
        <v>1467</v>
      </c>
      <c r="D10236" s="334" t="s">
        <v>207</v>
      </c>
      <c r="E10236" s="336">
        <v>43827</v>
      </c>
      <c r="G10236" s="336">
        <v>43827</v>
      </c>
      <c r="H10236" s="334" t="s">
        <v>16879</v>
      </c>
      <c r="I10236" s="444">
        <v>13816863386</v>
      </c>
      <c r="J10236" s="348" t="s">
        <v>16880</v>
      </c>
      <c r="M10236" s="334">
        <v>-6024</v>
      </c>
      <c r="N10236" s="362">
        <f t="shared" si="365"/>
        <v>-6024</v>
      </c>
    </row>
    <row r="10237" customHeight="1" spans="2:14">
      <c r="B10237" s="334" t="s">
        <v>73</v>
      </c>
      <c r="C10237" s="334" t="s">
        <v>74</v>
      </c>
      <c r="D10237" s="334" t="s">
        <v>427</v>
      </c>
      <c r="E10237" s="336">
        <v>43827</v>
      </c>
      <c r="G10237" s="336">
        <v>43825</v>
      </c>
      <c r="H10237" s="334" t="s">
        <v>16820</v>
      </c>
      <c r="I10237" s="444">
        <v>13918345576</v>
      </c>
      <c r="J10237" s="438" t="s">
        <v>16821</v>
      </c>
      <c r="M10237" s="334">
        <v>11442</v>
      </c>
      <c r="N10237" s="362">
        <f t="shared" si="365"/>
        <v>11442</v>
      </c>
    </row>
    <row r="10238" customHeight="1" spans="2:14">
      <c r="B10238" s="334" t="s">
        <v>73</v>
      </c>
      <c r="C10238" s="334" t="s">
        <v>74</v>
      </c>
      <c r="D10238" s="334" t="s">
        <v>427</v>
      </c>
      <c r="E10238" s="336">
        <v>43827</v>
      </c>
      <c r="G10238" s="336">
        <v>43827</v>
      </c>
      <c r="H10238" s="334" t="s">
        <v>15347</v>
      </c>
      <c r="I10238" s="444">
        <v>13901997338</v>
      </c>
      <c r="J10238" s="348" t="s">
        <v>20606</v>
      </c>
      <c r="M10238" s="334">
        <v>1942</v>
      </c>
      <c r="N10238" s="362">
        <f t="shared" si="365"/>
        <v>1942</v>
      </c>
    </row>
    <row r="10239" customHeight="1" spans="2:14">
      <c r="B10239" s="334" t="s">
        <v>58</v>
      </c>
      <c r="C10239" s="334" t="s">
        <v>347</v>
      </c>
      <c r="D10239" s="334" t="s">
        <v>343</v>
      </c>
      <c r="E10239" s="336">
        <v>43827</v>
      </c>
      <c r="G10239" s="336">
        <v>43825</v>
      </c>
      <c r="H10239" s="334" t="s">
        <v>11851</v>
      </c>
      <c r="I10239" s="444">
        <v>18801830678</v>
      </c>
      <c r="J10239" s="426" t="s">
        <v>11852</v>
      </c>
      <c r="M10239" s="334">
        <v>2101</v>
      </c>
      <c r="N10239" s="362">
        <f t="shared" si="365"/>
        <v>2101</v>
      </c>
    </row>
    <row r="10240" customHeight="1" spans="2:14">
      <c r="B10240" s="334" t="s">
        <v>42</v>
      </c>
      <c r="C10240" s="334" t="s">
        <v>43</v>
      </c>
      <c r="D10240" s="334" t="s">
        <v>207</v>
      </c>
      <c r="E10240" s="336">
        <v>43827</v>
      </c>
      <c r="G10240" s="336">
        <v>43827</v>
      </c>
      <c r="H10240" s="334" t="s">
        <v>12812</v>
      </c>
      <c r="I10240" s="334">
        <v>15618792566</v>
      </c>
      <c r="J10240" s="334" t="s">
        <v>18869</v>
      </c>
      <c r="M10240" s="334">
        <v>103</v>
      </c>
      <c r="N10240" s="362">
        <f t="shared" si="365"/>
        <v>103</v>
      </c>
    </row>
    <row r="10241" customHeight="1" spans="2:14">
      <c r="B10241" s="334" t="s">
        <v>137</v>
      </c>
      <c r="C10241" s="334" t="s">
        <v>411</v>
      </c>
      <c r="D10241" s="334" t="s">
        <v>139</v>
      </c>
      <c r="E10241" s="336">
        <v>43827</v>
      </c>
      <c r="G10241" s="336">
        <v>43827</v>
      </c>
      <c r="H10241" s="334" t="s">
        <v>16543</v>
      </c>
      <c r="I10241" s="465">
        <v>13916697266</v>
      </c>
      <c r="J10241" s="445" t="s">
        <v>16544</v>
      </c>
      <c r="M10241" s="334">
        <v>1880</v>
      </c>
      <c r="N10241" s="362">
        <f t="shared" si="365"/>
        <v>1880</v>
      </c>
    </row>
    <row r="10242" customHeight="1" spans="2:14">
      <c r="B10242" s="334" t="s">
        <v>73</v>
      </c>
      <c r="C10242" s="334" t="s">
        <v>178</v>
      </c>
      <c r="D10242" s="334" t="s">
        <v>75</v>
      </c>
      <c r="E10242" s="336">
        <v>43827</v>
      </c>
      <c r="G10242" s="336">
        <v>43827</v>
      </c>
      <c r="H10242" s="334" t="s">
        <v>3301</v>
      </c>
      <c r="I10242" s="444">
        <v>13818470543</v>
      </c>
      <c r="J10242" s="348" t="s">
        <v>20607</v>
      </c>
      <c r="M10242" s="334">
        <v>805</v>
      </c>
      <c r="N10242" s="362">
        <f t="shared" si="365"/>
        <v>805</v>
      </c>
    </row>
    <row r="10243" customHeight="1" spans="1:14">
      <c r="A10243" s="550" t="s">
        <v>20223</v>
      </c>
      <c r="B10243" s="334" t="s">
        <v>147</v>
      </c>
      <c r="C10243" s="348" t="s">
        <v>13719</v>
      </c>
      <c r="D10243" s="334" t="s">
        <v>237</v>
      </c>
      <c r="E10243" s="336">
        <v>43830</v>
      </c>
      <c r="F10243" s="336">
        <v>43828</v>
      </c>
      <c r="G10243" s="336">
        <v>43830</v>
      </c>
      <c r="H10243" s="334" t="s">
        <v>2634</v>
      </c>
      <c r="I10243" s="444">
        <v>13818349089</v>
      </c>
      <c r="J10243" s="438" t="s">
        <v>20608</v>
      </c>
      <c r="K10243" s="356">
        <v>10000</v>
      </c>
      <c r="L10243" s="334">
        <v>10000</v>
      </c>
      <c r="N10243" s="362">
        <f t="shared" si="365"/>
        <v>10000</v>
      </c>
    </row>
    <row r="10244" customHeight="1" spans="1:14">
      <c r="A10244" s="550" t="s">
        <v>8237</v>
      </c>
      <c r="B10244" s="334" t="s">
        <v>58</v>
      </c>
      <c r="C10244" s="348" t="s">
        <v>794</v>
      </c>
      <c r="D10244" s="334" t="s">
        <v>271</v>
      </c>
      <c r="E10244" s="336">
        <v>43830</v>
      </c>
      <c r="F10244" s="336">
        <v>43827</v>
      </c>
      <c r="G10244" s="336">
        <v>43830</v>
      </c>
      <c r="H10244" s="334" t="s">
        <v>20609</v>
      </c>
      <c r="I10244" s="444">
        <v>13166029601</v>
      </c>
      <c r="J10244" s="438" t="s">
        <v>20610</v>
      </c>
      <c r="K10244" s="356">
        <v>6000</v>
      </c>
      <c r="L10244" s="334">
        <v>5980</v>
      </c>
      <c r="N10244" s="362">
        <f t="shared" si="365"/>
        <v>5980</v>
      </c>
    </row>
    <row r="10245" customHeight="1" spans="1:14">
      <c r="A10245" s="550" t="s">
        <v>6729</v>
      </c>
      <c r="B10245" s="334" t="s">
        <v>31</v>
      </c>
      <c r="C10245" s="348" t="s">
        <v>220</v>
      </c>
      <c r="D10245" s="335" t="s">
        <v>33</v>
      </c>
      <c r="E10245" s="336">
        <v>43828</v>
      </c>
      <c r="F10245" s="336">
        <v>43827</v>
      </c>
      <c r="G10245" s="399"/>
      <c r="H10245" s="334" t="s">
        <v>20611</v>
      </c>
      <c r="I10245" s="444">
        <v>13971292330</v>
      </c>
      <c r="J10245" s="438" t="s">
        <v>20612</v>
      </c>
      <c r="K10245" s="356">
        <f>1000+28118</f>
        <v>29118</v>
      </c>
      <c r="N10245" s="362">
        <f t="shared" si="365"/>
        <v>0</v>
      </c>
    </row>
    <row r="10246" customHeight="1" spans="1:14">
      <c r="A10246" s="550" t="s">
        <v>15940</v>
      </c>
      <c r="B10246" s="334" t="s">
        <v>153</v>
      </c>
      <c r="C10246" s="348" t="s">
        <v>154</v>
      </c>
      <c r="D10246" s="335" t="s">
        <v>155</v>
      </c>
      <c r="E10246" s="336">
        <v>43830</v>
      </c>
      <c r="F10246" s="336">
        <v>43827</v>
      </c>
      <c r="G10246" s="336">
        <v>43830</v>
      </c>
      <c r="H10246" s="334" t="s">
        <v>20613</v>
      </c>
      <c r="I10246" s="444">
        <v>18918652266</v>
      </c>
      <c r="J10246" s="438" t="s">
        <v>20614</v>
      </c>
      <c r="K10246" s="356">
        <v>3000</v>
      </c>
      <c r="L10246" s="334">
        <v>14194</v>
      </c>
      <c r="N10246" s="362">
        <f t="shared" si="365"/>
        <v>14194</v>
      </c>
    </row>
    <row r="10247" customHeight="1" spans="1:14">
      <c r="A10247" s="550" t="s">
        <v>13502</v>
      </c>
      <c r="B10247" s="334" t="s">
        <v>66</v>
      </c>
      <c r="C10247" s="348" t="s">
        <v>119</v>
      </c>
      <c r="D10247" s="334" t="s">
        <v>1436</v>
      </c>
      <c r="E10247" s="336">
        <v>43836</v>
      </c>
      <c r="F10247" s="336">
        <v>43827</v>
      </c>
      <c r="G10247" s="336">
        <v>43836</v>
      </c>
      <c r="H10247" s="334" t="s">
        <v>2196</v>
      </c>
      <c r="I10247" s="444">
        <v>13621776870</v>
      </c>
      <c r="J10247" s="438" t="s">
        <v>20615</v>
      </c>
      <c r="K10247" s="356">
        <v>1000</v>
      </c>
      <c r="L10247" s="334">
        <v>4919</v>
      </c>
      <c r="N10247" s="362">
        <f t="shared" si="365"/>
        <v>4919</v>
      </c>
    </row>
    <row r="10248" customHeight="1" spans="1:15">
      <c r="A10248" s="550" t="s">
        <v>4733</v>
      </c>
      <c r="B10248" s="334" t="s">
        <v>73</v>
      </c>
      <c r="C10248" s="348" t="s">
        <v>74</v>
      </c>
      <c r="D10248" s="335" t="s">
        <v>75</v>
      </c>
      <c r="E10248" s="336">
        <v>43828</v>
      </c>
      <c r="F10248" s="336">
        <v>43827</v>
      </c>
      <c r="G10248" s="399"/>
      <c r="H10248" s="334" t="s">
        <v>20616</v>
      </c>
      <c r="I10248" s="444">
        <v>18916028759</v>
      </c>
      <c r="J10248" s="438" t="s">
        <v>20617</v>
      </c>
      <c r="K10248" s="356">
        <v>1000</v>
      </c>
      <c r="N10248" s="362">
        <f t="shared" si="365"/>
        <v>0</v>
      </c>
      <c r="O10248" s="405" t="s">
        <v>52</v>
      </c>
    </row>
    <row r="10249" customHeight="1" spans="1:14">
      <c r="A10249" s="550" t="s">
        <v>20618</v>
      </c>
      <c r="B10249" s="334" t="s">
        <v>335</v>
      </c>
      <c r="C10249" s="348" t="s">
        <v>615</v>
      </c>
      <c r="D10249" s="334" t="s">
        <v>337</v>
      </c>
      <c r="E10249" s="336">
        <v>43828</v>
      </c>
      <c r="F10249" s="336">
        <v>43827</v>
      </c>
      <c r="G10249" s="399">
        <v>43827</v>
      </c>
      <c r="H10249" s="334" t="s">
        <v>20619</v>
      </c>
      <c r="I10249" s="444">
        <v>18918936813</v>
      </c>
      <c r="J10249" s="438" t="s">
        <v>20620</v>
      </c>
      <c r="K10249" s="356">
        <v>7137</v>
      </c>
      <c r="L10249" s="334">
        <v>7137</v>
      </c>
      <c r="N10249" s="362">
        <f t="shared" si="365"/>
        <v>7137</v>
      </c>
    </row>
    <row r="10250" customHeight="1" spans="1:14">
      <c r="A10250" s="550" t="s">
        <v>20621</v>
      </c>
      <c r="B10250" s="334" t="s">
        <v>281</v>
      </c>
      <c r="C10250" s="348" t="s">
        <v>491</v>
      </c>
      <c r="D10250" s="335" t="s">
        <v>49</v>
      </c>
      <c r="E10250" s="336">
        <v>43828</v>
      </c>
      <c r="F10250" s="336">
        <v>43828</v>
      </c>
      <c r="G10250" s="399"/>
      <c r="H10250" s="334" t="s">
        <v>20622</v>
      </c>
      <c r="I10250" s="444">
        <v>18721360001</v>
      </c>
      <c r="J10250" s="438" t="s">
        <v>20623</v>
      </c>
      <c r="K10250" s="356">
        <v>3000</v>
      </c>
      <c r="N10250" s="362">
        <f t="shared" si="365"/>
        <v>0</v>
      </c>
    </row>
    <row r="10251" customHeight="1" spans="1:14">
      <c r="A10251" s="550" t="s">
        <v>20624</v>
      </c>
      <c r="B10251" s="334" t="s">
        <v>137</v>
      </c>
      <c r="C10251" s="348" t="s">
        <v>861</v>
      </c>
      <c r="D10251" s="335" t="s">
        <v>139</v>
      </c>
      <c r="E10251" s="336">
        <v>43828</v>
      </c>
      <c r="F10251" s="336">
        <v>43827</v>
      </c>
      <c r="G10251" s="399"/>
      <c r="H10251" s="334" t="s">
        <v>20625</v>
      </c>
      <c r="I10251" s="444">
        <v>17898847029</v>
      </c>
      <c r="J10251" s="438" t="s">
        <v>20626</v>
      </c>
      <c r="K10251" s="356">
        <v>1000</v>
      </c>
      <c r="N10251" s="362">
        <f t="shared" ref="N10251:N10263" si="366">L10251+M10251</f>
        <v>0</v>
      </c>
    </row>
    <row r="10252" customHeight="1" spans="1:14">
      <c r="A10252" s="348"/>
      <c r="B10252" s="334" t="s">
        <v>94</v>
      </c>
      <c r="C10252" s="348" t="s">
        <v>95</v>
      </c>
      <c r="D10252" s="335" t="s">
        <v>49</v>
      </c>
      <c r="E10252" s="336">
        <v>43838</v>
      </c>
      <c r="F10252" s="336">
        <v>43827</v>
      </c>
      <c r="G10252" s="336">
        <v>43838</v>
      </c>
      <c r="H10252" s="334" t="s">
        <v>20627</v>
      </c>
      <c r="I10252" s="444">
        <v>15201963616</v>
      </c>
      <c r="J10252" s="438" t="s">
        <v>20628</v>
      </c>
      <c r="K10252" s="356">
        <v>1000</v>
      </c>
      <c r="L10252" s="334">
        <v>6121</v>
      </c>
      <c r="N10252" s="362">
        <f t="shared" si="366"/>
        <v>6121</v>
      </c>
    </row>
    <row r="10253" customHeight="1" spans="1:16">
      <c r="A10253" s="348">
        <v>2068444</v>
      </c>
      <c r="B10253" s="334" t="s">
        <v>47</v>
      </c>
      <c r="C10253" s="348" t="s">
        <v>80</v>
      </c>
      <c r="D10253" s="335" t="s">
        <v>49</v>
      </c>
      <c r="E10253" s="336">
        <v>43828</v>
      </c>
      <c r="F10253" s="336">
        <v>43827</v>
      </c>
      <c r="G10253" s="399"/>
      <c r="H10253" s="334" t="s">
        <v>8048</v>
      </c>
      <c r="I10253" s="444">
        <v>13681611027</v>
      </c>
      <c r="J10253" s="438" t="s">
        <v>20629</v>
      </c>
      <c r="K10253" s="356">
        <v>1000</v>
      </c>
      <c r="N10253" s="362">
        <f t="shared" si="366"/>
        <v>0</v>
      </c>
      <c r="P10253" s="353" t="s">
        <v>52</v>
      </c>
    </row>
    <row r="10254" customHeight="1" spans="1:16">
      <c r="A10254" s="550" t="s">
        <v>20630</v>
      </c>
      <c r="B10254" s="334" t="s">
        <v>153</v>
      </c>
      <c r="C10254" s="348" t="s">
        <v>302</v>
      </c>
      <c r="D10254" s="335" t="s">
        <v>155</v>
      </c>
      <c r="E10254" s="336">
        <v>43828</v>
      </c>
      <c r="F10254" s="336">
        <v>43828</v>
      </c>
      <c r="G10254" s="399"/>
      <c r="H10254" s="334" t="s">
        <v>20631</v>
      </c>
      <c r="I10254" s="444">
        <v>13501822308</v>
      </c>
      <c r="J10254" s="438" t="s">
        <v>20632</v>
      </c>
      <c r="K10254" s="356">
        <v>1000</v>
      </c>
      <c r="N10254" s="362">
        <f t="shared" si="366"/>
        <v>0</v>
      </c>
      <c r="P10254" s="467" t="s">
        <v>52</v>
      </c>
    </row>
    <row r="10255" customHeight="1" spans="1:14">
      <c r="A10255" s="550" t="s">
        <v>2004</v>
      </c>
      <c r="B10255" s="334" t="s">
        <v>354</v>
      </c>
      <c r="C10255" s="348" t="s">
        <v>355</v>
      </c>
      <c r="D10255" s="334" t="s">
        <v>237</v>
      </c>
      <c r="E10255" s="399">
        <v>43828</v>
      </c>
      <c r="F10255" s="336">
        <v>43780</v>
      </c>
      <c r="G10255" s="399">
        <v>43828</v>
      </c>
      <c r="H10255" s="334" t="s">
        <v>20633</v>
      </c>
      <c r="I10255" s="444">
        <v>13585979006</v>
      </c>
      <c r="J10255" s="438" t="s">
        <v>20634</v>
      </c>
      <c r="K10255" s="356">
        <v>5000</v>
      </c>
      <c r="L10255" s="334">
        <v>4935</v>
      </c>
      <c r="N10255" s="362">
        <f t="shared" si="366"/>
        <v>4935</v>
      </c>
    </row>
    <row r="10256" customHeight="1" spans="1:14">
      <c r="A10256" s="550" t="s">
        <v>20437</v>
      </c>
      <c r="B10256" s="334" t="s">
        <v>205</v>
      </c>
      <c r="C10256" s="348" t="s">
        <v>1467</v>
      </c>
      <c r="D10256" s="335" t="s">
        <v>207</v>
      </c>
      <c r="E10256" s="336">
        <v>43830</v>
      </c>
      <c r="F10256" s="336">
        <v>43828</v>
      </c>
      <c r="G10256" s="336">
        <v>43830</v>
      </c>
      <c r="H10256" s="334" t="s">
        <v>11821</v>
      </c>
      <c r="I10256" s="444">
        <v>18917193274</v>
      </c>
      <c r="J10256" s="438" t="s">
        <v>20635</v>
      </c>
      <c r="K10256" s="356">
        <v>8373</v>
      </c>
      <c r="L10256" s="334">
        <v>8373</v>
      </c>
      <c r="N10256" s="362">
        <f t="shared" si="366"/>
        <v>8373</v>
      </c>
    </row>
    <row r="10257" customHeight="1" spans="1:14">
      <c r="A10257" s="550" t="s">
        <v>8261</v>
      </c>
      <c r="B10257" s="334" t="s">
        <v>87</v>
      </c>
      <c r="C10257" s="348" t="s">
        <v>9318</v>
      </c>
      <c r="D10257" s="335" t="s">
        <v>89</v>
      </c>
      <c r="E10257" s="336">
        <v>43828</v>
      </c>
      <c r="F10257" s="336">
        <v>43828</v>
      </c>
      <c r="G10257" s="399"/>
      <c r="H10257" s="334" t="s">
        <v>20636</v>
      </c>
      <c r="I10257" s="444">
        <v>13761338827</v>
      </c>
      <c r="J10257" s="438" t="s">
        <v>20637</v>
      </c>
      <c r="K10257" s="356">
        <v>1000</v>
      </c>
      <c r="N10257" s="362">
        <f t="shared" si="366"/>
        <v>0</v>
      </c>
    </row>
    <row r="10258" customHeight="1" spans="1:14">
      <c r="A10258" s="550" t="s">
        <v>7814</v>
      </c>
      <c r="B10258" s="334" t="s">
        <v>123</v>
      </c>
      <c r="C10258" s="348" t="s">
        <v>902</v>
      </c>
      <c r="D10258" s="335" t="s">
        <v>125</v>
      </c>
      <c r="E10258" s="336">
        <v>43828</v>
      </c>
      <c r="F10258" s="336">
        <v>43828</v>
      </c>
      <c r="G10258" s="399"/>
      <c r="H10258" s="334" t="s">
        <v>20638</v>
      </c>
      <c r="I10258" s="444">
        <v>13916118287</v>
      </c>
      <c r="J10258" s="438" t="s">
        <v>20639</v>
      </c>
      <c r="K10258" s="356">
        <v>1000</v>
      </c>
      <c r="N10258" s="362">
        <f t="shared" si="366"/>
        <v>0</v>
      </c>
    </row>
    <row r="10259" customHeight="1" spans="1:15">
      <c r="A10259" s="550" t="s">
        <v>10342</v>
      </c>
      <c r="B10259" s="334" t="s">
        <v>58</v>
      </c>
      <c r="C10259" s="348" t="s">
        <v>59</v>
      </c>
      <c r="D10259" s="335" t="s">
        <v>271</v>
      </c>
      <c r="E10259" s="336">
        <v>43828</v>
      </c>
      <c r="F10259" s="336">
        <v>43828</v>
      </c>
      <c r="G10259" s="399"/>
      <c r="H10259" s="334" t="s">
        <v>20640</v>
      </c>
      <c r="I10259" s="444">
        <v>15250828859</v>
      </c>
      <c r="J10259" s="438" t="s">
        <v>20641</v>
      </c>
      <c r="K10259" s="356">
        <v>1000</v>
      </c>
      <c r="N10259" s="362">
        <f t="shared" si="366"/>
        <v>0</v>
      </c>
      <c r="O10259" s="366" t="s">
        <v>52</v>
      </c>
    </row>
    <row r="10260" customHeight="1" spans="1:14">
      <c r="A10260" s="348"/>
      <c r="B10260" s="334" t="s">
        <v>66</v>
      </c>
      <c r="C10260" s="348" t="s">
        <v>505</v>
      </c>
      <c r="D10260" s="335" t="s">
        <v>68</v>
      </c>
      <c r="E10260" s="336">
        <v>43828</v>
      </c>
      <c r="F10260" s="336">
        <v>43828</v>
      </c>
      <c r="G10260" s="399"/>
      <c r="H10260" s="334" t="s">
        <v>20642</v>
      </c>
      <c r="I10260" s="444">
        <v>13482216261</v>
      </c>
      <c r="J10260" s="438" t="s">
        <v>20643</v>
      </c>
      <c r="K10260" s="356">
        <v>1000</v>
      </c>
      <c r="N10260" s="362">
        <f t="shared" si="366"/>
        <v>0</v>
      </c>
    </row>
    <row r="10261" customHeight="1" spans="1:14">
      <c r="A10261" s="550" t="s">
        <v>1727</v>
      </c>
      <c r="B10261" s="334" t="s">
        <v>58</v>
      </c>
      <c r="C10261" s="348" t="s">
        <v>794</v>
      </c>
      <c r="D10261" s="335" t="s">
        <v>110</v>
      </c>
      <c r="E10261" s="336">
        <v>43828</v>
      </c>
      <c r="F10261" s="336">
        <v>43827</v>
      </c>
      <c r="G10261" s="399"/>
      <c r="H10261" s="334" t="s">
        <v>20644</v>
      </c>
      <c r="I10261" s="444">
        <v>13918977046</v>
      </c>
      <c r="J10261" s="438" t="s">
        <v>20645</v>
      </c>
      <c r="K10261" s="356">
        <v>5000</v>
      </c>
      <c r="N10261" s="362">
        <f t="shared" si="366"/>
        <v>0</v>
      </c>
    </row>
    <row r="10262" customHeight="1" spans="1:14">
      <c r="A10262" s="550" t="s">
        <v>11008</v>
      </c>
      <c r="B10262" s="334" t="s">
        <v>73</v>
      </c>
      <c r="C10262" s="348" t="s">
        <v>74</v>
      </c>
      <c r="D10262" s="334" t="s">
        <v>44</v>
      </c>
      <c r="E10262" s="336">
        <v>43837</v>
      </c>
      <c r="F10262" s="336">
        <v>43828</v>
      </c>
      <c r="G10262" s="336">
        <v>43835</v>
      </c>
      <c r="H10262" s="334" t="s">
        <v>20646</v>
      </c>
      <c r="I10262" s="444">
        <v>15901825603</v>
      </c>
      <c r="J10262" s="438" t="s">
        <v>20647</v>
      </c>
      <c r="K10262" s="356">
        <v>1000</v>
      </c>
      <c r="L10262" s="334">
        <v>9795</v>
      </c>
      <c r="N10262" s="362">
        <f t="shared" si="366"/>
        <v>9795</v>
      </c>
    </row>
    <row r="10263" customHeight="1" spans="1:14">
      <c r="A10263" s="550" t="s">
        <v>4823</v>
      </c>
      <c r="B10263" s="334" t="s">
        <v>73</v>
      </c>
      <c r="C10263" s="348" t="s">
        <v>74</v>
      </c>
      <c r="D10263" s="334" t="s">
        <v>44</v>
      </c>
      <c r="E10263" s="336">
        <v>43830</v>
      </c>
      <c r="F10263" s="336">
        <v>43828</v>
      </c>
      <c r="G10263" s="336">
        <v>43830</v>
      </c>
      <c r="H10263" s="334" t="s">
        <v>20648</v>
      </c>
      <c r="I10263" s="444">
        <v>18721690967</v>
      </c>
      <c r="J10263" s="438" t="s">
        <v>20649</v>
      </c>
      <c r="K10263" s="356">
        <v>1000</v>
      </c>
      <c r="L10263" s="334">
        <v>17637</v>
      </c>
      <c r="N10263" s="362">
        <f t="shared" si="366"/>
        <v>17637</v>
      </c>
    </row>
    <row r="10264" customHeight="1" spans="2:14">
      <c r="B10264" s="334" t="s">
        <v>16169</v>
      </c>
      <c r="C10264" s="334" t="s">
        <v>16170</v>
      </c>
      <c r="D10264" s="334" t="s">
        <v>271</v>
      </c>
      <c r="E10264" s="336">
        <v>43828</v>
      </c>
      <c r="G10264" s="336">
        <v>43827</v>
      </c>
      <c r="H10264" s="334" t="s">
        <v>20650</v>
      </c>
      <c r="I10264" s="444">
        <v>13310115655</v>
      </c>
      <c r="J10264" s="348" t="s">
        <v>20651</v>
      </c>
      <c r="L10264" s="334">
        <v>2655</v>
      </c>
      <c r="N10264" s="362">
        <f t="shared" ref="N10264:N10283" si="367">L10264+M10264</f>
        <v>2655</v>
      </c>
    </row>
    <row r="10265" customHeight="1" spans="2:14">
      <c r="B10265" s="334" t="s">
        <v>35</v>
      </c>
      <c r="C10265" s="334" t="s">
        <v>392</v>
      </c>
      <c r="D10265" s="334" t="s">
        <v>37</v>
      </c>
      <c r="E10265" s="336">
        <v>43828</v>
      </c>
      <c r="G10265" s="336">
        <v>43828</v>
      </c>
      <c r="H10265" s="334" t="s">
        <v>20652</v>
      </c>
      <c r="I10265" s="444">
        <v>18655699363</v>
      </c>
      <c r="J10265" s="348" t="s">
        <v>20653</v>
      </c>
      <c r="L10265" s="334">
        <v>13000</v>
      </c>
      <c r="N10265" s="362">
        <f t="shared" si="367"/>
        <v>13000</v>
      </c>
    </row>
    <row r="10266" customHeight="1" spans="2:14">
      <c r="B10266" s="334" t="s">
        <v>87</v>
      </c>
      <c r="C10266" s="334" t="s">
        <v>466</v>
      </c>
      <c r="D10266" s="334" t="s">
        <v>89</v>
      </c>
      <c r="E10266" s="336">
        <v>43828</v>
      </c>
      <c r="G10266" s="336">
        <v>43827</v>
      </c>
      <c r="H10266" s="334" t="s">
        <v>16459</v>
      </c>
      <c r="I10266" s="426">
        <v>13901979644</v>
      </c>
      <c r="J10266" s="334" t="s">
        <v>16460</v>
      </c>
      <c r="M10266" s="334">
        <v>4000</v>
      </c>
      <c r="N10266" s="362">
        <f t="shared" si="367"/>
        <v>4000</v>
      </c>
    </row>
    <row r="10267" customHeight="1" spans="2:14">
      <c r="B10267" s="334" t="s">
        <v>137</v>
      </c>
      <c r="C10267" s="334" t="s">
        <v>861</v>
      </c>
      <c r="D10267" s="334" t="s">
        <v>139</v>
      </c>
      <c r="E10267" s="336">
        <v>43828</v>
      </c>
      <c r="G10267" s="336">
        <v>43828</v>
      </c>
      <c r="H10267" s="334" t="s">
        <v>16898</v>
      </c>
      <c r="I10267" s="444">
        <v>18621860097</v>
      </c>
      <c r="J10267" s="438" t="s">
        <v>16899</v>
      </c>
      <c r="M10267" s="334">
        <v>1360</v>
      </c>
      <c r="N10267" s="362">
        <f t="shared" si="367"/>
        <v>1360</v>
      </c>
    </row>
    <row r="10268" customHeight="1" spans="2:14">
      <c r="B10268" s="334" t="s">
        <v>805</v>
      </c>
      <c r="C10268" s="334" t="s">
        <v>806</v>
      </c>
      <c r="D10268" s="334" t="s">
        <v>171</v>
      </c>
      <c r="E10268" s="336">
        <v>43828</v>
      </c>
      <c r="G10268" s="336">
        <v>43827</v>
      </c>
      <c r="H10268" s="334" t="s">
        <v>2510</v>
      </c>
      <c r="I10268" s="444">
        <v>13501808428</v>
      </c>
      <c r="J10268" s="348" t="s">
        <v>14525</v>
      </c>
      <c r="M10268" s="334">
        <v>1350</v>
      </c>
      <c r="N10268" s="362">
        <f t="shared" si="367"/>
        <v>1350</v>
      </c>
    </row>
    <row r="10269" customHeight="1" spans="2:14">
      <c r="B10269" s="334" t="s">
        <v>405</v>
      </c>
      <c r="C10269" s="334" t="s">
        <v>823</v>
      </c>
      <c r="D10269" s="334" t="s">
        <v>407</v>
      </c>
      <c r="E10269" s="336">
        <v>43828</v>
      </c>
      <c r="G10269" s="336">
        <v>43819</v>
      </c>
      <c r="H10269" s="334" t="s">
        <v>11885</v>
      </c>
      <c r="I10269" s="551" t="s">
        <v>20654</v>
      </c>
      <c r="J10269" s="334" t="s">
        <v>20655</v>
      </c>
      <c r="M10269" s="334">
        <v>450</v>
      </c>
      <c r="N10269" s="362">
        <f t="shared" si="367"/>
        <v>450</v>
      </c>
    </row>
    <row r="10270" customHeight="1" spans="2:14">
      <c r="B10270" s="334" t="s">
        <v>726</v>
      </c>
      <c r="C10270" s="334" t="s">
        <v>727</v>
      </c>
      <c r="D10270" s="334" t="s">
        <v>271</v>
      </c>
      <c r="E10270" s="336">
        <v>43828</v>
      </c>
      <c r="G10270" s="336">
        <v>43828</v>
      </c>
      <c r="H10270" s="334" t="s">
        <v>16718</v>
      </c>
      <c r="I10270" s="444">
        <v>13601980034</v>
      </c>
      <c r="J10270" s="438" t="s">
        <v>16719</v>
      </c>
      <c r="M10270" s="334">
        <v>3356</v>
      </c>
      <c r="N10270" s="362">
        <f t="shared" si="367"/>
        <v>3356</v>
      </c>
    </row>
    <row r="10271" customHeight="1" spans="2:14">
      <c r="B10271" s="334" t="s">
        <v>73</v>
      </c>
      <c r="C10271" s="334" t="s">
        <v>74</v>
      </c>
      <c r="D10271" s="334" t="s">
        <v>717</v>
      </c>
      <c r="E10271" s="336">
        <v>43828</v>
      </c>
      <c r="G10271" s="336">
        <v>43800</v>
      </c>
      <c r="H10271" s="334" t="s">
        <v>19176</v>
      </c>
      <c r="I10271" s="444">
        <v>15000636914</v>
      </c>
      <c r="J10271" s="334" t="s">
        <v>9927</v>
      </c>
      <c r="M10271" s="334">
        <v>18401</v>
      </c>
      <c r="N10271" s="362">
        <f t="shared" si="367"/>
        <v>18401</v>
      </c>
    </row>
    <row r="10272" customHeight="1" spans="2:14">
      <c r="B10272" s="334" t="s">
        <v>73</v>
      </c>
      <c r="C10272" s="334" t="s">
        <v>178</v>
      </c>
      <c r="D10272" s="334" t="s">
        <v>44</v>
      </c>
      <c r="E10272" s="336">
        <v>43828</v>
      </c>
      <c r="G10272" s="336">
        <v>43818</v>
      </c>
      <c r="H10272" s="334" t="s">
        <v>2565</v>
      </c>
      <c r="I10272" s="444">
        <v>13301827577</v>
      </c>
      <c r="J10272" s="438" t="s">
        <v>6724</v>
      </c>
      <c r="M10272" s="334">
        <v>12977</v>
      </c>
      <c r="N10272" s="362">
        <f t="shared" si="367"/>
        <v>12977</v>
      </c>
    </row>
    <row r="10273" customHeight="1" spans="2:14">
      <c r="B10273" s="334" t="s">
        <v>73</v>
      </c>
      <c r="C10273" s="334" t="s">
        <v>74</v>
      </c>
      <c r="D10273" s="334" t="s">
        <v>75</v>
      </c>
      <c r="E10273" s="336">
        <v>43828</v>
      </c>
      <c r="G10273" s="336">
        <v>43828</v>
      </c>
      <c r="H10273" s="334" t="s">
        <v>5204</v>
      </c>
      <c r="I10273" s="334">
        <v>15921080858</v>
      </c>
      <c r="J10273" s="334" t="s">
        <v>5205</v>
      </c>
      <c r="M10273" s="334">
        <v>1269</v>
      </c>
      <c r="N10273" s="362">
        <f t="shared" si="367"/>
        <v>1269</v>
      </c>
    </row>
    <row r="10274" customHeight="1" spans="2:14">
      <c r="B10274" s="334" t="s">
        <v>137</v>
      </c>
      <c r="C10274" s="334" t="s">
        <v>861</v>
      </c>
      <c r="D10274" s="334" t="s">
        <v>139</v>
      </c>
      <c r="E10274" s="336">
        <v>43828</v>
      </c>
      <c r="G10274" s="336">
        <v>43828</v>
      </c>
      <c r="H10274" s="334" t="s">
        <v>862</v>
      </c>
      <c r="I10274" s="334">
        <v>13061758516</v>
      </c>
      <c r="J10274" s="334" t="s">
        <v>20656</v>
      </c>
      <c r="M10274" s="334">
        <f>588+27233</f>
        <v>27821</v>
      </c>
      <c r="N10274" s="362">
        <f t="shared" si="367"/>
        <v>27821</v>
      </c>
    </row>
    <row r="10275" customHeight="1" spans="2:14">
      <c r="B10275" s="334" t="s">
        <v>31</v>
      </c>
      <c r="C10275" s="334" t="s">
        <v>377</v>
      </c>
      <c r="D10275" s="334" t="s">
        <v>221</v>
      </c>
      <c r="E10275" s="336">
        <v>43828</v>
      </c>
      <c r="G10275" s="336">
        <v>43828</v>
      </c>
      <c r="H10275" s="334" t="s">
        <v>1465</v>
      </c>
      <c r="I10275" s="444">
        <v>18918521560</v>
      </c>
      <c r="J10275" s="348" t="s">
        <v>20657</v>
      </c>
      <c r="M10275" s="334">
        <v>1569</v>
      </c>
      <c r="N10275" s="362">
        <f t="shared" si="367"/>
        <v>1569</v>
      </c>
    </row>
    <row r="10276" customHeight="1" spans="2:14">
      <c r="B10276" s="334" t="s">
        <v>185</v>
      </c>
      <c r="C10276" s="334" t="s">
        <v>886</v>
      </c>
      <c r="D10276" s="334" t="s">
        <v>187</v>
      </c>
      <c r="E10276" s="336">
        <v>43828</v>
      </c>
      <c r="G10276" s="336">
        <v>43828</v>
      </c>
      <c r="H10276" s="334" t="s">
        <v>14389</v>
      </c>
      <c r="I10276" s="334">
        <v>13341698603</v>
      </c>
      <c r="J10276" s="348" t="s">
        <v>14390</v>
      </c>
      <c r="M10276" s="334">
        <v>1000</v>
      </c>
      <c r="N10276" s="362">
        <f t="shared" si="367"/>
        <v>1000</v>
      </c>
    </row>
    <row r="10277" customHeight="1" spans="2:14">
      <c r="B10277" s="334" t="s">
        <v>73</v>
      </c>
      <c r="C10277" s="334" t="s">
        <v>178</v>
      </c>
      <c r="D10277" s="334" t="s">
        <v>717</v>
      </c>
      <c r="E10277" s="336">
        <v>43828</v>
      </c>
      <c r="G10277" s="336">
        <v>43812</v>
      </c>
      <c r="H10277" s="334" t="s">
        <v>17808</v>
      </c>
      <c r="I10277" s="444">
        <v>13002191158</v>
      </c>
      <c r="J10277" s="348" t="s">
        <v>6079</v>
      </c>
      <c r="M10277" s="334">
        <v>600</v>
      </c>
      <c r="N10277" s="362">
        <f t="shared" si="367"/>
        <v>600</v>
      </c>
    </row>
    <row r="10278" customHeight="1" spans="2:14">
      <c r="B10278" s="334" t="s">
        <v>73</v>
      </c>
      <c r="C10278" s="334" t="s">
        <v>74</v>
      </c>
      <c r="D10278" s="334" t="s">
        <v>1170</v>
      </c>
      <c r="E10278" s="336">
        <v>43828</v>
      </c>
      <c r="G10278" s="336">
        <v>43802</v>
      </c>
      <c r="H10278" s="334" t="s">
        <v>12346</v>
      </c>
      <c r="I10278" s="334">
        <v>13917305330</v>
      </c>
      <c r="J10278" s="334" t="s">
        <v>10121</v>
      </c>
      <c r="M10278" s="334">
        <v>175</v>
      </c>
      <c r="N10278" s="362">
        <f t="shared" si="367"/>
        <v>175</v>
      </c>
    </row>
    <row r="10279" customHeight="1" spans="2:14">
      <c r="B10279" s="334" t="s">
        <v>73</v>
      </c>
      <c r="C10279" s="334" t="s">
        <v>178</v>
      </c>
      <c r="D10279" s="334" t="s">
        <v>75</v>
      </c>
      <c r="E10279" s="336">
        <v>43828</v>
      </c>
      <c r="G10279" s="336">
        <v>43815</v>
      </c>
      <c r="H10279" s="334" t="s">
        <v>8684</v>
      </c>
      <c r="I10279" s="334">
        <v>18616788605</v>
      </c>
      <c r="J10279" s="334" t="s">
        <v>19693</v>
      </c>
      <c r="M10279" s="334">
        <v>307</v>
      </c>
      <c r="N10279" s="362">
        <f t="shared" si="367"/>
        <v>307</v>
      </c>
    </row>
    <row r="10280" customHeight="1" spans="2:14">
      <c r="B10280" s="334" t="s">
        <v>87</v>
      </c>
      <c r="C10280" s="334" t="s">
        <v>9318</v>
      </c>
      <c r="D10280" s="334" t="s">
        <v>89</v>
      </c>
      <c r="E10280" s="336">
        <v>43828</v>
      </c>
      <c r="G10280" s="336">
        <v>43828</v>
      </c>
      <c r="H10280" s="334" t="s">
        <v>11834</v>
      </c>
      <c r="I10280" s="334">
        <v>13524873494</v>
      </c>
      <c r="J10280" s="348" t="s">
        <v>20658</v>
      </c>
      <c r="M10280" s="334">
        <v>390</v>
      </c>
      <c r="N10280" s="362">
        <f t="shared" si="367"/>
        <v>390</v>
      </c>
    </row>
    <row r="10281" customHeight="1" spans="2:14">
      <c r="B10281" s="334" t="s">
        <v>31</v>
      </c>
      <c r="C10281" s="334" t="s">
        <v>13171</v>
      </c>
      <c r="D10281" s="334" t="s">
        <v>954</v>
      </c>
      <c r="E10281" s="336">
        <v>43828</v>
      </c>
      <c r="G10281" s="336">
        <v>43828</v>
      </c>
      <c r="H10281" s="334" t="s">
        <v>19477</v>
      </c>
      <c r="I10281" s="444">
        <v>13061690318</v>
      </c>
      <c r="J10281" s="438" t="s">
        <v>19478</v>
      </c>
      <c r="M10281" s="334">
        <v>1065</v>
      </c>
      <c r="N10281" s="362">
        <f t="shared" si="367"/>
        <v>1065</v>
      </c>
    </row>
    <row r="10282" customHeight="1" spans="2:14">
      <c r="B10282" s="334" t="s">
        <v>205</v>
      </c>
      <c r="C10282" s="334" t="s">
        <v>1467</v>
      </c>
      <c r="D10282" s="334" t="s">
        <v>207</v>
      </c>
      <c r="E10282" s="336">
        <v>43828</v>
      </c>
      <c r="G10282" s="336">
        <v>43827</v>
      </c>
      <c r="H10282" s="334" t="s">
        <v>13761</v>
      </c>
      <c r="I10282" s="334">
        <v>13621666005</v>
      </c>
      <c r="J10282" s="334" t="s">
        <v>15980</v>
      </c>
      <c r="M10282" s="334">
        <v>8115</v>
      </c>
      <c r="N10282" s="362">
        <f t="shared" si="367"/>
        <v>8115</v>
      </c>
    </row>
    <row r="10283" customHeight="1" spans="2:14">
      <c r="B10283" s="334" t="s">
        <v>58</v>
      </c>
      <c r="C10283" s="334" t="s">
        <v>347</v>
      </c>
      <c r="D10283" s="334" t="s">
        <v>343</v>
      </c>
      <c r="E10283" s="336">
        <v>43828</v>
      </c>
      <c r="G10283" s="336">
        <v>43828</v>
      </c>
      <c r="H10283" s="334" t="s">
        <v>19506</v>
      </c>
      <c r="I10283" s="444">
        <v>18616990380</v>
      </c>
      <c r="J10283" s="438" t="s">
        <v>19507</v>
      </c>
      <c r="M10283" s="334">
        <v>961</v>
      </c>
      <c r="N10283" s="362">
        <f t="shared" si="367"/>
        <v>961</v>
      </c>
    </row>
    <row r="10284" customHeight="1" spans="1:14">
      <c r="A10284" s="550" t="s">
        <v>4543</v>
      </c>
      <c r="B10284" s="334" t="s">
        <v>726</v>
      </c>
      <c r="C10284" s="348" t="s">
        <v>727</v>
      </c>
      <c r="D10284" s="334" t="s">
        <v>271</v>
      </c>
      <c r="E10284" s="336">
        <v>43829</v>
      </c>
      <c r="F10284" s="336">
        <v>43806</v>
      </c>
      <c r="G10284" s="399">
        <v>43828</v>
      </c>
      <c r="H10284" s="334" t="s">
        <v>20659</v>
      </c>
      <c r="I10284" s="444">
        <v>13918065365</v>
      </c>
      <c r="J10284" s="348" t="s">
        <v>20660</v>
      </c>
      <c r="K10284" s="356">
        <v>13577</v>
      </c>
      <c r="L10284" s="334">
        <v>13577</v>
      </c>
      <c r="N10284" s="362">
        <f t="shared" ref="N10284:N10315" si="368">L10284+M10284</f>
        <v>13577</v>
      </c>
    </row>
    <row r="10285" customHeight="1" spans="1:14">
      <c r="A10285" s="550" t="s">
        <v>18691</v>
      </c>
      <c r="B10285" s="334" t="s">
        <v>87</v>
      </c>
      <c r="C10285" s="348" t="s">
        <v>199</v>
      </c>
      <c r="D10285" s="335" t="s">
        <v>89</v>
      </c>
      <c r="E10285" s="336">
        <v>43829</v>
      </c>
      <c r="F10285" s="336">
        <v>43828</v>
      </c>
      <c r="G10285" s="399"/>
      <c r="H10285" s="334" t="s">
        <v>2702</v>
      </c>
      <c r="I10285" s="444">
        <v>18018844008</v>
      </c>
      <c r="J10285" s="438" t="s">
        <v>20661</v>
      </c>
      <c r="K10285" s="356">
        <v>1998</v>
      </c>
      <c r="N10285" s="362">
        <f t="shared" si="368"/>
        <v>0</v>
      </c>
    </row>
    <row r="10286" customHeight="1" spans="1:14">
      <c r="A10286" s="348"/>
      <c r="B10286" s="334" t="s">
        <v>205</v>
      </c>
      <c r="C10286" s="348" t="s">
        <v>1467</v>
      </c>
      <c r="D10286" s="334" t="s">
        <v>207</v>
      </c>
      <c r="E10286" s="336">
        <v>43830</v>
      </c>
      <c r="F10286" s="336">
        <v>43828</v>
      </c>
      <c r="G10286" s="336">
        <v>43830</v>
      </c>
      <c r="H10286" s="334" t="s">
        <v>20662</v>
      </c>
      <c r="I10286" s="444">
        <v>13916043582</v>
      </c>
      <c r="J10286" s="438" t="s">
        <v>20663</v>
      </c>
      <c r="K10286" s="356">
        <v>14850</v>
      </c>
      <c r="L10286" s="334">
        <v>14850</v>
      </c>
      <c r="N10286" s="362">
        <f t="shared" si="368"/>
        <v>14850</v>
      </c>
    </row>
    <row r="10287" customHeight="1" spans="1:14">
      <c r="A10287" s="550" t="s">
        <v>9716</v>
      </c>
      <c r="B10287" s="334" t="s">
        <v>137</v>
      </c>
      <c r="C10287" s="348" t="s">
        <v>480</v>
      </c>
      <c r="D10287" s="334" t="s">
        <v>2381</v>
      </c>
      <c r="E10287" s="336">
        <v>43835</v>
      </c>
      <c r="F10287" s="336">
        <v>43828</v>
      </c>
      <c r="G10287" s="336">
        <v>43834</v>
      </c>
      <c r="H10287" s="334" t="s">
        <v>20664</v>
      </c>
      <c r="I10287" s="444">
        <v>13774254617</v>
      </c>
      <c r="J10287" s="438" t="s">
        <v>20665</v>
      </c>
      <c r="K10287" s="356">
        <v>1000</v>
      </c>
      <c r="L10287" s="334">
        <v>15711</v>
      </c>
      <c r="N10287" s="362">
        <f t="shared" si="368"/>
        <v>15711</v>
      </c>
    </row>
    <row r="10288" customHeight="1" spans="1:16">
      <c r="A10288" s="550" t="s">
        <v>20666</v>
      </c>
      <c r="B10288" s="334" t="s">
        <v>236</v>
      </c>
      <c r="C10288" s="348" t="s">
        <v>703</v>
      </c>
      <c r="D10288" s="335" t="s">
        <v>237</v>
      </c>
      <c r="E10288" s="336">
        <v>43829</v>
      </c>
      <c r="F10288" s="336">
        <v>43828</v>
      </c>
      <c r="G10288" s="399"/>
      <c r="H10288" s="334" t="s">
        <v>12705</v>
      </c>
      <c r="I10288" s="444">
        <v>18601721799</v>
      </c>
      <c r="J10288" s="438" t="s">
        <v>20667</v>
      </c>
      <c r="K10288" s="356">
        <v>1700</v>
      </c>
      <c r="N10288" s="362">
        <f t="shared" si="368"/>
        <v>0</v>
      </c>
      <c r="P10288" s="353" t="s">
        <v>3729</v>
      </c>
    </row>
    <row r="10289" customHeight="1" spans="1:17">
      <c r="A10289" s="550" t="s">
        <v>20079</v>
      </c>
      <c r="B10289" s="334" t="s">
        <v>2625</v>
      </c>
      <c r="C10289" s="348" t="s">
        <v>2626</v>
      </c>
      <c r="D10289" s="335" t="s">
        <v>44</v>
      </c>
      <c r="E10289" s="336">
        <v>43829</v>
      </c>
      <c r="F10289" s="336">
        <v>43828</v>
      </c>
      <c r="G10289" s="399"/>
      <c r="H10289" s="334" t="s">
        <v>20668</v>
      </c>
      <c r="I10289" s="444">
        <v>13611904040</v>
      </c>
      <c r="J10289" s="438" t="s">
        <v>20669</v>
      </c>
      <c r="K10289" s="356">
        <v>2000</v>
      </c>
      <c r="N10289" s="362">
        <f t="shared" si="368"/>
        <v>0</v>
      </c>
      <c r="Q10289" s="353" t="s">
        <v>3660</v>
      </c>
    </row>
    <row r="10290" customHeight="1" spans="1:17">
      <c r="A10290" s="348">
        <v>2068446</v>
      </c>
      <c r="B10290" s="334" t="s">
        <v>47</v>
      </c>
      <c r="C10290" s="348" t="s">
        <v>80</v>
      </c>
      <c r="D10290" s="335" t="s">
        <v>49</v>
      </c>
      <c r="E10290" s="336">
        <v>43829</v>
      </c>
      <c r="F10290" s="336">
        <v>43828</v>
      </c>
      <c r="G10290" s="399"/>
      <c r="H10290" s="334" t="s">
        <v>20670</v>
      </c>
      <c r="I10290" s="444">
        <v>13764250299</v>
      </c>
      <c r="J10290" s="438" t="s">
        <v>20671</v>
      </c>
      <c r="K10290" s="356">
        <v>1000</v>
      </c>
      <c r="N10290" s="362">
        <f t="shared" si="368"/>
        <v>0</v>
      </c>
      <c r="Q10290" s="353" t="s">
        <v>52</v>
      </c>
    </row>
    <row r="10291" customHeight="1" spans="1:16">
      <c r="A10291" s="348">
        <v>2068445</v>
      </c>
      <c r="B10291" s="334" t="s">
        <v>47</v>
      </c>
      <c r="C10291" s="348" t="s">
        <v>53</v>
      </c>
      <c r="D10291" s="335" t="s">
        <v>49</v>
      </c>
      <c r="E10291" s="336">
        <v>43829</v>
      </c>
      <c r="F10291" s="336">
        <v>43828</v>
      </c>
      <c r="G10291" s="399"/>
      <c r="H10291" s="334" t="s">
        <v>20672</v>
      </c>
      <c r="I10291" s="444">
        <v>13820196645</v>
      </c>
      <c r="J10291" s="438" t="s">
        <v>20673</v>
      </c>
      <c r="K10291" s="356">
        <v>1000</v>
      </c>
      <c r="N10291" s="362">
        <f t="shared" si="368"/>
        <v>0</v>
      </c>
      <c r="P10291" s="353" t="s">
        <v>52</v>
      </c>
    </row>
    <row r="10292" customHeight="1" spans="1:15">
      <c r="A10292" s="348">
        <v>2068447</v>
      </c>
      <c r="B10292" s="334" t="s">
        <v>47</v>
      </c>
      <c r="C10292" s="348" t="s">
        <v>53</v>
      </c>
      <c r="D10292" s="335" t="s">
        <v>49</v>
      </c>
      <c r="E10292" s="336">
        <v>43829</v>
      </c>
      <c r="F10292" s="336">
        <v>43828</v>
      </c>
      <c r="G10292" s="399"/>
      <c r="H10292" s="334" t="s">
        <v>20674</v>
      </c>
      <c r="I10292" s="444">
        <v>13636534885</v>
      </c>
      <c r="J10292" s="438" t="s">
        <v>20675</v>
      </c>
      <c r="K10292" s="356">
        <v>1000</v>
      </c>
      <c r="N10292" s="362">
        <f t="shared" si="368"/>
        <v>0</v>
      </c>
      <c r="O10292" s="353" t="s">
        <v>52</v>
      </c>
    </row>
    <row r="10293" customHeight="1" spans="1:14">
      <c r="A10293" s="550" t="s">
        <v>20676</v>
      </c>
      <c r="B10293" s="334" t="s">
        <v>805</v>
      </c>
      <c r="C10293" s="348" t="s">
        <v>4935</v>
      </c>
      <c r="D10293" s="335" t="s">
        <v>171</v>
      </c>
      <c r="E10293" s="336">
        <v>43829</v>
      </c>
      <c r="F10293" s="336">
        <v>43828</v>
      </c>
      <c r="G10293" s="399"/>
      <c r="H10293" s="334" t="s">
        <v>20677</v>
      </c>
      <c r="I10293" s="444">
        <v>18516221766</v>
      </c>
      <c r="J10293" s="438" t="s">
        <v>20678</v>
      </c>
      <c r="K10293" s="356">
        <v>2000</v>
      </c>
      <c r="N10293" s="362">
        <f t="shared" si="368"/>
        <v>0</v>
      </c>
    </row>
    <row r="10294" customHeight="1" spans="1:14">
      <c r="A10294" s="550" t="s">
        <v>20679</v>
      </c>
      <c r="B10294" s="334" t="s">
        <v>805</v>
      </c>
      <c r="C10294" s="348" t="s">
        <v>4935</v>
      </c>
      <c r="D10294" s="335" t="s">
        <v>171</v>
      </c>
      <c r="E10294" s="336">
        <v>43829</v>
      </c>
      <c r="F10294" s="336">
        <v>43828</v>
      </c>
      <c r="G10294" s="399"/>
      <c r="H10294" s="334" t="s">
        <v>20680</v>
      </c>
      <c r="I10294" s="444">
        <v>18101877085</v>
      </c>
      <c r="J10294" s="438" t="s">
        <v>20681</v>
      </c>
      <c r="K10294" s="356">
        <v>1000</v>
      </c>
      <c r="N10294" s="362">
        <f t="shared" si="368"/>
        <v>0</v>
      </c>
    </row>
    <row r="10295" customHeight="1" spans="1:14">
      <c r="A10295" s="550" t="s">
        <v>10028</v>
      </c>
      <c r="B10295" s="334" t="s">
        <v>153</v>
      </c>
      <c r="C10295" s="348" t="s">
        <v>154</v>
      </c>
      <c r="D10295" s="334" t="s">
        <v>155</v>
      </c>
      <c r="E10295" s="336">
        <v>43829</v>
      </c>
      <c r="F10295" s="336">
        <v>43829</v>
      </c>
      <c r="G10295" s="399">
        <v>43830</v>
      </c>
      <c r="H10295" s="334" t="s">
        <v>20682</v>
      </c>
      <c r="I10295" s="444">
        <v>13918542450</v>
      </c>
      <c r="J10295" s="438" t="s">
        <v>20683</v>
      </c>
      <c r="K10295" s="356">
        <v>30000</v>
      </c>
      <c r="L10295" s="334">
        <v>30000</v>
      </c>
      <c r="N10295" s="362">
        <f t="shared" si="368"/>
        <v>30000</v>
      </c>
    </row>
    <row r="10296" customHeight="1" spans="1:14">
      <c r="A10296" s="550" t="s">
        <v>20684</v>
      </c>
      <c r="B10296" s="334" t="s">
        <v>805</v>
      </c>
      <c r="C10296" s="348" t="s">
        <v>806</v>
      </c>
      <c r="D10296" s="334" t="s">
        <v>171</v>
      </c>
      <c r="E10296" s="336">
        <v>43830</v>
      </c>
      <c r="F10296" s="336">
        <v>43829</v>
      </c>
      <c r="G10296" s="399">
        <v>43830</v>
      </c>
      <c r="H10296" s="334" t="s">
        <v>20685</v>
      </c>
      <c r="I10296" s="444">
        <v>17721141488</v>
      </c>
      <c r="J10296" s="438" t="s">
        <v>20686</v>
      </c>
      <c r="K10296" s="356">
        <v>1000</v>
      </c>
      <c r="L10296" s="334">
        <v>5184</v>
      </c>
      <c r="N10296" s="362">
        <f t="shared" si="368"/>
        <v>5184</v>
      </c>
    </row>
    <row r="10297" customHeight="1" spans="2:14">
      <c r="B10297" s="334" t="s">
        <v>31</v>
      </c>
      <c r="C10297" s="334" t="s">
        <v>2716</v>
      </c>
      <c r="D10297" s="334" t="s">
        <v>954</v>
      </c>
      <c r="E10297" s="336">
        <v>43829</v>
      </c>
      <c r="G10297" s="336">
        <v>43829</v>
      </c>
      <c r="H10297" s="334" t="s">
        <v>20687</v>
      </c>
      <c r="I10297" s="444">
        <v>13801921468</v>
      </c>
      <c r="J10297" s="438" t="s">
        <v>20688</v>
      </c>
      <c r="L10297" s="334">
        <v>10419</v>
      </c>
      <c r="N10297" s="362">
        <f t="shared" si="368"/>
        <v>10419</v>
      </c>
    </row>
    <row r="10298" customHeight="1" spans="2:14">
      <c r="B10298" s="334" t="s">
        <v>16169</v>
      </c>
      <c r="C10298" s="334" t="s">
        <v>16170</v>
      </c>
      <c r="D10298" s="334" t="s">
        <v>271</v>
      </c>
      <c r="E10298" s="336">
        <v>43829</v>
      </c>
      <c r="G10298" s="399">
        <v>43828</v>
      </c>
      <c r="H10298" s="334" t="s">
        <v>20689</v>
      </c>
      <c r="I10298" s="444">
        <v>13817547094</v>
      </c>
      <c r="J10298" s="348" t="s">
        <v>20690</v>
      </c>
      <c r="L10298" s="334">
        <v>14542</v>
      </c>
      <c r="N10298" s="362">
        <f t="shared" si="368"/>
        <v>14542</v>
      </c>
    </row>
    <row r="10299" customHeight="1" spans="2:14">
      <c r="B10299" s="334" t="s">
        <v>66</v>
      </c>
      <c r="C10299" s="348" t="s">
        <v>505</v>
      </c>
      <c r="D10299" s="334" t="s">
        <v>2302</v>
      </c>
      <c r="E10299" s="336">
        <v>43829</v>
      </c>
      <c r="F10299" s="336">
        <v>43819</v>
      </c>
      <c r="G10299" s="336">
        <v>43829</v>
      </c>
      <c r="H10299" s="334" t="s">
        <v>5282</v>
      </c>
      <c r="I10299" s="444">
        <v>15821698949</v>
      </c>
      <c r="J10299" s="438" t="s">
        <v>20691</v>
      </c>
      <c r="L10299" s="334">
        <v>10200</v>
      </c>
      <c r="N10299" s="362">
        <f t="shared" si="368"/>
        <v>10200</v>
      </c>
    </row>
    <row r="10300" customHeight="1" spans="2:14">
      <c r="B10300" s="334" t="s">
        <v>58</v>
      </c>
      <c r="C10300" s="334" t="s">
        <v>109</v>
      </c>
      <c r="D10300" s="334" t="s">
        <v>110</v>
      </c>
      <c r="E10300" s="336">
        <v>43829</v>
      </c>
      <c r="G10300" s="336">
        <v>43827</v>
      </c>
      <c r="H10300" s="334" t="s">
        <v>756</v>
      </c>
      <c r="I10300" s="444">
        <v>18521039568</v>
      </c>
      <c r="J10300" s="438" t="s">
        <v>9130</v>
      </c>
      <c r="M10300" s="334">
        <v>-310</v>
      </c>
      <c r="N10300" s="362">
        <f t="shared" si="368"/>
        <v>-310</v>
      </c>
    </row>
    <row r="10301" customHeight="1" spans="2:14">
      <c r="B10301" s="334" t="s">
        <v>236</v>
      </c>
      <c r="C10301" s="334" t="s">
        <v>195</v>
      </c>
      <c r="D10301" s="334" t="s">
        <v>207</v>
      </c>
      <c r="E10301" s="336">
        <v>43829</v>
      </c>
      <c r="G10301" s="336">
        <v>43813</v>
      </c>
      <c r="H10301" s="334" t="s">
        <v>17895</v>
      </c>
      <c r="I10301" s="444">
        <v>15900868461</v>
      </c>
      <c r="J10301" s="348" t="s">
        <v>17896</v>
      </c>
      <c r="M10301" s="334">
        <v>9500</v>
      </c>
      <c r="N10301" s="362">
        <f t="shared" si="368"/>
        <v>9500</v>
      </c>
    </row>
    <row r="10302" customHeight="1" spans="2:14">
      <c r="B10302" s="334" t="s">
        <v>31</v>
      </c>
      <c r="C10302" s="334" t="s">
        <v>32</v>
      </c>
      <c r="D10302" s="334" t="s">
        <v>221</v>
      </c>
      <c r="E10302" s="336">
        <v>43829</v>
      </c>
      <c r="G10302" s="336">
        <v>43828</v>
      </c>
      <c r="H10302" s="334" t="s">
        <v>20692</v>
      </c>
      <c r="I10302" s="356">
        <v>13795202719</v>
      </c>
      <c r="J10302" s="348" t="s">
        <v>20693</v>
      </c>
      <c r="M10302" s="334">
        <v>4172</v>
      </c>
      <c r="N10302" s="362">
        <f t="shared" si="368"/>
        <v>4172</v>
      </c>
    </row>
    <row r="10303" customHeight="1" spans="2:14">
      <c r="B10303" s="334" t="s">
        <v>315</v>
      </c>
      <c r="C10303" s="334" t="s">
        <v>181</v>
      </c>
      <c r="D10303" s="334" t="s">
        <v>182</v>
      </c>
      <c r="E10303" s="336">
        <v>43829</v>
      </c>
      <c r="G10303" s="336">
        <v>43828</v>
      </c>
      <c r="H10303" s="334" t="s">
        <v>1932</v>
      </c>
      <c r="I10303" s="444">
        <v>15061595159</v>
      </c>
      <c r="J10303" s="348" t="s">
        <v>20694</v>
      </c>
      <c r="M10303" s="334">
        <v>1700</v>
      </c>
      <c r="N10303" s="362">
        <f t="shared" si="368"/>
        <v>1700</v>
      </c>
    </row>
    <row r="10304" customHeight="1" spans="2:14">
      <c r="B10304" s="334" t="s">
        <v>66</v>
      </c>
      <c r="C10304" s="334" t="s">
        <v>119</v>
      </c>
      <c r="D10304" s="334" t="s">
        <v>68</v>
      </c>
      <c r="E10304" s="336">
        <v>43829</v>
      </c>
      <c r="G10304" s="336">
        <v>43827</v>
      </c>
      <c r="H10304" s="334" t="s">
        <v>14158</v>
      </c>
      <c r="I10304" s="444">
        <v>15618899519</v>
      </c>
      <c r="J10304" s="438" t="s">
        <v>14159</v>
      </c>
      <c r="M10304" s="334">
        <v>9668</v>
      </c>
      <c r="N10304" s="362">
        <f t="shared" si="368"/>
        <v>9668</v>
      </c>
    </row>
    <row r="10305" customHeight="1" spans="2:14">
      <c r="B10305" s="334" t="s">
        <v>31</v>
      </c>
      <c r="C10305" s="334" t="s">
        <v>2716</v>
      </c>
      <c r="D10305" s="334" t="s">
        <v>954</v>
      </c>
      <c r="E10305" s="336">
        <v>43829</v>
      </c>
      <c r="G10305" s="336">
        <v>43828</v>
      </c>
      <c r="H10305" s="334" t="s">
        <v>5193</v>
      </c>
      <c r="I10305" s="444">
        <v>17701758999</v>
      </c>
      <c r="J10305" s="438" t="s">
        <v>17230</v>
      </c>
      <c r="M10305" s="334">
        <v>585</v>
      </c>
      <c r="N10305" s="362">
        <f t="shared" si="368"/>
        <v>585</v>
      </c>
    </row>
    <row r="10306" customHeight="1" spans="2:14">
      <c r="B10306" s="334" t="s">
        <v>185</v>
      </c>
      <c r="C10306" s="334" t="s">
        <v>1204</v>
      </c>
      <c r="D10306" s="334" t="s">
        <v>44</v>
      </c>
      <c r="E10306" s="336">
        <v>43829</v>
      </c>
      <c r="G10306" s="336">
        <v>43828</v>
      </c>
      <c r="H10306" s="334" t="s">
        <v>18818</v>
      </c>
      <c r="I10306" s="444">
        <v>13361977306</v>
      </c>
      <c r="J10306" s="348" t="s">
        <v>18819</v>
      </c>
      <c r="M10306" s="334">
        <v>12000</v>
      </c>
      <c r="N10306" s="362">
        <f t="shared" si="368"/>
        <v>12000</v>
      </c>
    </row>
    <row r="10307" customHeight="1" spans="2:14">
      <c r="B10307" s="334" t="s">
        <v>31</v>
      </c>
      <c r="C10307" s="334" t="s">
        <v>377</v>
      </c>
      <c r="D10307" s="334" t="s">
        <v>221</v>
      </c>
      <c r="E10307" s="336">
        <v>43829</v>
      </c>
      <c r="G10307" s="336">
        <v>43828</v>
      </c>
      <c r="H10307" s="334" t="s">
        <v>6852</v>
      </c>
      <c r="I10307" s="444">
        <v>13651963838</v>
      </c>
      <c r="J10307" s="348" t="s">
        <v>6853</v>
      </c>
      <c r="M10307" s="334">
        <v>11870</v>
      </c>
      <c r="N10307" s="362">
        <f t="shared" si="368"/>
        <v>11870</v>
      </c>
    </row>
    <row r="10308" customHeight="1" spans="2:14">
      <c r="B10308" s="334" t="s">
        <v>185</v>
      </c>
      <c r="C10308" s="334" t="s">
        <v>1204</v>
      </c>
      <c r="D10308" s="334" t="s">
        <v>44</v>
      </c>
      <c r="E10308" s="336">
        <v>43829</v>
      </c>
      <c r="G10308" s="336">
        <v>43828</v>
      </c>
      <c r="H10308" s="334" t="s">
        <v>19005</v>
      </c>
      <c r="I10308" s="444">
        <v>13023105783</v>
      </c>
      <c r="J10308" s="444" t="s">
        <v>19006</v>
      </c>
      <c r="M10308" s="334">
        <v>1300</v>
      </c>
      <c r="N10308" s="362">
        <f t="shared" si="368"/>
        <v>1300</v>
      </c>
    </row>
    <row r="10309" customHeight="1" spans="2:14">
      <c r="B10309" s="334" t="s">
        <v>66</v>
      </c>
      <c r="C10309" s="334" t="s">
        <v>1749</v>
      </c>
      <c r="D10309" s="334" t="s">
        <v>2302</v>
      </c>
      <c r="E10309" s="336">
        <v>43829</v>
      </c>
      <c r="G10309" s="336">
        <v>43827</v>
      </c>
      <c r="H10309" s="334" t="s">
        <v>18918</v>
      </c>
      <c r="I10309" s="444">
        <v>15102179130</v>
      </c>
      <c r="J10309" s="348" t="s">
        <v>18919</v>
      </c>
      <c r="M10309" s="334">
        <v>-2826</v>
      </c>
      <c r="N10309" s="362">
        <f t="shared" si="368"/>
        <v>-2826</v>
      </c>
    </row>
    <row r="10310" customHeight="1" spans="2:14">
      <c r="B10310" s="334" t="s">
        <v>58</v>
      </c>
      <c r="C10310" s="334" t="s">
        <v>109</v>
      </c>
      <c r="D10310" s="334" t="s">
        <v>110</v>
      </c>
      <c r="E10310" s="336">
        <v>43829</v>
      </c>
      <c r="G10310" s="336">
        <v>43828</v>
      </c>
      <c r="H10310" s="334" t="s">
        <v>20412</v>
      </c>
      <c r="I10310" s="444">
        <v>13816773567</v>
      </c>
      <c r="J10310" s="348" t="s">
        <v>20413</v>
      </c>
      <c r="M10310" s="334">
        <v>-192</v>
      </c>
      <c r="N10310" s="362">
        <f t="shared" si="368"/>
        <v>-192</v>
      </c>
    </row>
    <row r="10311" customHeight="1" spans="2:14">
      <c r="B10311" s="334" t="s">
        <v>137</v>
      </c>
      <c r="C10311" s="334" t="s">
        <v>138</v>
      </c>
      <c r="D10311" s="334" t="s">
        <v>2381</v>
      </c>
      <c r="E10311" s="336">
        <v>43829</v>
      </c>
      <c r="G10311" s="336">
        <v>43829</v>
      </c>
      <c r="H10311" s="334" t="s">
        <v>17373</v>
      </c>
      <c r="I10311" s="444">
        <v>13564487708</v>
      </c>
      <c r="J10311" s="438" t="s">
        <v>20403</v>
      </c>
      <c r="M10311" s="334">
        <v>21719</v>
      </c>
      <c r="N10311" s="362">
        <f t="shared" si="368"/>
        <v>21719</v>
      </c>
    </row>
    <row r="10312" customHeight="1" spans="2:14">
      <c r="B10312" s="334" t="s">
        <v>42</v>
      </c>
      <c r="C10312" s="334" t="s">
        <v>43</v>
      </c>
      <c r="D10312" s="334" t="s">
        <v>207</v>
      </c>
      <c r="E10312" s="336">
        <v>43829</v>
      </c>
      <c r="G10312" s="336">
        <v>43829</v>
      </c>
      <c r="H10312" s="334" t="s">
        <v>12104</v>
      </c>
      <c r="I10312" s="334">
        <v>13331809227</v>
      </c>
      <c r="J10312" s="334" t="s">
        <v>12105</v>
      </c>
      <c r="M10312" s="334">
        <v>12554</v>
      </c>
      <c r="N10312" s="362">
        <f t="shared" si="368"/>
        <v>12554</v>
      </c>
    </row>
    <row r="10313" customHeight="1" spans="2:14">
      <c r="B10313" s="334" t="s">
        <v>137</v>
      </c>
      <c r="C10313" s="334" t="s">
        <v>406</v>
      </c>
      <c r="D10313" s="334" t="s">
        <v>427</v>
      </c>
      <c r="E10313" s="336">
        <v>43829</v>
      </c>
      <c r="G10313" s="336">
        <v>43827</v>
      </c>
      <c r="H10313" s="334" t="s">
        <v>11505</v>
      </c>
      <c r="I10313" s="334">
        <v>13918725101</v>
      </c>
      <c r="J10313" s="334" t="s">
        <v>20695</v>
      </c>
      <c r="M10313" s="334">
        <v>6775</v>
      </c>
      <c r="N10313" s="362">
        <f t="shared" si="368"/>
        <v>6775</v>
      </c>
    </row>
    <row r="10314" customHeight="1" spans="2:14">
      <c r="B10314" s="348" t="s">
        <v>805</v>
      </c>
      <c r="C10314" s="334" t="s">
        <v>806</v>
      </c>
      <c r="D10314" s="334" t="s">
        <v>635</v>
      </c>
      <c r="E10314" s="336">
        <v>43829</v>
      </c>
      <c r="G10314" s="336">
        <v>43827</v>
      </c>
      <c r="H10314" s="334" t="s">
        <v>7318</v>
      </c>
      <c r="I10314" s="356">
        <v>13901970782</v>
      </c>
      <c r="J10314" s="348" t="s">
        <v>7319</v>
      </c>
      <c r="M10314" s="334">
        <v>1435</v>
      </c>
      <c r="N10314" s="362">
        <f t="shared" si="368"/>
        <v>1435</v>
      </c>
    </row>
    <row r="10315" customHeight="1" spans="2:14">
      <c r="B10315" s="334" t="s">
        <v>87</v>
      </c>
      <c r="C10315" s="334" t="s">
        <v>199</v>
      </c>
      <c r="D10315" s="334" t="s">
        <v>89</v>
      </c>
      <c r="E10315" s="336">
        <v>43829</v>
      </c>
      <c r="G10315" s="336">
        <v>43828</v>
      </c>
      <c r="H10315" s="334" t="s">
        <v>5870</v>
      </c>
      <c r="I10315" s="444">
        <v>13321826925</v>
      </c>
      <c r="J10315" s="438" t="s">
        <v>5871</v>
      </c>
      <c r="M10315" s="334">
        <v>2939</v>
      </c>
      <c r="N10315" s="362">
        <f t="shared" si="368"/>
        <v>2939</v>
      </c>
    </row>
    <row r="10316" customHeight="1" spans="1:14">
      <c r="A10316" s="550" t="s">
        <v>3931</v>
      </c>
      <c r="B10316" s="334" t="s">
        <v>66</v>
      </c>
      <c r="C10316" s="348" t="s">
        <v>119</v>
      </c>
      <c r="D10316" s="335" t="s">
        <v>2302</v>
      </c>
      <c r="E10316" s="336">
        <v>43830</v>
      </c>
      <c r="F10316" s="336">
        <v>43829</v>
      </c>
      <c r="G10316" s="399"/>
      <c r="H10316" s="334" t="s">
        <v>10388</v>
      </c>
      <c r="I10316" s="444">
        <v>13601843996</v>
      </c>
      <c r="J10316" s="438" t="s">
        <v>20696</v>
      </c>
      <c r="K10316" s="356">
        <v>500</v>
      </c>
      <c r="N10316" s="362">
        <f t="shared" ref="N10316:N10360" si="369">L10316+M10316</f>
        <v>0</v>
      </c>
    </row>
    <row r="10317" customHeight="1" spans="1:14">
      <c r="A10317" s="550" t="s">
        <v>3537</v>
      </c>
      <c r="B10317" s="334" t="s">
        <v>137</v>
      </c>
      <c r="C10317" s="348" t="s">
        <v>411</v>
      </c>
      <c r="D10317" s="334" t="s">
        <v>443</v>
      </c>
      <c r="E10317" s="336">
        <v>43830</v>
      </c>
      <c r="F10317" s="336">
        <v>43829</v>
      </c>
      <c r="G10317" s="399">
        <v>43830</v>
      </c>
      <c r="H10317" s="334" t="s">
        <v>20697</v>
      </c>
      <c r="I10317" s="444">
        <v>18621685095</v>
      </c>
      <c r="J10317" s="438" t="s">
        <v>20698</v>
      </c>
      <c r="K10317" s="356">
        <v>500</v>
      </c>
      <c r="L10317" s="334">
        <v>8570</v>
      </c>
      <c r="N10317" s="362">
        <f t="shared" si="369"/>
        <v>8570</v>
      </c>
    </row>
    <row r="10318" customHeight="1" spans="1:14">
      <c r="A10318" s="550" t="s">
        <v>20699</v>
      </c>
      <c r="B10318" s="334" t="s">
        <v>137</v>
      </c>
      <c r="C10318" s="348" t="s">
        <v>411</v>
      </c>
      <c r="D10318" s="335" t="s">
        <v>443</v>
      </c>
      <c r="E10318" s="336">
        <v>43830</v>
      </c>
      <c r="F10318" s="336">
        <v>43829</v>
      </c>
      <c r="G10318" s="399"/>
      <c r="H10318" s="334" t="s">
        <v>8034</v>
      </c>
      <c r="I10318" s="444">
        <v>17701818063</v>
      </c>
      <c r="J10318" s="438" t="s">
        <v>20700</v>
      </c>
      <c r="K10318" s="356">
        <v>500</v>
      </c>
      <c r="N10318" s="362">
        <f t="shared" si="369"/>
        <v>0</v>
      </c>
    </row>
    <row r="10319" customHeight="1" spans="1:14">
      <c r="A10319" s="550" t="s">
        <v>9666</v>
      </c>
      <c r="B10319" s="334" t="s">
        <v>66</v>
      </c>
      <c r="C10319" s="348" t="s">
        <v>15301</v>
      </c>
      <c r="D10319" s="335" t="s">
        <v>2302</v>
      </c>
      <c r="E10319" s="336">
        <v>43830</v>
      </c>
      <c r="F10319" s="336">
        <v>43829</v>
      </c>
      <c r="G10319" s="399"/>
      <c r="H10319" s="334" t="s">
        <v>20701</v>
      </c>
      <c r="I10319" s="444">
        <v>18001826063</v>
      </c>
      <c r="J10319" s="438" t="s">
        <v>20702</v>
      </c>
      <c r="K10319" s="356">
        <v>500</v>
      </c>
      <c r="N10319" s="362">
        <f t="shared" si="369"/>
        <v>0</v>
      </c>
    </row>
    <row r="10320" customHeight="1" spans="1:14">
      <c r="A10320" s="550" t="s">
        <v>20703</v>
      </c>
      <c r="B10320" s="334" t="s">
        <v>66</v>
      </c>
      <c r="C10320" s="348" t="s">
        <v>15301</v>
      </c>
      <c r="D10320" s="335" t="s">
        <v>2302</v>
      </c>
      <c r="E10320" s="336">
        <v>43830</v>
      </c>
      <c r="F10320" s="336">
        <v>43829</v>
      </c>
      <c r="G10320" s="399"/>
      <c r="H10320" s="334" t="s">
        <v>20704</v>
      </c>
      <c r="I10320" s="444">
        <v>15816538892</v>
      </c>
      <c r="J10320" s="438"/>
      <c r="K10320" s="356">
        <v>500</v>
      </c>
      <c r="N10320" s="362">
        <f t="shared" si="369"/>
        <v>0</v>
      </c>
    </row>
    <row r="10321" customHeight="1" spans="1:14">
      <c r="A10321" s="550" t="s">
        <v>8621</v>
      </c>
      <c r="B10321" s="334" t="s">
        <v>66</v>
      </c>
      <c r="C10321" s="348" t="s">
        <v>119</v>
      </c>
      <c r="D10321" s="335" t="s">
        <v>2302</v>
      </c>
      <c r="E10321" s="336">
        <v>43830</v>
      </c>
      <c r="F10321" s="336">
        <v>43829</v>
      </c>
      <c r="G10321" s="399"/>
      <c r="H10321" s="334" t="s">
        <v>14449</v>
      </c>
      <c r="I10321" s="444">
        <v>13601744772</v>
      </c>
      <c r="J10321" s="438" t="s">
        <v>20705</v>
      </c>
      <c r="K10321" s="356">
        <v>500</v>
      </c>
      <c r="N10321" s="362">
        <f t="shared" si="369"/>
        <v>0</v>
      </c>
    </row>
    <row r="10322" customHeight="1" spans="1:14">
      <c r="A10322" s="550" t="s">
        <v>8598</v>
      </c>
      <c r="B10322" s="334" t="s">
        <v>66</v>
      </c>
      <c r="C10322" s="348" t="s">
        <v>1749</v>
      </c>
      <c r="D10322" s="335" t="s">
        <v>2302</v>
      </c>
      <c r="E10322" s="336">
        <v>43830</v>
      </c>
      <c r="F10322" s="336">
        <v>43829</v>
      </c>
      <c r="G10322" s="399"/>
      <c r="H10322" s="334" t="s">
        <v>20706</v>
      </c>
      <c r="I10322" s="444">
        <v>18817666512</v>
      </c>
      <c r="J10322" s="438" t="s">
        <v>20707</v>
      </c>
      <c r="K10322" s="356">
        <v>500</v>
      </c>
      <c r="N10322" s="362">
        <f t="shared" si="369"/>
        <v>0</v>
      </c>
    </row>
    <row r="10323" customHeight="1" spans="1:14">
      <c r="A10323" s="550" t="s">
        <v>15843</v>
      </c>
      <c r="B10323" s="334" t="s">
        <v>66</v>
      </c>
      <c r="C10323" s="348" t="s">
        <v>7029</v>
      </c>
      <c r="D10323" s="335" t="s">
        <v>2302</v>
      </c>
      <c r="E10323" s="336">
        <v>43835</v>
      </c>
      <c r="F10323" s="336">
        <v>43829</v>
      </c>
      <c r="G10323" s="336">
        <v>43834</v>
      </c>
      <c r="H10323" s="334" t="s">
        <v>1680</v>
      </c>
      <c r="I10323" s="444">
        <v>18516759665</v>
      </c>
      <c r="J10323" s="438" t="s">
        <v>20708</v>
      </c>
      <c r="K10323" s="356">
        <v>500</v>
      </c>
      <c r="L10323" s="334">
        <v>4552</v>
      </c>
      <c r="N10323" s="362">
        <f t="shared" si="369"/>
        <v>4552</v>
      </c>
    </row>
    <row r="10324" customHeight="1" spans="1:14">
      <c r="A10324" s="550" t="s">
        <v>1184</v>
      </c>
      <c r="B10324" s="334" t="s">
        <v>315</v>
      </c>
      <c r="C10324" s="348" t="s">
        <v>275</v>
      </c>
      <c r="D10324" s="335" t="s">
        <v>162</v>
      </c>
      <c r="E10324" s="336">
        <v>43830</v>
      </c>
      <c r="F10324" s="336">
        <v>43830</v>
      </c>
      <c r="G10324" s="399"/>
      <c r="H10324" s="334" t="s">
        <v>20709</v>
      </c>
      <c r="I10324" s="444">
        <v>15121018164</v>
      </c>
      <c r="J10324" s="438" t="s">
        <v>20710</v>
      </c>
      <c r="K10324" s="356">
        <v>1000</v>
      </c>
      <c r="N10324" s="362">
        <f t="shared" si="369"/>
        <v>0</v>
      </c>
    </row>
    <row r="10325" customHeight="1" spans="1:14">
      <c r="A10325" s="550" t="s">
        <v>20711</v>
      </c>
      <c r="B10325" s="334" t="s">
        <v>137</v>
      </c>
      <c r="C10325" s="348" t="s">
        <v>480</v>
      </c>
      <c r="D10325" s="335" t="s">
        <v>443</v>
      </c>
      <c r="E10325" s="336">
        <v>43830</v>
      </c>
      <c r="F10325" s="336">
        <v>43830</v>
      </c>
      <c r="G10325" s="399"/>
      <c r="H10325" s="334" t="s">
        <v>13086</v>
      </c>
      <c r="I10325" s="444">
        <v>15021130084</v>
      </c>
      <c r="J10325" s="438" t="s">
        <v>20712</v>
      </c>
      <c r="K10325" s="356">
        <v>500</v>
      </c>
      <c r="N10325" s="362">
        <f t="shared" si="369"/>
        <v>0</v>
      </c>
    </row>
    <row r="10326" customHeight="1" spans="1:14">
      <c r="A10326" s="348">
        <v>2068448</v>
      </c>
      <c r="B10326" s="334" t="s">
        <v>47</v>
      </c>
      <c r="C10326" s="348" t="s">
        <v>53</v>
      </c>
      <c r="D10326" s="335" t="s">
        <v>49</v>
      </c>
      <c r="E10326" s="336">
        <v>43830</v>
      </c>
      <c r="F10326" s="336">
        <v>43830</v>
      </c>
      <c r="G10326" s="399">
        <v>43830</v>
      </c>
      <c r="H10326" s="334" t="s">
        <v>720</v>
      </c>
      <c r="I10326" s="444">
        <v>13681882008</v>
      </c>
      <c r="J10326" s="438" t="s">
        <v>20713</v>
      </c>
      <c r="K10326" s="356">
        <v>7066</v>
      </c>
      <c r="L10326" s="334">
        <v>7066</v>
      </c>
      <c r="N10326" s="362">
        <f t="shared" si="369"/>
        <v>7066</v>
      </c>
    </row>
    <row r="10327" customHeight="1" spans="1:15">
      <c r="A10327" s="550" t="s">
        <v>10351</v>
      </c>
      <c r="B10327" s="334" t="s">
        <v>58</v>
      </c>
      <c r="C10327" s="348" t="s">
        <v>347</v>
      </c>
      <c r="D10327" s="335" t="s">
        <v>271</v>
      </c>
      <c r="E10327" s="336">
        <v>43830</v>
      </c>
      <c r="F10327" s="336">
        <v>43830</v>
      </c>
      <c r="G10327" s="399"/>
      <c r="H10327" s="334" t="s">
        <v>20714</v>
      </c>
      <c r="I10327" s="444">
        <v>15221726976</v>
      </c>
      <c r="J10327" s="438" t="s">
        <v>20715</v>
      </c>
      <c r="K10327" s="356">
        <v>500</v>
      </c>
      <c r="N10327" s="362">
        <f t="shared" si="369"/>
        <v>0</v>
      </c>
      <c r="O10327" s="366" t="s">
        <v>52</v>
      </c>
    </row>
    <row r="10328" customHeight="1" spans="1:15">
      <c r="A10328" s="550" t="s">
        <v>14900</v>
      </c>
      <c r="B10328" s="334" t="s">
        <v>58</v>
      </c>
      <c r="C10328" s="348" t="s">
        <v>20716</v>
      </c>
      <c r="D10328" s="335" t="s">
        <v>271</v>
      </c>
      <c r="E10328" s="336">
        <v>43830</v>
      </c>
      <c r="F10328" s="336">
        <v>43829</v>
      </c>
      <c r="G10328" s="399"/>
      <c r="H10328" s="334" t="s">
        <v>20717</v>
      </c>
      <c r="I10328" s="444">
        <v>18818214107</v>
      </c>
      <c r="J10328" s="438" t="s">
        <v>20718</v>
      </c>
      <c r="K10328" s="356">
        <v>1000</v>
      </c>
      <c r="N10328" s="362">
        <f t="shared" si="369"/>
        <v>0</v>
      </c>
      <c r="O10328" s="366" t="s">
        <v>52</v>
      </c>
    </row>
    <row r="10329" customHeight="1" spans="1:16">
      <c r="A10329" s="550" t="s">
        <v>10348</v>
      </c>
      <c r="B10329" s="334" t="s">
        <v>58</v>
      </c>
      <c r="C10329" s="348" t="s">
        <v>347</v>
      </c>
      <c r="D10329" s="335" t="s">
        <v>271</v>
      </c>
      <c r="E10329" s="336">
        <v>43830</v>
      </c>
      <c r="F10329" s="336">
        <v>43830</v>
      </c>
      <c r="G10329" s="399"/>
      <c r="H10329" s="334" t="s">
        <v>20719</v>
      </c>
      <c r="I10329" s="444">
        <v>13671888175</v>
      </c>
      <c r="J10329" s="438" t="s">
        <v>20720</v>
      </c>
      <c r="K10329" s="356">
        <v>500</v>
      </c>
      <c r="N10329" s="362">
        <f t="shared" si="369"/>
        <v>0</v>
      </c>
      <c r="P10329" s="366" t="s">
        <v>52</v>
      </c>
    </row>
    <row r="10330" customHeight="1" spans="1:15">
      <c r="A10330" s="550" t="s">
        <v>10333</v>
      </c>
      <c r="B10330" s="334" t="s">
        <v>58</v>
      </c>
      <c r="C10330" s="348" t="s">
        <v>347</v>
      </c>
      <c r="D10330" s="335" t="s">
        <v>110</v>
      </c>
      <c r="E10330" s="336">
        <v>43830</v>
      </c>
      <c r="F10330" s="336">
        <v>43830</v>
      </c>
      <c r="G10330" s="399"/>
      <c r="H10330" s="334" t="s">
        <v>20721</v>
      </c>
      <c r="I10330" s="444">
        <v>13917005258</v>
      </c>
      <c r="J10330" s="438" t="s">
        <v>20722</v>
      </c>
      <c r="K10330" s="356">
        <v>1000</v>
      </c>
      <c r="N10330" s="362">
        <f t="shared" si="369"/>
        <v>0</v>
      </c>
      <c r="O10330" s="366" t="s">
        <v>52</v>
      </c>
    </row>
    <row r="10331" customHeight="1" spans="1:16">
      <c r="A10331" s="550" t="s">
        <v>9599</v>
      </c>
      <c r="B10331" s="334" t="s">
        <v>58</v>
      </c>
      <c r="C10331" s="348" t="s">
        <v>59</v>
      </c>
      <c r="D10331" s="335" t="s">
        <v>110</v>
      </c>
      <c r="E10331" s="336">
        <v>43830</v>
      </c>
      <c r="F10331" s="336">
        <v>43830</v>
      </c>
      <c r="G10331" s="399"/>
      <c r="H10331" s="334" t="s">
        <v>20723</v>
      </c>
      <c r="I10331" s="444"/>
      <c r="J10331" s="438" t="s">
        <v>20724</v>
      </c>
      <c r="K10331" s="356">
        <v>1000</v>
      </c>
      <c r="N10331" s="362">
        <f t="shared" si="369"/>
        <v>0</v>
      </c>
      <c r="P10331" s="366" t="s">
        <v>52</v>
      </c>
    </row>
    <row r="10332" customHeight="1" spans="1:14">
      <c r="A10332" s="348">
        <v>2068449</v>
      </c>
      <c r="B10332" s="334" t="s">
        <v>47</v>
      </c>
      <c r="C10332" s="348" t="s">
        <v>80</v>
      </c>
      <c r="D10332" s="335" t="s">
        <v>49</v>
      </c>
      <c r="E10332" s="336">
        <v>43830</v>
      </c>
      <c r="F10332" s="336">
        <v>43830</v>
      </c>
      <c r="G10332" s="399">
        <v>43830</v>
      </c>
      <c r="H10332" s="334" t="s">
        <v>20725</v>
      </c>
      <c r="I10332" s="444">
        <v>13400578812</v>
      </c>
      <c r="J10332" s="438" t="s">
        <v>20726</v>
      </c>
      <c r="K10332" s="356">
        <v>11000</v>
      </c>
      <c r="L10332" s="334">
        <v>10700</v>
      </c>
      <c r="N10332" s="362">
        <f t="shared" si="369"/>
        <v>10700</v>
      </c>
    </row>
    <row r="10333" customHeight="1" spans="1:14">
      <c r="A10333" s="550" t="s">
        <v>20727</v>
      </c>
      <c r="B10333" s="334" t="s">
        <v>405</v>
      </c>
      <c r="C10333" s="348" t="s">
        <v>14070</v>
      </c>
      <c r="D10333" s="335" t="s">
        <v>407</v>
      </c>
      <c r="E10333" s="336">
        <v>43834</v>
      </c>
      <c r="F10333" s="336">
        <v>43828</v>
      </c>
      <c r="G10333" s="336">
        <v>43832</v>
      </c>
      <c r="H10333" s="425" t="s">
        <v>20728</v>
      </c>
      <c r="I10333" s="444">
        <v>13801805903</v>
      </c>
      <c r="J10333" s="438" t="s">
        <v>20729</v>
      </c>
      <c r="K10333" s="356">
        <v>3334</v>
      </c>
      <c r="L10333" s="334">
        <v>3874</v>
      </c>
      <c r="N10333" s="362">
        <f t="shared" si="369"/>
        <v>3874</v>
      </c>
    </row>
    <row r="10334" customHeight="1" spans="1:14">
      <c r="A10334" s="550" t="s">
        <v>20730</v>
      </c>
      <c r="B10334" s="334" t="s">
        <v>405</v>
      </c>
      <c r="C10334" s="348" t="s">
        <v>14070</v>
      </c>
      <c r="D10334" s="335" t="s">
        <v>407</v>
      </c>
      <c r="E10334" s="336">
        <v>43830</v>
      </c>
      <c r="F10334" s="336">
        <v>43829</v>
      </c>
      <c r="G10334" s="399"/>
      <c r="H10334" s="334" t="s">
        <v>20731</v>
      </c>
      <c r="I10334" s="444">
        <v>18516531860</v>
      </c>
      <c r="J10334" s="438" t="s">
        <v>20732</v>
      </c>
      <c r="K10334" s="356">
        <v>1998</v>
      </c>
      <c r="N10334" s="362">
        <f t="shared" si="369"/>
        <v>0</v>
      </c>
    </row>
    <row r="10335" customHeight="1" spans="1:14">
      <c r="A10335" s="550" t="s">
        <v>20733</v>
      </c>
      <c r="B10335" s="334" t="s">
        <v>137</v>
      </c>
      <c r="C10335" s="348" t="s">
        <v>480</v>
      </c>
      <c r="D10335" s="334" t="s">
        <v>427</v>
      </c>
      <c r="E10335" s="336">
        <v>43830</v>
      </c>
      <c r="F10335" s="336">
        <v>43830</v>
      </c>
      <c r="G10335" s="399">
        <v>43830</v>
      </c>
      <c r="H10335" s="334" t="s">
        <v>480</v>
      </c>
      <c r="I10335" s="444">
        <v>15000262559</v>
      </c>
      <c r="J10335" s="348" t="s">
        <v>20734</v>
      </c>
      <c r="K10335" s="356">
        <v>500</v>
      </c>
      <c r="L10335" s="334">
        <v>12400</v>
      </c>
      <c r="N10335" s="362">
        <f t="shared" si="369"/>
        <v>12400</v>
      </c>
    </row>
    <row r="10336" customHeight="1" spans="1:15">
      <c r="A10336" s="550" t="s">
        <v>4971</v>
      </c>
      <c r="B10336" s="334" t="s">
        <v>726</v>
      </c>
      <c r="C10336" s="348" t="s">
        <v>727</v>
      </c>
      <c r="D10336" s="335" t="s">
        <v>207</v>
      </c>
      <c r="E10336" s="336">
        <v>43830</v>
      </c>
      <c r="F10336" s="336">
        <v>43830</v>
      </c>
      <c r="G10336" s="399"/>
      <c r="H10336" s="334" t="s">
        <v>17368</v>
      </c>
      <c r="I10336" s="444">
        <v>15000776778</v>
      </c>
      <c r="J10336" s="438" t="s">
        <v>20735</v>
      </c>
      <c r="K10336" s="356">
        <v>500</v>
      </c>
      <c r="N10336" s="362">
        <f t="shared" si="369"/>
        <v>0</v>
      </c>
      <c r="O10336" s="353" t="s">
        <v>1608</v>
      </c>
    </row>
    <row r="10337" customHeight="1" spans="1:14">
      <c r="A10337" s="550" t="s">
        <v>12498</v>
      </c>
      <c r="B10337" s="334" t="s">
        <v>169</v>
      </c>
      <c r="C10337" s="348" t="s">
        <v>634</v>
      </c>
      <c r="D10337" s="335" t="s">
        <v>635</v>
      </c>
      <c r="E10337" s="336">
        <v>43830</v>
      </c>
      <c r="F10337" s="336">
        <v>43830</v>
      </c>
      <c r="G10337" s="399"/>
      <c r="H10337" s="334" t="s">
        <v>20736</v>
      </c>
      <c r="I10337" s="444">
        <v>18701780090</v>
      </c>
      <c r="J10337" s="438" t="s">
        <v>20737</v>
      </c>
      <c r="K10337" s="356">
        <v>1000</v>
      </c>
      <c r="N10337" s="362">
        <f t="shared" si="369"/>
        <v>0</v>
      </c>
    </row>
    <row r="10338" customHeight="1" spans="1:14">
      <c r="A10338" s="550" t="s">
        <v>19519</v>
      </c>
      <c r="B10338" s="334" t="s">
        <v>169</v>
      </c>
      <c r="C10338" s="348" t="s">
        <v>634</v>
      </c>
      <c r="D10338" s="335" t="s">
        <v>635</v>
      </c>
      <c r="E10338" s="336">
        <v>43830</v>
      </c>
      <c r="F10338" s="336">
        <v>43830</v>
      </c>
      <c r="G10338" s="399"/>
      <c r="H10338" s="334" t="s">
        <v>20738</v>
      </c>
      <c r="I10338" s="444">
        <v>13817468074</v>
      </c>
      <c r="J10338" s="438" t="s">
        <v>20739</v>
      </c>
      <c r="K10338" s="356">
        <v>500</v>
      </c>
      <c r="N10338" s="362">
        <f t="shared" si="369"/>
        <v>0</v>
      </c>
    </row>
    <row r="10339" customHeight="1" spans="1:14">
      <c r="A10339" s="550" t="s">
        <v>20740</v>
      </c>
      <c r="B10339" s="334" t="s">
        <v>185</v>
      </c>
      <c r="C10339" s="348" t="s">
        <v>4146</v>
      </c>
      <c r="D10339" s="334" t="s">
        <v>187</v>
      </c>
      <c r="E10339" s="336">
        <v>43830</v>
      </c>
      <c r="F10339" s="336">
        <v>43827</v>
      </c>
      <c r="G10339" s="399">
        <v>43830</v>
      </c>
      <c r="H10339" s="334" t="s">
        <v>20741</v>
      </c>
      <c r="I10339" s="444">
        <v>18721301332</v>
      </c>
      <c r="J10339" s="438" t="s">
        <v>20742</v>
      </c>
      <c r="K10339" s="356">
        <f>8600</f>
        <v>8600</v>
      </c>
      <c r="L10339" s="334">
        <v>8600</v>
      </c>
      <c r="N10339" s="362">
        <f t="shared" si="369"/>
        <v>8600</v>
      </c>
    </row>
    <row r="10340" customHeight="1" spans="1:16">
      <c r="A10340" s="550" t="s">
        <v>10344</v>
      </c>
      <c r="B10340" s="334" t="s">
        <v>58</v>
      </c>
      <c r="C10340" s="348" t="s">
        <v>347</v>
      </c>
      <c r="D10340" s="335" t="s">
        <v>110</v>
      </c>
      <c r="E10340" s="336">
        <v>43830</v>
      </c>
      <c r="F10340" s="336">
        <v>43825</v>
      </c>
      <c r="G10340" s="399"/>
      <c r="H10340" s="334" t="s">
        <v>20743</v>
      </c>
      <c r="I10340" s="444">
        <v>18321995122</v>
      </c>
      <c r="J10340" s="438" t="s">
        <v>20744</v>
      </c>
      <c r="K10340" s="356">
        <v>24680</v>
      </c>
      <c r="N10340" s="362">
        <f t="shared" si="369"/>
        <v>0</v>
      </c>
      <c r="P10340" s="366" t="s">
        <v>52</v>
      </c>
    </row>
    <row r="10341" customHeight="1" spans="1:18">
      <c r="A10341" s="550" t="s">
        <v>10354</v>
      </c>
      <c r="B10341" s="334" t="s">
        <v>20745</v>
      </c>
      <c r="C10341" s="348" t="s">
        <v>19039</v>
      </c>
      <c r="D10341" s="335" t="s">
        <v>343</v>
      </c>
      <c r="E10341" s="336">
        <v>43830</v>
      </c>
      <c r="F10341" s="336">
        <v>43830</v>
      </c>
      <c r="G10341" s="399"/>
      <c r="H10341" s="334" t="s">
        <v>20746</v>
      </c>
      <c r="I10341" s="444">
        <v>17521396943</v>
      </c>
      <c r="J10341" s="438" t="s">
        <v>20747</v>
      </c>
      <c r="K10341" s="356">
        <v>1000</v>
      </c>
      <c r="N10341" s="362">
        <f t="shared" si="369"/>
        <v>0</v>
      </c>
      <c r="R10341" s="366" t="s">
        <v>52</v>
      </c>
    </row>
    <row r="10342" customHeight="1" spans="1:14">
      <c r="A10342" s="550" t="s">
        <v>6396</v>
      </c>
      <c r="B10342" s="334" t="s">
        <v>335</v>
      </c>
      <c r="C10342" s="348" t="s">
        <v>148</v>
      </c>
      <c r="D10342" s="335" t="s">
        <v>337</v>
      </c>
      <c r="E10342" s="336">
        <v>43830</v>
      </c>
      <c r="F10342" s="336">
        <v>43827</v>
      </c>
      <c r="G10342" s="399"/>
      <c r="H10342" s="334" t="s">
        <v>20748</v>
      </c>
      <c r="I10342" s="444">
        <v>13818097877</v>
      </c>
      <c r="J10342" s="438" t="s">
        <v>20749</v>
      </c>
      <c r="K10342" s="356">
        <v>1000</v>
      </c>
      <c r="N10342" s="362">
        <f t="shared" si="369"/>
        <v>0</v>
      </c>
    </row>
    <row r="10343" customHeight="1" spans="1:14">
      <c r="A10343" s="550" t="s">
        <v>20223</v>
      </c>
      <c r="B10343" s="334" t="s">
        <v>147</v>
      </c>
      <c r="C10343" s="348" t="s">
        <v>13719</v>
      </c>
      <c r="D10343" s="335" t="s">
        <v>207</v>
      </c>
      <c r="E10343" s="336">
        <v>43830</v>
      </c>
      <c r="F10343" s="336">
        <v>43828</v>
      </c>
      <c r="G10343" s="399"/>
      <c r="H10343" s="334" t="s">
        <v>20750</v>
      </c>
      <c r="I10343" s="444">
        <v>18021080904</v>
      </c>
      <c r="J10343" s="438" t="s">
        <v>20751</v>
      </c>
      <c r="K10343" s="356">
        <v>1000</v>
      </c>
      <c r="N10343" s="362">
        <f t="shared" si="369"/>
        <v>0</v>
      </c>
    </row>
    <row r="10344" customHeight="1" spans="1:24">
      <c r="A10344" s="550" t="s">
        <v>10436</v>
      </c>
      <c r="B10344" s="334" t="s">
        <v>153</v>
      </c>
      <c r="C10344" s="348" t="s">
        <v>302</v>
      </c>
      <c r="D10344" s="335" t="s">
        <v>155</v>
      </c>
      <c r="E10344" s="336">
        <v>43830</v>
      </c>
      <c r="F10344" s="336">
        <v>43829</v>
      </c>
      <c r="G10344" s="353" t="s">
        <v>20752</v>
      </c>
      <c r="H10344" s="334" t="s">
        <v>20753</v>
      </c>
      <c r="I10344" s="444">
        <v>18816928213</v>
      </c>
      <c r="J10344" s="438" t="s">
        <v>20754</v>
      </c>
      <c r="K10344" s="356">
        <v>500</v>
      </c>
      <c r="N10344" s="362">
        <f t="shared" si="369"/>
        <v>0</v>
      </c>
      <c r="X10344" s="353" t="s">
        <v>20752</v>
      </c>
    </row>
    <row r="10345" customHeight="1" spans="1:14">
      <c r="A10345" s="550" t="s">
        <v>7535</v>
      </c>
      <c r="B10345" s="334" t="s">
        <v>87</v>
      </c>
      <c r="C10345" s="348" t="s">
        <v>199</v>
      </c>
      <c r="D10345" s="335" t="s">
        <v>89</v>
      </c>
      <c r="E10345" s="336">
        <v>43830</v>
      </c>
      <c r="F10345" s="336">
        <v>43830</v>
      </c>
      <c r="G10345" s="399"/>
      <c r="H10345" s="334" t="s">
        <v>20755</v>
      </c>
      <c r="I10345" s="444">
        <v>13611827139</v>
      </c>
      <c r="J10345" s="438" t="s">
        <v>20756</v>
      </c>
      <c r="K10345" s="356">
        <v>500</v>
      </c>
      <c r="N10345" s="362">
        <f t="shared" si="369"/>
        <v>0</v>
      </c>
    </row>
    <row r="10346" customHeight="1" spans="1:14">
      <c r="A10346" s="348"/>
      <c r="B10346" s="334" t="s">
        <v>137</v>
      </c>
      <c r="C10346" s="348" t="s">
        <v>2705</v>
      </c>
      <c r="D10346" s="335" t="s">
        <v>139</v>
      </c>
      <c r="E10346" s="336">
        <v>43830</v>
      </c>
      <c r="F10346" s="336">
        <v>43830</v>
      </c>
      <c r="G10346" s="399"/>
      <c r="H10346" s="334" t="s">
        <v>20757</v>
      </c>
      <c r="I10346" s="444">
        <v>18516210708</v>
      </c>
      <c r="J10346" s="438" t="s">
        <v>20758</v>
      </c>
      <c r="K10346" s="356">
        <v>1998</v>
      </c>
      <c r="N10346" s="362">
        <f t="shared" si="369"/>
        <v>0</v>
      </c>
    </row>
    <row r="10347" customHeight="1" spans="1:14">
      <c r="A10347" s="550" t="s">
        <v>20152</v>
      </c>
      <c r="B10347" s="334" t="s">
        <v>315</v>
      </c>
      <c r="C10347" s="348" t="s">
        <v>14638</v>
      </c>
      <c r="D10347" s="335" t="s">
        <v>162</v>
      </c>
      <c r="E10347" s="336">
        <v>43830</v>
      </c>
      <c r="F10347" s="336">
        <v>43830</v>
      </c>
      <c r="G10347" s="399"/>
      <c r="H10347" s="334" t="s">
        <v>20759</v>
      </c>
      <c r="I10347" s="444">
        <v>13818978410</v>
      </c>
      <c r="J10347" s="438" t="s">
        <v>20760</v>
      </c>
      <c r="K10347" s="356">
        <v>1000</v>
      </c>
      <c r="N10347" s="362">
        <f t="shared" si="369"/>
        <v>0</v>
      </c>
    </row>
    <row r="10348" customHeight="1" spans="1:14">
      <c r="A10348" s="550" t="s">
        <v>16145</v>
      </c>
      <c r="B10348" s="334" t="s">
        <v>315</v>
      </c>
      <c r="C10348" s="348" t="s">
        <v>14638</v>
      </c>
      <c r="D10348" s="335" t="s">
        <v>162</v>
      </c>
      <c r="E10348" s="336">
        <v>43830</v>
      </c>
      <c r="F10348" s="336">
        <v>43828</v>
      </c>
      <c r="G10348" s="399"/>
      <c r="H10348" s="334" t="s">
        <v>20761</v>
      </c>
      <c r="I10348" s="444">
        <v>13472482575</v>
      </c>
      <c r="J10348" s="438" t="s">
        <v>20762</v>
      </c>
      <c r="K10348" s="356">
        <v>1000</v>
      </c>
      <c r="N10348" s="362">
        <f t="shared" si="369"/>
        <v>0</v>
      </c>
    </row>
    <row r="10349" customHeight="1" spans="1:14">
      <c r="A10349" s="550" t="s">
        <v>12664</v>
      </c>
      <c r="B10349" s="334" t="s">
        <v>137</v>
      </c>
      <c r="C10349" s="348" t="s">
        <v>861</v>
      </c>
      <c r="D10349" s="335" t="s">
        <v>139</v>
      </c>
      <c r="E10349" s="336">
        <v>43830</v>
      </c>
      <c r="F10349" s="336">
        <v>43829</v>
      </c>
      <c r="G10349" s="399"/>
      <c r="H10349" s="334" t="s">
        <v>20763</v>
      </c>
      <c r="I10349" s="444">
        <v>13586513561</v>
      </c>
      <c r="J10349" s="438" t="s">
        <v>20764</v>
      </c>
      <c r="K10349" s="356">
        <v>500</v>
      </c>
      <c r="N10349" s="362">
        <f t="shared" si="369"/>
        <v>0</v>
      </c>
    </row>
    <row r="10350" customHeight="1" spans="1:14">
      <c r="A10350" s="550" t="s">
        <v>3903</v>
      </c>
      <c r="B10350" s="334" t="s">
        <v>31</v>
      </c>
      <c r="C10350" s="348" t="s">
        <v>251</v>
      </c>
      <c r="D10350" s="335" t="s">
        <v>33</v>
      </c>
      <c r="E10350" s="336">
        <v>43836</v>
      </c>
      <c r="F10350" s="336">
        <v>43830</v>
      </c>
      <c r="G10350" s="336">
        <v>43835</v>
      </c>
      <c r="H10350" s="425" t="s">
        <v>20765</v>
      </c>
      <c r="I10350" s="444">
        <v>15921304198</v>
      </c>
      <c r="J10350" s="438" t="s">
        <v>20766</v>
      </c>
      <c r="K10350" s="356">
        <v>1000</v>
      </c>
      <c r="L10350" s="334">
        <v>10500</v>
      </c>
      <c r="N10350" s="362">
        <f t="shared" si="369"/>
        <v>10500</v>
      </c>
    </row>
    <row r="10351" customHeight="1" spans="1:14">
      <c r="A10351" s="550" t="s">
        <v>20767</v>
      </c>
      <c r="B10351" s="334" t="s">
        <v>31</v>
      </c>
      <c r="C10351" s="348" t="s">
        <v>251</v>
      </c>
      <c r="D10351" s="335" t="s">
        <v>954</v>
      </c>
      <c r="E10351" s="336">
        <v>43830</v>
      </c>
      <c r="F10351" s="336">
        <v>43830</v>
      </c>
      <c r="G10351" s="399"/>
      <c r="H10351" s="334" t="s">
        <v>20768</v>
      </c>
      <c r="I10351" s="444">
        <v>15601909109</v>
      </c>
      <c r="J10351" s="438" t="s">
        <v>20769</v>
      </c>
      <c r="K10351" s="356">
        <v>5000</v>
      </c>
      <c r="N10351" s="362">
        <f t="shared" si="369"/>
        <v>0</v>
      </c>
    </row>
    <row r="10352" customHeight="1" spans="1:14">
      <c r="A10352" s="550" t="s">
        <v>1055</v>
      </c>
      <c r="B10352" s="334" t="s">
        <v>31</v>
      </c>
      <c r="C10352" s="348" t="s">
        <v>2716</v>
      </c>
      <c r="D10352" s="334" t="s">
        <v>221</v>
      </c>
      <c r="E10352" s="336">
        <v>43830</v>
      </c>
      <c r="F10352" s="336">
        <v>43830</v>
      </c>
      <c r="G10352" s="399">
        <v>43830</v>
      </c>
      <c r="H10352" s="334" t="s">
        <v>20770</v>
      </c>
      <c r="I10352" s="444">
        <v>13621696757</v>
      </c>
      <c r="J10352" s="348" t="s">
        <v>20771</v>
      </c>
      <c r="K10352" s="356">
        <v>1000</v>
      </c>
      <c r="L10352" s="334">
        <v>9582</v>
      </c>
      <c r="N10352" s="362">
        <f t="shared" si="369"/>
        <v>9582</v>
      </c>
    </row>
    <row r="10353" customHeight="1" spans="1:14">
      <c r="A10353" s="550" t="s">
        <v>8748</v>
      </c>
      <c r="B10353" s="334" t="s">
        <v>58</v>
      </c>
      <c r="C10353" s="348" t="s">
        <v>794</v>
      </c>
      <c r="D10353" s="335" t="s">
        <v>110</v>
      </c>
      <c r="E10353" s="336">
        <v>43830</v>
      </c>
      <c r="F10353" s="336">
        <v>43829</v>
      </c>
      <c r="G10353" s="399"/>
      <c r="H10353" s="334" t="s">
        <v>20772</v>
      </c>
      <c r="I10353" s="444">
        <v>18516584965</v>
      </c>
      <c r="J10353" s="438" t="s">
        <v>20773</v>
      </c>
      <c r="K10353" s="356">
        <v>500</v>
      </c>
      <c r="N10353" s="362">
        <f t="shared" si="369"/>
        <v>0</v>
      </c>
    </row>
    <row r="10354" customHeight="1" spans="1:14">
      <c r="A10354" s="550" t="s">
        <v>18351</v>
      </c>
      <c r="B10354" s="334" t="s">
        <v>66</v>
      </c>
      <c r="C10354" s="348" t="s">
        <v>1749</v>
      </c>
      <c r="D10354" s="334" t="s">
        <v>1436</v>
      </c>
      <c r="E10354" s="336">
        <v>43830</v>
      </c>
      <c r="F10354" s="336">
        <v>43830</v>
      </c>
      <c r="G10354" s="336">
        <v>43829</v>
      </c>
      <c r="H10354" s="334" t="s">
        <v>6809</v>
      </c>
      <c r="I10354" s="444">
        <v>13701807052</v>
      </c>
      <c r="J10354" s="438" t="s">
        <v>20774</v>
      </c>
      <c r="K10354" s="356">
        <v>21725</v>
      </c>
      <c r="L10354" s="334">
        <v>21725</v>
      </c>
      <c r="N10354" s="362">
        <f t="shared" si="369"/>
        <v>21725</v>
      </c>
    </row>
    <row r="10355" customHeight="1" spans="1:14">
      <c r="A10355" s="550" t="s">
        <v>7881</v>
      </c>
      <c r="B10355" s="334" t="s">
        <v>58</v>
      </c>
      <c r="C10355" s="348" t="s">
        <v>342</v>
      </c>
      <c r="D10355" s="334" t="s">
        <v>343</v>
      </c>
      <c r="E10355" s="336">
        <v>43830</v>
      </c>
      <c r="F10355" s="336">
        <v>43830</v>
      </c>
      <c r="G10355" s="399">
        <v>43829</v>
      </c>
      <c r="H10355" s="334" t="s">
        <v>20775</v>
      </c>
      <c r="I10355" s="444">
        <v>17721147116</v>
      </c>
      <c r="J10355" s="438" t="s">
        <v>20776</v>
      </c>
      <c r="K10355" s="356">
        <v>22392</v>
      </c>
      <c r="L10355" s="334">
        <v>22392</v>
      </c>
      <c r="N10355" s="362">
        <f t="shared" si="369"/>
        <v>22392</v>
      </c>
    </row>
    <row r="10356" customHeight="1" spans="1:14">
      <c r="A10356" s="550" t="s">
        <v>17836</v>
      </c>
      <c r="B10356" s="334" t="s">
        <v>315</v>
      </c>
      <c r="C10356" s="334" t="s">
        <v>366</v>
      </c>
      <c r="D10356" s="334" t="s">
        <v>132</v>
      </c>
      <c r="E10356" s="336">
        <v>43830</v>
      </c>
      <c r="F10356" s="336">
        <v>43806</v>
      </c>
      <c r="G10356" s="399">
        <v>43831</v>
      </c>
      <c r="H10356" s="334" t="s">
        <v>20777</v>
      </c>
      <c r="I10356" s="444">
        <v>18918625117</v>
      </c>
      <c r="J10356" s="348" t="s">
        <v>20778</v>
      </c>
      <c r="K10356" s="356">
        <v>10000</v>
      </c>
      <c r="L10356" s="334">
        <v>10000</v>
      </c>
      <c r="N10356" s="362">
        <f t="shared" si="369"/>
        <v>10000</v>
      </c>
    </row>
    <row r="10357" customHeight="1" spans="1:14">
      <c r="A10357" s="550" t="s">
        <v>16523</v>
      </c>
      <c r="B10357" s="334" t="s">
        <v>66</v>
      </c>
      <c r="C10357" s="334" t="s">
        <v>15301</v>
      </c>
      <c r="D10357" s="334" t="s">
        <v>68</v>
      </c>
      <c r="E10357" s="336">
        <v>43830</v>
      </c>
      <c r="F10357" s="336">
        <v>43829</v>
      </c>
      <c r="G10357" s="399">
        <v>43826</v>
      </c>
      <c r="H10357" s="334" t="s">
        <v>20779</v>
      </c>
      <c r="I10357" s="444">
        <v>13564331007</v>
      </c>
      <c r="J10357" s="348" t="s">
        <v>20780</v>
      </c>
      <c r="K10357" s="356">
        <v>55000</v>
      </c>
      <c r="L10357" s="334">
        <v>55000</v>
      </c>
      <c r="N10357" s="362">
        <f t="shared" si="369"/>
        <v>55000</v>
      </c>
    </row>
    <row r="10358" customHeight="1" spans="1:14">
      <c r="A10358" s="550" t="s">
        <v>20781</v>
      </c>
      <c r="B10358" s="334" t="s">
        <v>315</v>
      </c>
      <c r="C10358" s="348" t="s">
        <v>366</v>
      </c>
      <c r="D10358" s="334" t="s">
        <v>132</v>
      </c>
      <c r="E10358" s="336">
        <v>43830</v>
      </c>
      <c r="F10358" s="336">
        <v>43830</v>
      </c>
      <c r="G10358" s="399">
        <v>43829</v>
      </c>
      <c r="H10358" s="334" t="s">
        <v>20782</v>
      </c>
      <c r="I10358" s="444">
        <v>13817987358</v>
      </c>
      <c r="J10358" s="348" t="s">
        <v>20783</v>
      </c>
      <c r="K10358" s="356">
        <v>1000</v>
      </c>
      <c r="L10358" s="334">
        <v>52111</v>
      </c>
      <c r="N10358" s="362">
        <f t="shared" si="369"/>
        <v>52111</v>
      </c>
    </row>
    <row r="10359" customHeight="1" spans="1:14">
      <c r="A10359" s="550" t="s">
        <v>6976</v>
      </c>
      <c r="B10359" s="334" t="s">
        <v>58</v>
      </c>
      <c r="C10359" s="348" t="s">
        <v>342</v>
      </c>
      <c r="D10359" s="334" t="s">
        <v>343</v>
      </c>
      <c r="E10359" s="336">
        <v>43830</v>
      </c>
      <c r="F10359" s="336">
        <v>43814</v>
      </c>
      <c r="G10359" s="399">
        <v>43830</v>
      </c>
      <c r="H10359" s="334" t="s">
        <v>3590</v>
      </c>
      <c r="I10359" s="444">
        <v>13524088574</v>
      </c>
      <c r="J10359" s="438" t="s">
        <v>20784</v>
      </c>
      <c r="K10359" s="356">
        <v>20000</v>
      </c>
      <c r="L10359" s="334">
        <v>20000</v>
      </c>
      <c r="N10359" s="362">
        <f t="shared" si="369"/>
        <v>20000</v>
      </c>
    </row>
    <row r="10360" customHeight="1" spans="1:14">
      <c r="A10360" s="550" t="s">
        <v>20785</v>
      </c>
      <c r="B10360" s="334" t="s">
        <v>405</v>
      </c>
      <c r="C10360" s="348" t="s">
        <v>19384</v>
      </c>
      <c r="D10360" s="335" t="s">
        <v>407</v>
      </c>
      <c r="E10360" s="336">
        <v>43830</v>
      </c>
      <c r="F10360" s="336">
        <v>43830</v>
      </c>
      <c r="G10360" s="399"/>
      <c r="H10360" s="334" t="s">
        <v>20786</v>
      </c>
      <c r="I10360" s="444">
        <v>15894683086</v>
      </c>
      <c r="J10360" s="438" t="s">
        <v>20787</v>
      </c>
      <c r="K10360" s="356">
        <v>1000</v>
      </c>
      <c r="N10360" s="362">
        <f t="shared" si="369"/>
        <v>0</v>
      </c>
    </row>
    <row r="10361" customHeight="1" spans="2:14">
      <c r="B10361" s="334" t="s">
        <v>31</v>
      </c>
      <c r="C10361" s="334" t="s">
        <v>419</v>
      </c>
      <c r="D10361" s="334" t="s">
        <v>221</v>
      </c>
      <c r="E10361" s="336">
        <v>43830</v>
      </c>
      <c r="G10361" s="336">
        <v>43830</v>
      </c>
      <c r="H10361" s="334" t="s">
        <v>20788</v>
      </c>
      <c r="I10361" s="444">
        <v>13651676776</v>
      </c>
      <c r="J10361" s="348" t="s">
        <v>20789</v>
      </c>
      <c r="L10361" s="334">
        <v>490</v>
      </c>
      <c r="N10361" s="362">
        <f t="shared" ref="N10361:N10391" si="370">L10361+M10361</f>
        <v>490</v>
      </c>
    </row>
    <row r="10362" customHeight="1" spans="2:14">
      <c r="B10362" s="334" t="s">
        <v>169</v>
      </c>
      <c r="C10362" s="334" t="s">
        <v>634</v>
      </c>
      <c r="D10362" s="334" t="s">
        <v>635</v>
      </c>
      <c r="E10362" s="336">
        <v>43830</v>
      </c>
      <c r="G10362" s="336">
        <v>43830</v>
      </c>
      <c r="H10362" s="334" t="s">
        <v>20790</v>
      </c>
      <c r="I10362" s="444">
        <v>13585971115</v>
      </c>
      <c r="J10362" s="438" t="s">
        <v>20791</v>
      </c>
      <c r="L10362" s="334">
        <v>9100</v>
      </c>
      <c r="N10362" s="362">
        <f t="shared" si="370"/>
        <v>9100</v>
      </c>
    </row>
    <row r="10363" customHeight="1" spans="2:14">
      <c r="B10363" s="334" t="s">
        <v>87</v>
      </c>
      <c r="C10363" s="334" t="s">
        <v>466</v>
      </c>
      <c r="D10363" s="334" t="s">
        <v>89</v>
      </c>
      <c r="E10363" s="336">
        <v>43830</v>
      </c>
      <c r="G10363" s="336">
        <v>43825</v>
      </c>
      <c r="H10363" s="334" t="s">
        <v>20792</v>
      </c>
      <c r="I10363" s="444" t="s">
        <v>20793</v>
      </c>
      <c r="J10363" s="348" t="s">
        <v>20794</v>
      </c>
      <c r="L10363" s="334">
        <v>4702</v>
      </c>
      <c r="N10363" s="362">
        <f t="shared" si="370"/>
        <v>4702</v>
      </c>
    </row>
    <row r="10364" customHeight="1" spans="2:14">
      <c r="B10364" s="334" t="s">
        <v>73</v>
      </c>
      <c r="C10364" s="334" t="s">
        <v>178</v>
      </c>
      <c r="D10364" s="334" t="s">
        <v>75</v>
      </c>
      <c r="E10364" s="336">
        <v>43830</v>
      </c>
      <c r="G10364" s="336">
        <v>43830</v>
      </c>
      <c r="H10364" s="334" t="s">
        <v>20795</v>
      </c>
      <c r="I10364" s="444">
        <v>13901832259</v>
      </c>
      <c r="J10364" s="438" t="s">
        <v>20796</v>
      </c>
      <c r="L10364" s="334">
        <v>20970</v>
      </c>
      <c r="N10364" s="362">
        <f t="shared" si="370"/>
        <v>20970</v>
      </c>
    </row>
    <row r="10365" customHeight="1" spans="2:14">
      <c r="B10365" s="334" t="s">
        <v>315</v>
      </c>
      <c r="C10365" s="334" t="s">
        <v>722</v>
      </c>
      <c r="D10365" s="334" t="s">
        <v>132</v>
      </c>
      <c r="E10365" s="336">
        <v>43830</v>
      </c>
      <c r="G10365" s="336">
        <v>43830</v>
      </c>
      <c r="H10365" s="334" t="s">
        <v>20797</v>
      </c>
      <c r="I10365" s="444">
        <v>18647760506</v>
      </c>
      <c r="J10365" s="348" t="s">
        <v>20798</v>
      </c>
      <c r="L10365" s="334">
        <v>41026</v>
      </c>
      <c r="N10365" s="362">
        <f t="shared" si="370"/>
        <v>41026</v>
      </c>
    </row>
    <row r="10366" customHeight="1" spans="2:14">
      <c r="B10366" s="334" t="s">
        <v>35</v>
      </c>
      <c r="C10366" s="334" t="s">
        <v>36</v>
      </c>
      <c r="D10366" s="334" t="s">
        <v>37</v>
      </c>
      <c r="E10366" s="336">
        <v>43830</v>
      </c>
      <c r="G10366" s="336">
        <v>43830</v>
      </c>
      <c r="H10366" s="334" t="s">
        <v>20799</v>
      </c>
      <c r="I10366" s="444">
        <v>13817153135</v>
      </c>
      <c r="J10366" s="438" t="s">
        <v>20800</v>
      </c>
      <c r="L10366" s="334">
        <v>51751</v>
      </c>
      <c r="N10366" s="362">
        <f t="shared" si="370"/>
        <v>51751</v>
      </c>
    </row>
    <row r="10367" customHeight="1" spans="2:14">
      <c r="B10367" s="334" t="s">
        <v>35</v>
      </c>
      <c r="C10367" s="334" t="s">
        <v>392</v>
      </c>
      <c r="D10367" s="334" t="s">
        <v>37</v>
      </c>
      <c r="E10367" s="336">
        <v>43830</v>
      </c>
      <c r="G10367" s="336">
        <v>43830</v>
      </c>
      <c r="H10367" s="334" t="s">
        <v>20801</v>
      </c>
      <c r="I10367" s="444">
        <v>13162212106</v>
      </c>
      <c r="J10367" s="348" t="s">
        <v>20802</v>
      </c>
      <c r="L10367" s="334">
        <v>21800</v>
      </c>
      <c r="N10367" s="362">
        <f t="shared" si="370"/>
        <v>21800</v>
      </c>
    </row>
    <row r="10368" customHeight="1" spans="2:14">
      <c r="B10368" s="334" t="s">
        <v>185</v>
      </c>
      <c r="C10368" s="334" t="s">
        <v>886</v>
      </c>
      <c r="D10368" s="334" t="s">
        <v>187</v>
      </c>
      <c r="E10368" s="336">
        <v>43830</v>
      </c>
      <c r="G10368" s="336">
        <v>43830</v>
      </c>
      <c r="H10368" s="334" t="s">
        <v>20803</v>
      </c>
      <c r="I10368" s="444">
        <v>15026784188</v>
      </c>
      <c r="J10368" s="348" t="s">
        <v>20804</v>
      </c>
      <c r="L10368" s="334">
        <v>8000</v>
      </c>
      <c r="N10368" s="362">
        <f t="shared" si="370"/>
        <v>8000</v>
      </c>
    </row>
    <row r="10369" customHeight="1" spans="2:14">
      <c r="B10369" s="334" t="s">
        <v>137</v>
      </c>
      <c r="C10369" s="334" t="s">
        <v>861</v>
      </c>
      <c r="D10369" s="334" t="s">
        <v>443</v>
      </c>
      <c r="E10369" s="336">
        <v>43830</v>
      </c>
      <c r="G10369" s="336">
        <v>43830</v>
      </c>
      <c r="H10369" s="334" t="s">
        <v>19559</v>
      </c>
      <c r="I10369" s="444">
        <v>18017223434</v>
      </c>
      <c r="J10369" s="438" t="s">
        <v>19560</v>
      </c>
      <c r="M10369" s="334">
        <v>8176</v>
      </c>
      <c r="N10369" s="362">
        <f t="shared" si="370"/>
        <v>8176</v>
      </c>
    </row>
    <row r="10370" customHeight="1" spans="2:14">
      <c r="B10370" s="334" t="s">
        <v>185</v>
      </c>
      <c r="C10370" s="334" t="s">
        <v>886</v>
      </c>
      <c r="D10370" s="334" t="s">
        <v>44</v>
      </c>
      <c r="E10370" s="336">
        <v>43830</v>
      </c>
      <c r="G10370" s="336">
        <v>43830</v>
      </c>
      <c r="H10370" s="334" t="s">
        <v>16689</v>
      </c>
      <c r="I10370" s="426">
        <v>15900406555</v>
      </c>
      <c r="J10370" s="348" t="s">
        <v>16690</v>
      </c>
      <c r="M10370" s="334">
        <v>2800</v>
      </c>
      <c r="N10370" s="362">
        <f t="shared" si="370"/>
        <v>2800</v>
      </c>
    </row>
    <row r="10371" customHeight="1" spans="2:14">
      <c r="B10371" s="334" t="s">
        <v>73</v>
      </c>
      <c r="C10371" s="334" t="s">
        <v>74</v>
      </c>
      <c r="D10371" s="334" t="s">
        <v>75</v>
      </c>
      <c r="E10371" s="336">
        <v>43830</v>
      </c>
      <c r="G10371" s="336">
        <v>43827</v>
      </c>
      <c r="H10371" s="334" t="s">
        <v>3859</v>
      </c>
      <c r="I10371" s="334">
        <v>18918795939</v>
      </c>
      <c r="J10371" s="334" t="s">
        <v>3860</v>
      </c>
      <c r="M10371" s="334">
        <v>875</v>
      </c>
      <c r="N10371" s="362">
        <f t="shared" si="370"/>
        <v>875</v>
      </c>
    </row>
    <row r="10372" customHeight="1" spans="2:14">
      <c r="B10372" s="334" t="s">
        <v>169</v>
      </c>
      <c r="C10372" s="334" t="s">
        <v>634</v>
      </c>
      <c r="D10372" s="334" t="s">
        <v>635</v>
      </c>
      <c r="E10372" s="336">
        <v>43830</v>
      </c>
      <c r="G10372" s="336">
        <v>43822</v>
      </c>
      <c r="H10372" s="334" t="s">
        <v>20805</v>
      </c>
      <c r="I10372" s="356">
        <v>13916964619</v>
      </c>
      <c r="J10372" s="348" t="s">
        <v>20806</v>
      </c>
      <c r="M10372" s="334">
        <v>22600</v>
      </c>
      <c r="N10372" s="362">
        <f t="shared" si="370"/>
        <v>22600</v>
      </c>
    </row>
    <row r="10373" customHeight="1" spans="2:14">
      <c r="B10373" s="334" t="s">
        <v>2625</v>
      </c>
      <c r="C10373" s="334" t="s">
        <v>2626</v>
      </c>
      <c r="D10373" s="334" t="s">
        <v>337</v>
      </c>
      <c r="E10373" s="336">
        <v>43830</v>
      </c>
      <c r="G10373" s="336">
        <v>43830</v>
      </c>
      <c r="H10373" s="334" t="s">
        <v>9578</v>
      </c>
      <c r="I10373" s="444">
        <v>15102408518</v>
      </c>
      <c r="J10373" s="438" t="s">
        <v>19569</v>
      </c>
      <c r="M10373" s="334">
        <v>1047</v>
      </c>
      <c r="N10373" s="362">
        <f t="shared" si="370"/>
        <v>1047</v>
      </c>
    </row>
    <row r="10374" customHeight="1" spans="2:14">
      <c r="B10374" s="334" t="s">
        <v>137</v>
      </c>
      <c r="C10374" s="334" t="s">
        <v>138</v>
      </c>
      <c r="D10374" s="334" t="s">
        <v>139</v>
      </c>
      <c r="E10374" s="336">
        <v>43830</v>
      </c>
      <c r="G10374" s="336">
        <v>43830</v>
      </c>
      <c r="H10374" s="334" t="s">
        <v>14946</v>
      </c>
      <c r="I10374" s="444">
        <v>18621359118</v>
      </c>
      <c r="J10374" s="348" t="s">
        <v>14947</v>
      </c>
      <c r="M10374" s="334">
        <v>205</v>
      </c>
      <c r="N10374" s="362">
        <f t="shared" si="370"/>
        <v>205</v>
      </c>
    </row>
    <row r="10375" customHeight="1" spans="2:14">
      <c r="B10375" s="334" t="s">
        <v>58</v>
      </c>
      <c r="C10375" s="334" t="s">
        <v>347</v>
      </c>
      <c r="D10375" s="334" t="s">
        <v>343</v>
      </c>
      <c r="E10375" s="336">
        <v>43830</v>
      </c>
      <c r="G10375" s="336">
        <v>43827</v>
      </c>
      <c r="H10375" s="334" t="s">
        <v>16620</v>
      </c>
      <c r="I10375" s="444">
        <v>13564625725</v>
      </c>
      <c r="J10375" s="348" t="s">
        <v>16621</v>
      </c>
      <c r="M10375" s="334">
        <v>12466</v>
      </c>
      <c r="N10375" s="362">
        <f t="shared" si="370"/>
        <v>12466</v>
      </c>
    </row>
    <row r="10376" customHeight="1" spans="2:14">
      <c r="B10376" s="334" t="s">
        <v>137</v>
      </c>
      <c r="C10376" s="334" t="s">
        <v>426</v>
      </c>
      <c r="D10376" s="334" t="s">
        <v>139</v>
      </c>
      <c r="E10376" s="336">
        <v>43830</v>
      </c>
      <c r="G10376" s="336">
        <v>43827</v>
      </c>
      <c r="H10376" s="334" t="s">
        <v>13342</v>
      </c>
      <c r="I10376" s="426">
        <v>18018677092</v>
      </c>
      <c r="J10376" s="334" t="s">
        <v>20807</v>
      </c>
      <c r="M10376" s="334">
        <v>32976</v>
      </c>
      <c r="N10376" s="362">
        <f t="shared" si="370"/>
        <v>32976</v>
      </c>
    </row>
    <row r="10377" customHeight="1" spans="2:14">
      <c r="B10377" s="334" t="s">
        <v>137</v>
      </c>
      <c r="C10377" s="334" t="s">
        <v>480</v>
      </c>
      <c r="D10377" s="334" t="s">
        <v>139</v>
      </c>
      <c r="E10377" s="336">
        <v>43830</v>
      </c>
      <c r="G10377" s="336">
        <v>43830</v>
      </c>
      <c r="H10377" s="334" t="s">
        <v>16746</v>
      </c>
      <c r="I10377" s="444">
        <v>13701643433</v>
      </c>
      <c r="J10377" s="348" t="s">
        <v>16747</v>
      </c>
      <c r="M10377" s="334">
        <v>13473</v>
      </c>
      <c r="N10377" s="362">
        <f t="shared" si="370"/>
        <v>13473</v>
      </c>
    </row>
    <row r="10378" customHeight="1" spans="2:14">
      <c r="B10378" s="334" t="s">
        <v>87</v>
      </c>
      <c r="C10378" s="334" t="s">
        <v>466</v>
      </c>
      <c r="D10378" s="334" t="s">
        <v>89</v>
      </c>
      <c r="E10378" s="336">
        <v>43830</v>
      </c>
      <c r="G10378" s="336">
        <v>43830</v>
      </c>
      <c r="H10378" s="334" t="s">
        <v>352</v>
      </c>
      <c r="I10378" s="444">
        <v>13818905285</v>
      </c>
      <c r="J10378" s="348" t="s">
        <v>17855</v>
      </c>
      <c r="M10378" s="334">
        <v>2399</v>
      </c>
      <c r="N10378" s="362">
        <f t="shared" si="370"/>
        <v>2399</v>
      </c>
    </row>
    <row r="10379" customHeight="1" spans="2:14">
      <c r="B10379" s="334" t="s">
        <v>73</v>
      </c>
      <c r="C10379" s="334" t="s">
        <v>178</v>
      </c>
      <c r="D10379" s="334" t="s">
        <v>427</v>
      </c>
      <c r="E10379" s="336">
        <v>43830</v>
      </c>
      <c r="G10379" s="336">
        <v>43827</v>
      </c>
      <c r="H10379" s="334" t="s">
        <v>12674</v>
      </c>
      <c r="I10379" s="426">
        <v>18016314917</v>
      </c>
      <c r="J10379" s="426" t="s">
        <v>12675</v>
      </c>
      <c r="M10379" s="334">
        <v>2249</v>
      </c>
      <c r="N10379" s="362">
        <f t="shared" si="370"/>
        <v>2249</v>
      </c>
    </row>
    <row r="10380" customHeight="1" spans="2:14">
      <c r="B10380" s="334" t="s">
        <v>87</v>
      </c>
      <c r="C10380" s="334" t="s">
        <v>199</v>
      </c>
      <c r="D10380" s="334" t="s">
        <v>89</v>
      </c>
      <c r="E10380" s="336">
        <v>43830</v>
      </c>
      <c r="G10380" s="336">
        <v>43827</v>
      </c>
      <c r="H10380" s="334" t="s">
        <v>14598</v>
      </c>
      <c r="I10380" s="444">
        <v>15021231518</v>
      </c>
      <c r="J10380" s="438" t="s">
        <v>14599</v>
      </c>
      <c r="M10380" s="334">
        <v>28000</v>
      </c>
      <c r="N10380" s="362">
        <f t="shared" si="370"/>
        <v>28000</v>
      </c>
    </row>
    <row r="10381" customHeight="1" spans="2:14">
      <c r="B10381" s="334" t="s">
        <v>153</v>
      </c>
      <c r="C10381" s="334" t="s">
        <v>154</v>
      </c>
      <c r="D10381" s="334" t="s">
        <v>155</v>
      </c>
      <c r="E10381" s="336">
        <v>43830</v>
      </c>
      <c r="G10381" s="336">
        <v>43808</v>
      </c>
      <c r="H10381" s="334" t="s">
        <v>19342</v>
      </c>
      <c r="I10381" s="444">
        <v>18930940903</v>
      </c>
      <c r="J10381" s="438" t="s">
        <v>19343</v>
      </c>
      <c r="M10381" s="334">
        <v>1385</v>
      </c>
      <c r="N10381" s="362">
        <f t="shared" si="370"/>
        <v>1385</v>
      </c>
    </row>
    <row r="10382" customHeight="1" spans="2:14">
      <c r="B10382" s="334" t="s">
        <v>73</v>
      </c>
      <c r="C10382" s="334" t="s">
        <v>74</v>
      </c>
      <c r="D10382" s="334" t="s">
        <v>427</v>
      </c>
      <c r="E10382" s="336">
        <v>43830</v>
      </c>
      <c r="G10382" s="336">
        <v>43830</v>
      </c>
      <c r="H10382" s="334" t="s">
        <v>2252</v>
      </c>
      <c r="I10382" s="334">
        <v>13681959696</v>
      </c>
      <c r="J10382" s="334" t="s">
        <v>12345</v>
      </c>
      <c r="M10382" s="334">
        <v>28975</v>
      </c>
      <c r="N10382" s="362">
        <f t="shared" si="370"/>
        <v>28975</v>
      </c>
    </row>
    <row r="10383" customHeight="1" spans="2:14">
      <c r="B10383" s="334" t="s">
        <v>335</v>
      </c>
      <c r="C10383" s="334" t="s">
        <v>148</v>
      </c>
      <c r="D10383" s="334" t="s">
        <v>207</v>
      </c>
      <c r="E10383" s="336">
        <v>43830</v>
      </c>
      <c r="G10383" s="336">
        <v>43826</v>
      </c>
      <c r="H10383" s="334" t="s">
        <v>20808</v>
      </c>
      <c r="I10383" s="444">
        <v>13611798538</v>
      </c>
      <c r="J10383" s="348" t="s">
        <v>20809</v>
      </c>
      <c r="M10383" s="334">
        <v>13000</v>
      </c>
      <c r="N10383" s="362">
        <f t="shared" si="370"/>
        <v>13000</v>
      </c>
    </row>
    <row r="10384" customHeight="1" spans="2:14">
      <c r="B10384" s="334" t="s">
        <v>281</v>
      </c>
      <c r="C10384" s="334" t="s">
        <v>517</v>
      </c>
      <c r="D10384" s="334" t="s">
        <v>518</v>
      </c>
      <c r="E10384" s="336">
        <v>43830</v>
      </c>
      <c r="G10384" s="336">
        <v>43830</v>
      </c>
      <c r="H10384" s="334" t="s">
        <v>140</v>
      </c>
      <c r="I10384" s="444">
        <v>18515206693</v>
      </c>
      <c r="J10384" s="438" t="s">
        <v>3879</v>
      </c>
      <c r="M10384" s="334">
        <v>2940</v>
      </c>
      <c r="N10384" s="362">
        <f t="shared" si="370"/>
        <v>2940</v>
      </c>
    </row>
    <row r="10385" customHeight="1" spans="2:14">
      <c r="B10385" s="334" t="s">
        <v>66</v>
      </c>
      <c r="C10385" s="334" t="s">
        <v>119</v>
      </c>
      <c r="D10385" s="334" t="s">
        <v>2302</v>
      </c>
      <c r="E10385" s="336">
        <v>43830</v>
      </c>
      <c r="G10385" s="336">
        <v>43830</v>
      </c>
      <c r="H10385" s="334" t="s">
        <v>17784</v>
      </c>
      <c r="I10385" s="426">
        <v>17717821693</v>
      </c>
      <c r="J10385" s="334" t="s">
        <v>20810</v>
      </c>
      <c r="M10385" s="334">
        <v>3084</v>
      </c>
      <c r="N10385" s="362">
        <f t="shared" si="370"/>
        <v>3084</v>
      </c>
    </row>
    <row r="10386" customHeight="1" spans="2:14">
      <c r="B10386" s="334" t="s">
        <v>73</v>
      </c>
      <c r="C10386" s="334" t="s">
        <v>178</v>
      </c>
      <c r="D10386" s="334" t="s">
        <v>75</v>
      </c>
      <c r="E10386" s="336">
        <v>43830</v>
      </c>
      <c r="G10386" s="336">
        <v>43830</v>
      </c>
      <c r="H10386" s="334" t="s">
        <v>3267</v>
      </c>
      <c r="I10386" s="426">
        <v>13701817552</v>
      </c>
      <c r="J10386" s="334" t="s">
        <v>12890</v>
      </c>
      <c r="M10386" s="334">
        <v>268</v>
      </c>
      <c r="N10386" s="362">
        <f t="shared" si="370"/>
        <v>268</v>
      </c>
    </row>
    <row r="10387" customHeight="1" spans="2:14">
      <c r="B10387" s="334" t="s">
        <v>335</v>
      </c>
      <c r="C10387" s="334" t="s">
        <v>148</v>
      </c>
      <c r="D10387" s="334" t="s">
        <v>33</v>
      </c>
      <c r="E10387" s="336">
        <v>43830</v>
      </c>
      <c r="G10387" s="336">
        <v>43830</v>
      </c>
      <c r="H10387" s="334" t="s">
        <v>19159</v>
      </c>
      <c r="I10387" s="444">
        <v>15921352183</v>
      </c>
      <c r="J10387" s="444" t="s">
        <v>19160</v>
      </c>
      <c r="M10387" s="334">
        <v>976</v>
      </c>
      <c r="N10387" s="362">
        <f t="shared" si="370"/>
        <v>976</v>
      </c>
    </row>
    <row r="10388" customHeight="1" spans="2:14">
      <c r="B10388" s="334" t="s">
        <v>66</v>
      </c>
      <c r="C10388" s="334" t="s">
        <v>119</v>
      </c>
      <c r="D10388" s="334" t="s">
        <v>2302</v>
      </c>
      <c r="E10388" s="336">
        <v>43830</v>
      </c>
      <c r="G10388" s="336">
        <v>43830</v>
      </c>
      <c r="H10388" s="334" t="s">
        <v>11575</v>
      </c>
      <c r="I10388" s="334">
        <v>13186782151</v>
      </c>
      <c r="J10388" s="334" t="s">
        <v>20811</v>
      </c>
      <c r="M10388" s="334">
        <v>11050</v>
      </c>
      <c r="N10388" s="362">
        <f t="shared" si="370"/>
        <v>11050</v>
      </c>
    </row>
    <row r="10389" customHeight="1" spans="2:14">
      <c r="B10389" s="334" t="s">
        <v>35</v>
      </c>
      <c r="C10389" s="334" t="s">
        <v>328</v>
      </c>
      <c r="D10389" s="334" t="s">
        <v>37</v>
      </c>
      <c r="E10389" s="336">
        <v>43830</v>
      </c>
      <c r="G10389" s="336">
        <v>43822</v>
      </c>
      <c r="H10389" s="334" t="s">
        <v>19826</v>
      </c>
      <c r="I10389" s="444">
        <v>13512158030</v>
      </c>
      <c r="J10389" s="438" t="s">
        <v>20812</v>
      </c>
      <c r="M10389" s="334">
        <v>7099</v>
      </c>
      <c r="N10389" s="362">
        <f t="shared" si="370"/>
        <v>7099</v>
      </c>
    </row>
    <row r="10390" customHeight="1" spans="1:15">
      <c r="A10390" s="560" t="s">
        <v>20813</v>
      </c>
      <c r="B10390" s="519" t="s">
        <v>73</v>
      </c>
      <c r="C10390" s="519" t="s">
        <v>74</v>
      </c>
      <c r="D10390" s="335" t="s">
        <v>75</v>
      </c>
      <c r="E10390" s="520">
        <v>43831</v>
      </c>
      <c r="F10390" s="520">
        <v>43831</v>
      </c>
      <c r="G10390" s="521"/>
      <c r="H10390" s="522" t="s">
        <v>534</v>
      </c>
      <c r="I10390" s="529">
        <v>13321947566</v>
      </c>
      <c r="J10390" s="519" t="s">
        <v>20814</v>
      </c>
      <c r="K10390" s="530">
        <v>1000</v>
      </c>
      <c r="N10390" s="362">
        <f t="shared" ref="N10390:N10421" si="371">L10390+M10390</f>
        <v>0</v>
      </c>
      <c r="O10390" s="405" t="s">
        <v>52</v>
      </c>
    </row>
    <row r="10391" customHeight="1" spans="1:14">
      <c r="A10391" s="561" t="s">
        <v>20815</v>
      </c>
      <c r="B10391" s="523" t="s">
        <v>31</v>
      </c>
      <c r="C10391" s="523" t="s">
        <v>287</v>
      </c>
      <c r="D10391" s="335" t="s">
        <v>221</v>
      </c>
      <c r="E10391" s="520">
        <v>43831</v>
      </c>
      <c r="F10391" s="520">
        <v>43831</v>
      </c>
      <c r="G10391" s="524"/>
      <c r="H10391" s="522" t="s">
        <v>6286</v>
      </c>
      <c r="I10391" s="531">
        <v>18612236945</v>
      </c>
      <c r="J10391" s="523" t="s">
        <v>20816</v>
      </c>
      <c r="K10391" s="532">
        <v>1000</v>
      </c>
      <c r="N10391" s="362">
        <f t="shared" si="371"/>
        <v>0</v>
      </c>
    </row>
    <row r="10392" customHeight="1" spans="1:14">
      <c r="A10392" s="561" t="s">
        <v>20817</v>
      </c>
      <c r="B10392" s="523" t="s">
        <v>31</v>
      </c>
      <c r="C10392" s="523" t="s">
        <v>419</v>
      </c>
      <c r="D10392" s="335" t="s">
        <v>221</v>
      </c>
      <c r="E10392" s="520">
        <v>43831</v>
      </c>
      <c r="F10392" s="520">
        <v>43831</v>
      </c>
      <c r="G10392" s="524"/>
      <c r="H10392" s="522" t="s">
        <v>20818</v>
      </c>
      <c r="I10392" s="531">
        <v>13501850926</v>
      </c>
      <c r="J10392" s="523" t="s">
        <v>20819</v>
      </c>
      <c r="K10392" s="532">
        <v>1000</v>
      </c>
      <c r="N10392" s="362">
        <f t="shared" si="371"/>
        <v>0</v>
      </c>
    </row>
    <row r="10393" customHeight="1" spans="1:14">
      <c r="A10393" s="561" t="s">
        <v>20820</v>
      </c>
      <c r="B10393" s="523" t="s">
        <v>31</v>
      </c>
      <c r="C10393" s="523" t="s">
        <v>13171</v>
      </c>
      <c r="D10393" s="439" t="s">
        <v>33</v>
      </c>
      <c r="E10393" s="440">
        <v>43839</v>
      </c>
      <c r="F10393" s="520">
        <v>43831</v>
      </c>
      <c r="G10393" s="440">
        <v>43839</v>
      </c>
      <c r="H10393" s="522" t="s">
        <v>20821</v>
      </c>
      <c r="I10393" s="531">
        <v>18106299899</v>
      </c>
      <c r="J10393" s="523" t="s">
        <v>20822</v>
      </c>
      <c r="K10393" s="532">
        <v>10000</v>
      </c>
      <c r="L10393" s="439">
        <v>25596</v>
      </c>
      <c r="N10393" s="362">
        <f t="shared" si="371"/>
        <v>25596</v>
      </c>
    </row>
    <row r="10394" customHeight="1" spans="1:14">
      <c r="A10394" s="561" t="s">
        <v>20823</v>
      </c>
      <c r="B10394" s="523" t="s">
        <v>123</v>
      </c>
      <c r="C10394" s="523" t="s">
        <v>9890</v>
      </c>
      <c r="D10394" s="335" t="s">
        <v>125</v>
      </c>
      <c r="E10394" s="520">
        <v>43831</v>
      </c>
      <c r="F10394" s="520">
        <v>43831</v>
      </c>
      <c r="G10394" s="524"/>
      <c r="H10394" s="522" t="s">
        <v>20824</v>
      </c>
      <c r="I10394" s="531">
        <v>13482026031</v>
      </c>
      <c r="J10394" s="523" t="s">
        <v>20825</v>
      </c>
      <c r="K10394" s="532">
        <v>1000</v>
      </c>
      <c r="N10394" s="362">
        <f t="shared" si="371"/>
        <v>0</v>
      </c>
    </row>
    <row r="10395" customHeight="1" spans="1:15">
      <c r="A10395" s="523"/>
      <c r="B10395" s="523" t="s">
        <v>5336</v>
      </c>
      <c r="C10395" s="523" t="s">
        <v>5336</v>
      </c>
      <c r="D10395" s="335" t="s">
        <v>8334</v>
      </c>
      <c r="E10395" s="520">
        <v>43831</v>
      </c>
      <c r="F10395" s="520">
        <v>43831</v>
      </c>
      <c r="G10395" s="524"/>
      <c r="H10395" s="522" t="s">
        <v>20826</v>
      </c>
      <c r="I10395" s="531">
        <v>13122232215</v>
      </c>
      <c r="J10395" s="523" t="s">
        <v>20827</v>
      </c>
      <c r="K10395" s="532">
        <v>6692</v>
      </c>
      <c r="N10395" s="362">
        <f t="shared" si="371"/>
        <v>0</v>
      </c>
      <c r="O10395" s="353" t="s">
        <v>52</v>
      </c>
    </row>
    <row r="10396" customHeight="1" spans="1:22">
      <c r="A10396" s="523"/>
      <c r="B10396" s="523" t="s">
        <v>5336</v>
      </c>
      <c r="C10396" s="523" t="s">
        <v>5336</v>
      </c>
      <c r="D10396" s="335" t="s">
        <v>8334</v>
      </c>
      <c r="E10396" s="520">
        <v>43831</v>
      </c>
      <c r="F10396" s="520">
        <v>43831</v>
      </c>
      <c r="G10396" s="524"/>
      <c r="H10396" s="525" t="s">
        <v>20828</v>
      </c>
      <c r="I10396" s="531">
        <v>13482529428</v>
      </c>
      <c r="J10396" s="523" t="s">
        <v>20829</v>
      </c>
      <c r="K10396" s="532">
        <v>4741</v>
      </c>
      <c r="N10396" s="362">
        <f t="shared" si="371"/>
        <v>0</v>
      </c>
      <c r="V10396" s="353" t="s">
        <v>52</v>
      </c>
    </row>
    <row r="10397" customHeight="1" spans="1:15">
      <c r="A10397" s="523"/>
      <c r="B10397" s="523" t="s">
        <v>5336</v>
      </c>
      <c r="C10397" s="523" t="s">
        <v>5336</v>
      </c>
      <c r="D10397" s="335" t="s">
        <v>8334</v>
      </c>
      <c r="E10397" s="520">
        <v>43831</v>
      </c>
      <c r="F10397" s="520">
        <v>43831</v>
      </c>
      <c r="G10397" s="526"/>
      <c r="H10397" s="522" t="s">
        <v>20830</v>
      </c>
      <c r="I10397" s="533">
        <v>13761928118</v>
      </c>
      <c r="J10397" s="519" t="s">
        <v>20831</v>
      </c>
      <c r="K10397" s="532">
        <v>11315</v>
      </c>
      <c r="N10397" s="362">
        <f t="shared" si="371"/>
        <v>0</v>
      </c>
      <c r="O10397" s="353" t="s">
        <v>52</v>
      </c>
    </row>
    <row r="10398" customHeight="1" spans="1:15">
      <c r="A10398" s="523"/>
      <c r="B10398" s="523" t="s">
        <v>5336</v>
      </c>
      <c r="C10398" s="523" t="s">
        <v>5336</v>
      </c>
      <c r="D10398" s="335" t="s">
        <v>8334</v>
      </c>
      <c r="E10398" s="520">
        <v>43831</v>
      </c>
      <c r="F10398" s="520">
        <v>43831</v>
      </c>
      <c r="G10398" s="524"/>
      <c r="H10398" s="525" t="s">
        <v>20832</v>
      </c>
      <c r="I10398" s="531">
        <v>18018845453</v>
      </c>
      <c r="J10398" s="523" t="s">
        <v>20833</v>
      </c>
      <c r="K10398" s="532">
        <v>2399</v>
      </c>
      <c r="N10398" s="362">
        <f t="shared" si="371"/>
        <v>0</v>
      </c>
      <c r="O10398" s="353" t="s">
        <v>52</v>
      </c>
    </row>
    <row r="10399" customHeight="1" spans="1:15">
      <c r="A10399" s="523"/>
      <c r="B10399" s="523" t="s">
        <v>5336</v>
      </c>
      <c r="C10399" s="523" t="s">
        <v>5336</v>
      </c>
      <c r="D10399" s="335" t="s">
        <v>8334</v>
      </c>
      <c r="E10399" s="520">
        <v>43831</v>
      </c>
      <c r="F10399" s="520">
        <v>43831</v>
      </c>
      <c r="G10399" s="524"/>
      <c r="H10399" s="525" t="s">
        <v>20834</v>
      </c>
      <c r="I10399" s="531">
        <v>13301758391</v>
      </c>
      <c r="J10399" s="523" t="s">
        <v>20835</v>
      </c>
      <c r="K10399" s="532">
        <v>19448</v>
      </c>
      <c r="N10399" s="362">
        <f t="shared" si="371"/>
        <v>0</v>
      </c>
      <c r="O10399" s="353" t="s">
        <v>52</v>
      </c>
    </row>
    <row r="10400" customHeight="1" spans="1:15">
      <c r="A10400" s="523"/>
      <c r="B10400" s="523" t="s">
        <v>5336</v>
      </c>
      <c r="C10400" s="523" t="s">
        <v>5336</v>
      </c>
      <c r="D10400" s="335" t="s">
        <v>8334</v>
      </c>
      <c r="E10400" s="520">
        <v>43831</v>
      </c>
      <c r="F10400" s="520">
        <v>43831</v>
      </c>
      <c r="G10400" s="524"/>
      <c r="H10400" s="525" t="s">
        <v>20836</v>
      </c>
      <c r="I10400" s="531">
        <v>15802165629</v>
      </c>
      <c r="J10400" s="523" t="s">
        <v>20837</v>
      </c>
      <c r="K10400" s="532">
        <v>7273</v>
      </c>
      <c r="N10400" s="362">
        <f t="shared" si="371"/>
        <v>0</v>
      </c>
      <c r="O10400" s="353" t="s">
        <v>52</v>
      </c>
    </row>
    <row r="10401" customHeight="1" spans="1:15">
      <c r="A10401" s="561" t="s">
        <v>5065</v>
      </c>
      <c r="B10401" s="523" t="s">
        <v>73</v>
      </c>
      <c r="C10401" s="523" t="s">
        <v>178</v>
      </c>
      <c r="D10401" s="335" t="s">
        <v>75</v>
      </c>
      <c r="E10401" s="520">
        <v>43831</v>
      </c>
      <c r="F10401" s="520">
        <v>43831</v>
      </c>
      <c r="G10401" s="524"/>
      <c r="H10401" s="525" t="s">
        <v>20838</v>
      </c>
      <c r="I10401" s="531">
        <v>15921284727</v>
      </c>
      <c r="J10401" s="523" t="s">
        <v>20839</v>
      </c>
      <c r="K10401" s="532">
        <v>1000</v>
      </c>
      <c r="N10401" s="362">
        <f t="shared" si="371"/>
        <v>0</v>
      </c>
      <c r="O10401" s="405" t="s">
        <v>52</v>
      </c>
    </row>
    <row r="10402" customHeight="1" spans="1:15">
      <c r="A10402" s="523"/>
      <c r="B10402" s="523" t="s">
        <v>73</v>
      </c>
      <c r="C10402" s="523" t="s">
        <v>178</v>
      </c>
      <c r="D10402" s="335" t="s">
        <v>75</v>
      </c>
      <c r="E10402" s="520">
        <v>43831</v>
      </c>
      <c r="F10402" s="520">
        <v>43829</v>
      </c>
      <c r="G10402" s="524"/>
      <c r="H10402" s="525" t="s">
        <v>20840</v>
      </c>
      <c r="I10402" s="531">
        <v>15692131182</v>
      </c>
      <c r="J10402" s="523" t="s">
        <v>20841</v>
      </c>
      <c r="K10402" s="532">
        <v>1000</v>
      </c>
      <c r="N10402" s="362">
        <f t="shared" si="371"/>
        <v>0</v>
      </c>
      <c r="O10402" s="405" t="s">
        <v>52</v>
      </c>
    </row>
    <row r="10403" customHeight="1" spans="1:15">
      <c r="A10403" s="561" t="s">
        <v>204</v>
      </c>
      <c r="B10403" s="523" t="s">
        <v>73</v>
      </c>
      <c r="C10403" s="523" t="s">
        <v>74</v>
      </c>
      <c r="D10403" s="335" t="s">
        <v>75</v>
      </c>
      <c r="E10403" s="520">
        <v>43831</v>
      </c>
      <c r="F10403" s="520">
        <v>43831</v>
      </c>
      <c r="G10403" s="524"/>
      <c r="H10403" s="525" t="s">
        <v>20842</v>
      </c>
      <c r="I10403" s="531">
        <v>13801803867</v>
      </c>
      <c r="J10403" s="523" t="s">
        <v>20843</v>
      </c>
      <c r="K10403" s="532">
        <v>1000</v>
      </c>
      <c r="N10403" s="362">
        <f t="shared" si="371"/>
        <v>0</v>
      </c>
      <c r="O10403" s="405" t="s">
        <v>52</v>
      </c>
    </row>
    <row r="10404" customHeight="1" spans="1:15">
      <c r="A10404" s="561" t="s">
        <v>20844</v>
      </c>
      <c r="B10404" s="523" t="s">
        <v>73</v>
      </c>
      <c r="C10404" s="523" t="s">
        <v>74</v>
      </c>
      <c r="D10404" s="335" t="s">
        <v>75</v>
      </c>
      <c r="E10404" s="520">
        <v>43831</v>
      </c>
      <c r="F10404" s="527">
        <v>43831</v>
      </c>
      <c r="G10404" s="524"/>
      <c r="H10404" s="525" t="s">
        <v>20845</v>
      </c>
      <c r="I10404" s="531">
        <v>13661977058</v>
      </c>
      <c r="J10404" s="523" t="s">
        <v>20846</v>
      </c>
      <c r="K10404" s="532">
        <f>1000+1000</f>
        <v>2000</v>
      </c>
      <c r="N10404" s="362">
        <f t="shared" si="371"/>
        <v>0</v>
      </c>
      <c r="O10404" s="405" t="s">
        <v>52</v>
      </c>
    </row>
    <row r="10405" customHeight="1" spans="1:14">
      <c r="A10405" s="561" t="s">
        <v>7621</v>
      </c>
      <c r="B10405" s="523" t="s">
        <v>87</v>
      </c>
      <c r="C10405" s="523" t="s">
        <v>9318</v>
      </c>
      <c r="D10405" s="335" t="s">
        <v>89</v>
      </c>
      <c r="E10405" s="520">
        <v>43831</v>
      </c>
      <c r="F10405" s="527">
        <v>43829</v>
      </c>
      <c r="G10405" s="524"/>
      <c r="H10405" s="525" t="s">
        <v>352</v>
      </c>
      <c r="I10405" s="531">
        <v>18918296892</v>
      </c>
      <c r="J10405" s="523" t="s">
        <v>20847</v>
      </c>
      <c r="K10405" s="532">
        <v>1000</v>
      </c>
      <c r="N10405" s="362">
        <f t="shared" si="371"/>
        <v>0</v>
      </c>
    </row>
    <row r="10406" customHeight="1" spans="1:14">
      <c r="A10406" s="561" t="s">
        <v>20848</v>
      </c>
      <c r="B10406" s="523" t="s">
        <v>87</v>
      </c>
      <c r="C10406" s="523" t="s">
        <v>9318</v>
      </c>
      <c r="D10406" s="335" t="s">
        <v>89</v>
      </c>
      <c r="E10406" s="520">
        <v>43831</v>
      </c>
      <c r="F10406" s="527">
        <v>43831</v>
      </c>
      <c r="G10406" s="524"/>
      <c r="H10406" s="525" t="s">
        <v>5093</v>
      </c>
      <c r="I10406" s="531">
        <v>18616659077</v>
      </c>
      <c r="J10406" s="523" t="s">
        <v>20849</v>
      </c>
      <c r="K10406" s="532">
        <v>20000</v>
      </c>
      <c r="N10406" s="362">
        <f t="shared" si="371"/>
        <v>0</v>
      </c>
    </row>
    <row r="10407" customHeight="1" spans="1:14">
      <c r="A10407" s="561" t="s">
        <v>7457</v>
      </c>
      <c r="B10407" s="523" t="s">
        <v>87</v>
      </c>
      <c r="C10407" s="523" t="s">
        <v>9318</v>
      </c>
      <c r="D10407" s="335" t="s">
        <v>89</v>
      </c>
      <c r="E10407" s="520">
        <v>43831</v>
      </c>
      <c r="F10407" s="527">
        <v>43829</v>
      </c>
      <c r="G10407" s="524"/>
      <c r="H10407" s="525" t="s">
        <v>20850</v>
      </c>
      <c r="I10407" s="531">
        <v>13585956765</v>
      </c>
      <c r="J10407" s="523" t="s">
        <v>20851</v>
      </c>
      <c r="K10407" s="532">
        <v>1000</v>
      </c>
      <c r="N10407" s="362">
        <f t="shared" si="371"/>
        <v>0</v>
      </c>
    </row>
    <row r="10408" customHeight="1" spans="1:14">
      <c r="A10408" s="561" t="s">
        <v>20852</v>
      </c>
      <c r="B10408" s="523" t="s">
        <v>169</v>
      </c>
      <c r="C10408" s="523" t="s">
        <v>15883</v>
      </c>
      <c r="D10408" s="335" t="s">
        <v>635</v>
      </c>
      <c r="E10408" s="520">
        <v>43831</v>
      </c>
      <c r="F10408" s="527">
        <v>43829</v>
      </c>
      <c r="G10408" s="524"/>
      <c r="H10408" s="525" t="s">
        <v>20853</v>
      </c>
      <c r="I10408" s="531">
        <v>13183834763</v>
      </c>
      <c r="J10408" s="523" t="s">
        <v>20854</v>
      </c>
      <c r="K10408" s="532">
        <v>500</v>
      </c>
      <c r="N10408" s="362">
        <f t="shared" si="371"/>
        <v>0</v>
      </c>
    </row>
    <row r="10409" customHeight="1" spans="1:14">
      <c r="A10409" s="561" t="s">
        <v>20855</v>
      </c>
      <c r="B10409" s="523" t="s">
        <v>31</v>
      </c>
      <c r="C10409" s="523" t="s">
        <v>220</v>
      </c>
      <c r="D10409" s="335" t="s">
        <v>221</v>
      </c>
      <c r="E10409" s="520">
        <v>43831</v>
      </c>
      <c r="F10409" s="527">
        <v>43831</v>
      </c>
      <c r="G10409" s="524"/>
      <c r="H10409" s="525" t="s">
        <v>20856</v>
      </c>
      <c r="I10409" s="531">
        <v>15000138246</v>
      </c>
      <c r="J10409" s="523" t="s">
        <v>20857</v>
      </c>
      <c r="K10409" s="532">
        <v>500</v>
      </c>
      <c r="N10409" s="362">
        <f t="shared" si="371"/>
        <v>0</v>
      </c>
    </row>
    <row r="10410" customHeight="1" spans="1:14">
      <c r="A10410" s="561" t="s">
        <v>627</v>
      </c>
      <c r="B10410" s="523" t="s">
        <v>315</v>
      </c>
      <c r="C10410" s="523" t="s">
        <v>161</v>
      </c>
      <c r="D10410" s="335" t="s">
        <v>132</v>
      </c>
      <c r="E10410" s="520">
        <v>43831</v>
      </c>
      <c r="F10410" s="527">
        <v>43829</v>
      </c>
      <c r="G10410" s="524"/>
      <c r="H10410" s="525" t="s">
        <v>20858</v>
      </c>
      <c r="I10410" s="531">
        <v>13482840652</v>
      </c>
      <c r="J10410" s="523" t="s">
        <v>20859</v>
      </c>
      <c r="K10410" s="532">
        <v>1000</v>
      </c>
      <c r="N10410" s="362">
        <f t="shared" si="371"/>
        <v>0</v>
      </c>
    </row>
    <row r="10411" customHeight="1" spans="1:19">
      <c r="A10411" s="561" t="s">
        <v>18299</v>
      </c>
      <c r="B10411" s="523" t="s">
        <v>42</v>
      </c>
      <c r="C10411" s="523" t="s">
        <v>43</v>
      </c>
      <c r="D10411" s="335" t="s">
        <v>207</v>
      </c>
      <c r="E10411" s="520">
        <v>43831</v>
      </c>
      <c r="F10411" s="527">
        <v>43820</v>
      </c>
      <c r="G10411" s="524"/>
      <c r="H10411" s="525" t="s">
        <v>20860</v>
      </c>
      <c r="I10411" s="531">
        <v>18616159401</v>
      </c>
      <c r="J10411" s="523" t="s">
        <v>20861</v>
      </c>
      <c r="K10411" s="532">
        <v>50000</v>
      </c>
      <c r="N10411" s="362">
        <f t="shared" si="371"/>
        <v>0</v>
      </c>
      <c r="S10411" s="356" t="s">
        <v>52</v>
      </c>
    </row>
    <row r="10412" customHeight="1" spans="1:14">
      <c r="A10412" s="561" t="s">
        <v>8444</v>
      </c>
      <c r="B10412" s="523" t="s">
        <v>123</v>
      </c>
      <c r="C10412" s="523" t="s">
        <v>902</v>
      </c>
      <c r="D10412" s="335" t="s">
        <v>125</v>
      </c>
      <c r="E10412" s="520">
        <v>43831</v>
      </c>
      <c r="F10412" s="527">
        <v>43831</v>
      </c>
      <c r="G10412" s="524"/>
      <c r="H10412" s="525" t="s">
        <v>20862</v>
      </c>
      <c r="I10412" s="531">
        <v>13761694060</v>
      </c>
      <c r="J10412" s="523" t="s">
        <v>20863</v>
      </c>
      <c r="K10412" s="532">
        <v>1000</v>
      </c>
      <c r="N10412" s="362">
        <f t="shared" si="371"/>
        <v>0</v>
      </c>
    </row>
    <row r="10413" customHeight="1" spans="1:14">
      <c r="A10413" s="561" t="s">
        <v>12189</v>
      </c>
      <c r="B10413" s="523" t="s">
        <v>315</v>
      </c>
      <c r="C10413" s="523" t="s">
        <v>161</v>
      </c>
      <c r="D10413" s="335" t="s">
        <v>132</v>
      </c>
      <c r="E10413" s="520">
        <v>43831</v>
      </c>
      <c r="F10413" s="527">
        <v>43831</v>
      </c>
      <c r="G10413" s="524"/>
      <c r="H10413" s="525" t="s">
        <v>20864</v>
      </c>
      <c r="I10413" s="531">
        <v>17717019873</v>
      </c>
      <c r="J10413" s="523" t="s">
        <v>20865</v>
      </c>
      <c r="K10413" s="532">
        <v>1000</v>
      </c>
      <c r="N10413" s="362">
        <f t="shared" si="371"/>
        <v>0</v>
      </c>
    </row>
    <row r="10414" customHeight="1" spans="1:19">
      <c r="A10414" s="561" t="s">
        <v>18293</v>
      </c>
      <c r="B10414" s="523" t="s">
        <v>42</v>
      </c>
      <c r="C10414" s="523" t="s">
        <v>43</v>
      </c>
      <c r="D10414" s="335" t="s">
        <v>207</v>
      </c>
      <c r="E10414" s="520">
        <v>43831</v>
      </c>
      <c r="F10414" s="527">
        <v>43831</v>
      </c>
      <c r="G10414" s="524"/>
      <c r="H10414" s="525" t="s">
        <v>20866</v>
      </c>
      <c r="I10414" s="531">
        <v>18717890908</v>
      </c>
      <c r="J10414" s="523" t="s">
        <v>20867</v>
      </c>
      <c r="K10414" s="532">
        <f>10000+20000</f>
        <v>30000</v>
      </c>
      <c r="N10414" s="362">
        <f t="shared" si="371"/>
        <v>0</v>
      </c>
      <c r="S10414" s="356" t="s">
        <v>52</v>
      </c>
    </row>
    <row r="10415" customHeight="1" spans="1:15">
      <c r="A10415" s="561" t="s">
        <v>7884</v>
      </c>
      <c r="B10415" s="523" t="s">
        <v>58</v>
      </c>
      <c r="C10415" s="523" t="s">
        <v>342</v>
      </c>
      <c r="D10415" s="335" t="s">
        <v>271</v>
      </c>
      <c r="E10415" s="520">
        <v>43831</v>
      </c>
      <c r="F10415" s="527">
        <v>43830</v>
      </c>
      <c r="G10415" s="524"/>
      <c r="H10415" s="525" t="s">
        <v>20868</v>
      </c>
      <c r="I10415" s="531">
        <v>13601802121</v>
      </c>
      <c r="J10415" s="523" t="s">
        <v>20869</v>
      </c>
      <c r="K10415" s="532">
        <v>1000</v>
      </c>
      <c r="N10415" s="362">
        <f t="shared" si="371"/>
        <v>0</v>
      </c>
      <c r="O10415" s="366" t="s">
        <v>52</v>
      </c>
    </row>
    <row r="10416" customHeight="1" spans="1:14">
      <c r="A10416" s="561" t="s">
        <v>18185</v>
      </c>
      <c r="B10416" s="523" t="s">
        <v>66</v>
      </c>
      <c r="C10416" s="523" t="s">
        <v>15301</v>
      </c>
      <c r="D10416" s="335" t="s">
        <v>2302</v>
      </c>
      <c r="E10416" s="520">
        <v>43831</v>
      </c>
      <c r="F10416" s="527">
        <v>43831</v>
      </c>
      <c r="G10416" s="524"/>
      <c r="H10416" s="525" t="s">
        <v>20870</v>
      </c>
      <c r="I10416" s="531">
        <v>13916402057</v>
      </c>
      <c r="J10416" s="523" t="s">
        <v>20871</v>
      </c>
      <c r="K10416" s="532">
        <v>1000</v>
      </c>
      <c r="N10416" s="362">
        <f t="shared" si="371"/>
        <v>0</v>
      </c>
    </row>
    <row r="10417" customHeight="1" spans="1:14">
      <c r="A10417" s="561" t="s">
        <v>541</v>
      </c>
      <c r="B10417" s="523" t="s">
        <v>66</v>
      </c>
      <c r="C10417" s="523" t="s">
        <v>505</v>
      </c>
      <c r="D10417" s="335" t="s">
        <v>2302</v>
      </c>
      <c r="E10417" s="520">
        <v>43831</v>
      </c>
      <c r="F10417" s="527">
        <v>43830</v>
      </c>
      <c r="G10417" s="524"/>
      <c r="H10417" s="525" t="s">
        <v>20872</v>
      </c>
      <c r="I10417" s="531">
        <v>13162281175</v>
      </c>
      <c r="J10417" s="523" t="s">
        <v>20873</v>
      </c>
      <c r="K10417" s="532">
        <v>500</v>
      </c>
      <c r="N10417" s="362">
        <f t="shared" si="371"/>
        <v>0</v>
      </c>
    </row>
    <row r="10418" customHeight="1" spans="1:14">
      <c r="A10418" s="561" t="s">
        <v>20874</v>
      </c>
      <c r="B10418" s="523" t="s">
        <v>123</v>
      </c>
      <c r="C10418" s="523" t="s">
        <v>32</v>
      </c>
      <c r="D10418" s="334" t="s">
        <v>125</v>
      </c>
      <c r="E10418" s="520">
        <v>43831</v>
      </c>
      <c r="F10418" s="527">
        <v>43821</v>
      </c>
      <c r="G10418" s="524">
        <v>43830</v>
      </c>
      <c r="H10418" s="525" t="s">
        <v>20875</v>
      </c>
      <c r="I10418" s="531">
        <v>15216844093</v>
      </c>
      <c r="J10418" s="523" t="s">
        <v>20876</v>
      </c>
      <c r="K10418" s="532">
        <v>1000</v>
      </c>
      <c r="L10418" s="334">
        <v>10879</v>
      </c>
      <c r="N10418" s="362">
        <f t="shared" si="371"/>
        <v>10879</v>
      </c>
    </row>
    <row r="10419" customHeight="1" spans="1:15">
      <c r="A10419" s="561" t="s">
        <v>4361</v>
      </c>
      <c r="B10419" s="523" t="s">
        <v>58</v>
      </c>
      <c r="C10419" s="523" t="s">
        <v>347</v>
      </c>
      <c r="D10419" s="335" t="s">
        <v>271</v>
      </c>
      <c r="E10419" s="520">
        <v>43831</v>
      </c>
      <c r="F10419" s="527">
        <v>43831</v>
      </c>
      <c r="G10419" s="524"/>
      <c r="H10419" s="525" t="s">
        <v>20877</v>
      </c>
      <c r="I10419" s="531">
        <v>13621882698</v>
      </c>
      <c r="J10419" s="523" t="s">
        <v>20878</v>
      </c>
      <c r="K10419" s="532">
        <v>1000</v>
      </c>
      <c r="N10419" s="362">
        <f t="shared" si="371"/>
        <v>0</v>
      </c>
      <c r="O10419" s="366" t="s">
        <v>52</v>
      </c>
    </row>
    <row r="10420" customHeight="1" spans="1:15">
      <c r="A10420" s="561" t="s">
        <v>20879</v>
      </c>
      <c r="B10420" s="523" t="s">
        <v>73</v>
      </c>
      <c r="C10420" s="523" t="s">
        <v>74</v>
      </c>
      <c r="D10420" s="335" t="s">
        <v>75</v>
      </c>
      <c r="E10420" s="520">
        <v>43831</v>
      </c>
      <c r="F10420" s="527">
        <v>43831</v>
      </c>
      <c r="G10420" s="524"/>
      <c r="H10420" s="525" t="s">
        <v>20880</v>
      </c>
      <c r="I10420" s="531">
        <v>13999249999</v>
      </c>
      <c r="J10420" s="523" t="s">
        <v>20881</v>
      </c>
      <c r="K10420" s="532">
        <v>1000</v>
      </c>
      <c r="N10420" s="362">
        <f t="shared" ref="N10420:N10437" si="372">L10420+M10420</f>
        <v>0</v>
      </c>
      <c r="O10420" s="405" t="s">
        <v>52</v>
      </c>
    </row>
    <row r="10421" customHeight="1" spans="1:14">
      <c r="A10421" s="561" t="s">
        <v>20882</v>
      </c>
      <c r="B10421" s="523" t="s">
        <v>31</v>
      </c>
      <c r="C10421" s="523" t="s">
        <v>419</v>
      </c>
      <c r="D10421" s="335" t="s">
        <v>33</v>
      </c>
      <c r="E10421" s="520">
        <v>43831</v>
      </c>
      <c r="F10421" s="527">
        <v>43831</v>
      </c>
      <c r="G10421" s="524"/>
      <c r="H10421" s="525" t="s">
        <v>20883</v>
      </c>
      <c r="I10421" s="531">
        <v>13919025858</v>
      </c>
      <c r="J10421" s="523" t="s">
        <v>20884</v>
      </c>
      <c r="K10421" s="532">
        <v>1000</v>
      </c>
      <c r="N10421" s="362">
        <f t="shared" si="372"/>
        <v>0</v>
      </c>
    </row>
    <row r="10422" customHeight="1" spans="1:14">
      <c r="A10422" s="561" t="s">
        <v>20885</v>
      </c>
      <c r="B10422" s="523" t="s">
        <v>335</v>
      </c>
      <c r="C10422" s="523" t="s">
        <v>615</v>
      </c>
      <c r="D10422" s="335" t="s">
        <v>337</v>
      </c>
      <c r="E10422" s="520">
        <v>43831</v>
      </c>
      <c r="F10422" s="527">
        <v>43831</v>
      </c>
      <c r="G10422" s="524"/>
      <c r="H10422" s="525" t="s">
        <v>20886</v>
      </c>
      <c r="I10422" s="531">
        <v>13764173110</v>
      </c>
      <c r="J10422" s="523" t="s">
        <v>20887</v>
      </c>
      <c r="K10422" s="532">
        <v>1000</v>
      </c>
      <c r="N10422" s="362">
        <f t="shared" si="372"/>
        <v>0</v>
      </c>
    </row>
    <row r="10423" customHeight="1" spans="1:15">
      <c r="A10423" s="561" t="s">
        <v>5071</v>
      </c>
      <c r="B10423" s="523" t="s">
        <v>726</v>
      </c>
      <c r="C10423" s="523" t="s">
        <v>12699</v>
      </c>
      <c r="D10423" s="335" t="s">
        <v>207</v>
      </c>
      <c r="E10423" s="520">
        <v>43831</v>
      </c>
      <c r="F10423" s="527">
        <v>43831</v>
      </c>
      <c r="G10423" s="524"/>
      <c r="H10423" s="525" t="s">
        <v>20888</v>
      </c>
      <c r="I10423" s="531"/>
      <c r="J10423" s="523" t="s">
        <v>20889</v>
      </c>
      <c r="K10423" s="532">
        <v>21000</v>
      </c>
      <c r="N10423" s="362">
        <f t="shared" si="372"/>
        <v>0</v>
      </c>
      <c r="O10423" s="353" t="s">
        <v>20890</v>
      </c>
    </row>
    <row r="10424" customHeight="1" spans="1:14">
      <c r="A10424" s="561" t="s">
        <v>20505</v>
      </c>
      <c r="B10424" s="523" t="s">
        <v>123</v>
      </c>
      <c r="C10424" s="523" t="s">
        <v>9890</v>
      </c>
      <c r="D10424" s="335" t="s">
        <v>125</v>
      </c>
      <c r="E10424" s="520">
        <v>43831</v>
      </c>
      <c r="F10424" s="527">
        <v>43831</v>
      </c>
      <c r="G10424" s="524"/>
      <c r="H10424" s="525" t="s">
        <v>20891</v>
      </c>
      <c r="I10424" s="531">
        <v>13524560070</v>
      </c>
      <c r="J10424" s="523" t="s">
        <v>20892</v>
      </c>
      <c r="K10424" s="532">
        <v>1000</v>
      </c>
      <c r="N10424" s="362">
        <f t="shared" si="372"/>
        <v>0</v>
      </c>
    </row>
    <row r="10425" customHeight="1" spans="1:15">
      <c r="A10425" s="561" t="s">
        <v>1889</v>
      </c>
      <c r="B10425" s="523" t="s">
        <v>73</v>
      </c>
      <c r="C10425" s="523" t="s">
        <v>178</v>
      </c>
      <c r="D10425" s="335" t="s">
        <v>75</v>
      </c>
      <c r="E10425" s="520">
        <v>43831</v>
      </c>
      <c r="F10425" s="527">
        <v>43831</v>
      </c>
      <c r="G10425" s="524"/>
      <c r="H10425" s="525" t="s">
        <v>19117</v>
      </c>
      <c r="I10425" s="531">
        <v>13564569979</v>
      </c>
      <c r="J10425" s="523" t="s">
        <v>20893</v>
      </c>
      <c r="K10425" s="532">
        <v>1000</v>
      </c>
      <c r="N10425" s="362">
        <f t="shared" si="372"/>
        <v>0</v>
      </c>
      <c r="O10425" s="405" t="s">
        <v>52</v>
      </c>
    </row>
    <row r="10426" customHeight="1" spans="1:14">
      <c r="A10426" s="561" t="s">
        <v>20894</v>
      </c>
      <c r="B10426" s="523" t="s">
        <v>31</v>
      </c>
      <c r="C10426" s="523" t="s">
        <v>287</v>
      </c>
      <c r="D10426" s="335" t="s">
        <v>33</v>
      </c>
      <c r="E10426" s="520">
        <v>43831</v>
      </c>
      <c r="F10426" s="527">
        <v>43831</v>
      </c>
      <c r="G10426" s="524"/>
      <c r="H10426" s="525" t="s">
        <v>20895</v>
      </c>
      <c r="I10426" s="531">
        <v>15202114398</v>
      </c>
      <c r="J10426" s="523" t="s">
        <v>20896</v>
      </c>
      <c r="K10426" s="532">
        <v>1000</v>
      </c>
      <c r="N10426" s="362">
        <f t="shared" si="372"/>
        <v>0</v>
      </c>
    </row>
    <row r="10427" customHeight="1" spans="1:14">
      <c r="A10427" s="561" t="s">
        <v>1910</v>
      </c>
      <c r="B10427" s="523" t="s">
        <v>31</v>
      </c>
      <c r="C10427" s="523" t="s">
        <v>287</v>
      </c>
      <c r="D10427" s="335" t="s">
        <v>33</v>
      </c>
      <c r="E10427" s="520">
        <v>43831</v>
      </c>
      <c r="F10427" s="527">
        <v>43831</v>
      </c>
      <c r="G10427" s="524"/>
      <c r="H10427" s="525" t="s">
        <v>20897</v>
      </c>
      <c r="I10427" s="531">
        <v>18017119128</v>
      </c>
      <c r="J10427" s="523" t="s">
        <v>20898</v>
      </c>
      <c r="K10427" s="532">
        <v>1000</v>
      </c>
      <c r="N10427" s="362">
        <f t="shared" si="372"/>
        <v>0</v>
      </c>
    </row>
    <row r="10428" customHeight="1" spans="1:14">
      <c r="A10428" s="561" t="s">
        <v>4812</v>
      </c>
      <c r="B10428" s="523" t="s">
        <v>31</v>
      </c>
      <c r="C10428" s="523" t="s">
        <v>220</v>
      </c>
      <c r="D10428" s="335" t="s">
        <v>33</v>
      </c>
      <c r="E10428" s="520">
        <v>43831</v>
      </c>
      <c r="F10428" s="527">
        <v>43831</v>
      </c>
      <c r="G10428" s="524"/>
      <c r="H10428" s="525" t="s">
        <v>5233</v>
      </c>
      <c r="I10428" s="531">
        <v>13916382101</v>
      </c>
      <c r="J10428" s="523" t="s">
        <v>20899</v>
      </c>
      <c r="K10428" s="532">
        <v>1000</v>
      </c>
      <c r="N10428" s="362">
        <f t="shared" si="372"/>
        <v>0</v>
      </c>
    </row>
    <row r="10429" customHeight="1" spans="1:14">
      <c r="A10429" s="562" t="s">
        <v>2699</v>
      </c>
      <c r="B10429" s="523" t="s">
        <v>31</v>
      </c>
      <c r="C10429" s="523" t="s">
        <v>287</v>
      </c>
      <c r="D10429" s="335" t="s">
        <v>33</v>
      </c>
      <c r="E10429" s="520">
        <v>43831</v>
      </c>
      <c r="F10429" s="527">
        <v>43831</v>
      </c>
      <c r="G10429" s="524"/>
      <c r="H10429" s="525" t="s">
        <v>20900</v>
      </c>
      <c r="I10429" s="531">
        <v>13601735418</v>
      </c>
      <c r="J10429" s="523" t="s">
        <v>20901</v>
      </c>
      <c r="K10429" s="532">
        <v>1000</v>
      </c>
      <c r="N10429" s="362">
        <f t="shared" si="372"/>
        <v>0</v>
      </c>
    </row>
    <row r="10430" customHeight="1" spans="1:14">
      <c r="A10430" s="562" t="s">
        <v>19769</v>
      </c>
      <c r="B10430" s="523" t="s">
        <v>31</v>
      </c>
      <c r="C10430" s="523" t="s">
        <v>3186</v>
      </c>
      <c r="D10430" s="335" t="s">
        <v>954</v>
      </c>
      <c r="E10430" s="520">
        <v>43831</v>
      </c>
      <c r="F10430" s="527">
        <v>43831</v>
      </c>
      <c r="G10430" s="524"/>
      <c r="H10430" s="525" t="s">
        <v>20902</v>
      </c>
      <c r="I10430" s="531">
        <v>13917518157</v>
      </c>
      <c r="J10430" s="523" t="s">
        <v>20903</v>
      </c>
      <c r="K10430" s="532">
        <v>1000</v>
      </c>
      <c r="N10430" s="362">
        <f t="shared" si="372"/>
        <v>0</v>
      </c>
    </row>
    <row r="10431" customHeight="1" spans="1:14">
      <c r="A10431" s="562" t="s">
        <v>2509</v>
      </c>
      <c r="B10431" s="523" t="s">
        <v>31</v>
      </c>
      <c r="C10431" s="523" t="s">
        <v>419</v>
      </c>
      <c r="D10431" s="335" t="s">
        <v>954</v>
      </c>
      <c r="E10431" s="520">
        <v>43831</v>
      </c>
      <c r="F10431" s="527">
        <v>43831</v>
      </c>
      <c r="G10431" s="524"/>
      <c r="H10431" s="525" t="s">
        <v>20904</v>
      </c>
      <c r="I10431" s="531">
        <v>13801976121</v>
      </c>
      <c r="J10431" s="523" t="s">
        <v>20905</v>
      </c>
      <c r="K10431" s="532">
        <v>1000</v>
      </c>
      <c r="N10431" s="362">
        <f t="shared" si="372"/>
        <v>0</v>
      </c>
    </row>
    <row r="10432" customHeight="1" spans="1:14">
      <c r="A10432" s="562" t="s">
        <v>9549</v>
      </c>
      <c r="B10432" s="523" t="s">
        <v>137</v>
      </c>
      <c r="C10432" s="523" t="s">
        <v>406</v>
      </c>
      <c r="D10432" s="335" t="s">
        <v>443</v>
      </c>
      <c r="E10432" s="520">
        <v>43831</v>
      </c>
      <c r="F10432" s="527">
        <v>43831</v>
      </c>
      <c r="G10432" s="524"/>
      <c r="H10432" s="525" t="s">
        <v>20906</v>
      </c>
      <c r="I10432" s="531">
        <v>13861839199</v>
      </c>
      <c r="J10432" s="523" t="s">
        <v>20907</v>
      </c>
      <c r="K10432" s="532">
        <v>1000</v>
      </c>
      <c r="N10432" s="362">
        <f t="shared" si="372"/>
        <v>0</v>
      </c>
    </row>
    <row r="10433" customHeight="1" spans="1:16">
      <c r="A10433" s="562" t="s">
        <v>8098</v>
      </c>
      <c r="B10433" s="523" t="s">
        <v>58</v>
      </c>
      <c r="C10433" s="523" t="s">
        <v>347</v>
      </c>
      <c r="D10433" s="335" t="s">
        <v>271</v>
      </c>
      <c r="E10433" s="520">
        <v>43831</v>
      </c>
      <c r="F10433" s="527">
        <v>43831</v>
      </c>
      <c r="G10433" s="524"/>
      <c r="H10433" s="525" t="s">
        <v>20908</v>
      </c>
      <c r="I10433" s="531">
        <v>17521315260</v>
      </c>
      <c r="J10433" s="523" t="s">
        <v>20909</v>
      </c>
      <c r="K10433" s="532">
        <v>5000</v>
      </c>
      <c r="N10433" s="362">
        <f t="shared" si="372"/>
        <v>0</v>
      </c>
      <c r="P10433" s="366" t="s">
        <v>52</v>
      </c>
    </row>
    <row r="10434" customHeight="1" spans="1:14">
      <c r="A10434" s="562" t="s">
        <v>20910</v>
      </c>
      <c r="B10434" s="523" t="s">
        <v>31</v>
      </c>
      <c r="C10434" s="523" t="s">
        <v>377</v>
      </c>
      <c r="D10434" s="334" t="s">
        <v>33</v>
      </c>
      <c r="E10434" s="336">
        <v>43837</v>
      </c>
      <c r="F10434" s="527">
        <v>43831</v>
      </c>
      <c r="G10434" s="336">
        <v>43836</v>
      </c>
      <c r="H10434" s="525" t="s">
        <v>20911</v>
      </c>
      <c r="I10434" s="531">
        <v>18621926009</v>
      </c>
      <c r="J10434" s="523" t="s">
        <v>20912</v>
      </c>
      <c r="K10434" s="532">
        <v>1000</v>
      </c>
      <c r="L10434" s="334">
        <v>9000</v>
      </c>
      <c r="N10434" s="362">
        <f t="shared" si="372"/>
        <v>9000</v>
      </c>
    </row>
    <row r="10435" customHeight="1" spans="1:14">
      <c r="A10435" s="562" t="s">
        <v>20913</v>
      </c>
      <c r="B10435" s="523" t="s">
        <v>31</v>
      </c>
      <c r="C10435" s="523" t="s">
        <v>13171</v>
      </c>
      <c r="D10435" s="335" t="s">
        <v>954</v>
      </c>
      <c r="E10435" s="520">
        <v>43831</v>
      </c>
      <c r="F10435" s="527">
        <v>43831</v>
      </c>
      <c r="G10435" s="524"/>
      <c r="H10435" s="525" t="s">
        <v>20914</v>
      </c>
      <c r="I10435" s="531">
        <v>13482262409</v>
      </c>
      <c r="J10435" s="523" t="s">
        <v>20915</v>
      </c>
      <c r="K10435" s="532">
        <v>1000</v>
      </c>
      <c r="N10435" s="362">
        <f t="shared" si="372"/>
        <v>0</v>
      </c>
    </row>
    <row r="10436" customHeight="1" spans="1:15">
      <c r="A10436" s="562" t="s">
        <v>20916</v>
      </c>
      <c r="B10436" s="523" t="s">
        <v>354</v>
      </c>
      <c r="C10436" s="523" t="s">
        <v>355</v>
      </c>
      <c r="D10436" s="335" t="s">
        <v>207</v>
      </c>
      <c r="E10436" s="520">
        <v>43831</v>
      </c>
      <c r="F10436" s="527">
        <v>43831</v>
      </c>
      <c r="G10436" s="524"/>
      <c r="H10436" s="525" t="s">
        <v>20917</v>
      </c>
      <c r="I10436" s="531">
        <v>19821656118</v>
      </c>
      <c r="J10436" s="523" t="s">
        <v>20918</v>
      </c>
      <c r="K10436" s="532">
        <v>3000</v>
      </c>
      <c r="N10436" s="362">
        <f t="shared" si="372"/>
        <v>0</v>
      </c>
      <c r="O10436" s="356" t="s">
        <v>52</v>
      </c>
    </row>
    <row r="10437" customHeight="1" spans="1:15">
      <c r="A10437" s="562" t="s">
        <v>194</v>
      </c>
      <c r="B10437" s="523" t="s">
        <v>73</v>
      </c>
      <c r="C10437" s="523" t="s">
        <v>74</v>
      </c>
      <c r="D10437" s="335" t="s">
        <v>75</v>
      </c>
      <c r="E10437" s="520">
        <v>43831</v>
      </c>
      <c r="F10437" s="527">
        <v>43831</v>
      </c>
      <c r="G10437" s="524"/>
      <c r="H10437" s="525" t="s">
        <v>20919</v>
      </c>
      <c r="I10437" s="531">
        <v>13818188201</v>
      </c>
      <c r="J10437" s="523" t="s">
        <v>20920</v>
      </c>
      <c r="K10437" s="532">
        <v>1000</v>
      </c>
      <c r="N10437" s="362">
        <f t="shared" si="372"/>
        <v>0</v>
      </c>
      <c r="O10437" s="405" t="s">
        <v>52</v>
      </c>
    </row>
    <row r="10438" customHeight="1" spans="2:14">
      <c r="B10438" s="334" t="s">
        <v>66</v>
      </c>
      <c r="C10438" s="334" t="s">
        <v>505</v>
      </c>
      <c r="D10438" s="334" t="s">
        <v>2302</v>
      </c>
      <c r="E10438" s="336">
        <v>43831</v>
      </c>
      <c r="G10438" s="336">
        <v>43831</v>
      </c>
      <c r="H10438" s="428" t="s">
        <v>20374</v>
      </c>
      <c r="I10438" s="444">
        <v>13917570931</v>
      </c>
      <c r="J10438" s="348" t="s">
        <v>20375</v>
      </c>
      <c r="M10438" s="334">
        <v>1195</v>
      </c>
      <c r="N10438" s="362">
        <f t="shared" ref="N10438:N10479" si="373">L10438+M10438</f>
        <v>1195</v>
      </c>
    </row>
    <row r="10439" customHeight="1" spans="2:14">
      <c r="B10439" s="334" t="s">
        <v>42</v>
      </c>
      <c r="C10439" s="334" t="s">
        <v>43</v>
      </c>
      <c r="D10439" s="334" t="s">
        <v>44</v>
      </c>
      <c r="E10439" s="336">
        <v>43831</v>
      </c>
      <c r="G10439" s="336">
        <v>43829</v>
      </c>
      <c r="H10439" s="334" t="s">
        <v>16750</v>
      </c>
      <c r="I10439" s="444">
        <v>13501667494</v>
      </c>
      <c r="J10439" s="348" t="s">
        <v>20605</v>
      </c>
      <c r="M10439" s="334">
        <v>1742</v>
      </c>
      <c r="N10439" s="362">
        <f t="shared" si="373"/>
        <v>1742</v>
      </c>
    </row>
    <row r="10440" customHeight="1" spans="2:14">
      <c r="B10440" s="334" t="s">
        <v>169</v>
      </c>
      <c r="C10440" s="334" t="s">
        <v>634</v>
      </c>
      <c r="D10440" s="334" t="s">
        <v>635</v>
      </c>
      <c r="E10440" s="336">
        <v>43831</v>
      </c>
      <c r="G10440" s="336">
        <v>43831</v>
      </c>
      <c r="H10440" s="334" t="s">
        <v>20790</v>
      </c>
      <c r="I10440" s="444">
        <v>13585971115</v>
      </c>
      <c r="J10440" s="438" t="s">
        <v>20791</v>
      </c>
      <c r="M10440" s="334">
        <v>3400</v>
      </c>
      <c r="N10440" s="362">
        <f t="shared" si="373"/>
        <v>3400</v>
      </c>
    </row>
    <row r="10441" customHeight="1" spans="2:14">
      <c r="B10441" s="334" t="s">
        <v>137</v>
      </c>
      <c r="C10441" s="334" t="s">
        <v>480</v>
      </c>
      <c r="D10441" s="334" t="s">
        <v>2381</v>
      </c>
      <c r="E10441" s="336">
        <v>43831</v>
      </c>
      <c r="G10441" s="336">
        <v>43831</v>
      </c>
      <c r="H10441" s="428" t="s">
        <v>14232</v>
      </c>
      <c r="I10441" s="444">
        <v>13917540195</v>
      </c>
      <c r="J10441" s="438" t="s">
        <v>17363</v>
      </c>
      <c r="M10441" s="334">
        <v>1061</v>
      </c>
      <c r="N10441" s="362">
        <f t="shared" si="373"/>
        <v>1061</v>
      </c>
    </row>
    <row r="10442" customHeight="1" spans="2:14">
      <c r="B10442" s="334" t="s">
        <v>726</v>
      </c>
      <c r="C10442" s="334" t="s">
        <v>727</v>
      </c>
      <c r="D10442" s="334" t="s">
        <v>271</v>
      </c>
      <c r="E10442" s="336">
        <v>43831</v>
      </c>
      <c r="G10442" s="336">
        <v>43828</v>
      </c>
      <c r="H10442" s="334" t="s">
        <v>18923</v>
      </c>
      <c r="I10442" s="444">
        <v>13524508317</v>
      </c>
      <c r="J10442" s="444" t="s">
        <v>18924</v>
      </c>
      <c r="M10442" s="334">
        <v>842</v>
      </c>
      <c r="N10442" s="362">
        <f t="shared" si="373"/>
        <v>842</v>
      </c>
    </row>
    <row r="10443" customHeight="1" spans="2:14">
      <c r="B10443" s="334" t="s">
        <v>315</v>
      </c>
      <c r="C10443" s="334" t="s">
        <v>161</v>
      </c>
      <c r="D10443" s="334" t="s">
        <v>162</v>
      </c>
      <c r="E10443" s="336">
        <v>43831</v>
      </c>
      <c r="G10443" s="336">
        <v>43831</v>
      </c>
      <c r="H10443" s="428" t="s">
        <v>13758</v>
      </c>
      <c r="I10443" s="334">
        <v>13761342113</v>
      </c>
      <c r="J10443" s="334" t="s">
        <v>20921</v>
      </c>
      <c r="M10443" s="334">
        <v>4900</v>
      </c>
      <c r="N10443" s="362">
        <f t="shared" si="373"/>
        <v>4900</v>
      </c>
    </row>
    <row r="10444" customHeight="1" spans="2:14">
      <c r="B10444" s="334" t="s">
        <v>58</v>
      </c>
      <c r="C10444" s="334" t="s">
        <v>342</v>
      </c>
      <c r="D10444" s="334" t="s">
        <v>343</v>
      </c>
      <c r="E10444" s="336">
        <v>43831</v>
      </c>
      <c r="G10444" s="336">
        <v>43830</v>
      </c>
      <c r="H10444" s="334" t="s">
        <v>9811</v>
      </c>
      <c r="I10444" s="444">
        <v>15021958660</v>
      </c>
      <c r="J10444" s="438" t="s">
        <v>9812</v>
      </c>
      <c r="M10444" s="334">
        <v>-286</v>
      </c>
      <c r="N10444" s="362">
        <f t="shared" si="373"/>
        <v>-286</v>
      </c>
    </row>
    <row r="10445" customHeight="1" spans="2:14">
      <c r="B10445" s="334" t="s">
        <v>147</v>
      </c>
      <c r="C10445" s="334" t="s">
        <v>13719</v>
      </c>
      <c r="D10445" s="334" t="s">
        <v>237</v>
      </c>
      <c r="E10445" s="336">
        <v>43831</v>
      </c>
      <c r="G10445" s="336">
        <v>43831</v>
      </c>
      <c r="H10445" s="334" t="s">
        <v>16917</v>
      </c>
      <c r="I10445" s="444">
        <v>13010600732</v>
      </c>
      <c r="J10445" s="438" t="s">
        <v>20922</v>
      </c>
      <c r="M10445" s="334">
        <v>-319</v>
      </c>
      <c r="N10445" s="362">
        <f t="shared" si="373"/>
        <v>-319</v>
      </c>
    </row>
    <row r="10446" customHeight="1" spans="2:14">
      <c r="B10446" s="425" t="s">
        <v>5336</v>
      </c>
      <c r="C10446" s="425" t="s">
        <v>20923</v>
      </c>
      <c r="D10446" s="334" t="s">
        <v>8334</v>
      </c>
      <c r="E10446" s="336">
        <v>43831</v>
      </c>
      <c r="G10446" s="336">
        <v>43831</v>
      </c>
      <c r="H10446" s="334" t="s">
        <v>10620</v>
      </c>
      <c r="I10446" s="426">
        <v>17717395968</v>
      </c>
      <c r="J10446" s="334" t="s">
        <v>20924</v>
      </c>
      <c r="M10446" s="334">
        <v>3588</v>
      </c>
      <c r="N10446" s="362">
        <f t="shared" si="373"/>
        <v>3588</v>
      </c>
    </row>
    <row r="10447" customHeight="1" spans="2:14">
      <c r="B10447" s="425" t="s">
        <v>805</v>
      </c>
      <c r="C10447" s="425" t="s">
        <v>806</v>
      </c>
      <c r="D10447" s="334" t="s">
        <v>171</v>
      </c>
      <c r="E10447" s="336">
        <v>43831</v>
      </c>
      <c r="G10447" s="336">
        <v>43831</v>
      </c>
      <c r="H10447" s="334" t="s">
        <v>8901</v>
      </c>
      <c r="I10447" s="356">
        <v>18621217755</v>
      </c>
      <c r="J10447" s="348" t="s">
        <v>8902</v>
      </c>
      <c r="M10447" s="334">
        <v>869</v>
      </c>
      <c r="N10447" s="362">
        <f t="shared" si="373"/>
        <v>869</v>
      </c>
    </row>
    <row r="10448" customHeight="1" spans="1:14">
      <c r="A10448" s="562" t="s">
        <v>15830</v>
      </c>
      <c r="B10448" s="523" t="s">
        <v>315</v>
      </c>
      <c r="C10448" s="523" t="s">
        <v>14638</v>
      </c>
      <c r="D10448" s="335" t="s">
        <v>162</v>
      </c>
      <c r="E10448" s="520">
        <v>43832</v>
      </c>
      <c r="F10448" s="527">
        <v>43831</v>
      </c>
      <c r="G10448" s="524"/>
      <c r="H10448" s="525" t="s">
        <v>20925</v>
      </c>
      <c r="I10448" s="531">
        <v>15358832531</v>
      </c>
      <c r="J10448" s="523" t="s">
        <v>20926</v>
      </c>
      <c r="K10448" s="532">
        <v>1000</v>
      </c>
      <c r="N10448" s="362">
        <f t="shared" si="373"/>
        <v>0</v>
      </c>
    </row>
    <row r="10449" customHeight="1" spans="1:14">
      <c r="A10449" s="562" t="s">
        <v>19399</v>
      </c>
      <c r="B10449" s="523" t="s">
        <v>315</v>
      </c>
      <c r="C10449" s="523" t="s">
        <v>14638</v>
      </c>
      <c r="D10449" s="335" t="s">
        <v>162</v>
      </c>
      <c r="E10449" s="520">
        <v>43832</v>
      </c>
      <c r="F10449" s="527">
        <v>43831</v>
      </c>
      <c r="G10449" s="524"/>
      <c r="H10449" s="525" t="s">
        <v>20023</v>
      </c>
      <c r="I10449" s="531">
        <v>13601826780</v>
      </c>
      <c r="J10449" s="523" t="s">
        <v>20927</v>
      </c>
      <c r="K10449" s="532">
        <v>1000</v>
      </c>
      <c r="N10449" s="362">
        <f t="shared" si="373"/>
        <v>0</v>
      </c>
    </row>
    <row r="10450" customHeight="1" spans="1:15">
      <c r="A10450" s="562" t="s">
        <v>20928</v>
      </c>
      <c r="B10450" s="523" t="s">
        <v>236</v>
      </c>
      <c r="C10450" s="523" t="s">
        <v>195</v>
      </c>
      <c r="D10450" s="335" t="s">
        <v>237</v>
      </c>
      <c r="E10450" s="520">
        <v>43832</v>
      </c>
      <c r="F10450" s="527">
        <v>43831</v>
      </c>
      <c r="G10450" s="524"/>
      <c r="H10450" s="525" t="s">
        <v>20929</v>
      </c>
      <c r="I10450" s="531">
        <v>18616196675</v>
      </c>
      <c r="J10450" s="523" t="s">
        <v>20930</v>
      </c>
      <c r="K10450" s="532">
        <v>12032</v>
      </c>
      <c r="N10450" s="362">
        <f t="shared" si="373"/>
        <v>0</v>
      </c>
      <c r="O10450" s="353" t="s">
        <v>19</v>
      </c>
    </row>
    <row r="10451" customHeight="1" spans="1:15">
      <c r="A10451" s="562" t="s">
        <v>20931</v>
      </c>
      <c r="B10451" s="523" t="s">
        <v>236</v>
      </c>
      <c r="C10451" s="523" t="s">
        <v>195</v>
      </c>
      <c r="D10451" s="335" t="s">
        <v>237</v>
      </c>
      <c r="E10451" s="520">
        <v>43832</v>
      </c>
      <c r="F10451" s="527">
        <v>43831</v>
      </c>
      <c r="G10451" s="524"/>
      <c r="H10451" s="525" t="s">
        <v>20932</v>
      </c>
      <c r="I10451" s="531">
        <v>13916623669</v>
      </c>
      <c r="J10451" s="523" t="s">
        <v>20933</v>
      </c>
      <c r="K10451" s="532">
        <v>9298</v>
      </c>
      <c r="N10451" s="362">
        <f t="shared" si="373"/>
        <v>0</v>
      </c>
      <c r="O10451" s="353" t="s">
        <v>19</v>
      </c>
    </row>
    <row r="10452" customHeight="1" spans="1:19">
      <c r="A10452" s="562" t="s">
        <v>20934</v>
      </c>
      <c r="B10452" s="523" t="s">
        <v>42</v>
      </c>
      <c r="C10452" s="523" t="s">
        <v>43</v>
      </c>
      <c r="D10452" s="335" t="s">
        <v>44</v>
      </c>
      <c r="E10452" s="520">
        <v>43832</v>
      </c>
      <c r="F10452" s="527">
        <v>43831</v>
      </c>
      <c r="G10452" s="524"/>
      <c r="H10452" s="525" t="s">
        <v>20935</v>
      </c>
      <c r="I10452" s="531">
        <v>13761517223</v>
      </c>
      <c r="J10452" s="523" t="s">
        <v>20936</v>
      </c>
      <c r="K10452" s="532">
        <v>20000</v>
      </c>
      <c r="N10452" s="362">
        <f t="shared" si="373"/>
        <v>0</v>
      </c>
      <c r="S10452" s="356" t="s">
        <v>52</v>
      </c>
    </row>
    <row r="10453" customHeight="1" spans="1:15">
      <c r="A10453" s="562" t="s">
        <v>20937</v>
      </c>
      <c r="B10453" s="523" t="s">
        <v>354</v>
      </c>
      <c r="C10453" s="523" t="s">
        <v>355</v>
      </c>
      <c r="D10453" s="335" t="s">
        <v>207</v>
      </c>
      <c r="E10453" s="520">
        <v>43832</v>
      </c>
      <c r="F10453" s="527">
        <v>43831</v>
      </c>
      <c r="G10453" s="524"/>
      <c r="H10453" s="525" t="s">
        <v>20938</v>
      </c>
      <c r="I10453" s="531">
        <v>18017569696</v>
      </c>
      <c r="J10453" s="523" t="s">
        <v>20939</v>
      </c>
      <c r="K10453" s="532">
        <v>5441</v>
      </c>
      <c r="N10453" s="362">
        <f t="shared" si="373"/>
        <v>0</v>
      </c>
      <c r="O10453" s="356" t="s">
        <v>52</v>
      </c>
    </row>
    <row r="10454" customHeight="1" spans="1:14">
      <c r="A10454" s="520" t="s">
        <v>13074</v>
      </c>
      <c r="B10454" s="523" t="s">
        <v>137</v>
      </c>
      <c r="C10454" s="523" t="s">
        <v>861</v>
      </c>
      <c r="D10454" s="335" t="s">
        <v>443</v>
      </c>
      <c r="E10454" s="520">
        <v>43832</v>
      </c>
      <c r="F10454" s="527">
        <v>44196</v>
      </c>
      <c r="G10454" s="524"/>
      <c r="H10454" s="525" t="s">
        <v>20940</v>
      </c>
      <c r="I10454" s="531">
        <v>13661769258</v>
      </c>
      <c r="J10454" s="523" t="s">
        <v>20941</v>
      </c>
      <c r="K10454" s="532">
        <v>3000</v>
      </c>
      <c r="N10454" s="362">
        <f t="shared" si="373"/>
        <v>0</v>
      </c>
    </row>
    <row r="10455" customHeight="1" spans="1:14">
      <c r="A10455" s="562" t="s">
        <v>2497</v>
      </c>
      <c r="B10455" s="523" t="s">
        <v>31</v>
      </c>
      <c r="C10455" s="523" t="s">
        <v>251</v>
      </c>
      <c r="D10455" s="335" t="s">
        <v>33</v>
      </c>
      <c r="E10455" s="520">
        <v>43832</v>
      </c>
      <c r="F10455" s="527">
        <v>43831</v>
      </c>
      <c r="G10455" s="524"/>
      <c r="H10455" s="525" t="s">
        <v>20942</v>
      </c>
      <c r="I10455" s="531">
        <v>13916132281</v>
      </c>
      <c r="J10455" s="523" t="s">
        <v>20943</v>
      </c>
      <c r="K10455" s="532">
        <v>1000</v>
      </c>
      <c r="N10455" s="362">
        <f t="shared" si="373"/>
        <v>0</v>
      </c>
    </row>
    <row r="10456" customHeight="1" spans="1:14">
      <c r="A10456" s="520" t="s">
        <v>13074</v>
      </c>
      <c r="B10456" s="523" t="s">
        <v>31</v>
      </c>
      <c r="C10456" s="523" t="s">
        <v>251</v>
      </c>
      <c r="D10456" s="335" t="s">
        <v>33</v>
      </c>
      <c r="E10456" s="520">
        <v>43832</v>
      </c>
      <c r="F10456" s="527">
        <v>43831</v>
      </c>
      <c r="G10456" s="524"/>
      <c r="H10456" s="525" t="s">
        <v>187</v>
      </c>
      <c r="I10456" s="531">
        <v>13361939199</v>
      </c>
      <c r="J10456" s="523" t="s">
        <v>20944</v>
      </c>
      <c r="K10456" s="532">
        <v>1000</v>
      </c>
      <c r="N10456" s="362">
        <f t="shared" si="373"/>
        <v>0</v>
      </c>
    </row>
    <row r="10457" customHeight="1" spans="1:16">
      <c r="A10457" s="562" t="s">
        <v>7492</v>
      </c>
      <c r="B10457" s="523" t="s">
        <v>58</v>
      </c>
      <c r="C10457" s="523" t="s">
        <v>109</v>
      </c>
      <c r="D10457" s="335" t="s">
        <v>271</v>
      </c>
      <c r="E10457" s="520">
        <v>43832</v>
      </c>
      <c r="F10457" s="527">
        <v>43831</v>
      </c>
      <c r="G10457" s="524"/>
      <c r="H10457" s="525" t="s">
        <v>20945</v>
      </c>
      <c r="I10457" s="531">
        <v>15102175172</v>
      </c>
      <c r="J10457" s="523" t="s">
        <v>20946</v>
      </c>
      <c r="K10457" s="532">
        <v>5500</v>
      </c>
      <c r="N10457" s="362">
        <f t="shared" si="373"/>
        <v>0</v>
      </c>
      <c r="P10457" s="366" t="s">
        <v>52</v>
      </c>
    </row>
    <row r="10458" customHeight="1" spans="1:15">
      <c r="A10458" s="562" t="s">
        <v>8286</v>
      </c>
      <c r="B10458" s="523" t="s">
        <v>58</v>
      </c>
      <c r="C10458" s="523" t="s">
        <v>20947</v>
      </c>
      <c r="D10458" s="335" t="s">
        <v>271</v>
      </c>
      <c r="E10458" s="520">
        <v>43832</v>
      </c>
      <c r="F10458" s="527">
        <v>43831</v>
      </c>
      <c r="G10458" s="524"/>
      <c r="H10458" s="525" t="s">
        <v>20948</v>
      </c>
      <c r="I10458" s="531">
        <v>18221129795</v>
      </c>
      <c r="J10458" s="523" t="s">
        <v>20949</v>
      </c>
      <c r="K10458" s="532">
        <v>1000</v>
      </c>
      <c r="N10458" s="362">
        <f t="shared" si="373"/>
        <v>0</v>
      </c>
      <c r="O10458" s="366" t="s">
        <v>52</v>
      </c>
    </row>
    <row r="10459" customHeight="1" spans="1:14">
      <c r="A10459" s="562" t="s">
        <v>20950</v>
      </c>
      <c r="B10459" s="523" t="s">
        <v>31</v>
      </c>
      <c r="C10459" s="523" t="s">
        <v>419</v>
      </c>
      <c r="D10459" s="335" t="s">
        <v>33</v>
      </c>
      <c r="E10459" s="520">
        <v>43832</v>
      </c>
      <c r="F10459" s="527">
        <v>43831</v>
      </c>
      <c r="G10459" s="524"/>
      <c r="H10459" s="525" t="s">
        <v>20951</v>
      </c>
      <c r="I10459" s="531">
        <v>13621998958</v>
      </c>
      <c r="J10459" s="523" t="s">
        <v>20952</v>
      </c>
      <c r="K10459" s="532">
        <v>1000</v>
      </c>
      <c r="N10459" s="362">
        <f t="shared" si="373"/>
        <v>0</v>
      </c>
    </row>
    <row r="10460" customHeight="1" spans="1:14">
      <c r="A10460" s="520" t="s">
        <v>13074</v>
      </c>
      <c r="B10460" s="523" t="s">
        <v>31</v>
      </c>
      <c r="C10460" s="523" t="s">
        <v>419</v>
      </c>
      <c r="D10460" s="334" t="s">
        <v>954</v>
      </c>
      <c r="E10460" s="336">
        <v>43833</v>
      </c>
      <c r="F10460" s="527">
        <v>43831</v>
      </c>
      <c r="G10460" s="336">
        <v>43833</v>
      </c>
      <c r="H10460" s="525" t="s">
        <v>20953</v>
      </c>
      <c r="I10460" s="531">
        <v>15220120880</v>
      </c>
      <c r="J10460" s="523" t="s">
        <v>20954</v>
      </c>
      <c r="K10460" s="532">
        <v>15000</v>
      </c>
      <c r="L10460" s="334">
        <v>15000</v>
      </c>
      <c r="N10460" s="362">
        <f t="shared" si="373"/>
        <v>15000</v>
      </c>
    </row>
    <row r="10461" customHeight="1" spans="1:15">
      <c r="A10461" s="528"/>
      <c r="B10461" s="523" t="s">
        <v>73</v>
      </c>
      <c r="C10461" s="523" t="s">
        <v>74</v>
      </c>
      <c r="D10461" s="335" t="s">
        <v>187</v>
      </c>
      <c r="E10461" s="520">
        <v>43832</v>
      </c>
      <c r="F10461" s="527">
        <v>43832</v>
      </c>
      <c r="G10461" s="524"/>
      <c r="H10461" s="525" t="s">
        <v>20955</v>
      </c>
      <c r="I10461" s="531" t="s">
        <v>20956</v>
      </c>
      <c r="J10461" s="523" t="s">
        <v>20957</v>
      </c>
      <c r="K10461" s="532">
        <v>1000</v>
      </c>
      <c r="N10461" s="362">
        <f t="shared" si="373"/>
        <v>0</v>
      </c>
      <c r="O10461" s="405" t="s">
        <v>52</v>
      </c>
    </row>
    <row r="10462" customHeight="1" spans="1:14">
      <c r="A10462" s="562" t="s">
        <v>20958</v>
      </c>
      <c r="B10462" s="523" t="s">
        <v>405</v>
      </c>
      <c r="C10462" s="523" t="s">
        <v>14070</v>
      </c>
      <c r="D10462" s="335" t="s">
        <v>407</v>
      </c>
      <c r="E10462" s="520">
        <v>43832</v>
      </c>
      <c r="F10462" s="527">
        <v>43827</v>
      </c>
      <c r="G10462" s="524"/>
      <c r="H10462" s="525" t="s">
        <v>20959</v>
      </c>
      <c r="I10462" s="531">
        <v>13761923982</v>
      </c>
      <c r="J10462" s="523" t="s">
        <v>20960</v>
      </c>
      <c r="K10462" s="532">
        <v>5000</v>
      </c>
      <c r="N10462" s="362">
        <f t="shared" si="373"/>
        <v>0</v>
      </c>
    </row>
    <row r="10463" customHeight="1" spans="1:14">
      <c r="A10463" s="562" t="s">
        <v>20190</v>
      </c>
      <c r="B10463" s="523" t="s">
        <v>169</v>
      </c>
      <c r="C10463" s="523" t="s">
        <v>542</v>
      </c>
      <c r="D10463" s="335" t="s">
        <v>171</v>
      </c>
      <c r="E10463" s="520">
        <v>43832</v>
      </c>
      <c r="F10463" s="527">
        <v>43832</v>
      </c>
      <c r="G10463" s="524"/>
      <c r="H10463" s="525" t="s">
        <v>20961</v>
      </c>
      <c r="I10463" s="531">
        <v>13671661575</v>
      </c>
      <c r="J10463" s="523" t="s">
        <v>20962</v>
      </c>
      <c r="K10463" s="532">
        <v>10000</v>
      </c>
      <c r="N10463" s="362">
        <f t="shared" si="373"/>
        <v>0</v>
      </c>
    </row>
    <row r="10464" customHeight="1" spans="1:14">
      <c r="A10464" s="562" t="s">
        <v>1723</v>
      </c>
      <c r="B10464" s="523" t="s">
        <v>31</v>
      </c>
      <c r="C10464" s="523" t="s">
        <v>3186</v>
      </c>
      <c r="D10464" s="335" t="s">
        <v>33</v>
      </c>
      <c r="E10464" s="520">
        <v>43832</v>
      </c>
      <c r="F10464" s="527">
        <v>43832</v>
      </c>
      <c r="G10464" s="524"/>
      <c r="H10464" s="525" t="s">
        <v>20963</v>
      </c>
      <c r="I10464" s="531">
        <v>13162068206</v>
      </c>
      <c r="J10464" s="523" t="s">
        <v>20964</v>
      </c>
      <c r="K10464" s="532">
        <v>1000</v>
      </c>
      <c r="N10464" s="362">
        <f t="shared" si="373"/>
        <v>0</v>
      </c>
    </row>
    <row r="10465" customHeight="1" spans="1:14">
      <c r="A10465" s="562" t="s">
        <v>20965</v>
      </c>
      <c r="B10465" s="523" t="s">
        <v>31</v>
      </c>
      <c r="C10465" s="523" t="s">
        <v>251</v>
      </c>
      <c r="D10465" s="335" t="s">
        <v>33</v>
      </c>
      <c r="E10465" s="520">
        <v>43832</v>
      </c>
      <c r="F10465" s="527">
        <v>43832</v>
      </c>
      <c r="G10465" s="524"/>
      <c r="H10465" s="525" t="s">
        <v>20966</v>
      </c>
      <c r="I10465" s="531">
        <v>13621899918</v>
      </c>
      <c r="J10465" s="523" t="s">
        <v>20967</v>
      </c>
      <c r="K10465" s="532">
        <v>1000</v>
      </c>
      <c r="N10465" s="362">
        <f t="shared" si="373"/>
        <v>0</v>
      </c>
    </row>
    <row r="10466" customHeight="1" spans="1:14">
      <c r="A10466" s="562" t="s">
        <v>7530</v>
      </c>
      <c r="B10466" s="523" t="s">
        <v>31</v>
      </c>
      <c r="C10466" s="523" t="s">
        <v>419</v>
      </c>
      <c r="D10466" s="335" t="s">
        <v>33</v>
      </c>
      <c r="E10466" s="520">
        <v>43832</v>
      </c>
      <c r="F10466" s="527">
        <v>43832</v>
      </c>
      <c r="G10466" s="524"/>
      <c r="H10466" s="525" t="s">
        <v>20968</v>
      </c>
      <c r="I10466" s="531">
        <v>15901972242</v>
      </c>
      <c r="J10466" s="523" t="s">
        <v>20969</v>
      </c>
      <c r="K10466" s="532">
        <v>1000</v>
      </c>
      <c r="N10466" s="362">
        <f t="shared" si="373"/>
        <v>0</v>
      </c>
    </row>
    <row r="10467" customHeight="1" spans="1:14">
      <c r="A10467" s="562" t="s">
        <v>4554</v>
      </c>
      <c r="B10467" s="523" t="s">
        <v>31</v>
      </c>
      <c r="C10467" s="523" t="s">
        <v>419</v>
      </c>
      <c r="D10467" s="335" t="s">
        <v>221</v>
      </c>
      <c r="E10467" s="520">
        <v>43832</v>
      </c>
      <c r="F10467" s="527">
        <v>43832</v>
      </c>
      <c r="G10467" s="524"/>
      <c r="H10467" s="525" t="s">
        <v>20970</v>
      </c>
      <c r="I10467" s="531">
        <v>15000381171</v>
      </c>
      <c r="J10467" s="523" t="s">
        <v>20971</v>
      </c>
      <c r="K10467" s="532">
        <v>1000</v>
      </c>
      <c r="N10467" s="362">
        <f t="shared" si="373"/>
        <v>0</v>
      </c>
    </row>
    <row r="10468" customHeight="1" spans="1:14">
      <c r="A10468" s="562" t="s">
        <v>19793</v>
      </c>
      <c r="B10468" s="523" t="s">
        <v>31</v>
      </c>
      <c r="C10468" s="523" t="s">
        <v>2716</v>
      </c>
      <c r="D10468" s="335" t="s">
        <v>221</v>
      </c>
      <c r="E10468" s="520">
        <v>43832</v>
      </c>
      <c r="F10468" s="527">
        <v>43832</v>
      </c>
      <c r="G10468" s="524"/>
      <c r="H10468" s="525" t="s">
        <v>20972</v>
      </c>
      <c r="I10468" s="531">
        <v>15921485298</v>
      </c>
      <c r="J10468" s="523" t="s">
        <v>20973</v>
      </c>
      <c r="K10468" s="532">
        <v>1000</v>
      </c>
      <c r="N10468" s="362">
        <f t="shared" si="373"/>
        <v>0</v>
      </c>
    </row>
    <row r="10469" customHeight="1" spans="1:14">
      <c r="A10469" s="562" t="s">
        <v>20974</v>
      </c>
      <c r="B10469" s="523" t="s">
        <v>405</v>
      </c>
      <c r="C10469" s="523" t="s">
        <v>20975</v>
      </c>
      <c r="D10469" s="335" t="s">
        <v>407</v>
      </c>
      <c r="E10469" s="520">
        <v>43832</v>
      </c>
      <c r="F10469" s="527">
        <v>43829</v>
      </c>
      <c r="G10469" s="524"/>
      <c r="H10469" s="525" t="s">
        <v>20976</v>
      </c>
      <c r="I10469" s="531">
        <v>18502108900</v>
      </c>
      <c r="J10469" s="523" t="s">
        <v>20977</v>
      </c>
      <c r="K10469" s="532">
        <v>1000</v>
      </c>
      <c r="N10469" s="362">
        <f t="shared" si="373"/>
        <v>0</v>
      </c>
    </row>
    <row r="10470" customHeight="1" spans="1:14">
      <c r="A10470" s="562" t="s">
        <v>20978</v>
      </c>
      <c r="B10470" s="523" t="s">
        <v>87</v>
      </c>
      <c r="C10470" s="523" t="s">
        <v>466</v>
      </c>
      <c r="D10470" s="335" t="s">
        <v>89</v>
      </c>
      <c r="E10470" s="520">
        <v>43832</v>
      </c>
      <c r="F10470" s="527">
        <v>43832</v>
      </c>
      <c r="G10470" s="524"/>
      <c r="H10470" s="525" t="s">
        <v>20979</v>
      </c>
      <c r="I10470" s="531">
        <v>15201960810</v>
      </c>
      <c r="J10470" s="523" t="s">
        <v>20980</v>
      </c>
      <c r="K10470" s="532">
        <v>3160</v>
      </c>
      <c r="N10470" s="362">
        <f t="shared" si="373"/>
        <v>0</v>
      </c>
    </row>
    <row r="10471" customHeight="1" spans="1:14">
      <c r="A10471" s="562" t="s">
        <v>15858</v>
      </c>
      <c r="B10471" s="523" t="s">
        <v>315</v>
      </c>
      <c r="C10471" s="523" t="s">
        <v>161</v>
      </c>
      <c r="D10471" s="335" t="s">
        <v>162</v>
      </c>
      <c r="E10471" s="336">
        <v>43837</v>
      </c>
      <c r="F10471" s="527">
        <v>43832</v>
      </c>
      <c r="G10471" s="336">
        <v>43837</v>
      </c>
      <c r="H10471" s="525" t="s">
        <v>20981</v>
      </c>
      <c r="I10471" s="531">
        <v>15856911668</v>
      </c>
      <c r="J10471" s="523" t="s">
        <v>20982</v>
      </c>
      <c r="K10471" s="532">
        <v>16000</v>
      </c>
      <c r="L10471" s="334">
        <v>19781</v>
      </c>
      <c r="N10471" s="362">
        <f t="shared" si="373"/>
        <v>19781</v>
      </c>
    </row>
    <row r="10472" customHeight="1" spans="1:14">
      <c r="A10472" s="562" t="s">
        <v>20983</v>
      </c>
      <c r="B10472" s="523" t="s">
        <v>205</v>
      </c>
      <c r="C10472" s="523" t="s">
        <v>1467</v>
      </c>
      <c r="D10472" s="334" t="s">
        <v>207</v>
      </c>
      <c r="E10472" s="336">
        <v>43835</v>
      </c>
      <c r="F10472" s="527">
        <v>43832</v>
      </c>
      <c r="G10472" s="336">
        <v>43834</v>
      </c>
      <c r="H10472" s="525" t="s">
        <v>20984</v>
      </c>
      <c r="I10472" s="531">
        <v>13817604725</v>
      </c>
      <c r="J10472" s="523" t="s">
        <v>20985</v>
      </c>
      <c r="K10472" s="532">
        <v>1000</v>
      </c>
      <c r="L10472" s="334">
        <v>2716</v>
      </c>
      <c r="N10472" s="362">
        <f t="shared" si="373"/>
        <v>2716</v>
      </c>
    </row>
    <row r="10473" customHeight="1" spans="1:14">
      <c r="A10473" s="562" t="s">
        <v>7776</v>
      </c>
      <c r="B10473" s="523" t="s">
        <v>137</v>
      </c>
      <c r="C10473" s="523" t="s">
        <v>275</v>
      </c>
      <c r="D10473" s="335" t="s">
        <v>139</v>
      </c>
      <c r="E10473" s="520">
        <v>43832</v>
      </c>
      <c r="F10473" s="527">
        <v>43832</v>
      </c>
      <c r="G10473" s="524"/>
      <c r="H10473" s="525" t="s">
        <v>20986</v>
      </c>
      <c r="I10473" s="531">
        <v>13032562651</v>
      </c>
      <c r="J10473" s="523" t="s">
        <v>20987</v>
      </c>
      <c r="K10473" s="532">
        <v>2000</v>
      </c>
      <c r="N10473" s="362">
        <f t="shared" si="373"/>
        <v>0</v>
      </c>
    </row>
    <row r="10474" customHeight="1" spans="1:14">
      <c r="A10474" s="562" t="s">
        <v>15889</v>
      </c>
      <c r="B10474" s="523" t="s">
        <v>31</v>
      </c>
      <c r="C10474" s="523" t="s">
        <v>3186</v>
      </c>
      <c r="D10474" s="335" t="s">
        <v>221</v>
      </c>
      <c r="E10474" s="520">
        <v>43832</v>
      </c>
      <c r="F10474" s="527">
        <v>43832</v>
      </c>
      <c r="G10474" s="524"/>
      <c r="H10474" s="525" t="s">
        <v>20988</v>
      </c>
      <c r="I10474" s="531">
        <v>13774382659</v>
      </c>
      <c r="J10474" s="523" t="s">
        <v>20989</v>
      </c>
      <c r="K10474" s="532">
        <v>1000</v>
      </c>
      <c r="N10474" s="362">
        <f t="shared" si="373"/>
        <v>0</v>
      </c>
    </row>
    <row r="10475" customHeight="1" spans="1:15">
      <c r="A10475" s="562" t="s">
        <v>14686</v>
      </c>
      <c r="B10475" s="523" t="s">
        <v>73</v>
      </c>
      <c r="C10475" s="523" t="s">
        <v>178</v>
      </c>
      <c r="D10475" s="335" t="s">
        <v>187</v>
      </c>
      <c r="E10475" s="520">
        <v>43832</v>
      </c>
      <c r="F10475" s="527">
        <v>43832</v>
      </c>
      <c r="G10475" s="524"/>
      <c r="H10475" s="525" t="s">
        <v>20990</v>
      </c>
      <c r="I10475" s="531">
        <v>13761337135</v>
      </c>
      <c r="J10475" s="523" t="s">
        <v>20991</v>
      </c>
      <c r="K10475" s="532">
        <v>1000</v>
      </c>
      <c r="N10475" s="362">
        <f t="shared" si="373"/>
        <v>0</v>
      </c>
      <c r="O10475" s="405" t="s">
        <v>52</v>
      </c>
    </row>
    <row r="10476" customHeight="1" spans="2:14">
      <c r="B10476" s="425" t="s">
        <v>137</v>
      </c>
      <c r="C10476" s="425" t="s">
        <v>861</v>
      </c>
      <c r="D10476" s="334" t="s">
        <v>171</v>
      </c>
      <c r="E10476" s="336">
        <v>43832</v>
      </c>
      <c r="G10476" s="336">
        <v>43831</v>
      </c>
      <c r="H10476" s="425" t="s">
        <v>20992</v>
      </c>
      <c r="I10476" s="563" t="s">
        <v>20993</v>
      </c>
      <c r="J10476" s="496" t="s">
        <v>20994</v>
      </c>
      <c r="L10476" s="334">
        <v>7000</v>
      </c>
      <c r="N10476" s="362">
        <f t="shared" si="373"/>
        <v>7000</v>
      </c>
    </row>
    <row r="10477" customHeight="1" spans="2:14">
      <c r="B10477" s="425" t="s">
        <v>281</v>
      </c>
      <c r="C10477" s="425" t="s">
        <v>517</v>
      </c>
      <c r="D10477" s="334" t="s">
        <v>518</v>
      </c>
      <c r="E10477" s="336">
        <v>43832</v>
      </c>
      <c r="G10477" s="336">
        <v>43831</v>
      </c>
      <c r="H10477" s="425" t="s">
        <v>20995</v>
      </c>
      <c r="I10477" s="496">
        <v>13851668616</v>
      </c>
      <c r="J10477" s="496" t="s">
        <v>20996</v>
      </c>
      <c r="L10477" s="334">
        <v>8258</v>
      </c>
      <c r="N10477" s="362">
        <f t="shared" si="373"/>
        <v>8258</v>
      </c>
    </row>
    <row r="10478" customHeight="1" spans="2:14">
      <c r="B10478" s="425" t="s">
        <v>31</v>
      </c>
      <c r="C10478" s="425" t="s">
        <v>419</v>
      </c>
      <c r="D10478" s="334" t="s">
        <v>33</v>
      </c>
      <c r="E10478" s="336">
        <v>43832</v>
      </c>
      <c r="G10478" s="336">
        <v>43831</v>
      </c>
      <c r="H10478" s="425" t="s">
        <v>16070</v>
      </c>
      <c r="I10478" s="444">
        <v>18901762270</v>
      </c>
      <c r="J10478" s="348" t="s">
        <v>20997</v>
      </c>
      <c r="M10478" s="334">
        <v>4540</v>
      </c>
      <c r="N10478" s="362">
        <f t="shared" si="373"/>
        <v>4540</v>
      </c>
    </row>
    <row r="10479" customHeight="1" spans="2:14">
      <c r="B10479" s="425" t="s">
        <v>31</v>
      </c>
      <c r="C10479" s="425" t="s">
        <v>220</v>
      </c>
      <c r="D10479" s="334" t="s">
        <v>954</v>
      </c>
      <c r="E10479" s="336">
        <v>43832</v>
      </c>
      <c r="G10479" s="336">
        <v>43831</v>
      </c>
      <c r="H10479" s="425" t="s">
        <v>14451</v>
      </c>
      <c r="I10479" s="444">
        <v>13621982791</v>
      </c>
      <c r="J10479" s="438" t="s">
        <v>16144</v>
      </c>
      <c r="M10479" s="334">
        <v>3281</v>
      </c>
      <c r="N10479" s="362">
        <f t="shared" si="373"/>
        <v>3281</v>
      </c>
    </row>
    <row r="10480" customHeight="1" spans="2:14">
      <c r="B10480" s="425" t="s">
        <v>58</v>
      </c>
      <c r="C10480" s="425" t="s">
        <v>342</v>
      </c>
      <c r="D10480" s="334" t="s">
        <v>343</v>
      </c>
      <c r="E10480" s="336">
        <v>43832</v>
      </c>
      <c r="G10480" s="336">
        <v>43831</v>
      </c>
      <c r="H10480" s="425" t="s">
        <v>11726</v>
      </c>
      <c r="I10480" s="444">
        <v>13601867443</v>
      </c>
      <c r="J10480" s="438" t="s">
        <v>20998</v>
      </c>
      <c r="M10480" s="334">
        <v>2300</v>
      </c>
      <c r="N10480" s="362">
        <f t="shared" ref="N10480:N10492" si="374">L10480+M10480</f>
        <v>2300</v>
      </c>
    </row>
    <row r="10481" customHeight="1" spans="2:14">
      <c r="B10481" s="425" t="s">
        <v>335</v>
      </c>
      <c r="C10481" s="425" t="s">
        <v>615</v>
      </c>
      <c r="D10481" s="335" t="s">
        <v>337</v>
      </c>
      <c r="E10481" s="336">
        <v>43832</v>
      </c>
      <c r="G10481" s="336">
        <v>43831</v>
      </c>
      <c r="H10481" s="425" t="s">
        <v>5349</v>
      </c>
      <c r="I10481" s="444">
        <v>13916567010</v>
      </c>
      <c r="J10481" s="438" t="s">
        <v>20284</v>
      </c>
      <c r="M10481" s="334">
        <v>2800</v>
      </c>
      <c r="N10481" s="362">
        <f t="shared" si="374"/>
        <v>2800</v>
      </c>
    </row>
    <row r="10482" customHeight="1" spans="2:14">
      <c r="B10482" s="425" t="s">
        <v>31</v>
      </c>
      <c r="C10482" s="425" t="s">
        <v>220</v>
      </c>
      <c r="D10482" s="334" t="s">
        <v>221</v>
      </c>
      <c r="E10482" s="336">
        <v>43832</v>
      </c>
      <c r="G10482" s="336">
        <v>43832</v>
      </c>
      <c r="H10482" s="425" t="s">
        <v>8699</v>
      </c>
      <c r="I10482" s="334">
        <v>15858876088</v>
      </c>
      <c r="J10482" s="334" t="s">
        <v>20999</v>
      </c>
      <c r="M10482" s="334">
        <v>1724</v>
      </c>
      <c r="N10482" s="362">
        <f t="shared" si="374"/>
        <v>1724</v>
      </c>
    </row>
    <row r="10483" customHeight="1" spans="2:14">
      <c r="B10483" s="425" t="s">
        <v>169</v>
      </c>
      <c r="C10483" s="425" t="s">
        <v>634</v>
      </c>
      <c r="D10483" s="334" t="s">
        <v>635</v>
      </c>
      <c r="E10483" s="336">
        <v>43832</v>
      </c>
      <c r="G10483" s="336">
        <v>43832</v>
      </c>
      <c r="H10483" s="334" t="s">
        <v>19117</v>
      </c>
      <c r="I10483" s="444">
        <v>18121110707</v>
      </c>
      <c r="J10483" s="444" t="s">
        <v>19118</v>
      </c>
      <c r="M10483" s="334">
        <v>-10156</v>
      </c>
      <c r="N10483" s="362">
        <f t="shared" si="374"/>
        <v>-10156</v>
      </c>
    </row>
    <row r="10484" customHeight="1" spans="2:14">
      <c r="B10484" s="425" t="s">
        <v>58</v>
      </c>
      <c r="C10484" s="425" t="s">
        <v>342</v>
      </c>
      <c r="D10484" s="334" t="s">
        <v>343</v>
      </c>
      <c r="E10484" s="336">
        <v>43832</v>
      </c>
      <c r="G10484" s="336">
        <v>43818</v>
      </c>
      <c r="H10484" s="425" t="s">
        <v>19756</v>
      </c>
      <c r="I10484" s="496">
        <v>18021029619</v>
      </c>
      <c r="J10484" s="438" t="s">
        <v>19757</v>
      </c>
      <c r="M10484" s="334">
        <v>858</v>
      </c>
      <c r="N10484" s="362">
        <f t="shared" si="374"/>
        <v>858</v>
      </c>
    </row>
    <row r="10485" customHeight="1" spans="2:14">
      <c r="B10485" s="425" t="s">
        <v>153</v>
      </c>
      <c r="C10485" s="425" t="s">
        <v>154</v>
      </c>
      <c r="D10485" s="334" t="s">
        <v>155</v>
      </c>
      <c r="E10485" s="336">
        <v>43832</v>
      </c>
      <c r="G10485" s="336">
        <v>43832</v>
      </c>
      <c r="H10485" s="425" t="s">
        <v>20509</v>
      </c>
      <c r="I10485" s="444">
        <v>13311670111</v>
      </c>
      <c r="J10485" s="438" t="s">
        <v>20510</v>
      </c>
      <c r="M10485" s="334">
        <v>2500</v>
      </c>
      <c r="N10485" s="362">
        <f t="shared" si="374"/>
        <v>2500</v>
      </c>
    </row>
    <row r="10486" customHeight="1" spans="2:14">
      <c r="B10486" s="425" t="s">
        <v>35</v>
      </c>
      <c r="C10486" s="425" t="s">
        <v>36</v>
      </c>
      <c r="D10486" s="334" t="s">
        <v>37</v>
      </c>
      <c r="E10486" s="336">
        <v>43832</v>
      </c>
      <c r="G10486" s="336">
        <v>43832</v>
      </c>
      <c r="H10486" s="425" t="s">
        <v>20799</v>
      </c>
      <c r="I10486" s="444">
        <v>13817153135</v>
      </c>
      <c r="J10486" s="438" t="s">
        <v>20800</v>
      </c>
      <c r="M10486" s="334">
        <v>-3277</v>
      </c>
      <c r="N10486" s="362">
        <f t="shared" si="374"/>
        <v>-3277</v>
      </c>
    </row>
    <row r="10487" customHeight="1" spans="2:14">
      <c r="B10487" s="425" t="s">
        <v>31</v>
      </c>
      <c r="C10487" s="425" t="s">
        <v>377</v>
      </c>
      <c r="D10487" s="334" t="s">
        <v>954</v>
      </c>
      <c r="E10487" s="336">
        <v>43832</v>
      </c>
      <c r="G10487" s="336">
        <v>43832</v>
      </c>
      <c r="H10487" s="425" t="s">
        <v>1808</v>
      </c>
      <c r="I10487" s="444">
        <v>18930457930</v>
      </c>
      <c r="J10487" s="348" t="s">
        <v>21000</v>
      </c>
      <c r="M10487" s="334">
        <v>6519</v>
      </c>
      <c r="N10487" s="362">
        <f t="shared" si="374"/>
        <v>6519</v>
      </c>
    </row>
    <row r="10488" customHeight="1" spans="2:14">
      <c r="B10488" s="425" t="s">
        <v>42</v>
      </c>
      <c r="C10488" s="425" t="s">
        <v>43</v>
      </c>
      <c r="D10488" s="334" t="s">
        <v>207</v>
      </c>
      <c r="E10488" s="336">
        <v>43832</v>
      </c>
      <c r="G10488" s="336">
        <v>43832</v>
      </c>
      <c r="H10488" s="425" t="s">
        <v>13828</v>
      </c>
      <c r="I10488" s="334">
        <v>17721005485</v>
      </c>
      <c r="J10488" s="334" t="s">
        <v>13829</v>
      </c>
      <c r="M10488" s="334">
        <v>8848</v>
      </c>
      <c r="N10488" s="362">
        <f t="shared" si="374"/>
        <v>8848</v>
      </c>
    </row>
    <row r="10489" customHeight="1" spans="2:14">
      <c r="B10489" s="425" t="s">
        <v>315</v>
      </c>
      <c r="C10489" s="425" t="s">
        <v>161</v>
      </c>
      <c r="D10489" s="334" t="s">
        <v>162</v>
      </c>
      <c r="E10489" s="336">
        <v>43832</v>
      </c>
      <c r="G10489" s="336">
        <v>43832</v>
      </c>
      <c r="H10489" s="425" t="s">
        <v>7458</v>
      </c>
      <c r="I10489" s="334">
        <v>13774226315</v>
      </c>
      <c r="J10489" s="334" t="s">
        <v>18104</v>
      </c>
      <c r="M10489" s="334">
        <v>1680</v>
      </c>
      <c r="N10489" s="362">
        <f t="shared" si="374"/>
        <v>1680</v>
      </c>
    </row>
    <row r="10490" customHeight="1" spans="2:14">
      <c r="B10490" s="425" t="s">
        <v>35</v>
      </c>
      <c r="C10490" s="425" t="s">
        <v>36</v>
      </c>
      <c r="D10490" s="334" t="s">
        <v>37</v>
      </c>
      <c r="E10490" s="336">
        <v>43832</v>
      </c>
      <c r="G10490" s="336">
        <v>43832</v>
      </c>
      <c r="H10490" s="425" t="s">
        <v>21001</v>
      </c>
      <c r="I10490" s="356">
        <v>15009520521</v>
      </c>
      <c r="J10490" s="348" t="s">
        <v>21002</v>
      </c>
      <c r="M10490" s="334">
        <v>1577</v>
      </c>
      <c r="N10490" s="362">
        <f t="shared" si="374"/>
        <v>1577</v>
      </c>
    </row>
    <row r="10491" customHeight="1" spans="2:14">
      <c r="B10491" s="425" t="s">
        <v>58</v>
      </c>
      <c r="C10491" s="425" t="s">
        <v>342</v>
      </c>
      <c r="D10491" s="334" t="s">
        <v>343</v>
      </c>
      <c r="E10491" s="336">
        <v>43832</v>
      </c>
      <c r="G10491" s="336">
        <v>43832</v>
      </c>
      <c r="H10491" s="334" t="s">
        <v>14798</v>
      </c>
      <c r="I10491" s="496">
        <v>17717898912</v>
      </c>
      <c r="J10491" s="496" t="s">
        <v>21003</v>
      </c>
      <c r="M10491" s="334">
        <v>300</v>
      </c>
      <c r="N10491" s="362">
        <f t="shared" si="374"/>
        <v>300</v>
      </c>
    </row>
    <row r="10492" customHeight="1" spans="2:14">
      <c r="B10492" s="425" t="s">
        <v>315</v>
      </c>
      <c r="C10492" s="425" t="s">
        <v>161</v>
      </c>
      <c r="D10492" s="334" t="s">
        <v>162</v>
      </c>
      <c r="E10492" s="336">
        <v>43832</v>
      </c>
      <c r="G10492" s="336">
        <v>43798</v>
      </c>
      <c r="H10492" s="425" t="s">
        <v>15308</v>
      </c>
      <c r="I10492" s="334">
        <v>13916221266</v>
      </c>
      <c r="J10492" s="348" t="s">
        <v>18390</v>
      </c>
      <c r="M10492" s="334">
        <v>1993</v>
      </c>
      <c r="N10492" s="362">
        <f t="shared" si="374"/>
        <v>1993</v>
      </c>
    </row>
    <row r="10493" customHeight="1" spans="1:24">
      <c r="A10493" s="562" t="s">
        <v>21004</v>
      </c>
      <c r="B10493" s="523" t="s">
        <v>153</v>
      </c>
      <c r="C10493" s="523" t="s">
        <v>302</v>
      </c>
      <c r="D10493" s="335" t="s">
        <v>155</v>
      </c>
      <c r="E10493" s="520">
        <v>43833</v>
      </c>
      <c r="F10493" s="527">
        <v>43833</v>
      </c>
      <c r="G10493" s="353" t="s">
        <v>20752</v>
      </c>
      <c r="H10493" s="525" t="s">
        <v>3459</v>
      </c>
      <c r="I10493" s="531">
        <v>13764910508</v>
      </c>
      <c r="J10493" s="523" t="s">
        <v>21005</v>
      </c>
      <c r="K10493" s="532">
        <v>1000</v>
      </c>
      <c r="N10493" s="362">
        <f t="shared" ref="N10493:N10501" si="375">L10493+M10493</f>
        <v>0</v>
      </c>
      <c r="X10493" s="353" t="s">
        <v>20752</v>
      </c>
    </row>
    <row r="10494" customHeight="1" spans="1:15">
      <c r="A10494" s="562" t="s">
        <v>20596</v>
      </c>
      <c r="B10494" s="523" t="s">
        <v>58</v>
      </c>
      <c r="C10494" s="523" t="s">
        <v>342</v>
      </c>
      <c r="D10494" s="335" t="s">
        <v>110</v>
      </c>
      <c r="E10494" s="520">
        <v>43833</v>
      </c>
      <c r="F10494" s="527">
        <v>43832</v>
      </c>
      <c r="G10494" s="524"/>
      <c r="H10494" s="525" t="s">
        <v>21006</v>
      </c>
      <c r="I10494" s="531">
        <v>13301716346</v>
      </c>
      <c r="J10494" s="523" t="s">
        <v>21007</v>
      </c>
      <c r="K10494" s="532">
        <v>1000</v>
      </c>
      <c r="N10494" s="362">
        <f t="shared" si="375"/>
        <v>0</v>
      </c>
      <c r="O10494" s="366" t="s">
        <v>52</v>
      </c>
    </row>
    <row r="10495" customHeight="1" spans="1:15">
      <c r="A10495" s="528"/>
      <c r="B10495" s="523" t="s">
        <v>5336</v>
      </c>
      <c r="C10495" s="523" t="s">
        <v>5336</v>
      </c>
      <c r="D10495" s="335" t="s">
        <v>8334</v>
      </c>
      <c r="E10495" s="520">
        <v>43833</v>
      </c>
      <c r="F10495" s="527">
        <v>43833</v>
      </c>
      <c r="G10495" s="524"/>
      <c r="H10495" s="525" t="s">
        <v>18606</v>
      </c>
      <c r="I10495" s="531">
        <v>13621676573</v>
      </c>
      <c r="J10495" s="523" t="s">
        <v>21008</v>
      </c>
      <c r="K10495" s="532">
        <v>9372</v>
      </c>
      <c r="N10495" s="362">
        <f t="shared" si="375"/>
        <v>0</v>
      </c>
      <c r="O10495" s="353" t="s">
        <v>52</v>
      </c>
    </row>
    <row r="10496" customHeight="1" spans="1:15">
      <c r="A10496" s="562" t="s">
        <v>8240</v>
      </c>
      <c r="B10496" s="523" t="s">
        <v>58</v>
      </c>
      <c r="C10496" s="523" t="s">
        <v>347</v>
      </c>
      <c r="D10496" s="335" t="s">
        <v>343</v>
      </c>
      <c r="E10496" s="520">
        <v>43833</v>
      </c>
      <c r="F10496" s="527">
        <v>43833</v>
      </c>
      <c r="G10496" s="524"/>
      <c r="H10496" s="525" t="s">
        <v>21009</v>
      </c>
      <c r="I10496" s="531">
        <v>13818968358</v>
      </c>
      <c r="J10496" s="523" t="s">
        <v>21010</v>
      </c>
      <c r="K10496" s="532">
        <v>1000</v>
      </c>
      <c r="N10496" s="362">
        <f t="shared" si="375"/>
        <v>0</v>
      </c>
      <c r="O10496" s="366" t="s">
        <v>52</v>
      </c>
    </row>
    <row r="10497" customHeight="1" spans="1:16">
      <c r="A10497" s="528"/>
      <c r="B10497" s="523" t="s">
        <v>47</v>
      </c>
      <c r="C10497" s="523" t="s">
        <v>53</v>
      </c>
      <c r="D10497" s="335" t="s">
        <v>49</v>
      </c>
      <c r="E10497" s="520">
        <v>43833</v>
      </c>
      <c r="F10497" s="527">
        <v>43832</v>
      </c>
      <c r="G10497" s="524"/>
      <c r="H10497" s="525" t="s">
        <v>6271</v>
      </c>
      <c r="I10497" s="531">
        <v>13818136277</v>
      </c>
      <c r="J10497" s="523" t="s">
        <v>21011</v>
      </c>
      <c r="K10497" s="532">
        <v>1000</v>
      </c>
      <c r="N10497" s="362">
        <f t="shared" si="375"/>
        <v>0</v>
      </c>
      <c r="P10497" s="353" t="s">
        <v>52</v>
      </c>
    </row>
    <row r="10498" customHeight="1" spans="1:14">
      <c r="A10498" s="562" t="s">
        <v>19650</v>
      </c>
      <c r="B10498" s="523" t="s">
        <v>123</v>
      </c>
      <c r="C10498" s="523" t="s">
        <v>32</v>
      </c>
      <c r="D10498" s="335" t="s">
        <v>125</v>
      </c>
      <c r="E10498" s="520">
        <v>43833</v>
      </c>
      <c r="F10498" s="527">
        <v>43833</v>
      </c>
      <c r="G10498" s="524"/>
      <c r="H10498" s="525" t="s">
        <v>21012</v>
      </c>
      <c r="I10498" s="531">
        <v>13002153732</v>
      </c>
      <c r="J10498" s="523" t="s">
        <v>21013</v>
      </c>
      <c r="K10498" s="532">
        <v>500</v>
      </c>
      <c r="N10498" s="362">
        <f t="shared" si="375"/>
        <v>0</v>
      </c>
    </row>
    <row r="10499" customHeight="1" spans="1:14">
      <c r="A10499" s="562" t="s">
        <v>21014</v>
      </c>
      <c r="B10499" s="523" t="s">
        <v>123</v>
      </c>
      <c r="C10499" s="523" t="s">
        <v>32</v>
      </c>
      <c r="D10499" s="335" t="s">
        <v>125</v>
      </c>
      <c r="E10499" s="520">
        <v>43833</v>
      </c>
      <c r="F10499" s="527">
        <v>43833</v>
      </c>
      <c r="G10499" s="524"/>
      <c r="H10499" s="525" t="s">
        <v>21015</v>
      </c>
      <c r="I10499" s="531">
        <v>18621909071</v>
      </c>
      <c r="J10499" s="523" t="s">
        <v>21016</v>
      </c>
      <c r="K10499" s="532">
        <v>500</v>
      </c>
      <c r="N10499" s="362">
        <f t="shared" si="375"/>
        <v>0</v>
      </c>
    </row>
    <row r="10500" customHeight="1" spans="1:15">
      <c r="A10500" s="562" t="s">
        <v>1916</v>
      </c>
      <c r="B10500" s="523" t="s">
        <v>185</v>
      </c>
      <c r="C10500" s="523" t="s">
        <v>1204</v>
      </c>
      <c r="D10500" s="335" t="s">
        <v>44</v>
      </c>
      <c r="E10500" s="520">
        <v>43833</v>
      </c>
      <c r="F10500" s="527">
        <v>43828</v>
      </c>
      <c r="G10500" s="524"/>
      <c r="H10500" s="525" t="s">
        <v>21017</v>
      </c>
      <c r="I10500" s="531">
        <v>18616860505</v>
      </c>
      <c r="J10500" s="523" t="s">
        <v>21018</v>
      </c>
      <c r="K10500" s="532">
        <v>1998</v>
      </c>
      <c r="N10500" s="362">
        <f t="shared" si="375"/>
        <v>0</v>
      </c>
      <c r="O10500" s="467" t="s">
        <v>52</v>
      </c>
    </row>
    <row r="10501" customHeight="1" spans="1:14">
      <c r="A10501" s="528" t="s">
        <v>13074</v>
      </c>
      <c r="B10501" s="523" t="s">
        <v>58</v>
      </c>
      <c r="C10501" s="523" t="s">
        <v>794</v>
      </c>
      <c r="D10501" s="334" t="s">
        <v>271</v>
      </c>
      <c r="E10501" s="336">
        <v>43835</v>
      </c>
      <c r="F10501" s="527">
        <v>43833</v>
      </c>
      <c r="G10501" s="336">
        <v>43831</v>
      </c>
      <c r="H10501" s="425" t="s">
        <v>21019</v>
      </c>
      <c r="I10501" s="531">
        <v>15623042832</v>
      </c>
      <c r="J10501" s="523" t="s">
        <v>21020</v>
      </c>
      <c r="K10501" s="532">
        <v>18243</v>
      </c>
      <c r="L10501" s="334">
        <v>18243</v>
      </c>
      <c r="N10501" s="362">
        <f t="shared" si="375"/>
        <v>18243</v>
      </c>
    </row>
    <row r="10502" customHeight="1" spans="2:14">
      <c r="B10502" s="425" t="s">
        <v>335</v>
      </c>
      <c r="C10502" s="425" t="s">
        <v>615</v>
      </c>
      <c r="D10502" s="334" t="s">
        <v>187</v>
      </c>
      <c r="E10502" s="520">
        <v>43833</v>
      </c>
      <c r="G10502" s="336">
        <v>43832</v>
      </c>
      <c r="H10502" s="425" t="s">
        <v>21021</v>
      </c>
      <c r="I10502" s="496">
        <v>13817972497</v>
      </c>
      <c r="J10502" s="496" t="s">
        <v>21022</v>
      </c>
      <c r="L10502" s="334">
        <v>9626</v>
      </c>
      <c r="N10502" s="362">
        <f t="shared" ref="N10502:N10527" si="376">L10502+M10502</f>
        <v>9626</v>
      </c>
    </row>
    <row r="10503" customHeight="1" spans="2:14">
      <c r="B10503" s="334" t="s">
        <v>185</v>
      </c>
      <c r="C10503" s="334" t="s">
        <v>886</v>
      </c>
      <c r="D10503" s="334" t="s">
        <v>187</v>
      </c>
      <c r="E10503" s="336">
        <v>43833</v>
      </c>
      <c r="G10503" s="336">
        <v>43831</v>
      </c>
      <c r="H10503" s="334" t="s">
        <v>19107</v>
      </c>
      <c r="I10503" s="444">
        <v>17301673064</v>
      </c>
      <c r="J10503" s="444" t="s">
        <v>19108</v>
      </c>
      <c r="M10503" s="334">
        <v>5362</v>
      </c>
      <c r="N10503" s="362">
        <f t="shared" si="376"/>
        <v>5362</v>
      </c>
    </row>
    <row r="10504" customHeight="1" spans="2:14">
      <c r="B10504" s="425" t="s">
        <v>236</v>
      </c>
      <c r="C10504" s="425" t="s">
        <v>703</v>
      </c>
      <c r="D10504" s="334" t="s">
        <v>207</v>
      </c>
      <c r="E10504" s="336">
        <v>43833</v>
      </c>
      <c r="G10504" s="336">
        <v>43834</v>
      </c>
      <c r="H10504" s="425" t="s">
        <v>16691</v>
      </c>
      <c r="I10504" s="444">
        <v>18001794563</v>
      </c>
      <c r="J10504" s="438" t="s">
        <v>16692</v>
      </c>
      <c r="M10504" s="334">
        <v>7224</v>
      </c>
      <c r="N10504" s="362">
        <f t="shared" si="376"/>
        <v>7224</v>
      </c>
    </row>
    <row r="10505" customHeight="1" spans="2:14">
      <c r="B10505" s="425" t="s">
        <v>137</v>
      </c>
      <c r="C10505" s="425" t="s">
        <v>406</v>
      </c>
      <c r="D10505" s="334" t="s">
        <v>443</v>
      </c>
      <c r="E10505" s="336">
        <v>43833</v>
      </c>
      <c r="G10505" s="336">
        <v>43831</v>
      </c>
      <c r="H10505" s="425" t="s">
        <v>21023</v>
      </c>
      <c r="I10505" s="444">
        <v>18521421987</v>
      </c>
      <c r="J10505" s="348" t="s">
        <v>16287</v>
      </c>
      <c r="M10505" s="334">
        <v>563</v>
      </c>
      <c r="N10505" s="362">
        <f t="shared" si="376"/>
        <v>563</v>
      </c>
    </row>
    <row r="10506" customHeight="1" spans="2:14">
      <c r="B10506" s="425" t="s">
        <v>137</v>
      </c>
      <c r="C10506" s="425" t="s">
        <v>480</v>
      </c>
      <c r="D10506" s="334" t="s">
        <v>139</v>
      </c>
      <c r="E10506" s="336">
        <v>43833</v>
      </c>
      <c r="G10506" s="336">
        <v>43833</v>
      </c>
      <c r="H10506" s="425" t="s">
        <v>5160</v>
      </c>
      <c r="I10506" s="496">
        <v>13761632978</v>
      </c>
      <c r="J10506" s="334" t="s">
        <v>11745</v>
      </c>
      <c r="M10506" s="334">
        <v>703</v>
      </c>
      <c r="N10506" s="362">
        <f t="shared" si="376"/>
        <v>703</v>
      </c>
    </row>
    <row r="10507" customHeight="1" spans="2:14">
      <c r="B10507" s="334" t="s">
        <v>42</v>
      </c>
      <c r="C10507" s="334" t="s">
        <v>43</v>
      </c>
      <c r="D10507" s="334" t="s">
        <v>207</v>
      </c>
      <c r="E10507" s="336">
        <v>43833</v>
      </c>
      <c r="G10507" s="336">
        <v>43833</v>
      </c>
      <c r="H10507" s="425" t="s">
        <v>20587</v>
      </c>
      <c r="I10507" s="444">
        <v>13917787569</v>
      </c>
      <c r="J10507" s="438" t="s">
        <v>20588</v>
      </c>
      <c r="M10507" s="334">
        <v>-20233</v>
      </c>
      <c r="N10507" s="362">
        <f t="shared" si="376"/>
        <v>-20233</v>
      </c>
    </row>
    <row r="10508" customHeight="1" spans="2:14">
      <c r="B10508" s="425" t="s">
        <v>35</v>
      </c>
      <c r="C10508" s="425" t="s">
        <v>328</v>
      </c>
      <c r="D10508" s="334" t="s">
        <v>37</v>
      </c>
      <c r="E10508" s="336">
        <v>43833</v>
      </c>
      <c r="G10508" s="336">
        <v>43830</v>
      </c>
      <c r="H10508" s="425" t="s">
        <v>19247</v>
      </c>
      <c r="I10508" s="444">
        <v>13918838018</v>
      </c>
      <c r="J10508" s="444" t="s">
        <v>19248</v>
      </c>
      <c r="M10508" s="334">
        <v>536</v>
      </c>
      <c r="N10508" s="362">
        <f t="shared" si="376"/>
        <v>536</v>
      </c>
    </row>
    <row r="10509" customHeight="1" spans="2:14">
      <c r="B10509" s="425" t="s">
        <v>354</v>
      </c>
      <c r="C10509" s="425" t="s">
        <v>355</v>
      </c>
      <c r="D10509" s="334" t="s">
        <v>237</v>
      </c>
      <c r="E10509" s="336">
        <v>43833</v>
      </c>
      <c r="G10509" s="336">
        <v>43833</v>
      </c>
      <c r="H10509" s="425" t="s">
        <v>15271</v>
      </c>
      <c r="I10509" s="444">
        <v>15557158799</v>
      </c>
      <c r="J10509" s="348" t="s">
        <v>15272</v>
      </c>
      <c r="M10509" s="334">
        <v>3726</v>
      </c>
      <c r="N10509" s="362">
        <f t="shared" si="376"/>
        <v>3726</v>
      </c>
    </row>
    <row r="10510" customHeight="1" spans="2:14">
      <c r="B10510" s="425" t="s">
        <v>137</v>
      </c>
      <c r="C10510" s="425" t="s">
        <v>406</v>
      </c>
      <c r="D10510" s="334" t="s">
        <v>139</v>
      </c>
      <c r="E10510" s="336">
        <v>43833</v>
      </c>
      <c r="G10510" s="336">
        <v>43833</v>
      </c>
      <c r="H10510" s="425" t="s">
        <v>13145</v>
      </c>
      <c r="I10510" s="334">
        <v>18121021549</v>
      </c>
      <c r="J10510" s="334" t="s">
        <v>13146</v>
      </c>
      <c r="M10510" s="334">
        <v>7492</v>
      </c>
      <c r="N10510" s="362">
        <f t="shared" si="376"/>
        <v>7492</v>
      </c>
    </row>
    <row r="10511" customHeight="1" spans="1:14">
      <c r="A10511" s="528"/>
      <c r="B10511" s="523" t="s">
        <v>66</v>
      </c>
      <c r="C10511" s="523" t="s">
        <v>505</v>
      </c>
      <c r="D10511" s="335" t="s">
        <v>2302</v>
      </c>
      <c r="E10511" s="520">
        <v>43834</v>
      </c>
      <c r="F10511" s="527">
        <v>43833</v>
      </c>
      <c r="G10511" s="524"/>
      <c r="H10511" s="525" t="s">
        <v>21024</v>
      </c>
      <c r="I10511" s="531">
        <v>18202142082</v>
      </c>
      <c r="J10511" s="523" t="s">
        <v>21025</v>
      </c>
      <c r="K10511" s="532">
        <v>3000</v>
      </c>
      <c r="N10511" s="362">
        <f t="shared" si="376"/>
        <v>0</v>
      </c>
    </row>
    <row r="10512" customHeight="1" spans="1:15">
      <c r="A10512" s="562" t="s">
        <v>10365</v>
      </c>
      <c r="B10512" s="523" t="s">
        <v>58</v>
      </c>
      <c r="C10512" s="523" t="s">
        <v>109</v>
      </c>
      <c r="D10512" s="335" t="s">
        <v>271</v>
      </c>
      <c r="E10512" s="520">
        <v>43834</v>
      </c>
      <c r="F10512" s="527">
        <v>43833</v>
      </c>
      <c r="G10512" s="524"/>
      <c r="H10512" s="525" t="s">
        <v>2850</v>
      </c>
      <c r="I10512" s="531">
        <v>18621639244</v>
      </c>
      <c r="J10512" s="523"/>
      <c r="K10512" s="532">
        <v>500</v>
      </c>
      <c r="N10512" s="362">
        <f t="shared" si="376"/>
        <v>0</v>
      </c>
      <c r="O10512" s="366" t="s">
        <v>52</v>
      </c>
    </row>
    <row r="10513" customHeight="1" spans="1:14">
      <c r="A10513" s="562" t="s">
        <v>3157</v>
      </c>
      <c r="B10513" s="523" t="s">
        <v>31</v>
      </c>
      <c r="C10513" s="523" t="s">
        <v>419</v>
      </c>
      <c r="D10513" s="335" t="s">
        <v>221</v>
      </c>
      <c r="E10513" s="520">
        <v>43834</v>
      </c>
      <c r="F10513" s="527">
        <v>43834</v>
      </c>
      <c r="G10513" s="524"/>
      <c r="H10513" s="525" t="s">
        <v>21026</v>
      </c>
      <c r="I10513" s="531">
        <v>13916706508</v>
      </c>
      <c r="J10513" s="523" t="s">
        <v>21027</v>
      </c>
      <c r="K10513" s="532">
        <v>1000</v>
      </c>
      <c r="N10513" s="362">
        <f t="shared" si="376"/>
        <v>0</v>
      </c>
    </row>
    <row r="10514" customHeight="1" spans="1:16">
      <c r="A10514" s="562" t="s">
        <v>694</v>
      </c>
      <c r="B10514" s="523" t="s">
        <v>58</v>
      </c>
      <c r="C10514" s="523" t="s">
        <v>347</v>
      </c>
      <c r="D10514" s="335" t="s">
        <v>343</v>
      </c>
      <c r="E10514" s="520">
        <v>43834</v>
      </c>
      <c r="F10514" s="527">
        <v>43834</v>
      </c>
      <c r="G10514" s="524"/>
      <c r="H10514" s="525" t="s">
        <v>21028</v>
      </c>
      <c r="I10514" s="531">
        <v>18017688882</v>
      </c>
      <c r="J10514" s="523" t="s">
        <v>21029</v>
      </c>
      <c r="K10514" s="532">
        <v>1000</v>
      </c>
      <c r="N10514" s="362">
        <f t="shared" si="376"/>
        <v>0</v>
      </c>
      <c r="P10514" s="366" t="s">
        <v>52</v>
      </c>
    </row>
    <row r="10515" customHeight="1" spans="1:14">
      <c r="A10515" s="562" t="s">
        <v>21030</v>
      </c>
      <c r="B10515" s="523" t="s">
        <v>31</v>
      </c>
      <c r="C10515" s="523" t="s">
        <v>2716</v>
      </c>
      <c r="D10515" s="335" t="s">
        <v>221</v>
      </c>
      <c r="E10515" s="520">
        <v>43834</v>
      </c>
      <c r="F10515" s="527">
        <v>43834</v>
      </c>
      <c r="G10515" s="524"/>
      <c r="H10515" s="525" t="s">
        <v>2064</v>
      </c>
      <c r="I10515" s="531">
        <v>13901620382</v>
      </c>
      <c r="J10515" s="523" t="s">
        <v>21031</v>
      </c>
      <c r="K10515" s="532">
        <v>1000</v>
      </c>
      <c r="N10515" s="362">
        <f t="shared" si="376"/>
        <v>0</v>
      </c>
    </row>
    <row r="10516" customHeight="1" spans="1:15">
      <c r="A10516" s="528"/>
      <c r="B10516" s="523" t="s">
        <v>5336</v>
      </c>
      <c r="C10516" s="523" t="s">
        <v>5336</v>
      </c>
      <c r="D10516" s="335" t="s">
        <v>8334</v>
      </c>
      <c r="E10516" s="520">
        <v>43834</v>
      </c>
      <c r="F10516" s="527">
        <v>43834</v>
      </c>
      <c r="G10516" s="524"/>
      <c r="H10516" s="525" t="s">
        <v>21032</v>
      </c>
      <c r="I10516" s="531">
        <v>18621524586</v>
      </c>
      <c r="J10516" s="523" t="s">
        <v>21033</v>
      </c>
      <c r="K10516" s="532">
        <v>17890</v>
      </c>
      <c r="N10516" s="362">
        <f t="shared" si="376"/>
        <v>0</v>
      </c>
      <c r="O10516" s="353" t="s">
        <v>52</v>
      </c>
    </row>
    <row r="10517" customHeight="1" spans="1:14">
      <c r="A10517" s="562" t="s">
        <v>21034</v>
      </c>
      <c r="B10517" s="523" t="s">
        <v>66</v>
      </c>
      <c r="C10517" s="523" t="s">
        <v>505</v>
      </c>
      <c r="D10517" s="334" t="s">
        <v>2302</v>
      </c>
      <c r="E10517" s="336">
        <v>43836</v>
      </c>
      <c r="F10517" s="527">
        <v>43834</v>
      </c>
      <c r="G10517" s="336">
        <v>43835</v>
      </c>
      <c r="H10517" s="525" t="s">
        <v>21035</v>
      </c>
      <c r="I10517" s="531">
        <v>18521521540</v>
      </c>
      <c r="J10517" s="523" t="s">
        <v>21036</v>
      </c>
      <c r="K10517" s="532">
        <v>1000</v>
      </c>
      <c r="L10517" s="334">
        <v>82963</v>
      </c>
      <c r="N10517" s="362">
        <f t="shared" si="376"/>
        <v>82963</v>
      </c>
    </row>
    <row r="10518" customHeight="1" spans="1:14">
      <c r="A10518" s="528"/>
      <c r="B10518" s="425" t="s">
        <v>31</v>
      </c>
      <c r="C10518" s="425" t="s">
        <v>419</v>
      </c>
      <c r="D10518" s="335" t="s">
        <v>221</v>
      </c>
      <c r="E10518" s="520">
        <v>43834</v>
      </c>
      <c r="F10518" s="527">
        <v>43834</v>
      </c>
      <c r="G10518" s="524"/>
      <c r="H10518" s="425" t="s">
        <v>21037</v>
      </c>
      <c r="I10518" s="356">
        <v>18502139516</v>
      </c>
      <c r="J10518" s="348" t="s">
        <v>21038</v>
      </c>
      <c r="K10518" s="534">
        <v>1000</v>
      </c>
      <c r="N10518" s="362">
        <f t="shared" si="376"/>
        <v>0</v>
      </c>
    </row>
    <row r="10519" customHeight="1" spans="1:14">
      <c r="A10519" s="562" t="s">
        <v>21039</v>
      </c>
      <c r="B10519" s="523" t="s">
        <v>805</v>
      </c>
      <c r="C10519" s="523" t="s">
        <v>4935</v>
      </c>
      <c r="D10519" s="335" t="s">
        <v>635</v>
      </c>
      <c r="E10519" s="520">
        <v>43834</v>
      </c>
      <c r="F10519" s="527">
        <v>43834</v>
      </c>
      <c r="G10519" s="524"/>
      <c r="H10519" s="525" t="s">
        <v>21040</v>
      </c>
      <c r="I10519" s="531">
        <v>18521523818</v>
      </c>
      <c r="J10519" s="523" t="s">
        <v>21041</v>
      </c>
      <c r="K10519" s="532">
        <v>10000</v>
      </c>
      <c r="N10519" s="362">
        <f t="shared" si="376"/>
        <v>0</v>
      </c>
    </row>
    <row r="10520" customHeight="1" spans="1:19">
      <c r="A10520" s="562" t="s">
        <v>18302</v>
      </c>
      <c r="B10520" s="523" t="s">
        <v>42</v>
      </c>
      <c r="C10520" s="523" t="s">
        <v>43</v>
      </c>
      <c r="D10520" s="335" t="s">
        <v>44</v>
      </c>
      <c r="E10520" s="520">
        <v>43835</v>
      </c>
      <c r="F10520" s="527">
        <v>43834</v>
      </c>
      <c r="G10520" s="524"/>
      <c r="H10520" s="525" t="s">
        <v>21042</v>
      </c>
      <c r="I10520" s="531">
        <v>13917217507</v>
      </c>
      <c r="J10520" s="523" t="s">
        <v>21043</v>
      </c>
      <c r="K10520" s="532">
        <v>10996</v>
      </c>
      <c r="N10520" s="362">
        <f t="shared" si="376"/>
        <v>0</v>
      </c>
      <c r="S10520" s="356" t="s">
        <v>52</v>
      </c>
    </row>
    <row r="10521" customHeight="1" spans="1:15">
      <c r="A10521" s="562" t="s">
        <v>198</v>
      </c>
      <c r="B10521" s="523" t="s">
        <v>236</v>
      </c>
      <c r="C10521" s="523" t="s">
        <v>195</v>
      </c>
      <c r="D10521" s="335" t="s">
        <v>237</v>
      </c>
      <c r="E10521" s="520">
        <v>43835</v>
      </c>
      <c r="F10521" s="527">
        <v>43834</v>
      </c>
      <c r="G10521" s="524"/>
      <c r="H10521" s="525" t="s">
        <v>21044</v>
      </c>
      <c r="I10521" s="531">
        <v>13601894426</v>
      </c>
      <c r="J10521" s="523" t="s">
        <v>21045</v>
      </c>
      <c r="K10521" s="532">
        <v>3499</v>
      </c>
      <c r="N10521" s="362">
        <f t="shared" si="376"/>
        <v>0</v>
      </c>
      <c r="O10521" s="353" t="s">
        <v>21046</v>
      </c>
    </row>
    <row r="10522" customHeight="1" spans="1:15">
      <c r="A10522" s="562" t="s">
        <v>14680</v>
      </c>
      <c r="B10522" s="523" t="s">
        <v>73</v>
      </c>
      <c r="C10522" s="523" t="s">
        <v>74</v>
      </c>
      <c r="D10522" s="335" t="s">
        <v>187</v>
      </c>
      <c r="E10522" s="520">
        <v>43835</v>
      </c>
      <c r="F10522" s="527">
        <v>43834</v>
      </c>
      <c r="G10522" s="524"/>
      <c r="H10522" s="525" t="s">
        <v>21047</v>
      </c>
      <c r="I10522" s="531">
        <v>13912066488</v>
      </c>
      <c r="J10522" s="523" t="s">
        <v>21048</v>
      </c>
      <c r="K10522" s="532">
        <v>1000</v>
      </c>
      <c r="N10522" s="362">
        <f t="shared" si="376"/>
        <v>0</v>
      </c>
      <c r="O10522" s="405" t="s">
        <v>52</v>
      </c>
    </row>
    <row r="10523" customHeight="1" spans="1:15">
      <c r="A10523" s="562" t="s">
        <v>942</v>
      </c>
      <c r="B10523" s="523" t="s">
        <v>73</v>
      </c>
      <c r="C10523" s="523" t="s">
        <v>74</v>
      </c>
      <c r="D10523" s="335" t="s">
        <v>187</v>
      </c>
      <c r="E10523" s="520">
        <v>43835</v>
      </c>
      <c r="F10523" s="527">
        <v>43834</v>
      </c>
      <c r="G10523" s="524"/>
      <c r="H10523" s="525" t="s">
        <v>21049</v>
      </c>
      <c r="I10523" s="531">
        <v>13918168827</v>
      </c>
      <c r="J10523" s="523" t="s">
        <v>21050</v>
      </c>
      <c r="K10523" s="532">
        <v>1000</v>
      </c>
      <c r="N10523" s="362">
        <f t="shared" si="376"/>
        <v>0</v>
      </c>
      <c r="O10523" s="405" t="s">
        <v>52</v>
      </c>
    </row>
    <row r="10524" customHeight="1" spans="1:14">
      <c r="A10524" s="562" t="s">
        <v>15138</v>
      </c>
      <c r="B10524" s="523" t="s">
        <v>31</v>
      </c>
      <c r="C10524" s="523" t="s">
        <v>3186</v>
      </c>
      <c r="D10524" s="335" t="s">
        <v>954</v>
      </c>
      <c r="E10524" s="520">
        <v>43835</v>
      </c>
      <c r="F10524" s="527">
        <v>43834</v>
      </c>
      <c r="G10524" s="524"/>
      <c r="H10524" s="525" t="s">
        <v>21051</v>
      </c>
      <c r="I10524" s="531">
        <v>13795386461</v>
      </c>
      <c r="J10524" s="523" t="s">
        <v>21052</v>
      </c>
      <c r="K10524" s="532">
        <v>1000</v>
      </c>
      <c r="N10524" s="362">
        <f t="shared" si="376"/>
        <v>0</v>
      </c>
    </row>
    <row r="10525" customHeight="1" spans="1:15">
      <c r="A10525" s="562" t="s">
        <v>2979</v>
      </c>
      <c r="B10525" s="523" t="s">
        <v>35</v>
      </c>
      <c r="C10525" s="523" t="s">
        <v>328</v>
      </c>
      <c r="D10525" s="335" t="s">
        <v>37</v>
      </c>
      <c r="E10525" s="520">
        <v>43835</v>
      </c>
      <c r="F10525" s="527">
        <v>43834</v>
      </c>
      <c r="G10525" s="524"/>
      <c r="H10525" s="525" t="s">
        <v>21053</v>
      </c>
      <c r="I10525" s="531">
        <v>13818237942</v>
      </c>
      <c r="J10525" s="523" t="s">
        <v>21054</v>
      </c>
      <c r="K10525" s="532">
        <v>1000</v>
      </c>
      <c r="N10525" s="362">
        <f t="shared" si="376"/>
        <v>0</v>
      </c>
      <c r="O10525" s="356" t="s">
        <v>52</v>
      </c>
    </row>
    <row r="10526" customHeight="1" spans="1:16">
      <c r="A10526" s="562" t="s">
        <v>21055</v>
      </c>
      <c r="B10526" s="523" t="s">
        <v>354</v>
      </c>
      <c r="C10526" s="523" t="s">
        <v>355</v>
      </c>
      <c r="D10526" s="335" t="s">
        <v>207</v>
      </c>
      <c r="E10526" s="520">
        <v>43835</v>
      </c>
      <c r="F10526" s="527">
        <v>43834</v>
      </c>
      <c r="G10526" s="524"/>
      <c r="H10526" s="525" t="s">
        <v>21056</v>
      </c>
      <c r="I10526" s="531">
        <v>17721219907</v>
      </c>
      <c r="J10526" s="523" t="s">
        <v>21057</v>
      </c>
      <c r="K10526" s="532">
        <v>4496</v>
      </c>
      <c r="N10526" s="362">
        <f t="shared" si="376"/>
        <v>0</v>
      </c>
      <c r="P10526" s="356" t="s">
        <v>52</v>
      </c>
    </row>
    <row r="10527" customHeight="1" spans="1:14">
      <c r="A10527" s="562" t="s">
        <v>4031</v>
      </c>
      <c r="B10527" s="523" t="s">
        <v>87</v>
      </c>
      <c r="C10527" s="523" t="s">
        <v>466</v>
      </c>
      <c r="D10527" s="335" t="s">
        <v>89</v>
      </c>
      <c r="E10527" s="520">
        <v>43835</v>
      </c>
      <c r="F10527" s="527">
        <v>43833</v>
      </c>
      <c r="G10527" s="524"/>
      <c r="H10527" s="525" t="s">
        <v>21058</v>
      </c>
      <c r="I10527" s="531">
        <v>13311813654</v>
      </c>
      <c r="J10527" s="523" t="s">
        <v>21059</v>
      </c>
      <c r="K10527" s="532">
        <f>1000+1000</f>
        <v>2000</v>
      </c>
      <c r="N10527" s="362">
        <f t="shared" si="376"/>
        <v>0</v>
      </c>
    </row>
    <row r="10528" customHeight="1" spans="1:14">
      <c r="A10528" s="562" t="s">
        <v>9896</v>
      </c>
      <c r="B10528" s="523" t="s">
        <v>137</v>
      </c>
      <c r="C10528" s="523" t="s">
        <v>480</v>
      </c>
      <c r="D10528" s="334" t="s">
        <v>443</v>
      </c>
      <c r="E10528" s="336">
        <v>43836</v>
      </c>
      <c r="F10528" s="527">
        <v>43835</v>
      </c>
      <c r="G10528" s="336">
        <v>43836</v>
      </c>
      <c r="H10528" s="525" t="s">
        <v>9776</v>
      </c>
      <c r="I10528" s="531">
        <v>17717638105</v>
      </c>
      <c r="J10528" s="523" t="s">
        <v>21060</v>
      </c>
      <c r="K10528" s="532">
        <v>500</v>
      </c>
      <c r="L10528" s="334">
        <v>7098</v>
      </c>
      <c r="N10528" s="362">
        <f t="shared" ref="N10528:N10550" si="377">L10528+M10528</f>
        <v>7098</v>
      </c>
    </row>
    <row r="10529" customHeight="1" spans="1:14">
      <c r="A10529" s="562" t="s">
        <v>4898</v>
      </c>
      <c r="B10529" s="523" t="s">
        <v>169</v>
      </c>
      <c r="C10529" s="523" t="s">
        <v>15883</v>
      </c>
      <c r="D10529" s="335" t="s">
        <v>171</v>
      </c>
      <c r="E10529" s="520">
        <v>43835</v>
      </c>
      <c r="F10529" s="527">
        <v>43834</v>
      </c>
      <c r="G10529" s="524"/>
      <c r="H10529" s="525" t="s">
        <v>21061</v>
      </c>
      <c r="I10529" s="531">
        <v>13167085770</v>
      </c>
      <c r="J10529" s="523" t="s">
        <v>21062</v>
      </c>
      <c r="K10529" s="532">
        <v>2299</v>
      </c>
      <c r="N10529" s="362">
        <f t="shared" si="377"/>
        <v>0</v>
      </c>
    </row>
    <row r="10530" customHeight="1" spans="1:15">
      <c r="A10530" s="528"/>
      <c r="B10530" s="523" t="s">
        <v>16169</v>
      </c>
      <c r="C10530" s="523" t="s">
        <v>16170</v>
      </c>
      <c r="D10530" s="335" t="s">
        <v>49</v>
      </c>
      <c r="E10530" s="527">
        <v>43835</v>
      </c>
      <c r="F10530" s="527">
        <v>43834</v>
      </c>
      <c r="G10530" s="524"/>
      <c r="H10530" s="525" t="s">
        <v>21063</v>
      </c>
      <c r="I10530" s="531">
        <v>18817776479</v>
      </c>
      <c r="J10530" s="523" t="s">
        <v>21064</v>
      </c>
      <c r="K10530" s="532">
        <v>2000</v>
      </c>
      <c r="N10530" s="362">
        <f t="shared" si="377"/>
        <v>0</v>
      </c>
      <c r="O10530" s="524" t="s">
        <v>21065</v>
      </c>
    </row>
    <row r="10531" customHeight="1" spans="1:14">
      <c r="A10531" s="562" t="s">
        <v>21066</v>
      </c>
      <c r="B10531" s="523" t="s">
        <v>87</v>
      </c>
      <c r="C10531" s="523" t="s">
        <v>466</v>
      </c>
      <c r="D10531" s="334" t="s">
        <v>89</v>
      </c>
      <c r="E10531" s="527">
        <v>43835</v>
      </c>
      <c r="F10531" s="527">
        <v>43834</v>
      </c>
      <c r="G10531" s="524">
        <v>43834</v>
      </c>
      <c r="H10531" s="425" t="s">
        <v>21067</v>
      </c>
      <c r="I10531" s="535">
        <v>17317808009</v>
      </c>
      <c r="J10531" s="536" t="s">
        <v>21068</v>
      </c>
      <c r="K10531" s="532">
        <v>9690</v>
      </c>
      <c r="L10531" s="334">
        <v>9690</v>
      </c>
      <c r="N10531" s="362">
        <f t="shared" si="377"/>
        <v>9690</v>
      </c>
    </row>
    <row r="10532" customHeight="1" spans="1:14">
      <c r="A10532" s="523"/>
      <c r="B10532" s="523" t="s">
        <v>87</v>
      </c>
      <c r="C10532" s="523" t="s">
        <v>9318</v>
      </c>
      <c r="D10532" s="335" t="s">
        <v>89</v>
      </c>
      <c r="E10532" s="527">
        <v>43835</v>
      </c>
      <c r="F10532" s="527">
        <v>43831</v>
      </c>
      <c r="G10532" s="524"/>
      <c r="H10532" s="525" t="s">
        <v>5093</v>
      </c>
      <c r="I10532" s="531">
        <v>18616659077</v>
      </c>
      <c r="J10532" s="523" t="s">
        <v>20849</v>
      </c>
      <c r="K10532" s="532">
        <v>10000</v>
      </c>
      <c r="N10532" s="362">
        <f t="shared" si="377"/>
        <v>0</v>
      </c>
    </row>
    <row r="10533" customHeight="1" spans="1:14">
      <c r="A10533" s="562" t="s">
        <v>15429</v>
      </c>
      <c r="B10533" s="523" t="s">
        <v>31</v>
      </c>
      <c r="C10533" s="523" t="s">
        <v>220</v>
      </c>
      <c r="D10533" s="335" t="s">
        <v>954</v>
      </c>
      <c r="E10533" s="527">
        <v>43835</v>
      </c>
      <c r="F10533" s="527">
        <v>43835</v>
      </c>
      <c r="G10533" s="524"/>
      <c r="H10533" s="525" t="s">
        <v>1009</v>
      </c>
      <c r="I10533" s="531">
        <v>13381578082</v>
      </c>
      <c r="J10533" s="523" t="s">
        <v>21069</v>
      </c>
      <c r="K10533" s="532">
        <v>1000</v>
      </c>
      <c r="N10533" s="362">
        <f t="shared" si="377"/>
        <v>0</v>
      </c>
    </row>
    <row r="10534" customHeight="1" spans="1:14">
      <c r="A10534" s="562" t="s">
        <v>15882</v>
      </c>
      <c r="B10534" s="523" t="s">
        <v>31</v>
      </c>
      <c r="C10534" s="523" t="s">
        <v>220</v>
      </c>
      <c r="D10534" s="335" t="s">
        <v>954</v>
      </c>
      <c r="E10534" s="527">
        <v>43835</v>
      </c>
      <c r="F10534" s="527">
        <v>43835</v>
      </c>
      <c r="G10534" s="524"/>
      <c r="H10534" s="525" t="s">
        <v>21070</v>
      </c>
      <c r="I10534" s="531">
        <v>13917678845</v>
      </c>
      <c r="J10534" s="523" t="s">
        <v>21071</v>
      </c>
      <c r="K10534" s="532">
        <v>10000</v>
      </c>
      <c r="N10534" s="362">
        <f t="shared" si="377"/>
        <v>0</v>
      </c>
    </row>
    <row r="10535" customHeight="1" spans="1:14">
      <c r="A10535" s="562" t="s">
        <v>11571</v>
      </c>
      <c r="B10535" s="523" t="s">
        <v>21072</v>
      </c>
      <c r="C10535" s="523" t="s">
        <v>21073</v>
      </c>
      <c r="D10535" s="335" t="s">
        <v>49</v>
      </c>
      <c r="E10535" s="527">
        <v>43835</v>
      </c>
      <c r="F10535" s="527">
        <v>43835</v>
      </c>
      <c r="G10535" s="524"/>
      <c r="H10535" s="525" t="s">
        <v>3435</v>
      </c>
      <c r="I10535" s="531">
        <v>13918975474</v>
      </c>
      <c r="J10535" s="523" t="s">
        <v>21074</v>
      </c>
      <c r="K10535" s="532">
        <v>1000</v>
      </c>
      <c r="N10535" s="362">
        <f t="shared" si="377"/>
        <v>0</v>
      </c>
    </row>
    <row r="10536" customHeight="1" spans="1:16">
      <c r="A10536" s="562" t="s">
        <v>21075</v>
      </c>
      <c r="B10536" s="523" t="s">
        <v>354</v>
      </c>
      <c r="C10536" s="523" t="s">
        <v>355</v>
      </c>
      <c r="D10536" s="335" t="s">
        <v>207</v>
      </c>
      <c r="E10536" s="527">
        <v>43835</v>
      </c>
      <c r="F10536" s="527">
        <v>43834</v>
      </c>
      <c r="G10536" s="524"/>
      <c r="H10536" s="525" t="s">
        <v>21076</v>
      </c>
      <c r="I10536" s="531">
        <v>15692167520</v>
      </c>
      <c r="J10536" s="523" t="s">
        <v>21077</v>
      </c>
      <c r="K10536" s="532">
        <v>1000</v>
      </c>
      <c r="N10536" s="362">
        <f t="shared" si="377"/>
        <v>0</v>
      </c>
      <c r="P10536" s="356" t="s">
        <v>52</v>
      </c>
    </row>
    <row r="10537" customHeight="1" spans="1:14">
      <c r="A10537" s="562" t="s">
        <v>1055</v>
      </c>
      <c r="B10537" s="523" t="s">
        <v>205</v>
      </c>
      <c r="C10537" s="523" t="s">
        <v>1467</v>
      </c>
      <c r="D10537" s="335" t="s">
        <v>207</v>
      </c>
      <c r="E10537" s="527">
        <v>43835</v>
      </c>
      <c r="F10537" s="527">
        <v>43835</v>
      </c>
      <c r="G10537" s="524"/>
      <c r="H10537" s="525" t="s">
        <v>21078</v>
      </c>
      <c r="I10537" s="531">
        <v>13524724409</v>
      </c>
      <c r="J10537" s="523" t="s">
        <v>21079</v>
      </c>
      <c r="K10537" s="532">
        <v>5097</v>
      </c>
      <c r="N10537" s="362">
        <f t="shared" si="377"/>
        <v>0</v>
      </c>
    </row>
    <row r="10538" customHeight="1" spans="1:14">
      <c r="A10538" s="562" t="s">
        <v>21080</v>
      </c>
      <c r="B10538" s="523" t="s">
        <v>123</v>
      </c>
      <c r="C10538" s="523" t="s">
        <v>902</v>
      </c>
      <c r="D10538" s="335" t="s">
        <v>125</v>
      </c>
      <c r="E10538" s="527">
        <v>43835</v>
      </c>
      <c r="F10538" s="527">
        <v>43835</v>
      </c>
      <c r="G10538" s="524"/>
      <c r="H10538" s="525" t="s">
        <v>21081</v>
      </c>
      <c r="I10538" s="531">
        <v>18925265191</v>
      </c>
      <c r="J10538" s="523" t="s">
        <v>21082</v>
      </c>
      <c r="K10538" s="532">
        <v>1000</v>
      </c>
      <c r="N10538" s="362">
        <f t="shared" si="377"/>
        <v>0</v>
      </c>
    </row>
    <row r="10539" customHeight="1" spans="1:14">
      <c r="A10539" s="562" t="s">
        <v>21083</v>
      </c>
      <c r="B10539" s="523" t="s">
        <v>66</v>
      </c>
      <c r="C10539" s="523" t="s">
        <v>1749</v>
      </c>
      <c r="D10539" s="439" t="s">
        <v>68</v>
      </c>
      <c r="E10539" s="440">
        <v>43839</v>
      </c>
      <c r="F10539" s="527">
        <v>43835</v>
      </c>
      <c r="G10539" s="440">
        <v>43838</v>
      </c>
      <c r="H10539" s="525" t="s">
        <v>21084</v>
      </c>
      <c r="I10539" s="531">
        <v>15216762295</v>
      </c>
      <c r="J10539" s="523" t="s">
        <v>21085</v>
      </c>
      <c r="K10539" s="532">
        <v>1000</v>
      </c>
      <c r="L10539" s="439">
        <v>5490</v>
      </c>
      <c r="N10539" s="362">
        <f t="shared" si="377"/>
        <v>5490</v>
      </c>
    </row>
    <row r="10540" customHeight="1" spans="1:14">
      <c r="A10540" s="562" t="s">
        <v>13995</v>
      </c>
      <c r="B10540" s="523" t="s">
        <v>169</v>
      </c>
      <c r="C10540" s="523" t="s">
        <v>15883</v>
      </c>
      <c r="D10540" s="335" t="s">
        <v>171</v>
      </c>
      <c r="E10540" s="527">
        <v>43835</v>
      </c>
      <c r="F10540" s="527">
        <v>43835</v>
      </c>
      <c r="G10540" s="524"/>
      <c r="H10540" s="525" t="s">
        <v>21086</v>
      </c>
      <c r="I10540" s="531">
        <v>1762137613</v>
      </c>
      <c r="J10540" s="523" t="s">
        <v>21087</v>
      </c>
      <c r="K10540" s="532">
        <v>1000</v>
      </c>
      <c r="N10540" s="362">
        <f t="shared" si="377"/>
        <v>0</v>
      </c>
    </row>
    <row r="10541" customHeight="1" spans="1:15">
      <c r="A10541" s="562" t="s">
        <v>2042</v>
      </c>
      <c r="B10541" s="523" t="s">
        <v>354</v>
      </c>
      <c r="C10541" s="523" t="s">
        <v>355</v>
      </c>
      <c r="D10541" s="335" t="s">
        <v>207</v>
      </c>
      <c r="E10541" s="527">
        <v>43835</v>
      </c>
      <c r="F10541" s="527">
        <v>43833</v>
      </c>
      <c r="G10541" s="524"/>
      <c r="H10541" s="525" t="s">
        <v>3368</v>
      </c>
      <c r="I10541" s="531">
        <v>13661466393</v>
      </c>
      <c r="J10541" s="523" t="s">
        <v>21088</v>
      </c>
      <c r="K10541" s="532">
        <v>15000</v>
      </c>
      <c r="N10541" s="362">
        <f t="shared" si="377"/>
        <v>0</v>
      </c>
      <c r="O10541" s="356" t="s">
        <v>52</v>
      </c>
    </row>
    <row r="10542" customHeight="1" spans="1:14">
      <c r="A10542" s="562" t="s">
        <v>20140</v>
      </c>
      <c r="B10542" s="523" t="s">
        <v>315</v>
      </c>
      <c r="C10542" s="523" t="s">
        <v>722</v>
      </c>
      <c r="D10542" s="335" t="s">
        <v>182</v>
      </c>
      <c r="E10542" s="527">
        <v>43835</v>
      </c>
      <c r="F10542" s="527">
        <v>43835</v>
      </c>
      <c r="G10542" s="524"/>
      <c r="H10542" s="525" t="s">
        <v>21089</v>
      </c>
      <c r="I10542" s="531">
        <v>18501795776</v>
      </c>
      <c r="J10542" s="523" t="s">
        <v>21090</v>
      </c>
      <c r="K10542" s="532">
        <v>1000</v>
      </c>
      <c r="N10542" s="362">
        <f t="shared" si="377"/>
        <v>0</v>
      </c>
    </row>
    <row r="10543" customHeight="1" spans="1:14">
      <c r="A10543" s="562" t="s">
        <v>21091</v>
      </c>
      <c r="B10543" s="523" t="s">
        <v>31</v>
      </c>
      <c r="C10543" s="523" t="s">
        <v>3186</v>
      </c>
      <c r="D10543" s="335" t="s">
        <v>954</v>
      </c>
      <c r="E10543" s="527">
        <v>43835</v>
      </c>
      <c r="F10543" s="527">
        <v>43835</v>
      </c>
      <c r="G10543" s="524"/>
      <c r="H10543" s="525" t="s">
        <v>21092</v>
      </c>
      <c r="I10543" s="531">
        <v>13701941136</v>
      </c>
      <c r="J10543" s="523" t="s">
        <v>21093</v>
      </c>
      <c r="K10543" s="532">
        <v>1000</v>
      </c>
      <c r="N10543" s="362">
        <f t="shared" si="377"/>
        <v>0</v>
      </c>
    </row>
    <row r="10544" customHeight="1" spans="1:15">
      <c r="A10544" s="562" t="s">
        <v>21094</v>
      </c>
      <c r="B10544" s="523" t="s">
        <v>153</v>
      </c>
      <c r="C10544" s="523" t="s">
        <v>154</v>
      </c>
      <c r="D10544" s="335" t="s">
        <v>155</v>
      </c>
      <c r="E10544" s="527">
        <v>43835</v>
      </c>
      <c r="F10544" s="527">
        <v>43835</v>
      </c>
      <c r="G10544" s="524"/>
      <c r="H10544" s="525" t="s">
        <v>21095</v>
      </c>
      <c r="I10544" s="531">
        <v>13671566631</v>
      </c>
      <c r="J10544" s="523" t="s">
        <v>21096</v>
      </c>
      <c r="K10544" s="532">
        <v>1000</v>
      </c>
      <c r="N10544" s="362">
        <f t="shared" si="377"/>
        <v>0</v>
      </c>
      <c r="O10544" s="353" t="s">
        <v>19</v>
      </c>
    </row>
    <row r="10545" customHeight="1" spans="1:15">
      <c r="A10545" s="562" t="s">
        <v>21097</v>
      </c>
      <c r="B10545" s="523" t="s">
        <v>185</v>
      </c>
      <c r="C10545" s="523" t="s">
        <v>20303</v>
      </c>
      <c r="D10545" s="335" t="s">
        <v>44</v>
      </c>
      <c r="E10545" s="527">
        <v>43835</v>
      </c>
      <c r="F10545" s="527">
        <v>43835</v>
      </c>
      <c r="G10545" s="524"/>
      <c r="H10545" s="525" t="s">
        <v>21098</v>
      </c>
      <c r="I10545" s="531">
        <v>13501679101</v>
      </c>
      <c r="J10545" s="523" t="s">
        <v>21099</v>
      </c>
      <c r="K10545" s="532">
        <v>1000</v>
      </c>
      <c r="N10545" s="362">
        <f t="shared" si="377"/>
        <v>0</v>
      </c>
      <c r="O10545" s="467" t="s">
        <v>52</v>
      </c>
    </row>
    <row r="10546" customHeight="1" spans="1:15">
      <c r="A10546" s="562" t="s">
        <v>19427</v>
      </c>
      <c r="B10546" s="523" t="s">
        <v>58</v>
      </c>
      <c r="C10546" s="523" t="s">
        <v>20947</v>
      </c>
      <c r="D10546" s="335" t="s">
        <v>271</v>
      </c>
      <c r="E10546" s="527">
        <v>43835</v>
      </c>
      <c r="F10546" s="527">
        <v>43835</v>
      </c>
      <c r="G10546" s="524"/>
      <c r="H10546" s="525" t="s">
        <v>21100</v>
      </c>
      <c r="I10546" s="531">
        <v>15021902923</v>
      </c>
      <c r="J10546" s="523" t="s">
        <v>21101</v>
      </c>
      <c r="K10546" s="532">
        <v>1000</v>
      </c>
      <c r="N10546" s="362">
        <f t="shared" si="377"/>
        <v>0</v>
      </c>
      <c r="O10546" s="366" t="s">
        <v>52</v>
      </c>
    </row>
    <row r="10547" customHeight="1" spans="1:14">
      <c r="A10547" s="562" t="s">
        <v>21102</v>
      </c>
      <c r="B10547" s="523" t="s">
        <v>315</v>
      </c>
      <c r="C10547" s="523" t="s">
        <v>722</v>
      </c>
      <c r="D10547" s="335" t="s">
        <v>182</v>
      </c>
      <c r="E10547" s="527">
        <v>43835</v>
      </c>
      <c r="F10547" s="527">
        <v>43835</v>
      </c>
      <c r="G10547" s="524"/>
      <c r="H10547" s="525" t="s">
        <v>7066</v>
      </c>
      <c r="I10547" s="531">
        <v>13916239291</v>
      </c>
      <c r="J10547" s="523" t="s">
        <v>21103</v>
      </c>
      <c r="K10547" s="532">
        <v>1000</v>
      </c>
      <c r="N10547" s="362">
        <f t="shared" si="377"/>
        <v>0</v>
      </c>
    </row>
    <row r="10548" customHeight="1" spans="1:14">
      <c r="A10548" s="562" t="s">
        <v>21104</v>
      </c>
      <c r="B10548" s="523" t="s">
        <v>123</v>
      </c>
      <c r="C10548" s="523" t="s">
        <v>902</v>
      </c>
      <c r="D10548" s="335" t="s">
        <v>125</v>
      </c>
      <c r="E10548" s="527">
        <v>43835</v>
      </c>
      <c r="F10548" s="527">
        <v>43835</v>
      </c>
      <c r="G10548" s="524"/>
      <c r="H10548" s="525" t="s">
        <v>1266</v>
      </c>
      <c r="I10548" s="531">
        <v>18802101549</v>
      </c>
      <c r="J10548" s="523" t="s">
        <v>21105</v>
      </c>
      <c r="K10548" s="532">
        <v>1000</v>
      </c>
      <c r="N10548" s="362">
        <f t="shared" si="377"/>
        <v>0</v>
      </c>
    </row>
    <row r="10549" customHeight="1" spans="1:14">
      <c r="A10549" s="562" t="s">
        <v>16140</v>
      </c>
      <c r="B10549" s="523" t="s">
        <v>31</v>
      </c>
      <c r="C10549" s="523" t="s">
        <v>419</v>
      </c>
      <c r="D10549" s="335" t="s">
        <v>954</v>
      </c>
      <c r="E10549" s="527">
        <v>43835</v>
      </c>
      <c r="F10549" s="527">
        <v>43835</v>
      </c>
      <c r="G10549" s="524"/>
      <c r="H10549" s="525" t="s">
        <v>21106</v>
      </c>
      <c r="I10549" s="531">
        <v>18121355350</v>
      </c>
      <c r="J10549" s="523" t="s">
        <v>21107</v>
      </c>
      <c r="K10549" s="532">
        <v>1000</v>
      </c>
      <c r="N10549" s="362">
        <f t="shared" si="377"/>
        <v>0</v>
      </c>
    </row>
    <row r="10550" customHeight="1" spans="1:14">
      <c r="A10550" s="562" t="s">
        <v>16517</v>
      </c>
      <c r="B10550" s="523" t="s">
        <v>66</v>
      </c>
      <c r="C10550" s="523" t="s">
        <v>7029</v>
      </c>
      <c r="D10550" s="335" t="s">
        <v>2302</v>
      </c>
      <c r="E10550" s="527">
        <v>43835</v>
      </c>
      <c r="F10550" s="527">
        <v>43835</v>
      </c>
      <c r="G10550" s="524"/>
      <c r="H10550" s="525" t="s">
        <v>21108</v>
      </c>
      <c r="I10550" s="531">
        <v>13911315038</v>
      </c>
      <c r="J10550" s="523" t="s">
        <v>21109</v>
      </c>
      <c r="K10550" s="532">
        <v>1000</v>
      </c>
      <c r="N10550" s="362">
        <f t="shared" si="377"/>
        <v>0</v>
      </c>
    </row>
    <row r="10551" customHeight="1" spans="2:12">
      <c r="B10551" s="425" t="s">
        <v>4009</v>
      </c>
      <c r="C10551" s="425" t="s">
        <v>6401</v>
      </c>
      <c r="D10551" s="334" t="s">
        <v>8334</v>
      </c>
      <c r="E10551" s="336">
        <v>43834</v>
      </c>
      <c r="G10551" s="336">
        <v>43830</v>
      </c>
      <c r="H10551" s="425" t="s">
        <v>21110</v>
      </c>
      <c r="I10551" s="496">
        <v>18119919065</v>
      </c>
      <c r="J10551" s="496" t="s">
        <v>21111</v>
      </c>
      <c r="L10551" s="334">
        <v>6685</v>
      </c>
    </row>
    <row r="10552" customHeight="1" spans="2:12">
      <c r="B10552" s="425" t="s">
        <v>4009</v>
      </c>
      <c r="C10552" s="425" t="s">
        <v>6401</v>
      </c>
      <c r="D10552" s="334" t="s">
        <v>8334</v>
      </c>
      <c r="E10552" s="336">
        <v>43835</v>
      </c>
      <c r="G10552" s="336">
        <v>43834</v>
      </c>
      <c r="H10552" s="425" t="s">
        <v>21112</v>
      </c>
      <c r="I10552" s="535">
        <v>13818118063</v>
      </c>
      <c r="J10552" s="536" t="s">
        <v>21113</v>
      </c>
      <c r="L10552" s="334">
        <v>9621</v>
      </c>
    </row>
    <row r="10553" customHeight="1" spans="2:12">
      <c r="B10553" s="425" t="s">
        <v>16169</v>
      </c>
      <c r="C10553" s="425" t="s">
        <v>16170</v>
      </c>
      <c r="D10553" s="334" t="s">
        <v>271</v>
      </c>
      <c r="E10553" s="336">
        <v>43835</v>
      </c>
      <c r="G10553" s="336">
        <v>43834</v>
      </c>
      <c r="H10553" s="425" t="s">
        <v>21114</v>
      </c>
      <c r="I10553" s="535">
        <v>13917088328</v>
      </c>
      <c r="J10553" s="536" t="s">
        <v>21115</v>
      </c>
      <c r="L10553" s="334">
        <v>8400</v>
      </c>
    </row>
    <row r="10554" customHeight="1" spans="2:14">
      <c r="B10554" s="425" t="s">
        <v>66</v>
      </c>
      <c r="C10554" s="425" t="s">
        <v>1749</v>
      </c>
      <c r="D10554" s="334" t="s">
        <v>68</v>
      </c>
      <c r="E10554" s="336">
        <v>43834</v>
      </c>
      <c r="G10554" s="336">
        <v>43832</v>
      </c>
      <c r="H10554" s="425" t="s">
        <v>21116</v>
      </c>
      <c r="I10554" s="444">
        <v>13761123576</v>
      </c>
      <c r="J10554" s="438" t="s">
        <v>16337</v>
      </c>
      <c r="M10554" s="334">
        <v>284</v>
      </c>
      <c r="N10554" s="362">
        <f>L10554+M10554</f>
        <v>284</v>
      </c>
    </row>
    <row r="10555" customHeight="1" spans="2:14">
      <c r="B10555" s="425" t="s">
        <v>405</v>
      </c>
      <c r="C10555" s="425" t="s">
        <v>14070</v>
      </c>
      <c r="D10555" s="334" t="s">
        <v>407</v>
      </c>
      <c r="E10555" s="336">
        <v>43834</v>
      </c>
      <c r="G10555" s="336">
        <v>43828</v>
      </c>
      <c r="H10555" s="425" t="s">
        <v>13660</v>
      </c>
      <c r="I10555" s="444">
        <v>13916535190</v>
      </c>
      <c r="J10555" s="444" t="s">
        <v>21117</v>
      </c>
      <c r="M10555" s="334">
        <v>4498</v>
      </c>
      <c r="N10555" s="362">
        <f>L10555+M10555</f>
        <v>4498</v>
      </c>
    </row>
    <row r="10556" customHeight="1" spans="2:14">
      <c r="B10556" s="425" t="s">
        <v>137</v>
      </c>
      <c r="C10556" s="425" t="s">
        <v>406</v>
      </c>
      <c r="D10556" s="334" t="s">
        <v>443</v>
      </c>
      <c r="E10556" s="336">
        <v>43834</v>
      </c>
      <c r="G10556" s="336">
        <v>43833</v>
      </c>
      <c r="H10556" s="425" t="s">
        <v>13467</v>
      </c>
      <c r="I10556" s="334">
        <v>13817980468</v>
      </c>
      <c r="J10556" s="334" t="s">
        <v>17619</v>
      </c>
      <c r="M10556" s="334">
        <v>36290</v>
      </c>
      <c r="N10556" s="362">
        <f>L10556+M10556</f>
        <v>36290</v>
      </c>
    </row>
    <row r="10557" customHeight="1" spans="2:14">
      <c r="B10557" s="425" t="s">
        <v>2625</v>
      </c>
      <c r="C10557" s="425" t="s">
        <v>2626</v>
      </c>
      <c r="D10557" s="334" t="s">
        <v>44</v>
      </c>
      <c r="E10557" s="336">
        <v>43834</v>
      </c>
      <c r="G10557" s="336">
        <v>43833</v>
      </c>
      <c r="H10557" s="334" t="s">
        <v>17259</v>
      </c>
      <c r="I10557" s="444">
        <v>13761877254</v>
      </c>
      <c r="J10557" s="438" t="s">
        <v>17952</v>
      </c>
      <c r="M10557" s="334">
        <v>2779</v>
      </c>
      <c r="N10557" s="362">
        <f>L10557+M10557</f>
        <v>2779</v>
      </c>
    </row>
    <row r="10558" customHeight="1" spans="2:14">
      <c r="B10558" s="425" t="s">
        <v>73</v>
      </c>
      <c r="C10558" s="425" t="s">
        <v>178</v>
      </c>
      <c r="D10558" s="334" t="s">
        <v>343</v>
      </c>
      <c r="E10558" s="336">
        <v>43834</v>
      </c>
      <c r="G10558" s="336">
        <v>43834</v>
      </c>
      <c r="H10558" s="425" t="s">
        <v>21118</v>
      </c>
      <c r="I10558" s="444">
        <v>13002191158</v>
      </c>
      <c r="J10558" s="348" t="s">
        <v>6079</v>
      </c>
      <c r="M10558" s="334">
        <v>62</v>
      </c>
      <c r="N10558" s="362">
        <f>L10558+M10558</f>
        <v>62</v>
      </c>
    </row>
    <row r="10559" customHeight="1" spans="2:14">
      <c r="B10559" s="425" t="s">
        <v>73</v>
      </c>
      <c r="C10559" s="425" t="s">
        <v>21119</v>
      </c>
      <c r="D10559" s="334" t="s">
        <v>125</v>
      </c>
      <c r="E10559" s="336">
        <v>43834</v>
      </c>
      <c r="G10559" s="336">
        <v>43834</v>
      </c>
      <c r="H10559" s="425" t="s">
        <v>18408</v>
      </c>
      <c r="I10559" s="444">
        <v>18602167711</v>
      </c>
      <c r="J10559" s="348" t="s">
        <v>18409</v>
      </c>
      <c r="M10559" s="334">
        <v>2006</v>
      </c>
      <c r="N10559" s="362">
        <f t="shared" ref="N10559:N10583" si="378">L10559+M10559</f>
        <v>2006</v>
      </c>
    </row>
    <row r="10560" customHeight="1" spans="2:14">
      <c r="B10560" s="425" t="s">
        <v>185</v>
      </c>
      <c r="C10560" s="425" t="s">
        <v>186</v>
      </c>
      <c r="D10560" s="334" t="s">
        <v>187</v>
      </c>
      <c r="E10560" s="336">
        <v>43834</v>
      </c>
      <c r="G10560" s="336">
        <v>43833</v>
      </c>
      <c r="H10560" s="425" t="s">
        <v>13203</v>
      </c>
      <c r="I10560" s="535">
        <v>13917428986</v>
      </c>
      <c r="J10560" s="426" t="s">
        <v>13204</v>
      </c>
      <c r="M10560" s="334">
        <v>3296</v>
      </c>
      <c r="N10560" s="362">
        <f t="shared" si="378"/>
        <v>3296</v>
      </c>
    </row>
    <row r="10561" customHeight="1" spans="2:14">
      <c r="B10561" s="425" t="s">
        <v>153</v>
      </c>
      <c r="C10561" s="425" t="s">
        <v>302</v>
      </c>
      <c r="D10561" s="334" t="s">
        <v>155</v>
      </c>
      <c r="E10561" s="336">
        <v>43834</v>
      </c>
      <c r="G10561" s="336">
        <v>43834</v>
      </c>
      <c r="H10561" s="425" t="s">
        <v>19763</v>
      </c>
      <c r="I10561" s="444">
        <v>13611828792</v>
      </c>
      <c r="J10561" s="438" t="s">
        <v>19764</v>
      </c>
      <c r="M10561" s="334">
        <v>400</v>
      </c>
      <c r="N10561" s="362">
        <f t="shared" si="378"/>
        <v>400</v>
      </c>
    </row>
    <row r="10562" customHeight="1" spans="2:14">
      <c r="B10562" s="425" t="s">
        <v>35</v>
      </c>
      <c r="C10562" s="425" t="s">
        <v>36</v>
      </c>
      <c r="D10562" s="334" t="s">
        <v>37</v>
      </c>
      <c r="E10562" s="336">
        <v>43834</v>
      </c>
      <c r="G10562" s="336">
        <v>43834</v>
      </c>
      <c r="H10562" s="425" t="s">
        <v>18897</v>
      </c>
      <c r="I10562" s="444">
        <v>15921863229</v>
      </c>
      <c r="J10562" s="438" t="s">
        <v>18898</v>
      </c>
      <c r="M10562" s="334">
        <v>3600</v>
      </c>
      <c r="N10562" s="362">
        <f t="shared" si="378"/>
        <v>3600</v>
      </c>
    </row>
    <row r="10563" customHeight="1" spans="2:14">
      <c r="B10563" s="425" t="s">
        <v>66</v>
      </c>
      <c r="C10563" s="425" t="s">
        <v>1749</v>
      </c>
      <c r="D10563" s="334" t="s">
        <v>68</v>
      </c>
      <c r="E10563" s="336">
        <v>43834</v>
      </c>
      <c r="G10563" s="336">
        <v>43834</v>
      </c>
      <c r="H10563" s="425" t="s">
        <v>15831</v>
      </c>
      <c r="I10563" s="444">
        <v>17811885646</v>
      </c>
      <c r="J10563" s="438" t="s">
        <v>15832</v>
      </c>
      <c r="M10563" s="334">
        <v>-5062</v>
      </c>
      <c r="N10563" s="362">
        <f t="shared" si="378"/>
        <v>-5062</v>
      </c>
    </row>
    <row r="10564" customHeight="1" spans="2:14">
      <c r="B10564" s="425" t="s">
        <v>147</v>
      </c>
      <c r="C10564" s="425" t="s">
        <v>13719</v>
      </c>
      <c r="D10564" s="334" t="s">
        <v>237</v>
      </c>
      <c r="E10564" s="336">
        <v>43834</v>
      </c>
      <c r="G10564" s="336">
        <v>43834</v>
      </c>
      <c r="H10564" s="425" t="s">
        <v>15336</v>
      </c>
      <c r="I10564" s="444">
        <v>13774251560</v>
      </c>
      <c r="J10564" s="438" t="s">
        <v>15337</v>
      </c>
      <c r="M10564" s="334">
        <v>5940</v>
      </c>
      <c r="N10564" s="362">
        <f t="shared" si="378"/>
        <v>5940</v>
      </c>
    </row>
    <row r="10565" customHeight="1" spans="2:14">
      <c r="B10565" s="425" t="s">
        <v>58</v>
      </c>
      <c r="C10565" s="425" t="s">
        <v>342</v>
      </c>
      <c r="D10565" s="334" t="s">
        <v>343</v>
      </c>
      <c r="E10565" s="336">
        <v>43834</v>
      </c>
      <c r="G10565" s="336">
        <v>43834</v>
      </c>
      <c r="H10565" s="425" t="s">
        <v>3590</v>
      </c>
      <c r="I10565" s="444">
        <v>13122557666</v>
      </c>
      <c r="J10565" s="348" t="s">
        <v>20784</v>
      </c>
      <c r="M10565" s="334">
        <v>1400</v>
      </c>
      <c r="N10565" s="362">
        <f t="shared" si="378"/>
        <v>1400</v>
      </c>
    </row>
    <row r="10566" customHeight="1" spans="2:14">
      <c r="B10566" s="425" t="s">
        <v>4009</v>
      </c>
      <c r="C10566" s="425" t="s">
        <v>6401</v>
      </c>
      <c r="D10566" s="334" t="s">
        <v>8334</v>
      </c>
      <c r="E10566" s="336">
        <v>43835</v>
      </c>
      <c r="G10566" s="336">
        <v>43834</v>
      </c>
      <c r="H10566" s="425" t="s">
        <v>21112</v>
      </c>
      <c r="I10566" s="535">
        <v>13818118063</v>
      </c>
      <c r="J10566" s="536" t="s">
        <v>21113</v>
      </c>
      <c r="M10566" s="334">
        <v>3906</v>
      </c>
      <c r="N10566" s="362">
        <f t="shared" si="378"/>
        <v>3906</v>
      </c>
    </row>
    <row r="10567" customHeight="1" spans="2:14">
      <c r="B10567" s="425" t="s">
        <v>73</v>
      </c>
      <c r="C10567" s="425" t="s">
        <v>74</v>
      </c>
      <c r="D10567" s="334" t="s">
        <v>427</v>
      </c>
      <c r="E10567" s="336">
        <v>43835</v>
      </c>
      <c r="G10567" s="336">
        <v>43834</v>
      </c>
      <c r="H10567" s="425" t="s">
        <v>17356</v>
      </c>
      <c r="I10567" s="444">
        <v>13817372652</v>
      </c>
      <c r="J10567" s="438" t="s">
        <v>17357</v>
      </c>
      <c r="M10567" s="334">
        <v>-3761</v>
      </c>
      <c r="N10567" s="362">
        <f t="shared" si="378"/>
        <v>-3761</v>
      </c>
    </row>
    <row r="10568" customHeight="1" spans="2:14">
      <c r="B10568" s="425" t="s">
        <v>354</v>
      </c>
      <c r="C10568" s="425" t="s">
        <v>355</v>
      </c>
      <c r="D10568" s="334" t="s">
        <v>237</v>
      </c>
      <c r="E10568" s="336">
        <v>43835</v>
      </c>
      <c r="G10568" s="336">
        <v>43834</v>
      </c>
      <c r="H10568" s="425" t="s">
        <v>20232</v>
      </c>
      <c r="I10568" s="444">
        <v>18516337870</v>
      </c>
      <c r="J10568" s="438" t="s">
        <v>20233</v>
      </c>
      <c r="M10568" s="334">
        <v>7978</v>
      </c>
      <c r="N10568" s="362">
        <f t="shared" si="378"/>
        <v>7978</v>
      </c>
    </row>
    <row r="10569" customHeight="1" spans="2:14">
      <c r="B10569" s="425" t="s">
        <v>42</v>
      </c>
      <c r="C10569" s="425" t="s">
        <v>43</v>
      </c>
      <c r="D10569" s="334" t="s">
        <v>207</v>
      </c>
      <c r="E10569" s="336">
        <v>43835</v>
      </c>
      <c r="G10569" s="336">
        <v>43834</v>
      </c>
      <c r="H10569" s="425" t="s">
        <v>13826</v>
      </c>
      <c r="I10569" s="444">
        <v>18602129053</v>
      </c>
      <c r="J10569" s="438" t="s">
        <v>13966</v>
      </c>
      <c r="M10569" s="334">
        <v>3783</v>
      </c>
      <c r="N10569" s="362">
        <f t="shared" si="378"/>
        <v>3783</v>
      </c>
    </row>
    <row r="10570" customHeight="1" spans="2:14">
      <c r="B10570" s="425" t="s">
        <v>169</v>
      </c>
      <c r="C10570" s="425" t="s">
        <v>634</v>
      </c>
      <c r="D10570" s="334" t="s">
        <v>635</v>
      </c>
      <c r="E10570" s="336">
        <v>43835</v>
      </c>
      <c r="G10570" s="336">
        <v>43834</v>
      </c>
      <c r="H10570" s="425" t="s">
        <v>15216</v>
      </c>
      <c r="I10570" s="444">
        <v>17721187372</v>
      </c>
      <c r="J10570" s="438" t="s">
        <v>15217</v>
      </c>
      <c r="M10570" s="334">
        <v>2735</v>
      </c>
      <c r="N10570" s="362">
        <f t="shared" si="378"/>
        <v>2735</v>
      </c>
    </row>
    <row r="10571" customHeight="1" spans="2:14">
      <c r="B10571" s="425" t="s">
        <v>153</v>
      </c>
      <c r="C10571" s="425" t="s">
        <v>154</v>
      </c>
      <c r="D10571" s="334" t="s">
        <v>155</v>
      </c>
      <c r="E10571" s="336">
        <v>43835</v>
      </c>
      <c r="G10571" s="336">
        <v>43831</v>
      </c>
      <c r="H10571" s="425" t="s">
        <v>20613</v>
      </c>
      <c r="I10571" s="444">
        <v>18918652266</v>
      </c>
      <c r="J10571" s="438" t="s">
        <v>20614</v>
      </c>
      <c r="M10571" s="334">
        <v>1853</v>
      </c>
      <c r="N10571" s="362">
        <f t="shared" si="378"/>
        <v>1853</v>
      </c>
    </row>
    <row r="10572" customHeight="1" spans="2:14">
      <c r="B10572" s="425" t="s">
        <v>2625</v>
      </c>
      <c r="C10572" s="425" t="s">
        <v>2626</v>
      </c>
      <c r="D10572" s="334" t="s">
        <v>337</v>
      </c>
      <c r="E10572" s="336">
        <v>43835</v>
      </c>
      <c r="G10572" s="336">
        <v>43832</v>
      </c>
      <c r="H10572" s="425" t="s">
        <v>6633</v>
      </c>
      <c r="I10572" s="334">
        <v>15902192262</v>
      </c>
      <c r="J10572" s="348" t="s">
        <v>21120</v>
      </c>
      <c r="M10572" s="334">
        <v>2100</v>
      </c>
      <c r="N10572" s="362">
        <f t="shared" si="378"/>
        <v>2100</v>
      </c>
    </row>
    <row r="10573" customHeight="1" spans="2:14">
      <c r="B10573" s="425" t="s">
        <v>315</v>
      </c>
      <c r="C10573" s="425" t="s">
        <v>181</v>
      </c>
      <c r="D10573" s="334" t="s">
        <v>1431</v>
      </c>
      <c r="E10573" s="336">
        <v>43835</v>
      </c>
      <c r="G10573" s="336">
        <v>43834</v>
      </c>
      <c r="H10573" s="425" t="s">
        <v>17099</v>
      </c>
      <c r="I10573" s="444">
        <v>18916485428</v>
      </c>
      <c r="J10573" s="348" t="s">
        <v>21121</v>
      </c>
      <c r="M10573" s="334">
        <v>-95</v>
      </c>
      <c r="N10573" s="362">
        <f t="shared" si="378"/>
        <v>-95</v>
      </c>
    </row>
    <row r="10574" customHeight="1" spans="2:14">
      <c r="B10574" s="425" t="s">
        <v>354</v>
      </c>
      <c r="C10574" s="425" t="s">
        <v>355</v>
      </c>
      <c r="D10574" s="334" t="s">
        <v>162</v>
      </c>
      <c r="E10574" s="336">
        <v>43835</v>
      </c>
      <c r="G10574" s="336">
        <v>43834</v>
      </c>
      <c r="H10574" s="425" t="s">
        <v>19461</v>
      </c>
      <c r="I10574" s="444">
        <v>13817506543</v>
      </c>
      <c r="J10574" s="438" t="s">
        <v>19462</v>
      </c>
      <c r="M10574" s="334">
        <v>3515</v>
      </c>
      <c r="N10574" s="362">
        <f t="shared" si="378"/>
        <v>3515</v>
      </c>
    </row>
    <row r="10575" customHeight="1" spans="2:14">
      <c r="B10575" s="425" t="s">
        <v>58</v>
      </c>
      <c r="C10575" s="425" t="s">
        <v>347</v>
      </c>
      <c r="D10575" s="334" t="s">
        <v>271</v>
      </c>
      <c r="E10575" s="336">
        <v>43835</v>
      </c>
      <c r="G10575" s="336">
        <v>43835</v>
      </c>
      <c r="H10575" s="425" t="s">
        <v>13219</v>
      </c>
      <c r="I10575" s="426">
        <v>18939745680</v>
      </c>
      <c r="J10575" s="334" t="s">
        <v>13220</v>
      </c>
      <c r="M10575" s="334">
        <v>18915</v>
      </c>
      <c r="N10575" s="362">
        <f t="shared" si="378"/>
        <v>18915</v>
      </c>
    </row>
    <row r="10576" customHeight="1" spans="2:14">
      <c r="B10576" s="425" t="s">
        <v>35</v>
      </c>
      <c r="C10576" s="425" t="s">
        <v>36</v>
      </c>
      <c r="D10576" s="334" t="s">
        <v>37</v>
      </c>
      <c r="E10576" s="336">
        <v>43835</v>
      </c>
      <c r="G10576" s="336">
        <v>43821</v>
      </c>
      <c r="H10576" s="425" t="s">
        <v>414</v>
      </c>
      <c r="I10576" s="444">
        <v>13817638879</v>
      </c>
      <c r="J10576" s="438" t="s">
        <v>415</v>
      </c>
      <c r="M10576" s="334">
        <v>-6254</v>
      </c>
      <c r="N10576" s="362">
        <f t="shared" si="378"/>
        <v>-6254</v>
      </c>
    </row>
    <row r="10577" customHeight="1" spans="2:14">
      <c r="B10577" s="425" t="s">
        <v>35</v>
      </c>
      <c r="C10577" s="425" t="s">
        <v>36</v>
      </c>
      <c r="D10577" s="334" t="s">
        <v>37</v>
      </c>
      <c r="E10577" s="336">
        <v>43835</v>
      </c>
      <c r="G10577" s="336">
        <v>43835</v>
      </c>
      <c r="H10577" s="425" t="s">
        <v>20089</v>
      </c>
      <c r="I10577" s="444">
        <v>13795389940</v>
      </c>
      <c r="J10577" s="438" t="s">
        <v>20090</v>
      </c>
      <c r="M10577" s="334">
        <v>5245</v>
      </c>
      <c r="N10577" s="362">
        <f t="shared" si="378"/>
        <v>5245</v>
      </c>
    </row>
    <row r="10578" customHeight="1" spans="2:14">
      <c r="B10578" s="425" t="s">
        <v>137</v>
      </c>
      <c r="C10578" s="425" t="s">
        <v>138</v>
      </c>
      <c r="D10578" s="334" t="s">
        <v>443</v>
      </c>
      <c r="E10578" s="336">
        <v>43835</v>
      </c>
      <c r="G10578" s="336">
        <v>43834</v>
      </c>
      <c r="H10578" s="425" t="s">
        <v>13265</v>
      </c>
      <c r="I10578" s="426">
        <v>13917126967</v>
      </c>
      <c r="J10578" s="334" t="s">
        <v>13266</v>
      </c>
      <c r="M10578" s="334">
        <v>8500</v>
      </c>
      <c r="N10578" s="362">
        <f t="shared" si="378"/>
        <v>8500</v>
      </c>
    </row>
    <row r="10579" customHeight="1" spans="2:14">
      <c r="B10579" s="425" t="s">
        <v>726</v>
      </c>
      <c r="C10579" s="425" t="s">
        <v>727</v>
      </c>
      <c r="D10579" s="334" t="s">
        <v>271</v>
      </c>
      <c r="E10579" s="336">
        <v>43835</v>
      </c>
      <c r="G10579" s="336">
        <v>43831</v>
      </c>
      <c r="H10579" s="425" t="s">
        <v>9062</v>
      </c>
      <c r="I10579" s="444">
        <v>13661899129</v>
      </c>
      <c r="J10579" s="348" t="s">
        <v>9063</v>
      </c>
      <c r="M10579" s="334">
        <v>728</v>
      </c>
      <c r="N10579" s="362">
        <f t="shared" si="378"/>
        <v>728</v>
      </c>
    </row>
    <row r="10580" customHeight="1" spans="2:14">
      <c r="B10580" s="425" t="s">
        <v>726</v>
      </c>
      <c r="C10580" s="425" t="s">
        <v>727</v>
      </c>
      <c r="D10580" s="334" t="s">
        <v>271</v>
      </c>
      <c r="E10580" s="336">
        <v>43835</v>
      </c>
      <c r="G10580" s="336">
        <v>43834</v>
      </c>
      <c r="H10580" s="425" t="s">
        <v>16558</v>
      </c>
      <c r="I10580" s="444">
        <v>13501894376</v>
      </c>
      <c r="J10580" s="445" t="s">
        <v>16559</v>
      </c>
      <c r="M10580" s="334">
        <v>7000.2</v>
      </c>
      <c r="N10580" s="362">
        <f t="shared" si="378"/>
        <v>7000.2</v>
      </c>
    </row>
    <row r="10581" customHeight="1" spans="2:14">
      <c r="B10581" s="425" t="s">
        <v>726</v>
      </c>
      <c r="C10581" s="425" t="s">
        <v>727</v>
      </c>
      <c r="D10581" s="334" t="s">
        <v>271</v>
      </c>
      <c r="E10581" s="336">
        <v>43835</v>
      </c>
      <c r="G10581" s="336">
        <v>43834</v>
      </c>
      <c r="H10581" s="425" t="s">
        <v>16558</v>
      </c>
      <c r="I10581" s="444">
        <v>13501894376</v>
      </c>
      <c r="J10581" s="445" t="s">
        <v>16559</v>
      </c>
      <c r="M10581" s="334">
        <v>1732.8</v>
      </c>
      <c r="N10581" s="362">
        <f t="shared" si="378"/>
        <v>1732.8</v>
      </c>
    </row>
    <row r="10582" customHeight="1" spans="2:14">
      <c r="B10582" s="425" t="s">
        <v>185</v>
      </c>
      <c r="C10582" s="425" t="s">
        <v>886</v>
      </c>
      <c r="D10582" s="334" t="s">
        <v>187</v>
      </c>
      <c r="E10582" s="336">
        <v>43835</v>
      </c>
      <c r="G10582" s="336">
        <v>43835</v>
      </c>
      <c r="H10582" s="425" t="s">
        <v>17178</v>
      </c>
      <c r="I10582" s="444">
        <v>15800839618</v>
      </c>
      <c r="J10582" s="438" t="s">
        <v>17179</v>
      </c>
      <c r="M10582" s="334">
        <v>536</v>
      </c>
      <c r="N10582" s="362">
        <f t="shared" si="378"/>
        <v>536</v>
      </c>
    </row>
    <row r="10583" customHeight="1" spans="1:15">
      <c r="A10583" s="562" t="s">
        <v>10066</v>
      </c>
      <c r="B10583" s="523" t="s">
        <v>94</v>
      </c>
      <c r="C10583" s="523" t="s">
        <v>3196</v>
      </c>
      <c r="D10583" s="335" t="s">
        <v>49</v>
      </c>
      <c r="E10583" s="527">
        <v>43836</v>
      </c>
      <c r="F10583" s="527">
        <v>43835</v>
      </c>
      <c r="G10583" s="524"/>
      <c r="H10583" s="525" t="s">
        <v>21122</v>
      </c>
      <c r="I10583" s="531">
        <v>13917774493</v>
      </c>
      <c r="J10583" s="523" t="s">
        <v>21123</v>
      </c>
      <c r="K10583" s="532">
        <v>1000</v>
      </c>
      <c r="N10583" s="362">
        <f t="shared" ref="N10583:N10605" si="379">L10583+M10583</f>
        <v>0</v>
      </c>
      <c r="O10583" s="467" t="s">
        <v>52</v>
      </c>
    </row>
    <row r="10584" customHeight="1" spans="1:14">
      <c r="A10584" s="528"/>
      <c r="B10584" s="523" t="s">
        <v>5336</v>
      </c>
      <c r="C10584" s="523" t="s">
        <v>5336</v>
      </c>
      <c r="D10584" s="335" t="s">
        <v>8334</v>
      </c>
      <c r="E10584" s="527">
        <v>43836</v>
      </c>
      <c r="F10584" s="527">
        <v>43836</v>
      </c>
      <c r="G10584" s="524" t="s">
        <v>21124</v>
      </c>
      <c r="H10584" s="525" t="s">
        <v>18837</v>
      </c>
      <c r="I10584" s="531">
        <v>17721318193</v>
      </c>
      <c r="J10584" s="523" t="s">
        <v>21125</v>
      </c>
      <c r="K10584" s="532">
        <v>11330</v>
      </c>
      <c r="N10584" s="362">
        <f t="shared" si="379"/>
        <v>0</v>
      </c>
    </row>
    <row r="10585" customHeight="1" spans="1:14">
      <c r="A10585" s="562" t="s">
        <v>20855</v>
      </c>
      <c r="B10585" s="523" t="s">
        <v>205</v>
      </c>
      <c r="C10585" s="523" t="s">
        <v>1467</v>
      </c>
      <c r="D10585" s="335" t="s">
        <v>207</v>
      </c>
      <c r="E10585" s="527">
        <v>43836</v>
      </c>
      <c r="F10585" s="527">
        <v>43835</v>
      </c>
      <c r="G10585" s="524"/>
      <c r="H10585" s="525" t="s">
        <v>21126</v>
      </c>
      <c r="I10585" s="531">
        <v>13817171588</v>
      </c>
      <c r="J10585" s="523" t="s">
        <v>21127</v>
      </c>
      <c r="K10585" s="532">
        <v>3962</v>
      </c>
      <c r="N10585" s="362">
        <f t="shared" si="379"/>
        <v>0</v>
      </c>
    </row>
    <row r="10586" customHeight="1" spans="1:14">
      <c r="A10586" s="562" t="s">
        <v>6552</v>
      </c>
      <c r="B10586" s="523" t="s">
        <v>335</v>
      </c>
      <c r="C10586" s="523" t="s">
        <v>615</v>
      </c>
      <c r="D10586" s="335" t="s">
        <v>337</v>
      </c>
      <c r="E10586" s="527">
        <v>43836</v>
      </c>
      <c r="F10586" s="527">
        <v>43835</v>
      </c>
      <c r="G10586" s="524"/>
      <c r="H10586" s="525" t="s">
        <v>21128</v>
      </c>
      <c r="I10586" s="531">
        <v>13817161820</v>
      </c>
      <c r="J10586" s="523" t="s">
        <v>21129</v>
      </c>
      <c r="K10586" s="532">
        <v>1000</v>
      </c>
      <c r="N10586" s="362">
        <f t="shared" si="379"/>
        <v>0</v>
      </c>
    </row>
    <row r="10587" customHeight="1" spans="1:15">
      <c r="A10587" s="562" t="s">
        <v>20848</v>
      </c>
      <c r="B10587" s="425" t="s">
        <v>185</v>
      </c>
      <c r="C10587" s="523" t="s">
        <v>186</v>
      </c>
      <c r="D10587" s="335" t="s">
        <v>44</v>
      </c>
      <c r="E10587" s="527">
        <v>43836</v>
      </c>
      <c r="F10587" s="527">
        <v>43835</v>
      </c>
      <c r="G10587" s="524"/>
      <c r="H10587" s="525" t="s">
        <v>21130</v>
      </c>
      <c r="I10587" s="531">
        <v>18917653108</v>
      </c>
      <c r="J10587" s="523" t="s">
        <v>21131</v>
      </c>
      <c r="K10587" s="532">
        <v>20000</v>
      </c>
      <c r="N10587" s="362">
        <f t="shared" si="379"/>
        <v>0</v>
      </c>
      <c r="O10587" s="467" t="s">
        <v>52</v>
      </c>
    </row>
    <row r="10588" customHeight="1" spans="1:14">
      <c r="A10588" s="562" t="s">
        <v>21132</v>
      </c>
      <c r="B10588" s="425" t="s">
        <v>185</v>
      </c>
      <c r="C10588" s="523" t="s">
        <v>4146</v>
      </c>
      <c r="D10588" s="335" t="s">
        <v>44</v>
      </c>
      <c r="E10588" s="527">
        <v>43836</v>
      </c>
      <c r="F10588" s="527">
        <v>43835</v>
      </c>
      <c r="G10588" s="524"/>
      <c r="H10588" s="525" t="s">
        <v>21133</v>
      </c>
      <c r="I10588" s="531">
        <v>18516227768</v>
      </c>
      <c r="J10588" s="523" t="s">
        <v>21134</v>
      </c>
      <c r="K10588" s="532">
        <v>20000</v>
      </c>
      <c r="N10588" s="362">
        <f t="shared" si="379"/>
        <v>0</v>
      </c>
    </row>
    <row r="10589" customHeight="1" spans="1:14">
      <c r="A10589" s="562" t="s">
        <v>21135</v>
      </c>
      <c r="B10589" s="523" t="s">
        <v>315</v>
      </c>
      <c r="C10589" s="523" t="s">
        <v>161</v>
      </c>
      <c r="D10589" s="335" t="s">
        <v>182</v>
      </c>
      <c r="E10589" s="527">
        <v>43836</v>
      </c>
      <c r="F10589" s="527">
        <v>43835</v>
      </c>
      <c r="G10589" s="524"/>
      <c r="H10589" s="525" t="s">
        <v>21136</v>
      </c>
      <c r="I10589" s="531">
        <v>18621978967</v>
      </c>
      <c r="J10589" s="523" t="s">
        <v>21137</v>
      </c>
      <c r="K10589" s="532">
        <v>1000</v>
      </c>
      <c r="N10589" s="362">
        <f t="shared" si="379"/>
        <v>0</v>
      </c>
    </row>
    <row r="10590" customHeight="1" spans="1:14">
      <c r="A10590" s="562" t="s">
        <v>18997</v>
      </c>
      <c r="B10590" s="523" t="s">
        <v>35</v>
      </c>
      <c r="C10590" s="523" t="s">
        <v>392</v>
      </c>
      <c r="D10590" s="334" t="s">
        <v>37</v>
      </c>
      <c r="E10590" s="527">
        <v>43836</v>
      </c>
      <c r="F10590" s="527">
        <v>43834</v>
      </c>
      <c r="G10590" s="524">
        <v>43834</v>
      </c>
      <c r="H10590" s="525" t="s">
        <v>666</v>
      </c>
      <c r="I10590" s="531">
        <v>15601881159</v>
      </c>
      <c r="J10590" s="523" t="s">
        <v>21138</v>
      </c>
      <c r="K10590" s="532">
        <v>7340</v>
      </c>
      <c r="L10590" s="334">
        <v>7340</v>
      </c>
      <c r="N10590" s="362">
        <f t="shared" si="379"/>
        <v>7340</v>
      </c>
    </row>
    <row r="10591" customHeight="1" spans="1:22">
      <c r="A10591" s="562" t="s">
        <v>21139</v>
      </c>
      <c r="B10591" s="523" t="s">
        <v>236</v>
      </c>
      <c r="C10591" s="523" t="s">
        <v>195</v>
      </c>
      <c r="D10591" s="335" t="s">
        <v>237</v>
      </c>
      <c r="E10591" s="527">
        <v>43836</v>
      </c>
      <c r="F10591" s="527">
        <v>43835</v>
      </c>
      <c r="G10591" s="524"/>
      <c r="H10591" s="525" t="s">
        <v>21140</v>
      </c>
      <c r="I10591" s="531">
        <v>18117399978</v>
      </c>
      <c r="J10591" s="523" t="s">
        <v>21141</v>
      </c>
      <c r="K10591" s="532">
        <v>1000</v>
      </c>
      <c r="N10591" s="362">
        <f t="shared" si="379"/>
        <v>0</v>
      </c>
      <c r="O10591" s="353" t="s">
        <v>16733</v>
      </c>
      <c r="V10591" s="353" t="s">
        <v>16733</v>
      </c>
    </row>
    <row r="10592" customHeight="1" spans="1:22">
      <c r="A10592" s="562" t="s">
        <v>21142</v>
      </c>
      <c r="B10592" s="523" t="s">
        <v>236</v>
      </c>
      <c r="C10592" s="523" t="s">
        <v>195</v>
      </c>
      <c r="D10592" s="335" t="s">
        <v>237</v>
      </c>
      <c r="E10592" s="527">
        <v>43836</v>
      </c>
      <c r="F10592" s="527">
        <v>43835</v>
      </c>
      <c r="G10592" s="524"/>
      <c r="H10592" s="525" t="s">
        <v>12383</v>
      </c>
      <c r="I10592" s="531">
        <v>13916022492</v>
      </c>
      <c r="J10592" s="523" t="s">
        <v>21143</v>
      </c>
      <c r="K10592" s="532">
        <v>3267</v>
      </c>
      <c r="N10592" s="362">
        <f t="shared" si="379"/>
        <v>0</v>
      </c>
      <c r="O10592" s="353" t="s">
        <v>21144</v>
      </c>
      <c r="V10592" s="353" t="s">
        <v>21144</v>
      </c>
    </row>
    <row r="10593" customHeight="1" spans="1:15">
      <c r="A10593" s="562" t="s">
        <v>18986</v>
      </c>
      <c r="B10593" s="523" t="s">
        <v>58</v>
      </c>
      <c r="C10593" s="523" t="s">
        <v>347</v>
      </c>
      <c r="D10593" s="335" t="s">
        <v>343</v>
      </c>
      <c r="E10593" s="527">
        <v>43836</v>
      </c>
      <c r="F10593" s="527">
        <v>43835</v>
      </c>
      <c r="G10593" s="524"/>
      <c r="H10593" s="525" t="s">
        <v>21145</v>
      </c>
      <c r="I10593" s="531">
        <v>13816779973</v>
      </c>
      <c r="J10593" s="523" t="s">
        <v>21146</v>
      </c>
      <c r="K10593" s="532">
        <v>1000</v>
      </c>
      <c r="N10593" s="362">
        <f t="shared" si="379"/>
        <v>0</v>
      </c>
      <c r="O10593" s="366" t="s">
        <v>52</v>
      </c>
    </row>
    <row r="10594" customHeight="1" spans="1:14">
      <c r="A10594" s="562" t="s">
        <v>15993</v>
      </c>
      <c r="B10594" s="523" t="s">
        <v>31</v>
      </c>
      <c r="C10594" s="523" t="s">
        <v>3186</v>
      </c>
      <c r="D10594" s="335" t="s">
        <v>954</v>
      </c>
      <c r="E10594" s="527">
        <v>43836</v>
      </c>
      <c r="F10594" s="527">
        <v>43835</v>
      </c>
      <c r="G10594" s="524"/>
      <c r="H10594" s="525" t="s">
        <v>21147</v>
      </c>
      <c r="I10594" s="531">
        <v>1361590545</v>
      </c>
      <c r="J10594" s="523" t="s">
        <v>21148</v>
      </c>
      <c r="K10594" s="532">
        <v>1000</v>
      </c>
      <c r="N10594" s="362">
        <f t="shared" si="379"/>
        <v>0</v>
      </c>
    </row>
    <row r="10595" customHeight="1" spans="1:14">
      <c r="A10595" s="562" t="s">
        <v>21149</v>
      </c>
      <c r="B10595" s="523" t="s">
        <v>31</v>
      </c>
      <c r="C10595" s="523" t="s">
        <v>251</v>
      </c>
      <c r="D10595" s="335" t="s">
        <v>954</v>
      </c>
      <c r="E10595" s="527">
        <v>43836</v>
      </c>
      <c r="F10595" s="527">
        <v>43834</v>
      </c>
      <c r="G10595" s="524"/>
      <c r="H10595" s="525" t="s">
        <v>21150</v>
      </c>
      <c r="I10595" s="531">
        <v>15000287705</v>
      </c>
      <c r="J10595" s="523" t="s">
        <v>21151</v>
      </c>
      <c r="K10595" s="532">
        <v>1000</v>
      </c>
      <c r="N10595" s="362">
        <f t="shared" si="379"/>
        <v>0</v>
      </c>
    </row>
    <row r="10596" customHeight="1" spans="1:14">
      <c r="A10596" s="562" t="s">
        <v>7639</v>
      </c>
      <c r="B10596" s="523" t="s">
        <v>87</v>
      </c>
      <c r="C10596" s="523" t="s">
        <v>466</v>
      </c>
      <c r="D10596" s="335" t="s">
        <v>89</v>
      </c>
      <c r="E10596" s="527">
        <v>43836</v>
      </c>
      <c r="F10596" s="527">
        <v>43835</v>
      </c>
      <c r="G10596" s="524"/>
      <c r="H10596" s="525" t="s">
        <v>21152</v>
      </c>
      <c r="I10596" s="531">
        <v>15316000507</v>
      </c>
      <c r="J10596" s="523" t="s">
        <v>21153</v>
      </c>
      <c r="K10596" s="532">
        <v>1000</v>
      </c>
      <c r="N10596" s="362">
        <f t="shared" si="379"/>
        <v>0</v>
      </c>
    </row>
    <row r="10597" customHeight="1" spans="1:15">
      <c r="A10597" s="562" t="s">
        <v>17169</v>
      </c>
      <c r="B10597" s="523" t="s">
        <v>73</v>
      </c>
      <c r="C10597" s="523" t="s">
        <v>74</v>
      </c>
      <c r="D10597" s="335" t="s">
        <v>187</v>
      </c>
      <c r="E10597" s="527">
        <v>43836</v>
      </c>
      <c r="F10597" s="527">
        <v>43835</v>
      </c>
      <c r="G10597" s="524"/>
      <c r="H10597" s="525" t="s">
        <v>21154</v>
      </c>
      <c r="I10597" s="531">
        <v>13918089047</v>
      </c>
      <c r="J10597" s="523" t="s">
        <v>21155</v>
      </c>
      <c r="K10597" s="532">
        <v>1000</v>
      </c>
      <c r="N10597" s="362">
        <f t="shared" si="379"/>
        <v>0</v>
      </c>
      <c r="O10597" s="405" t="s">
        <v>52</v>
      </c>
    </row>
    <row r="10598" customHeight="1" spans="1:14">
      <c r="A10598" s="562" t="s">
        <v>6153</v>
      </c>
      <c r="B10598" s="523" t="s">
        <v>5435</v>
      </c>
      <c r="C10598" s="523" t="s">
        <v>1728</v>
      </c>
      <c r="D10598" s="335" t="s">
        <v>207</v>
      </c>
      <c r="E10598" s="527">
        <v>43836</v>
      </c>
      <c r="F10598" s="527">
        <v>43836</v>
      </c>
      <c r="G10598" s="524"/>
      <c r="H10598" s="525" t="s">
        <v>15440</v>
      </c>
      <c r="I10598" s="531">
        <v>13701361853</v>
      </c>
      <c r="J10598" s="523" t="s">
        <v>21156</v>
      </c>
      <c r="K10598" s="532">
        <v>5099</v>
      </c>
      <c r="N10598" s="362">
        <f t="shared" si="379"/>
        <v>0</v>
      </c>
    </row>
    <row r="10599" customHeight="1" spans="1:15">
      <c r="A10599" s="562" t="s">
        <v>5742</v>
      </c>
      <c r="B10599" s="523" t="s">
        <v>726</v>
      </c>
      <c r="C10599" s="523" t="s">
        <v>727</v>
      </c>
      <c r="D10599" s="335" t="s">
        <v>207</v>
      </c>
      <c r="E10599" s="527">
        <v>43836</v>
      </c>
      <c r="F10599" s="527">
        <v>43835</v>
      </c>
      <c r="G10599" s="524"/>
      <c r="H10599" s="525" t="s">
        <v>21157</v>
      </c>
      <c r="I10599" s="531">
        <v>13816832927</v>
      </c>
      <c r="J10599" s="523" t="s">
        <v>21158</v>
      </c>
      <c r="K10599" s="532">
        <v>1000</v>
      </c>
      <c r="N10599" s="362">
        <f t="shared" si="379"/>
        <v>0</v>
      </c>
      <c r="O10599" s="353" t="s">
        <v>21159</v>
      </c>
    </row>
    <row r="10600" customHeight="1" spans="1:14">
      <c r="A10600" s="562" t="s">
        <v>9539</v>
      </c>
      <c r="B10600" s="523" t="s">
        <v>66</v>
      </c>
      <c r="C10600" s="523" t="s">
        <v>505</v>
      </c>
      <c r="D10600" s="335" t="s">
        <v>2302</v>
      </c>
      <c r="E10600" s="440">
        <v>43839</v>
      </c>
      <c r="F10600" s="527">
        <v>43836</v>
      </c>
      <c r="G10600" s="440">
        <v>43838</v>
      </c>
      <c r="H10600" s="525" t="s">
        <v>9280</v>
      </c>
      <c r="I10600" s="531">
        <v>18616370979</v>
      </c>
      <c r="J10600" s="523" t="s">
        <v>21160</v>
      </c>
      <c r="K10600" s="532">
        <v>3134</v>
      </c>
      <c r="L10600" s="439">
        <v>4222</v>
      </c>
      <c r="N10600" s="362">
        <f t="shared" si="379"/>
        <v>4222</v>
      </c>
    </row>
    <row r="10601" customHeight="1" spans="1:15">
      <c r="A10601" s="562" t="s">
        <v>7624</v>
      </c>
      <c r="B10601" s="523" t="s">
        <v>94</v>
      </c>
      <c r="C10601" s="523" t="s">
        <v>95</v>
      </c>
      <c r="D10601" s="335" t="s">
        <v>49</v>
      </c>
      <c r="E10601" s="527">
        <v>43836</v>
      </c>
      <c r="F10601" s="527">
        <v>43835</v>
      </c>
      <c r="G10601" s="524"/>
      <c r="H10601" s="525" t="s">
        <v>21161</v>
      </c>
      <c r="I10601" s="531">
        <v>15900778713</v>
      </c>
      <c r="J10601" s="523" t="s">
        <v>21162</v>
      </c>
      <c r="K10601" s="532">
        <v>3000</v>
      </c>
      <c r="N10601" s="362">
        <f t="shared" si="379"/>
        <v>0</v>
      </c>
      <c r="O10601" s="467" t="s">
        <v>52</v>
      </c>
    </row>
    <row r="10602" customHeight="1" spans="1:15">
      <c r="A10602" s="562" t="s">
        <v>7642</v>
      </c>
      <c r="B10602" s="523" t="s">
        <v>94</v>
      </c>
      <c r="C10602" s="523" t="s">
        <v>95</v>
      </c>
      <c r="D10602" s="335" t="s">
        <v>49</v>
      </c>
      <c r="E10602" s="527">
        <v>43836</v>
      </c>
      <c r="F10602" s="527">
        <v>43835</v>
      </c>
      <c r="G10602" s="524"/>
      <c r="H10602" s="525" t="s">
        <v>322</v>
      </c>
      <c r="I10602" s="531">
        <v>13524660172</v>
      </c>
      <c r="J10602" s="523" t="s">
        <v>21163</v>
      </c>
      <c r="K10602" s="532">
        <v>3000</v>
      </c>
      <c r="N10602" s="362">
        <f t="shared" si="379"/>
        <v>0</v>
      </c>
      <c r="O10602" s="467" t="s">
        <v>52</v>
      </c>
    </row>
    <row r="10603" customHeight="1" spans="1:15">
      <c r="A10603" s="562" t="s">
        <v>7619</v>
      </c>
      <c r="B10603" s="523" t="s">
        <v>94</v>
      </c>
      <c r="C10603" s="523" t="s">
        <v>95</v>
      </c>
      <c r="D10603" s="335" t="s">
        <v>49</v>
      </c>
      <c r="E10603" s="527">
        <v>43836</v>
      </c>
      <c r="F10603" s="527">
        <v>43835</v>
      </c>
      <c r="G10603" s="524"/>
      <c r="H10603" s="525" t="s">
        <v>834</v>
      </c>
      <c r="I10603" s="531">
        <v>13661539373</v>
      </c>
      <c r="J10603" s="523" t="s">
        <v>21164</v>
      </c>
      <c r="K10603" s="532">
        <v>3000</v>
      </c>
      <c r="N10603" s="362">
        <f t="shared" si="379"/>
        <v>0</v>
      </c>
      <c r="O10603" s="467" t="s">
        <v>52</v>
      </c>
    </row>
    <row r="10604" customHeight="1" spans="1:19">
      <c r="A10604" s="562" t="s">
        <v>7788</v>
      </c>
      <c r="B10604" s="523" t="s">
        <v>94</v>
      </c>
      <c r="C10604" s="523" t="s">
        <v>95</v>
      </c>
      <c r="D10604" s="335" t="s">
        <v>49</v>
      </c>
      <c r="E10604" s="527">
        <v>43836</v>
      </c>
      <c r="F10604" s="527">
        <v>43835</v>
      </c>
      <c r="G10604" s="524"/>
      <c r="H10604" s="525" t="s">
        <v>21165</v>
      </c>
      <c r="I10604" s="531">
        <v>18930174463</v>
      </c>
      <c r="J10604" s="523" t="s">
        <v>21166</v>
      </c>
      <c r="K10604" s="532">
        <v>3000</v>
      </c>
      <c r="N10604" s="362">
        <f t="shared" si="379"/>
        <v>0</v>
      </c>
      <c r="S10604" s="467" t="s">
        <v>52</v>
      </c>
    </row>
    <row r="10605" customHeight="1" spans="1:14">
      <c r="A10605" s="562" t="s">
        <v>4605</v>
      </c>
      <c r="B10605" s="523" t="s">
        <v>87</v>
      </c>
      <c r="C10605" s="523" t="s">
        <v>9318</v>
      </c>
      <c r="D10605" s="335" t="s">
        <v>89</v>
      </c>
      <c r="E10605" s="527">
        <v>43836</v>
      </c>
      <c r="F10605" s="527">
        <v>43836</v>
      </c>
      <c r="G10605" s="524"/>
      <c r="H10605" s="525" t="s">
        <v>21167</v>
      </c>
      <c r="I10605" s="531">
        <v>18121236558</v>
      </c>
      <c r="J10605" s="523" t="s">
        <v>21168</v>
      </c>
      <c r="K10605" s="532">
        <v>10000</v>
      </c>
      <c r="N10605" s="362">
        <f t="shared" si="379"/>
        <v>0</v>
      </c>
    </row>
    <row r="10606" customHeight="1" spans="2:14">
      <c r="B10606" s="425" t="s">
        <v>58</v>
      </c>
      <c r="C10606" s="425" t="s">
        <v>109</v>
      </c>
      <c r="D10606" s="334" t="s">
        <v>110</v>
      </c>
      <c r="E10606" s="336">
        <v>43836</v>
      </c>
      <c r="G10606" s="336">
        <v>43827</v>
      </c>
      <c r="H10606" s="425" t="s">
        <v>18436</v>
      </c>
      <c r="I10606" s="535">
        <v>18721022278</v>
      </c>
      <c r="J10606" s="438" t="s">
        <v>18437</v>
      </c>
      <c r="L10606" s="334">
        <v>6820</v>
      </c>
      <c r="N10606" s="362">
        <f t="shared" ref="N10606:N10618" si="380">L10606+M10606</f>
        <v>6820</v>
      </c>
    </row>
    <row r="10607" customHeight="1" spans="2:14">
      <c r="B10607" s="425" t="s">
        <v>16169</v>
      </c>
      <c r="C10607" s="425" t="s">
        <v>16170</v>
      </c>
      <c r="D10607" s="334" t="s">
        <v>271</v>
      </c>
      <c r="E10607" s="336">
        <v>43836</v>
      </c>
      <c r="G10607" s="336">
        <v>43835</v>
      </c>
      <c r="H10607" s="425" t="s">
        <v>21169</v>
      </c>
      <c r="I10607" s="535">
        <v>13817011548</v>
      </c>
      <c r="J10607" s="536" t="s">
        <v>21170</v>
      </c>
      <c r="L10607" s="334">
        <v>16096</v>
      </c>
      <c r="N10607" s="362">
        <f t="shared" si="380"/>
        <v>16096</v>
      </c>
    </row>
    <row r="10608" customHeight="1" spans="2:14">
      <c r="B10608" s="425" t="s">
        <v>66</v>
      </c>
      <c r="C10608" s="425" t="s">
        <v>119</v>
      </c>
      <c r="D10608" s="334" t="s">
        <v>1436</v>
      </c>
      <c r="E10608" s="336">
        <v>43836</v>
      </c>
      <c r="G10608" s="336">
        <v>43835</v>
      </c>
      <c r="H10608" s="425" t="s">
        <v>18728</v>
      </c>
      <c r="I10608" s="444">
        <v>13621832508</v>
      </c>
      <c r="J10608" s="348" t="s">
        <v>18729</v>
      </c>
      <c r="M10608" s="334">
        <v>39579</v>
      </c>
      <c r="N10608" s="362">
        <f t="shared" si="380"/>
        <v>39579</v>
      </c>
    </row>
    <row r="10609" customHeight="1" spans="2:14">
      <c r="B10609" s="425" t="s">
        <v>335</v>
      </c>
      <c r="C10609" s="425" t="s">
        <v>399</v>
      </c>
      <c r="D10609" s="334" t="s">
        <v>337</v>
      </c>
      <c r="E10609" s="336">
        <v>43836</v>
      </c>
      <c r="G10609" s="336">
        <v>43835</v>
      </c>
      <c r="H10609" s="425" t="s">
        <v>18668</v>
      </c>
      <c r="I10609" s="426">
        <v>13761164048</v>
      </c>
      <c r="J10609" s="334" t="s">
        <v>18669</v>
      </c>
      <c r="M10609" s="334">
        <v>2410</v>
      </c>
      <c r="N10609" s="362">
        <f t="shared" si="380"/>
        <v>2410</v>
      </c>
    </row>
    <row r="10610" customHeight="1" spans="2:14">
      <c r="B10610" s="425" t="s">
        <v>66</v>
      </c>
      <c r="C10610" s="425" t="s">
        <v>505</v>
      </c>
      <c r="D10610" s="334" t="s">
        <v>2302</v>
      </c>
      <c r="E10610" s="336">
        <v>43836</v>
      </c>
      <c r="G10610" s="336">
        <v>43835</v>
      </c>
      <c r="H10610" s="334" t="s">
        <v>20176</v>
      </c>
      <c r="I10610" s="444">
        <v>13761510109</v>
      </c>
      <c r="J10610" s="438" t="s">
        <v>20177</v>
      </c>
      <c r="M10610" s="334">
        <v>1200</v>
      </c>
      <c r="N10610" s="362">
        <f t="shared" si="380"/>
        <v>1200</v>
      </c>
    </row>
    <row r="10611" customHeight="1" spans="2:14">
      <c r="B10611" s="425" t="s">
        <v>58</v>
      </c>
      <c r="C10611" s="425" t="s">
        <v>342</v>
      </c>
      <c r="D10611" s="334" t="s">
        <v>343</v>
      </c>
      <c r="E10611" s="336">
        <v>43836</v>
      </c>
      <c r="G10611" s="336">
        <v>43835</v>
      </c>
      <c r="H10611" s="425" t="s">
        <v>17564</v>
      </c>
      <c r="I10611" s="444">
        <v>17301640501</v>
      </c>
      <c r="J10611" s="438" t="s">
        <v>17565</v>
      </c>
      <c r="M10611" s="334">
        <v>15748</v>
      </c>
      <c r="N10611" s="362">
        <f t="shared" si="380"/>
        <v>15748</v>
      </c>
    </row>
    <row r="10612" customHeight="1" spans="2:14">
      <c r="B10612" s="425" t="s">
        <v>236</v>
      </c>
      <c r="C10612" s="425" t="s">
        <v>195</v>
      </c>
      <c r="D10612" s="334" t="s">
        <v>207</v>
      </c>
      <c r="E10612" s="336">
        <v>43836</v>
      </c>
      <c r="G10612" s="336">
        <v>43835</v>
      </c>
      <c r="H10612" s="425" t="s">
        <v>17898</v>
      </c>
      <c r="I10612" s="444">
        <v>18402172569</v>
      </c>
      <c r="J10612" s="438" t="s">
        <v>17899</v>
      </c>
      <c r="M10612" s="334">
        <v>169</v>
      </c>
      <c r="N10612" s="362">
        <f t="shared" si="380"/>
        <v>169</v>
      </c>
    </row>
    <row r="10613" customHeight="1" spans="2:14">
      <c r="B10613" s="425" t="s">
        <v>47</v>
      </c>
      <c r="C10613" s="425" t="s">
        <v>80</v>
      </c>
      <c r="D10613" s="334" t="s">
        <v>19871</v>
      </c>
      <c r="E10613" s="336">
        <v>43836</v>
      </c>
      <c r="G10613" s="336">
        <v>43813</v>
      </c>
      <c r="H10613" s="425" t="s">
        <v>19901</v>
      </c>
      <c r="I10613" s="444">
        <v>18918696658</v>
      </c>
      <c r="J10613" s="438" t="s">
        <v>19902</v>
      </c>
      <c r="M10613" s="334">
        <v>100</v>
      </c>
      <c r="N10613" s="362">
        <f t="shared" si="380"/>
        <v>100</v>
      </c>
    </row>
    <row r="10614" customHeight="1" spans="2:14">
      <c r="B10614" s="425" t="s">
        <v>66</v>
      </c>
      <c r="C10614" s="425" t="s">
        <v>1749</v>
      </c>
      <c r="D10614" s="334" t="s">
        <v>1436</v>
      </c>
      <c r="E10614" s="336">
        <v>43836</v>
      </c>
      <c r="G10614" s="336">
        <v>43836</v>
      </c>
      <c r="H10614" s="425" t="s">
        <v>6809</v>
      </c>
      <c r="I10614" s="444">
        <v>13701807052</v>
      </c>
      <c r="J10614" s="438" t="s">
        <v>20774</v>
      </c>
      <c r="M10614" s="334">
        <v>3844</v>
      </c>
      <c r="N10614" s="362">
        <f t="shared" si="380"/>
        <v>3844</v>
      </c>
    </row>
    <row r="10615" customHeight="1" spans="2:14">
      <c r="B10615" s="425" t="s">
        <v>726</v>
      </c>
      <c r="C10615" s="425" t="s">
        <v>727</v>
      </c>
      <c r="D10615" s="334" t="s">
        <v>271</v>
      </c>
      <c r="E10615" s="336">
        <v>43836</v>
      </c>
      <c r="G10615" s="336">
        <v>43835</v>
      </c>
      <c r="H10615" s="425" t="s">
        <v>19592</v>
      </c>
      <c r="I10615" s="444">
        <v>13795230835</v>
      </c>
      <c r="J10615" s="438" t="s">
        <v>19593</v>
      </c>
      <c r="M10615" s="334">
        <v>2841</v>
      </c>
      <c r="N10615" s="362">
        <f t="shared" si="380"/>
        <v>2841</v>
      </c>
    </row>
    <row r="10616" customHeight="1" spans="2:14">
      <c r="B10616" s="425" t="s">
        <v>66</v>
      </c>
      <c r="C10616" s="425" t="s">
        <v>505</v>
      </c>
      <c r="D10616" s="334" t="s">
        <v>2302</v>
      </c>
      <c r="E10616" s="336">
        <v>43836</v>
      </c>
      <c r="G10616" s="336">
        <v>43836</v>
      </c>
      <c r="H10616" s="425" t="s">
        <v>7601</v>
      </c>
      <c r="I10616" s="444">
        <v>13601734975</v>
      </c>
      <c r="J10616" s="348" t="s">
        <v>18692</v>
      </c>
      <c r="M10616" s="334">
        <v>4708</v>
      </c>
      <c r="N10616" s="362">
        <f t="shared" si="380"/>
        <v>4708</v>
      </c>
    </row>
    <row r="10617" customHeight="1" spans="2:14">
      <c r="B10617" s="425" t="s">
        <v>137</v>
      </c>
      <c r="C10617" s="425" t="s">
        <v>861</v>
      </c>
      <c r="D10617" s="334" t="s">
        <v>171</v>
      </c>
      <c r="E10617" s="336">
        <v>43836</v>
      </c>
      <c r="G10617" s="336">
        <v>43831</v>
      </c>
      <c r="H10617" s="425" t="s">
        <v>20992</v>
      </c>
      <c r="I10617" s="496">
        <v>13586513651</v>
      </c>
      <c r="J10617" s="496" t="s">
        <v>20994</v>
      </c>
      <c r="M10617" s="334">
        <v>-100</v>
      </c>
      <c r="N10617" s="362">
        <f t="shared" si="380"/>
        <v>-100</v>
      </c>
    </row>
    <row r="10618" customHeight="1" spans="2:14">
      <c r="B10618" s="425" t="s">
        <v>137</v>
      </c>
      <c r="C10618" s="425" t="s">
        <v>138</v>
      </c>
      <c r="D10618" s="334" t="s">
        <v>343</v>
      </c>
      <c r="E10618" s="336">
        <v>43836</v>
      </c>
      <c r="G10618" s="336">
        <v>43836</v>
      </c>
      <c r="H10618" s="425" t="s">
        <v>16374</v>
      </c>
      <c r="I10618" s="426">
        <v>13801729745</v>
      </c>
      <c r="J10618" s="348" t="s">
        <v>17615</v>
      </c>
      <c r="M10618" s="334">
        <v>1640</v>
      </c>
      <c r="N10618" s="362">
        <f t="shared" si="380"/>
        <v>1640</v>
      </c>
    </row>
    <row r="10619" customHeight="1" spans="1:19">
      <c r="A10619" s="562" t="s">
        <v>11357</v>
      </c>
      <c r="B10619" s="523" t="s">
        <v>42</v>
      </c>
      <c r="C10619" s="523" t="s">
        <v>43</v>
      </c>
      <c r="D10619" s="335" t="s">
        <v>207</v>
      </c>
      <c r="E10619" s="527">
        <v>43837</v>
      </c>
      <c r="F10619" s="527">
        <v>43836</v>
      </c>
      <c r="G10619" s="524"/>
      <c r="H10619" s="525" t="s">
        <v>3435</v>
      </c>
      <c r="I10619" s="531">
        <v>13681964431</v>
      </c>
      <c r="J10619" s="523" t="s">
        <v>21171</v>
      </c>
      <c r="K10619" s="532">
        <v>1000</v>
      </c>
      <c r="N10619" s="362">
        <f t="shared" ref="N10619:N10626" si="381">L10619+M10619</f>
        <v>0</v>
      </c>
      <c r="S10619" s="356" t="s">
        <v>52</v>
      </c>
    </row>
    <row r="10620" customHeight="1" spans="1:14">
      <c r="A10620" s="562" t="s">
        <v>19541</v>
      </c>
      <c r="B10620" s="523" t="s">
        <v>66</v>
      </c>
      <c r="C10620" s="523" t="s">
        <v>119</v>
      </c>
      <c r="D10620" s="334" t="s">
        <v>1436</v>
      </c>
      <c r="E10620" s="527">
        <v>43837</v>
      </c>
      <c r="F10620" s="527">
        <v>43836</v>
      </c>
      <c r="G10620" s="524">
        <v>43836</v>
      </c>
      <c r="H10620" s="425" t="s">
        <v>21172</v>
      </c>
      <c r="I10620" s="444">
        <v>18018627186</v>
      </c>
      <c r="J10620" s="348" t="s">
        <v>21173</v>
      </c>
      <c r="K10620" s="532">
        <v>21400</v>
      </c>
      <c r="L10620" s="334">
        <f>21400-1472</f>
        <v>19928</v>
      </c>
      <c r="N10620" s="362">
        <f t="shared" si="381"/>
        <v>19928</v>
      </c>
    </row>
    <row r="10621" customHeight="1" spans="1:14">
      <c r="A10621" s="562" t="s">
        <v>16251</v>
      </c>
      <c r="B10621" s="523" t="s">
        <v>31</v>
      </c>
      <c r="C10621" s="523" t="s">
        <v>377</v>
      </c>
      <c r="D10621" s="335" t="s">
        <v>954</v>
      </c>
      <c r="E10621" s="527">
        <v>43837</v>
      </c>
      <c r="F10621" s="527">
        <v>43837</v>
      </c>
      <c r="G10621" s="524"/>
      <c r="H10621" s="525" t="s">
        <v>18620</v>
      </c>
      <c r="I10621" s="531">
        <v>13917042260</v>
      </c>
      <c r="J10621" s="523" t="s">
        <v>21174</v>
      </c>
      <c r="K10621" s="532">
        <v>1000</v>
      </c>
      <c r="N10621" s="362">
        <f t="shared" si="381"/>
        <v>0</v>
      </c>
    </row>
    <row r="10622" customHeight="1" spans="1:14">
      <c r="A10622" s="562" t="s">
        <v>16426</v>
      </c>
      <c r="B10622" s="523" t="s">
        <v>169</v>
      </c>
      <c r="C10622" s="523" t="s">
        <v>634</v>
      </c>
      <c r="D10622" s="335" t="s">
        <v>635</v>
      </c>
      <c r="E10622" s="527">
        <v>43837</v>
      </c>
      <c r="F10622" s="527">
        <v>43837</v>
      </c>
      <c r="G10622" s="524"/>
      <c r="H10622" s="525" t="s">
        <v>21175</v>
      </c>
      <c r="I10622" s="531">
        <v>13916830104</v>
      </c>
      <c r="J10622" s="523" t="s">
        <v>21176</v>
      </c>
      <c r="K10622" s="532">
        <v>1000</v>
      </c>
      <c r="N10622" s="362">
        <f t="shared" si="381"/>
        <v>0</v>
      </c>
    </row>
    <row r="10623" customHeight="1" spans="1:14">
      <c r="A10623" s="562" t="s">
        <v>14247</v>
      </c>
      <c r="B10623" s="523" t="s">
        <v>169</v>
      </c>
      <c r="C10623" s="523" t="s">
        <v>634</v>
      </c>
      <c r="D10623" s="335" t="s">
        <v>635</v>
      </c>
      <c r="E10623" s="527">
        <v>43837</v>
      </c>
      <c r="F10623" s="527">
        <v>43837</v>
      </c>
      <c r="G10623" s="524"/>
      <c r="H10623" s="525" t="s">
        <v>21177</v>
      </c>
      <c r="I10623" s="531" t="s">
        <v>21178</v>
      </c>
      <c r="J10623" s="523" t="s">
        <v>21179</v>
      </c>
      <c r="K10623" s="532">
        <v>1000</v>
      </c>
      <c r="N10623" s="362">
        <f t="shared" si="381"/>
        <v>0</v>
      </c>
    </row>
    <row r="10624" customHeight="1" spans="1:14">
      <c r="A10624" s="562" t="s">
        <v>20390</v>
      </c>
      <c r="B10624" s="523" t="s">
        <v>243</v>
      </c>
      <c r="C10624" s="523" t="s">
        <v>304</v>
      </c>
      <c r="D10624" s="335" t="s">
        <v>49</v>
      </c>
      <c r="E10624" s="527">
        <v>43837</v>
      </c>
      <c r="F10624" s="527">
        <v>43831</v>
      </c>
      <c r="G10624" s="524"/>
      <c r="H10624" s="525" t="s">
        <v>21180</v>
      </c>
      <c r="I10624" s="531">
        <v>13248103310</v>
      </c>
      <c r="J10624" s="523" t="s">
        <v>21181</v>
      </c>
      <c r="K10624" s="532">
        <v>1998</v>
      </c>
      <c r="N10624" s="362">
        <f t="shared" si="381"/>
        <v>0</v>
      </c>
    </row>
    <row r="10625" customHeight="1" spans="1:14">
      <c r="A10625" s="562" t="s">
        <v>3387</v>
      </c>
      <c r="B10625" s="523" t="s">
        <v>35</v>
      </c>
      <c r="C10625" s="523" t="s">
        <v>328</v>
      </c>
      <c r="D10625" s="335" t="s">
        <v>37</v>
      </c>
      <c r="E10625" s="527">
        <v>43837</v>
      </c>
      <c r="F10625" s="527">
        <v>43836</v>
      </c>
      <c r="G10625" s="524"/>
      <c r="H10625" s="525" t="s">
        <v>21182</v>
      </c>
      <c r="I10625" s="531">
        <v>18702156842</v>
      </c>
      <c r="J10625" s="523" t="s">
        <v>21183</v>
      </c>
      <c r="K10625" s="532">
        <v>2399</v>
      </c>
      <c r="N10625" s="362">
        <f t="shared" si="381"/>
        <v>0</v>
      </c>
    </row>
    <row r="10626" customHeight="1" spans="1:14">
      <c r="A10626" s="562" t="s">
        <v>21184</v>
      </c>
      <c r="B10626" s="523" t="s">
        <v>66</v>
      </c>
      <c r="C10626" s="523" t="s">
        <v>119</v>
      </c>
      <c r="D10626" s="335" t="s">
        <v>2302</v>
      </c>
      <c r="E10626" s="527">
        <v>43837</v>
      </c>
      <c r="F10626" s="527">
        <v>43837</v>
      </c>
      <c r="G10626" s="524"/>
      <c r="H10626" s="525" t="s">
        <v>21185</v>
      </c>
      <c r="I10626" s="531">
        <v>17316374115</v>
      </c>
      <c r="J10626" s="523" t="s">
        <v>21186</v>
      </c>
      <c r="K10626" s="532">
        <v>1000</v>
      </c>
      <c r="N10626" s="362">
        <f t="shared" si="381"/>
        <v>0</v>
      </c>
    </row>
    <row r="10627" customHeight="1" spans="2:14">
      <c r="B10627" s="334" t="s">
        <v>73</v>
      </c>
      <c r="C10627" s="334" t="s">
        <v>74</v>
      </c>
      <c r="D10627" s="334" t="s">
        <v>75</v>
      </c>
      <c r="E10627" s="336">
        <v>43837</v>
      </c>
      <c r="G10627" s="336">
        <v>43838</v>
      </c>
      <c r="H10627" s="425" t="s">
        <v>21187</v>
      </c>
      <c r="I10627" s="444">
        <v>18930251816</v>
      </c>
      <c r="J10627" s="438" t="s">
        <v>21188</v>
      </c>
      <c r="L10627" s="334">
        <v>10798</v>
      </c>
      <c r="N10627" s="362">
        <f t="shared" ref="N10627:N10645" si="382">L10627+M10627</f>
        <v>10798</v>
      </c>
    </row>
    <row r="10628" customHeight="1" spans="2:14">
      <c r="B10628" s="425" t="s">
        <v>66</v>
      </c>
      <c r="C10628" s="425" t="s">
        <v>119</v>
      </c>
      <c r="D10628" s="334" t="s">
        <v>1436</v>
      </c>
      <c r="E10628" s="336">
        <v>43837</v>
      </c>
      <c r="G10628" s="336">
        <v>43836</v>
      </c>
      <c r="H10628" s="425" t="s">
        <v>21172</v>
      </c>
      <c r="I10628" s="444">
        <v>18018627186</v>
      </c>
      <c r="J10628" s="438" t="s">
        <v>21173</v>
      </c>
      <c r="M10628" s="334">
        <v>1472</v>
      </c>
      <c r="N10628" s="362">
        <f t="shared" si="382"/>
        <v>1472</v>
      </c>
    </row>
    <row r="10629" customHeight="1" spans="2:14">
      <c r="B10629" s="425" t="s">
        <v>58</v>
      </c>
      <c r="C10629" s="425" t="s">
        <v>109</v>
      </c>
      <c r="D10629" s="334" t="s">
        <v>110</v>
      </c>
      <c r="E10629" s="336">
        <v>43837</v>
      </c>
      <c r="G10629" s="336">
        <v>43833</v>
      </c>
      <c r="H10629" s="425" t="s">
        <v>18907</v>
      </c>
      <c r="I10629" s="444">
        <v>13873015296</v>
      </c>
      <c r="J10629" s="438" t="s">
        <v>18908</v>
      </c>
      <c r="M10629" s="334">
        <v>4568</v>
      </c>
      <c r="N10629" s="362">
        <f t="shared" si="382"/>
        <v>4568</v>
      </c>
    </row>
    <row r="10630" customHeight="1" spans="2:14">
      <c r="B10630" s="425" t="s">
        <v>58</v>
      </c>
      <c r="C10630" s="425" t="s">
        <v>109</v>
      </c>
      <c r="D10630" s="334" t="s">
        <v>110</v>
      </c>
      <c r="E10630" s="336">
        <v>43837</v>
      </c>
      <c r="G10630" s="336">
        <v>43833</v>
      </c>
      <c r="H10630" s="425" t="s">
        <v>20320</v>
      </c>
      <c r="I10630" s="444">
        <v>18916166968</v>
      </c>
      <c r="J10630" s="438" t="s">
        <v>20321</v>
      </c>
      <c r="M10630" s="334">
        <v>600</v>
      </c>
      <c r="N10630" s="362">
        <f t="shared" si="382"/>
        <v>600</v>
      </c>
    </row>
    <row r="10631" customHeight="1" spans="2:14">
      <c r="B10631" s="425" t="s">
        <v>31</v>
      </c>
      <c r="C10631" s="425" t="s">
        <v>3186</v>
      </c>
      <c r="D10631" s="334" t="s">
        <v>221</v>
      </c>
      <c r="E10631" s="336">
        <v>43837</v>
      </c>
      <c r="G10631" s="336">
        <v>43837</v>
      </c>
      <c r="H10631" s="425" t="s">
        <v>11459</v>
      </c>
      <c r="I10631" s="426">
        <v>13918184323</v>
      </c>
      <c r="J10631" s="334" t="s">
        <v>11460</v>
      </c>
      <c r="M10631" s="334">
        <v>1845</v>
      </c>
      <c r="N10631" s="362">
        <f t="shared" si="382"/>
        <v>1845</v>
      </c>
    </row>
    <row r="10632" customHeight="1" spans="2:14">
      <c r="B10632" s="334" t="s">
        <v>137</v>
      </c>
      <c r="C10632" s="334" t="s">
        <v>411</v>
      </c>
      <c r="D10632" s="334" t="s">
        <v>139</v>
      </c>
      <c r="E10632" s="336">
        <v>43837</v>
      </c>
      <c r="G10632" s="336">
        <v>43837</v>
      </c>
      <c r="H10632" s="334" t="s">
        <v>7528</v>
      </c>
      <c r="I10632" s="334">
        <v>18601655238</v>
      </c>
      <c r="J10632" s="334" t="s">
        <v>19098</v>
      </c>
      <c r="M10632" s="334">
        <v>205</v>
      </c>
      <c r="N10632" s="362">
        <f t="shared" si="382"/>
        <v>205</v>
      </c>
    </row>
    <row r="10633" customHeight="1" spans="2:14">
      <c r="B10633" s="334" t="s">
        <v>315</v>
      </c>
      <c r="C10633" s="334" t="s">
        <v>161</v>
      </c>
      <c r="D10633" s="334" t="s">
        <v>162</v>
      </c>
      <c r="E10633" s="336">
        <v>43837</v>
      </c>
      <c r="G10633" s="336">
        <v>43837</v>
      </c>
      <c r="H10633" s="425" t="s">
        <v>21189</v>
      </c>
      <c r="I10633" s="334">
        <v>18121110168</v>
      </c>
      <c r="J10633" s="334" t="s">
        <v>3674</v>
      </c>
      <c r="M10633" s="334">
        <v>2546</v>
      </c>
      <c r="N10633" s="362">
        <f t="shared" si="382"/>
        <v>2546</v>
      </c>
    </row>
    <row r="10634" customHeight="1" spans="2:14">
      <c r="B10634" s="425" t="s">
        <v>137</v>
      </c>
      <c r="C10634" s="425" t="s">
        <v>138</v>
      </c>
      <c r="D10634" s="334" t="s">
        <v>139</v>
      </c>
      <c r="E10634" s="336">
        <v>43837</v>
      </c>
      <c r="G10634" s="336">
        <v>43836</v>
      </c>
      <c r="H10634" s="425" t="s">
        <v>20160</v>
      </c>
      <c r="I10634" s="444">
        <v>13817818515</v>
      </c>
      <c r="J10634" s="438" t="s">
        <v>20161</v>
      </c>
      <c r="M10634" s="334">
        <f>1608+1252</f>
        <v>2860</v>
      </c>
      <c r="N10634" s="362">
        <f t="shared" si="382"/>
        <v>2860</v>
      </c>
    </row>
    <row r="10635" customHeight="1" spans="2:14">
      <c r="B10635" s="425" t="s">
        <v>42</v>
      </c>
      <c r="C10635" s="425" t="s">
        <v>43</v>
      </c>
      <c r="D10635" s="334" t="s">
        <v>207</v>
      </c>
      <c r="E10635" s="336">
        <v>43837</v>
      </c>
      <c r="G10635" s="336">
        <v>43837</v>
      </c>
      <c r="H10635" s="425" t="s">
        <v>13826</v>
      </c>
      <c r="I10635" s="444">
        <v>18602129053</v>
      </c>
      <c r="J10635" s="438" t="s">
        <v>13966</v>
      </c>
      <c r="M10635" s="334">
        <v>-2336</v>
      </c>
      <c r="N10635" s="362">
        <f t="shared" si="382"/>
        <v>-2336</v>
      </c>
    </row>
    <row r="10636" customHeight="1" spans="2:14">
      <c r="B10636" s="334" t="s">
        <v>31</v>
      </c>
      <c r="C10636" s="334" t="s">
        <v>419</v>
      </c>
      <c r="D10636" s="334" t="s">
        <v>221</v>
      </c>
      <c r="E10636" s="336">
        <v>43837</v>
      </c>
      <c r="G10636" s="336">
        <v>43837</v>
      </c>
      <c r="H10636" s="334" t="s">
        <v>18494</v>
      </c>
      <c r="I10636" s="444">
        <v>13816165549</v>
      </c>
      <c r="J10636" s="438" t="s">
        <v>18495</v>
      </c>
      <c r="M10636" s="334">
        <v>4478</v>
      </c>
      <c r="N10636" s="362">
        <f t="shared" si="382"/>
        <v>4478</v>
      </c>
    </row>
    <row r="10637" customHeight="1" spans="2:14">
      <c r="B10637" s="425" t="s">
        <v>47</v>
      </c>
      <c r="C10637" s="425" t="s">
        <v>53</v>
      </c>
      <c r="D10637" s="334" t="s">
        <v>49</v>
      </c>
      <c r="E10637" s="336">
        <v>43837</v>
      </c>
      <c r="G10637" s="336">
        <v>43837</v>
      </c>
      <c r="H10637" s="425" t="s">
        <v>11890</v>
      </c>
      <c r="I10637" s="426">
        <v>13681867871</v>
      </c>
      <c r="J10637" s="334" t="s">
        <v>11891</v>
      </c>
      <c r="M10637" s="334">
        <v>901</v>
      </c>
      <c r="N10637" s="362">
        <f t="shared" si="382"/>
        <v>901</v>
      </c>
    </row>
    <row r="10638" customHeight="1" spans="2:14">
      <c r="B10638" s="425" t="s">
        <v>2625</v>
      </c>
      <c r="C10638" s="425" t="s">
        <v>2626</v>
      </c>
      <c r="D10638" s="334" t="s">
        <v>44</v>
      </c>
      <c r="E10638" s="336">
        <v>43837</v>
      </c>
      <c r="G10638" s="336">
        <v>43837</v>
      </c>
      <c r="H10638" s="425" t="s">
        <v>20507</v>
      </c>
      <c r="I10638" s="444">
        <v>13917607730</v>
      </c>
      <c r="J10638" s="438" t="s">
        <v>20508</v>
      </c>
      <c r="M10638" s="334">
        <v>760</v>
      </c>
      <c r="N10638" s="362">
        <f t="shared" si="382"/>
        <v>760</v>
      </c>
    </row>
    <row r="10639" customHeight="1" spans="2:22">
      <c r="B10639" s="477" t="s">
        <v>354</v>
      </c>
      <c r="C10639" s="477" t="s">
        <v>355</v>
      </c>
      <c r="D10639" s="335" t="s">
        <v>237</v>
      </c>
      <c r="E10639" s="537">
        <v>43774</v>
      </c>
      <c r="F10639" s="537">
        <v>43774</v>
      </c>
      <c r="G10639" s="477"/>
      <c r="H10639" s="477" t="s">
        <v>16929</v>
      </c>
      <c r="I10639" s="477">
        <v>18221395172</v>
      </c>
      <c r="J10639" s="477" t="s">
        <v>21190</v>
      </c>
      <c r="K10639" s="337">
        <v>5200</v>
      </c>
      <c r="N10639" s="362">
        <f t="shared" si="382"/>
        <v>0</v>
      </c>
      <c r="V10639" s="356" t="s">
        <v>52</v>
      </c>
    </row>
    <row r="10640" customHeight="1" spans="2:22">
      <c r="B10640" s="477" t="s">
        <v>354</v>
      </c>
      <c r="C10640" s="477" t="s">
        <v>355</v>
      </c>
      <c r="D10640" s="335" t="s">
        <v>237</v>
      </c>
      <c r="E10640" s="537">
        <v>43811</v>
      </c>
      <c r="F10640" s="537">
        <v>43811</v>
      </c>
      <c r="G10640" s="477"/>
      <c r="H10640" s="477" t="s">
        <v>21191</v>
      </c>
      <c r="I10640" s="477">
        <v>13917785015</v>
      </c>
      <c r="J10640" s="477" t="s">
        <v>21192</v>
      </c>
      <c r="K10640" s="337">
        <v>10000</v>
      </c>
      <c r="N10640" s="362">
        <f t="shared" si="382"/>
        <v>0</v>
      </c>
      <c r="V10640" s="356" t="s">
        <v>52</v>
      </c>
    </row>
    <row r="10641" customHeight="1" spans="2:22">
      <c r="B10641" s="477" t="s">
        <v>354</v>
      </c>
      <c r="C10641" s="477" t="s">
        <v>355</v>
      </c>
      <c r="D10641" s="335" t="s">
        <v>237</v>
      </c>
      <c r="E10641" s="337"/>
      <c r="F10641" s="337"/>
      <c r="G10641" s="477"/>
      <c r="H10641" s="477" t="s">
        <v>20633</v>
      </c>
      <c r="I10641" s="477">
        <v>13585979006</v>
      </c>
      <c r="J10641" s="477" t="s">
        <v>21193</v>
      </c>
      <c r="K10641" s="337">
        <v>5000</v>
      </c>
      <c r="N10641" s="362">
        <f t="shared" si="382"/>
        <v>0</v>
      </c>
      <c r="V10641" s="356" t="s">
        <v>52</v>
      </c>
    </row>
    <row r="10642" customHeight="1" spans="1:14">
      <c r="A10642" s="562" t="s">
        <v>21194</v>
      </c>
      <c r="B10642" s="523" t="s">
        <v>35</v>
      </c>
      <c r="C10642" s="523" t="s">
        <v>36</v>
      </c>
      <c r="D10642" s="335" t="s">
        <v>37</v>
      </c>
      <c r="E10642" s="527">
        <v>43838</v>
      </c>
      <c r="F10642" s="527">
        <v>43838</v>
      </c>
      <c r="G10642" s="524"/>
      <c r="H10642" s="525" t="s">
        <v>13923</v>
      </c>
      <c r="I10642" s="531">
        <v>18217658109</v>
      </c>
      <c r="J10642" s="523" t="s">
        <v>21195</v>
      </c>
      <c r="K10642" s="532">
        <v>1000</v>
      </c>
      <c r="N10642" s="362">
        <f t="shared" si="382"/>
        <v>0</v>
      </c>
    </row>
    <row r="10643" customHeight="1" spans="1:14">
      <c r="A10643" s="562" t="s">
        <v>17817</v>
      </c>
      <c r="B10643" s="523" t="s">
        <v>726</v>
      </c>
      <c r="C10643" s="523" t="s">
        <v>727</v>
      </c>
      <c r="D10643" s="335" t="s">
        <v>207</v>
      </c>
      <c r="E10643" s="527">
        <v>43838</v>
      </c>
      <c r="F10643" s="527">
        <v>43834</v>
      </c>
      <c r="G10643" s="524"/>
      <c r="H10643" s="525" t="s">
        <v>21196</v>
      </c>
      <c r="I10643" s="531">
        <v>13482013435</v>
      </c>
      <c r="J10643" s="523" t="s">
        <v>21197</v>
      </c>
      <c r="K10643" s="532">
        <v>1000</v>
      </c>
      <c r="N10643" s="362">
        <f t="shared" si="382"/>
        <v>0</v>
      </c>
    </row>
    <row r="10644" customHeight="1" spans="1:14">
      <c r="A10644" s="528"/>
      <c r="B10644" s="523" t="s">
        <v>5336</v>
      </c>
      <c r="C10644" s="523" t="s">
        <v>5336</v>
      </c>
      <c r="D10644" s="335" t="s">
        <v>37</v>
      </c>
      <c r="E10644" s="527">
        <v>43838</v>
      </c>
      <c r="F10644" s="527">
        <v>43838</v>
      </c>
      <c r="G10644" s="524"/>
      <c r="H10644" s="525" t="s">
        <v>2840</v>
      </c>
      <c r="I10644" s="531">
        <v>13917312405</v>
      </c>
      <c r="J10644" s="523" t="s">
        <v>21198</v>
      </c>
      <c r="K10644" s="532">
        <v>14181</v>
      </c>
      <c r="N10644" s="362">
        <f t="shared" si="382"/>
        <v>0</v>
      </c>
    </row>
    <row r="10645" customHeight="1" spans="1:14">
      <c r="A10645" s="562" t="s">
        <v>10374</v>
      </c>
      <c r="B10645" s="523" t="s">
        <v>58</v>
      </c>
      <c r="C10645" s="523" t="s">
        <v>59</v>
      </c>
      <c r="D10645" s="335" t="s">
        <v>343</v>
      </c>
      <c r="E10645" s="527">
        <v>43838</v>
      </c>
      <c r="F10645" s="527">
        <v>43835</v>
      </c>
      <c r="G10645" s="524"/>
      <c r="H10645" s="525" t="s">
        <v>21199</v>
      </c>
      <c r="I10645" s="531">
        <v>13816573001</v>
      </c>
      <c r="J10645" s="523" t="s">
        <v>21200</v>
      </c>
      <c r="K10645" s="532">
        <v>5887</v>
      </c>
      <c r="N10645" s="362">
        <f t="shared" si="382"/>
        <v>0</v>
      </c>
    </row>
    <row r="10646" customHeight="1" spans="2:14">
      <c r="B10646" s="425" t="s">
        <v>205</v>
      </c>
      <c r="C10646" s="425" t="s">
        <v>1467</v>
      </c>
      <c r="D10646" s="334" t="s">
        <v>207</v>
      </c>
      <c r="E10646" s="336">
        <v>43838</v>
      </c>
      <c r="G10646" s="336">
        <v>43837</v>
      </c>
      <c r="H10646" s="425" t="s">
        <v>11821</v>
      </c>
      <c r="I10646" s="444">
        <v>18917193274</v>
      </c>
      <c r="J10646" s="438" t="s">
        <v>20635</v>
      </c>
      <c r="M10646" s="334">
        <v>550</v>
      </c>
      <c r="N10646" s="362">
        <f t="shared" ref="N10646:N10653" si="383">L10646+M10646</f>
        <v>550</v>
      </c>
    </row>
    <row r="10647" customHeight="1" spans="2:14">
      <c r="B10647" s="334" t="s">
        <v>73</v>
      </c>
      <c r="C10647" s="334" t="s">
        <v>178</v>
      </c>
      <c r="D10647" s="334" t="s">
        <v>125</v>
      </c>
      <c r="E10647" s="336">
        <v>43838</v>
      </c>
      <c r="G10647" s="336">
        <v>43838</v>
      </c>
      <c r="H10647" s="334" t="s">
        <v>2549</v>
      </c>
      <c r="I10647" s="444">
        <v>13818472034</v>
      </c>
      <c r="J10647" s="348" t="s">
        <v>19415</v>
      </c>
      <c r="M10647" s="334">
        <v>610</v>
      </c>
      <c r="N10647" s="362">
        <f t="shared" si="383"/>
        <v>610</v>
      </c>
    </row>
    <row r="10648" customHeight="1" spans="2:14">
      <c r="B10648" s="334" t="s">
        <v>66</v>
      </c>
      <c r="C10648" s="334" t="s">
        <v>119</v>
      </c>
      <c r="D10648" s="334" t="s">
        <v>68</v>
      </c>
      <c r="E10648" s="336">
        <v>43838</v>
      </c>
      <c r="G10648" s="336">
        <v>43837</v>
      </c>
      <c r="H10648" s="334" t="s">
        <v>8048</v>
      </c>
      <c r="I10648" s="334">
        <v>13891029675</v>
      </c>
      <c r="J10648" s="334" t="s">
        <v>13973</v>
      </c>
      <c r="M10648" s="334">
        <v>113</v>
      </c>
      <c r="N10648" s="362">
        <f t="shared" si="383"/>
        <v>113</v>
      </c>
    </row>
    <row r="10649" customHeight="1" spans="2:14">
      <c r="B10649" s="425" t="s">
        <v>281</v>
      </c>
      <c r="C10649" s="425" t="s">
        <v>13525</v>
      </c>
      <c r="D10649" s="334" t="s">
        <v>518</v>
      </c>
      <c r="E10649" s="336">
        <v>43838</v>
      </c>
      <c r="G10649" s="336">
        <v>43838</v>
      </c>
      <c r="H10649" s="425" t="s">
        <v>13529</v>
      </c>
      <c r="I10649" s="334">
        <v>13818208686</v>
      </c>
      <c r="J10649" s="334" t="s">
        <v>16239</v>
      </c>
      <c r="M10649" s="334">
        <v>3183</v>
      </c>
      <c r="N10649" s="362">
        <f t="shared" si="383"/>
        <v>3183</v>
      </c>
    </row>
    <row r="10650" customHeight="1" spans="2:14">
      <c r="B10650" s="425" t="s">
        <v>42</v>
      </c>
      <c r="C10650" s="425" t="s">
        <v>43</v>
      </c>
      <c r="D10650" s="334" t="s">
        <v>44</v>
      </c>
      <c r="E10650" s="336">
        <v>43838</v>
      </c>
      <c r="G10650" s="336">
        <v>43838</v>
      </c>
      <c r="H10650" s="425" t="s">
        <v>16508</v>
      </c>
      <c r="I10650" s="444">
        <v>13651869960</v>
      </c>
      <c r="J10650" s="445" t="s">
        <v>16509</v>
      </c>
      <c r="M10650" s="334">
        <v>2400</v>
      </c>
      <c r="N10650" s="362">
        <f t="shared" si="383"/>
        <v>2400</v>
      </c>
    </row>
    <row r="10651" customHeight="1" spans="2:14">
      <c r="B10651" s="425" t="s">
        <v>236</v>
      </c>
      <c r="C10651" s="425" t="s">
        <v>195</v>
      </c>
      <c r="D10651" s="334" t="s">
        <v>207</v>
      </c>
      <c r="E10651" s="336">
        <v>43838</v>
      </c>
      <c r="G10651" s="336">
        <v>43837</v>
      </c>
      <c r="H10651" s="425" t="s">
        <v>11713</v>
      </c>
      <c r="I10651" s="334">
        <v>18019058199</v>
      </c>
      <c r="J10651" s="334" t="s">
        <v>17848</v>
      </c>
      <c r="M10651" s="334">
        <v>8271</v>
      </c>
      <c r="N10651" s="362">
        <f t="shared" si="383"/>
        <v>8271</v>
      </c>
    </row>
    <row r="10652" customHeight="1" spans="2:14">
      <c r="B10652" s="425" t="s">
        <v>66</v>
      </c>
      <c r="C10652" s="425" t="s">
        <v>15301</v>
      </c>
      <c r="D10652" s="334" t="s">
        <v>2302</v>
      </c>
      <c r="E10652" s="336">
        <v>43838</v>
      </c>
      <c r="G10652" s="336">
        <v>43838</v>
      </c>
      <c r="H10652" s="425" t="s">
        <v>18214</v>
      </c>
      <c r="I10652" s="444">
        <v>15900695662</v>
      </c>
      <c r="J10652" s="348" t="s">
        <v>18215</v>
      </c>
      <c r="M10652" s="334">
        <v>2457</v>
      </c>
      <c r="N10652" s="362">
        <f t="shared" si="383"/>
        <v>2457</v>
      </c>
    </row>
    <row r="10653" customHeight="1" spans="2:14">
      <c r="B10653" s="425" t="s">
        <v>73</v>
      </c>
      <c r="C10653" s="425" t="s">
        <v>74</v>
      </c>
      <c r="D10653" s="334" t="s">
        <v>139</v>
      </c>
      <c r="E10653" s="336">
        <v>43838</v>
      </c>
      <c r="G10653" s="336">
        <v>43837</v>
      </c>
      <c r="H10653" s="425" t="s">
        <v>17996</v>
      </c>
      <c r="I10653" s="444">
        <v>13817204803</v>
      </c>
      <c r="J10653" s="438" t="s">
        <v>17997</v>
      </c>
      <c r="M10653" s="334">
        <v>-1798</v>
      </c>
      <c r="N10653" s="362">
        <f t="shared" si="383"/>
        <v>-1798</v>
      </c>
    </row>
    <row r="10654" customHeight="1" spans="1:14">
      <c r="A10654" s="538"/>
      <c r="B10654" s="539" t="s">
        <v>137</v>
      </c>
      <c r="C10654" s="539" t="s">
        <v>406</v>
      </c>
      <c r="D10654" s="335" t="s">
        <v>443</v>
      </c>
      <c r="E10654" s="540">
        <v>43839</v>
      </c>
      <c r="F10654" s="540">
        <v>43839</v>
      </c>
      <c r="G10654" s="541"/>
      <c r="H10654" s="542" t="s">
        <v>21201</v>
      </c>
      <c r="I10654" s="543">
        <v>13901669756</v>
      </c>
      <c r="J10654" s="539" t="s">
        <v>21202</v>
      </c>
      <c r="K10654" s="544">
        <v>1000</v>
      </c>
      <c r="N10654" s="362">
        <f t="shared" ref="N10654:N10663" si="384">L10654+M10654</f>
        <v>0</v>
      </c>
    </row>
    <row r="10655" customHeight="1" spans="1:14">
      <c r="A10655" s="564" t="s">
        <v>10378</v>
      </c>
      <c r="B10655" s="539" t="s">
        <v>58</v>
      </c>
      <c r="C10655" s="539" t="s">
        <v>59</v>
      </c>
      <c r="D10655" s="335" t="s">
        <v>343</v>
      </c>
      <c r="E10655" s="540">
        <v>43839</v>
      </c>
      <c r="F10655" s="540">
        <v>43838</v>
      </c>
      <c r="G10655" s="541"/>
      <c r="H10655" s="542" t="s">
        <v>21203</v>
      </c>
      <c r="I10655" s="543">
        <v>18952954566</v>
      </c>
      <c r="J10655" s="539" t="s">
        <v>21204</v>
      </c>
      <c r="K10655" s="544">
        <v>1000</v>
      </c>
      <c r="N10655" s="362">
        <f t="shared" si="384"/>
        <v>0</v>
      </c>
    </row>
    <row r="10656" customHeight="1" spans="1:14">
      <c r="A10656" s="564" t="s">
        <v>14767</v>
      </c>
      <c r="B10656" s="539" t="s">
        <v>58</v>
      </c>
      <c r="C10656" s="539" t="s">
        <v>59</v>
      </c>
      <c r="D10656" s="335" t="s">
        <v>343</v>
      </c>
      <c r="E10656" s="540">
        <v>43839</v>
      </c>
      <c r="F10656" s="540">
        <v>43838</v>
      </c>
      <c r="G10656" s="541"/>
      <c r="H10656" s="542" t="s">
        <v>21205</v>
      </c>
      <c r="I10656" s="543">
        <v>17317602350</v>
      </c>
      <c r="J10656" s="539" t="s">
        <v>21206</v>
      </c>
      <c r="K10656" s="544">
        <v>1000</v>
      </c>
      <c r="N10656" s="362">
        <f t="shared" si="384"/>
        <v>0</v>
      </c>
    </row>
    <row r="10657" customHeight="1" spans="1:14">
      <c r="A10657" s="564" t="s">
        <v>14281</v>
      </c>
      <c r="B10657" s="539" t="s">
        <v>66</v>
      </c>
      <c r="C10657" s="539" t="s">
        <v>15301</v>
      </c>
      <c r="D10657" s="335" t="s">
        <v>2302</v>
      </c>
      <c r="E10657" s="540">
        <v>43839</v>
      </c>
      <c r="F10657" s="540">
        <v>43839</v>
      </c>
      <c r="G10657" s="541"/>
      <c r="H10657" s="542" t="s">
        <v>21207</v>
      </c>
      <c r="I10657" s="543">
        <v>13917011528</v>
      </c>
      <c r="J10657" s="539" t="s">
        <v>21208</v>
      </c>
      <c r="K10657" s="544">
        <v>1000</v>
      </c>
      <c r="N10657" s="362">
        <f t="shared" si="384"/>
        <v>0</v>
      </c>
    </row>
    <row r="10658" customHeight="1" spans="1:14">
      <c r="A10658" s="564" t="s">
        <v>15248</v>
      </c>
      <c r="B10658" s="539" t="s">
        <v>137</v>
      </c>
      <c r="C10658" s="539" t="s">
        <v>411</v>
      </c>
      <c r="D10658" s="335" t="s">
        <v>443</v>
      </c>
      <c r="E10658" s="540">
        <v>43839</v>
      </c>
      <c r="F10658" s="540">
        <v>43838</v>
      </c>
      <c r="G10658" s="541"/>
      <c r="H10658" s="441" t="s">
        <v>21209</v>
      </c>
      <c r="I10658" s="543">
        <v>13774296703</v>
      </c>
      <c r="J10658" s="539" t="s">
        <v>21210</v>
      </c>
      <c r="K10658" s="544">
        <v>1000</v>
      </c>
      <c r="N10658" s="362">
        <f t="shared" si="384"/>
        <v>0</v>
      </c>
    </row>
    <row r="10659" customHeight="1" spans="1:14">
      <c r="A10659" s="564" t="s">
        <v>16796</v>
      </c>
      <c r="B10659" s="539" t="s">
        <v>58</v>
      </c>
      <c r="C10659" s="539" t="s">
        <v>347</v>
      </c>
      <c r="D10659" s="335" t="s">
        <v>343</v>
      </c>
      <c r="E10659" s="540">
        <v>43839</v>
      </c>
      <c r="F10659" s="540">
        <v>43837</v>
      </c>
      <c r="G10659" s="541"/>
      <c r="H10659" s="542" t="s">
        <v>21211</v>
      </c>
      <c r="I10659" s="543">
        <v>17717867885</v>
      </c>
      <c r="J10659" s="539" t="s">
        <v>21212</v>
      </c>
      <c r="K10659" s="544">
        <v>1000</v>
      </c>
      <c r="N10659" s="362">
        <f t="shared" si="384"/>
        <v>0</v>
      </c>
    </row>
    <row r="10660" customHeight="1" spans="1:14">
      <c r="A10660" s="564" t="s">
        <v>17111</v>
      </c>
      <c r="B10660" s="441" t="s">
        <v>315</v>
      </c>
      <c r="C10660" s="441" t="s">
        <v>161</v>
      </c>
      <c r="D10660" s="439" t="s">
        <v>162</v>
      </c>
      <c r="E10660" s="540">
        <v>43839</v>
      </c>
      <c r="F10660" s="540">
        <v>43840</v>
      </c>
      <c r="G10660" s="541">
        <v>43838</v>
      </c>
      <c r="H10660" s="441" t="s">
        <v>21213</v>
      </c>
      <c r="I10660" s="545">
        <v>13621631487</v>
      </c>
      <c r="J10660" s="546" t="s">
        <v>21214</v>
      </c>
      <c r="K10660" s="544">
        <v>1000</v>
      </c>
      <c r="L10660" s="439">
        <v>21398</v>
      </c>
      <c r="N10660" s="362">
        <f t="shared" si="384"/>
        <v>21398</v>
      </c>
    </row>
    <row r="10661" customHeight="1" spans="1:14">
      <c r="A10661" s="564" t="s">
        <v>14637</v>
      </c>
      <c r="B10661" s="539" t="s">
        <v>73</v>
      </c>
      <c r="C10661" s="539" t="s">
        <v>74</v>
      </c>
      <c r="D10661" s="335" t="s">
        <v>427</v>
      </c>
      <c r="E10661" s="540">
        <v>43839</v>
      </c>
      <c r="F10661" s="540">
        <v>43838</v>
      </c>
      <c r="G10661" s="541"/>
      <c r="H10661" s="542" t="s">
        <v>21215</v>
      </c>
      <c r="I10661" s="543">
        <v>13524152283</v>
      </c>
      <c r="J10661" s="539" t="s">
        <v>21216</v>
      </c>
      <c r="K10661" s="544">
        <v>1000</v>
      </c>
      <c r="N10661" s="362">
        <f t="shared" si="384"/>
        <v>0</v>
      </c>
    </row>
    <row r="10662" customHeight="1" spans="1:14">
      <c r="A10662" s="564" t="s">
        <v>9523</v>
      </c>
      <c r="B10662" s="539" t="s">
        <v>73</v>
      </c>
      <c r="C10662" s="539" t="s">
        <v>74</v>
      </c>
      <c r="D10662" s="335" t="s">
        <v>427</v>
      </c>
      <c r="E10662" s="540">
        <v>43839</v>
      </c>
      <c r="F10662" s="540">
        <v>43838</v>
      </c>
      <c r="G10662" s="541"/>
      <c r="H10662" s="542" t="s">
        <v>21217</v>
      </c>
      <c r="I10662" s="543">
        <v>15995532003</v>
      </c>
      <c r="J10662" s="539" t="s">
        <v>21218</v>
      </c>
      <c r="K10662" s="544">
        <v>1000</v>
      </c>
      <c r="N10662" s="362">
        <f t="shared" si="384"/>
        <v>0</v>
      </c>
    </row>
    <row r="10663" customHeight="1" spans="1:14">
      <c r="A10663" s="564" t="s">
        <v>2042</v>
      </c>
      <c r="B10663" s="539" t="s">
        <v>58</v>
      </c>
      <c r="C10663" s="539" t="s">
        <v>342</v>
      </c>
      <c r="D10663" s="335" t="s">
        <v>110</v>
      </c>
      <c r="E10663" s="540">
        <v>43839</v>
      </c>
      <c r="F10663" s="540">
        <v>43837</v>
      </c>
      <c r="G10663" s="541"/>
      <c r="H10663" s="542" t="s">
        <v>21219</v>
      </c>
      <c r="I10663" s="543">
        <v>18221966517</v>
      </c>
      <c r="J10663" s="539" t="s">
        <v>21220</v>
      </c>
      <c r="K10663" s="544">
        <v>1000</v>
      </c>
      <c r="N10663" s="362">
        <f t="shared" si="384"/>
        <v>0</v>
      </c>
    </row>
    <row r="10664" customHeight="1" spans="2:14">
      <c r="B10664" s="441" t="s">
        <v>137</v>
      </c>
      <c r="C10664" s="441" t="s">
        <v>2705</v>
      </c>
      <c r="D10664" s="439" t="s">
        <v>2381</v>
      </c>
      <c r="E10664" s="440">
        <v>43839</v>
      </c>
      <c r="G10664" s="440">
        <v>43838</v>
      </c>
      <c r="H10664" s="441" t="s">
        <v>20324</v>
      </c>
      <c r="I10664" s="547">
        <v>18616191818</v>
      </c>
      <c r="J10664" s="548" t="s">
        <v>20325</v>
      </c>
      <c r="M10664" s="439">
        <v>5627</v>
      </c>
      <c r="N10664" s="362">
        <f t="shared" ref="N10664:N10670" si="385">L10664+M10664</f>
        <v>5627</v>
      </c>
    </row>
    <row r="10665" customHeight="1" spans="2:14">
      <c r="B10665" s="441" t="s">
        <v>169</v>
      </c>
      <c r="C10665" s="441" t="s">
        <v>542</v>
      </c>
      <c r="D10665" s="439" t="s">
        <v>171</v>
      </c>
      <c r="E10665" s="440">
        <v>43839</v>
      </c>
      <c r="G10665" s="440">
        <v>43838</v>
      </c>
      <c r="H10665" s="441" t="s">
        <v>11495</v>
      </c>
      <c r="I10665" s="439">
        <v>13816689803</v>
      </c>
      <c r="J10665" s="439" t="s">
        <v>14999</v>
      </c>
      <c r="M10665" s="439">
        <v>104</v>
      </c>
      <c r="N10665" s="362">
        <f t="shared" si="385"/>
        <v>104</v>
      </c>
    </row>
    <row r="10666" customHeight="1" spans="2:14">
      <c r="B10666" s="441" t="s">
        <v>66</v>
      </c>
      <c r="C10666" s="441" t="s">
        <v>119</v>
      </c>
      <c r="D10666" s="439" t="s">
        <v>1436</v>
      </c>
      <c r="E10666" s="440">
        <v>43839</v>
      </c>
      <c r="G10666" s="440">
        <v>43836</v>
      </c>
      <c r="H10666" s="441" t="s">
        <v>21172</v>
      </c>
      <c r="I10666" s="545">
        <v>18018627186</v>
      </c>
      <c r="J10666" s="549" t="s">
        <v>21173</v>
      </c>
      <c r="M10666" s="439">
        <v>-375</v>
      </c>
      <c r="N10666" s="362">
        <f t="shared" si="385"/>
        <v>-375</v>
      </c>
    </row>
    <row r="10667" customHeight="1" spans="2:14">
      <c r="B10667" s="441" t="s">
        <v>58</v>
      </c>
      <c r="C10667" s="441" t="s">
        <v>794</v>
      </c>
      <c r="D10667" s="439" t="s">
        <v>271</v>
      </c>
      <c r="E10667" s="440">
        <v>43839</v>
      </c>
      <c r="G10667" s="440">
        <v>43839</v>
      </c>
      <c r="H10667" s="441" t="s">
        <v>19866</v>
      </c>
      <c r="I10667" s="547">
        <v>13817394627</v>
      </c>
      <c r="J10667" s="548" t="s">
        <v>21221</v>
      </c>
      <c r="M10667" s="439">
        <v>2000</v>
      </c>
      <c r="N10667" s="362">
        <f t="shared" si="385"/>
        <v>2000</v>
      </c>
    </row>
    <row r="10668" customHeight="1" spans="2:14">
      <c r="B10668" s="439" t="s">
        <v>31</v>
      </c>
      <c r="C10668" s="439" t="s">
        <v>377</v>
      </c>
      <c r="D10668" s="439" t="s">
        <v>221</v>
      </c>
      <c r="E10668" s="440">
        <v>43839</v>
      </c>
      <c r="G10668" s="440">
        <v>43839</v>
      </c>
      <c r="H10668" s="441" t="s">
        <v>3600</v>
      </c>
      <c r="I10668" s="439">
        <v>18017665128</v>
      </c>
      <c r="J10668" s="439" t="s">
        <v>3601</v>
      </c>
      <c r="M10668" s="439">
        <v>1195</v>
      </c>
      <c r="N10668" s="362">
        <f t="shared" si="385"/>
        <v>1195</v>
      </c>
    </row>
    <row r="10669" customHeight="1" spans="2:14">
      <c r="B10669" s="441" t="s">
        <v>58</v>
      </c>
      <c r="C10669" s="441" t="s">
        <v>794</v>
      </c>
      <c r="D10669" s="439" t="s">
        <v>271</v>
      </c>
      <c r="E10669" s="440">
        <v>43839</v>
      </c>
      <c r="G10669" s="440">
        <v>43837</v>
      </c>
      <c r="H10669" s="441" t="s">
        <v>20609</v>
      </c>
      <c r="I10669" s="547">
        <v>13166029601</v>
      </c>
      <c r="J10669" s="548" t="s">
        <v>20610</v>
      </c>
      <c r="M10669" s="439">
        <v>4318</v>
      </c>
      <c r="N10669" s="362">
        <f t="shared" si="385"/>
        <v>4318</v>
      </c>
    </row>
    <row r="10670" customHeight="1" spans="2:14">
      <c r="B10670" s="441" t="s">
        <v>315</v>
      </c>
      <c r="C10670" s="441" t="s">
        <v>161</v>
      </c>
      <c r="D10670" s="439" t="s">
        <v>162</v>
      </c>
      <c r="E10670" s="440">
        <v>43839</v>
      </c>
      <c r="G10670" s="440">
        <v>43837</v>
      </c>
      <c r="H10670" s="441" t="s">
        <v>17167</v>
      </c>
      <c r="I10670" s="547">
        <v>13916306145</v>
      </c>
      <c r="J10670" s="548" t="s">
        <v>17168</v>
      </c>
      <c r="M10670" s="439">
        <v>1020</v>
      </c>
      <c r="N10670" s="362">
        <f t="shared" si="385"/>
        <v>1020</v>
      </c>
    </row>
  </sheetData>
  <autoFilter ref="A2:AB10670">
    <sortState ref="A2:AB10670">
      <sortCondition ref="E2"/>
    </sortState>
    <extLst/>
  </autoFilter>
  <mergeCells count="16">
    <mergeCell ref="H1:J1"/>
    <mergeCell ref="O1:T1"/>
    <mergeCell ref="V1:W1"/>
    <mergeCell ref="Y1:AA1"/>
    <mergeCell ref="A1:A2"/>
    <mergeCell ref="B1:B2"/>
    <mergeCell ref="C1:C2"/>
    <mergeCell ref="D1:D2"/>
    <mergeCell ref="E1:E2"/>
    <mergeCell ref="F1:F2"/>
    <mergeCell ref="G1:G2"/>
    <mergeCell ref="K1:K2"/>
    <mergeCell ref="L1:L2"/>
    <mergeCell ref="M1:M2"/>
    <mergeCell ref="N1:N2"/>
    <mergeCell ref="X1:X2"/>
  </mergeCells>
  <conditionalFormatting sqref="H47">
    <cfRule type="duplicateValues" dxfId="0" priority="413"/>
  </conditionalFormatting>
  <conditionalFormatting sqref="H68">
    <cfRule type="duplicateValues" dxfId="0" priority="172"/>
  </conditionalFormatting>
  <conditionalFormatting sqref="H71">
    <cfRule type="duplicateValues" dxfId="0" priority="1500"/>
  </conditionalFormatting>
  <conditionalFormatting sqref="H72">
    <cfRule type="duplicateValues" dxfId="0" priority="411"/>
  </conditionalFormatting>
  <conditionalFormatting sqref="H117">
    <cfRule type="duplicateValues" dxfId="0" priority="2936"/>
  </conditionalFormatting>
  <conditionalFormatting sqref="H126">
    <cfRule type="duplicateValues" dxfId="0" priority="1663"/>
  </conditionalFormatting>
  <conditionalFormatting sqref="H134">
    <cfRule type="duplicateValues" dxfId="0" priority="689"/>
  </conditionalFormatting>
  <conditionalFormatting sqref="H202">
    <cfRule type="duplicateValues" dxfId="0" priority="3390"/>
  </conditionalFormatting>
  <conditionalFormatting sqref="H204">
    <cfRule type="duplicateValues" dxfId="0" priority="2326"/>
  </conditionalFormatting>
  <conditionalFormatting sqref="H256">
    <cfRule type="duplicateValues" dxfId="0" priority="1583"/>
  </conditionalFormatting>
  <conditionalFormatting sqref="H280">
    <cfRule type="duplicateValues" dxfId="0" priority="3421"/>
  </conditionalFormatting>
  <conditionalFormatting sqref="J280">
    <cfRule type="duplicateValues" dxfId="0" priority="3420"/>
  </conditionalFormatting>
  <conditionalFormatting sqref="H294">
    <cfRule type="duplicateValues" dxfId="0" priority="3414"/>
  </conditionalFormatting>
  <conditionalFormatting sqref="H296">
    <cfRule type="duplicateValues" dxfId="0" priority="248"/>
  </conditionalFormatting>
  <conditionalFormatting sqref="H302">
    <cfRule type="duplicateValues" dxfId="0" priority="3100"/>
  </conditionalFormatting>
  <conditionalFormatting sqref="J325">
    <cfRule type="duplicateValues" dxfId="0" priority="3402"/>
  </conditionalFormatting>
  <conditionalFormatting sqref="H337">
    <cfRule type="duplicateValues" dxfId="0" priority="2197"/>
  </conditionalFormatting>
  <conditionalFormatting sqref="H350">
    <cfRule type="duplicateValues" dxfId="0" priority="2894"/>
  </conditionalFormatting>
  <conditionalFormatting sqref="J367">
    <cfRule type="duplicateValues" dxfId="0" priority="961"/>
  </conditionalFormatting>
  <conditionalFormatting sqref="H374">
    <cfRule type="duplicateValues" dxfId="0" priority="3484"/>
  </conditionalFormatting>
  <conditionalFormatting sqref="H377">
    <cfRule type="duplicateValues" dxfId="0" priority="3268"/>
  </conditionalFormatting>
  <conditionalFormatting sqref="H387">
    <cfRule type="duplicateValues" dxfId="0" priority="934"/>
  </conditionalFormatting>
  <conditionalFormatting sqref="H429">
    <cfRule type="duplicateValues" dxfId="0" priority="2797"/>
  </conditionalFormatting>
  <conditionalFormatting sqref="H435">
    <cfRule type="duplicateValues" dxfId="0" priority="3434"/>
  </conditionalFormatting>
  <conditionalFormatting sqref="J435">
    <cfRule type="duplicateValues" dxfId="0" priority="3435"/>
  </conditionalFormatting>
  <conditionalFormatting sqref="H450">
    <cfRule type="duplicateValues" dxfId="0" priority="3469"/>
  </conditionalFormatting>
  <conditionalFormatting sqref="H454">
    <cfRule type="duplicateValues" dxfId="0" priority="2914"/>
  </conditionalFormatting>
  <conditionalFormatting sqref="H468">
    <cfRule type="duplicateValues" dxfId="0" priority="3431"/>
  </conditionalFormatting>
  <conditionalFormatting sqref="H498">
    <cfRule type="duplicateValues" dxfId="0" priority="2913"/>
  </conditionalFormatting>
  <conditionalFormatting sqref="H590">
    <cfRule type="duplicateValues" dxfId="0" priority="2352"/>
  </conditionalFormatting>
  <conditionalFormatting sqref="H592">
    <cfRule type="duplicateValues" dxfId="0" priority="2953"/>
  </conditionalFormatting>
  <conditionalFormatting sqref="H596">
    <cfRule type="duplicateValues" dxfId="0" priority="2299"/>
  </conditionalFormatting>
  <conditionalFormatting sqref="H598">
    <cfRule type="duplicateValues" dxfId="0" priority="3388"/>
  </conditionalFormatting>
  <conditionalFormatting sqref="J617">
    <cfRule type="duplicateValues" dxfId="0" priority="3391"/>
  </conditionalFormatting>
  <conditionalFormatting sqref="H625">
    <cfRule type="duplicateValues" dxfId="0" priority="1499"/>
  </conditionalFormatting>
  <conditionalFormatting sqref="I625">
    <cfRule type="duplicateValues" dxfId="0" priority="1498"/>
  </conditionalFormatting>
  <conditionalFormatting sqref="J628">
    <cfRule type="duplicateValues" dxfId="0" priority="3218"/>
  </conditionalFormatting>
  <conditionalFormatting sqref="H630">
    <cfRule type="duplicateValues" dxfId="0" priority="2890"/>
  </conditionalFormatting>
  <conditionalFormatting sqref="J657">
    <cfRule type="duplicateValues" dxfId="0" priority="3006"/>
  </conditionalFormatting>
  <conditionalFormatting sqref="H661">
    <cfRule type="duplicateValues" dxfId="0" priority="2949"/>
  </conditionalFormatting>
  <conditionalFormatting sqref="H671">
    <cfRule type="duplicateValues" dxfId="0" priority="2952"/>
  </conditionalFormatting>
  <conditionalFormatting sqref="H675">
    <cfRule type="duplicateValues" dxfId="0" priority="3101"/>
  </conditionalFormatting>
  <conditionalFormatting sqref="J686">
    <cfRule type="duplicateValues" dxfId="0" priority="2989"/>
  </conditionalFormatting>
  <conditionalFormatting sqref="H688">
    <cfRule type="duplicateValues" dxfId="0" priority="2909"/>
  </conditionalFormatting>
  <conditionalFormatting sqref="H699">
    <cfRule type="duplicateValues" dxfId="0" priority="3072"/>
  </conditionalFormatting>
  <conditionalFormatting sqref="H715">
    <cfRule type="duplicateValues" dxfId="0" priority="3307"/>
  </conditionalFormatting>
  <conditionalFormatting sqref="H726">
    <cfRule type="duplicateValues" dxfId="0" priority="1519"/>
  </conditionalFormatting>
  <conditionalFormatting sqref="H728">
    <cfRule type="duplicateValues" dxfId="0" priority="2620"/>
  </conditionalFormatting>
  <conditionalFormatting sqref="J756">
    <cfRule type="duplicateValues" dxfId="0" priority="2947"/>
  </conditionalFormatting>
  <conditionalFormatting sqref="H775">
    <cfRule type="duplicateValues" dxfId="0" priority="3476"/>
  </conditionalFormatting>
  <conditionalFormatting sqref="J783">
    <cfRule type="duplicateValues" dxfId="0" priority="3012"/>
  </conditionalFormatting>
  <conditionalFormatting sqref="H786">
    <cfRule type="duplicateValues" dxfId="0" priority="2196"/>
  </conditionalFormatting>
  <conditionalFormatting sqref="H790">
    <cfRule type="duplicateValues" dxfId="0" priority="2206"/>
  </conditionalFormatting>
  <conditionalFormatting sqref="H815">
    <cfRule type="duplicateValues" dxfId="0" priority="3394"/>
  </conditionalFormatting>
  <conditionalFormatting sqref="H817">
    <cfRule type="duplicateValues" dxfId="0" priority="3172"/>
  </conditionalFormatting>
  <conditionalFormatting sqref="H818">
    <cfRule type="duplicateValues" dxfId="0" priority="449"/>
  </conditionalFormatting>
  <conditionalFormatting sqref="H837">
    <cfRule type="duplicateValues" dxfId="0" priority="3058"/>
  </conditionalFormatting>
  <conditionalFormatting sqref="H859">
    <cfRule type="duplicateValues" dxfId="0" priority="2600"/>
  </conditionalFormatting>
  <conditionalFormatting sqref="J879">
    <cfRule type="duplicateValues" dxfId="0" priority="2000"/>
  </conditionalFormatting>
  <conditionalFormatting sqref="J888">
    <cfRule type="duplicateValues" dxfId="0" priority="2553"/>
  </conditionalFormatting>
  <conditionalFormatting sqref="H923">
    <cfRule type="duplicateValues" dxfId="0" priority="2660"/>
  </conditionalFormatting>
  <conditionalFormatting sqref="H971">
    <cfRule type="duplicateValues" dxfId="0" priority="2951"/>
  </conditionalFormatting>
  <conditionalFormatting sqref="H1016">
    <cfRule type="duplicateValues" dxfId="0" priority="408"/>
  </conditionalFormatting>
  <conditionalFormatting sqref="H1037">
    <cfRule type="duplicateValues" dxfId="0" priority="3458"/>
  </conditionalFormatting>
  <conditionalFormatting sqref="H1064">
    <cfRule type="duplicateValues" dxfId="0" priority="2658"/>
  </conditionalFormatting>
  <conditionalFormatting sqref="H1078">
    <cfRule type="duplicateValues" dxfId="0" priority="3456"/>
  </conditionalFormatting>
  <conditionalFormatting sqref="H1084">
    <cfRule type="duplicateValues" dxfId="0" priority="3023"/>
  </conditionalFormatting>
  <conditionalFormatting sqref="H1101">
    <cfRule type="duplicateValues" dxfId="0" priority="3432"/>
  </conditionalFormatting>
  <conditionalFormatting sqref="H1102">
    <cfRule type="duplicateValues" dxfId="0" priority="3060"/>
  </conditionalFormatting>
  <conditionalFormatting sqref="H1130">
    <cfRule type="duplicateValues" dxfId="0" priority="600"/>
  </conditionalFormatting>
  <conditionalFormatting sqref="H1160">
    <cfRule type="duplicateValues" dxfId="0" priority="2012"/>
  </conditionalFormatting>
  <conditionalFormatting sqref="H1161">
    <cfRule type="duplicateValues" dxfId="0" priority="3470"/>
  </conditionalFormatting>
  <conditionalFormatting sqref="J1189">
    <cfRule type="duplicateValues" dxfId="0" priority="2263"/>
  </conditionalFormatting>
  <conditionalFormatting sqref="H1193">
    <cfRule type="duplicateValues" dxfId="0" priority="3426"/>
  </conditionalFormatting>
  <conditionalFormatting sqref="H1198">
    <cfRule type="duplicateValues" dxfId="1" priority="2511"/>
    <cfRule type="duplicateValues" dxfId="2" priority="2512"/>
    <cfRule type="duplicateValues" dxfId="2" priority="2513"/>
    <cfRule type="duplicateValues" dxfId="2" priority="2514"/>
    <cfRule type="duplicateValues" dxfId="0" priority="2515"/>
  </conditionalFormatting>
  <conditionalFormatting sqref="H1212">
    <cfRule type="duplicateValues" dxfId="0" priority="3015"/>
  </conditionalFormatting>
  <conditionalFormatting sqref="J1212">
    <cfRule type="duplicateValues" dxfId="0" priority="3016"/>
  </conditionalFormatting>
  <conditionalFormatting sqref="H1254">
    <cfRule type="duplicateValues" dxfId="0" priority="2428"/>
  </conditionalFormatting>
  <conditionalFormatting sqref="H1291">
    <cfRule type="duplicateValues" dxfId="0" priority="2587"/>
  </conditionalFormatting>
  <conditionalFormatting sqref="H1305">
    <cfRule type="duplicateValues" dxfId="0" priority="2385"/>
  </conditionalFormatting>
  <conditionalFormatting sqref="H1311">
    <cfRule type="duplicateValues" dxfId="0" priority="1575"/>
  </conditionalFormatting>
  <conditionalFormatting sqref="H1317">
    <cfRule type="duplicateValues" dxfId="0" priority="2984"/>
  </conditionalFormatting>
  <conditionalFormatting sqref="H1329">
    <cfRule type="duplicateValues" dxfId="0" priority="930"/>
  </conditionalFormatting>
  <conditionalFormatting sqref="H1336">
    <cfRule type="duplicateValues" dxfId="0" priority="466"/>
  </conditionalFormatting>
  <conditionalFormatting sqref="H1348">
    <cfRule type="duplicateValues" dxfId="0" priority="3392"/>
  </conditionalFormatting>
  <conditionalFormatting sqref="H1350">
    <cfRule type="duplicateValues" dxfId="0" priority="2327"/>
  </conditionalFormatting>
  <conditionalFormatting sqref="J1356">
    <cfRule type="duplicateValues" dxfId="0" priority="1866"/>
  </conditionalFormatting>
  <conditionalFormatting sqref="H1362">
    <cfRule type="duplicateValues" dxfId="0" priority="3025"/>
  </conditionalFormatting>
  <conditionalFormatting sqref="H1373">
    <cfRule type="duplicateValues" dxfId="0" priority="149"/>
  </conditionalFormatting>
  <conditionalFormatting sqref="J1425">
    <cfRule type="duplicateValues" dxfId="0" priority="2066"/>
  </conditionalFormatting>
  <conditionalFormatting sqref="H1431">
    <cfRule type="duplicateValues" dxfId="0" priority="2738"/>
  </conditionalFormatting>
  <conditionalFormatting sqref="H1447">
    <cfRule type="duplicateValues" dxfId="0" priority="3059"/>
  </conditionalFormatting>
  <conditionalFormatting sqref="H1450">
    <cfRule type="duplicateValues" dxfId="0" priority="3086"/>
  </conditionalFormatting>
  <conditionalFormatting sqref="H1462">
    <cfRule type="duplicateValues" dxfId="0" priority="2123"/>
  </conditionalFormatting>
  <conditionalFormatting sqref="J1462">
    <cfRule type="duplicateValues" dxfId="0" priority="2122"/>
  </conditionalFormatting>
  <conditionalFormatting sqref="J1463">
    <cfRule type="duplicateValues" dxfId="0" priority="2934"/>
  </conditionalFormatting>
  <conditionalFormatting sqref="H1478">
    <cfRule type="duplicateValues" dxfId="0" priority="3409"/>
  </conditionalFormatting>
  <conditionalFormatting sqref="H1517">
    <cfRule type="duplicateValues" dxfId="0" priority="2400"/>
  </conditionalFormatting>
  <conditionalFormatting sqref="H1521">
    <cfRule type="duplicateValues" dxfId="0" priority="148"/>
  </conditionalFormatting>
  <conditionalFormatting sqref="H1524">
    <cfRule type="duplicateValues" dxfId="0" priority="1744"/>
  </conditionalFormatting>
  <conditionalFormatting sqref="B1527">
    <cfRule type="duplicateValues" dxfId="0" priority="3504"/>
  </conditionalFormatting>
  <conditionalFormatting sqref="H1542">
    <cfRule type="duplicateValues" dxfId="0" priority="2746"/>
  </conditionalFormatting>
  <conditionalFormatting sqref="H1543">
    <cfRule type="duplicateValues" dxfId="0" priority="2621"/>
  </conditionalFormatting>
  <conditionalFormatting sqref="H1564">
    <cfRule type="duplicateValues" dxfId="0" priority="3478"/>
  </conditionalFormatting>
  <conditionalFormatting sqref="H1565">
    <cfRule type="duplicateValues" dxfId="0" priority="1300"/>
  </conditionalFormatting>
  <conditionalFormatting sqref="H1591">
    <cfRule type="duplicateValues" dxfId="0" priority="976"/>
  </conditionalFormatting>
  <conditionalFormatting sqref="J1591">
    <cfRule type="duplicateValues" dxfId="0" priority="975"/>
  </conditionalFormatting>
  <conditionalFormatting sqref="H1609">
    <cfRule type="duplicateValues" dxfId="0" priority="2261"/>
  </conditionalFormatting>
  <conditionalFormatting sqref="H1637:J1637">
    <cfRule type="duplicateValues" dxfId="0" priority="3494"/>
  </conditionalFormatting>
  <conditionalFormatting sqref="H1666">
    <cfRule type="duplicateValues" dxfId="0" priority="2485"/>
  </conditionalFormatting>
  <conditionalFormatting sqref="H1682">
    <cfRule type="duplicateValues" dxfId="0" priority="2049"/>
  </conditionalFormatting>
  <conditionalFormatting sqref="H1684">
    <cfRule type="duplicateValues" dxfId="0" priority="3387"/>
  </conditionalFormatting>
  <conditionalFormatting sqref="H1688">
    <cfRule type="duplicateValues" dxfId="0" priority="2529"/>
  </conditionalFormatting>
  <conditionalFormatting sqref="H1696:J1696">
    <cfRule type="duplicateValues" dxfId="0" priority="3483"/>
  </conditionalFormatting>
  <conditionalFormatting sqref="H1713">
    <cfRule type="duplicateValues" dxfId="0" priority="1410"/>
  </conditionalFormatting>
  <conditionalFormatting sqref="J1713">
    <cfRule type="duplicateValues" dxfId="0" priority="1409"/>
  </conditionalFormatting>
  <conditionalFormatting sqref="H1720">
    <cfRule type="duplicateValues" dxfId="0" priority="2253"/>
  </conditionalFormatting>
  <conditionalFormatting sqref="H1726">
    <cfRule type="duplicateValues" dxfId="0" priority="2728"/>
  </conditionalFormatting>
  <conditionalFormatting sqref="H1730">
    <cfRule type="duplicateValues" dxfId="0" priority="2199"/>
  </conditionalFormatting>
  <conditionalFormatting sqref="H1734">
    <cfRule type="duplicateValues" dxfId="0" priority="2948"/>
  </conditionalFormatting>
  <conditionalFormatting sqref="H1738">
    <cfRule type="duplicateValues" dxfId="0" priority="2845"/>
  </conditionalFormatting>
  <conditionalFormatting sqref="H1740">
    <cfRule type="duplicateValues" dxfId="0" priority="2792"/>
  </conditionalFormatting>
  <conditionalFormatting sqref="H1741:J1741">
    <cfRule type="duplicateValues" dxfId="0" priority="3479"/>
  </conditionalFormatting>
  <conditionalFormatting sqref="H1742:J1742">
    <cfRule type="duplicateValues" dxfId="0" priority="3475"/>
  </conditionalFormatting>
  <conditionalFormatting sqref="H1743">
    <cfRule type="duplicateValues" dxfId="0" priority="2955"/>
  </conditionalFormatting>
  <conditionalFormatting sqref="H1752">
    <cfRule type="duplicateValues" dxfId="0" priority="2950"/>
  </conditionalFormatting>
  <conditionalFormatting sqref="H1753:J1753">
    <cfRule type="duplicateValues" dxfId="0" priority="3472"/>
  </conditionalFormatting>
  <conditionalFormatting sqref="H1754:J1754">
    <cfRule type="duplicateValues" dxfId="0" priority="3471"/>
  </conditionalFormatting>
  <conditionalFormatting sqref="H1771:J1771">
    <cfRule type="duplicateValues" dxfId="0" priority="3464"/>
  </conditionalFormatting>
  <conditionalFormatting sqref="H1779">
    <cfRule type="duplicateValues" dxfId="0" priority="2200"/>
  </conditionalFormatting>
  <conditionalFormatting sqref="H1791:J1791">
    <cfRule type="duplicateValues" dxfId="0" priority="3457"/>
  </conditionalFormatting>
  <conditionalFormatting sqref="H1802:J1802">
    <cfRule type="duplicateValues" dxfId="0" priority="3446"/>
  </conditionalFormatting>
  <conditionalFormatting sqref="H1803:J1803">
    <cfRule type="duplicateValues" dxfId="0" priority="3445"/>
  </conditionalFormatting>
  <conditionalFormatting sqref="H1804:J1804">
    <cfRule type="duplicateValues" dxfId="0" priority="3444"/>
  </conditionalFormatting>
  <conditionalFormatting sqref="H1807">
    <cfRule type="duplicateValues" dxfId="0" priority="2938"/>
  </conditionalFormatting>
  <conditionalFormatting sqref="H1810">
    <cfRule type="duplicateValues" dxfId="0" priority="3413"/>
  </conditionalFormatting>
  <conditionalFormatting sqref="H1813:J1813">
    <cfRule type="duplicateValues" dxfId="0" priority="3438"/>
  </conditionalFormatting>
  <conditionalFormatting sqref="H1816:J1816">
    <cfRule type="duplicateValues" dxfId="0" priority="3437"/>
  </conditionalFormatting>
  <conditionalFormatting sqref="H1822">
    <cfRule type="duplicateValues" dxfId="0" priority="2266"/>
  </conditionalFormatting>
  <conditionalFormatting sqref="H1827">
    <cfRule type="duplicateValues" dxfId="0" priority="3436"/>
  </conditionalFormatting>
  <conditionalFormatting sqref="H1829:J1829">
    <cfRule type="duplicateValues" dxfId="0" priority="3433"/>
  </conditionalFormatting>
  <conditionalFormatting sqref="H1831">
    <cfRule type="duplicateValues" dxfId="0" priority="3199"/>
  </conditionalFormatting>
  <conditionalFormatting sqref="H1834">
    <cfRule type="duplicateValues" dxfId="0" priority="2807"/>
  </conditionalFormatting>
  <conditionalFormatting sqref="H1837">
    <cfRule type="duplicateValues" dxfId="0" priority="2037"/>
  </conditionalFormatting>
  <conditionalFormatting sqref="H1843">
    <cfRule type="duplicateValues" dxfId="0" priority="2011"/>
  </conditionalFormatting>
  <conditionalFormatting sqref="I1849">
    <cfRule type="duplicateValues" dxfId="0" priority="833"/>
  </conditionalFormatting>
  <conditionalFormatting sqref="H1860">
    <cfRule type="duplicateValues" dxfId="0" priority="2843"/>
  </conditionalFormatting>
  <conditionalFormatting sqref="H1874:J1874">
    <cfRule type="duplicateValues" dxfId="0" priority="3427"/>
  </conditionalFormatting>
  <conditionalFormatting sqref="H1875">
    <cfRule type="duplicateValues" dxfId="0" priority="3424"/>
  </conditionalFormatting>
  <conditionalFormatting sqref="I1875:J1875">
    <cfRule type="duplicateValues" dxfId="0" priority="3425"/>
  </conditionalFormatting>
  <conditionalFormatting sqref="H1890">
    <cfRule type="duplicateValues" dxfId="0" priority="3022"/>
  </conditionalFormatting>
  <conditionalFormatting sqref="H1893">
    <cfRule type="duplicateValues" dxfId="0" priority="2781"/>
  </conditionalFormatting>
  <conditionalFormatting sqref="H1894">
    <cfRule type="duplicateValues" dxfId="0" priority="2205"/>
  </conditionalFormatting>
  <conditionalFormatting sqref="J1899">
    <cfRule type="duplicateValues" dxfId="0" priority="1509"/>
  </conditionalFormatting>
  <conditionalFormatting sqref="H1902">
    <cfRule type="duplicateValues" dxfId="0" priority="3013"/>
  </conditionalFormatting>
  <conditionalFormatting sqref="J1902">
    <cfRule type="duplicateValues" dxfId="0" priority="3014"/>
  </conditionalFormatting>
  <conditionalFormatting sqref="H1921:J1921">
    <cfRule type="duplicateValues" dxfId="0" priority="3405"/>
  </conditionalFormatting>
  <conditionalFormatting sqref="H1922:J1922">
    <cfRule type="duplicateValues" dxfId="0" priority="3404"/>
  </conditionalFormatting>
  <conditionalFormatting sqref="H1923:J1923">
    <cfRule type="duplicateValues" dxfId="0" priority="3403"/>
  </conditionalFormatting>
  <conditionalFormatting sqref="H1924:J1924">
    <cfRule type="duplicateValues" dxfId="0" priority="3401"/>
  </conditionalFormatting>
  <conditionalFormatting sqref="H1926">
    <cfRule type="duplicateValues" dxfId="0" priority="2869"/>
  </conditionalFormatting>
  <conditionalFormatting sqref="H1931:J1931">
    <cfRule type="duplicateValues" dxfId="0" priority="3396"/>
  </conditionalFormatting>
  <conditionalFormatting sqref="H1932:J1932">
    <cfRule type="duplicateValues" dxfId="0" priority="3395"/>
  </conditionalFormatting>
  <conditionalFormatting sqref="H1933:J1933">
    <cfRule type="duplicateValues" dxfId="0" priority="3393"/>
  </conditionalFormatting>
  <conditionalFormatting sqref="H1934">
    <cfRule type="duplicateValues" dxfId="0" priority="2001"/>
  </conditionalFormatting>
  <conditionalFormatting sqref="O1940">
    <cfRule type="duplicateValues" dxfId="0" priority="3284"/>
  </conditionalFormatting>
  <conditionalFormatting sqref="H1943:J1943">
    <cfRule type="duplicateValues" dxfId="0" priority="3383"/>
  </conditionalFormatting>
  <conditionalFormatting sqref="H1944:J1944">
    <cfRule type="duplicateValues" dxfId="0" priority="3382"/>
  </conditionalFormatting>
  <conditionalFormatting sqref="H1945:J1945">
    <cfRule type="duplicateValues" dxfId="0" priority="3381"/>
  </conditionalFormatting>
  <conditionalFormatting sqref="H1946:J1946">
    <cfRule type="duplicateValues" dxfId="0" priority="3366"/>
  </conditionalFormatting>
  <conditionalFormatting sqref="H1947:J1947">
    <cfRule type="duplicateValues" dxfId="0" priority="3365"/>
  </conditionalFormatting>
  <conditionalFormatting sqref="H1948:J1948">
    <cfRule type="duplicateValues" dxfId="0" priority="3364"/>
  </conditionalFormatting>
  <conditionalFormatting sqref="H1949:J1949">
    <cfRule type="duplicateValues" dxfId="0" priority="3363"/>
  </conditionalFormatting>
  <conditionalFormatting sqref="H1950:J1950">
    <cfRule type="duplicateValues" dxfId="0" priority="3362"/>
  </conditionalFormatting>
  <conditionalFormatting sqref="H1951:J1951">
    <cfRule type="duplicateValues" dxfId="0" priority="3361"/>
  </conditionalFormatting>
  <conditionalFormatting sqref="H1952:J1952">
    <cfRule type="duplicateValues" dxfId="0" priority="3360"/>
  </conditionalFormatting>
  <conditionalFormatting sqref="H1953:J1953">
    <cfRule type="duplicateValues" dxfId="0" priority="3359"/>
  </conditionalFormatting>
  <conditionalFormatting sqref="H1954:J1954">
    <cfRule type="duplicateValues" dxfId="0" priority="3358"/>
  </conditionalFormatting>
  <conditionalFormatting sqref="H1955:J1955">
    <cfRule type="duplicateValues" dxfId="0" priority="3357"/>
  </conditionalFormatting>
  <conditionalFormatting sqref="H1956:J1956">
    <cfRule type="duplicateValues" dxfId="0" priority="3356"/>
  </conditionalFormatting>
  <conditionalFormatting sqref="H1957:J1957">
    <cfRule type="duplicateValues" dxfId="0" priority="3355"/>
  </conditionalFormatting>
  <conditionalFormatting sqref="H1958:J1958">
    <cfRule type="duplicateValues" dxfId="0" priority="3354"/>
  </conditionalFormatting>
  <conditionalFormatting sqref="H1959:J1959">
    <cfRule type="duplicateValues" dxfId="0" priority="3353"/>
  </conditionalFormatting>
  <conditionalFormatting sqref="H1960:J1960">
    <cfRule type="duplicateValues" dxfId="0" priority="3352"/>
  </conditionalFormatting>
  <conditionalFormatting sqref="H1966">
    <cfRule type="duplicateValues" dxfId="0" priority="3348"/>
  </conditionalFormatting>
  <conditionalFormatting sqref="I1966:J1966">
    <cfRule type="duplicateValues" dxfId="0" priority="3347"/>
  </conditionalFormatting>
  <conditionalFormatting sqref="H1967:J1967">
    <cfRule type="duplicateValues" dxfId="0" priority="3346"/>
  </conditionalFormatting>
  <conditionalFormatting sqref="H1971:J1971">
    <cfRule type="duplicateValues" dxfId="0" priority="3344"/>
  </conditionalFormatting>
  <conditionalFormatting sqref="H1975:J1975">
    <cfRule type="duplicateValues" dxfId="0" priority="3342"/>
  </conditionalFormatting>
  <conditionalFormatting sqref="H1976:J1976">
    <cfRule type="duplicateValues" dxfId="0" priority="3341"/>
  </conditionalFormatting>
  <conditionalFormatting sqref="H1979:J1979">
    <cfRule type="duplicateValues" dxfId="0" priority="3339"/>
  </conditionalFormatting>
  <conditionalFormatting sqref="H1980:J1980">
    <cfRule type="duplicateValues" dxfId="0" priority="3338"/>
  </conditionalFormatting>
  <conditionalFormatting sqref="H1981:J1981">
    <cfRule type="duplicateValues" dxfId="0" priority="3337"/>
  </conditionalFormatting>
  <conditionalFormatting sqref="H1989:J1989">
    <cfRule type="duplicateValues" dxfId="0" priority="3335"/>
  </conditionalFormatting>
  <conditionalFormatting sqref="H1990:J1990">
    <cfRule type="duplicateValues" dxfId="0" priority="3334"/>
  </conditionalFormatting>
  <conditionalFormatting sqref="H1991:J1991">
    <cfRule type="duplicateValues" dxfId="0" priority="3333"/>
  </conditionalFormatting>
  <conditionalFormatting sqref="H1992:J1992">
    <cfRule type="duplicateValues" dxfId="0" priority="3332"/>
  </conditionalFormatting>
  <conditionalFormatting sqref="H2001:J2001">
    <cfRule type="duplicateValues" dxfId="0" priority="3330"/>
  </conditionalFormatting>
  <conditionalFormatting sqref="H2002:J2002">
    <cfRule type="duplicateValues" dxfId="0" priority="3329"/>
  </conditionalFormatting>
  <conditionalFormatting sqref="H2003:J2003">
    <cfRule type="duplicateValues" dxfId="0" priority="3328"/>
  </conditionalFormatting>
  <conditionalFormatting sqref="H2013:J2013">
    <cfRule type="duplicateValues" dxfId="0" priority="3325"/>
  </conditionalFormatting>
  <conditionalFormatting sqref="H2014:J2014">
    <cfRule type="duplicateValues" dxfId="0" priority="3324"/>
  </conditionalFormatting>
  <conditionalFormatting sqref="H2015:J2015">
    <cfRule type="duplicateValues" dxfId="0" priority="3323"/>
  </conditionalFormatting>
  <conditionalFormatting sqref="H2024:J2024">
    <cfRule type="duplicateValues" dxfId="0" priority="3319"/>
  </conditionalFormatting>
  <conditionalFormatting sqref="H2025:J2025">
    <cfRule type="duplicateValues" dxfId="0" priority="3318"/>
  </conditionalFormatting>
  <conditionalFormatting sqref="H2026:J2026">
    <cfRule type="duplicateValues" dxfId="0" priority="3317"/>
  </conditionalFormatting>
  <conditionalFormatting sqref="H2027:J2027">
    <cfRule type="duplicateValues" dxfId="0" priority="3316"/>
  </conditionalFormatting>
  <conditionalFormatting sqref="H2028:J2028">
    <cfRule type="duplicateValues" dxfId="0" priority="3315"/>
  </conditionalFormatting>
  <conditionalFormatting sqref="H2029:J2029">
    <cfRule type="duplicateValues" dxfId="0" priority="3314"/>
  </conditionalFormatting>
  <conditionalFormatting sqref="H2030:J2030">
    <cfRule type="duplicateValues" dxfId="0" priority="3313"/>
  </conditionalFormatting>
  <conditionalFormatting sqref="H2031:J2031">
    <cfRule type="duplicateValues" dxfId="0" priority="3312"/>
  </conditionalFormatting>
  <conditionalFormatting sqref="H2034:J2034">
    <cfRule type="duplicateValues" dxfId="0" priority="3310"/>
  </conditionalFormatting>
  <conditionalFormatting sqref="H2035:J2035">
    <cfRule type="duplicateValues" dxfId="0" priority="3309"/>
  </conditionalFormatting>
  <conditionalFormatting sqref="H2036:J2036">
    <cfRule type="duplicateValues" dxfId="0" priority="3308"/>
  </conditionalFormatting>
  <conditionalFormatting sqref="H2038">
    <cfRule type="duplicateValues" dxfId="0" priority="2925"/>
  </conditionalFormatting>
  <conditionalFormatting sqref="H2044:J2044">
    <cfRule type="duplicateValues" dxfId="0" priority="3303"/>
  </conditionalFormatting>
  <conditionalFormatting sqref="H2045:J2045">
    <cfRule type="duplicateValues" dxfId="0" priority="3302"/>
  </conditionalFormatting>
  <conditionalFormatting sqref="H2046:J2046">
    <cfRule type="duplicateValues" dxfId="0" priority="3301"/>
  </conditionalFormatting>
  <conditionalFormatting sqref="H2047:J2047">
    <cfRule type="duplicateValues" dxfId="0" priority="3300"/>
  </conditionalFormatting>
  <conditionalFormatting sqref="H2048:J2048">
    <cfRule type="duplicateValues" dxfId="0" priority="3299"/>
  </conditionalFormatting>
  <conditionalFormatting sqref="H2049:J2049">
    <cfRule type="duplicateValues" dxfId="0" priority="3298"/>
  </conditionalFormatting>
  <conditionalFormatting sqref="H2050:J2050">
    <cfRule type="duplicateValues" dxfId="0" priority="3297"/>
  </conditionalFormatting>
  <conditionalFormatting sqref="H2053:J2053">
    <cfRule type="duplicateValues" dxfId="0" priority="3294"/>
  </conditionalFormatting>
  <conditionalFormatting sqref="H2054:J2054">
    <cfRule type="duplicateValues" dxfId="0" priority="3293"/>
  </conditionalFormatting>
  <conditionalFormatting sqref="H2058:J2058">
    <cfRule type="duplicateValues" dxfId="0" priority="3291"/>
  </conditionalFormatting>
  <conditionalFormatting sqref="H2070:J2070">
    <cfRule type="duplicateValues" dxfId="0" priority="3121"/>
  </conditionalFormatting>
  <conditionalFormatting sqref="H2071:J2071">
    <cfRule type="duplicateValues" dxfId="0" priority="3285"/>
  </conditionalFormatting>
  <conditionalFormatting sqref="H2072:J2072">
    <cfRule type="duplicateValues" dxfId="0" priority="3283"/>
  </conditionalFormatting>
  <conditionalFormatting sqref="H2073:J2073">
    <cfRule type="duplicateValues" dxfId="0" priority="3282"/>
  </conditionalFormatting>
  <conditionalFormatting sqref="H2074:J2074">
    <cfRule type="duplicateValues" dxfId="0" priority="3273"/>
  </conditionalFormatting>
  <conditionalFormatting sqref="H2075:J2075">
    <cfRule type="duplicateValues" dxfId="0" priority="3272"/>
  </conditionalFormatting>
  <conditionalFormatting sqref="H2076:J2076">
    <cfRule type="duplicateValues" dxfId="0" priority="3271"/>
  </conditionalFormatting>
  <conditionalFormatting sqref="H2077:J2077">
    <cfRule type="duplicateValues" dxfId="0" priority="3270"/>
  </conditionalFormatting>
  <conditionalFormatting sqref="H2078:J2078">
    <cfRule type="duplicateValues" dxfId="0" priority="3269"/>
  </conditionalFormatting>
  <conditionalFormatting sqref="H2079:J2079">
    <cfRule type="duplicateValues" dxfId="0" priority="3267"/>
  </conditionalFormatting>
  <conditionalFormatting sqref="H2080:J2080">
    <cfRule type="duplicateValues" dxfId="0" priority="3266"/>
  </conditionalFormatting>
  <conditionalFormatting sqref="H2081:J2081">
    <cfRule type="duplicateValues" dxfId="0" priority="3265"/>
  </conditionalFormatting>
  <conditionalFormatting sqref="H2082:J2082">
    <cfRule type="duplicateValues" dxfId="0" priority="3264"/>
  </conditionalFormatting>
  <conditionalFormatting sqref="H2083:J2083">
    <cfRule type="duplicateValues" dxfId="0" priority="3263"/>
  </conditionalFormatting>
  <conditionalFormatting sqref="H2084:J2084">
    <cfRule type="duplicateValues" dxfId="0" priority="3262"/>
  </conditionalFormatting>
  <conditionalFormatting sqref="H2085:J2085">
    <cfRule type="duplicateValues" dxfId="0" priority="3261"/>
  </conditionalFormatting>
  <conditionalFormatting sqref="H2086:J2086">
    <cfRule type="duplicateValues" dxfId="0" priority="3260"/>
  </conditionalFormatting>
  <conditionalFormatting sqref="H2087:J2087">
    <cfRule type="duplicateValues" dxfId="0" priority="3259"/>
  </conditionalFormatting>
  <conditionalFormatting sqref="H2088:J2088">
    <cfRule type="duplicateValues" dxfId="0" priority="3258"/>
  </conditionalFormatting>
  <conditionalFormatting sqref="H2089:J2089">
    <cfRule type="duplicateValues" dxfId="0" priority="3257"/>
  </conditionalFormatting>
  <conditionalFormatting sqref="H2090:J2090">
    <cfRule type="duplicateValues" dxfId="0" priority="3256"/>
  </conditionalFormatting>
  <conditionalFormatting sqref="H2091:J2091">
    <cfRule type="duplicateValues" dxfId="0" priority="3255"/>
  </conditionalFormatting>
  <conditionalFormatting sqref="H2092:J2092">
    <cfRule type="duplicateValues" dxfId="0" priority="3254"/>
  </conditionalFormatting>
  <conditionalFormatting sqref="H2093:J2093">
    <cfRule type="duplicateValues" dxfId="0" priority="3253"/>
  </conditionalFormatting>
  <conditionalFormatting sqref="H2094:J2094">
    <cfRule type="duplicateValues" dxfId="0" priority="3252"/>
  </conditionalFormatting>
  <conditionalFormatting sqref="H2095:J2095">
    <cfRule type="duplicateValues" dxfId="0" priority="3251"/>
  </conditionalFormatting>
  <conditionalFormatting sqref="H2099:J2099">
    <cfRule type="duplicateValues" dxfId="0" priority="3249"/>
  </conditionalFormatting>
  <conditionalFormatting sqref="H2108:J2108">
    <cfRule type="duplicateValues" dxfId="0" priority="3245"/>
  </conditionalFormatting>
  <conditionalFormatting sqref="H2113:J2113">
    <cfRule type="duplicateValues" dxfId="0" priority="3242"/>
  </conditionalFormatting>
  <conditionalFormatting sqref="I2114">
    <cfRule type="duplicateValues" dxfId="0" priority="3090"/>
  </conditionalFormatting>
  <conditionalFormatting sqref="H2127">
    <cfRule type="duplicateValues" dxfId="0" priority="3216"/>
  </conditionalFormatting>
  <conditionalFormatting sqref="H2133">
    <cfRule type="duplicateValues" dxfId="0" priority="2595"/>
  </conditionalFormatting>
  <conditionalFormatting sqref="H2147:J2147">
    <cfRule type="duplicateValues" dxfId="0" priority="3234"/>
  </conditionalFormatting>
  <conditionalFormatting sqref="H2148:J2148">
    <cfRule type="duplicateValues" dxfId="0" priority="3233"/>
  </conditionalFormatting>
  <conditionalFormatting sqref="H2149:J2149">
    <cfRule type="duplicateValues" dxfId="0" priority="3232"/>
  </conditionalFormatting>
  <conditionalFormatting sqref="H2150:J2150">
    <cfRule type="duplicateValues" dxfId="0" priority="3231"/>
  </conditionalFormatting>
  <conditionalFormatting sqref="H2151:J2151">
    <cfRule type="duplicateValues" dxfId="0" priority="3230"/>
  </conditionalFormatting>
  <conditionalFormatting sqref="H2152:J2152">
    <cfRule type="duplicateValues" dxfId="0" priority="3229"/>
  </conditionalFormatting>
  <conditionalFormatting sqref="H2153:J2153">
    <cfRule type="duplicateValues" dxfId="0" priority="3228"/>
  </conditionalFormatting>
  <conditionalFormatting sqref="H2154:J2154">
    <cfRule type="duplicateValues" dxfId="0" priority="3227"/>
  </conditionalFormatting>
  <conditionalFormatting sqref="H2155:J2155">
    <cfRule type="duplicateValues" dxfId="0" priority="3226"/>
  </conditionalFormatting>
  <conditionalFormatting sqref="H2156:J2156">
    <cfRule type="duplicateValues" dxfId="0" priority="3225"/>
  </conditionalFormatting>
  <conditionalFormatting sqref="H2157:J2157">
    <cfRule type="duplicateValues" dxfId="0" priority="3224"/>
  </conditionalFormatting>
  <conditionalFormatting sqref="H2160">
    <cfRule type="duplicateValues" dxfId="0" priority="2594"/>
  </conditionalFormatting>
  <conditionalFormatting sqref="I2163">
    <cfRule type="duplicateValues" dxfId="0" priority="3085"/>
  </conditionalFormatting>
  <conditionalFormatting sqref="H2185">
    <cfRule type="duplicateValues" dxfId="0" priority="2639"/>
  </conditionalFormatting>
  <conditionalFormatting sqref="J2187">
    <cfRule type="duplicateValues" dxfId="0" priority="2983"/>
  </conditionalFormatting>
  <conditionalFormatting sqref="H2197">
    <cfRule type="duplicateValues" dxfId="0" priority="1991"/>
  </conditionalFormatting>
  <conditionalFormatting sqref="H2243:J2243">
    <cfRule type="duplicateValues" dxfId="0" priority="3217"/>
  </conditionalFormatting>
  <conditionalFormatting sqref="H2244:J2244">
    <cfRule type="duplicateValues" dxfId="0" priority="3215"/>
  </conditionalFormatting>
  <conditionalFormatting sqref="H2245:J2245">
    <cfRule type="duplicateValues" dxfId="0" priority="3214"/>
  </conditionalFormatting>
  <conditionalFormatting sqref="H2246:J2246">
    <cfRule type="duplicateValues" dxfId="0" priority="3213"/>
  </conditionalFormatting>
  <conditionalFormatting sqref="H2247:J2247">
    <cfRule type="duplicateValues" dxfId="0" priority="3212"/>
  </conditionalFormatting>
  <conditionalFormatting sqref="H2248:J2248">
    <cfRule type="duplicateValues" dxfId="0" priority="3211"/>
  </conditionalFormatting>
  <conditionalFormatting sqref="H2249:J2249">
    <cfRule type="duplicateValues" dxfId="0" priority="3210"/>
  </conditionalFormatting>
  <conditionalFormatting sqref="H2250:J2250">
    <cfRule type="duplicateValues" dxfId="0" priority="3209"/>
  </conditionalFormatting>
  <conditionalFormatting sqref="H2251:J2251">
    <cfRule type="duplicateValues" dxfId="0" priority="3208"/>
  </conditionalFormatting>
  <conditionalFormatting sqref="H2252:J2252">
    <cfRule type="duplicateValues" dxfId="0" priority="3207"/>
  </conditionalFormatting>
  <conditionalFormatting sqref="H2253:J2253">
    <cfRule type="duplicateValues" dxfId="0" priority="3206"/>
  </conditionalFormatting>
  <conditionalFormatting sqref="H2254:J2254">
    <cfRule type="duplicateValues" dxfId="0" priority="3205"/>
  </conditionalFormatting>
  <conditionalFormatting sqref="H2263">
    <cfRule type="duplicateValues" dxfId="0" priority="2384"/>
  </conditionalFormatting>
  <conditionalFormatting sqref="J2281">
    <cfRule type="duplicateValues" dxfId="0" priority="3019"/>
  </conditionalFormatting>
  <conditionalFormatting sqref="H2292">
    <cfRule type="duplicateValues" dxfId="0" priority="2954"/>
  </conditionalFormatting>
  <conditionalFormatting sqref="H2300:J2300">
    <cfRule type="duplicateValues" dxfId="0" priority="3190"/>
  </conditionalFormatting>
  <conditionalFormatting sqref="H2301:J2301">
    <cfRule type="duplicateValues" dxfId="0" priority="3189"/>
  </conditionalFormatting>
  <conditionalFormatting sqref="H2302:J2302">
    <cfRule type="duplicateValues" dxfId="0" priority="3188"/>
  </conditionalFormatting>
  <conditionalFormatting sqref="H2307:J2307">
    <cfRule type="duplicateValues" dxfId="0" priority="3186"/>
  </conditionalFormatting>
  <conditionalFormatting sqref="H2308:J2308">
    <cfRule type="duplicateValues" dxfId="0" priority="3185"/>
  </conditionalFormatting>
  <conditionalFormatting sqref="H2309:J2309">
    <cfRule type="duplicateValues" dxfId="0" priority="3184"/>
  </conditionalFormatting>
  <conditionalFormatting sqref="H2310:J2310">
    <cfRule type="duplicateValues" dxfId="0" priority="3183"/>
  </conditionalFormatting>
  <conditionalFormatting sqref="H2311:J2311">
    <cfRule type="duplicateValues" dxfId="0" priority="3182"/>
  </conditionalFormatting>
  <conditionalFormatting sqref="H2313">
    <cfRule type="duplicateValues" dxfId="0" priority="3174"/>
  </conditionalFormatting>
  <conditionalFormatting sqref="H2315">
    <cfRule type="duplicateValues" dxfId="0" priority="2907"/>
  </conditionalFormatting>
  <conditionalFormatting sqref="H2328:J2328">
    <cfRule type="duplicateValues" dxfId="0" priority="3175"/>
  </conditionalFormatting>
  <conditionalFormatting sqref="H2329:J2329">
    <cfRule type="duplicateValues" dxfId="0" priority="3173"/>
  </conditionalFormatting>
  <conditionalFormatting sqref="H2330:J2330">
    <cfRule type="duplicateValues" dxfId="0" priority="3171"/>
  </conditionalFormatting>
  <conditionalFormatting sqref="H2331:J2331">
    <cfRule type="duplicateValues" dxfId="0" priority="3170"/>
  </conditionalFormatting>
  <conditionalFormatting sqref="H2332:J2332">
    <cfRule type="duplicateValues" dxfId="0" priority="3169"/>
  </conditionalFormatting>
  <conditionalFormatting sqref="H2333:J2333">
    <cfRule type="duplicateValues" dxfId="0" priority="3168"/>
  </conditionalFormatting>
  <conditionalFormatting sqref="H2334:J2334">
    <cfRule type="duplicateValues" dxfId="0" priority="3167"/>
  </conditionalFormatting>
  <conditionalFormatting sqref="H2335:J2335">
    <cfRule type="duplicateValues" dxfId="0" priority="3166"/>
  </conditionalFormatting>
  <conditionalFormatting sqref="H2336:J2336">
    <cfRule type="duplicateValues" dxfId="0" priority="3165"/>
  </conditionalFormatting>
  <conditionalFormatting sqref="H2337:J2337">
    <cfRule type="duplicateValues" dxfId="0" priority="3164"/>
  </conditionalFormatting>
  <conditionalFormatting sqref="H2338:J2338">
    <cfRule type="duplicateValues" dxfId="0" priority="3163"/>
  </conditionalFormatting>
  <conditionalFormatting sqref="H2339:J2339">
    <cfRule type="duplicateValues" dxfId="0" priority="3162"/>
  </conditionalFormatting>
  <conditionalFormatting sqref="H2340">
    <cfRule type="duplicateValues" dxfId="0" priority="3160"/>
  </conditionalFormatting>
  <conditionalFormatting sqref="I2340:J2340">
    <cfRule type="duplicateValues" dxfId="0" priority="3161"/>
  </conditionalFormatting>
  <conditionalFormatting sqref="H2341:J2341">
    <cfRule type="duplicateValues" dxfId="0" priority="3159"/>
  </conditionalFormatting>
  <conditionalFormatting sqref="H2342:J2342">
    <cfRule type="duplicateValues" dxfId="0" priority="3158"/>
  </conditionalFormatting>
  <conditionalFormatting sqref="H2343:J2343">
    <cfRule type="duplicateValues" dxfId="0" priority="3157"/>
  </conditionalFormatting>
  <conditionalFormatting sqref="H2344:J2344">
    <cfRule type="duplicateValues" dxfId="0" priority="3156"/>
  </conditionalFormatting>
  <conditionalFormatting sqref="H2345:J2345">
    <cfRule type="duplicateValues" dxfId="0" priority="3155"/>
  </conditionalFormatting>
  <conditionalFormatting sqref="H2346:J2346">
    <cfRule type="duplicateValues" dxfId="0" priority="3154"/>
  </conditionalFormatting>
  <conditionalFormatting sqref="H2354:J2354">
    <cfRule type="duplicateValues" dxfId="0" priority="3143"/>
  </conditionalFormatting>
  <conditionalFormatting sqref="H2355:J2355">
    <cfRule type="duplicateValues" dxfId="0" priority="3140"/>
  </conditionalFormatting>
  <conditionalFormatting sqref="H2356:J2356">
    <cfRule type="duplicateValues" dxfId="0" priority="3139"/>
  </conditionalFormatting>
  <conditionalFormatting sqref="H2357:J2357">
    <cfRule type="duplicateValues" dxfId="0" priority="3138"/>
  </conditionalFormatting>
  <conditionalFormatting sqref="H2358:J2358">
    <cfRule type="duplicateValues" dxfId="0" priority="3137"/>
  </conditionalFormatting>
  <conditionalFormatting sqref="H2359:J2359">
    <cfRule type="duplicateValues" dxfId="0" priority="3136"/>
  </conditionalFormatting>
  <conditionalFormatting sqref="H2372:J2372">
    <cfRule type="duplicateValues" dxfId="0" priority="3131"/>
  </conditionalFormatting>
  <conditionalFormatting sqref="H2373:J2373">
    <cfRule type="duplicateValues" dxfId="0" priority="3130"/>
  </conditionalFormatting>
  <conditionalFormatting sqref="H2374:J2374">
    <cfRule type="duplicateValues" dxfId="0" priority="3128"/>
  </conditionalFormatting>
  <conditionalFormatting sqref="H2375:J2375">
    <cfRule type="duplicateValues" dxfId="0" priority="3129"/>
  </conditionalFormatting>
  <conditionalFormatting sqref="H2376:J2376">
    <cfRule type="duplicateValues" dxfId="0" priority="3127"/>
  </conditionalFormatting>
  <conditionalFormatting sqref="H2377:J2377">
    <cfRule type="duplicateValues" dxfId="0" priority="3126"/>
  </conditionalFormatting>
  <conditionalFormatting sqref="H2378:J2378">
    <cfRule type="duplicateValues" dxfId="0" priority="3125"/>
  </conditionalFormatting>
  <conditionalFormatting sqref="H2379:J2379">
    <cfRule type="duplicateValues" dxfId="0" priority="3124"/>
  </conditionalFormatting>
  <conditionalFormatting sqref="H2380:J2380">
    <cfRule type="duplicateValues" dxfId="0" priority="3123"/>
  </conditionalFormatting>
  <conditionalFormatting sqref="H2381:J2381">
    <cfRule type="duplicateValues" dxfId="0" priority="3116"/>
  </conditionalFormatting>
  <conditionalFormatting sqref="H2382:J2382">
    <cfRule type="duplicateValues" dxfId="0" priority="3122"/>
  </conditionalFormatting>
  <conditionalFormatting sqref="H2383:J2383">
    <cfRule type="duplicateValues" dxfId="0" priority="3120"/>
  </conditionalFormatting>
  <conditionalFormatting sqref="H2384:J2384">
    <cfRule type="duplicateValues" dxfId="0" priority="3119"/>
  </conditionalFormatting>
  <conditionalFormatting sqref="H2385:J2385">
    <cfRule type="duplicateValues" dxfId="0" priority="3118"/>
  </conditionalFormatting>
  <conditionalFormatting sqref="H2386:J2386">
    <cfRule type="duplicateValues" dxfId="0" priority="3117"/>
  </conditionalFormatting>
  <conditionalFormatting sqref="H2387">
    <cfRule type="duplicateValues" dxfId="0" priority="3096"/>
  </conditionalFormatting>
  <conditionalFormatting sqref="I2387:J2387">
    <cfRule type="duplicateValues" dxfId="0" priority="3115"/>
  </conditionalFormatting>
  <conditionalFormatting sqref="H2388:J2388">
    <cfRule type="duplicateValues" dxfId="0" priority="3114"/>
  </conditionalFormatting>
  <conditionalFormatting sqref="H2389:J2389">
    <cfRule type="duplicateValues" dxfId="0" priority="3113"/>
  </conditionalFormatting>
  <conditionalFormatting sqref="H2393:J2393">
    <cfRule type="duplicateValues" dxfId="0" priority="3112"/>
  </conditionalFormatting>
  <conditionalFormatting sqref="H2394:J2394">
    <cfRule type="duplicateValues" dxfId="0" priority="3111"/>
  </conditionalFormatting>
  <conditionalFormatting sqref="H2396:J2396">
    <cfRule type="duplicateValues" dxfId="0" priority="3109"/>
  </conditionalFormatting>
  <conditionalFormatting sqref="H2397:J2397">
    <cfRule type="duplicateValues" dxfId="0" priority="3108"/>
  </conditionalFormatting>
  <conditionalFormatting sqref="H2398:J2398">
    <cfRule type="duplicateValues" dxfId="0" priority="3107"/>
  </conditionalFormatting>
  <conditionalFormatting sqref="H2399:J2399">
    <cfRule type="duplicateValues" dxfId="0" priority="3105"/>
  </conditionalFormatting>
  <conditionalFormatting sqref="H2400:J2400">
    <cfRule type="duplicateValues" dxfId="0" priority="3104"/>
  </conditionalFormatting>
  <conditionalFormatting sqref="H2401:J2401">
    <cfRule type="duplicateValues" dxfId="0" priority="3102"/>
  </conditionalFormatting>
  <conditionalFormatting sqref="H2402:J2402">
    <cfRule type="duplicateValues" dxfId="0" priority="3099"/>
  </conditionalFormatting>
  <conditionalFormatting sqref="H2403:J2403">
    <cfRule type="duplicateValues" dxfId="0" priority="3098"/>
  </conditionalFormatting>
  <conditionalFormatting sqref="H2404:J2404">
    <cfRule type="duplicateValues" dxfId="0" priority="3097"/>
  </conditionalFormatting>
  <conditionalFormatting sqref="H2419:J2419">
    <cfRule type="duplicateValues" dxfId="0" priority="3089"/>
  </conditionalFormatting>
  <conditionalFormatting sqref="H2420:J2420">
    <cfRule type="duplicateValues" dxfId="0" priority="3088"/>
  </conditionalFormatting>
  <conditionalFormatting sqref="H2421:J2421">
    <cfRule type="duplicateValues" dxfId="0" priority="3087"/>
  </conditionalFormatting>
  <conditionalFormatting sqref="H2422:J2422">
    <cfRule type="duplicateValues" dxfId="0" priority="3084"/>
  </conditionalFormatting>
  <conditionalFormatting sqref="H2423:J2423">
    <cfRule type="duplicateValues" dxfId="0" priority="3082"/>
  </conditionalFormatting>
  <conditionalFormatting sqref="H2424:J2424">
    <cfRule type="duplicateValues" dxfId="0" priority="3081"/>
  </conditionalFormatting>
  <conditionalFormatting sqref="H2425:J2425">
    <cfRule type="duplicateValues" dxfId="0" priority="3080"/>
  </conditionalFormatting>
  <conditionalFormatting sqref="H2426:J2426">
    <cfRule type="duplicateValues" dxfId="0" priority="3079"/>
  </conditionalFormatting>
  <conditionalFormatting sqref="H2427:J2427">
    <cfRule type="duplicateValues" dxfId="0" priority="3078"/>
  </conditionalFormatting>
  <conditionalFormatting sqref="H2428:J2428">
    <cfRule type="duplicateValues" dxfId="0" priority="3077"/>
  </conditionalFormatting>
  <conditionalFormatting sqref="H2429:J2429">
    <cfRule type="duplicateValues" dxfId="0" priority="3083"/>
  </conditionalFormatting>
  <conditionalFormatting sqref="H2435:J2435">
    <cfRule type="duplicateValues" dxfId="0" priority="3074"/>
  </conditionalFormatting>
  <conditionalFormatting sqref="H2436">
    <cfRule type="duplicateValues" dxfId="0" priority="3021"/>
  </conditionalFormatting>
  <conditionalFormatting sqref="H2447">
    <cfRule type="duplicateValues" dxfId="0" priority="2937"/>
  </conditionalFormatting>
  <conditionalFormatting sqref="H2449">
    <cfRule type="duplicateValues" dxfId="0" priority="2128"/>
  </conditionalFormatting>
  <conditionalFormatting sqref="H2450">
    <cfRule type="duplicateValues" dxfId="0" priority="2893"/>
  </conditionalFormatting>
  <conditionalFormatting sqref="H2455:J2455">
    <cfRule type="duplicateValues" dxfId="0" priority="3073"/>
  </conditionalFormatting>
  <conditionalFormatting sqref="H2456:I2456">
    <cfRule type="duplicateValues" dxfId="0" priority="3071"/>
  </conditionalFormatting>
  <conditionalFormatting sqref="J2456">
    <cfRule type="duplicateValues" dxfId="0" priority="2905"/>
  </conditionalFormatting>
  <conditionalFormatting sqref="H2457:J2457">
    <cfRule type="duplicateValues" dxfId="0" priority="3070"/>
  </conditionalFormatting>
  <conditionalFormatting sqref="H2458:J2458">
    <cfRule type="duplicateValues" dxfId="0" priority="3069"/>
  </conditionalFormatting>
  <conditionalFormatting sqref="H2459:J2459">
    <cfRule type="duplicateValues" dxfId="0" priority="3068"/>
  </conditionalFormatting>
  <conditionalFormatting sqref="H2460:J2460">
    <cfRule type="duplicateValues" dxfId="0" priority="3067"/>
  </conditionalFormatting>
  <conditionalFormatting sqref="H2461:J2461">
    <cfRule type="duplicateValues" dxfId="0" priority="3066"/>
  </conditionalFormatting>
  <conditionalFormatting sqref="H2462:J2462">
    <cfRule type="duplicateValues" dxfId="0" priority="3065"/>
  </conditionalFormatting>
  <conditionalFormatting sqref="H2463">
    <cfRule type="duplicateValues" dxfId="0" priority="3056"/>
  </conditionalFormatting>
  <conditionalFormatting sqref="J2463">
    <cfRule type="duplicateValues" dxfId="0" priority="3057"/>
  </conditionalFormatting>
  <conditionalFormatting sqref="I2490">
    <cfRule type="duplicateValues" dxfId="0" priority="2464"/>
  </conditionalFormatting>
  <conditionalFormatting sqref="I2495">
    <cfRule type="duplicateValues" dxfId="0" priority="1486"/>
  </conditionalFormatting>
  <conditionalFormatting sqref="H2515">
    <cfRule type="duplicateValues" dxfId="0" priority="875"/>
  </conditionalFormatting>
  <conditionalFormatting sqref="H2520">
    <cfRule type="duplicateValues" dxfId="0" priority="2940"/>
  </conditionalFormatting>
  <conditionalFormatting sqref="J2520">
    <cfRule type="duplicateValues" dxfId="0" priority="2939"/>
  </conditionalFormatting>
  <conditionalFormatting sqref="H2526:J2526">
    <cfRule type="duplicateValues" dxfId="0" priority="3055"/>
  </conditionalFormatting>
  <conditionalFormatting sqref="H2527:J2527">
    <cfRule type="duplicateValues" dxfId="0" priority="3054"/>
  </conditionalFormatting>
  <conditionalFormatting sqref="H2528:J2528">
    <cfRule type="duplicateValues" dxfId="0" priority="3053"/>
  </conditionalFormatting>
  <conditionalFormatting sqref="H2529:J2529">
    <cfRule type="duplicateValues" dxfId="0" priority="3052"/>
  </conditionalFormatting>
  <conditionalFormatting sqref="H2530:J2530">
    <cfRule type="duplicateValues" dxfId="0" priority="3051"/>
  </conditionalFormatting>
  <conditionalFormatting sqref="H2531:J2531">
    <cfRule type="duplicateValues" dxfId="0" priority="3050"/>
  </conditionalFormatting>
  <conditionalFormatting sqref="H2532:J2532">
    <cfRule type="duplicateValues" dxfId="0" priority="3046"/>
  </conditionalFormatting>
  <conditionalFormatting sqref="H2533:J2533">
    <cfRule type="duplicateValues" dxfId="0" priority="3047"/>
  </conditionalFormatting>
  <conditionalFormatting sqref="H2534:J2534">
    <cfRule type="duplicateValues" dxfId="0" priority="3049"/>
  </conditionalFormatting>
  <conditionalFormatting sqref="H2535:J2535">
    <cfRule type="duplicateValues" dxfId="0" priority="3048"/>
  </conditionalFormatting>
  <conditionalFormatting sqref="H2536:J2536">
    <cfRule type="duplicateValues" dxfId="0" priority="3045"/>
  </conditionalFormatting>
  <conditionalFormatting sqref="H2537:J2537">
    <cfRule type="duplicateValues" dxfId="0" priority="3044"/>
  </conditionalFormatting>
  <conditionalFormatting sqref="H2538:J2538">
    <cfRule type="duplicateValues" dxfId="0" priority="3043"/>
  </conditionalFormatting>
  <conditionalFormatting sqref="H2539:J2539">
    <cfRule type="duplicateValues" dxfId="0" priority="3042"/>
  </conditionalFormatting>
  <conditionalFormatting sqref="H2540:J2540">
    <cfRule type="duplicateValues" dxfId="0" priority="3041"/>
  </conditionalFormatting>
  <conditionalFormatting sqref="H2541:J2541">
    <cfRule type="duplicateValues" dxfId="0" priority="3040"/>
  </conditionalFormatting>
  <conditionalFormatting sqref="H2551">
    <cfRule type="duplicateValues" dxfId="0" priority="2988"/>
  </conditionalFormatting>
  <conditionalFormatting sqref="H2564">
    <cfRule type="duplicateValues" dxfId="0" priority="456"/>
  </conditionalFormatting>
  <conditionalFormatting sqref="H2567">
    <cfRule type="duplicateValues" dxfId="0" priority="2185"/>
  </conditionalFormatting>
  <conditionalFormatting sqref="H2577">
    <cfRule type="duplicateValues" dxfId="0" priority="2360"/>
  </conditionalFormatting>
  <conditionalFormatting sqref="H2600">
    <cfRule type="duplicateValues" dxfId="0" priority="2204"/>
  </conditionalFormatting>
  <conditionalFormatting sqref="H2601:J2601">
    <cfRule type="duplicateValues" dxfId="0" priority="3027"/>
  </conditionalFormatting>
  <conditionalFormatting sqref="H2602:J2602">
    <cfRule type="duplicateValues" dxfId="0" priority="3026"/>
  </conditionalFormatting>
  <conditionalFormatting sqref="H2603:J2603">
    <cfRule type="duplicateValues" dxfId="0" priority="3020"/>
  </conditionalFormatting>
  <conditionalFormatting sqref="H2604:J2604">
    <cfRule type="duplicateValues" dxfId="0" priority="3018"/>
  </conditionalFormatting>
  <conditionalFormatting sqref="H2605:J2605">
    <cfRule type="duplicateValues" dxfId="0" priority="3017"/>
  </conditionalFormatting>
  <conditionalFormatting sqref="H2606:J2606">
    <cfRule type="duplicateValues" dxfId="0" priority="3024"/>
  </conditionalFormatting>
  <conditionalFormatting sqref="H2607:J2607">
    <cfRule type="duplicateValues" dxfId="0" priority="3011"/>
  </conditionalFormatting>
  <conditionalFormatting sqref="H2608:J2608">
    <cfRule type="duplicateValues" dxfId="0" priority="3010"/>
  </conditionalFormatting>
  <conditionalFormatting sqref="H2609:J2609">
    <cfRule type="duplicateValues" dxfId="0" priority="3009"/>
  </conditionalFormatting>
  <conditionalFormatting sqref="H2610:J2610">
    <cfRule type="duplicateValues" dxfId="0" priority="3008"/>
  </conditionalFormatting>
  <conditionalFormatting sqref="H2611:J2611">
    <cfRule type="duplicateValues" dxfId="0" priority="3005"/>
  </conditionalFormatting>
  <conditionalFormatting sqref="H2612:J2612">
    <cfRule type="duplicateValues" dxfId="0" priority="3003"/>
  </conditionalFormatting>
  <conditionalFormatting sqref="H2613:J2613">
    <cfRule type="duplicateValues" dxfId="0" priority="3007"/>
  </conditionalFormatting>
  <conditionalFormatting sqref="H2614:J2614">
    <cfRule type="duplicateValues" dxfId="0" priority="3004"/>
  </conditionalFormatting>
  <conditionalFormatting sqref="H2617:J2617">
    <cfRule type="duplicateValues" dxfId="0" priority="3000"/>
  </conditionalFormatting>
  <conditionalFormatting sqref="H2618:J2618">
    <cfRule type="duplicateValues" dxfId="0" priority="2999"/>
  </conditionalFormatting>
  <conditionalFormatting sqref="H2619:J2619">
    <cfRule type="duplicateValues" dxfId="0" priority="2998"/>
  </conditionalFormatting>
  <conditionalFormatting sqref="H2620:J2620">
    <cfRule type="duplicateValues" dxfId="0" priority="2997"/>
  </conditionalFormatting>
  <conditionalFormatting sqref="H2630">
    <cfRule type="duplicateValues" dxfId="0" priority="2500"/>
  </conditionalFormatting>
  <conditionalFormatting sqref="H2641:J2641">
    <cfRule type="duplicateValues" dxfId="0" priority="2987"/>
  </conditionalFormatting>
  <conditionalFormatting sqref="H2642:J2642">
    <cfRule type="duplicateValues" dxfId="0" priority="2986"/>
  </conditionalFormatting>
  <conditionalFormatting sqref="H2643:J2643">
    <cfRule type="duplicateValues" dxfId="0" priority="2985"/>
  </conditionalFormatting>
  <conditionalFormatting sqref="H2644:J2644">
    <cfRule type="duplicateValues" dxfId="0" priority="2982"/>
  </conditionalFormatting>
  <conditionalFormatting sqref="H2645:J2645">
    <cfRule type="duplicateValues" dxfId="0" priority="2981"/>
  </conditionalFormatting>
  <conditionalFormatting sqref="H2646:J2646">
    <cfRule type="duplicateValues" dxfId="0" priority="2980"/>
  </conditionalFormatting>
  <conditionalFormatting sqref="H2647:J2647">
    <cfRule type="duplicateValues" dxfId="0" priority="2979"/>
  </conditionalFormatting>
  <conditionalFormatting sqref="H2648:J2648">
    <cfRule type="duplicateValues" dxfId="0" priority="2978"/>
  </conditionalFormatting>
  <conditionalFormatting sqref="H2649:J2649">
    <cfRule type="duplicateValues" dxfId="0" priority="2977"/>
  </conditionalFormatting>
  <conditionalFormatting sqref="H2650:J2650">
    <cfRule type="duplicateValues" dxfId="0" priority="2976"/>
  </conditionalFormatting>
  <conditionalFormatting sqref="H2651:J2651">
    <cfRule type="duplicateValues" dxfId="0" priority="2975"/>
  </conditionalFormatting>
  <conditionalFormatting sqref="H2652:J2652">
    <cfRule type="duplicateValues" dxfId="0" priority="2974"/>
  </conditionalFormatting>
  <conditionalFormatting sqref="H2653:J2653">
    <cfRule type="duplicateValues" dxfId="0" priority="2973"/>
  </conditionalFormatting>
  <conditionalFormatting sqref="H2654:J2654">
    <cfRule type="duplicateValues" dxfId="0" priority="2972"/>
  </conditionalFormatting>
  <conditionalFormatting sqref="H2655:J2655">
    <cfRule type="duplicateValues" dxfId="0" priority="2971"/>
  </conditionalFormatting>
  <conditionalFormatting sqref="H2656:J2656">
    <cfRule type="duplicateValues" dxfId="0" priority="2970"/>
  </conditionalFormatting>
  <conditionalFormatting sqref="H2681">
    <cfRule type="duplicateValues" dxfId="0" priority="1911"/>
  </conditionalFormatting>
  <conditionalFormatting sqref="J2684">
    <cfRule type="duplicateValues" dxfId="0" priority="2795"/>
  </conditionalFormatting>
  <conditionalFormatting sqref="H2692">
    <cfRule type="duplicateValues" dxfId="0" priority="168"/>
  </conditionalFormatting>
  <conditionalFormatting sqref="H2752">
    <cfRule type="duplicateValues" dxfId="0" priority="2764"/>
  </conditionalFormatting>
  <conditionalFormatting sqref="H2764">
    <cfRule type="duplicateValues" dxfId="0" priority="2563"/>
  </conditionalFormatting>
  <conditionalFormatting sqref="H2773">
    <cfRule type="duplicateValues" dxfId="0" priority="2003"/>
  </conditionalFormatting>
  <conditionalFormatting sqref="H2776">
    <cfRule type="duplicateValues" dxfId="0" priority="627"/>
  </conditionalFormatting>
  <conditionalFormatting sqref="J2786">
    <cfRule type="duplicateValues" dxfId="0" priority="2777"/>
  </conditionalFormatting>
  <conditionalFormatting sqref="H2788">
    <cfRule type="duplicateValues" dxfId="0" priority="2189"/>
  </conditionalFormatting>
  <conditionalFormatting sqref="J2788">
    <cfRule type="duplicateValues" dxfId="0" priority="2188"/>
  </conditionalFormatting>
  <conditionalFormatting sqref="I2827">
    <cfRule type="duplicateValues" dxfId="0" priority="2958"/>
  </conditionalFormatting>
  <conditionalFormatting sqref="H2828:J2828">
    <cfRule type="duplicateValues" dxfId="0" priority="2957"/>
  </conditionalFormatting>
  <conditionalFormatting sqref="H2829:J2829">
    <cfRule type="duplicateValues" dxfId="0" priority="2956"/>
  </conditionalFormatting>
  <conditionalFormatting sqref="H2830:J2830">
    <cfRule type="duplicateValues" dxfId="0" priority="2946"/>
  </conditionalFormatting>
  <conditionalFormatting sqref="H2831:J2831">
    <cfRule type="duplicateValues" dxfId="0" priority="2945"/>
  </conditionalFormatting>
  <conditionalFormatting sqref="H2832:J2832">
    <cfRule type="duplicateValues" dxfId="0" priority="2944"/>
  </conditionalFormatting>
  <conditionalFormatting sqref="H2833:J2833">
    <cfRule type="duplicateValues" dxfId="0" priority="2943"/>
  </conditionalFormatting>
  <conditionalFormatting sqref="H2834:J2834">
    <cfRule type="duplicateValues" dxfId="0" priority="2942"/>
  </conditionalFormatting>
  <conditionalFormatting sqref="H2835:J2835">
    <cfRule type="duplicateValues" dxfId="0" priority="2941"/>
  </conditionalFormatting>
  <conditionalFormatting sqref="H2836:J2836">
    <cfRule type="duplicateValues" dxfId="0" priority="2935"/>
  </conditionalFormatting>
  <conditionalFormatting sqref="H2837:J2837">
    <cfRule type="duplicateValues" dxfId="0" priority="2933"/>
  </conditionalFormatting>
  <conditionalFormatting sqref="H2838:J2838">
    <cfRule type="duplicateValues" dxfId="0" priority="2932"/>
  </conditionalFormatting>
  <conditionalFormatting sqref="H2839:J2839">
    <cfRule type="duplicateValues" dxfId="0" priority="2931"/>
  </conditionalFormatting>
  <conditionalFormatting sqref="H2840:J2840">
    <cfRule type="duplicateValues" dxfId="0" priority="2930"/>
  </conditionalFormatting>
  <conditionalFormatting sqref="H2841">
    <cfRule type="duplicateValues" dxfId="0" priority="2902"/>
  </conditionalFormatting>
  <conditionalFormatting sqref="I2841:J2841">
    <cfRule type="duplicateValues" dxfId="0" priority="2929"/>
  </conditionalFormatting>
  <conditionalFormatting sqref="H2842:J2842">
    <cfRule type="duplicateValues" dxfId="0" priority="2928"/>
  </conditionalFormatting>
  <conditionalFormatting sqref="H2843:J2843">
    <cfRule type="duplicateValues" dxfId="0" priority="2927"/>
  </conditionalFormatting>
  <conditionalFormatting sqref="H2844:J2844">
    <cfRule type="duplicateValues" dxfId="0" priority="2926"/>
  </conditionalFormatting>
  <conditionalFormatting sqref="H2845:J2845">
    <cfRule type="duplicateValues" dxfId="0" priority="2924"/>
  </conditionalFormatting>
  <conditionalFormatting sqref="H2846:J2846">
    <cfRule type="duplicateValues" dxfId="0" priority="2923"/>
  </conditionalFormatting>
  <conditionalFormatting sqref="H2847:J2847">
    <cfRule type="duplicateValues" dxfId="0" priority="2922"/>
  </conditionalFormatting>
  <conditionalFormatting sqref="H2848:J2848">
    <cfRule type="duplicateValues" dxfId="0" priority="2921"/>
  </conditionalFormatting>
  <conditionalFormatting sqref="H2853:J2853">
    <cfRule type="duplicateValues" dxfId="0" priority="2918"/>
  </conditionalFormatting>
  <conditionalFormatting sqref="H2854:J2854">
    <cfRule type="duplicateValues" dxfId="0" priority="2917"/>
  </conditionalFormatting>
  <conditionalFormatting sqref="H2855:J2855">
    <cfRule type="duplicateValues" dxfId="0" priority="2915"/>
  </conditionalFormatting>
  <conditionalFormatting sqref="H2856:J2856">
    <cfRule type="duplicateValues" dxfId="0" priority="2912"/>
  </conditionalFormatting>
  <conditionalFormatting sqref="H2857:J2857">
    <cfRule type="duplicateValues" dxfId="0" priority="2911"/>
  </conditionalFormatting>
  <conditionalFormatting sqref="H2859:J2859">
    <cfRule type="duplicateValues" dxfId="0" priority="2906"/>
  </conditionalFormatting>
  <conditionalFormatting sqref="H2860:J2860">
    <cfRule type="duplicateValues" dxfId="0" priority="2904"/>
  </conditionalFormatting>
  <conditionalFormatting sqref="H2861:J2861">
    <cfRule type="duplicateValues" dxfId="0" priority="2901"/>
  </conditionalFormatting>
  <conditionalFormatting sqref="H2864">
    <cfRule type="duplicateValues" dxfId="0" priority="2390"/>
  </conditionalFormatting>
  <conditionalFormatting sqref="H2893">
    <cfRule type="duplicateValues" dxfId="0" priority="1778"/>
  </conditionalFormatting>
  <conditionalFormatting sqref="H2895">
    <cfRule type="duplicateValues" dxfId="0" priority="2013"/>
  </conditionalFormatting>
  <conditionalFormatting sqref="H2905">
    <cfRule type="duplicateValues" dxfId="0" priority="2720"/>
  </conditionalFormatting>
  <conditionalFormatting sqref="H2914">
    <cfRule type="duplicateValues" dxfId="0" priority="2810"/>
  </conditionalFormatting>
  <conditionalFormatting sqref="H2923">
    <cfRule type="duplicateValues" dxfId="0" priority="2796"/>
  </conditionalFormatting>
  <conditionalFormatting sqref="H2934">
    <cfRule type="duplicateValues" dxfId="0" priority="2721"/>
  </conditionalFormatting>
  <conditionalFormatting sqref="H2935:J2935">
    <cfRule type="duplicateValues" dxfId="0" priority="2896"/>
  </conditionalFormatting>
  <conditionalFormatting sqref="H2936:J2936">
    <cfRule type="duplicateValues" dxfId="0" priority="2892"/>
  </conditionalFormatting>
  <conditionalFormatting sqref="H2937:J2937">
    <cfRule type="duplicateValues" dxfId="0" priority="2889"/>
  </conditionalFormatting>
  <conditionalFormatting sqref="H2938:J2938">
    <cfRule type="duplicateValues" dxfId="0" priority="2888"/>
  </conditionalFormatting>
  <conditionalFormatting sqref="H2939:J2939">
    <cfRule type="duplicateValues" dxfId="0" priority="2887"/>
  </conditionalFormatting>
  <conditionalFormatting sqref="H2940:J2940">
    <cfRule type="duplicateValues" dxfId="0" priority="2886"/>
  </conditionalFormatting>
  <conditionalFormatting sqref="H2941:J2941">
    <cfRule type="duplicateValues" dxfId="0" priority="2885"/>
  </conditionalFormatting>
  <conditionalFormatting sqref="H2942:J2942">
    <cfRule type="duplicateValues" dxfId="0" priority="2884"/>
  </conditionalFormatting>
  <conditionalFormatting sqref="H2943:J2943">
    <cfRule type="duplicateValues" dxfId="0" priority="2882"/>
  </conditionalFormatting>
  <conditionalFormatting sqref="H2944:J2944">
    <cfRule type="duplicateValues" dxfId="0" priority="2883"/>
  </conditionalFormatting>
  <conditionalFormatting sqref="H2945:J2945">
    <cfRule type="duplicateValues" dxfId="0" priority="2881"/>
  </conditionalFormatting>
  <conditionalFormatting sqref="H2946:J2946">
    <cfRule type="duplicateValues" dxfId="0" priority="2880"/>
  </conditionalFormatting>
  <conditionalFormatting sqref="H2947:J2947">
    <cfRule type="duplicateValues" dxfId="0" priority="2879"/>
  </conditionalFormatting>
  <conditionalFormatting sqref="H2948:J2948">
    <cfRule type="duplicateValues" dxfId="0" priority="2878"/>
  </conditionalFormatting>
  <conditionalFormatting sqref="H2949:J2949">
    <cfRule type="duplicateValues" dxfId="0" priority="2876"/>
  </conditionalFormatting>
  <conditionalFormatting sqref="H2950:J2950">
    <cfRule type="duplicateValues" dxfId="0" priority="2875"/>
  </conditionalFormatting>
  <conditionalFormatting sqref="H2951:J2951">
    <cfRule type="duplicateValues" dxfId="0" priority="2874"/>
  </conditionalFormatting>
  <conditionalFormatting sqref="H2952:J2952">
    <cfRule type="duplicateValues" dxfId="0" priority="2873"/>
  </conditionalFormatting>
  <conditionalFormatting sqref="H2953:J2953">
    <cfRule type="duplicateValues" dxfId="0" priority="2872"/>
  </conditionalFormatting>
  <conditionalFormatting sqref="H2957:J2957">
    <cfRule type="duplicateValues" dxfId="0" priority="2870"/>
  </conditionalFormatting>
  <conditionalFormatting sqref="H2960:J2960">
    <cfRule type="duplicateValues" dxfId="0" priority="2866"/>
  </conditionalFormatting>
  <conditionalFormatting sqref="H2961:J2961">
    <cfRule type="duplicateValues" dxfId="0" priority="2865"/>
  </conditionalFormatting>
  <conditionalFormatting sqref="H2962:J2962">
    <cfRule type="duplicateValues" dxfId="0" priority="2864"/>
  </conditionalFormatting>
  <conditionalFormatting sqref="H2963:J2963">
    <cfRule type="duplicateValues" dxfId="0" priority="2863"/>
  </conditionalFormatting>
  <conditionalFormatting sqref="H2964:J2964">
    <cfRule type="duplicateValues" dxfId="0" priority="2862"/>
  </conditionalFormatting>
  <conditionalFormatting sqref="H2965:J2965">
    <cfRule type="duplicateValues" dxfId="0" priority="2861"/>
  </conditionalFormatting>
  <conditionalFormatting sqref="H2966:J2966">
    <cfRule type="duplicateValues" dxfId="0" priority="2860"/>
  </conditionalFormatting>
  <conditionalFormatting sqref="H2967:J2967">
    <cfRule type="duplicateValues" dxfId="0" priority="2859"/>
  </conditionalFormatting>
  <conditionalFormatting sqref="H2968:J2968">
    <cfRule type="duplicateValues" dxfId="0" priority="2858"/>
  </conditionalFormatting>
  <conditionalFormatting sqref="H2969:J2969">
    <cfRule type="duplicateValues" dxfId="0" priority="2857"/>
  </conditionalFormatting>
  <conditionalFormatting sqref="H2979">
    <cfRule type="duplicateValues" dxfId="0" priority="1277"/>
  </conditionalFormatting>
  <conditionalFormatting sqref="I2980">
    <cfRule type="duplicateValues" dxfId="0" priority="2465"/>
  </conditionalFormatting>
  <conditionalFormatting sqref="H3006:J3006">
    <cfRule type="duplicateValues" dxfId="0" priority="2846"/>
  </conditionalFormatting>
  <conditionalFormatting sqref="H3007:J3007">
    <cfRule type="duplicateValues" dxfId="0" priority="2844"/>
  </conditionalFormatting>
  <conditionalFormatting sqref="H3008:J3008">
    <cfRule type="duplicateValues" dxfId="0" priority="2842"/>
  </conditionalFormatting>
  <conditionalFormatting sqref="H3009:J3009">
    <cfRule type="duplicateValues" dxfId="0" priority="2841"/>
  </conditionalFormatting>
  <conditionalFormatting sqref="H3010:J3010">
    <cfRule type="duplicateValues" dxfId="0" priority="2839"/>
  </conditionalFormatting>
  <conditionalFormatting sqref="H3011:J3011">
    <cfRule type="duplicateValues" dxfId="0" priority="2838"/>
  </conditionalFormatting>
  <conditionalFormatting sqref="H3012:J3012">
    <cfRule type="duplicateValues" dxfId="0" priority="2840"/>
  </conditionalFormatting>
  <conditionalFormatting sqref="H3013:J3013">
    <cfRule type="duplicateValues" dxfId="0" priority="2837"/>
  </conditionalFormatting>
  <conditionalFormatting sqref="H3014:J3014">
    <cfRule type="duplicateValues" dxfId="0" priority="2836"/>
  </conditionalFormatting>
  <conditionalFormatting sqref="H3015:J3015">
    <cfRule type="duplicateValues" dxfId="0" priority="2835"/>
  </conditionalFormatting>
  <conditionalFormatting sqref="H3016:J3016">
    <cfRule type="duplicateValues" dxfId="0" priority="2834"/>
  </conditionalFormatting>
  <conditionalFormatting sqref="H3017:J3017">
    <cfRule type="duplicateValues" dxfId="0" priority="2833"/>
  </conditionalFormatting>
  <conditionalFormatting sqref="H3018:J3018">
    <cfRule type="duplicateValues" dxfId="0" priority="2832"/>
  </conditionalFormatting>
  <conditionalFormatting sqref="H3030:J3030">
    <cfRule type="duplicateValues" dxfId="0" priority="2829"/>
  </conditionalFormatting>
  <conditionalFormatting sqref="H3031:J3031">
    <cfRule type="duplicateValues" dxfId="0" priority="2828"/>
  </conditionalFormatting>
  <conditionalFormatting sqref="H3034:J3034">
    <cfRule type="duplicateValues" dxfId="0" priority="2826"/>
  </conditionalFormatting>
  <conditionalFormatting sqref="H3035:J3035">
    <cfRule type="duplicateValues" dxfId="0" priority="2825"/>
  </conditionalFormatting>
  <conditionalFormatting sqref="H3038:J3038">
    <cfRule type="duplicateValues" dxfId="0" priority="2823"/>
  </conditionalFormatting>
  <conditionalFormatting sqref="H3039:J3039">
    <cfRule type="duplicateValues" dxfId="0" priority="2822"/>
  </conditionalFormatting>
  <conditionalFormatting sqref="H3040:J3040">
    <cfRule type="duplicateValues" dxfId="0" priority="2821"/>
  </conditionalFormatting>
  <conditionalFormatting sqref="H3041:J3041">
    <cfRule type="duplicateValues" dxfId="0" priority="2820"/>
  </conditionalFormatting>
  <conditionalFormatting sqref="H3042:J3042">
    <cfRule type="duplicateValues" dxfId="0" priority="2819"/>
  </conditionalFormatting>
  <conditionalFormatting sqref="H3043:J3043">
    <cfRule type="duplicateValues" dxfId="0" priority="2818"/>
  </conditionalFormatting>
  <conditionalFormatting sqref="H3044:J3044">
    <cfRule type="duplicateValues" dxfId="0" priority="2817"/>
  </conditionalFormatting>
  <conditionalFormatting sqref="H3045:J3045">
    <cfRule type="duplicateValues" dxfId="0" priority="2816"/>
  </conditionalFormatting>
  <conditionalFormatting sqref="H3046:J3046">
    <cfRule type="duplicateValues" dxfId="0" priority="2815"/>
  </conditionalFormatting>
  <conditionalFormatting sqref="H3047:J3047">
    <cfRule type="duplicateValues" dxfId="0" priority="2814"/>
  </conditionalFormatting>
  <conditionalFormatting sqref="H3060:J3060">
    <cfRule type="duplicateValues" dxfId="0" priority="2809"/>
  </conditionalFormatting>
  <conditionalFormatting sqref="H3061:J3061">
    <cfRule type="duplicateValues" dxfId="0" priority="2808"/>
  </conditionalFormatting>
  <conditionalFormatting sqref="H3062:J3062">
    <cfRule type="duplicateValues" dxfId="0" priority="2806"/>
  </conditionalFormatting>
  <conditionalFormatting sqref="H3063:J3063">
    <cfRule type="duplicateValues" dxfId="0" priority="2805"/>
  </conditionalFormatting>
  <conditionalFormatting sqref="H3064:J3064">
    <cfRule type="duplicateValues" dxfId="0" priority="2804"/>
  </conditionalFormatting>
  <conditionalFormatting sqref="H3065:J3065">
    <cfRule type="duplicateValues" dxfId="0" priority="2803"/>
  </conditionalFormatting>
  <conditionalFormatting sqref="H3066:J3066">
    <cfRule type="duplicateValues" dxfId="0" priority="2802"/>
  </conditionalFormatting>
  <conditionalFormatting sqref="H3071">
    <cfRule type="duplicateValues" dxfId="0" priority="2307"/>
  </conditionalFormatting>
  <conditionalFormatting sqref="H3079:J3079">
    <cfRule type="duplicateValues" dxfId="0" priority="2799"/>
  </conditionalFormatting>
  <conditionalFormatting sqref="H3086:J3086">
    <cfRule type="duplicateValues" dxfId="0" priority="2798"/>
  </conditionalFormatting>
  <conditionalFormatting sqref="H3087:J3087">
    <cfRule type="duplicateValues" dxfId="0" priority="2794"/>
  </conditionalFormatting>
  <conditionalFormatting sqref="H3090:J3090">
    <cfRule type="duplicateValues" dxfId="0" priority="2791"/>
  </conditionalFormatting>
  <conditionalFormatting sqref="H3093:J3093">
    <cfRule type="duplicateValues" dxfId="0" priority="2789"/>
  </conditionalFormatting>
  <conditionalFormatting sqref="H3094:J3094">
    <cfRule type="duplicateValues" dxfId="0" priority="2788"/>
  </conditionalFormatting>
  <conditionalFormatting sqref="H3095:J3095">
    <cfRule type="duplicateValues" dxfId="0" priority="2787"/>
  </conditionalFormatting>
  <conditionalFormatting sqref="H3096:J3096">
    <cfRule type="duplicateValues" dxfId="0" priority="2786"/>
  </conditionalFormatting>
  <conditionalFormatting sqref="H3102">
    <cfRule type="duplicateValues" dxfId="0" priority="2729"/>
  </conditionalFormatting>
  <conditionalFormatting sqref="J3106">
    <cfRule type="duplicateValues" dxfId="0" priority="26"/>
  </conditionalFormatting>
  <conditionalFormatting sqref="J3109">
    <cfRule type="duplicateValues" dxfId="0" priority="2183"/>
  </conditionalFormatting>
  <conditionalFormatting sqref="H3113">
    <cfRule type="duplicateValues" dxfId="0" priority="2682"/>
  </conditionalFormatting>
  <conditionalFormatting sqref="H3114:J3114">
    <cfRule type="duplicateValues" dxfId="0" priority="2783"/>
  </conditionalFormatting>
  <conditionalFormatting sqref="H3115:J3115">
    <cfRule type="duplicateValues" dxfId="0" priority="2782"/>
  </conditionalFormatting>
  <conditionalFormatting sqref="H3116:J3116">
    <cfRule type="duplicateValues" dxfId="0" priority="2780"/>
  </conditionalFormatting>
  <conditionalFormatting sqref="H3117:J3117">
    <cfRule type="duplicateValues" dxfId="0" priority="2779"/>
  </conditionalFormatting>
  <conditionalFormatting sqref="H3118:J3118">
    <cfRule type="duplicateValues" dxfId="0" priority="2778"/>
  </conditionalFormatting>
  <conditionalFormatting sqref="H3119:J3119">
    <cfRule type="duplicateValues" dxfId="0" priority="2776"/>
  </conditionalFormatting>
  <conditionalFormatting sqref="H3120:J3120">
    <cfRule type="duplicateValues" dxfId="0" priority="2775"/>
  </conditionalFormatting>
  <conditionalFormatting sqref="H3121:J3121">
    <cfRule type="duplicateValues" dxfId="0" priority="2774"/>
  </conditionalFormatting>
  <conditionalFormatting sqref="H3122:J3122">
    <cfRule type="duplicateValues" dxfId="0" priority="2773"/>
  </conditionalFormatting>
  <conditionalFormatting sqref="H3123:J3123">
    <cfRule type="duplicateValues" dxfId="0" priority="2772"/>
  </conditionalFormatting>
  <conditionalFormatting sqref="H3124:J3124">
    <cfRule type="duplicateValues" dxfId="0" priority="2771"/>
  </conditionalFormatting>
  <conditionalFormatting sqref="H3125:J3125">
    <cfRule type="duplicateValues" dxfId="0" priority="2770"/>
  </conditionalFormatting>
  <conditionalFormatting sqref="H3130">
    <cfRule type="duplicateValues" dxfId="0" priority="2590"/>
  </conditionalFormatting>
  <conditionalFormatting sqref="I3140:J3140">
    <cfRule type="duplicateValues" dxfId="0" priority="1914"/>
  </conditionalFormatting>
  <conditionalFormatting sqref="H3149">
    <cfRule type="duplicateValues" dxfId="0" priority="2300"/>
  </conditionalFormatting>
  <conditionalFormatting sqref="H3153">
    <cfRule type="duplicateValues" dxfId="0" priority="1516"/>
  </conditionalFormatting>
  <conditionalFormatting sqref="H3162:J3162">
    <cfRule type="duplicateValues" dxfId="0" priority="2765"/>
  </conditionalFormatting>
  <conditionalFormatting sqref="H3163:J3163">
    <cfRule type="duplicateValues" dxfId="0" priority="2763"/>
  </conditionalFormatting>
  <conditionalFormatting sqref="H3164:J3164">
    <cfRule type="duplicateValues" dxfId="0" priority="2762"/>
  </conditionalFormatting>
  <conditionalFormatting sqref="H3165:J3165">
    <cfRule type="duplicateValues" dxfId="0" priority="2761"/>
  </conditionalFormatting>
  <conditionalFormatting sqref="H3166:J3166">
    <cfRule type="duplicateValues" dxfId="0" priority="2760"/>
  </conditionalFormatting>
  <conditionalFormatting sqref="H3167:J3167">
    <cfRule type="duplicateValues" dxfId="0" priority="2759"/>
  </conditionalFormatting>
  <conditionalFormatting sqref="H3168:J3168">
    <cfRule type="duplicateValues" dxfId="0" priority="2758"/>
  </conditionalFormatting>
  <conditionalFormatting sqref="H3169:J3169">
    <cfRule type="duplicateValues" dxfId="0" priority="2757"/>
  </conditionalFormatting>
  <conditionalFormatting sqref="H3170:J3170">
    <cfRule type="duplicateValues" dxfId="0" priority="2756"/>
  </conditionalFormatting>
  <conditionalFormatting sqref="H3171:J3171">
    <cfRule type="duplicateValues" dxfId="0" priority="2755"/>
  </conditionalFormatting>
  <conditionalFormatting sqref="H3172:J3172">
    <cfRule type="duplicateValues" dxfId="0" priority="2754"/>
  </conditionalFormatting>
  <conditionalFormatting sqref="H3173:J3173">
    <cfRule type="duplicateValues" dxfId="0" priority="2753"/>
  </conditionalFormatting>
  <conditionalFormatting sqref="H3177">
    <cfRule type="duplicateValues" dxfId="0" priority="2641"/>
  </conditionalFormatting>
  <conditionalFormatting sqref="H3208">
    <cfRule type="duplicateValues" dxfId="0" priority="2304"/>
  </conditionalFormatting>
  <conditionalFormatting sqref="I3208">
    <cfRule type="duplicateValues" dxfId="0" priority="2303"/>
  </conditionalFormatting>
  <conditionalFormatting sqref="H3239:J3239">
    <cfRule type="duplicateValues" dxfId="0" priority="2750"/>
  </conditionalFormatting>
  <conditionalFormatting sqref="H3240:J3240">
    <cfRule type="duplicateValues" dxfId="0" priority="2749"/>
  </conditionalFormatting>
  <conditionalFormatting sqref="H3241:J3241">
    <cfRule type="duplicateValues" dxfId="0" priority="2748"/>
  </conditionalFormatting>
  <conditionalFormatting sqref="H3242:J3242">
    <cfRule type="duplicateValues" dxfId="0" priority="2747"/>
  </conditionalFormatting>
  <conditionalFormatting sqref="H3243:J3243">
    <cfRule type="duplicateValues" dxfId="0" priority="2745"/>
  </conditionalFormatting>
  <conditionalFormatting sqref="H3244:J3244">
    <cfRule type="duplicateValues" dxfId="0" priority="2743"/>
  </conditionalFormatting>
  <conditionalFormatting sqref="H3245:J3245">
    <cfRule type="duplicateValues" dxfId="0" priority="2742"/>
  </conditionalFormatting>
  <conditionalFormatting sqref="H3246:J3246">
    <cfRule type="duplicateValues" dxfId="0" priority="2741"/>
  </conditionalFormatting>
  <conditionalFormatting sqref="H3247:J3247">
    <cfRule type="duplicateValues" dxfId="0" priority="2740"/>
  </conditionalFormatting>
  <conditionalFormatting sqref="H3248:J3248">
    <cfRule type="duplicateValues" dxfId="0" priority="2739"/>
  </conditionalFormatting>
  <conditionalFormatting sqref="H3249:J3249">
    <cfRule type="duplicateValues" dxfId="0" priority="2737"/>
  </conditionalFormatting>
  <conditionalFormatting sqref="H3250:J3250">
    <cfRule type="duplicateValues" dxfId="0" priority="2736"/>
  </conditionalFormatting>
  <conditionalFormatting sqref="H3264">
    <cfRule type="duplicateValues" dxfId="0" priority="2262"/>
  </conditionalFormatting>
  <conditionalFormatting sqref="H3266">
    <cfRule type="duplicateValues" dxfId="0" priority="2019"/>
  </conditionalFormatting>
  <conditionalFormatting sqref="H3269">
    <cfRule type="duplicateValues" dxfId="0" priority="863"/>
  </conditionalFormatting>
  <conditionalFormatting sqref="H3270">
    <cfRule type="duplicateValues" dxfId="0" priority="528"/>
  </conditionalFormatting>
  <conditionalFormatting sqref="J3279">
    <cfRule type="duplicateValues" dxfId="0" priority="1658"/>
  </conditionalFormatting>
  <conditionalFormatting sqref="H3290">
    <cfRule type="duplicateValues" dxfId="0" priority="2727"/>
  </conditionalFormatting>
  <conditionalFormatting sqref="I3290">
    <cfRule type="duplicateValues" dxfId="0" priority="2726"/>
  </conditionalFormatting>
  <conditionalFormatting sqref="J3290">
    <cfRule type="duplicateValues" dxfId="0" priority="2725"/>
  </conditionalFormatting>
  <conditionalFormatting sqref="H3291">
    <cfRule type="duplicateValues" dxfId="0" priority="2724"/>
  </conditionalFormatting>
  <conditionalFormatting sqref="I3291">
    <cfRule type="duplicateValues" dxfId="0" priority="2723"/>
  </conditionalFormatting>
  <conditionalFormatting sqref="J3291">
    <cfRule type="duplicateValues" dxfId="0" priority="2722"/>
  </conditionalFormatting>
  <conditionalFormatting sqref="H3292">
    <cfRule type="duplicateValues" dxfId="0" priority="2719"/>
  </conditionalFormatting>
  <conditionalFormatting sqref="I3292">
    <cfRule type="duplicateValues" dxfId="0" priority="2718"/>
  </conditionalFormatting>
  <conditionalFormatting sqref="J3292">
    <cfRule type="duplicateValues" dxfId="0" priority="2717"/>
  </conditionalFormatting>
  <conditionalFormatting sqref="H3293">
    <cfRule type="duplicateValues" dxfId="0" priority="2716"/>
  </conditionalFormatting>
  <conditionalFormatting sqref="I3293">
    <cfRule type="duplicateValues" dxfId="0" priority="2715"/>
  </conditionalFormatting>
  <conditionalFormatting sqref="J3293">
    <cfRule type="duplicateValues" dxfId="0" priority="2714"/>
  </conditionalFormatting>
  <conditionalFormatting sqref="H3294">
    <cfRule type="duplicateValues" dxfId="0" priority="2713"/>
  </conditionalFormatting>
  <conditionalFormatting sqref="I3294">
    <cfRule type="duplicateValues" dxfId="0" priority="2712"/>
  </conditionalFormatting>
  <conditionalFormatting sqref="J3294">
    <cfRule type="duplicateValues" dxfId="0" priority="2711"/>
  </conditionalFormatting>
  <conditionalFormatting sqref="H3295">
    <cfRule type="duplicateValues" dxfId="0" priority="2710"/>
  </conditionalFormatting>
  <conditionalFormatting sqref="I3295">
    <cfRule type="duplicateValues" dxfId="0" priority="2709"/>
  </conditionalFormatting>
  <conditionalFormatting sqref="J3295">
    <cfRule type="duplicateValues" dxfId="0" priority="2708"/>
  </conditionalFormatting>
  <conditionalFormatting sqref="H3296">
    <cfRule type="duplicateValues" dxfId="0" priority="2707"/>
  </conditionalFormatting>
  <conditionalFormatting sqref="I3296">
    <cfRule type="duplicateValues" dxfId="0" priority="2706"/>
  </conditionalFormatting>
  <conditionalFormatting sqref="J3296">
    <cfRule type="duplicateValues" dxfId="0" priority="2705"/>
  </conditionalFormatting>
  <conditionalFormatting sqref="H3297">
    <cfRule type="duplicateValues" dxfId="0" priority="2704"/>
  </conditionalFormatting>
  <conditionalFormatting sqref="I3297">
    <cfRule type="duplicateValues" dxfId="0" priority="2703"/>
  </conditionalFormatting>
  <conditionalFormatting sqref="J3297">
    <cfRule type="duplicateValues" dxfId="0" priority="2702"/>
  </conditionalFormatting>
  <conditionalFormatting sqref="H3298">
    <cfRule type="duplicateValues" dxfId="0" priority="2701"/>
  </conditionalFormatting>
  <conditionalFormatting sqref="I3298">
    <cfRule type="duplicateValues" dxfId="0" priority="2700"/>
  </conditionalFormatting>
  <conditionalFormatting sqref="J3298">
    <cfRule type="duplicateValues" dxfId="0" priority="2699"/>
  </conditionalFormatting>
  <conditionalFormatting sqref="H3299">
    <cfRule type="duplicateValues" dxfId="0" priority="2698"/>
  </conditionalFormatting>
  <conditionalFormatting sqref="I3299">
    <cfRule type="duplicateValues" dxfId="0" priority="2697"/>
  </conditionalFormatting>
  <conditionalFormatting sqref="J3299">
    <cfRule type="duplicateValues" dxfId="0" priority="2696"/>
  </conditionalFormatting>
  <conditionalFormatting sqref="H3323">
    <cfRule type="duplicateValues" dxfId="3" priority="2"/>
  </conditionalFormatting>
  <conditionalFormatting sqref="H3327">
    <cfRule type="duplicateValues" dxfId="0" priority="1563"/>
  </conditionalFormatting>
  <conditionalFormatting sqref="H3331:J3331">
    <cfRule type="duplicateValues" dxfId="0" priority="2691"/>
  </conditionalFormatting>
  <conditionalFormatting sqref="H3332:J3332">
    <cfRule type="duplicateValues" dxfId="0" priority="2690"/>
  </conditionalFormatting>
  <conditionalFormatting sqref="H3333:J3333">
    <cfRule type="duplicateValues" dxfId="0" priority="2689"/>
  </conditionalFormatting>
  <conditionalFormatting sqref="H3334:J3334">
    <cfRule type="duplicateValues" dxfId="0" priority="2688"/>
  </conditionalFormatting>
  <conditionalFormatting sqref="H3335:J3335">
    <cfRule type="duplicateValues" dxfId="0" priority="2686"/>
  </conditionalFormatting>
  <conditionalFormatting sqref="H3336:J3336">
    <cfRule type="duplicateValues" dxfId="0" priority="2685"/>
  </conditionalFormatting>
  <conditionalFormatting sqref="H3337:J3337">
    <cfRule type="duplicateValues" dxfId="0" priority="2684"/>
  </conditionalFormatting>
  <conditionalFormatting sqref="H3338:J3338">
    <cfRule type="duplicateValues" dxfId="0" priority="2683"/>
  </conditionalFormatting>
  <conditionalFormatting sqref="H3339:J3339">
    <cfRule type="duplicateValues" dxfId="0" priority="2681"/>
  </conditionalFormatting>
  <conditionalFormatting sqref="H3340:J3340">
    <cfRule type="duplicateValues" dxfId="0" priority="2680"/>
  </conditionalFormatting>
  <conditionalFormatting sqref="J3345">
    <cfRule type="duplicateValues" dxfId="0" priority="1589"/>
  </conditionalFormatting>
  <conditionalFormatting sqref="H3364:J3364">
    <cfRule type="duplicateValues" dxfId="0" priority="2670"/>
  </conditionalFormatting>
  <conditionalFormatting sqref="H3365:J3365">
    <cfRule type="duplicateValues" dxfId="0" priority="2669"/>
  </conditionalFormatting>
  <conditionalFormatting sqref="H3366:J3366">
    <cfRule type="duplicateValues" dxfId="0" priority="2668"/>
  </conditionalFormatting>
  <conditionalFormatting sqref="H3367:J3367">
    <cfRule type="duplicateValues" dxfId="0" priority="2667"/>
  </conditionalFormatting>
  <conditionalFormatting sqref="H3369">
    <cfRule type="duplicateValues" dxfId="0" priority="2431"/>
  </conditionalFormatting>
  <conditionalFormatting sqref="H3376">
    <cfRule type="duplicateValues" dxfId="0" priority="1598"/>
  </conditionalFormatting>
  <conditionalFormatting sqref="C3377">
    <cfRule type="duplicateValues" dxfId="0" priority="2663"/>
  </conditionalFormatting>
  <conditionalFormatting sqref="C3378">
    <cfRule type="duplicateValues" dxfId="0" priority="2664"/>
  </conditionalFormatting>
  <conditionalFormatting sqref="H3383">
    <cfRule type="duplicateValues" dxfId="0" priority="2387"/>
  </conditionalFormatting>
  <conditionalFormatting sqref="H3388:J3388">
    <cfRule type="duplicateValues" dxfId="0" priority="2659"/>
  </conditionalFormatting>
  <conditionalFormatting sqref="H3389:J3389">
    <cfRule type="duplicateValues" dxfId="0" priority="2657"/>
  </conditionalFormatting>
  <conditionalFormatting sqref="H3390:J3390">
    <cfRule type="duplicateValues" dxfId="0" priority="2656"/>
  </conditionalFormatting>
  <conditionalFormatting sqref="H3391:J3391">
    <cfRule type="duplicateValues" dxfId="0" priority="2655"/>
  </conditionalFormatting>
  <conditionalFormatting sqref="H3392:J3392">
    <cfRule type="duplicateValues" dxfId="0" priority="2654"/>
  </conditionalFormatting>
  <conditionalFormatting sqref="H3393:J3393">
    <cfRule type="duplicateValues" dxfId="0" priority="2653"/>
  </conditionalFormatting>
  <conditionalFormatting sqref="H3394:J3394">
    <cfRule type="duplicateValues" dxfId="0" priority="2652"/>
  </conditionalFormatting>
  <conditionalFormatting sqref="H3395:J3395">
    <cfRule type="duplicateValues" dxfId="0" priority="2651"/>
  </conditionalFormatting>
  <conditionalFormatting sqref="H3396:J3396">
    <cfRule type="duplicateValues" dxfId="0" priority="2650"/>
  </conditionalFormatting>
  <conditionalFormatting sqref="H3397:J3397">
    <cfRule type="duplicateValues" dxfId="0" priority="2649"/>
  </conditionalFormatting>
  <conditionalFormatting sqref="H3398:J3398">
    <cfRule type="duplicateValues" dxfId="0" priority="2648"/>
  </conditionalFormatting>
  <conditionalFormatting sqref="I3400">
    <cfRule type="duplicateValues" dxfId="0" priority="1581"/>
  </conditionalFormatting>
  <conditionalFormatting sqref="J3402">
    <cfRule type="duplicateValues" dxfId="0" priority="2596"/>
  </conditionalFormatting>
  <conditionalFormatting sqref="H3404">
    <cfRule type="duplicateValues" dxfId="0" priority="1662"/>
  </conditionalFormatting>
  <conditionalFormatting sqref="J3415">
    <cfRule type="duplicateValues" dxfId="0" priority="1998"/>
  </conditionalFormatting>
  <conditionalFormatting sqref="J3416">
    <cfRule type="duplicateValues" dxfId="0" priority="1577"/>
  </conditionalFormatting>
  <conditionalFormatting sqref="H3417:J3417">
    <cfRule type="duplicateValues" dxfId="0" priority="2643"/>
  </conditionalFormatting>
  <conditionalFormatting sqref="H3418:J3418">
    <cfRule type="duplicateValues" dxfId="0" priority="2642"/>
  </conditionalFormatting>
  <conditionalFormatting sqref="H3419:J3419">
    <cfRule type="duplicateValues" dxfId="0" priority="2640"/>
  </conditionalFormatting>
  <conditionalFormatting sqref="H3420:J3420">
    <cfRule type="duplicateValues" dxfId="0" priority="2638"/>
  </conditionalFormatting>
  <conditionalFormatting sqref="H3421:J3421">
    <cfRule type="duplicateValues" dxfId="0" priority="2637"/>
  </conditionalFormatting>
  <conditionalFormatting sqref="H3422:J3422">
    <cfRule type="duplicateValues" dxfId="0" priority="2636"/>
  </conditionalFormatting>
  <conditionalFormatting sqref="H3423:J3423">
    <cfRule type="duplicateValues" dxfId="0" priority="2635"/>
  </conditionalFormatting>
  <conditionalFormatting sqref="H3424:J3424">
    <cfRule type="duplicateValues" dxfId="0" priority="2634"/>
  </conditionalFormatting>
  <conditionalFormatting sqref="H3425:J3425">
    <cfRule type="duplicateValues" dxfId="0" priority="2633"/>
  </conditionalFormatting>
  <conditionalFormatting sqref="H3428:J3428">
    <cfRule type="duplicateValues" dxfId="0" priority="2631"/>
  </conditionalFormatting>
  <conditionalFormatting sqref="H3429:J3429">
    <cfRule type="duplicateValues" dxfId="0" priority="2630"/>
  </conditionalFormatting>
  <conditionalFormatting sqref="H3430:J3430">
    <cfRule type="duplicateValues" dxfId="0" priority="2629"/>
  </conditionalFormatting>
  <conditionalFormatting sqref="H3431:J3431">
    <cfRule type="duplicateValues" dxfId="0" priority="2628"/>
  </conditionalFormatting>
  <conditionalFormatting sqref="H3448">
    <cfRule type="duplicateValues" dxfId="0" priority="937"/>
  </conditionalFormatting>
  <conditionalFormatting sqref="H3452">
    <cfRule type="duplicateValues" dxfId="0" priority="2424"/>
  </conditionalFormatting>
  <conditionalFormatting sqref="J3452">
    <cfRule type="duplicateValues" dxfId="0" priority="2423"/>
  </conditionalFormatting>
  <conditionalFormatting sqref="H3461:J3461">
    <cfRule type="duplicateValues" dxfId="0" priority="2622"/>
  </conditionalFormatting>
  <conditionalFormatting sqref="H3462:J3462">
    <cfRule type="duplicateValues" dxfId="0" priority="2619"/>
  </conditionalFormatting>
  <conditionalFormatting sqref="H3463:J3463">
    <cfRule type="duplicateValues" dxfId="0" priority="2618"/>
  </conditionalFormatting>
  <conditionalFormatting sqref="H3464:J3464">
    <cfRule type="duplicateValues" dxfId="0" priority="2616"/>
  </conditionalFormatting>
  <conditionalFormatting sqref="H3465:J3465">
    <cfRule type="duplicateValues" dxfId="0" priority="2615"/>
  </conditionalFormatting>
  <conditionalFormatting sqref="H3466:J3466">
    <cfRule type="duplicateValues" dxfId="0" priority="2614"/>
  </conditionalFormatting>
  <conditionalFormatting sqref="H3467:J3467">
    <cfRule type="duplicateValues" dxfId="0" priority="2613"/>
  </conditionalFormatting>
  <conditionalFormatting sqref="H3468:J3468">
    <cfRule type="duplicateValues" dxfId="0" priority="2612"/>
  </conditionalFormatting>
  <conditionalFormatting sqref="H3469:J3469">
    <cfRule type="duplicateValues" dxfId="0" priority="2611"/>
  </conditionalFormatting>
  <conditionalFormatting sqref="I3470:J3470">
    <cfRule type="duplicateValues" dxfId="0" priority="2610"/>
  </conditionalFormatting>
  <conditionalFormatting sqref="I3471:J3471">
    <cfRule type="duplicateValues" dxfId="0" priority="2609"/>
  </conditionalFormatting>
  <conditionalFormatting sqref="I3472:J3472">
    <cfRule type="duplicateValues" dxfId="0" priority="2608"/>
  </conditionalFormatting>
  <conditionalFormatting sqref="H3480">
    <cfRule type="duplicateValues" dxfId="0" priority="420"/>
  </conditionalFormatting>
  <conditionalFormatting sqref="H3483">
    <cfRule type="duplicateValues" dxfId="0" priority="1562"/>
  </conditionalFormatting>
  <conditionalFormatting sqref="H3485">
    <cfRule type="duplicateValues" dxfId="0" priority="2425"/>
  </conditionalFormatting>
  <conditionalFormatting sqref="H3486">
    <cfRule type="duplicateValues" dxfId="0" priority="2419"/>
  </conditionalFormatting>
  <conditionalFormatting sqref="H3490">
    <cfRule type="duplicateValues" dxfId="4" priority="185"/>
    <cfRule type="duplicateValues" dxfId="0" priority="186"/>
  </conditionalFormatting>
  <conditionalFormatting sqref="H3491">
    <cfRule type="duplicateValues" dxfId="0" priority="933"/>
  </conditionalFormatting>
  <conditionalFormatting sqref="H3492">
    <cfRule type="duplicateValues" dxfId="0" priority="2353"/>
  </conditionalFormatting>
  <conditionalFormatting sqref="H3496">
    <cfRule type="duplicateValues" dxfId="0" priority="1609"/>
  </conditionalFormatting>
  <conditionalFormatting sqref="H3499">
    <cfRule type="duplicateValues" dxfId="0" priority="2186"/>
  </conditionalFormatting>
  <conditionalFormatting sqref="H3510">
    <cfRule type="duplicateValues" dxfId="0" priority="2193"/>
  </conditionalFormatting>
  <conditionalFormatting sqref="H3519">
    <cfRule type="duplicateValues" dxfId="0" priority="2555"/>
  </conditionalFormatting>
  <conditionalFormatting sqref="H3522">
    <cfRule type="duplicateValues" dxfId="0" priority="2356"/>
  </conditionalFormatting>
  <conditionalFormatting sqref="H3536">
    <cfRule type="duplicateValues" dxfId="0" priority="2254"/>
  </conditionalFormatting>
  <conditionalFormatting sqref="I3538">
    <cfRule type="duplicateValues" dxfId="0" priority="1272"/>
  </conditionalFormatting>
  <conditionalFormatting sqref="J3538">
    <cfRule type="duplicateValues" dxfId="0" priority="1273"/>
  </conditionalFormatting>
  <conditionalFormatting sqref="H3552">
    <cfRule type="duplicateValues" dxfId="0" priority="1022"/>
  </conditionalFormatting>
  <conditionalFormatting sqref="I3560:J3560">
    <cfRule type="duplicateValues" dxfId="0" priority="2599"/>
  </conditionalFormatting>
  <conditionalFormatting sqref="I3561:J3561">
    <cfRule type="duplicateValues" dxfId="0" priority="2598"/>
  </conditionalFormatting>
  <conditionalFormatting sqref="I3562:J3562">
    <cfRule type="duplicateValues" dxfId="0" priority="2597"/>
  </conditionalFormatting>
  <conditionalFormatting sqref="I3563:J3563">
    <cfRule type="duplicateValues" dxfId="0" priority="2593"/>
  </conditionalFormatting>
  <conditionalFormatting sqref="I3564:J3564">
    <cfRule type="duplicateValues" dxfId="0" priority="2592"/>
  </conditionalFormatting>
  <conditionalFormatting sqref="I3565:J3565">
    <cfRule type="duplicateValues" dxfId="0" priority="2591"/>
  </conditionalFormatting>
  <conditionalFormatting sqref="I3566:J3566">
    <cfRule type="duplicateValues" dxfId="0" priority="2589"/>
  </conditionalFormatting>
  <conditionalFormatting sqref="I3567:J3567">
    <cfRule type="duplicateValues" dxfId="0" priority="2588"/>
  </conditionalFormatting>
  <conditionalFormatting sqref="I3568:J3568">
    <cfRule type="duplicateValues" dxfId="0" priority="2586"/>
  </conditionalFormatting>
  <conditionalFormatting sqref="I3569:J3569">
    <cfRule type="duplicateValues" dxfId="0" priority="2585"/>
  </conditionalFormatting>
  <conditionalFormatting sqref="I3570:J3570">
    <cfRule type="duplicateValues" dxfId="0" priority="2584"/>
  </conditionalFormatting>
  <conditionalFormatting sqref="I3571:J3571">
    <cfRule type="duplicateValues" dxfId="0" priority="2583"/>
  </conditionalFormatting>
  <conditionalFormatting sqref="I3574:J3574">
    <cfRule type="duplicateValues" dxfId="0" priority="2581"/>
  </conditionalFormatting>
  <conditionalFormatting sqref="H3575:J3575">
    <cfRule type="duplicateValues" dxfId="0" priority="2580"/>
  </conditionalFormatting>
  <conditionalFormatting sqref="H3576:J3576">
    <cfRule type="duplicateValues" dxfId="0" priority="2579"/>
  </conditionalFormatting>
  <conditionalFormatting sqref="H3577:J3577">
    <cfRule type="duplicateValues" dxfId="0" priority="2578"/>
  </conditionalFormatting>
  <conditionalFormatting sqref="H3578:J3578">
    <cfRule type="duplicateValues" dxfId="0" priority="2577"/>
  </conditionalFormatting>
  <conditionalFormatting sqref="H3579:J3579">
    <cfRule type="duplicateValues" dxfId="0" priority="2575"/>
  </conditionalFormatting>
  <conditionalFormatting sqref="A3580">
    <cfRule type="duplicateValues" dxfId="0" priority="2572"/>
  </conditionalFormatting>
  <conditionalFormatting sqref="A3581">
    <cfRule type="duplicateValues" dxfId="0" priority="2571"/>
  </conditionalFormatting>
  <conditionalFormatting sqref="A3582">
    <cfRule type="duplicateValues" dxfId="0" priority="2573"/>
  </conditionalFormatting>
  <conditionalFormatting sqref="J3586">
    <cfRule type="duplicateValues" dxfId="0" priority="2558"/>
  </conditionalFormatting>
  <conditionalFormatting sqref="H3591">
    <cfRule type="duplicateValues" dxfId="0" priority="405"/>
  </conditionalFormatting>
  <conditionalFormatting sqref="H3616">
    <cfRule type="duplicateValues" dxfId="0" priority="991"/>
  </conditionalFormatting>
  <conditionalFormatting sqref="H3626">
    <cfRule type="duplicateValues" dxfId="0" priority="1012"/>
  </conditionalFormatting>
  <conditionalFormatting sqref="H3639">
    <cfRule type="duplicateValues" dxfId="0" priority="1115"/>
  </conditionalFormatting>
  <conditionalFormatting sqref="H3640">
    <cfRule type="duplicateValues" dxfId="0" priority="2386"/>
  </conditionalFormatting>
  <conditionalFormatting sqref="I3641:J3641">
    <cfRule type="duplicateValues" dxfId="0" priority="2560"/>
  </conditionalFormatting>
  <conditionalFormatting sqref="H3643">
    <cfRule type="duplicateValues" dxfId="0" priority="2357"/>
  </conditionalFormatting>
  <conditionalFormatting sqref="H3646">
    <cfRule type="duplicateValues" dxfId="0" priority="1046"/>
  </conditionalFormatting>
  <conditionalFormatting sqref="H3650">
    <cfRule type="duplicateValues" dxfId="0" priority="1480"/>
  </conditionalFormatting>
  <conditionalFormatting sqref="J3661">
    <cfRule type="duplicateValues" dxfId="0" priority="174"/>
  </conditionalFormatting>
  <conditionalFormatting sqref="H3669">
    <cfRule type="duplicateValues" dxfId="0" priority="1900"/>
  </conditionalFormatting>
  <conditionalFormatting sqref="H3675">
    <cfRule type="duplicateValues" dxfId="0" priority="1065"/>
  </conditionalFormatting>
  <conditionalFormatting sqref="H3696">
    <cfRule type="duplicateValues" dxfId="0" priority="935"/>
  </conditionalFormatting>
  <conditionalFormatting sqref="H3699">
    <cfRule type="duplicateValues" dxfId="0" priority="1634"/>
  </conditionalFormatting>
  <conditionalFormatting sqref="H3702">
    <cfRule type="duplicateValues" dxfId="0" priority="2562"/>
  </conditionalFormatting>
  <conditionalFormatting sqref="H3708">
    <cfRule type="duplicateValues" dxfId="0" priority="2321"/>
  </conditionalFormatting>
  <conditionalFormatting sqref="H3709">
    <cfRule type="duplicateValues" dxfId="0" priority="2008"/>
  </conditionalFormatting>
  <conditionalFormatting sqref="H3715">
    <cfRule type="duplicateValues" dxfId="0" priority="1520"/>
  </conditionalFormatting>
  <conditionalFormatting sqref="J3717">
    <cfRule type="duplicateValues" dxfId="0" priority="2426"/>
  </conditionalFormatting>
  <conditionalFormatting sqref="H3718">
    <cfRule type="duplicateValues" dxfId="0" priority="2328"/>
  </conditionalFormatting>
  <conditionalFormatting sqref="H3735">
    <cfRule type="duplicateValues" dxfId="0" priority="1358"/>
  </conditionalFormatting>
  <conditionalFormatting sqref="H3739:J3739">
    <cfRule type="duplicateValues" dxfId="0" priority="378"/>
  </conditionalFormatting>
  <conditionalFormatting sqref="J3743">
    <cfRule type="duplicateValues" dxfId="0" priority="2038"/>
  </conditionalFormatting>
  <conditionalFormatting sqref="H3746:J3746">
    <cfRule type="duplicateValues" dxfId="0" priority="2561"/>
  </conditionalFormatting>
  <conditionalFormatting sqref="H3747:J3747">
    <cfRule type="duplicateValues" dxfId="0" priority="2559"/>
  </conditionalFormatting>
  <conditionalFormatting sqref="H3748:J3748">
    <cfRule type="duplicateValues" dxfId="0" priority="2557"/>
  </conditionalFormatting>
  <conditionalFormatting sqref="H3749:J3749">
    <cfRule type="duplicateValues" dxfId="0" priority="2556"/>
  </conditionalFormatting>
  <conditionalFormatting sqref="H3750:J3750">
    <cfRule type="duplicateValues" dxfId="0" priority="2554"/>
  </conditionalFormatting>
  <conditionalFormatting sqref="H3751:J3751">
    <cfRule type="duplicateValues" dxfId="0" priority="2552"/>
  </conditionalFormatting>
  <conditionalFormatting sqref="H3752:J3752">
    <cfRule type="duplicateValues" dxfId="0" priority="2551"/>
  </conditionalFormatting>
  <conditionalFormatting sqref="H3753:J3753">
    <cfRule type="duplicateValues" dxfId="0" priority="2550"/>
  </conditionalFormatting>
  <conditionalFormatting sqref="H3754:J3754">
    <cfRule type="duplicateValues" dxfId="0" priority="2549"/>
  </conditionalFormatting>
  <conditionalFormatting sqref="H3755:J3755">
    <cfRule type="duplicateValues" dxfId="0" priority="2548"/>
  </conditionalFormatting>
  <conditionalFormatting sqref="H3756:J3756">
    <cfRule type="duplicateValues" dxfId="0" priority="2547"/>
  </conditionalFormatting>
  <conditionalFormatting sqref="H3757:J3757">
    <cfRule type="duplicateValues" dxfId="0" priority="2546"/>
  </conditionalFormatting>
  <conditionalFormatting sqref="H3758:J3758">
    <cfRule type="duplicateValues" dxfId="0" priority="2545"/>
  </conditionalFormatting>
  <conditionalFormatting sqref="H3759:J3759">
    <cfRule type="duplicateValues" dxfId="0" priority="2544"/>
  </conditionalFormatting>
  <conditionalFormatting sqref="H3760:J3760">
    <cfRule type="duplicateValues" dxfId="0" priority="2543"/>
  </conditionalFormatting>
  <conditionalFormatting sqref="H3761:J3761">
    <cfRule type="duplicateValues" dxfId="0" priority="2542"/>
  </conditionalFormatting>
  <conditionalFormatting sqref="H3762:J3762">
    <cfRule type="duplicateValues" dxfId="0" priority="2541"/>
  </conditionalFormatting>
  <conditionalFormatting sqref="H3763:J3763">
    <cfRule type="duplicateValues" dxfId="0" priority="2540"/>
  </conditionalFormatting>
  <conditionalFormatting sqref="H3764:J3764">
    <cfRule type="duplicateValues" dxfId="0" priority="2539"/>
  </conditionalFormatting>
  <conditionalFormatting sqref="H3765:J3765">
    <cfRule type="duplicateValues" dxfId="0" priority="2538"/>
  </conditionalFormatting>
  <conditionalFormatting sqref="A3766">
    <cfRule type="duplicateValues" dxfId="0" priority="2537"/>
  </conditionalFormatting>
  <conditionalFormatting sqref="H3767:I3767">
    <cfRule type="duplicateValues" dxfId="0" priority="2533"/>
  </conditionalFormatting>
  <conditionalFormatting sqref="J3770">
    <cfRule type="duplicateValues" dxfId="0" priority="2191"/>
  </conditionalFormatting>
  <conditionalFormatting sqref="J3771">
    <cfRule type="duplicateValues" dxfId="0" priority="2190"/>
  </conditionalFormatting>
  <conditionalFormatting sqref="H3776">
    <cfRule type="duplicateValues" dxfId="0" priority="130"/>
  </conditionalFormatting>
  <conditionalFormatting sqref="H3781">
    <cfRule type="duplicateValues" dxfId="0" priority="2349"/>
  </conditionalFormatting>
  <conditionalFormatting sqref="J3785">
    <cfRule type="duplicateValues" dxfId="0" priority="1058"/>
  </conditionalFormatting>
  <conditionalFormatting sqref="H3789:J3789">
    <cfRule type="duplicateValues" dxfId="0" priority="2531"/>
  </conditionalFormatting>
  <conditionalFormatting sqref="H3790:J3790">
    <cfRule type="duplicateValues" dxfId="0" priority="2530"/>
  </conditionalFormatting>
  <conditionalFormatting sqref="H3791:J3791">
    <cfRule type="duplicateValues" dxfId="0" priority="2528"/>
  </conditionalFormatting>
  <conditionalFormatting sqref="H3792:J3792">
    <cfRule type="duplicateValues" dxfId="0" priority="2527"/>
  </conditionalFormatting>
  <conditionalFormatting sqref="H3793:J3793">
    <cfRule type="duplicateValues" dxfId="0" priority="2526"/>
  </conditionalFormatting>
  <conditionalFormatting sqref="H3794:J3794">
    <cfRule type="duplicateValues" dxfId="0" priority="2525"/>
  </conditionalFormatting>
  <conditionalFormatting sqref="H3795:J3795">
    <cfRule type="duplicateValues" dxfId="0" priority="2524"/>
  </conditionalFormatting>
  <conditionalFormatting sqref="H3796:J3796">
    <cfRule type="duplicateValues" dxfId="0" priority="2523"/>
  </conditionalFormatting>
  <conditionalFormatting sqref="H3797:J3797">
    <cfRule type="duplicateValues" dxfId="0" priority="2522"/>
  </conditionalFormatting>
  <conditionalFormatting sqref="H3798:J3798">
    <cfRule type="duplicateValues" dxfId="0" priority="2521"/>
  </conditionalFormatting>
  <conditionalFormatting sqref="A3799">
    <cfRule type="duplicateValues" dxfId="0" priority="2510"/>
  </conditionalFormatting>
  <conditionalFormatting sqref="A3800">
    <cfRule type="duplicateValues" dxfId="0" priority="2508"/>
  </conditionalFormatting>
  <conditionalFormatting sqref="H3800:J3800">
    <cfRule type="duplicateValues" dxfId="0" priority="2504"/>
  </conditionalFormatting>
  <conditionalFormatting sqref="A3801">
    <cfRule type="duplicateValues" dxfId="0" priority="2507"/>
  </conditionalFormatting>
  <conditionalFormatting sqref="H3801:J3801">
    <cfRule type="duplicateValues" dxfId="0" priority="2503"/>
  </conditionalFormatting>
  <conditionalFormatting sqref="L3805">
    <cfRule type="duplicateValues" dxfId="0" priority="1048"/>
  </conditionalFormatting>
  <conditionalFormatting sqref="H3807">
    <cfRule type="duplicateValues" dxfId="0" priority="283"/>
  </conditionalFormatting>
  <conditionalFormatting sqref="I3811:J3811">
    <cfRule type="duplicateValues" dxfId="0" priority="2501"/>
  </conditionalFormatting>
  <conditionalFormatting sqref="H3812:J3812">
    <cfRule type="duplicateValues" dxfId="0" priority="2497"/>
  </conditionalFormatting>
  <conditionalFormatting sqref="H3814:J3814">
    <cfRule type="duplicateValues" dxfId="0" priority="2495"/>
  </conditionalFormatting>
  <conditionalFormatting sqref="H3815:J3815">
    <cfRule type="duplicateValues" dxfId="0" priority="2494"/>
  </conditionalFormatting>
  <conditionalFormatting sqref="H3816:J3816">
    <cfRule type="duplicateValues" dxfId="0" priority="2493"/>
  </conditionalFormatting>
  <conditionalFormatting sqref="H3817:J3817">
    <cfRule type="duplicateValues" dxfId="0" priority="2492"/>
  </conditionalFormatting>
  <conditionalFormatting sqref="H3818:J3818">
    <cfRule type="duplicateValues" dxfId="0" priority="2491"/>
  </conditionalFormatting>
  <conditionalFormatting sqref="H3819:J3819">
    <cfRule type="duplicateValues" dxfId="0" priority="2490"/>
  </conditionalFormatting>
  <conditionalFormatting sqref="H3831">
    <cfRule type="duplicateValues" dxfId="0" priority="2209"/>
  </conditionalFormatting>
  <conditionalFormatting sqref="H3832:J3832">
    <cfRule type="duplicateValues" dxfId="0" priority="2486"/>
  </conditionalFormatting>
  <conditionalFormatting sqref="H3833:J3833">
    <cfRule type="duplicateValues" dxfId="0" priority="2484"/>
  </conditionalFormatting>
  <conditionalFormatting sqref="H3834:J3834">
    <cfRule type="duplicateValues" dxfId="0" priority="2483"/>
  </conditionalFormatting>
  <conditionalFormatting sqref="H3835:J3835">
    <cfRule type="duplicateValues" dxfId="0" priority="2482"/>
  </conditionalFormatting>
  <conditionalFormatting sqref="H3836:J3836">
    <cfRule type="duplicateValues" dxfId="0" priority="2481"/>
  </conditionalFormatting>
  <conditionalFormatting sqref="H3837:J3837">
    <cfRule type="duplicateValues" dxfId="0" priority="2480"/>
  </conditionalFormatting>
  <conditionalFormatting sqref="H3838:J3838">
    <cfRule type="duplicateValues" dxfId="0" priority="2479"/>
  </conditionalFormatting>
  <conditionalFormatting sqref="H3839:J3839">
    <cfRule type="duplicateValues" dxfId="0" priority="2478"/>
  </conditionalFormatting>
  <conditionalFormatting sqref="H3840:J3840">
    <cfRule type="duplicateValues" dxfId="0" priority="2477"/>
  </conditionalFormatting>
  <conditionalFormatting sqref="H3841">
    <cfRule type="duplicateValues" dxfId="0" priority="2475"/>
  </conditionalFormatting>
  <conditionalFormatting sqref="I3841:J3841">
    <cfRule type="duplicateValues" dxfId="0" priority="2476"/>
  </conditionalFormatting>
  <conditionalFormatting sqref="H3849">
    <cfRule type="duplicateValues" dxfId="0" priority="2471"/>
  </conditionalFormatting>
  <conditionalFormatting sqref="I3852">
    <cfRule type="duplicateValues" dxfId="0" priority="1682"/>
  </conditionalFormatting>
  <conditionalFormatting sqref="H3854">
    <cfRule type="duplicateValues" dxfId="0" priority="929"/>
  </conditionalFormatting>
  <conditionalFormatting sqref="H3859:J3859">
    <cfRule type="duplicateValues" dxfId="0" priority="2470"/>
  </conditionalFormatting>
  <conditionalFormatting sqref="H3860:J3860">
    <cfRule type="duplicateValues" dxfId="0" priority="2469"/>
  </conditionalFormatting>
  <conditionalFormatting sqref="H3861">
    <cfRule type="duplicateValues" dxfId="0" priority="2467"/>
  </conditionalFormatting>
  <conditionalFormatting sqref="I3861:J3861">
    <cfRule type="duplicateValues" dxfId="0" priority="2468"/>
  </conditionalFormatting>
  <conditionalFormatting sqref="H3862:J3862">
    <cfRule type="duplicateValues" dxfId="0" priority="2466"/>
  </conditionalFormatting>
  <conditionalFormatting sqref="H3863:J3863">
    <cfRule type="duplicateValues" dxfId="0" priority="2463"/>
  </conditionalFormatting>
  <conditionalFormatting sqref="H3864:J3864">
    <cfRule type="duplicateValues" dxfId="0" priority="2462"/>
  </conditionalFormatting>
  <conditionalFormatting sqref="H3865:J3865">
    <cfRule type="duplicateValues" dxfId="0" priority="2461"/>
  </conditionalFormatting>
  <conditionalFormatting sqref="H3866:J3866">
    <cfRule type="duplicateValues" dxfId="0" priority="2460"/>
  </conditionalFormatting>
  <conditionalFormatting sqref="I3867:J3867">
    <cfRule type="duplicateValues" dxfId="0" priority="2459"/>
  </conditionalFormatting>
  <conditionalFormatting sqref="H3868:J3868">
    <cfRule type="duplicateValues" dxfId="0" priority="2458"/>
  </conditionalFormatting>
  <conditionalFormatting sqref="H3869:J3869">
    <cfRule type="duplicateValues" dxfId="0" priority="2457"/>
  </conditionalFormatting>
  <conditionalFormatting sqref="H3870:J3870">
    <cfRule type="duplicateValues" dxfId="0" priority="2456"/>
  </conditionalFormatting>
  <conditionalFormatting sqref="H3871:J3871">
    <cfRule type="duplicateValues" dxfId="0" priority="2455"/>
  </conditionalFormatting>
  <conditionalFormatting sqref="H3872:J3872">
    <cfRule type="duplicateValues" dxfId="0" priority="2454"/>
  </conditionalFormatting>
  <conditionalFormatting sqref="H3873:J3873">
    <cfRule type="duplicateValues" dxfId="0" priority="2453"/>
  </conditionalFormatting>
  <conditionalFormatting sqref="H3874:J3874">
    <cfRule type="duplicateValues" dxfId="0" priority="2452"/>
  </conditionalFormatting>
  <conditionalFormatting sqref="H3875:J3875">
    <cfRule type="duplicateValues" dxfId="0" priority="2451"/>
  </conditionalFormatting>
  <conditionalFormatting sqref="H3876:J3876">
    <cfRule type="duplicateValues" dxfId="0" priority="2450"/>
  </conditionalFormatting>
  <conditionalFormatting sqref="H3877:J3877">
    <cfRule type="duplicateValues" dxfId="0" priority="2449"/>
  </conditionalFormatting>
  <conditionalFormatting sqref="H3878:J3878">
    <cfRule type="duplicateValues" dxfId="0" priority="2448"/>
  </conditionalFormatting>
  <conditionalFormatting sqref="H3879:J3879">
    <cfRule type="duplicateValues" dxfId="0" priority="2445"/>
  </conditionalFormatting>
  <conditionalFormatting sqref="H3887">
    <cfRule type="duplicateValues" dxfId="0" priority="2435"/>
  </conditionalFormatting>
  <conditionalFormatting sqref="A3889">
    <cfRule type="duplicateValues" dxfId="0" priority="2441"/>
  </conditionalFormatting>
  <conditionalFormatting sqref="A3893">
    <cfRule type="duplicateValues" dxfId="0" priority="2439"/>
  </conditionalFormatting>
  <conditionalFormatting sqref="H3896">
    <cfRule type="duplicateValues" dxfId="0" priority="988"/>
  </conditionalFormatting>
  <conditionalFormatting sqref="H3906">
    <cfRule type="duplicateValues" dxfId="0" priority="1992"/>
  </conditionalFormatting>
  <conditionalFormatting sqref="I3926">
    <cfRule type="duplicateValues" dxfId="0" priority="414"/>
  </conditionalFormatting>
  <conditionalFormatting sqref="H3937">
    <cfRule type="duplicateValues" dxfId="0" priority="2201"/>
  </conditionalFormatting>
  <conditionalFormatting sqref="H3943:J3943">
    <cfRule type="duplicateValues" dxfId="0" priority="2436"/>
  </conditionalFormatting>
  <conditionalFormatting sqref="H3950">
    <cfRule type="duplicateValues" dxfId="0" priority="1100"/>
  </conditionalFormatting>
  <conditionalFormatting sqref="H3951:J3951">
    <cfRule type="duplicateValues" dxfId="0" priority="2434"/>
  </conditionalFormatting>
  <conditionalFormatting sqref="H3952:J3952">
    <cfRule type="duplicateValues" dxfId="0" priority="2433"/>
  </conditionalFormatting>
  <conditionalFormatting sqref="H3953:J3953">
    <cfRule type="duplicateValues" dxfId="0" priority="2432"/>
  </conditionalFormatting>
  <conditionalFormatting sqref="H3954:J3954">
    <cfRule type="duplicateValues" dxfId="0" priority="2430"/>
  </conditionalFormatting>
  <conditionalFormatting sqref="H3955:J3955">
    <cfRule type="duplicateValues" dxfId="0" priority="2429"/>
  </conditionalFormatting>
  <conditionalFormatting sqref="H3956:J3956">
    <cfRule type="duplicateValues" dxfId="0" priority="2427"/>
  </conditionalFormatting>
  <conditionalFormatting sqref="H3957:J3957">
    <cfRule type="duplicateValues" dxfId="0" priority="2422"/>
  </conditionalFormatting>
  <conditionalFormatting sqref="H3958:J3958">
    <cfRule type="duplicateValues" dxfId="0" priority="2421"/>
  </conditionalFormatting>
  <conditionalFormatting sqref="H3959:J3959">
    <cfRule type="duplicateValues" dxfId="0" priority="2420"/>
  </conditionalFormatting>
  <conditionalFormatting sqref="H3960:J3960">
    <cfRule type="duplicateValues" dxfId="0" priority="2418"/>
  </conditionalFormatting>
  <conditionalFormatting sqref="H3961:J3961">
    <cfRule type="duplicateValues" dxfId="0" priority="2417"/>
  </conditionalFormatting>
  <conditionalFormatting sqref="H3962:J3962">
    <cfRule type="duplicateValues" dxfId="0" priority="2416"/>
  </conditionalFormatting>
  <conditionalFormatting sqref="H3963:J3963">
    <cfRule type="duplicateValues" dxfId="0" priority="2414"/>
  </conditionalFormatting>
  <conditionalFormatting sqref="H3964:J3964">
    <cfRule type="duplicateValues" dxfId="0" priority="2413"/>
  </conditionalFormatting>
  <conditionalFormatting sqref="H3965:J3965">
    <cfRule type="duplicateValues" dxfId="0" priority="2412"/>
  </conditionalFormatting>
  <conditionalFormatting sqref="H3966:J3966">
    <cfRule type="duplicateValues" dxfId="0" priority="2411"/>
  </conditionalFormatting>
  <conditionalFormatting sqref="H3967:J3967">
    <cfRule type="duplicateValues" dxfId="0" priority="2410"/>
  </conditionalFormatting>
  <conditionalFormatting sqref="H3968:J3968">
    <cfRule type="duplicateValues" dxfId="0" priority="2409"/>
  </conditionalFormatting>
  <conditionalFormatting sqref="H3969:J3969">
    <cfRule type="duplicateValues" dxfId="0" priority="2408"/>
  </conditionalFormatting>
  <conditionalFormatting sqref="H3970:J3970">
    <cfRule type="duplicateValues" dxfId="0" priority="2407"/>
  </conditionalFormatting>
  <conditionalFormatting sqref="H3971:J3971">
    <cfRule type="duplicateValues" dxfId="0" priority="2406"/>
  </conditionalFormatting>
  <conditionalFormatting sqref="H3972:J3972">
    <cfRule type="duplicateValues" dxfId="0" priority="2405"/>
  </conditionalFormatting>
  <conditionalFormatting sqref="H3973:J3973">
    <cfRule type="duplicateValues" dxfId="0" priority="2404"/>
  </conditionalFormatting>
  <conditionalFormatting sqref="H3974:J3974">
    <cfRule type="duplicateValues" dxfId="0" priority="2403"/>
  </conditionalFormatting>
  <conditionalFormatting sqref="H3975:J3975">
    <cfRule type="duplicateValues" dxfId="0" priority="2402"/>
  </conditionalFormatting>
  <conditionalFormatting sqref="H3976:J3976">
    <cfRule type="duplicateValues" dxfId="0" priority="2401"/>
  </conditionalFormatting>
  <conditionalFormatting sqref="H3977:J3977">
    <cfRule type="duplicateValues" dxfId="0" priority="2399"/>
  </conditionalFormatting>
  <conditionalFormatting sqref="H3978:J3978">
    <cfRule type="duplicateValues" dxfId="0" priority="2398"/>
  </conditionalFormatting>
  <conditionalFormatting sqref="A3979">
    <cfRule type="duplicateValues" dxfId="0" priority="2396"/>
  </conditionalFormatting>
  <conditionalFormatting sqref="I3981">
    <cfRule type="duplicateValues" dxfId="0" priority="1827"/>
  </conditionalFormatting>
  <conditionalFormatting sqref="H3988">
    <cfRule type="duplicateValues" dxfId="0" priority="1723"/>
  </conditionalFormatting>
  <conditionalFormatting sqref="H3990">
    <cfRule type="duplicateValues" dxfId="0" priority="2391"/>
  </conditionalFormatting>
  <conditionalFormatting sqref="H3991">
    <cfRule type="duplicateValues" dxfId="0" priority="881"/>
  </conditionalFormatting>
  <conditionalFormatting sqref="H4000">
    <cfRule type="duplicateValues" dxfId="0" priority="1659"/>
  </conditionalFormatting>
  <conditionalFormatting sqref="H4008">
    <cfRule type="duplicateValues" dxfId="0" priority="1030"/>
  </conditionalFormatting>
  <conditionalFormatting sqref="H4011">
    <cfRule type="duplicateValues" dxfId="0" priority="2260"/>
  </conditionalFormatting>
  <conditionalFormatting sqref="H4016">
    <cfRule type="duplicateValues" dxfId="0" priority="1116"/>
  </conditionalFormatting>
  <conditionalFormatting sqref="H4018">
    <cfRule type="duplicateValues" dxfId="0" priority="1912"/>
  </conditionalFormatting>
  <conditionalFormatting sqref="H4024">
    <cfRule type="duplicateValues" dxfId="0" priority="1230"/>
  </conditionalFormatting>
  <conditionalFormatting sqref="H4026">
    <cfRule type="duplicateValues" dxfId="0" priority="1844"/>
  </conditionalFormatting>
  <conditionalFormatting sqref="H4029">
    <cfRule type="duplicateValues" dxfId="0" priority="2348"/>
  </conditionalFormatting>
  <conditionalFormatting sqref="H4030">
    <cfRule type="duplicateValues" dxfId="0" priority="1828"/>
  </conditionalFormatting>
  <conditionalFormatting sqref="H4036:J4036">
    <cfRule type="duplicateValues" dxfId="0" priority="2389"/>
  </conditionalFormatting>
  <conditionalFormatting sqref="H4037:J4037">
    <cfRule type="duplicateValues" dxfId="0" priority="2388"/>
  </conditionalFormatting>
  <conditionalFormatting sqref="H4038:J4038">
    <cfRule type="duplicateValues" dxfId="0" priority="2383"/>
  </conditionalFormatting>
  <conditionalFormatting sqref="H4039:J4039">
    <cfRule type="duplicateValues" dxfId="0" priority="2382"/>
  </conditionalFormatting>
  <conditionalFormatting sqref="H4040">
    <cfRule type="duplicateValues" dxfId="0" priority="2164"/>
  </conditionalFormatting>
  <conditionalFormatting sqref="I4040:J4040">
    <cfRule type="duplicateValues" dxfId="0" priority="2381"/>
  </conditionalFormatting>
  <conditionalFormatting sqref="H4041:J4041">
    <cfRule type="duplicateValues" dxfId="0" priority="2380"/>
  </conditionalFormatting>
  <conditionalFormatting sqref="H4042:J4042">
    <cfRule type="duplicateValues" dxfId="0" priority="2379"/>
  </conditionalFormatting>
  <conditionalFormatting sqref="H4043:J4043">
    <cfRule type="duplicateValues" dxfId="0" priority="2378"/>
  </conditionalFormatting>
  <conditionalFormatting sqref="H4044:J4044">
    <cfRule type="duplicateValues" dxfId="0" priority="2377"/>
  </conditionalFormatting>
  <conditionalFormatting sqref="H4045:J4045">
    <cfRule type="duplicateValues" dxfId="0" priority="2376"/>
  </conditionalFormatting>
  <conditionalFormatting sqref="H4046:J4046">
    <cfRule type="duplicateValues" dxfId="0" priority="2375"/>
  </conditionalFormatting>
  <conditionalFormatting sqref="H4047:J4047">
    <cfRule type="duplicateValues" dxfId="0" priority="2374"/>
  </conditionalFormatting>
  <conditionalFormatting sqref="H4048:J4048">
    <cfRule type="duplicateValues" dxfId="0" priority="2373"/>
  </conditionalFormatting>
  <conditionalFormatting sqref="H4049:J4049">
    <cfRule type="duplicateValues" dxfId="0" priority="2372"/>
  </conditionalFormatting>
  <conditionalFormatting sqref="H4050:J4050">
    <cfRule type="duplicateValues" dxfId="0" priority="2371"/>
  </conditionalFormatting>
  <conditionalFormatting sqref="H4051:J4051">
    <cfRule type="duplicateValues" dxfId="0" priority="2370"/>
  </conditionalFormatting>
  <conditionalFormatting sqref="H4052:J4052">
    <cfRule type="duplicateValues" dxfId="0" priority="2369"/>
  </conditionalFormatting>
  <conditionalFormatting sqref="H4053:J4053">
    <cfRule type="duplicateValues" dxfId="0" priority="2368"/>
  </conditionalFormatting>
  <conditionalFormatting sqref="H4054:J4054">
    <cfRule type="duplicateValues" dxfId="0" priority="2367"/>
  </conditionalFormatting>
  <conditionalFormatting sqref="H4055:J4055">
    <cfRule type="duplicateValues" dxfId="0" priority="2366"/>
  </conditionalFormatting>
  <conditionalFormatting sqref="H4058">
    <cfRule type="duplicateValues" dxfId="0" priority="2306"/>
  </conditionalFormatting>
  <conditionalFormatting sqref="H4064">
    <cfRule type="duplicateValues" dxfId="0" priority="2362"/>
  </conditionalFormatting>
  <conditionalFormatting sqref="H4068">
    <cfRule type="duplicateValues" dxfId="0" priority="2361"/>
  </conditionalFormatting>
  <conditionalFormatting sqref="H4069:J4069">
    <cfRule type="duplicateValues" dxfId="0" priority="2359"/>
  </conditionalFormatting>
  <conditionalFormatting sqref="H4073:J4073">
    <cfRule type="duplicateValues" dxfId="0" priority="2351"/>
  </conditionalFormatting>
  <conditionalFormatting sqref="H4074:J4074">
    <cfRule type="duplicateValues" dxfId="0" priority="2350"/>
  </conditionalFormatting>
  <conditionalFormatting sqref="H4075:J4075">
    <cfRule type="duplicateValues" dxfId="0" priority="2347"/>
  </conditionalFormatting>
  <conditionalFormatting sqref="H4076:J4076">
    <cfRule type="duplicateValues" dxfId="0" priority="2346"/>
  </conditionalFormatting>
  <conditionalFormatting sqref="H4077:J4077">
    <cfRule type="duplicateValues" dxfId="0" priority="2345"/>
  </conditionalFormatting>
  <conditionalFormatting sqref="H4078:J4078">
    <cfRule type="duplicateValues" dxfId="0" priority="2344"/>
  </conditionalFormatting>
  <conditionalFormatting sqref="H4079:J4079">
    <cfRule type="duplicateValues" dxfId="0" priority="2343"/>
  </conditionalFormatting>
  <conditionalFormatting sqref="H4080:J4080">
    <cfRule type="duplicateValues" dxfId="0" priority="2342"/>
  </conditionalFormatting>
  <conditionalFormatting sqref="H4081:J4081">
    <cfRule type="duplicateValues" dxfId="0" priority="2341"/>
  </conditionalFormatting>
  <conditionalFormatting sqref="H4082:J4082">
    <cfRule type="duplicateValues" dxfId="0" priority="2340"/>
  </conditionalFormatting>
  <conditionalFormatting sqref="H4083:J4083">
    <cfRule type="duplicateValues" dxfId="0" priority="2339"/>
  </conditionalFormatting>
  <conditionalFormatting sqref="H4084:J4084">
    <cfRule type="duplicateValues" dxfId="0" priority="2338"/>
  </conditionalFormatting>
  <conditionalFormatting sqref="H4085:J4085">
    <cfRule type="duplicateValues" dxfId="0" priority="2337"/>
  </conditionalFormatting>
  <conditionalFormatting sqref="A4086">
    <cfRule type="duplicateValues" dxfId="0" priority="2335"/>
  </conditionalFormatting>
  <conditionalFormatting sqref="H4091">
    <cfRule type="duplicateValues" dxfId="0" priority="2305"/>
  </conditionalFormatting>
  <conditionalFormatting sqref="H4101">
    <cfRule type="duplicateValues" dxfId="0" priority="2324"/>
  </conditionalFormatting>
  <conditionalFormatting sqref="H4105:J4105">
    <cfRule type="duplicateValues" dxfId="0" priority="2331"/>
  </conditionalFormatting>
  <conditionalFormatting sqref="I4105">
    <cfRule type="duplicateValues" dxfId="1" priority="2330"/>
  </conditionalFormatting>
  <conditionalFormatting sqref="H4106:J4106">
    <cfRule type="duplicateValues" dxfId="0" priority="2329"/>
  </conditionalFormatting>
  <conditionalFormatting sqref="H4107:J4107">
    <cfRule type="duplicateValues" dxfId="0" priority="2325"/>
  </conditionalFormatting>
  <conditionalFormatting sqref="H4108:J4108">
    <cfRule type="duplicateValues" dxfId="0" priority="2323"/>
  </conditionalFormatting>
  <conditionalFormatting sqref="H4109:J4109">
    <cfRule type="duplicateValues" dxfId="0" priority="2322"/>
  </conditionalFormatting>
  <conditionalFormatting sqref="H4110:J4110">
    <cfRule type="duplicateValues" dxfId="0" priority="2320"/>
  </conditionalFormatting>
  <conditionalFormatting sqref="H4111:J4111">
    <cfRule type="duplicateValues" dxfId="0" priority="2319"/>
  </conditionalFormatting>
  <conditionalFormatting sqref="H4112:J4112">
    <cfRule type="duplicateValues" dxfId="0" priority="2318"/>
  </conditionalFormatting>
  <conditionalFormatting sqref="H4113:J4113">
    <cfRule type="duplicateValues" dxfId="0" priority="2317"/>
  </conditionalFormatting>
  <conditionalFormatting sqref="H4114:J4114">
    <cfRule type="duplicateValues" dxfId="0" priority="2316"/>
  </conditionalFormatting>
  <conditionalFormatting sqref="H4115:J4115">
    <cfRule type="duplicateValues" dxfId="0" priority="2315"/>
  </conditionalFormatting>
  <conditionalFormatting sqref="H4116:J4116">
    <cfRule type="duplicateValues" dxfId="0" priority="2314"/>
  </conditionalFormatting>
  <conditionalFormatting sqref="H4117:J4117">
    <cfRule type="duplicateValues" dxfId="0" priority="2313"/>
  </conditionalFormatting>
  <conditionalFormatting sqref="H4118:J4118">
    <cfRule type="duplicateValues" dxfId="0" priority="2312"/>
  </conditionalFormatting>
  <conditionalFormatting sqref="H4119:J4119">
    <cfRule type="duplicateValues" dxfId="0" priority="2311"/>
  </conditionalFormatting>
  <conditionalFormatting sqref="H4120">
    <cfRule type="duplicateValues" dxfId="0" priority="2308"/>
  </conditionalFormatting>
  <conditionalFormatting sqref="H4124">
    <cfRule type="duplicateValues" dxfId="0" priority="262"/>
  </conditionalFormatting>
  <conditionalFormatting sqref="H4127">
    <cfRule type="duplicateValues" dxfId="0" priority="1234"/>
  </conditionalFormatting>
  <conditionalFormatting sqref="H4128">
    <cfRule type="duplicateValues" dxfId="0" priority="1112"/>
  </conditionalFormatting>
  <conditionalFormatting sqref="H4129">
    <cfRule type="duplicateValues" dxfId="0" priority="2203"/>
  </conditionalFormatting>
  <conditionalFormatting sqref="H4131:J4131">
    <cfRule type="duplicateValues" dxfId="0" priority="2302"/>
  </conditionalFormatting>
  <conditionalFormatting sqref="H4132:J4132">
    <cfRule type="duplicateValues" dxfId="0" priority="2301"/>
  </conditionalFormatting>
  <conditionalFormatting sqref="H4133:J4133">
    <cfRule type="duplicateValues" dxfId="0" priority="2298"/>
  </conditionalFormatting>
  <conditionalFormatting sqref="H4134:J4134">
    <cfRule type="duplicateValues" dxfId="0" priority="2297"/>
  </conditionalFormatting>
  <conditionalFormatting sqref="H4135:J4135">
    <cfRule type="duplicateValues" dxfId="0" priority="2296"/>
  </conditionalFormatting>
  <conditionalFormatting sqref="H4136:J4136">
    <cfRule type="duplicateValues" dxfId="0" priority="2295"/>
  </conditionalFormatting>
  <conditionalFormatting sqref="I4137:J4137">
    <cfRule type="duplicateValues" dxfId="0" priority="2294"/>
  </conditionalFormatting>
  <conditionalFormatting sqref="H4138:J4138">
    <cfRule type="duplicateValues" dxfId="0" priority="2293"/>
  </conditionalFormatting>
  <conditionalFormatting sqref="H4139:J4139">
    <cfRule type="duplicateValues" dxfId="0" priority="2292"/>
  </conditionalFormatting>
  <conditionalFormatting sqref="H4140:J4140">
    <cfRule type="duplicateValues" dxfId="0" priority="2291"/>
  </conditionalFormatting>
  <conditionalFormatting sqref="H4141:J4141">
    <cfRule type="duplicateValues" dxfId="0" priority="2290"/>
  </conditionalFormatting>
  <conditionalFormatting sqref="H4142:J4142">
    <cfRule type="duplicateValues" dxfId="0" priority="2289"/>
  </conditionalFormatting>
  <conditionalFormatting sqref="H4143:J4143">
    <cfRule type="duplicateValues" dxfId="0" priority="2288"/>
  </conditionalFormatting>
  <conditionalFormatting sqref="H4144:J4144">
    <cfRule type="duplicateValues" dxfId="0" priority="2287"/>
  </conditionalFormatting>
  <conditionalFormatting sqref="H4145:J4145">
    <cfRule type="duplicateValues" dxfId="0" priority="2286"/>
  </conditionalFormatting>
  <conditionalFormatting sqref="I4145">
    <cfRule type="duplicateValues" dxfId="1" priority="2285"/>
  </conditionalFormatting>
  <conditionalFormatting sqref="H4146:J4146">
    <cfRule type="duplicateValues" dxfId="0" priority="2284"/>
  </conditionalFormatting>
  <conditionalFormatting sqref="H4147:J4147">
    <cfRule type="duplicateValues" dxfId="0" priority="2283"/>
  </conditionalFormatting>
  <conditionalFormatting sqref="H4148:J4148">
    <cfRule type="duplicateValues" dxfId="0" priority="2282"/>
  </conditionalFormatting>
  <conditionalFormatting sqref="H4149:J4149">
    <cfRule type="duplicateValues" dxfId="0" priority="2281"/>
  </conditionalFormatting>
  <conditionalFormatting sqref="H4150:J4150">
    <cfRule type="duplicateValues" dxfId="0" priority="2280"/>
  </conditionalFormatting>
  <conditionalFormatting sqref="H4151:J4151">
    <cfRule type="duplicateValues" dxfId="0" priority="2279"/>
  </conditionalFormatting>
  <conditionalFormatting sqref="A4152">
    <cfRule type="duplicateValues" dxfId="0" priority="2274"/>
  </conditionalFormatting>
  <conditionalFormatting sqref="H4161">
    <cfRule type="duplicateValues" dxfId="0" priority="2195"/>
  </conditionalFormatting>
  <conditionalFormatting sqref="J4163">
    <cfRule type="duplicateValues" dxfId="0" priority="2271"/>
  </conditionalFormatting>
  <conditionalFormatting sqref="H4165:J4165">
    <cfRule type="duplicateValues" dxfId="0" priority="2270"/>
  </conditionalFormatting>
  <conditionalFormatting sqref="H4171:J4171">
    <cfRule type="duplicateValues" dxfId="0" priority="2269"/>
  </conditionalFormatting>
  <conditionalFormatting sqref="I4175:J4175">
    <cfRule type="duplicateValues" dxfId="0" priority="2268"/>
  </conditionalFormatting>
  <conditionalFormatting sqref="H4177:J4177">
    <cfRule type="duplicateValues" dxfId="0" priority="2267"/>
  </conditionalFormatting>
  <conditionalFormatting sqref="H4178:J4178">
    <cfRule type="duplicateValues" dxfId="0" priority="2265"/>
  </conditionalFormatting>
  <conditionalFormatting sqref="H4179:J4179">
    <cfRule type="duplicateValues" dxfId="0" priority="2264"/>
  </conditionalFormatting>
  <conditionalFormatting sqref="H4180:J4180">
    <cfRule type="duplicateValues" dxfId="0" priority="2259"/>
  </conditionalFormatting>
  <conditionalFormatting sqref="H4181:J4181">
    <cfRule type="duplicateValues" dxfId="0" priority="2258"/>
  </conditionalFormatting>
  <conditionalFormatting sqref="H4182:J4182">
    <cfRule type="duplicateValues" dxfId="0" priority="2257"/>
  </conditionalFormatting>
  <conditionalFormatting sqref="H4183:J4183">
    <cfRule type="duplicateValues" dxfId="0" priority="2256"/>
  </conditionalFormatting>
  <conditionalFormatting sqref="H4184:J4184">
    <cfRule type="duplicateValues" dxfId="0" priority="2255"/>
  </conditionalFormatting>
  <conditionalFormatting sqref="H4185:J4185">
    <cfRule type="duplicateValues" dxfId="0" priority="2252"/>
  </conditionalFormatting>
  <conditionalFormatting sqref="H4186:J4186">
    <cfRule type="duplicateValues" dxfId="0" priority="2251"/>
  </conditionalFormatting>
  <conditionalFormatting sqref="H4187:J4187">
    <cfRule type="duplicateValues" dxfId="0" priority="2250"/>
  </conditionalFormatting>
  <conditionalFormatting sqref="H4188:J4188">
    <cfRule type="duplicateValues" dxfId="0" priority="2249"/>
  </conditionalFormatting>
  <conditionalFormatting sqref="H4189:J4189">
    <cfRule type="duplicateValues" dxfId="0" priority="2248"/>
  </conditionalFormatting>
  <conditionalFormatting sqref="H4190:J4190">
    <cfRule type="duplicateValues" dxfId="0" priority="2247"/>
  </conditionalFormatting>
  <conditionalFormatting sqref="H4191:J4191">
    <cfRule type="duplicateValues" dxfId="0" priority="2246"/>
  </conditionalFormatting>
  <conditionalFormatting sqref="H4192:J4192">
    <cfRule type="duplicateValues" dxfId="0" priority="2245"/>
  </conditionalFormatting>
  <conditionalFormatting sqref="H4193:J4193">
    <cfRule type="duplicateValues" dxfId="0" priority="2244"/>
  </conditionalFormatting>
  <conditionalFormatting sqref="H4194:J4194">
    <cfRule type="duplicateValues" dxfId="0" priority="2243"/>
  </conditionalFormatting>
  <conditionalFormatting sqref="H4195:J4195">
    <cfRule type="duplicateValues" dxfId="0" priority="2242"/>
  </conditionalFormatting>
  <conditionalFormatting sqref="H4196:J4196">
    <cfRule type="duplicateValues" dxfId="0" priority="2241"/>
  </conditionalFormatting>
  <conditionalFormatting sqref="H4197:J4197">
    <cfRule type="duplicateValues" dxfId="0" priority="2240"/>
  </conditionalFormatting>
  <conditionalFormatting sqref="H4198:J4198">
    <cfRule type="duplicateValues" dxfId="0" priority="2239"/>
  </conditionalFormatting>
  <conditionalFormatting sqref="H4199:J4199">
    <cfRule type="duplicateValues" dxfId="0" priority="2238"/>
  </conditionalFormatting>
  <conditionalFormatting sqref="H4200:J4200">
    <cfRule type="duplicateValues" dxfId="0" priority="2237"/>
  </conditionalFormatting>
  <conditionalFormatting sqref="H4201:J4201">
    <cfRule type="duplicateValues" dxfId="0" priority="2236"/>
  </conditionalFormatting>
  <conditionalFormatting sqref="H4202:J4202">
    <cfRule type="duplicateValues" dxfId="0" priority="2235"/>
  </conditionalFormatting>
  <conditionalFormatting sqref="H4203:J4203">
    <cfRule type="duplicateValues" dxfId="0" priority="2234"/>
  </conditionalFormatting>
  <conditionalFormatting sqref="H4204:J4204">
    <cfRule type="duplicateValues" dxfId="0" priority="2233"/>
  </conditionalFormatting>
  <conditionalFormatting sqref="H4205:J4205">
    <cfRule type="duplicateValues" dxfId="0" priority="2232"/>
  </conditionalFormatting>
  <conditionalFormatting sqref="H4213">
    <cfRule type="duplicateValues" dxfId="0" priority="733"/>
  </conditionalFormatting>
  <conditionalFormatting sqref="A4218">
    <cfRule type="duplicateValues" dxfId="0" priority="2229"/>
  </conditionalFormatting>
  <conditionalFormatting sqref="A4222">
    <cfRule type="duplicateValues" dxfId="0" priority="2227"/>
  </conditionalFormatting>
  <conditionalFormatting sqref="H4256">
    <cfRule type="duplicateValues" dxfId="0" priority="931"/>
  </conditionalFormatting>
  <conditionalFormatting sqref="H4268">
    <cfRule type="duplicateValues" dxfId="0" priority="932"/>
  </conditionalFormatting>
  <conditionalFormatting sqref="I4305">
    <cfRule type="duplicateValues" dxfId="0" priority="1515"/>
  </conditionalFormatting>
  <conditionalFormatting sqref="H4310">
    <cfRule type="duplicateValues" dxfId="0" priority="2046"/>
  </conditionalFormatting>
  <conditionalFormatting sqref="A4311">
    <cfRule type="duplicateValues" dxfId="0" priority="2218"/>
  </conditionalFormatting>
  <conditionalFormatting sqref="H4313">
    <cfRule type="duplicateValues" dxfId="0" priority="468"/>
  </conditionalFormatting>
  <conditionalFormatting sqref="I4314">
    <cfRule type="duplicateValues" dxfId="0" priority="1392"/>
  </conditionalFormatting>
  <conditionalFormatting sqref="H4317:J4317">
    <cfRule type="duplicateValues" dxfId="0" priority="2216"/>
  </conditionalFormatting>
  <conditionalFormatting sqref="H4318:J4318">
    <cfRule type="duplicateValues" dxfId="0" priority="2215"/>
  </conditionalFormatting>
  <conditionalFormatting sqref="H4319:J4319">
    <cfRule type="duplicateValues" dxfId="0" priority="2214"/>
  </conditionalFormatting>
  <conditionalFormatting sqref="H4320:J4320">
    <cfRule type="duplicateValues" dxfId="0" priority="2213"/>
  </conditionalFormatting>
  <conditionalFormatting sqref="H4321:J4321">
    <cfRule type="duplicateValues" dxfId="0" priority="2212"/>
  </conditionalFormatting>
  <conditionalFormatting sqref="H4322:J4322">
    <cfRule type="duplicateValues" dxfId="0" priority="2211"/>
  </conditionalFormatting>
  <conditionalFormatting sqref="H4323:J4323">
    <cfRule type="duplicateValues" dxfId="0" priority="2210"/>
  </conditionalFormatting>
  <conditionalFormatting sqref="H4324:J4324">
    <cfRule type="duplicateValues" dxfId="0" priority="2208"/>
  </conditionalFormatting>
  <conditionalFormatting sqref="H4325:J4325">
    <cfRule type="duplicateValues" dxfId="0" priority="2207"/>
  </conditionalFormatting>
  <conditionalFormatting sqref="H4326:J4326">
    <cfRule type="duplicateValues" dxfId="0" priority="2202"/>
  </conditionalFormatting>
  <conditionalFormatting sqref="H4327:J4327">
    <cfRule type="duplicateValues" dxfId="0" priority="2198"/>
  </conditionalFormatting>
  <conditionalFormatting sqref="H4328:J4328">
    <cfRule type="duplicateValues" dxfId="0" priority="2194"/>
  </conditionalFormatting>
  <conditionalFormatting sqref="H4329:J4329">
    <cfRule type="duplicateValues" dxfId="0" priority="2192"/>
  </conditionalFormatting>
  <conditionalFormatting sqref="H4330:J4330">
    <cfRule type="duplicateValues" dxfId="0" priority="2184"/>
  </conditionalFormatting>
  <conditionalFormatting sqref="H4331:J4331">
    <cfRule type="duplicateValues" dxfId="0" priority="2182"/>
  </conditionalFormatting>
  <conditionalFormatting sqref="H4332:J4332">
    <cfRule type="duplicateValues" dxfId="0" priority="2181"/>
  </conditionalFormatting>
  <conditionalFormatting sqref="H4333:J4333">
    <cfRule type="duplicateValues" dxfId="0" priority="2180"/>
  </conditionalFormatting>
  <conditionalFormatting sqref="H4334:J4334">
    <cfRule type="duplicateValues" dxfId="0" priority="2179"/>
  </conditionalFormatting>
  <conditionalFormatting sqref="H4335:J4335">
    <cfRule type="duplicateValues" dxfId="0" priority="2178"/>
  </conditionalFormatting>
  <conditionalFormatting sqref="H4336:J4336">
    <cfRule type="duplicateValues" dxfId="0" priority="2177"/>
  </conditionalFormatting>
  <conditionalFormatting sqref="H4337:J4337">
    <cfRule type="duplicateValues" dxfId="0" priority="2176"/>
  </conditionalFormatting>
  <conditionalFormatting sqref="H4338:J4338">
    <cfRule type="duplicateValues" dxfId="0" priority="2175"/>
  </conditionalFormatting>
  <conditionalFormatting sqref="H4339:J4339">
    <cfRule type="duplicateValues" dxfId="0" priority="2174"/>
  </conditionalFormatting>
  <conditionalFormatting sqref="H4340:J4340">
    <cfRule type="duplicateValues" dxfId="0" priority="2173"/>
  </conditionalFormatting>
  <conditionalFormatting sqref="H4341:J4341">
    <cfRule type="duplicateValues" dxfId="0" priority="2172"/>
  </conditionalFormatting>
  <conditionalFormatting sqref="H4342:J4342">
    <cfRule type="duplicateValues" dxfId="0" priority="2171"/>
  </conditionalFormatting>
  <conditionalFormatting sqref="H4343:J4343">
    <cfRule type="duplicateValues" dxfId="0" priority="2170"/>
  </conditionalFormatting>
  <conditionalFormatting sqref="H4344:J4344">
    <cfRule type="duplicateValues" dxfId="0" priority="2169"/>
  </conditionalFormatting>
  <conditionalFormatting sqref="H4345:J4345">
    <cfRule type="duplicateValues" dxfId="0" priority="2168"/>
  </conditionalFormatting>
  <conditionalFormatting sqref="H4346:J4346">
    <cfRule type="duplicateValues" dxfId="0" priority="2167"/>
  </conditionalFormatting>
  <conditionalFormatting sqref="H4347:J4347">
    <cfRule type="duplicateValues" dxfId="0" priority="2166"/>
  </conditionalFormatting>
  <conditionalFormatting sqref="M4347">
    <cfRule type="duplicateValues" dxfId="0" priority="2165"/>
  </conditionalFormatting>
  <conditionalFormatting sqref="H4348:J4348">
    <cfRule type="duplicateValues" dxfId="0" priority="2163"/>
  </conditionalFormatting>
  <conditionalFormatting sqref="H4349:J4349">
    <cfRule type="duplicateValues" dxfId="0" priority="2162"/>
  </conditionalFormatting>
  <conditionalFormatting sqref="H4350:J4350">
    <cfRule type="duplicateValues" dxfId="0" priority="2161"/>
  </conditionalFormatting>
  <conditionalFormatting sqref="H4351:J4351">
    <cfRule type="duplicateValues" dxfId="0" priority="2160"/>
  </conditionalFormatting>
  <conditionalFormatting sqref="H4352:J4352">
    <cfRule type="duplicateValues" dxfId="0" priority="2159"/>
  </conditionalFormatting>
  <conditionalFormatting sqref="H4353:J4353">
    <cfRule type="duplicateValues" dxfId="0" priority="2158"/>
  </conditionalFormatting>
  <conditionalFormatting sqref="H4354:J4354">
    <cfRule type="duplicateValues" dxfId="0" priority="2157"/>
  </conditionalFormatting>
  <conditionalFormatting sqref="H4355:J4355">
    <cfRule type="duplicateValues" dxfId="0" priority="2156"/>
  </conditionalFormatting>
  <conditionalFormatting sqref="H4356:J4356">
    <cfRule type="duplicateValues" dxfId="0" priority="2155"/>
  </conditionalFormatting>
  <conditionalFormatting sqref="H4357:J4357">
    <cfRule type="duplicateValues" dxfId="0" priority="2154"/>
  </conditionalFormatting>
  <conditionalFormatting sqref="H4358:J4358">
    <cfRule type="duplicateValues" dxfId="0" priority="2153"/>
  </conditionalFormatting>
  <conditionalFormatting sqref="H4359:J4359">
    <cfRule type="duplicateValues" dxfId="0" priority="2152"/>
  </conditionalFormatting>
  <conditionalFormatting sqref="H4360:J4360">
    <cfRule type="duplicateValues" dxfId="0" priority="2151"/>
  </conditionalFormatting>
  <conditionalFormatting sqref="H4361:J4361">
    <cfRule type="duplicateValues" dxfId="0" priority="2150"/>
  </conditionalFormatting>
  <conditionalFormatting sqref="H4362:J4362">
    <cfRule type="duplicateValues" dxfId="0" priority="2149"/>
  </conditionalFormatting>
  <conditionalFormatting sqref="H4363:J4363">
    <cfRule type="duplicateValues" dxfId="0" priority="2148"/>
  </conditionalFormatting>
  <conditionalFormatting sqref="H4370">
    <cfRule type="duplicateValues" dxfId="0" priority="2132"/>
  </conditionalFormatting>
  <conditionalFormatting sqref="H4372">
    <cfRule type="duplicateValues" dxfId="0" priority="2055"/>
  </conditionalFormatting>
  <conditionalFormatting sqref="I4372">
    <cfRule type="duplicateValues" dxfId="0" priority="2056"/>
  </conditionalFormatting>
  <conditionalFormatting sqref="H4375">
    <cfRule type="duplicateValues" dxfId="0" priority="1231"/>
  </conditionalFormatting>
  <conditionalFormatting sqref="H4380">
    <cfRule type="duplicateValues" dxfId="0" priority="1781"/>
  </conditionalFormatting>
  <conditionalFormatting sqref="I4380">
    <cfRule type="duplicateValues" dxfId="0" priority="1780"/>
  </conditionalFormatting>
  <conditionalFormatting sqref="H4384">
    <cfRule type="duplicateValues" dxfId="0" priority="2101"/>
  </conditionalFormatting>
  <conditionalFormatting sqref="H4386">
    <cfRule type="duplicateValues" dxfId="0" priority="1119"/>
  </conditionalFormatting>
  <conditionalFormatting sqref="H4387:J4387">
    <cfRule type="duplicateValues" dxfId="0" priority="2145"/>
  </conditionalFormatting>
  <conditionalFormatting sqref="H4388:J4388">
    <cfRule type="duplicateValues" dxfId="0" priority="2144"/>
  </conditionalFormatting>
  <conditionalFormatting sqref="H4389:J4389">
    <cfRule type="duplicateValues" dxfId="0" priority="2143"/>
  </conditionalFormatting>
  <conditionalFormatting sqref="H4390:J4390">
    <cfRule type="duplicateValues" dxfId="0" priority="2142"/>
  </conditionalFormatting>
  <conditionalFormatting sqref="H4391:J4391">
    <cfRule type="duplicateValues" dxfId="0" priority="2141"/>
  </conditionalFormatting>
  <conditionalFormatting sqref="H4392:J4392">
    <cfRule type="duplicateValues" dxfId="0" priority="2140"/>
  </conditionalFormatting>
  <conditionalFormatting sqref="H4393:J4393">
    <cfRule type="duplicateValues" dxfId="0" priority="2139"/>
  </conditionalFormatting>
  <conditionalFormatting sqref="H4394:J4394">
    <cfRule type="duplicateValues" dxfId="0" priority="2138"/>
  </conditionalFormatting>
  <conditionalFormatting sqref="H4395:J4395">
    <cfRule type="duplicateValues" dxfId="0" priority="2137"/>
  </conditionalFormatting>
  <conditionalFormatting sqref="H4402">
    <cfRule type="duplicateValues" dxfId="0" priority="1748"/>
  </conditionalFormatting>
  <conditionalFormatting sqref="H4412">
    <cfRule type="duplicateValues" dxfId="0" priority="1628"/>
  </conditionalFormatting>
  <conditionalFormatting sqref="H4422">
    <cfRule type="duplicateValues" dxfId="0" priority="2134"/>
  </conditionalFormatting>
  <conditionalFormatting sqref="H4426:J4426">
    <cfRule type="duplicateValues" dxfId="0" priority="2133"/>
  </conditionalFormatting>
  <conditionalFormatting sqref="H4427:J4427">
    <cfRule type="duplicateValues" dxfId="0" priority="2131"/>
  </conditionalFormatting>
  <conditionalFormatting sqref="H4428:J4428">
    <cfRule type="duplicateValues" dxfId="0" priority="2130"/>
  </conditionalFormatting>
  <conditionalFormatting sqref="H4429:J4429">
    <cfRule type="duplicateValues" dxfId="0" priority="2129"/>
  </conditionalFormatting>
  <conditionalFormatting sqref="H4430:J4430">
    <cfRule type="duplicateValues" dxfId="0" priority="2127"/>
  </conditionalFormatting>
  <conditionalFormatting sqref="H4431:J4431">
    <cfRule type="duplicateValues" dxfId="0" priority="2126"/>
  </conditionalFormatting>
  <conditionalFormatting sqref="H4432:J4432">
    <cfRule type="duplicateValues" dxfId="0" priority="2125"/>
  </conditionalFormatting>
  <conditionalFormatting sqref="H4433:J4433">
    <cfRule type="duplicateValues" dxfId="0" priority="2124"/>
  </conditionalFormatting>
  <conditionalFormatting sqref="H4434:J4434">
    <cfRule type="duplicateValues" dxfId="0" priority="2121"/>
  </conditionalFormatting>
  <conditionalFormatting sqref="H4435:J4435">
    <cfRule type="duplicateValues" dxfId="0" priority="2120"/>
  </conditionalFormatting>
  <conditionalFormatting sqref="I4435">
    <cfRule type="duplicateValues" dxfId="1" priority="2119"/>
  </conditionalFormatting>
  <conditionalFormatting sqref="H4436:J4436">
    <cfRule type="duplicateValues" dxfId="0" priority="2118"/>
  </conditionalFormatting>
  <conditionalFormatting sqref="H4437:J4437">
    <cfRule type="duplicateValues" dxfId="0" priority="2117"/>
  </conditionalFormatting>
  <conditionalFormatting sqref="H4438:J4438">
    <cfRule type="duplicateValues" dxfId="0" priority="2116"/>
  </conditionalFormatting>
  <conditionalFormatting sqref="H4439:J4439">
    <cfRule type="duplicateValues" dxfId="0" priority="2115"/>
  </conditionalFormatting>
  <conditionalFormatting sqref="H4440:J4440">
    <cfRule type="duplicateValues" dxfId="0" priority="2114"/>
  </conditionalFormatting>
  <conditionalFormatting sqref="H4441:J4441">
    <cfRule type="duplicateValues" dxfId="0" priority="2113"/>
  </conditionalFormatting>
  <conditionalFormatting sqref="H4442:J4442">
    <cfRule type="duplicateValues" dxfId="0" priority="2112"/>
  </conditionalFormatting>
  <conditionalFormatting sqref="H4443:J4443">
    <cfRule type="duplicateValues" dxfId="0" priority="2111"/>
  </conditionalFormatting>
  <conditionalFormatting sqref="H4444:J4444">
    <cfRule type="duplicateValues" dxfId="0" priority="2110"/>
  </conditionalFormatting>
  <conditionalFormatting sqref="H4445:J4445">
    <cfRule type="duplicateValues" dxfId="0" priority="2108"/>
  </conditionalFormatting>
  <conditionalFormatting sqref="H4446:J4446">
    <cfRule type="duplicateValues" dxfId="0" priority="2107"/>
  </conditionalFormatting>
  <conditionalFormatting sqref="H4447:J4447">
    <cfRule type="duplicateValues" dxfId="0" priority="2106"/>
  </conditionalFormatting>
  <conditionalFormatting sqref="H4448:J4448">
    <cfRule type="duplicateValues" dxfId="0" priority="2105"/>
  </conditionalFormatting>
  <conditionalFormatting sqref="H4449:J4449">
    <cfRule type="duplicateValues" dxfId="0" priority="2104"/>
  </conditionalFormatting>
  <conditionalFormatting sqref="H4450:J4450">
    <cfRule type="duplicateValues" dxfId="0" priority="2103"/>
  </conditionalFormatting>
  <conditionalFormatting sqref="H4451:J4451">
    <cfRule type="duplicateValues" dxfId="0" priority="2102"/>
  </conditionalFormatting>
  <conditionalFormatting sqref="H4461">
    <cfRule type="duplicateValues" dxfId="0" priority="1512"/>
  </conditionalFormatting>
  <conditionalFormatting sqref="J4461">
    <cfRule type="duplicateValues" dxfId="0" priority="1511"/>
  </conditionalFormatting>
  <conditionalFormatting sqref="H4462">
    <cfRule type="duplicateValues" dxfId="0" priority="2098"/>
  </conditionalFormatting>
  <conditionalFormatting sqref="H4466:J4466">
    <cfRule type="duplicateValues" dxfId="0" priority="2097"/>
  </conditionalFormatting>
  <conditionalFormatting sqref="H4467:J4467">
    <cfRule type="duplicateValues" dxfId="0" priority="2096"/>
  </conditionalFormatting>
  <conditionalFormatting sqref="H4468:J4468">
    <cfRule type="duplicateValues" dxfId="0" priority="2095"/>
  </conditionalFormatting>
  <conditionalFormatting sqref="H4469:J4469">
    <cfRule type="duplicateValues" dxfId="0" priority="2094"/>
  </conditionalFormatting>
  <conditionalFormatting sqref="H4470:J4470">
    <cfRule type="duplicateValues" dxfId="0" priority="2093"/>
  </conditionalFormatting>
  <conditionalFormatting sqref="H4471:J4471">
    <cfRule type="duplicateValues" dxfId="0" priority="2092"/>
  </conditionalFormatting>
  <conditionalFormatting sqref="H4472:J4472">
    <cfRule type="duplicateValues" dxfId="0" priority="2091"/>
  </conditionalFormatting>
  <conditionalFormatting sqref="H4473">
    <cfRule type="duplicateValues" dxfId="0" priority="2089"/>
  </conditionalFormatting>
  <conditionalFormatting sqref="I4473:J4473">
    <cfRule type="duplicateValues" dxfId="0" priority="2090"/>
  </conditionalFormatting>
  <conditionalFormatting sqref="H4481:J4481">
    <cfRule type="duplicateValues" dxfId="0" priority="2086"/>
  </conditionalFormatting>
  <conditionalFormatting sqref="H4482:J4482">
    <cfRule type="duplicateValues" dxfId="0" priority="2085"/>
  </conditionalFormatting>
  <conditionalFormatting sqref="H4483:J4483">
    <cfRule type="duplicateValues" dxfId="0" priority="2084"/>
  </conditionalFormatting>
  <conditionalFormatting sqref="H4484:J4484">
    <cfRule type="duplicateValues" dxfId="0" priority="2083"/>
  </conditionalFormatting>
  <conditionalFormatting sqref="H4485:J4485">
    <cfRule type="duplicateValues" dxfId="0" priority="2082"/>
  </conditionalFormatting>
  <conditionalFormatting sqref="H4486:J4486">
    <cfRule type="duplicateValues" dxfId="0" priority="2081"/>
  </conditionalFormatting>
  <conditionalFormatting sqref="H4487:J4487">
    <cfRule type="duplicateValues" dxfId="0" priority="2080"/>
  </conditionalFormatting>
  <conditionalFormatting sqref="C4488">
    <cfRule type="duplicateValues" dxfId="0" priority="2078"/>
  </conditionalFormatting>
  <conditionalFormatting sqref="H4488:J4488">
    <cfRule type="duplicateValues" dxfId="0" priority="2079"/>
  </conditionalFormatting>
  <conditionalFormatting sqref="B4489:C4489">
    <cfRule type="duplicateValues" dxfId="0" priority="2076"/>
  </conditionalFormatting>
  <conditionalFormatting sqref="H4489:J4489">
    <cfRule type="duplicateValues" dxfId="0" priority="2077"/>
  </conditionalFormatting>
  <conditionalFormatting sqref="H4490:J4490">
    <cfRule type="duplicateValues" dxfId="0" priority="2075"/>
  </conditionalFormatting>
  <conditionalFormatting sqref="H4491:J4491">
    <cfRule type="duplicateValues" dxfId="0" priority="2074"/>
  </conditionalFormatting>
  <conditionalFormatting sqref="H4494">
    <cfRule type="duplicateValues" dxfId="0" priority="1561"/>
  </conditionalFormatting>
  <conditionalFormatting sqref="H4496">
    <cfRule type="duplicateValues" dxfId="0" priority="1178"/>
  </conditionalFormatting>
  <conditionalFormatting sqref="H4499">
    <cfRule type="duplicateValues" dxfId="0" priority="2070"/>
  </conditionalFormatting>
  <conditionalFormatting sqref="H4501">
    <cfRule type="duplicateValues" dxfId="0" priority="1594"/>
  </conditionalFormatting>
  <conditionalFormatting sqref="J4502">
    <cfRule type="duplicateValues" dxfId="0" priority="840"/>
  </conditionalFormatting>
  <conditionalFormatting sqref="H4510:J4510">
    <cfRule type="duplicateValues" dxfId="0" priority="2068"/>
  </conditionalFormatting>
  <conditionalFormatting sqref="H4511:J4511">
    <cfRule type="duplicateValues" dxfId="0" priority="2067"/>
  </conditionalFormatting>
  <conditionalFormatting sqref="H4512:J4512">
    <cfRule type="duplicateValues" dxfId="0" priority="2065"/>
  </conditionalFormatting>
  <conditionalFormatting sqref="H4513:J4513">
    <cfRule type="duplicateValues" dxfId="0" priority="2064"/>
  </conditionalFormatting>
  <conditionalFormatting sqref="H4514:J4514">
    <cfRule type="duplicateValues" dxfId="0" priority="2063"/>
  </conditionalFormatting>
  <conditionalFormatting sqref="H4515:J4515">
    <cfRule type="duplicateValues" dxfId="0" priority="2062"/>
  </conditionalFormatting>
  <conditionalFormatting sqref="H4516:J4516">
    <cfRule type="duplicateValues" dxfId="0" priority="2061"/>
  </conditionalFormatting>
  <conditionalFormatting sqref="H4517:J4517">
    <cfRule type="duplicateValues" dxfId="0" priority="2060"/>
  </conditionalFormatting>
  <conditionalFormatting sqref="H4518:J4518">
    <cfRule type="duplicateValues" dxfId="0" priority="2059"/>
  </conditionalFormatting>
  <conditionalFormatting sqref="H4519:J4519">
    <cfRule type="duplicateValues" dxfId="0" priority="2058"/>
  </conditionalFormatting>
  <conditionalFormatting sqref="H4520:J4520">
    <cfRule type="duplicateValues" dxfId="0" priority="2057"/>
  </conditionalFormatting>
  <conditionalFormatting sqref="H4526">
    <cfRule type="duplicateValues" dxfId="0" priority="1830"/>
  </conditionalFormatting>
  <conditionalFormatting sqref="I4535">
    <cfRule type="duplicateValues" dxfId="0" priority="1492"/>
  </conditionalFormatting>
  <conditionalFormatting sqref="J4535">
    <cfRule type="duplicateValues" dxfId="0" priority="1493"/>
  </conditionalFormatting>
  <conditionalFormatting sqref="H4545:J4545">
    <cfRule type="duplicateValues" dxfId="0" priority="2051"/>
  </conditionalFormatting>
  <conditionalFormatting sqref="H4546:J4546">
    <cfRule type="duplicateValues" dxfId="0" priority="2050"/>
  </conditionalFormatting>
  <conditionalFormatting sqref="H4547:J4547">
    <cfRule type="duplicateValues" dxfId="0" priority="2048"/>
  </conditionalFormatting>
  <conditionalFormatting sqref="H4548:J4548">
    <cfRule type="duplicateValues" dxfId="0" priority="2047"/>
  </conditionalFormatting>
  <conditionalFormatting sqref="H4549:J4549">
    <cfRule type="duplicateValues" dxfId="0" priority="2045"/>
  </conditionalFormatting>
  <conditionalFormatting sqref="H4550:J4550">
    <cfRule type="duplicateValues" dxfId="0" priority="2044"/>
  </conditionalFormatting>
  <conditionalFormatting sqref="H4552">
    <cfRule type="duplicateValues" dxfId="0" priority="1505"/>
  </conditionalFormatting>
  <conditionalFormatting sqref="H4554">
    <cfRule type="duplicateValues" dxfId="0" priority="1990"/>
  </conditionalFormatting>
  <conditionalFormatting sqref="H4560">
    <cfRule type="duplicateValues" dxfId="0" priority="2018"/>
  </conditionalFormatting>
  <conditionalFormatting sqref="H4564">
    <cfRule type="duplicateValues" dxfId="0" priority="1482"/>
  </conditionalFormatting>
  <conditionalFormatting sqref="H4566">
    <cfRule type="duplicateValues" dxfId="0" priority="1864"/>
  </conditionalFormatting>
  <conditionalFormatting sqref="H4571">
    <cfRule type="duplicateValues" dxfId="0" priority="1841"/>
  </conditionalFormatting>
  <conditionalFormatting sqref="H4572">
    <cfRule type="duplicateValues" dxfId="0" priority="1525"/>
  </conditionalFormatting>
  <conditionalFormatting sqref="H4573">
    <cfRule type="duplicateValues" dxfId="0" priority="903"/>
  </conditionalFormatting>
  <conditionalFormatting sqref="H4575">
    <cfRule type="duplicateValues" dxfId="0" priority="1633"/>
  </conditionalFormatting>
  <conditionalFormatting sqref="H4576">
    <cfRule type="duplicateValues" dxfId="0" priority="2040"/>
  </conditionalFormatting>
  <conditionalFormatting sqref="H4584">
    <cfRule type="duplicateValues" dxfId="0" priority="2039"/>
  </conditionalFormatting>
  <conditionalFormatting sqref="H4590">
    <cfRule type="duplicateValues" dxfId="0" priority="1625"/>
  </conditionalFormatting>
  <conditionalFormatting sqref="H4592:J4592">
    <cfRule type="duplicateValues" dxfId="0" priority="2036"/>
  </conditionalFormatting>
  <conditionalFormatting sqref="H4593:J4593">
    <cfRule type="duplicateValues" dxfId="0" priority="2035"/>
  </conditionalFormatting>
  <conditionalFormatting sqref="H4594:J4594">
    <cfRule type="duplicateValues" dxfId="0" priority="2034"/>
  </conditionalFormatting>
  <conditionalFormatting sqref="H4595:J4595">
    <cfRule type="duplicateValues" dxfId="0" priority="2033"/>
  </conditionalFormatting>
  <conditionalFormatting sqref="H4596:J4596">
    <cfRule type="duplicateValues" dxfId="0" priority="2032"/>
  </conditionalFormatting>
  <conditionalFormatting sqref="H4597:J4597">
    <cfRule type="duplicateValues" dxfId="0" priority="2031"/>
  </conditionalFormatting>
  <conditionalFormatting sqref="H4598">
    <cfRule type="duplicateValues" dxfId="0" priority="2029"/>
  </conditionalFormatting>
  <conditionalFormatting sqref="I4598:J4598">
    <cfRule type="duplicateValues" dxfId="0" priority="2030"/>
  </conditionalFormatting>
  <conditionalFormatting sqref="H4599:J4599">
    <cfRule type="duplicateValues" dxfId="0" priority="2028"/>
  </conditionalFormatting>
  <conditionalFormatting sqref="H4600:J4600">
    <cfRule type="duplicateValues" dxfId="0" priority="2027"/>
  </conditionalFormatting>
  <conditionalFormatting sqref="H4601:J4601">
    <cfRule type="duplicateValues" dxfId="0" priority="2026"/>
  </conditionalFormatting>
  <conditionalFormatting sqref="H4602:J4602">
    <cfRule type="duplicateValues" dxfId="0" priority="2025"/>
  </conditionalFormatting>
  <conditionalFormatting sqref="J4610">
    <cfRule type="duplicateValues" dxfId="0" priority="965"/>
  </conditionalFormatting>
  <conditionalFormatting sqref="I4618">
    <cfRule type="duplicateValues" dxfId="0" priority="1584"/>
  </conditionalFormatting>
  <conditionalFormatting sqref="H4629">
    <cfRule type="duplicateValues" dxfId="0" priority="1251"/>
  </conditionalFormatting>
  <conditionalFormatting sqref="H4633">
    <cfRule type="duplicateValues" dxfId="0" priority="1211"/>
  </conditionalFormatting>
  <conditionalFormatting sqref="H4635">
    <cfRule type="duplicateValues" dxfId="0" priority="1533"/>
  </conditionalFormatting>
  <conditionalFormatting sqref="H4639">
    <cfRule type="duplicateValues" dxfId="0" priority="1863"/>
  </conditionalFormatting>
  <conditionalFormatting sqref="H4643">
    <cfRule type="duplicateValues" dxfId="0" priority="1997"/>
  </conditionalFormatting>
  <conditionalFormatting sqref="H4644">
    <cfRule type="duplicateValues" dxfId="0" priority="880"/>
  </conditionalFormatting>
  <conditionalFormatting sqref="H4649">
    <cfRule type="duplicateValues" dxfId="0" priority="1903"/>
  </conditionalFormatting>
  <conditionalFormatting sqref="H4661">
    <cfRule type="duplicateValues" dxfId="0" priority="1905"/>
  </conditionalFormatting>
  <conditionalFormatting sqref="H4672">
    <cfRule type="duplicateValues" dxfId="0" priority="2021"/>
  </conditionalFormatting>
  <conditionalFormatting sqref="H4695:J4695">
    <cfRule type="duplicateValues" dxfId="0" priority="2017"/>
  </conditionalFormatting>
  <conditionalFormatting sqref="H4696:J4696">
    <cfRule type="duplicateValues" dxfId="0" priority="2016"/>
  </conditionalFormatting>
  <conditionalFormatting sqref="H4697:J4697">
    <cfRule type="duplicateValues" dxfId="0" priority="2015"/>
  </conditionalFormatting>
  <conditionalFormatting sqref="H4698:J4698">
    <cfRule type="duplicateValues" dxfId="0" priority="2014"/>
  </conditionalFormatting>
  <conditionalFormatting sqref="H4699:J4699">
    <cfRule type="duplicateValues" dxfId="0" priority="2010"/>
  </conditionalFormatting>
  <conditionalFormatting sqref="H4700:J4700">
    <cfRule type="duplicateValues" dxfId="0" priority="2009"/>
  </conditionalFormatting>
  <conditionalFormatting sqref="H4701:J4701">
    <cfRule type="duplicateValues" dxfId="0" priority="2007"/>
  </conditionalFormatting>
  <conditionalFormatting sqref="H4702:J4702">
    <cfRule type="duplicateValues" dxfId="0" priority="2006"/>
  </conditionalFormatting>
  <conditionalFormatting sqref="H4703:J4703">
    <cfRule type="duplicateValues" dxfId="0" priority="2005"/>
  </conditionalFormatting>
  <conditionalFormatting sqref="H4704:J4704">
    <cfRule type="duplicateValues" dxfId="0" priority="2004"/>
  </conditionalFormatting>
  <conditionalFormatting sqref="H4705:J4705">
    <cfRule type="duplicateValues" dxfId="0" priority="2002"/>
  </conditionalFormatting>
  <conditionalFormatting sqref="H4706:J4706">
    <cfRule type="duplicateValues" dxfId="0" priority="1999"/>
  </conditionalFormatting>
  <conditionalFormatting sqref="H4707:J4707">
    <cfRule type="duplicateValues" dxfId="0" priority="1996"/>
  </conditionalFormatting>
  <conditionalFormatting sqref="H4708:J4708">
    <cfRule type="duplicateValues" dxfId="0" priority="1995"/>
  </conditionalFormatting>
  <conditionalFormatting sqref="H4709:J4709">
    <cfRule type="duplicateValues" dxfId="0" priority="1994"/>
  </conditionalFormatting>
  <conditionalFormatting sqref="H4710:J4710">
    <cfRule type="duplicateValues" dxfId="0" priority="1993"/>
  </conditionalFormatting>
  <conditionalFormatting sqref="H4711:J4711">
    <cfRule type="duplicateValues" dxfId="0" priority="1989"/>
  </conditionalFormatting>
  <conditionalFormatting sqref="H4712:J4712">
    <cfRule type="duplicateValues" dxfId="0" priority="1988"/>
  </conditionalFormatting>
  <conditionalFormatting sqref="H4713:J4713">
    <cfRule type="duplicateValues" dxfId="0" priority="1986"/>
  </conditionalFormatting>
  <conditionalFormatting sqref="H4714:J4714">
    <cfRule type="duplicateValues" dxfId="0" priority="1985"/>
  </conditionalFormatting>
  <conditionalFormatting sqref="H4715:J4715">
    <cfRule type="duplicateValues" dxfId="0" priority="1984"/>
  </conditionalFormatting>
  <conditionalFormatting sqref="H4716:J4716">
    <cfRule type="duplicateValues" dxfId="0" priority="1983"/>
  </conditionalFormatting>
  <conditionalFormatting sqref="H4717:J4717">
    <cfRule type="duplicateValues" dxfId="0" priority="1982"/>
  </conditionalFormatting>
  <conditionalFormatting sqref="H4718:J4718">
    <cfRule type="duplicateValues" dxfId="0" priority="1981"/>
  </conditionalFormatting>
  <conditionalFormatting sqref="H4719:J4719">
    <cfRule type="duplicateValues" dxfId="0" priority="1980"/>
  </conditionalFormatting>
  <conditionalFormatting sqref="H4720:J4720">
    <cfRule type="duplicateValues" dxfId="0" priority="1979"/>
  </conditionalFormatting>
  <conditionalFormatting sqref="H4721:J4721">
    <cfRule type="duplicateValues" dxfId="0" priority="1978"/>
  </conditionalFormatting>
  <conditionalFormatting sqref="H4722:J4722">
    <cfRule type="duplicateValues" dxfId="0" priority="1977"/>
  </conditionalFormatting>
  <conditionalFormatting sqref="H4723:J4723">
    <cfRule type="duplicateValues" dxfId="0" priority="1976"/>
  </conditionalFormatting>
  <conditionalFormatting sqref="H4724:J4724">
    <cfRule type="duplicateValues" dxfId="0" priority="1975"/>
  </conditionalFormatting>
  <conditionalFormatting sqref="H4725:J4725">
    <cfRule type="duplicateValues" dxfId="0" priority="1974"/>
  </conditionalFormatting>
  <conditionalFormatting sqref="H4726:J4726">
    <cfRule type="duplicateValues" dxfId="0" priority="1973"/>
  </conditionalFormatting>
  <conditionalFormatting sqref="H4727:J4727">
    <cfRule type="duplicateValues" dxfId="0" priority="1972"/>
  </conditionalFormatting>
  <conditionalFormatting sqref="H4728:J4728">
    <cfRule type="duplicateValues" dxfId="0" priority="1971"/>
  </conditionalFormatting>
  <conditionalFormatting sqref="H4729:J4729">
    <cfRule type="duplicateValues" dxfId="0" priority="1970"/>
  </conditionalFormatting>
  <conditionalFormatting sqref="H4730:J4730">
    <cfRule type="duplicateValues" dxfId="0" priority="1969"/>
  </conditionalFormatting>
  <conditionalFormatting sqref="H4731:J4731">
    <cfRule type="duplicateValues" dxfId="0" priority="1968"/>
  </conditionalFormatting>
  <conditionalFormatting sqref="H4732:J4732">
    <cfRule type="duplicateValues" dxfId="0" priority="1967"/>
  </conditionalFormatting>
  <conditionalFormatting sqref="H4733:J4733">
    <cfRule type="duplicateValues" dxfId="0" priority="1966"/>
  </conditionalFormatting>
  <conditionalFormatting sqref="H4734:J4734">
    <cfRule type="duplicateValues" dxfId="0" priority="1965"/>
  </conditionalFormatting>
  <conditionalFormatting sqref="H4735:J4735">
    <cfRule type="duplicateValues" dxfId="0" priority="1964"/>
  </conditionalFormatting>
  <conditionalFormatting sqref="H4736:J4736">
    <cfRule type="duplicateValues" dxfId="0" priority="1963"/>
  </conditionalFormatting>
  <conditionalFormatting sqref="H4737:J4737">
    <cfRule type="duplicateValues" dxfId="0" priority="1962"/>
  </conditionalFormatting>
  <conditionalFormatting sqref="H4738:J4738">
    <cfRule type="duplicateValues" dxfId="0" priority="1961"/>
  </conditionalFormatting>
  <conditionalFormatting sqref="H4739:J4739">
    <cfRule type="duplicateValues" dxfId="0" priority="1960"/>
  </conditionalFormatting>
  <conditionalFormatting sqref="H4740:J4740">
    <cfRule type="duplicateValues" dxfId="0" priority="1959"/>
  </conditionalFormatting>
  <conditionalFormatting sqref="H4741:J4741">
    <cfRule type="duplicateValues" dxfId="0" priority="1958"/>
  </conditionalFormatting>
  <conditionalFormatting sqref="H4742:J4742">
    <cfRule type="duplicateValues" dxfId="0" priority="1957"/>
  </conditionalFormatting>
  <conditionalFormatting sqref="H4743:J4743">
    <cfRule type="duplicateValues" dxfId="0" priority="1956"/>
  </conditionalFormatting>
  <conditionalFormatting sqref="H4744:J4744">
    <cfRule type="duplicateValues" dxfId="0" priority="1955"/>
  </conditionalFormatting>
  <conditionalFormatting sqref="H4745:J4745">
    <cfRule type="duplicateValues" dxfId="0" priority="1954"/>
  </conditionalFormatting>
  <conditionalFormatting sqref="H4746:J4746">
    <cfRule type="duplicateValues" dxfId="0" priority="1953"/>
  </conditionalFormatting>
  <conditionalFormatting sqref="H4747:J4747">
    <cfRule type="duplicateValues" dxfId="0" priority="1952"/>
  </conditionalFormatting>
  <conditionalFormatting sqref="H4748:J4748">
    <cfRule type="duplicateValues" dxfId="0" priority="1951"/>
  </conditionalFormatting>
  <conditionalFormatting sqref="H4749:J4749">
    <cfRule type="duplicateValues" dxfId="0" priority="1950"/>
  </conditionalFormatting>
  <conditionalFormatting sqref="H4750:J4750">
    <cfRule type="duplicateValues" dxfId="0" priority="1949"/>
  </conditionalFormatting>
  <conditionalFormatting sqref="H4751:J4751">
    <cfRule type="duplicateValues" dxfId="0" priority="1948"/>
  </conditionalFormatting>
  <conditionalFormatting sqref="H4752:J4752">
    <cfRule type="duplicateValues" dxfId="0" priority="1947"/>
  </conditionalFormatting>
  <conditionalFormatting sqref="H4753:J4753">
    <cfRule type="duplicateValues" dxfId="0" priority="1946"/>
  </conditionalFormatting>
  <conditionalFormatting sqref="H4754:J4754">
    <cfRule type="duplicateValues" dxfId="0" priority="1945"/>
  </conditionalFormatting>
  <conditionalFormatting sqref="H4755:J4755">
    <cfRule type="duplicateValues" dxfId="0" priority="1944"/>
  </conditionalFormatting>
  <conditionalFormatting sqref="H4756:J4756">
    <cfRule type="duplicateValues" dxfId="0" priority="1943"/>
  </conditionalFormatting>
  <conditionalFormatting sqref="H4757:J4757">
    <cfRule type="duplicateValues" dxfId="0" priority="1942"/>
  </conditionalFormatting>
  <conditionalFormatting sqref="H4758:J4758">
    <cfRule type="duplicateValues" dxfId="0" priority="1941"/>
  </conditionalFormatting>
  <conditionalFormatting sqref="H4759:J4759">
    <cfRule type="duplicateValues" dxfId="0" priority="1939"/>
  </conditionalFormatting>
  <conditionalFormatting sqref="H4760:J4760">
    <cfRule type="duplicateValues" dxfId="0" priority="1938"/>
  </conditionalFormatting>
  <conditionalFormatting sqref="H4761:J4761">
    <cfRule type="duplicateValues" dxfId="0" priority="1937"/>
  </conditionalFormatting>
  <conditionalFormatting sqref="H4762:J4762">
    <cfRule type="duplicateValues" dxfId="0" priority="1936"/>
  </conditionalFormatting>
  <conditionalFormatting sqref="H4763:J4763">
    <cfRule type="duplicateValues" dxfId="0" priority="1935"/>
  </conditionalFormatting>
  <conditionalFormatting sqref="H4764:J4764">
    <cfRule type="duplicateValues" dxfId="0" priority="1934"/>
  </conditionalFormatting>
  <conditionalFormatting sqref="H4765:J4765">
    <cfRule type="duplicateValues" dxfId="0" priority="1933"/>
  </conditionalFormatting>
  <conditionalFormatting sqref="H4766:J4766">
    <cfRule type="duplicateValues" dxfId="0" priority="1932"/>
  </conditionalFormatting>
  <conditionalFormatting sqref="H4767:J4767">
    <cfRule type="duplicateValues" dxfId="0" priority="1931"/>
  </conditionalFormatting>
  <conditionalFormatting sqref="H4768:J4768">
    <cfRule type="duplicateValues" dxfId="0" priority="1930"/>
  </conditionalFormatting>
  <conditionalFormatting sqref="H4776">
    <cfRule type="duplicateValues" dxfId="0" priority="1698"/>
  </conditionalFormatting>
  <conditionalFormatting sqref="H4780">
    <cfRule type="duplicateValues" dxfId="0" priority="667"/>
  </conditionalFormatting>
  <conditionalFormatting sqref="H4786">
    <cfRule type="duplicateValues" dxfId="0" priority="1666"/>
  </conditionalFormatting>
  <conditionalFormatting sqref="H4787">
    <cfRule type="duplicateValues" dxfId="0" priority="1203"/>
  </conditionalFormatting>
  <conditionalFormatting sqref="H4792">
    <cfRule type="duplicateValues" dxfId="0" priority="1566"/>
  </conditionalFormatting>
  <conditionalFormatting sqref="H4806">
    <cfRule type="duplicateValues" dxfId="0" priority="1771"/>
  </conditionalFormatting>
  <conditionalFormatting sqref="H4815">
    <cfRule type="duplicateValues" dxfId="0" priority="1481"/>
  </conditionalFormatting>
  <conditionalFormatting sqref="H4818">
    <cfRule type="duplicateValues" dxfId="0" priority="1657"/>
  </conditionalFormatting>
  <conditionalFormatting sqref="H4821">
    <cfRule type="duplicateValues" dxfId="0" priority="1222"/>
  </conditionalFormatting>
  <conditionalFormatting sqref="H4834">
    <cfRule type="duplicateValues" dxfId="0" priority="1150"/>
  </conditionalFormatting>
  <conditionalFormatting sqref="H4840">
    <cfRule type="duplicateValues" dxfId="0" priority="599"/>
  </conditionalFormatting>
  <conditionalFormatting sqref="H4841">
    <cfRule type="duplicateValues" dxfId="0" priority="1518"/>
  </conditionalFormatting>
  <conditionalFormatting sqref="H4844">
    <cfRule type="duplicateValues" dxfId="0" priority="1846"/>
  </conditionalFormatting>
  <conditionalFormatting sqref="H4851">
    <cfRule type="duplicateValues" dxfId="0" priority="1865"/>
  </conditionalFormatting>
  <conditionalFormatting sqref="H4855">
    <cfRule type="duplicateValues" dxfId="0" priority="1494"/>
  </conditionalFormatting>
  <conditionalFormatting sqref="H4856">
    <cfRule type="duplicateValues" dxfId="0" priority="1923"/>
  </conditionalFormatting>
  <conditionalFormatting sqref="H4862">
    <cfRule type="duplicateValues" dxfId="0" priority="1567"/>
  </conditionalFormatting>
  <conditionalFormatting sqref="H4863:J4863">
    <cfRule type="duplicateValues" dxfId="0" priority="1922"/>
  </conditionalFormatting>
  <conditionalFormatting sqref="J4869">
    <cfRule type="duplicateValues" dxfId="0" priority="1825"/>
  </conditionalFormatting>
  <conditionalFormatting sqref="H4882">
    <cfRule type="duplicateValues" dxfId="0" priority="1148"/>
  </conditionalFormatting>
  <conditionalFormatting sqref="H4883">
    <cfRule type="duplicateValues" dxfId="0" priority="1593"/>
  </conditionalFormatting>
  <conditionalFormatting sqref="H4888">
    <cfRule type="duplicateValues" dxfId="0" priority="572"/>
  </conditionalFormatting>
  <conditionalFormatting sqref="H4891">
    <cfRule type="duplicateValues" dxfId="0" priority="409"/>
  </conditionalFormatting>
  <conditionalFormatting sqref="H4897">
    <cfRule type="duplicateValues" dxfId="0" priority="668"/>
  </conditionalFormatting>
  <conditionalFormatting sqref="H4899">
    <cfRule type="duplicateValues" dxfId="0" priority="1517"/>
  </conditionalFormatting>
  <conditionalFormatting sqref="H4902">
    <cfRule type="duplicateValues" dxfId="0" priority="1829"/>
  </conditionalFormatting>
  <conditionalFormatting sqref="H4904">
    <cfRule type="duplicateValues" dxfId="0" priority="758"/>
  </conditionalFormatting>
  <conditionalFormatting sqref="I4905">
    <cfRule type="duplicateValues" dxfId="0" priority="1578"/>
  </conditionalFormatting>
  <conditionalFormatting sqref="H4911">
    <cfRule type="duplicateValues" dxfId="0" priority="1920"/>
  </conditionalFormatting>
  <conditionalFormatting sqref="H4913">
    <cfRule type="duplicateValues" dxfId="0" priority="1919"/>
  </conditionalFormatting>
  <conditionalFormatting sqref="H4914">
    <cfRule type="duplicateValues" dxfId="0" priority="1843"/>
  </conditionalFormatting>
  <conditionalFormatting sqref="H4917:I4917">
    <cfRule type="duplicateValues" dxfId="0" priority="1902"/>
  </conditionalFormatting>
  <conditionalFormatting sqref="H4920">
    <cfRule type="duplicateValues" dxfId="0" priority="1727"/>
  </conditionalFormatting>
  <conditionalFormatting sqref="H4922">
    <cfRule type="duplicateValues" dxfId="0" priority="1631"/>
  </conditionalFormatting>
  <conditionalFormatting sqref="H4924">
    <cfRule type="duplicateValues" dxfId="0" priority="1020"/>
  </conditionalFormatting>
  <conditionalFormatting sqref="H4927">
    <cfRule type="duplicateValues" dxfId="0" priority="1582"/>
  </conditionalFormatting>
  <conditionalFormatting sqref="H4928">
    <cfRule type="duplicateValues" dxfId="0" priority="1918"/>
  </conditionalFormatting>
  <conditionalFormatting sqref="H4931">
    <cfRule type="duplicateValues" dxfId="0" priority="1845"/>
  </conditionalFormatting>
  <conditionalFormatting sqref="H4933">
    <cfRule type="duplicateValues" dxfId="0" priority="1063"/>
  </conditionalFormatting>
  <conditionalFormatting sqref="H4934">
    <cfRule type="duplicateValues" dxfId="0" priority="1506"/>
  </conditionalFormatting>
  <conditionalFormatting sqref="H4935">
    <cfRule type="duplicateValues" dxfId="0" priority="1704"/>
  </conditionalFormatting>
  <conditionalFormatting sqref="H4937">
    <cfRule type="duplicateValues" dxfId="0" priority="1916"/>
  </conditionalFormatting>
  <conditionalFormatting sqref="H4941">
    <cfRule type="duplicateValues" dxfId="0" priority="1121"/>
  </conditionalFormatting>
  <conditionalFormatting sqref="H4942">
    <cfRule type="duplicateValues" dxfId="0" priority="1779"/>
  </conditionalFormatting>
  <conditionalFormatting sqref="H4946">
    <cfRule type="duplicateValues" dxfId="0" priority="1821"/>
  </conditionalFormatting>
  <conditionalFormatting sqref="H4953">
    <cfRule type="duplicateValues" dxfId="0" priority="1626"/>
  </conditionalFormatting>
  <conditionalFormatting sqref="H4955">
    <cfRule type="duplicateValues" dxfId="0" priority="1591"/>
  </conditionalFormatting>
  <conditionalFormatting sqref="H4956:J4956">
    <cfRule type="duplicateValues" dxfId="0" priority="1915"/>
  </conditionalFormatting>
  <conditionalFormatting sqref="H4957:J4957">
    <cfRule type="duplicateValues" dxfId="0" priority="1913"/>
  </conditionalFormatting>
  <conditionalFormatting sqref="H4958:J4958">
    <cfRule type="duplicateValues" dxfId="0" priority="1910"/>
  </conditionalFormatting>
  <conditionalFormatting sqref="H4959:J4959">
    <cfRule type="duplicateValues" dxfId="0" priority="1909"/>
  </conditionalFormatting>
  <conditionalFormatting sqref="H4960:J4960">
    <cfRule type="duplicateValues" dxfId="0" priority="1907"/>
  </conditionalFormatting>
  <conditionalFormatting sqref="H4961:J4961">
    <cfRule type="duplicateValues" dxfId="0" priority="1906"/>
  </conditionalFormatting>
  <conditionalFormatting sqref="H4962:J4962">
    <cfRule type="duplicateValues" dxfId="0" priority="1904"/>
  </conditionalFormatting>
  <conditionalFormatting sqref="H4963:J4963">
    <cfRule type="duplicateValues" dxfId="0" priority="1901"/>
  </conditionalFormatting>
  <conditionalFormatting sqref="H4964:J4964">
    <cfRule type="duplicateValues" dxfId="0" priority="1899"/>
  </conditionalFormatting>
  <conditionalFormatting sqref="H4965:J4965">
    <cfRule type="duplicateValues" dxfId="0" priority="1898"/>
  </conditionalFormatting>
  <conditionalFormatting sqref="H4966:J4966">
    <cfRule type="duplicateValues" dxfId="0" priority="1897"/>
  </conditionalFormatting>
  <conditionalFormatting sqref="H4967:J4967">
    <cfRule type="duplicateValues" dxfId="0" priority="1896"/>
  </conditionalFormatting>
  <conditionalFormatting sqref="H4968:J4968">
    <cfRule type="duplicateValues" dxfId="0" priority="1895"/>
  </conditionalFormatting>
  <conditionalFormatting sqref="H4969:J4969">
    <cfRule type="duplicateValues" dxfId="0" priority="1894"/>
  </conditionalFormatting>
  <conditionalFormatting sqref="H4970:J4970">
    <cfRule type="duplicateValues" dxfId="0" priority="1893"/>
  </conditionalFormatting>
  <conditionalFormatting sqref="H4971:J4971">
    <cfRule type="duplicateValues" dxfId="0" priority="1892"/>
  </conditionalFormatting>
  <conditionalFormatting sqref="H4972:J4972">
    <cfRule type="duplicateValues" dxfId="0" priority="1891"/>
  </conditionalFormatting>
  <conditionalFormatting sqref="H4973:J4973">
    <cfRule type="duplicateValues" dxfId="0" priority="1890"/>
  </conditionalFormatting>
  <conditionalFormatting sqref="H4974:J4974">
    <cfRule type="duplicateValues" dxfId="0" priority="1889"/>
  </conditionalFormatting>
  <conditionalFormatting sqref="H4975:J4975">
    <cfRule type="duplicateValues" dxfId="0" priority="1888"/>
  </conditionalFormatting>
  <conditionalFormatting sqref="H4976:J4976">
    <cfRule type="duplicateValues" dxfId="0" priority="1887"/>
  </conditionalFormatting>
  <conditionalFormatting sqref="H4977:J4977">
    <cfRule type="duplicateValues" dxfId="0" priority="1886"/>
  </conditionalFormatting>
  <conditionalFormatting sqref="H4978:J4978">
    <cfRule type="duplicateValues" dxfId="0" priority="1885"/>
  </conditionalFormatting>
  <conditionalFormatting sqref="H4979:J4979">
    <cfRule type="duplicateValues" dxfId="0" priority="1884"/>
  </conditionalFormatting>
  <conditionalFormatting sqref="H4980:J4980">
    <cfRule type="duplicateValues" dxfId="0" priority="1883"/>
  </conditionalFormatting>
  <conditionalFormatting sqref="H4981:J4981">
    <cfRule type="duplicateValues" dxfId="0" priority="1882"/>
  </conditionalFormatting>
  <conditionalFormatting sqref="H4982:J4982">
    <cfRule type="duplicateValues" dxfId="0" priority="1881"/>
  </conditionalFormatting>
  <conditionalFormatting sqref="H4983:J4983">
    <cfRule type="duplicateValues" dxfId="0" priority="1880"/>
  </conditionalFormatting>
  <conditionalFormatting sqref="H4984:J4984">
    <cfRule type="duplicateValues" dxfId="0" priority="1879"/>
  </conditionalFormatting>
  <conditionalFormatting sqref="H4985:J4985">
    <cfRule type="duplicateValues" dxfId="0" priority="1878"/>
  </conditionalFormatting>
  <conditionalFormatting sqref="H4986:J4986">
    <cfRule type="duplicateValues" dxfId="0" priority="1877"/>
  </conditionalFormatting>
  <conditionalFormatting sqref="H4987:J4987">
    <cfRule type="duplicateValues" dxfId="0" priority="1876"/>
  </conditionalFormatting>
  <conditionalFormatting sqref="H4988:J4988">
    <cfRule type="duplicateValues" dxfId="0" priority="1875"/>
  </conditionalFormatting>
  <conditionalFormatting sqref="H4989:J4989">
    <cfRule type="duplicateValues" dxfId="0" priority="1874"/>
  </conditionalFormatting>
  <conditionalFormatting sqref="H4990:J4990">
    <cfRule type="duplicateValues" dxfId="0" priority="1873"/>
  </conditionalFormatting>
  <conditionalFormatting sqref="H4991:J4991">
    <cfRule type="duplicateValues" dxfId="0" priority="1872"/>
  </conditionalFormatting>
  <conditionalFormatting sqref="H4992:J4992">
    <cfRule type="duplicateValues" dxfId="0" priority="1871"/>
  </conditionalFormatting>
  <conditionalFormatting sqref="H4993:J4993">
    <cfRule type="duplicateValues" dxfId="0" priority="1870"/>
  </conditionalFormatting>
  <conditionalFormatting sqref="H4997">
    <cfRule type="duplicateValues" dxfId="0" priority="1304"/>
  </conditionalFormatting>
  <conditionalFormatting sqref="H4999:J4999">
    <cfRule type="duplicateValues" dxfId="0" priority="1867"/>
  </conditionalFormatting>
  <conditionalFormatting sqref="H5004:J5004">
    <cfRule type="duplicateValues" dxfId="0" priority="1862"/>
  </conditionalFormatting>
  <conditionalFormatting sqref="H5005:J5005">
    <cfRule type="duplicateValues" dxfId="0" priority="1861"/>
  </conditionalFormatting>
  <conditionalFormatting sqref="H5006:J5006">
    <cfRule type="duplicateValues" dxfId="0" priority="1860"/>
  </conditionalFormatting>
  <conditionalFormatting sqref="H5007:J5007">
    <cfRule type="duplicateValues" dxfId="0" priority="1859"/>
  </conditionalFormatting>
  <conditionalFormatting sqref="H5008:J5008">
    <cfRule type="duplicateValues" dxfId="0" priority="1858"/>
  </conditionalFormatting>
  <conditionalFormatting sqref="H5009:J5009">
    <cfRule type="duplicateValues" dxfId="0" priority="1857"/>
  </conditionalFormatting>
  <conditionalFormatting sqref="H5010:J5010">
    <cfRule type="duplicateValues" dxfId="0" priority="1855"/>
  </conditionalFormatting>
  <conditionalFormatting sqref="H5011:J5011">
    <cfRule type="duplicateValues" dxfId="0" priority="1854"/>
  </conditionalFormatting>
  <conditionalFormatting sqref="H5012:J5012">
    <cfRule type="duplicateValues" dxfId="0" priority="1853"/>
  </conditionalFormatting>
  <conditionalFormatting sqref="H5014">
    <cfRule type="duplicateValues" dxfId="0" priority="1089"/>
  </conditionalFormatting>
  <conditionalFormatting sqref="H5017">
    <cfRule type="duplicateValues" dxfId="0" priority="1782"/>
  </conditionalFormatting>
  <conditionalFormatting sqref="I5022">
    <cfRule type="duplicateValues" dxfId="0" priority="1850"/>
  </conditionalFormatting>
  <conditionalFormatting sqref="J5023">
    <cfRule type="duplicateValues" dxfId="0" priority="1849"/>
  </conditionalFormatting>
  <conditionalFormatting sqref="H5026:J5026">
    <cfRule type="duplicateValues" dxfId="0" priority="1848"/>
  </conditionalFormatting>
  <conditionalFormatting sqref="H5027:J5027">
    <cfRule type="duplicateValues" dxfId="0" priority="1847"/>
  </conditionalFormatting>
  <conditionalFormatting sqref="H5028:J5028">
    <cfRule type="duplicateValues" dxfId="0" priority="1842"/>
  </conditionalFormatting>
  <conditionalFormatting sqref="H5029:J5029">
    <cfRule type="duplicateValues" dxfId="0" priority="1840"/>
  </conditionalFormatting>
  <conditionalFormatting sqref="H5030:J5030">
    <cfRule type="duplicateValues" dxfId="0" priority="1839"/>
  </conditionalFormatting>
  <conditionalFormatting sqref="H5031:J5031">
    <cfRule type="duplicateValues" dxfId="0" priority="1838"/>
  </conditionalFormatting>
  <conditionalFormatting sqref="H5032:J5032">
    <cfRule type="duplicateValues" dxfId="0" priority="1837"/>
  </conditionalFormatting>
  <conditionalFormatting sqref="H5033:J5033">
    <cfRule type="duplicateValues" dxfId="0" priority="1836"/>
  </conditionalFormatting>
  <conditionalFormatting sqref="H5034:J5034">
    <cfRule type="duplicateValues" dxfId="0" priority="1835"/>
  </conditionalFormatting>
  <conditionalFormatting sqref="H5035:J5035">
    <cfRule type="duplicateValues" dxfId="0" priority="1834"/>
  </conditionalFormatting>
  <conditionalFormatting sqref="H5037">
    <cfRule type="duplicateValues" dxfId="0" priority="1747"/>
  </conditionalFormatting>
  <conditionalFormatting sqref="I5042:J5042">
    <cfRule type="duplicateValues" dxfId="0" priority="1831"/>
  </conditionalFormatting>
  <conditionalFormatting sqref="H5043">
    <cfRule type="duplicateValues" dxfId="0" priority="1192"/>
  </conditionalFormatting>
  <conditionalFormatting sqref="J5043">
    <cfRule type="duplicateValues" dxfId="0" priority="1191"/>
  </conditionalFormatting>
  <conditionalFormatting sqref="H5045:J5045">
    <cfRule type="duplicateValues" dxfId="0" priority="1826"/>
  </conditionalFormatting>
  <conditionalFormatting sqref="H5046:J5046">
    <cfRule type="duplicateValues" dxfId="0" priority="1824"/>
  </conditionalFormatting>
  <conditionalFormatting sqref="H5047:J5047">
    <cfRule type="duplicateValues" dxfId="0" priority="1823"/>
  </conditionalFormatting>
  <conditionalFormatting sqref="H5048:J5048">
    <cfRule type="duplicateValues" dxfId="0" priority="1822"/>
  </conditionalFormatting>
  <conditionalFormatting sqref="H5049:J5049">
    <cfRule type="duplicateValues" dxfId="0" priority="1820"/>
  </conditionalFormatting>
  <conditionalFormatting sqref="H5050:J5050">
    <cfRule type="duplicateValues" dxfId="0" priority="1819"/>
  </conditionalFormatting>
  <conditionalFormatting sqref="H5051:J5051">
    <cfRule type="duplicateValues" dxfId="0" priority="1818"/>
  </conditionalFormatting>
  <conditionalFormatting sqref="H5052:J5052">
    <cfRule type="duplicateValues" dxfId="0" priority="1817"/>
  </conditionalFormatting>
  <conditionalFormatting sqref="H5053:J5053">
    <cfRule type="duplicateValues" dxfId="0" priority="1816"/>
  </conditionalFormatting>
  <conditionalFormatting sqref="H5054:J5054">
    <cfRule type="duplicateValues" dxfId="0" priority="1815"/>
  </conditionalFormatting>
  <conditionalFormatting sqref="H5055:J5055">
    <cfRule type="duplicateValues" dxfId="0" priority="1814"/>
  </conditionalFormatting>
  <conditionalFormatting sqref="H5056:J5056">
    <cfRule type="duplicateValues" dxfId="0" priority="1813"/>
  </conditionalFormatting>
  <conditionalFormatting sqref="H5057:J5057">
    <cfRule type="duplicateValues" dxfId="0" priority="1812"/>
  </conditionalFormatting>
  <conditionalFormatting sqref="H5058:J5058">
    <cfRule type="duplicateValues" dxfId="0" priority="1811"/>
  </conditionalFormatting>
  <conditionalFormatting sqref="A5060">
    <cfRule type="duplicateValues" dxfId="0" priority="1809"/>
  </conditionalFormatting>
  <conditionalFormatting sqref="J5060">
    <cfRule type="duplicateValues" dxfId="0" priority="1803"/>
  </conditionalFormatting>
  <conditionalFormatting sqref="H5069">
    <cfRule type="duplicateValues" dxfId="0" priority="685"/>
  </conditionalFormatting>
  <conditionalFormatting sqref="H5070">
    <cfRule type="duplicateValues" dxfId="0" priority="1743"/>
  </conditionalFormatting>
  <conditionalFormatting sqref="H5077">
    <cfRule type="duplicateValues" dxfId="0" priority="1501"/>
  </conditionalFormatting>
  <conditionalFormatting sqref="A5079">
    <cfRule type="duplicateValues" dxfId="0" priority="1808"/>
  </conditionalFormatting>
  <conditionalFormatting sqref="J5079">
    <cfRule type="duplicateValues" dxfId="0" priority="1802"/>
  </conditionalFormatting>
  <conditionalFormatting sqref="H5081">
    <cfRule type="duplicateValues" dxfId="0" priority="415"/>
  </conditionalFormatting>
  <conditionalFormatting sqref="H5087">
    <cfRule type="duplicateValues" dxfId="0" priority="864"/>
  </conditionalFormatting>
  <conditionalFormatting sqref="H5091">
    <cfRule type="duplicateValues" dxfId="0" priority="1487"/>
  </conditionalFormatting>
  <conditionalFormatting sqref="H5093">
    <cfRule type="duplicateValues" dxfId="0" priority="1664"/>
  </conditionalFormatting>
  <conditionalFormatting sqref="H5094">
    <cfRule type="duplicateValues" dxfId="0" priority="1703"/>
  </conditionalFormatting>
  <conditionalFormatting sqref="H5102">
    <cfRule type="duplicateValues" dxfId="0" priority="1792"/>
  </conditionalFormatting>
  <conditionalFormatting sqref="I5102">
    <cfRule type="duplicateValues" dxfId="0" priority="1794"/>
  </conditionalFormatting>
  <conditionalFormatting sqref="J5102">
    <cfRule type="duplicateValues" dxfId="0" priority="1793"/>
  </conditionalFormatting>
  <conditionalFormatting sqref="H5103">
    <cfRule type="duplicateValues" dxfId="0" priority="1789"/>
  </conditionalFormatting>
  <conditionalFormatting sqref="I5103">
    <cfRule type="duplicateValues" dxfId="0" priority="1791"/>
  </conditionalFormatting>
  <conditionalFormatting sqref="J5103">
    <cfRule type="duplicateValues" dxfId="0" priority="1790"/>
  </conditionalFormatting>
  <conditionalFormatting sqref="H5104">
    <cfRule type="duplicateValues" dxfId="0" priority="1783"/>
  </conditionalFormatting>
  <conditionalFormatting sqref="I5104">
    <cfRule type="duplicateValues" dxfId="0" priority="1785"/>
  </conditionalFormatting>
  <conditionalFormatting sqref="J5104">
    <cfRule type="duplicateValues" dxfId="0" priority="1784"/>
  </conditionalFormatting>
  <conditionalFormatting sqref="H5105">
    <cfRule type="duplicateValues" dxfId="0" priority="1772"/>
  </conditionalFormatting>
  <conditionalFormatting sqref="I5105">
    <cfRule type="duplicateValues" dxfId="0" priority="1774"/>
  </conditionalFormatting>
  <conditionalFormatting sqref="J5105">
    <cfRule type="duplicateValues" dxfId="0" priority="1773"/>
  </conditionalFormatting>
  <conditionalFormatting sqref="H5106">
    <cfRule type="duplicateValues" dxfId="0" priority="1767"/>
  </conditionalFormatting>
  <conditionalFormatting sqref="H5107">
    <cfRule type="duplicateValues" dxfId="0" priority="1766"/>
  </conditionalFormatting>
  <conditionalFormatting sqref="H5108">
    <cfRule type="duplicateValues" dxfId="0" priority="1768"/>
  </conditionalFormatting>
  <conditionalFormatting sqref="H5109">
    <cfRule type="duplicateValues" dxfId="0" priority="1765"/>
  </conditionalFormatting>
  <conditionalFormatting sqref="H5110">
    <cfRule type="duplicateValues" dxfId="0" priority="1764"/>
  </conditionalFormatting>
  <conditionalFormatting sqref="H5111">
    <cfRule type="duplicateValues" dxfId="0" priority="1763"/>
  </conditionalFormatting>
  <conditionalFormatting sqref="H5122">
    <cfRule type="duplicateValues" dxfId="0" priority="1339"/>
  </conditionalFormatting>
  <conditionalFormatting sqref="H5127">
    <cfRule type="duplicateValues" dxfId="0" priority="866"/>
  </conditionalFormatting>
  <conditionalFormatting sqref="H5128">
    <cfRule type="duplicateValues" dxfId="0" priority="800"/>
  </conditionalFormatting>
  <conditionalFormatting sqref="H5141">
    <cfRule type="duplicateValues" dxfId="0" priority="1026"/>
  </conditionalFormatting>
  <conditionalFormatting sqref="H5144">
    <cfRule type="duplicateValues" dxfId="0" priority="1751"/>
  </conditionalFormatting>
  <conditionalFormatting sqref="H5146">
    <cfRule type="duplicateValues" dxfId="0" priority="1750"/>
  </conditionalFormatting>
  <conditionalFormatting sqref="J5148">
    <cfRule type="duplicateValues" dxfId="0" priority="1721"/>
  </conditionalFormatting>
  <conditionalFormatting sqref="H5150">
    <cfRule type="duplicateValues" dxfId="0" priority="1749"/>
  </conditionalFormatting>
  <conditionalFormatting sqref="H5156">
    <cfRule type="duplicateValues" dxfId="0" priority="1624"/>
  </conditionalFormatting>
  <conditionalFormatting sqref="H5157:J5157">
    <cfRule type="duplicateValues" dxfId="0" priority="1746"/>
  </conditionalFormatting>
  <conditionalFormatting sqref="H5158:J5158">
    <cfRule type="duplicateValues" dxfId="0" priority="1745"/>
  </conditionalFormatting>
  <conditionalFormatting sqref="H5159:J5159">
    <cfRule type="duplicateValues" dxfId="0" priority="1742"/>
  </conditionalFormatting>
  <conditionalFormatting sqref="H5160:J5160">
    <cfRule type="duplicateValues" dxfId="0" priority="1741"/>
  </conditionalFormatting>
  <conditionalFormatting sqref="H5161:J5161">
    <cfRule type="duplicateValues" dxfId="0" priority="1740"/>
  </conditionalFormatting>
  <conditionalFormatting sqref="H5162:J5162">
    <cfRule type="duplicateValues" dxfId="0" priority="1739"/>
  </conditionalFormatting>
  <conditionalFormatting sqref="H5163:J5163">
    <cfRule type="duplicateValues" dxfId="0" priority="1738"/>
  </conditionalFormatting>
  <conditionalFormatting sqref="H5164:J5164">
    <cfRule type="duplicateValues" dxfId="0" priority="1737"/>
  </conditionalFormatting>
  <conditionalFormatting sqref="H5165:J5165">
    <cfRule type="duplicateValues" dxfId="0" priority="1736"/>
  </conditionalFormatting>
  <conditionalFormatting sqref="H5166:J5166">
    <cfRule type="duplicateValues" dxfId="0" priority="1735"/>
  </conditionalFormatting>
  <conditionalFormatting sqref="H5167:J5167">
    <cfRule type="duplicateValues" dxfId="0" priority="1734"/>
  </conditionalFormatting>
  <conditionalFormatting sqref="H5168:J5168">
    <cfRule type="duplicateValues" dxfId="0" priority="1733"/>
  </conditionalFormatting>
  <conditionalFormatting sqref="H5169:J5169">
    <cfRule type="duplicateValues" dxfId="0" priority="1732"/>
  </conditionalFormatting>
  <conditionalFormatting sqref="H5170:J5170">
    <cfRule type="duplicateValues" dxfId="0" priority="1731"/>
  </conditionalFormatting>
  <conditionalFormatting sqref="H5171:J5171">
    <cfRule type="duplicateValues" dxfId="0" priority="1730"/>
  </conditionalFormatting>
  <conditionalFormatting sqref="H5186">
    <cfRule type="duplicateValues" dxfId="0" priority="1596"/>
  </conditionalFormatting>
  <conditionalFormatting sqref="H5189">
    <cfRule type="duplicateValues" dxfId="0" priority="1724"/>
  </conditionalFormatting>
  <conditionalFormatting sqref="H5190">
    <cfRule type="duplicateValues" dxfId="0" priority="1532"/>
  </conditionalFormatting>
  <conditionalFormatting sqref="J5190">
    <cfRule type="duplicateValues" dxfId="0" priority="1531"/>
  </conditionalFormatting>
  <conditionalFormatting sqref="H5204">
    <cfRule type="duplicateValues" dxfId="0" priority="421"/>
  </conditionalFormatting>
  <conditionalFormatting sqref="H5208">
    <cfRule type="duplicateValues" dxfId="0" priority="1579"/>
  </conditionalFormatting>
  <conditionalFormatting sqref="H5210:J5210">
    <cfRule type="duplicateValues" dxfId="0" priority="1726"/>
  </conditionalFormatting>
  <conditionalFormatting sqref="H5211:J5211">
    <cfRule type="duplicateValues" dxfId="0" priority="1725"/>
  </conditionalFormatting>
  <conditionalFormatting sqref="H5212:J5212">
    <cfRule type="duplicateValues" dxfId="0" priority="1722"/>
  </conditionalFormatting>
  <conditionalFormatting sqref="H5213:J5213">
    <cfRule type="duplicateValues" dxfId="0" priority="1720"/>
  </conditionalFormatting>
  <conditionalFormatting sqref="H5214:J5214">
    <cfRule type="duplicateValues" dxfId="0" priority="1719"/>
  </conditionalFormatting>
  <conditionalFormatting sqref="H5215:J5215">
    <cfRule type="duplicateValues" dxfId="0" priority="1718"/>
  </conditionalFormatting>
  <conditionalFormatting sqref="H5216:J5216">
    <cfRule type="duplicateValues" dxfId="0" priority="1717"/>
  </conditionalFormatting>
  <conditionalFormatting sqref="H5217:J5217">
    <cfRule type="duplicateValues" dxfId="0" priority="1716"/>
  </conditionalFormatting>
  <conditionalFormatting sqref="I5218:J5218">
    <cfRule type="duplicateValues" dxfId="0" priority="1715"/>
  </conditionalFormatting>
  <conditionalFormatting sqref="H5219:J5219">
    <cfRule type="duplicateValues" dxfId="0" priority="1714"/>
  </conditionalFormatting>
  <conditionalFormatting sqref="H5220">
    <cfRule type="duplicateValues" dxfId="0" priority="1713"/>
  </conditionalFormatting>
  <conditionalFormatting sqref="I5220:J5220">
    <cfRule type="duplicateValues" dxfId="0" priority="1712"/>
  </conditionalFormatting>
  <conditionalFormatting sqref="H5221:J5221">
    <cfRule type="duplicateValues" dxfId="0" priority="1711"/>
  </conditionalFormatting>
  <conditionalFormatting sqref="H5222:J5222">
    <cfRule type="duplicateValues" dxfId="0" priority="1710"/>
  </conditionalFormatting>
  <conditionalFormatting sqref="J5225">
    <cfRule type="duplicateValues" dxfId="0" priority="1414"/>
  </conditionalFormatting>
  <conditionalFormatting sqref="H5231">
    <cfRule type="duplicateValues" dxfId="0" priority="1491"/>
  </conditionalFormatting>
  <conditionalFormatting sqref="H5234:J5234">
    <cfRule type="duplicateValues" dxfId="0" priority="1705"/>
  </conditionalFormatting>
  <conditionalFormatting sqref="H5235:J5235">
    <cfRule type="duplicateValues" dxfId="0" priority="1702"/>
  </conditionalFormatting>
  <conditionalFormatting sqref="H5236:J5236">
    <cfRule type="duplicateValues" dxfId="0" priority="1701"/>
  </conditionalFormatting>
  <conditionalFormatting sqref="H5237:J5237">
    <cfRule type="duplicateValues" dxfId="0" priority="1700"/>
  </conditionalFormatting>
  <conditionalFormatting sqref="H5238:J5238">
    <cfRule type="duplicateValues" dxfId="0" priority="1699"/>
  </conditionalFormatting>
  <conditionalFormatting sqref="H5239:J5239">
    <cfRule type="duplicateValues" dxfId="0" priority="1697"/>
  </conditionalFormatting>
  <conditionalFormatting sqref="H5240:J5240">
    <cfRule type="duplicateValues" dxfId="0" priority="1696"/>
  </conditionalFormatting>
  <conditionalFormatting sqref="H5241:J5241">
    <cfRule type="duplicateValues" dxfId="0" priority="1695"/>
  </conditionalFormatting>
  <conditionalFormatting sqref="H5242:J5242">
    <cfRule type="duplicateValues" dxfId="0" priority="1694"/>
  </conditionalFormatting>
  <conditionalFormatting sqref="H5243:J5243">
    <cfRule type="duplicateValues" dxfId="0" priority="1693"/>
  </conditionalFormatting>
  <conditionalFormatting sqref="H5244:J5244">
    <cfRule type="duplicateValues" dxfId="0" priority="1692"/>
  </conditionalFormatting>
  <conditionalFormatting sqref="H5245:J5245">
    <cfRule type="duplicateValues" dxfId="0" priority="1691"/>
  </conditionalFormatting>
  <conditionalFormatting sqref="A5248">
    <cfRule type="duplicateValues" dxfId="0" priority="1689"/>
  </conditionalFormatting>
  <conditionalFormatting sqref="A5258">
    <cfRule type="duplicateValues" dxfId="0" priority="1688"/>
  </conditionalFormatting>
  <conditionalFormatting sqref="H5272:J5272">
    <cfRule type="duplicateValues" dxfId="0" priority="1686"/>
  </conditionalFormatting>
  <conditionalFormatting sqref="J5273">
    <cfRule type="duplicateValues" dxfId="0" priority="1565"/>
  </conditionalFormatting>
  <conditionalFormatting sqref="H5274">
    <cfRule type="duplicateValues" dxfId="0" priority="1685"/>
  </conditionalFormatting>
  <conditionalFormatting sqref="H5275:I5275">
    <cfRule type="duplicateValues" dxfId="0" priority="1683"/>
  </conditionalFormatting>
  <conditionalFormatting sqref="J5275">
    <cfRule type="duplicateValues" dxfId="0" priority="1684"/>
  </conditionalFormatting>
  <conditionalFormatting sqref="H5276:J5276">
    <cfRule type="duplicateValues" dxfId="0" priority="1681"/>
  </conditionalFormatting>
  <conditionalFormatting sqref="H5277:J5277">
    <cfRule type="duplicateValues" dxfId="0" priority="1680"/>
  </conditionalFormatting>
  <conditionalFormatting sqref="H5278:J5278">
    <cfRule type="duplicateValues" dxfId="0" priority="1679"/>
  </conditionalFormatting>
  <conditionalFormatting sqref="H5279:J5279">
    <cfRule type="duplicateValues" dxfId="0" priority="1678"/>
  </conditionalFormatting>
  <conditionalFormatting sqref="H5280:J5280">
    <cfRule type="duplicateValues" dxfId="0" priority="1677"/>
  </conditionalFormatting>
  <conditionalFormatting sqref="H5281:J5281">
    <cfRule type="duplicateValues" dxfId="0" priority="1676"/>
  </conditionalFormatting>
  <conditionalFormatting sqref="H5282:J5282">
    <cfRule type="duplicateValues" dxfId="0" priority="1675"/>
  </conditionalFormatting>
  <conditionalFormatting sqref="H5283:J5283">
    <cfRule type="duplicateValues" dxfId="0" priority="1674"/>
  </conditionalFormatting>
  <conditionalFormatting sqref="H5284:J5284">
    <cfRule type="duplicateValues" dxfId="0" priority="1673"/>
  </conditionalFormatting>
  <conditionalFormatting sqref="H5285:J5285">
    <cfRule type="duplicateValues" dxfId="0" priority="1672"/>
  </conditionalFormatting>
  <conditionalFormatting sqref="H5286:J5286">
    <cfRule type="duplicateValues" dxfId="0" priority="1671"/>
  </conditionalFormatting>
  <conditionalFormatting sqref="H5294">
    <cfRule type="duplicateValues" dxfId="0" priority="1668"/>
  </conditionalFormatting>
  <conditionalFormatting sqref="H5295:J5295">
    <cfRule type="duplicateValues" dxfId="0" priority="1667"/>
  </conditionalFormatting>
  <conditionalFormatting sqref="H5298">
    <cfRule type="duplicateValues" dxfId="0" priority="1340"/>
  </conditionalFormatting>
  <conditionalFormatting sqref="H5300:J5300">
    <cfRule type="duplicateValues" dxfId="0" priority="1665"/>
  </conditionalFormatting>
  <conditionalFormatting sqref="H5301:J5301">
    <cfRule type="duplicateValues" dxfId="0" priority="1661"/>
  </conditionalFormatting>
  <conditionalFormatting sqref="H5302:J5302">
    <cfRule type="duplicateValues" dxfId="0" priority="1660"/>
  </conditionalFormatting>
  <conditionalFormatting sqref="H5303">
    <cfRule type="duplicateValues" dxfId="0" priority="1655"/>
  </conditionalFormatting>
  <conditionalFormatting sqref="I5303:J5303">
    <cfRule type="duplicateValues" dxfId="0" priority="1656"/>
  </conditionalFormatting>
  <conditionalFormatting sqref="H5304:J5304">
    <cfRule type="duplicateValues" dxfId="0" priority="1654"/>
  </conditionalFormatting>
  <conditionalFormatting sqref="H5305:J5305">
    <cfRule type="duplicateValues" dxfId="0" priority="1653"/>
  </conditionalFormatting>
  <conditionalFormatting sqref="H5306:J5306">
    <cfRule type="duplicateValues" dxfId="0" priority="1652"/>
  </conditionalFormatting>
  <conditionalFormatting sqref="H5307:J5307">
    <cfRule type="duplicateValues" dxfId="0" priority="1650"/>
  </conditionalFormatting>
  <conditionalFormatting sqref="H5308:J5308">
    <cfRule type="duplicateValues" dxfId="0" priority="1649"/>
  </conditionalFormatting>
  <conditionalFormatting sqref="H5309:J5309">
    <cfRule type="duplicateValues" dxfId="0" priority="1648"/>
  </conditionalFormatting>
  <conditionalFormatting sqref="I5310:J5310">
    <cfRule type="duplicateValues" dxfId="0" priority="1647"/>
  </conditionalFormatting>
  <conditionalFormatting sqref="H5311:J5311">
    <cfRule type="duplicateValues" dxfId="0" priority="1646"/>
  </conditionalFormatting>
  <conditionalFormatting sqref="H5312:J5312">
    <cfRule type="duplicateValues" dxfId="0" priority="1645"/>
  </conditionalFormatting>
  <conditionalFormatting sqref="H5313:J5313">
    <cfRule type="duplicateValues" dxfId="0" priority="1644"/>
  </conditionalFormatting>
  <conditionalFormatting sqref="H5314:J5314">
    <cfRule type="duplicateValues" dxfId="0" priority="1643"/>
  </conditionalFormatting>
  <conditionalFormatting sqref="H5315:J5315">
    <cfRule type="duplicateValues" dxfId="0" priority="1642"/>
  </conditionalFormatting>
  <conditionalFormatting sqref="H5316:J5316">
    <cfRule type="duplicateValues" dxfId="0" priority="1641"/>
  </conditionalFormatting>
  <conditionalFormatting sqref="H5317:J5317">
    <cfRule type="duplicateValues" dxfId="0" priority="1640"/>
  </conditionalFormatting>
  <conditionalFormatting sqref="H5318:J5318">
    <cfRule type="duplicateValues" dxfId="0" priority="1639"/>
  </conditionalFormatting>
  <conditionalFormatting sqref="H5319:J5319">
    <cfRule type="duplicateValues" dxfId="0" priority="1638"/>
  </conditionalFormatting>
  <conditionalFormatting sqref="H5320:J5320">
    <cfRule type="duplicateValues" dxfId="0" priority="1637"/>
  </conditionalFormatting>
  <conditionalFormatting sqref="H5327">
    <cfRule type="duplicateValues" dxfId="0" priority="1587"/>
  </conditionalFormatting>
  <conditionalFormatting sqref="L5329">
    <cfRule type="duplicateValues" dxfId="0" priority="1627"/>
  </conditionalFormatting>
  <conditionalFormatting sqref="H5333">
    <cfRule type="duplicateValues" dxfId="0" priority="1274"/>
  </conditionalFormatting>
  <conditionalFormatting sqref="H5337:J5337">
    <cfRule type="duplicateValues" dxfId="0" priority="1632"/>
  </conditionalFormatting>
  <conditionalFormatting sqref="H5338:J5338">
    <cfRule type="duplicateValues" dxfId="0" priority="1630"/>
  </conditionalFormatting>
  <conditionalFormatting sqref="H5339:J5339">
    <cfRule type="duplicateValues" dxfId="0" priority="1629"/>
  </conditionalFormatting>
  <conditionalFormatting sqref="H5340:J5340">
    <cfRule type="duplicateValues" dxfId="0" priority="1623"/>
  </conditionalFormatting>
  <conditionalFormatting sqref="H5341:J5341">
    <cfRule type="duplicateValues" dxfId="0" priority="1622"/>
  </conditionalFormatting>
  <conditionalFormatting sqref="H5342:J5342">
    <cfRule type="duplicateValues" dxfId="0" priority="1621"/>
  </conditionalFormatting>
  <conditionalFormatting sqref="H5343:J5343">
    <cfRule type="duplicateValues" dxfId="0" priority="1620"/>
  </conditionalFormatting>
  <conditionalFormatting sqref="H5344:J5344">
    <cfRule type="duplicateValues" dxfId="0" priority="1619"/>
  </conditionalFormatting>
  <conditionalFormatting sqref="H5345:J5345">
    <cfRule type="duplicateValues" dxfId="0" priority="1618"/>
  </conditionalFormatting>
  <conditionalFormatting sqref="H5346:J5346">
    <cfRule type="duplicateValues" dxfId="0" priority="1617"/>
  </conditionalFormatting>
  <conditionalFormatting sqref="H5347:J5347">
    <cfRule type="duplicateValues" dxfId="0" priority="1616"/>
  </conditionalFormatting>
  <conditionalFormatting sqref="H5348:J5348">
    <cfRule type="duplicateValues" dxfId="0" priority="1615"/>
  </conditionalFormatting>
  <conditionalFormatting sqref="H5349:J5349">
    <cfRule type="duplicateValues" dxfId="0" priority="1614"/>
  </conditionalFormatting>
  <conditionalFormatting sqref="H5350:J5350">
    <cfRule type="duplicateValues" dxfId="0" priority="1613"/>
  </conditionalFormatting>
  <conditionalFormatting sqref="H5368">
    <cfRule type="duplicateValues" dxfId="0" priority="551"/>
  </conditionalFormatting>
  <conditionalFormatting sqref="H5369:J5369">
    <cfRule type="duplicateValues" dxfId="0" priority="1611"/>
  </conditionalFormatting>
  <conditionalFormatting sqref="H5370:J5370">
    <cfRule type="duplicateValues" dxfId="0" priority="1610"/>
  </conditionalFormatting>
  <conditionalFormatting sqref="H5371:J5371">
    <cfRule type="duplicateValues" dxfId="0" priority="1608"/>
  </conditionalFormatting>
  <conditionalFormatting sqref="H5372:J5372">
    <cfRule type="duplicateValues" dxfId="0" priority="1607"/>
  </conditionalFormatting>
  <conditionalFormatting sqref="H5373:J5373">
    <cfRule type="duplicateValues" dxfId="0" priority="1606"/>
  </conditionalFormatting>
  <conditionalFormatting sqref="H5374:J5374">
    <cfRule type="duplicateValues" dxfId="0" priority="1605"/>
  </conditionalFormatting>
  <conditionalFormatting sqref="H5375:J5375">
    <cfRule type="duplicateValues" dxfId="0" priority="1604"/>
  </conditionalFormatting>
  <conditionalFormatting sqref="H5376:J5376">
    <cfRule type="duplicateValues" dxfId="0" priority="1603"/>
  </conditionalFormatting>
  <conditionalFormatting sqref="H5377:J5377">
    <cfRule type="duplicateValues" dxfId="0" priority="1602"/>
  </conditionalFormatting>
  <conditionalFormatting sqref="H5379">
    <cfRule type="duplicateValues" dxfId="0" priority="1488"/>
  </conditionalFormatting>
  <conditionalFormatting sqref="H5380">
    <cfRule type="duplicateValues" dxfId="0" priority="1504"/>
  </conditionalFormatting>
  <conditionalFormatting sqref="H5381">
    <cfRule type="duplicateValues" dxfId="0" priority="510"/>
  </conditionalFormatting>
  <conditionalFormatting sqref="J5381">
    <cfRule type="duplicateValues" dxfId="0" priority="509"/>
  </conditionalFormatting>
  <conditionalFormatting sqref="H5382">
    <cfRule type="duplicateValues" dxfId="0" priority="1151"/>
  </conditionalFormatting>
  <conditionalFormatting sqref="H5383">
    <cfRule type="duplicateValues" dxfId="0" priority="1574"/>
  </conditionalFormatting>
  <conditionalFormatting sqref="H5390">
    <cfRule type="duplicateValues" dxfId="0" priority="1181"/>
  </conditionalFormatting>
  <conditionalFormatting sqref="H5393">
    <cfRule type="duplicateValues" dxfId="0" priority="327"/>
  </conditionalFormatting>
  <conditionalFormatting sqref="H5396">
    <cfRule type="duplicateValues" dxfId="0" priority="753"/>
  </conditionalFormatting>
  <conditionalFormatting sqref="H5415">
    <cfRule type="duplicateValues" dxfId="0" priority="1424"/>
  </conditionalFormatting>
  <conditionalFormatting sqref="H5416:J5416">
    <cfRule type="duplicateValues" dxfId="0" priority="1600"/>
  </conditionalFormatting>
  <conditionalFormatting sqref="H5417:J5417">
    <cfRule type="duplicateValues" dxfId="0" priority="1599"/>
  </conditionalFormatting>
  <conditionalFormatting sqref="H5418:J5418">
    <cfRule type="duplicateValues" dxfId="0" priority="1597"/>
  </conditionalFormatting>
  <conditionalFormatting sqref="H5419:J5419">
    <cfRule type="duplicateValues" dxfId="0" priority="1595"/>
  </conditionalFormatting>
  <conditionalFormatting sqref="H5420:J5420">
    <cfRule type="duplicateValues" dxfId="0" priority="1592"/>
  </conditionalFormatting>
  <conditionalFormatting sqref="H5421:J5421">
    <cfRule type="duplicateValues" dxfId="0" priority="1590"/>
  </conditionalFormatting>
  <conditionalFormatting sqref="H5422:J5422">
    <cfRule type="duplicateValues" dxfId="0" priority="1588"/>
  </conditionalFormatting>
  <conditionalFormatting sqref="H5423:J5423">
    <cfRule type="duplicateValues" dxfId="0" priority="1586"/>
  </conditionalFormatting>
  <conditionalFormatting sqref="H5424:J5424">
    <cfRule type="duplicateValues" dxfId="0" priority="1585"/>
  </conditionalFormatting>
  <conditionalFormatting sqref="H5425:J5425">
    <cfRule type="duplicateValues" dxfId="0" priority="1580"/>
  </conditionalFormatting>
  <conditionalFormatting sqref="H5426:J5426">
    <cfRule type="duplicateValues" dxfId="0" priority="1576"/>
  </conditionalFormatting>
  <conditionalFormatting sqref="H5427:J5427">
    <cfRule type="duplicateValues" dxfId="0" priority="1573"/>
  </conditionalFormatting>
  <conditionalFormatting sqref="H5428:J5428">
    <cfRule type="duplicateValues" dxfId="0" priority="1572"/>
  </conditionalFormatting>
  <conditionalFormatting sqref="H5429:J5429">
    <cfRule type="duplicateValues" dxfId="0" priority="1571"/>
  </conditionalFormatting>
  <conditionalFormatting sqref="H5430:J5430">
    <cfRule type="duplicateValues" dxfId="0" priority="1570"/>
  </conditionalFormatting>
  <conditionalFormatting sqref="H5431:J5431">
    <cfRule type="duplicateValues" dxfId="0" priority="1569"/>
  </conditionalFormatting>
  <conditionalFormatting sqref="H5432:J5432">
    <cfRule type="duplicateValues" dxfId="0" priority="1568"/>
  </conditionalFormatting>
  <conditionalFormatting sqref="H5433:J5433">
    <cfRule type="duplicateValues" dxfId="0" priority="1564"/>
  </conditionalFormatting>
  <conditionalFormatting sqref="H5434:J5434">
    <cfRule type="duplicateValues" dxfId="0" priority="1560"/>
  </conditionalFormatting>
  <conditionalFormatting sqref="H5435:J5435">
    <cfRule type="duplicateValues" dxfId="0" priority="1559"/>
  </conditionalFormatting>
  <conditionalFormatting sqref="H5436:J5436">
    <cfRule type="duplicateValues" dxfId="0" priority="1558"/>
  </conditionalFormatting>
  <conditionalFormatting sqref="H5437:J5437">
    <cfRule type="duplicateValues" dxfId="0" priority="1557"/>
  </conditionalFormatting>
  <conditionalFormatting sqref="H5438:J5438">
    <cfRule type="duplicateValues" dxfId="0" priority="1556"/>
  </conditionalFormatting>
  <conditionalFormatting sqref="H5439:J5439">
    <cfRule type="duplicateValues" dxfId="0" priority="1555"/>
  </conditionalFormatting>
  <conditionalFormatting sqref="H5440:J5440">
    <cfRule type="duplicateValues" dxfId="0" priority="1554"/>
  </conditionalFormatting>
  <conditionalFormatting sqref="H5441:J5441">
    <cfRule type="duplicateValues" dxfId="0" priority="1553"/>
  </conditionalFormatting>
  <conditionalFormatting sqref="H5442:J5442">
    <cfRule type="duplicateValues" dxfId="0" priority="1552"/>
  </conditionalFormatting>
  <conditionalFormatting sqref="H5443:J5443">
    <cfRule type="duplicateValues" dxfId="0" priority="1551"/>
  </conditionalFormatting>
  <conditionalFormatting sqref="H5444:J5444">
    <cfRule type="duplicateValues" dxfId="0" priority="1550"/>
  </conditionalFormatting>
  <conditionalFormatting sqref="H5445:J5445">
    <cfRule type="duplicateValues" dxfId="0" priority="1549"/>
  </conditionalFormatting>
  <conditionalFormatting sqref="H5446:J5446">
    <cfRule type="duplicateValues" dxfId="0" priority="1548"/>
  </conditionalFormatting>
  <conditionalFormatting sqref="H5447:J5447">
    <cfRule type="duplicateValues" dxfId="0" priority="1547"/>
  </conditionalFormatting>
  <conditionalFormatting sqref="H5448:J5448">
    <cfRule type="duplicateValues" dxfId="0" priority="1546"/>
  </conditionalFormatting>
  <conditionalFormatting sqref="H5449:J5449">
    <cfRule type="duplicateValues" dxfId="0" priority="1545"/>
  </conditionalFormatting>
  <conditionalFormatting sqref="H5450:J5450">
    <cfRule type="duplicateValues" dxfId="0" priority="1544"/>
  </conditionalFormatting>
  <conditionalFormatting sqref="H5451:J5451">
    <cfRule type="duplicateValues" dxfId="0" priority="1543"/>
  </conditionalFormatting>
  <conditionalFormatting sqref="H5452:J5452">
    <cfRule type="duplicateValues" dxfId="0" priority="1542"/>
  </conditionalFormatting>
  <conditionalFormatting sqref="H5453:J5453">
    <cfRule type="duplicateValues" dxfId="0" priority="1541"/>
  </conditionalFormatting>
  <conditionalFormatting sqref="H5454:J5454">
    <cfRule type="duplicateValues" dxfId="0" priority="1540"/>
  </conditionalFormatting>
  <conditionalFormatting sqref="H5455:J5455">
    <cfRule type="duplicateValues" dxfId="0" priority="1539"/>
  </conditionalFormatting>
  <conditionalFormatting sqref="H5456:J5456">
    <cfRule type="duplicateValues" dxfId="0" priority="1538"/>
  </conditionalFormatting>
  <conditionalFormatting sqref="H5457:J5457">
    <cfRule type="duplicateValues" dxfId="0" priority="1537"/>
  </conditionalFormatting>
  <conditionalFormatting sqref="H5458">
    <cfRule type="duplicateValues" dxfId="0" priority="948"/>
  </conditionalFormatting>
  <conditionalFormatting sqref="J5470">
    <cfRule type="duplicateValues" dxfId="0" priority="1529"/>
  </conditionalFormatting>
  <conditionalFormatting sqref="J5488">
    <cfRule type="duplicateValues" dxfId="0" priority="1497"/>
  </conditionalFormatting>
  <conditionalFormatting sqref="J5498">
    <cfRule type="duplicateValues" dxfId="0" priority="1503"/>
  </conditionalFormatting>
  <conditionalFormatting sqref="H5503">
    <cfRule type="duplicateValues" dxfId="0" priority="351"/>
  </conditionalFormatting>
  <conditionalFormatting sqref="H5506">
    <cfRule type="duplicateValues" dxfId="0" priority="1155"/>
  </conditionalFormatting>
  <conditionalFormatting sqref="J5506">
    <cfRule type="duplicateValues" dxfId="0" priority="1154"/>
  </conditionalFormatting>
  <conditionalFormatting sqref="H5519">
    <cfRule type="duplicateValues" dxfId="0" priority="533"/>
  </conditionalFormatting>
  <conditionalFormatting sqref="J5519">
    <cfRule type="duplicateValues" dxfId="0" priority="532"/>
  </conditionalFormatting>
  <conditionalFormatting sqref="I5521">
    <cfRule type="duplicateValues" dxfId="0" priority="1182"/>
  </conditionalFormatting>
  <conditionalFormatting sqref="H5523">
    <cfRule type="duplicateValues" dxfId="0" priority="662"/>
  </conditionalFormatting>
  <conditionalFormatting sqref="J5525">
    <cfRule type="duplicateValues" dxfId="0" priority="1397"/>
  </conditionalFormatting>
  <conditionalFormatting sqref="H5527">
    <cfRule type="duplicateValues" dxfId="0" priority="591"/>
  </conditionalFormatting>
  <conditionalFormatting sqref="H5544">
    <cfRule type="duplicateValues" dxfId="0" priority="979"/>
  </conditionalFormatting>
  <conditionalFormatting sqref="H5548">
    <cfRule type="duplicateValues" dxfId="0" priority="1479"/>
  </conditionalFormatting>
  <conditionalFormatting sqref="I5595">
    <cfRule type="duplicateValues" dxfId="0" priority="1346"/>
  </conditionalFormatting>
  <conditionalFormatting sqref="H5596">
    <cfRule type="duplicateValues" dxfId="0" priority="1347"/>
  </conditionalFormatting>
  <conditionalFormatting sqref="I5598">
    <cfRule type="duplicateValues" dxfId="0" priority="696"/>
  </conditionalFormatting>
  <conditionalFormatting sqref="H5599">
    <cfRule type="duplicateValues" dxfId="0" priority="1363"/>
  </conditionalFormatting>
  <conditionalFormatting sqref="I5608">
    <cfRule type="duplicateValues" dxfId="0" priority="412"/>
  </conditionalFormatting>
  <conditionalFormatting sqref="H5617">
    <cfRule type="duplicateValues" dxfId="0" priority="1399"/>
  </conditionalFormatting>
  <conditionalFormatting sqref="H5626:J5626">
    <cfRule type="duplicateValues" dxfId="0" priority="1530"/>
  </conditionalFormatting>
  <conditionalFormatting sqref="H5627:J5627">
    <cfRule type="duplicateValues" dxfId="0" priority="1528"/>
  </conditionalFormatting>
  <conditionalFormatting sqref="H5628:J5628">
    <cfRule type="duplicateValues" dxfId="0" priority="1527"/>
  </conditionalFormatting>
  <conditionalFormatting sqref="H5629:J5629">
    <cfRule type="duplicateValues" dxfId="0" priority="1526"/>
  </conditionalFormatting>
  <conditionalFormatting sqref="H5630:J5630">
    <cfRule type="duplicateValues" dxfId="0" priority="1524"/>
  </conditionalFormatting>
  <conditionalFormatting sqref="H5631:J5631">
    <cfRule type="duplicateValues" dxfId="0" priority="1523"/>
  </conditionalFormatting>
  <conditionalFormatting sqref="H5632:J5632">
    <cfRule type="duplicateValues" dxfId="0" priority="1522"/>
  </conditionalFormatting>
  <conditionalFormatting sqref="H5633:J5633">
    <cfRule type="duplicateValues" dxfId="0" priority="1521"/>
  </conditionalFormatting>
  <conditionalFormatting sqref="H5634:J5634">
    <cfRule type="duplicateValues" dxfId="0" priority="1514"/>
  </conditionalFormatting>
  <conditionalFormatting sqref="H5635:J5635">
    <cfRule type="duplicateValues" dxfId="0" priority="1513"/>
  </conditionalFormatting>
  <conditionalFormatting sqref="H5636:J5636">
    <cfRule type="duplicateValues" dxfId="0" priority="1510"/>
  </conditionalFormatting>
  <conditionalFormatting sqref="H5637:J5637">
    <cfRule type="duplicateValues" dxfId="0" priority="1508"/>
  </conditionalFormatting>
  <conditionalFormatting sqref="H5638:J5638">
    <cfRule type="duplicateValues" dxfId="0" priority="1507"/>
  </conditionalFormatting>
  <conditionalFormatting sqref="H5639:J5639">
    <cfRule type="duplicateValues" dxfId="0" priority="1502"/>
  </conditionalFormatting>
  <conditionalFormatting sqref="H5640:J5640">
    <cfRule type="duplicateValues" dxfId="0" priority="1496"/>
  </conditionalFormatting>
  <conditionalFormatting sqref="H5641:J5641">
    <cfRule type="duplicateValues" dxfId="0" priority="1495"/>
  </conditionalFormatting>
  <conditionalFormatting sqref="H5642:J5642">
    <cfRule type="duplicateValues" dxfId="0" priority="1490"/>
  </conditionalFormatting>
  <conditionalFormatting sqref="H5643:J5643">
    <cfRule type="duplicateValues" dxfId="0" priority="1489"/>
  </conditionalFormatting>
  <conditionalFormatting sqref="H5644:J5644">
    <cfRule type="duplicateValues" dxfId="0" priority="1485"/>
  </conditionalFormatting>
  <conditionalFormatting sqref="H5645:J5645">
    <cfRule type="duplicateValues" dxfId="0" priority="1484"/>
  </conditionalFormatting>
  <conditionalFormatting sqref="H5646:J5646">
    <cfRule type="duplicateValues" dxfId="0" priority="1483"/>
  </conditionalFormatting>
  <conditionalFormatting sqref="H5647:J5647">
    <cfRule type="duplicateValues" dxfId="0" priority="1478"/>
  </conditionalFormatting>
  <conditionalFormatting sqref="H5648:J5648">
    <cfRule type="duplicateValues" dxfId="0" priority="1477"/>
  </conditionalFormatting>
  <conditionalFormatting sqref="H5649:J5649">
    <cfRule type="duplicateValues" dxfId="0" priority="1476"/>
  </conditionalFormatting>
  <conditionalFormatting sqref="H5650:J5650">
    <cfRule type="duplicateValues" dxfId="0" priority="1474"/>
  </conditionalFormatting>
  <conditionalFormatting sqref="H5651:J5651">
    <cfRule type="duplicateValues" dxfId="0" priority="1473"/>
  </conditionalFormatting>
  <conditionalFormatting sqref="H5652:J5652">
    <cfRule type="duplicateValues" dxfId="0" priority="1472"/>
  </conditionalFormatting>
  <conditionalFormatting sqref="H5653:J5653">
    <cfRule type="duplicateValues" dxfId="0" priority="1471"/>
  </conditionalFormatting>
  <conditionalFormatting sqref="H5654:J5654">
    <cfRule type="duplicateValues" dxfId="0" priority="1470"/>
  </conditionalFormatting>
  <conditionalFormatting sqref="H5655:J5655">
    <cfRule type="duplicateValues" dxfId="0" priority="1469"/>
  </conditionalFormatting>
  <conditionalFormatting sqref="H5656:J5656">
    <cfRule type="duplicateValues" dxfId="0" priority="1468"/>
  </conditionalFormatting>
  <conditionalFormatting sqref="H5657:J5657">
    <cfRule type="duplicateValues" dxfId="0" priority="1467"/>
  </conditionalFormatting>
  <conditionalFormatting sqref="H5658:J5658">
    <cfRule type="duplicateValues" dxfId="0" priority="1466"/>
  </conditionalFormatting>
  <conditionalFormatting sqref="H5659:J5659">
    <cfRule type="duplicateValues" dxfId="0" priority="1465"/>
  </conditionalFormatting>
  <conditionalFormatting sqref="H5660:J5660">
    <cfRule type="duplicateValues" dxfId="0" priority="1464"/>
  </conditionalFormatting>
  <conditionalFormatting sqref="H5661:J5661">
    <cfRule type="duplicateValues" dxfId="0" priority="1463"/>
  </conditionalFormatting>
  <conditionalFormatting sqref="H5662:J5662">
    <cfRule type="duplicateValues" dxfId="0" priority="1462"/>
  </conditionalFormatting>
  <conditionalFormatting sqref="H5663:J5663">
    <cfRule type="duplicateValues" dxfId="0" priority="1461"/>
  </conditionalFormatting>
  <conditionalFormatting sqref="H5664:J5664">
    <cfRule type="duplicateValues" dxfId="0" priority="1460"/>
  </conditionalFormatting>
  <conditionalFormatting sqref="H5665:J5665">
    <cfRule type="duplicateValues" dxfId="0" priority="1459"/>
  </conditionalFormatting>
  <conditionalFormatting sqref="H5666:J5666">
    <cfRule type="duplicateValues" dxfId="0" priority="1458"/>
  </conditionalFormatting>
  <conditionalFormatting sqref="H5667:J5667">
    <cfRule type="duplicateValues" dxfId="0" priority="1457"/>
  </conditionalFormatting>
  <conditionalFormatting sqref="H5668:J5668">
    <cfRule type="duplicateValues" dxfId="0" priority="1456"/>
  </conditionalFormatting>
  <conditionalFormatting sqref="H5669:J5669">
    <cfRule type="duplicateValues" dxfId="0" priority="1455"/>
  </conditionalFormatting>
  <conditionalFormatting sqref="H5670:J5670">
    <cfRule type="duplicateValues" dxfId="0" priority="1454"/>
  </conditionalFormatting>
  <conditionalFormatting sqref="H5671:J5671">
    <cfRule type="duplicateValues" dxfId="0" priority="1453"/>
  </conditionalFormatting>
  <conditionalFormatting sqref="H5672:J5672">
    <cfRule type="duplicateValues" dxfId="0" priority="1452"/>
  </conditionalFormatting>
  <conditionalFormatting sqref="H5673:J5673">
    <cfRule type="duplicateValues" dxfId="0" priority="1451"/>
  </conditionalFormatting>
  <conditionalFormatting sqref="H5674:J5674">
    <cfRule type="duplicateValues" dxfId="0" priority="1450"/>
  </conditionalFormatting>
  <conditionalFormatting sqref="H5675:J5675">
    <cfRule type="duplicateValues" dxfId="0" priority="1449"/>
  </conditionalFormatting>
  <conditionalFormatting sqref="H5676:J5676">
    <cfRule type="duplicateValues" dxfId="0" priority="1448"/>
  </conditionalFormatting>
  <conditionalFormatting sqref="H5677:J5677">
    <cfRule type="duplicateValues" dxfId="0" priority="1447"/>
  </conditionalFormatting>
  <conditionalFormatting sqref="H5678:J5678">
    <cfRule type="duplicateValues" dxfId="0" priority="1446"/>
  </conditionalFormatting>
  <conditionalFormatting sqref="H5679:J5679">
    <cfRule type="duplicateValues" dxfId="0" priority="1445"/>
  </conditionalFormatting>
  <conditionalFormatting sqref="H5680:J5680">
    <cfRule type="duplicateValues" dxfId="0" priority="1444"/>
  </conditionalFormatting>
  <conditionalFormatting sqref="H5681:J5681">
    <cfRule type="duplicateValues" dxfId="0" priority="1443"/>
  </conditionalFormatting>
  <conditionalFormatting sqref="H5682:J5682">
    <cfRule type="duplicateValues" dxfId="0" priority="1442"/>
  </conditionalFormatting>
  <conditionalFormatting sqref="H5683:J5683">
    <cfRule type="duplicateValues" dxfId="0" priority="1441"/>
  </conditionalFormatting>
  <conditionalFormatting sqref="H5684:J5684">
    <cfRule type="duplicateValues" dxfId="0" priority="1440"/>
  </conditionalFormatting>
  <conditionalFormatting sqref="H5685:J5685">
    <cfRule type="duplicateValues" dxfId="0" priority="1439"/>
  </conditionalFormatting>
  <conditionalFormatting sqref="H5686:J5686">
    <cfRule type="duplicateValues" dxfId="0" priority="1438"/>
  </conditionalFormatting>
  <conditionalFormatting sqref="H5687:J5687">
    <cfRule type="duplicateValues" dxfId="0" priority="1437"/>
  </conditionalFormatting>
  <conditionalFormatting sqref="H5688:J5688">
    <cfRule type="duplicateValues" dxfId="0" priority="1436"/>
  </conditionalFormatting>
  <conditionalFormatting sqref="H5689:J5689">
    <cfRule type="duplicateValues" dxfId="0" priority="1435"/>
  </conditionalFormatting>
  <conditionalFormatting sqref="H5690:J5690">
    <cfRule type="duplicateValues" dxfId="0" priority="1434"/>
  </conditionalFormatting>
  <conditionalFormatting sqref="H5691:J5691">
    <cfRule type="duplicateValues" dxfId="0" priority="1433"/>
  </conditionalFormatting>
  <conditionalFormatting sqref="H5692:J5692">
    <cfRule type="duplicateValues" dxfId="0" priority="1432"/>
  </conditionalFormatting>
  <conditionalFormatting sqref="H5693:J5693">
    <cfRule type="duplicateValues" dxfId="0" priority="1431"/>
  </conditionalFormatting>
  <conditionalFormatting sqref="H5694:J5694">
    <cfRule type="duplicateValues" dxfId="0" priority="1430"/>
  </conditionalFormatting>
  <conditionalFormatting sqref="H5695:J5695">
    <cfRule type="duplicateValues" dxfId="0" priority="1429"/>
  </conditionalFormatting>
  <conditionalFormatting sqref="H5696:J5696">
    <cfRule type="duplicateValues" dxfId="0" priority="1428"/>
  </conditionalFormatting>
  <conditionalFormatting sqref="H5697:J5697">
    <cfRule type="duplicateValues" dxfId="0" priority="1427"/>
  </conditionalFormatting>
  <conditionalFormatting sqref="I5697">
    <cfRule type="duplicateValues" dxfId="1" priority="1426"/>
  </conditionalFormatting>
  <conditionalFormatting sqref="H5745">
    <cfRule type="duplicateValues" dxfId="0" priority="682"/>
  </conditionalFormatting>
  <conditionalFormatting sqref="H5746">
    <cfRule type="duplicateValues" dxfId="0" priority="1338"/>
  </conditionalFormatting>
  <conditionalFormatting sqref="H5748">
    <cfRule type="duplicateValues" dxfId="0" priority="936"/>
  </conditionalFormatting>
  <conditionalFormatting sqref="H5758">
    <cfRule type="duplicateValues" dxfId="0" priority="1370"/>
  </conditionalFormatting>
  <conditionalFormatting sqref="H5766">
    <cfRule type="duplicateValues" dxfId="0" priority="537"/>
  </conditionalFormatting>
  <conditionalFormatting sqref="H5771:J5771">
    <cfRule type="duplicateValues" dxfId="0" priority="1423"/>
  </conditionalFormatting>
  <conditionalFormatting sqref="H5772:J5772">
    <cfRule type="duplicateValues" dxfId="0" priority="1422"/>
  </conditionalFormatting>
  <conditionalFormatting sqref="H5773:J5773">
    <cfRule type="duplicateValues" dxfId="0" priority="1421"/>
  </conditionalFormatting>
  <conditionalFormatting sqref="H5774:J5774">
    <cfRule type="duplicateValues" dxfId="0" priority="1420"/>
  </conditionalFormatting>
  <conditionalFormatting sqref="H5775:J5775">
    <cfRule type="duplicateValues" dxfId="0" priority="1419"/>
  </conditionalFormatting>
  <conditionalFormatting sqref="H5776:J5776">
    <cfRule type="duplicateValues" dxfId="0" priority="1418"/>
  </conditionalFormatting>
  <conditionalFormatting sqref="H5777:J5777">
    <cfRule type="duplicateValues" dxfId="0" priority="1417"/>
  </conditionalFormatting>
  <conditionalFormatting sqref="I5794">
    <cfRule type="duplicateValues" dxfId="0" priority="947"/>
  </conditionalFormatting>
  <conditionalFormatting sqref="H5819">
    <cfRule type="duplicateValues" dxfId="0" priority="1377"/>
  </conditionalFormatting>
  <conditionalFormatting sqref="H5826">
    <cfRule type="duplicateValues" dxfId="0" priority="1235"/>
  </conditionalFormatting>
  <conditionalFormatting sqref="H5832">
    <cfRule type="duplicateValues" dxfId="0" priority="407"/>
  </conditionalFormatting>
  <conditionalFormatting sqref="H5841">
    <cfRule type="duplicateValues" dxfId="0" priority="1315"/>
  </conditionalFormatting>
  <conditionalFormatting sqref="H5844:J5844">
    <cfRule type="duplicateValues" dxfId="0" priority="1413"/>
  </conditionalFormatting>
  <conditionalFormatting sqref="H5845:J5845">
    <cfRule type="duplicateValues" dxfId="0" priority="1412"/>
  </conditionalFormatting>
  <conditionalFormatting sqref="H5846:J5846">
    <cfRule type="duplicateValues" dxfId="0" priority="1411"/>
  </conditionalFormatting>
  <conditionalFormatting sqref="H5847:J5847">
    <cfRule type="duplicateValues" dxfId="0" priority="1408"/>
  </conditionalFormatting>
  <conditionalFormatting sqref="H5848:J5848">
    <cfRule type="duplicateValues" dxfId="0" priority="1407"/>
  </conditionalFormatting>
  <conditionalFormatting sqref="H5849:J5849">
    <cfRule type="duplicateValues" dxfId="0" priority="1406"/>
  </conditionalFormatting>
  <conditionalFormatting sqref="H5850:J5850">
    <cfRule type="duplicateValues" dxfId="0" priority="1405"/>
  </conditionalFormatting>
  <conditionalFormatting sqref="H5851:J5851">
    <cfRule type="duplicateValues" dxfId="0" priority="1404"/>
  </conditionalFormatting>
  <conditionalFormatting sqref="H5852:J5852">
    <cfRule type="duplicateValues" dxfId="0" priority="1403"/>
  </conditionalFormatting>
  <conditionalFormatting sqref="H5853:J5853">
    <cfRule type="duplicateValues" dxfId="0" priority="1402"/>
  </conditionalFormatting>
  <conditionalFormatting sqref="H5854:J5854">
    <cfRule type="duplicateValues" dxfId="0" priority="1401"/>
  </conditionalFormatting>
  <conditionalFormatting sqref="H5866">
    <cfRule type="duplicateValues" dxfId="0" priority="483"/>
  </conditionalFormatting>
  <conditionalFormatting sqref="L5870">
    <cfRule type="duplicateValues" dxfId="0" priority="915"/>
  </conditionalFormatting>
  <conditionalFormatting sqref="H5883">
    <cfRule type="duplicateValues" dxfId="0" priority="1378"/>
  </conditionalFormatting>
  <conditionalFormatting sqref="H5894">
    <cfRule type="duplicateValues" dxfId="0" priority="780"/>
  </conditionalFormatting>
  <conditionalFormatting sqref="I5903">
    <cfRule type="duplicateValues" dxfId="0" priority="785"/>
  </conditionalFormatting>
  <conditionalFormatting sqref="H5908">
    <cfRule type="duplicateValues" dxfId="0" priority="1059"/>
  </conditionalFormatting>
  <conditionalFormatting sqref="I5913">
    <cfRule type="duplicateValues" dxfId="0" priority="1117"/>
  </conditionalFormatting>
  <conditionalFormatting sqref="H5914:J5914">
    <cfRule type="duplicateValues" dxfId="0" priority="1398"/>
  </conditionalFormatting>
  <conditionalFormatting sqref="H5915">
    <cfRule type="duplicateValues" dxfId="0" priority="949"/>
  </conditionalFormatting>
  <conditionalFormatting sqref="I5915:J5915">
    <cfRule type="duplicateValues" dxfId="0" priority="1396"/>
  </conditionalFormatting>
  <conditionalFormatting sqref="H5916:J5916">
    <cfRule type="duplicateValues" dxfId="0" priority="1395"/>
  </conditionalFormatting>
  <conditionalFormatting sqref="H5917:J5917">
    <cfRule type="duplicateValues" dxfId="0" priority="1394"/>
  </conditionalFormatting>
  <conditionalFormatting sqref="H5918:J5918">
    <cfRule type="duplicateValues" dxfId="0" priority="1393"/>
  </conditionalFormatting>
  <conditionalFormatting sqref="H5919:J5919">
    <cfRule type="duplicateValues" dxfId="0" priority="1391"/>
  </conditionalFormatting>
  <conditionalFormatting sqref="H5920:J5920">
    <cfRule type="duplicateValues" dxfId="0" priority="1390"/>
  </conditionalFormatting>
  <conditionalFormatting sqref="H5921:J5921">
    <cfRule type="duplicateValues" dxfId="0" priority="1389"/>
  </conditionalFormatting>
  <conditionalFormatting sqref="H5922:J5922">
    <cfRule type="duplicateValues" dxfId="0" priority="1388"/>
  </conditionalFormatting>
  <conditionalFormatting sqref="H5923:J5923">
    <cfRule type="duplicateValues" dxfId="0" priority="1387"/>
  </conditionalFormatting>
  <conditionalFormatting sqref="H5924:J5924">
    <cfRule type="duplicateValues" dxfId="0" priority="1386"/>
  </conditionalFormatting>
  <conditionalFormatting sqref="H5925:J5925">
    <cfRule type="duplicateValues" dxfId="0" priority="1385"/>
  </conditionalFormatting>
  <conditionalFormatting sqref="H5926:J5926">
    <cfRule type="duplicateValues" dxfId="0" priority="1384"/>
  </conditionalFormatting>
  <conditionalFormatting sqref="H5927:J5927">
    <cfRule type="duplicateValues" dxfId="0" priority="1383"/>
  </conditionalFormatting>
  <conditionalFormatting sqref="H5928:J5928">
    <cfRule type="duplicateValues" dxfId="0" priority="1382"/>
  </conditionalFormatting>
  <conditionalFormatting sqref="H5929:J5929">
    <cfRule type="duplicateValues" dxfId="0" priority="1381"/>
  </conditionalFormatting>
  <conditionalFormatting sqref="J5934">
    <cfRule type="duplicateValues" dxfId="0" priority="1343"/>
  </conditionalFormatting>
  <conditionalFormatting sqref="H5943">
    <cfRule type="duplicateValues" dxfId="4" priority="202"/>
    <cfRule type="duplicateValues" dxfId="0" priority="203"/>
  </conditionalFormatting>
  <conditionalFormatting sqref="H5949">
    <cfRule type="duplicateValues" dxfId="0" priority="962"/>
  </conditionalFormatting>
  <conditionalFormatting sqref="H5957">
    <cfRule type="duplicateValues" dxfId="0" priority="448"/>
  </conditionalFormatting>
  <conditionalFormatting sqref="H5967">
    <cfRule type="duplicateValues" dxfId="0" priority="1011"/>
  </conditionalFormatting>
  <conditionalFormatting sqref="H5996">
    <cfRule type="duplicateValues" dxfId="0" priority="1149"/>
  </conditionalFormatting>
  <conditionalFormatting sqref="H5997">
    <cfRule type="duplicateValues" dxfId="0" priority="904"/>
  </conditionalFormatting>
  <conditionalFormatting sqref="H6008">
    <cfRule type="duplicateValues" dxfId="0" priority="695"/>
  </conditionalFormatting>
  <conditionalFormatting sqref="H6010">
    <cfRule type="duplicateValues" dxfId="0" priority="878"/>
  </conditionalFormatting>
  <conditionalFormatting sqref="H6012">
    <cfRule type="duplicateValues" dxfId="0" priority="384"/>
  </conditionalFormatting>
  <conditionalFormatting sqref="H6024">
    <cfRule type="duplicateValues" dxfId="0" priority="1355"/>
  </conditionalFormatting>
  <conditionalFormatting sqref="J6028">
    <cfRule type="duplicateValues" dxfId="0" priority="1341"/>
  </conditionalFormatting>
  <conditionalFormatting sqref="H6029">
    <cfRule type="duplicateValues" dxfId="0" priority="604"/>
  </conditionalFormatting>
  <conditionalFormatting sqref="H6035">
    <cfRule type="duplicateValues" dxfId="0" priority="1336"/>
  </conditionalFormatting>
  <conditionalFormatting sqref="H6041:J6041">
    <cfRule type="duplicateValues" dxfId="0" priority="1379"/>
  </conditionalFormatting>
  <conditionalFormatting sqref="H6043:J6043">
    <cfRule type="duplicateValues" dxfId="0" priority="1376"/>
  </conditionalFormatting>
  <conditionalFormatting sqref="H6044:J6044">
    <cfRule type="duplicateValues" dxfId="0" priority="1375"/>
  </conditionalFormatting>
  <conditionalFormatting sqref="H6045:J6045">
    <cfRule type="duplicateValues" dxfId="0" priority="1374"/>
  </conditionalFormatting>
  <conditionalFormatting sqref="H6046:J6046">
    <cfRule type="duplicateValues" dxfId="0" priority="1373"/>
  </conditionalFormatting>
  <conditionalFormatting sqref="H6047:J6047">
    <cfRule type="duplicateValues" dxfId="0" priority="1372"/>
  </conditionalFormatting>
  <conditionalFormatting sqref="H6048:J6048">
    <cfRule type="duplicateValues" dxfId="0" priority="1371"/>
  </conditionalFormatting>
  <conditionalFormatting sqref="H6049:J6049">
    <cfRule type="duplicateValues" dxfId="0" priority="1369"/>
  </conditionalFormatting>
  <conditionalFormatting sqref="H6050:J6050">
    <cfRule type="duplicateValues" dxfId="0" priority="1368"/>
  </conditionalFormatting>
  <conditionalFormatting sqref="H6051:J6051">
    <cfRule type="duplicateValues" dxfId="0" priority="1367"/>
  </conditionalFormatting>
  <conditionalFormatting sqref="H6052:J6052">
    <cfRule type="duplicateValues" dxfId="0" priority="1366"/>
  </conditionalFormatting>
  <conditionalFormatting sqref="H6053:J6053">
    <cfRule type="duplicateValues" dxfId="0" priority="1365"/>
  </conditionalFormatting>
  <conditionalFormatting sqref="H6054:J6054">
    <cfRule type="duplicateValues" dxfId="0" priority="1364"/>
  </conditionalFormatting>
  <conditionalFormatting sqref="H6055:J6055">
    <cfRule type="duplicateValues" dxfId="0" priority="1361"/>
  </conditionalFormatting>
  <conditionalFormatting sqref="H6056:J6056">
    <cfRule type="duplicateValues" dxfId="0" priority="1360"/>
  </conditionalFormatting>
  <conditionalFormatting sqref="H6057:J6057">
    <cfRule type="duplicateValues" dxfId="0" priority="1359"/>
  </conditionalFormatting>
  <conditionalFormatting sqref="H6058:J6058">
    <cfRule type="duplicateValues" dxfId="0" priority="1357"/>
  </conditionalFormatting>
  <conditionalFormatting sqref="H6059:J6059">
    <cfRule type="duplicateValues" dxfId="0" priority="1356"/>
  </conditionalFormatting>
  <conditionalFormatting sqref="H6060:J6060">
    <cfRule type="duplicateValues" dxfId="0" priority="1354"/>
  </conditionalFormatting>
  <conditionalFormatting sqref="H6061:J6061">
    <cfRule type="duplicateValues" dxfId="0" priority="1353"/>
  </conditionalFormatting>
  <conditionalFormatting sqref="H6062:J6062">
    <cfRule type="duplicateValues" dxfId="0" priority="1352"/>
  </conditionalFormatting>
  <conditionalFormatting sqref="H6063:J6063">
    <cfRule type="duplicateValues" dxfId="0" priority="1351"/>
  </conditionalFormatting>
  <conditionalFormatting sqref="H6064:J6064">
    <cfRule type="duplicateValues" dxfId="0" priority="1349"/>
  </conditionalFormatting>
  <conditionalFormatting sqref="H6065:J6065">
    <cfRule type="duplicateValues" dxfId="0" priority="1348"/>
  </conditionalFormatting>
  <conditionalFormatting sqref="H6066:J6066">
    <cfRule type="duplicateValues" dxfId="0" priority="1345"/>
  </conditionalFormatting>
  <conditionalFormatting sqref="H6067:J6067">
    <cfRule type="duplicateValues" dxfId="0" priority="1344"/>
  </conditionalFormatting>
  <conditionalFormatting sqref="H6068:J6068">
    <cfRule type="duplicateValues" dxfId="0" priority="1342"/>
  </conditionalFormatting>
  <conditionalFormatting sqref="H6069:J6069">
    <cfRule type="duplicateValues" dxfId="0" priority="1337"/>
  </conditionalFormatting>
  <conditionalFormatting sqref="H6070:J6070">
    <cfRule type="duplicateValues" dxfId="0" priority="1335"/>
  </conditionalFormatting>
  <conditionalFormatting sqref="H6071:J6071">
    <cfRule type="duplicateValues" dxfId="0" priority="1334"/>
  </conditionalFormatting>
  <conditionalFormatting sqref="H6072:J6072">
    <cfRule type="duplicateValues" dxfId="0" priority="1333"/>
  </conditionalFormatting>
  <conditionalFormatting sqref="H6073:J6073">
    <cfRule type="duplicateValues" dxfId="0" priority="1332"/>
  </conditionalFormatting>
  <conditionalFormatting sqref="H6074:J6074">
    <cfRule type="duplicateValues" dxfId="0" priority="1331"/>
  </conditionalFormatting>
  <conditionalFormatting sqref="H6075:J6075">
    <cfRule type="duplicateValues" dxfId="0" priority="1330"/>
  </conditionalFormatting>
  <conditionalFormatting sqref="H6076:J6076">
    <cfRule type="duplicateValues" dxfId="0" priority="1329"/>
  </conditionalFormatting>
  <conditionalFormatting sqref="H6077:J6077">
    <cfRule type="duplicateValues" dxfId="0" priority="1328"/>
  </conditionalFormatting>
  <conditionalFormatting sqref="H6078:J6078">
    <cfRule type="duplicateValues" dxfId="0" priority="1327"/>
  </conditionalFormatting>
  <conditionalFormatting sqref="H6079:J6079">
    <cfRule type="duplicateValues" dxfId="0" priority="1326"/>
  </conditionalFormatting>
  <conditionalFormatting sqref="H6080:J6080">
    <cfRule type="duplicateValues" dxfId="0" priority="1325"/>
  </conditionalFormatting>
  <conditionalFormatting sqref="H6081:J6081">
    <cfRule type="duplicateValues" dxfId="0" priority="1324"/>
  </conditionalFormatting>
  <conditionalFormatting sqref="H6082:J6082">
    <cfRule type="duplicateValues" dxfId="0" priority="1323"/>
  </conditionalFormatting>
  <conditionalFormatting sqref="H6083:J6083">
    <cfRule type="duplicateValues" dxfId="0" priority="1322"/>
  </conditionalFormatting>
  <conditionalFormatting sqref="H6091:J6091">
    <cfRule type="duplicateValues" dxfId="0" priority="1320"/>
  </conditionalFormatting>
  <conditionalFormatting sqref="I6098">
    <cfRule type="duplicateValues" dxfId="0" priority="406"/>
  </conditionalFormatting>
  <conditionalFormatting sqref="H6099">
    <cfRule type="duplicateValues" dxfId="0" priority="1299"/>
  </conditionalFormatting>
  <conditionalFormatting sqref="H6104">
    <cfRule type="duplicateValues" dxfId="0" priority="310"/>
  </conditionalFormatting>
  <conditionalFormatting sqref="H6111:I6111">
    <cfRule type="duplicateValues" dxfId="0" priority="1317"/>
  </conditionalFormatting>
  <conditionalFormatting sqref="H6112">
    <cfRule type="duplicateValues" dxfId="0" priority="1229"/>
  </conditionalFormatting>
  <conditionalFormatting sqref="H6115:J6115">
    <cfRule type="duplicateValues" dxfId="0" priority="1316"/>
  </conditionalFormatting>
  <conditionalFormatting sqref="H6116:J6116">
    <cfRule type="duplicateValues" dxfId="0" priority="1314"/>
  </conditionalFormatting>
  <conditionalFormatting sqref="H6117:J6117">
    <cfRule type="duplicateValues" dxfId="0" priority="1313"/>
  </conditionalFormatting>
  <conditionalFormatting sqref="H6118:J6118">
    <cfRule type="duplicateValues" dxfId="0" priority="1312"/>
  </conditionalFormatting>
  <conditionalFormatting sqref="H6119:I6119">
    <cfRule type="duplicateValues" dxfId="0" priority="1311"/>
  </conditionalFormatting>
  <conditionalFormatting sqref="J6119">
    <cfRule type="duplicateValues" dxfId="0" priority="1310"/>
  </conditionalFormatting>
  <conditionalFormatting sqref="H6120:J6120">
    <cfRule type="duplicateValues" dxfId="0" priority="1309"/>
  </conditionalFormatting>
  <conditionalFormatting sqref="H6121:J6121">
    <cfRule type="duplicateValues" dxfId="0" priority="1308"/>
  </conditionalFormatting>
  <conditionalFormatting sqref="H6122:J6122">
    <cfRule type="duplicateValues" dxfId="0" priority="1307"/>
  </conditionalFormatting>
  <conditionalFormatting sqref="H6123:J6123">
    <cfRule type="duplicateValues" dxfId="0" priority="1306"/>
  </conditionalFormatting>
  <conditionalFormatting sqref="H6124:J6124">
    <cfRule type="duplicateValues" dxfId="0" priority="1305"/>
  </conditionalFormatting>
  <conditionalFormatting sqref="H6125:J6125">
    <cfRule type="duplicateValues" dxfId="0" priority="1303"/>
  </conditionalFormatting>
  <conditionalFormatting sqref="H6126:J6126">
    <cfRule type="duplicateValues" dxfId="0" priority="1302"/>
  </conditionalFormatting>
  <conditionalFormatting sqref="H6127:J6127">
    <cfRule type="duplicateValues" dxfId="0" priority="1301"/>
  </conditionalFormatting>
  <conditionalFormatting sqref="H6128:J6128">
    <cfRule type="duplicateValues" dxfId="0" priority="1298"/>
  </conditionalFormatting>
  <conditionalFormatting sqref="H6129:J6129">
    <cfRule type="duplicateValues" dxfId="0" priority="1297"/>
  </conditionalFormatting>
  <conditionalFormatting sqref="H6130:J6130">
    <cfRule type="duplicateValues" dxfId="0" priority="1296"/>
  </conditionalFormatting>
  <conditionalFormatting sqref="H6131:J6131">
    <cfRule type="duplicateValues" dxfId="0" priority="1295"/>
  </conditionalFormatting>
  <conditionalFormatting sqref="H6132:J6132">
    <cfRule type="duplicateValues" dxfId="0" priority="1294"/>
  </conditionalFormatting>
  <conditionalFormatting sqref="H6133:J6133">
    <cfRule type="duplicateValues" dxfId="0" priority="1293"/>
  </conditionalFormatting>
  <conditionalFormatting sqref="H6134">
    <cfRule type="duplicateValues" dxfId="0" priority="1290"/>
  </conditionalFormatting>
  <conditionalFormatting sqref="I6134:J6134">
    <cfRule type="duplicateValues" dxfId="0" priority="1291"/>
  </conditionalFormatting>
  <conditionalFormatting sqref="H6135:J6135">
    <cfRule type="duplicateValues" dxfId="0" priority="1289"/>
  </conditionalFormatting>
  <conditionalFormatting sqref="H6136:J6136">
    <cfRule type="duplicateValues" dxfId="0" priority="1288"/>
  </conditionalFormatting>
  <conditionalFormatting sqref="H6137:J6137">
    <cfRule type="duplicateValues" dxfId="0" priority="1287"/>
  </conditionalFormatting>
  <conditionalFormatting sqref="H6138:J6138">
    <cfRule type="duplicateValues" dxfId="0" priority="1286"/>
  </conditionalFormatting>
  <conditionalFormatting sqref="H6139:J6139">
    <cfRule type="duplicateValues" dxfId="0" priority="1285"/>
  </conditionalFormatting>
  <conditionalFormatting sqref="H6140">
    <cfRule type="duplicateValues" dxfId="0" priority="1284"/>
  </conditionalFormatting>
  <conditionalFormatting sqref="I6140:J6140">
    <cfRule type="duplicateValues" dxfId="0" priority="1283"/>
  </conditionalFormatting>
  <conditionalFormatting sqref="H6141">
    <cfRule type="duplicateValues" dxfId="0" priority="1282"/>
  </conditionalFormatting>
  <conditionalFormatting sqref="I6141:J6141">
    <cfRule type="duplicateValues" dxfId="0" priority="1281"/>
  </conditionalFormatting>
  <conditionalFormatting sqref="H6142:J6142">
    <cfRule type="duplicateValues" dxfId="0" priority="1280"/>
  </conditionalFormatting>
  <conditionalFormatting sqref="H6143:J6143">
    <cfRule type="duplicateValues" dxfId="0" priority="1279"/>
  </conditionalFormatting>
  <conditionalFormatting sqref="H6144:J6144">
    <cfRule type="duplicateValues" dxfId="0" priority="1278"/>
  </conditionalFormatting>
  <conditionalFormatting sqref="H6156:J6156">
    <cfRule type="duplicateValues" dxfId="0" priority="1275"/>
  </conditionalFormatting>
  <conditionalFormatting sqref="H6157:J6157">
    <cfRule type="duplicateValues" dxfId="0" priority="1271"/>
  </conditionalFormatting>
  <conditionalFormatting sqref="H6158:J6158">
    <cfRule type="duplicateValues" dxfId="0" priority="1270"/>
  </conditionalFormatting>
  <conditionalFormatting sqref="H6159:J6159">
    <cfRule type="duplicateValues" dxfId="0" priority="1269"/>
  </conditionalFormatting>
  <conditionalFormatting sqref="H6160:J6160">
    <cfRule type="duplicateValues" dxfId="0" priority="1268"/>
  </conditionalFormatting>
  <conditionalFormatting sqref="H6161:J6161">
    <cfRule type="duplicateValues" dxfId="0" priority="1267"/>
  </conditionalFormatting>
  <conditionalFormatting sqref="H6162:J6162">
    <cfRule type="duplicateValues" dxfId="0" priority="1266"/>
  </conditionalFormatting>
  <conditionalFormatting sqref="H6163:J6163">
    <cfRule type="duplicateValues" dxfId="0" priority="1265"/>
  </conditionalFormatting>
  <conditionalFormatting sqref="H6164:J6164">
    <cfRule type="duplicateValues" dxfId="0" priority="1264"/>
  </conditionalFormatting>
  <conditionalFormatting sqref="H6165:J6165">
    <cfRule type="duplicateValues" dxfId="0" priority="1263"/>
  </conditionalFormatting>
  <conditionalFormatting sqref="H6166:J6166">
    <cfRule type="duplicateValues" dxfId="0" priority="1262"/>
  </conditionalFormatting>
  <conditionalFormatting sqref="H6167:J6167">
    <cfRule type="duplicateValues" dxfId="0" priority="1260"/>
  </conditionalFormatting>
  <conditionalFormatting sqref="H6168:J6168">
    <cfRule type="duplicateValues" dxfId="0" priority="1259"/>
  </conditionalFormatting>
  <conditionalFormatting sqref="H6169:J6169">
    <cfRule type="duplicateValues" dxfId="0" priority="1258"/>
  </conditionalFormatting>
  <conditionalFormatting sqref="H6170:J6170">
    <cfRule type="duplicateValues" dxfId="0" priority="1257"/>
  </conditionalFormatting>
  <conditionalFormatting sqref="H6171:J6171">
    <cfRule type="duplicateValues" dxfId="0" priority="1256"/>
  </conditionalFormatting>
  <conditionalFormatting sqref="H6172:J6172">
    <cfRule type="duplicateValues" dxfId="0" priority="1255"/>
  </conditionalFormatting>
  <conditionalFormatting sqref="H6173:J6173">
    <cfRule type="duplicateValues" dxfId="0" priority="1254"/>
  </conditionalFormatting>
  <conditionalFormatting sqref="H6174:J6174">
    <cfRule type="duplicateValues" dxfId="0" priority="1253"/>
  </conditionalFormatting>
  <conditionalFormatting sqref="H6177">
    <cfRule type="duplicateValues" dxfId="0" priority="966"/>
  </conditionalFormatting>
  <conditionalFormatting sqref="H6179">
    <cfRule type="duplicateValues" dxfId="0" priority="1249"/>
  </conditionalFormatting>
  <conditionalFormatting sqref="H6180">
    <cfRule type="duplicateValues" dxfId="0" priority="906"/>
  </conditionalFormatting>
  <conditionalFormatting sqref="H6181">
    <cfRule type="duplicateValues" dxfId="0" priority="355"/>
  </conditionalFormatting>
  <conditionalFormatting sqref="H6185:J6185">
    <cfRule type="duplicateValues" dxfId="0" priority="1250"/>
  </conditionalFormatting>
  <conditionalFormatting sqref="H6186:J6186">
    <cfRule type="duplicateValues" dxfId="0" priority="1248"/>
  </conditionalFormatting>
  <conditionalFormatting sqref="H6187:J6187">
    <cfRule type="duplicateValues" dxfId="0" priority="1247"/>
  </conditionalFormatting>
  <conditionalFormatting sqref="H6188:J6188">
    <cfRule type="duplicateValues" dxfId="0" priority="1246"/>
  </conditionalFormatting>
  <conditionalFormatting sqref="H6189:J6189">
    <cfRule type="duplicateValues" dxfId="0" priority="1245"/>
  </conditionalFormatting>
  <conditionalFormatting sqref="H6190:J6190">
    <cfRule type="duplicateValues" dxfId="0" priority="1244"/>
  </conditionalFormatting>
  <conditionalFormatting sqref="H6191:J6191">
    <cfRule type="duplicateValues" dxfId="0" priority="1243"/>
  </conditionalFormatting>
  <conditionalFormatting sqref="H6192:J6192">
    <cfRule type="duplicateValues" dxfId="0" priority="1242"/>
  </conditionalFormatting>
  <conditionalFormatting sqref="H6204">
    <cfRule type="duplicateValues" dxfId="0" priority="916"/>
  </conditionalFormatting>
  <conditionalFormatting sqref="H6206">
    <cfRule type="duplicateValues" dxfId="0" priority="452"/>
  </conditionalFormatting>
  <conditionalFormatting sqref="H6208">
    <cfRule type="duplicateValues" dxfId="0" priority="1220"/>
  </conditionalFormatting>
  <conditionalFormatting sqref="H6209">
    <cfRule type="duplicateValues" dxfId="0" priority="1239"/>
  </conditionalFormatting>
  <conditionalFormatting sqref="H6210">
    <cfRule type="duplicateValues" dxfId="0" priority="1238"/>
  </conditionalFormatting>
  <conditionalFormatting sqref="H6221">
    <cfRule type="duplicateValues" dxfId="4" priority="200"/>
    <cfRule type="duplicateValues" dxfId="0" priority="201"/>
  </conditionalFormatting>
  <conditionalFormatting sqref="H6227">
    <cfRule type="duplicateValues" dxfId="0" priority="1237"/>
  </conditionalFormatting>
  <conditionalFormatting sqref="H6229">
    <cfRule type="duplicateValues" dxfId="0" priority="1236"/>
  </conditionalFormatting>
  <conditionalFormatting sqref="H6237:J6237">
    <cfRule type="duplicateValues" dxfId="0" priority="1233"/>
  </conditionalFormatting>
  <conditionalFormatting sqref="H6238:J6238">
    <cfRule type="duplicateValues" dxfId="0" priority="1232"/>
  </conditionalFormatting>
  <conditionalFormatting sqref="H6252:J6252">
    <cfRule type="duplicateValues" dxfId="0" priority="1225"/>
  </conditionalFormatting>
  <conditionalFormatting sqref="H6258">
    <cfRule type="duplicateValues" dxfId="0" priority="868"/>
  </conditionalFormatting>
  <conditionalFormatting sqref="H6272">
    <cfRule type="duplicateValues" dxfId="0" priority="1205"/>
  </conditionalFormatting>
  <conditionalFormatting sqref="H6275">
    <cfRule type="duplicateValues" dxfId="0" priority="427"/>
  </conditionalFormatting>
  <conditionalFormatting sqref="H6279">
    <cfRule type="duplicateValues" dxfId="0" priority="1209"/>
  </conditionalFormatting>
  <conditionalFormatting sqref="H6282:J6282">
    <cfRule type="duplicateValues" dxfId="0" priority="1223"/>
  </conditionalFormatting>
  <conditionalFormatting sqref="H6283:J6283">
    <cfRule type="duplicateValues" dxfId="0" priority="1221"/>
  </conditionalFormatting>
  <conditionalFormatting sqref="H6284:J6284">
    <cfRule type="duplicateValues" dxfId="0" priority="1219"/>
  </conditionalFormatting>
  <conditionalFormatting sqref="H6285:J6285">
    <cfRule type="duplicateValues" dxfId="0" priority="1218"/>
  </conditionalFormatting>
  <conditionalFormatting sqref="H6286:J6286">
    <cfRule type="duplicateValues" dxfId="0" priority="1217"/>
  </conditionalFormatting>
  <conditionalFormatting sqref="H6311:J6311">
    <cfRule type="duplicateValues" dxfId="0" priority="1213"/>
  </conditionalFormatting>
  <conditionalFormatting sqref="J6314">
    <cfRule type="duplicateValues" dxfId="0" priority="139"/>
  </conditionalFormatting>
  <conditionalFormatting sqref="H6315">
    <cfRule type="duplicateValues" dxfId="0" priority="117"/>
  </conditionalFormatting>
  <conditionalFormatting sqref="H6316">
    <cfRule type="duplicateValues" dxfId="0" priority="1157"/>
  </conditionalFormatting>
  <conditionalFormatting sqref="H6321">
    <cfRule type="duplicateValues" dxfId="0" priority="1212"/>
  </conditionalFormatting>
  <conditionalFormatting sqref="H6322">
    <cfRule type="duplicateValues" dxfId="0" priority="1118"/>
  </conditionalFormatting>
  <conditionalFormatting sqref="H6327:J6327">
    <cfRule type="duplicateValues" dxfId="0" priority="1210"/>
  </conditionalFormatting>
  <conditionalFormatting sqref="H6328:J6328">
    <cfRule type="duplicateValues" dxfId="0" priority="1208"/>
  </conditionalFormatting>
  <conditionalFormatting sqref="H6329:J6329">
    <cfRule type="duplicateValues" dxfId="0" priority="1207"/>
  </conditionalFormatting>
  <conditionalFormatting sqref="H6330:J6330">
    <cfRule type="duplicateValues" dxfId="0" priority="1206"/>
  </conditionalFormatting>
  <conditionalFormatting sqref="H6331:J6331">
    <cfRule type="duplicateValues" dxfId="0" priority="1204"/>
  </conditionalFormatting>
  <conditionalFormatting sqref="H6337:J6337">
    <cfRule type="duplicateValues" dxfId="0" priority="1201"/>
  </conditionalFormatting>
  <conditionalFormatting sqref="H6342:J6342">
    <cfRule type="duplicateValues" dxfId="0" priority="1199"/>
  </conditionalFormatting>
  <conditionalFormatting sqref="H6357">
    <cfRule type="duplicateValues" dxfId="0" priority="1025"/>
  </conditionalFormatting>
  <conditionalFormatting sqref="H6366:J6366">
    <cfRule type="duplicateValues" dxfId="0" priority="1197"/>
  </conditionalFormatting>
  <conditionalFormatting sqref="H6367:J6367">
    <cfRule type="duplicateValues" dxfId="0" priority="1196"/>
  </conditionalFormatting>
  <conditionalFormatting sqref="H6368:J6368">
    <cfRule type="duplicateValues" dxfId="0" priority="1195"/>
  </conditionalFormatting>
  <conditionalFormatting sqref="H6369:J6369">
    <cfRule type="duplicateValues" dxfId="0" priority="1194"/>
  </conditionalFormatting>
  <conditionalFormatting sqref="H6370:J6370">
    <cfRule type="duplicateValues" dxfId="0" priority="1193"/>
  </conditionalFormatting>
  <conditionalFormatting sqref="H6371:J6371">
    <cfRule type="duplicateValues" dxfId="0" priority="1190"/>
  </conditionalFormatting>
  <conditionalFormatting sqref="H6386:J6386">
    <cfRule type="duplicateValues" dxfId="0" priority="1186"/>
  </conditionalFormatting>
  <conditionalFormatting sqref="I6388">
    <cfRule type="duplicateValues" dxfId="0" priority="1024"/>
  </conditionalFormatting>
  <conditionalFormatting sqref="J6392">
    <cfRule type="duplicateValues" dxfId="0" priority="714"/>
  </conditionalFormatting>
  <conditionalFormatting sqref="H6394:J6394">
    <cfRule type="duplicateValues" dxfId="0" priority="1185"/>
  </conditionalFormatting>
  <conditionalFormatting sqref="H6395:J6395">
    <cfRule type="duplicateValues" dxfId="0" priority="1184"/>
  </conditionalFormatting>
  <conditionalFormatting sqref="H6396:J6396">
    <cfRule type="duplicateValues" dxfId="0" priority="1183"/>
  </conditionalFormatting>
  <conditionalFormatting sqref="H6397:J6397">
    <cfRule type="duplicateValues" dxfId="0" priority="1180"/>
  </conditionalFormatting>
  <conditionalFormatting sqref="H6398:J6398">
    <cfRule type="duplicateValues" dxfId="0" priority="1179"/>
  </conditionalFormatting>
  <conditionalFormatting sqref="H6399:J6399">
    <cfRule type="duplicateValues" dxfId="0" priority="1177"/>
  </conditionalFormatting>
  <conditionalFormatting sqref="H6400:J6400">
    <cfRule type="duplicateValues" dxfId="0" priority="1176"/>
  </conditionalFormatting>
  <conditionalFormatting sqref="H6401:J6401">
    <cfRule type="duplicateValues" dxfId="0" priority="1175"/>
  </conditionalFormatting>
  <conditionalFormatting sqref="H6402:J6402">
    <cfRule type="duplicateValues" dxfId="0" priority="1174"/>
  </conditionalFormatting>
  <conditionalFormatting sqref="H6403:J6403">
    <cfRule type="duplicateValues" dxfId="0" priority="1173"/>
  </conditionalFormatting>
  <conditionalFormatting sqref="H6418:J6418">
    <cfRule type="duplicateValues" dxfId="0" priority="1170"/>
  </conditionalFormatting>
  <conditionalFormatting sqref="H6419:J6419">
    <cfRule type="duplicateValues" dxfId="0" priority="1169"/>
  </conditionalFormatting>
  <conditionalFormatting sqref="H6423">
    <cfRule type="duplicateValues" dxfId="0" priority="1092"/>
  </conditionalFormatting>
  <conditionalFormatting sqref="H6428">
    <cfRule type="duplicateValues" dxfId="0" priority="1104"/>
  </conditionalFormatting>
  <conditionalFormatting sqref="H6430">
    <cfRule type="duplicateValues" dxfId="0" priority="1106"/>
  </conditionalFormatting>
  <conditionalFormatting sqref="H6440">
    <cfRule type="duplicateValues" dxfId="0" priority="1076"/>
  </conditionalFormatting>
  <conditionalFormatting sqref="H6441">
    <cfRule type="duplicateValues" dxfId="0" priority="1061"/>
  </conditionalFormatting>
  <conditionalFormatting sqref="J6451">
    <cfRule type="duplicateValues" dxfId="0" priority="708"/>
  </conditionalFormatting>
  <conditionalFormatting sqref="H6452:J6452">
    <cfRule type="duplicateValues" dxfId="0" priority="1167"/>
  </conditionalFormatting>
  <conditionalFormatting sqref="H6453:J6453">
    <cfRule type="duplicateValues" dxfId="0" priority="1166"/>
  </conditionalFormatting>
  <conditionalFormatting sqref="H6454:J6454">
    <cfRule type="duplicateValues" dxfId="0" priority="1165"/>
  </conditionalFormatting>
  <conditionalFormatting sqref="H6466">
    <cfRule type="duplicateValues" dxfId="0" priority="515"/>
  </conditionalFormatting>
  <conditionalFormatting sqref="H6477">
    <cfRule type="duplicateValues" dxfId="0" priority="721"/>
  </conditionalFormatting>
  <conditionalFormatting sqref="H6480">
    <cfRule type="duplicateValues" dxfId="0" priority="1163"/>
  </conditionalFormatting>
  <conditionalFormatting sqref="J6482">
    <cfRule type="duplicateValues" dxfId="0" priority="576"/>
  </conditionalFormatting>
  <conditionalFormatting sqref="H6484">
    <cfRule type="duplicateValues" dxfId="0" priority="1162"/>
  </conditionalFormatting>
  <conditionalFormatting sqref="H6485">
    <cfRule type="duplicateValues" dxfId="0" priority="1161"/>
  </conditionalFormatting>
  <conditionalFormatting sqref="H6486:J6486">
    <cfRule type="duplicateValues" dxfId="0" priority="1160"/>
  </conditionalFormatting>
  <conditionalFormatting sqref="H6487:J6487">
    <cfRule type="duplicateValues" dxfId="0" priority="1159"/>
  </conditionalFormatting>
  <conditionalFormatting sqref="H6488:J6488">
    <cfRule type="duplicateValues" dxfId="0" priority="1158"/>
  </conditionalFormatting>
  <conditionalFormatting sqref="H6489:J6489">
    <cfRule type="duplicateValues" dxfId="0" priority="1156"/>
  </conditionalFormatting>
  <conditionalFormatting sqref="H6490:J6490">
    <cfRule type="duplicateValues" dxfId="0" priority="1152"/>
  </conditionalFormatting>
  <conditionalFormatting sqref="H6491:J6491">
    <cfRule type="duplicateValues" dxfId="0" priority="1147"/>
  </conditionalFormatting>
  <conditionalFormatting sqref="H6492:J6492">
    <cfRule type="duplicateValues" dxfId="0" priority="1146"/>
  </conditionalFormatting>
  <conditionalFormatting sqref="J6510">
    <cfRule type="duplicateValues" dxfId="0" priority="1144"/>
  </conditionalFormatting>
  <conditionalFormatting sqref="H6513:J6513">
    <cfRule type="duplicateValues" dxfId="0" priority="1143"/>
  </conditionalFormatting>
  <conditionalFormatting sqref="H6518:J6518">
    <cfRule type="duplicateValues" dxfId="0" priority="1141"/>
  </conditionalFormatting>
  <conditionalFormatting sqref="H6519:J6519">
    <cfRule type="duplicateValues" dxfId="0" priority="1140"/>
  </conditionalFormatting>
  <conditionalFormatting sqref="I6543:J6543">
    <cfRule type="duplicateValues" dxfId="0" priority="1134"/>
  </conditionalFormatting>
  <conditionalFormatting sqref="H6544:J6544">
    <cfRule type="duplicateValues" dxfId="0" priority="1133"/>
  </conditionalFormatting>
  <conditionalFormatting sqref="H6545:J6545">
    <cfRule type="duplicateValues" dxfId="0" priority="1132"/>
  </conditionalFormatting>
  <conditionalFormatting sqref="H6546:J6546">
    <cfRule type="duplicateValues" dxfId="0" priority="1131"/>
  </conditionalFormatting>
  <conditionalFormatting sqref="H6547:J6547">
    <cfRule type="duplicateValues" dxfId="0" priority="1130"/>
  </conditionalFormatting>
  <conditionalFormatting sqref="H6549">
    <cfRule type="duplicateValues" dxfId="0" priority="559"/>
  </conditionalFormatting>
  <conditionalFormatting sqref="L6550">
    <cfRule type="duplicateValues" dxfId="0" priority="719"/>
  </conditionalFormatting>
  <conditionalFormatting sqref="H6551:J6551">
    <cfRule type="duplicateValues" dxfId="0" priority="1129"/>
  </conditionalFormatting>
  <conditionalFormatting sqref="H6552:J6552">
    <cfRule type="duplicateValues" dxfId="0" priority="1128"/>
  </conditionalFormatting>
  <conditionalFormatting sqref="H6553:J6553">
    <cfRule type="duplicateValues" dxfId="0" priority="1127"/>
  </conditionalFormatting>
  <conditionalFormatting sqref="H6554:J6554">
    <cfRule type="duplicateValues" dxfId="0" priority="1126"/>
  </conditionalFormatting>
  <conditionalFormatting sqref="H6579">
    <cfRule type="duplicateValues" dxfId="0" priority="410"/>
  </conditionalFormatting>
  <conditionalFormatting sqref="H6588:J6588">
    <cfRule type="duplicateValues" dxfId="0" priority="1120"/>
  </conditionalFormatting>
  <conditionalFormatting sqref="H6589:J6589">
    <cfRule type="duplicateValues" dxfId="0" priority="1114"/>
  </conditionalFormatting>
  <conditionalFormatting sqref="H6590:J6590">
    <cfRule type="duplicateValues" dxfId="0" priority="1113"/>
  </conditionalFormatting>
  <conditionalFormatting sqref="H6602">
    <cfRule type="duplicateValues" dxfId="0" priority="1069"/>
  </conditionalFormatting>
  <conditionalFormatting sqref="H6604">
    <cfRule type="duplicateValues" dxfId="0" priority="778"/>
  </conditionalFormatting>
  <conditionalFormatting sqref="I6608:J6608">
    <cfRule type="duplicateValues" dxfId="0" priority="1109"/>
  </conditionalFormatting>
  <conditionalFormatting sqref="H6609">
    <cfRule type="duplicateValues" dxfId="0" priority="1108"/>
  </conditionalFormatting>
  <conditionalFormatting sqref="H6612">
    <cfRule type="duplicateValues" dxfId="0" priority="959"/>
  </conditionalFormatting>
  <conditionalFormatting sqref="H6623:J6623">
    <cfRule type="duplicateValues" dxfId="0" priority="1107"/>
  </conditionalFormatting>
  <conditionalFormatting sqref="H6624:J6624">
    <cfRule type="duplicateValues" dxfId="0" priority="1105"/>
  </conditionalFormatting>
  <conditionalFormatting sqref="H6625:J6625">
    <cfRule type="duplicateValues" dxfId="0" priority="1103"/>
  </conditionalFormatting>
  <conditionalFormatting sqref="H6626:J6626">
    <cfRule type="duplicateValues" dxfId="0" priority="1102"/>
  </conditionalFormatting>
  <conditionalFormatting sqref="H6627:J6627">
    <cfRule type="duplicateValues" dxfId="0" priority="1101"/>
  </conditionalFormatting>
  <conditionalFormatting sqref="H6628:J6628">
    <cfRule type="duplicateValues" dxfId="0" priority="1099"/>
  </conditionalFormatting>
  <conditionalFormatting sqref="H6631:J6631">
    <cfRule type="duplicateValues" dxfId="0" priority="1097"/>
  </conditionalFormatting>
  <conditionalFormatting sqref="H6653">
    <cfRule type="duplicateValues" dxfId="0" priority="654"/>
  </conditionalFormatting>
  <conditionalFormatting sqref="H6655">
    <cfRule type="duplicateValues" dxfId="0" priority="963"/>
  </conditionalFormatting>
  <conditionalFormatting sqref="J6661">
    <cfRule type="duplicateValues" dxfId="0" priority="1093"/>
  </conditionalFormatting>
  <conditionalFormatting sqref="I6662">
    <cfRule type="duplicateValues" dxfId="0" priority="1028"/>
  </conditionalFormatting>
  <conditionalFormatting sqref="H6668:J6668">
    <cfRule type="duplicateValues" dxfId="0" priority="1091"/>
  </conditionalFormatting>
  <conditionalFormatting sqref="H6669:J6669">
    <cfRule type="duplicateValues" dxfId="0" priority="1090"/>
  </conditionalFormatting>
  <conditionalFormatting sqref="H6670:J6670">
    <cfRule type="duplicateValues" dxfId="0" priority="1088"/>
  </conditionalFormatting>
  <conditionalFormatting sqref="H6684:J6684">
    <cfRule type="duplicateValues" dxfId="0" priority="1083"/>
  </conditionalFormatting>
  <conditionalFormatting sqref="H6689:J6689">
    <cfRule type="duplicateValues" dxfId="0" priority="1081"/>
  </conditionalFormatting>
  <conditionalFormatting sqref="H6690">
    <cfRule type="duplicateValues" dxfId="0" priority="876"/>
  </conditionalFormatting>
  <conditionalFormatting sqref="H6697:J6697">
    <cfRule type="duplicateValues" dxfId="0" priority="1080"/>
  </conditionalFormatting>
  <conditionalFormatting sqref="H6698">
    <cfRule type="duplicateValues" dxfId="0" priority="529"/>
  </conditionalFormatting>
  <conditionalFormatting sqref="H6699">
    <cfRule type="duplicateValues" dxfId="0" priority="538"/>
  </conditionalFormatting>
  <conditionalFormatting sqref="H6704">
    <cfRule type="duplicateValues" dxfId="0" priority="986"/>
  </conditionalFormatting>
  <conditionalFormatting sqref="H6711:J6711">
    <cfRule type="duplicateValues" dxfId="0" priority="1079"/>
  </conditionalFormatting>
  <conditionalFormatting sqref="H6712:J6712">
    <cfRule type="duplicateValues" dxfId="0" priority="1078"/>
  </conditionalFormatting>
  <conditionalFormatting sqref="H6713:J6713">
    <cfRule type="duplicateValues" dxfId="0" priority="1077"/>
  </conditionalFormatting>
  <conditionalFormatting sqref="H6731">
    <cfRule type="duplicateValues" dxfId="0" priority="444"/>
  </conditionalFormatting>
  <conditionalFormatting sqref="H6736:J6736">
    <cfRule type="duplicateValues" dxfId="0" priority="1072"/>
  </conditionalFormatting>
  <conditionalFormatting sqref="H6737:J6737">
    <cfRule type="duplicateValues" dxfId="0" priority="1071"/>
  </conditionalFormatting>
  <conditionalFormatting sqref="H6741">
    <cfRule type="duplicateValues" dxfId="0" priority="463"/>
  </conditionalFormatting>
  <conditionalFormatting sqref="H6749">
    <cfRule type="duplicateValues" dxfId="0" priority="982"/>
  </conditionalFormatting>
  <conditionalFormatting sqref="H6756">
    <cfRule type="duplicateValues" dxfId="0" priority="790"/>
  </conditionalFormatting>
  <conditionalFormatting sqref="H6762">
    <cfRule type="duplicateValues" dxfId="0" priority="907"/>
  </conditionalFormatting>
  <conditionalFormatting sqref="H6767:J6767">
    <cfRule type="duplicateValues" dxfId="0" priority="1070"/>
  </conditionalFormatting>
  <conditionalFormatting sqref="H6770">
    <cfRule type="duplicateValues" dxfId="0" priority="648"/>
  </conditionalFormatting>
  <conditionalFormatting sqref="H6771:J6771">
    <cfRule type="duplicateValues" dxfId="0" priority="1068"/>
  </conditionalFormatting>
  <conditionalFormatting sqref="H6772:J6772">
    <cfRule type="duplicateValues" dxfId="0" priority="1067"/>
  </conditionalFormatting>
  <conditionalFormatting sqref="H6773:J6773">
    <cfRule type="duplicateValues" dxfId="0" priority="1066"/>
  </conditionalFormatting>
  <conditionalFormatting sqref="H6774:J6774">
    <cfRule type="duplicateValues" dxfId="0" priority="1064"/>
  </conditionalFormatting>
  <conditionalFormatting sqref="H6775:J6775">
    <cfRule type="duplicateValues" dxfId="0" priority="1062"/>
  </conditionalFormatting>
  <conditionalFormatting sqref="H6776:J6776">
    <cfRule type="duplicateValues" dxfId="0" priority="1060"/>
  </conditionalFormatting>
  <conditionalFormatting sqref="H6777:J6777">
    <cfRule type="duplicateValues" dxfId="0" priority="1057"/>
  </conditionalFormatting>
  <conditionalFormatting sqref="H6784:J6784">
    <cfRule type="duplicateValues" dxfId="0" priority="1054"/>
  </conditionalFormatting>
  <conditionalFormatting sqref="H6802">
    <cfRule type="duplicateValues" dxfId="0" priority="562"/>
  </conditionalFormatting>
  <conditionalFormatting sqref="H6807">
    <cfRule type="duplicateValues" dxfId="0" priority="728"/>
  </conditionalFormatting>
  <conditionalFormatting sqref="H6813">
    <cfRule type="duplicateValues" dxfId="0" priority="596"/>
  </conditionalFormatting>
  <conditionalFormatting sqref="H6827">
    <cfRule type="duplicateValues" dxfId="0" priority="908"/>
  </conditionalFormatting>
  <conditionalFormatting sqref="I6848">
    <cfRule type="duplicateValues" dxfId="0" priority="671"/>
  </conditionalFormatting>
  <conditionalFormatting sqref="H6850:J6850">
    <cfRule type="duplicateValues" dxfId="0" priority="1050"/>
  </conditionalFormatting>
  <conditionalFormatting sqref="H6856">
    <cfRule type="duplicateValues" dxfId="0" priority="968"/>
  </conditionalFormatting>
  <conditionalFormatting sqref="H6860">
    <cfRule type="duplicateValues" dxfId="4" priority="236"/>
    <cfRule type="duplicateValues" dxfId="0" priority="237"/>
  </conditionalFormatting>
  <conditionalFormatting sqref="H6864:J6864">
    <cfRule type="duplicateValues" dxfId="0" priority="1049"/>
  </conditionalFormatting>
  <conditionalFormatting sqref="H6865:J6865">
    <cfRule type="duplicateValues" dxfId="0" priority="1047"/>
  </conditionalFormatting>
  <conditionalFormatting sqref="H6866:J6866">
    <cfRule type="duplicateValues" dxfId="0" priority="1045"/>
  </conditionalFormatting>
  <conditionalFormatting sqref="H6867:J6867">
    <cfRule type="duplicateValues" dxfId="0" priority="1044"/>
  </conditionalFormatting>
  <conditionalFormatting sqref="H6868:J6868">
    <cfRule type="duplicateValues" dxfId="0" priority="1043"/>
  </conditionalFormatting>
  <conditionalFormatting sqref="H6869:J6869">
    <cfRule type="duplicateValues" dxfId="0" priority="1042"/>
  </conditionalFormatting>
  <conditionalFormatting sqref="H6875:J6875">
    <cfRule type="duplicateValues" dxfId="0" priority="1040"/>
  </conditionalFormatting>
  <conditionalFormatting sqref="H6876:J6876">
    <cfRule type="duplicateValues" dxfId="0" priority="1038"/>
  </conditionalFormatting>
  <conditionalFormatting sqref="H6877:J6877">
    <cfRule type="duplicateValues" dxfId="0" priority="1039"/>
  </conditionalFormatting>
  <conditionalFormatting sqref="H6887">
    <cfRule type="duplicateValues" dxfId="0" priority="877"/>
  </conditionalFormatting>
  <conditionalFormatting sqref="I6895">
    <cfRule type="duplicateValues" dxfId="0" priority="852"/>
  </conditionalFormatting>
  <conditionalFormatting sqref="H6896">
    <cfRule type="duplicateValues" dxfId="0" priority="170"/>
  </conditionalFormatting>
  <conditionalFormatting sqref="I6901">
    <cfRule type="duplicateValues" dxfId="0" priority="809"/>
  </conditionalFormatting>
  <conditionalFormatting sqref="H6914">
    <cfRule type="duplicateValues" dxfId="0" priority="981"/>
  </conditionalFormatting>
  <conditionalFormatting sqref="H6918">
    <cfRule type="duplicateValues" dxfId="0" priority="1029"/>
  </conditionalFormatting>
  <conditionalFormatting sqref="I6921:J6921">
    <cfRule type="duplicateValues" dxfId="0" priority="1035"/>
  </conditionalFormatting>
  <conditionalFormatting sqref="H6922:J6922">
    <cfRule type="duplicateValues" dxfId="0" priority="1034"/>
  </conditionalFormatting>
  <conditionalFormatting sqref="I6924:J6924">
    <cfRule type="duplicateValues" dxfId="0" priority="1033"/>
  </conditionalFormatting>
  <conditionalFormatting sqref="H6925">
    <cfRule type="duplicateValues" dxfId="4" priority="198"/>
    <cfRule type="duplicateValues" dxfId="0" priority="199"/>
  </conditionalFormatting>
  <conditionalFormatting sqref="H6932:J6932">
    <cfRule type="duplicateValues" dxfId="0" priority="1032"/>
  </conditionalFormatting>
  <conditionalFormatting sqref="H6933:J6933">
    <cfRule type="duplicateValues" dxfId="0" priority="1031"/>
  </conditionalFormatting>
  <conditionalFormatting sqref="H6934:J6934">
    <cfRule type="duplicateValues" dxfId="0" priority="1027"/>
  </conditionalFormatting>
  <conditionalFormatting sqref="H6935:J6935">
    <cfRule type="duplicateValues" dxfId="0" priority="1023"/>
  </conditionalFormatting>
  <conditionalFormatting sqref="H6936:J6936">
    <cfRule type="duplicateValues" dxfId="0" priority="1021"/>
  </conditionalFormatting>
  <conditionalFormatting sqref="H6937:J6937">
    <cfRule type="duplicateValues" dxfId="0" priority="1019"/>
  </conditionalFormatting>
  <conditionalFormatting sqref="H6938:J6938">
    <cfRule type="duplicateValues" dxfId="0" priority="1018"/>
  </conditionalFormatting>
  <conditionalFormatting sqref="H6939:J6939">
    <cfRule type="duplicateValues" dxfId="0" priority="1017"/>
  </conditionalFormatting>
  <conditionalFormatting sqref="H6940:J6940">
    <cfRule type="duplicateValues" dxfId="0" priority="1016"/>
  </conditionalFormatting>
  <conditionalFormatting sqref="H6941">
    <cfRule type="duplicateValues" dxfId="0" priority="1015"/>
  </conditionalFormatting>
  <conditionalFormatting sqref="I6941:J6941">
    <cfRule type="duplicateValues" dxfId="0" priority="1014"/>
  </conditionalFormatting>
  <conditionalFormatting sqref="H6942:J6942">
    <cfRule type="duplicateValues" dxfId="0" priority="1013"/>
  </conditionalFormatting>
  <conditionalFormatting sqref="H6975:J6975">
    <cfRule type="duplicateValues" dxfId="0" priority="1006"/>
  </conditionalFormatting>
  <conditionalFormatting sqref="J6980">
    <cfRule type="duplicateValues" dxfId="0" priority="387"/>
  </conditionalFormatting>
  <conditionalFormatting sqref="H6987:J6987">
    <cfRule type="duplicateValues" dxfId="0" priority="1004"/>
  </conditionalFormatting>
  <conditionalFormatting sqref="H6988:J6988">
    <cfRule type="duplicateValues" dxfId="0" priority="1003"/>
  </conditionalFormatting>
  <conditionalFormatting sqref="H6994">
    <cfRule type="duplicateValues" dxfId="0" priority="978"/>
  </conditionalFormatting>
  <conditionalFormatting sqref="H7000:J7000">
    <cfRule type="duplicateValues" dxfId="0" priority="1002"/>
  </conditionalFormatting>
  <conditionalFormatting sqref="H7001:J7001">
    <cfRule type="duplicateValues" dxfId="0" priority="1001"/>
  </conditionalFormatting>
  <conditionalFormatting sqref="L7002">
    <cfRule type="duplicateValues" dxfId="0" priority="754"/>
  </conditionalFormatting>
  <conditionalFormatting sqref="H7006:J7006">
    <cfRule type="duplicateValues" dxfId="0" priority="1000"/>
  </conditionalFormatting>
  <conditionalFormatting sqref="H7007:J7007">
    <cfRule type="duplicateValues" dxfId="0" priority="999"/>
  </conditionalFormatting>
  <conditionalFormatting sqref="H7008:J7008">
    <cfRule type="duplicateValues" dxfId="0" priority="998"/>
  </conditionalFormatting>
  <conditionalFormatting sqref="H7012:J7012">
    <cfRule type="duplicateValues" dxfId="0" priority="997"/>
  </conditionalFormatting>
  <conditionalFormatting sqref="H7018">
    <cfRule type="duplicateValues" dxfId="0" priority="491"/>
  </conditionalFormatting>
  <conditionalFormatting sqref="H7020">
    <cfRule type="duplicateValues" dxfId="0" priority="791"/>
  </conditionalFormatting>
  <conditionalFormatting sqref="H7023:J7023">
    <cfRule type="duplicateValues" dxfId="0" priority="995"/>
  </conditionalFormatting>
  <conditionalFormatting sqref="H7024:I7024">
    <cfRule type="duplicateValues" dxfId="0" priority="994"/>
  </conditionalFormatting>
  <conditionalFormatting sqref="H7026">
    <cfRule type="duplicateValues" dxfId="0" priority="711"/>
  </conditionalFormatting>
  <conditionalFormatting sqref="H7028:J7028">
    <cfRule type="duplicateValues" dxfId="0" priority="992"/>
  </conditionalFormatting>
  <conditionalFormatting sqref="H7029:J7029">
    <cfRule type="duplicateValues" dxfId="0" priority="990"/>
  </conditionalFormatting>
  <conditionalFormatting sqref="H7030:J7030">
    <cfRule type="duplicateValues" dxfId="0" priority="989"/>
  </conditionalFormatting>
  <conditionalFormatting sqref="H7031:J7031">
    <cfRule type="duplicateValues" dxfId="0" priority="987"/>
  </conditionalFormatting>
  <conditionalFormatting sqref="H7032:J7032">
    <cfRule type="duplicateValues" dxfId="0" priority="985"/>
  </conditionalFormatting>
  <conditionalFormatting sqref="H7033:J7033">
    <cfRule type="duplicateValues" dxfId="0" priority="984"/>
  </conditionalFormatting>
  <conditionalFormatting sqref="H7034:J7034">
    <cfRule type="duplicateValues" dxfId="0" priority="983"/>
  </conditionalFormatting>
  <conditionalFormatting sqref="H7035:J7035">
    <cfRule type="duplicateValues" dxfId="0" priority="980"/>
  </conditionalFormatting>
  <conditionalFormatting sqref="H7036:J7036">
    <cfRule type="duplicateValues" dxfId="0" priority="977"/>
  </conditionalFormatting>
  <conditionalFormatting sqref="H7037:J7037">
    <cfRule type="duplicateValues" dxfId="0" priority="974"/>
  </conditionalFormatting>
  <conditionalFormatting sqref="H7038:J7038">
    <cfRule type="duplicateValues" dxfId="0" priority="973"/>
  </conditionalFormatting>
  <conditionalFormatting sqref="H7039:J7039">
    <cfRule type="duplicateValues" dxfId="0" priority="972"/>
  </conditionalFormatting>
  <conditionalFormatting sqref="H7040:J7040">
    <cfRule type="duplicateValues" dxfId="0" priority="971"/>
  </conditionalFormatting>
  <conditionalFormatting sqref="H7041:J7041">
    <cfRule type="duplicateValues" dxfId="0" priority="970"/>
  </conditionalFormatting>
  <conditionalFormatting sqref="H7042:J7042">
    <cfRule type="duplicateValues" dxfId="0" priority="969"/>
  </conditionalFormatting>
  <conditionalFormatting sqref="H7043:J7043">
    <cfRule type="duplicateValues" dxfId="0" priority="967"/>
  </conditionalFormatting>
  <conditionalFormatting sqref="H7044:J7044">
    <cfRule type="duplicateValues" dxfId="0" priority="964"/>
  </conditionalFormatting>
  <conditionalFormatting sqref="H7045:J7045">
    <cfRule type="duplicateValues" dxfId="0" priority="960"/>
  </conditionalFormatting>
  <conditionalFormatting sqref="H7046:J7046">
    <cfRule type="duplicateValues" dxfId="0" priority="958"/>
  </conditionalFormatting>
  <conditionalFormatting sqref="H7047:J7047">
    <cfRule type="duplicateValues" dxfId="0" priority="957"/>
  </conditionalFormatting>
  <conditionalFormatting sqref="H7048:J7048">
    <cfRule type="duplicateValues" dxfId="0" priority="956"/>
  </conditionalFormatting>
  <conditionalFormatting sqref="H7049:J7049">
    <cfRule type="duplicateValues" dxfId="0" priority="955"/>
  </conditionalFormatting>
  <conditionalFormatting sqref="H7050:J7050">
    <cfRule type="duplicateValues" dxfId="0" priority="954"/>
  </conditionalFormatting>
  <conditionalFormatting sqref="H7057:J7057">
    <cfRule type="duplicateValues" dxfId="0" priority="952"/>
  </conditionalFormatting>
  <conditionalFormatting sqref="H7070:J7070">
    <cfRule type="duplicateValues" dxfId="0" priority="946"/>
  </conditionalFormatting>
  <conditionalFormatting sqref="H7071:J7071">
    <cfRule type="duplicateValues" dxfId="0" priority="945"/>
  </conditionalFormatting>
  <conditionalFormatting sqref="H7072:J7072">
    <cfRule type="duplicateValues" dxfId="0" priority="944"/>
  </conditionalFormatting>
  <conditionalFormatting sqref="H7073:J7073">
    <cfRule type="duplicateValues" dxfId="0" priority="943"/>
  </conditionalFormatting>
  <conditionalFormatting sqref="H7074:J7074">
    <cfRule type="duplicateValues" dxfId="0" priority="942"/>
  </conditionalFormatting>
  <conditionalFormatting sqref="H7075:J7075">
    <cfRule type="duplicateValues" dxfId="0" priority="941"/>
  </conditionalFormatting>
  <conditionalFormatting sqref="H7076:J7076">
    <cfRule type="duplicateValues" dxfId="0" priority="940"/>
  </conditionalFormatting>
  <conditionalFormatting sqref="H7077:J7077">
    <cfRule type="duplicateValues" dxfId="0" priority="939"/>
  </conditionalFormatting>
  <conditionalFormatting sqref="H7078:J7078">
    <cfRule type="duplicateValues" dxfId="0" priority="938"/>
  </conditionalFormatting>
  <conditionalFormatting sqref="H7293:J7293">
    <cfRule type="duplicateValues" dxfId="0" priority="926"/>
  </conditionalFormatting>
  <conditionalFormatting sqref="H7295:J7295">
    <cfRule type="duplicateValues" dxfId="0" priority="925"/>
  </conditionalFormatting>
  <conditionalFormatting sqref="H7296:J7296">
    <cfRule type="duplicateValues" dxfId="0" priority="924"/>
  </conditionalFormatting>
  <conditionalFormatting sqref="H7298:J7298">
    <cfRule type="duplicateValues" dxfId="0" priority="923"/>
  </conditionalFormatting>
  <conditionalFormatting sqref="H7299:J7299">
    <cfRule type="duplicateValues" dxfId="0" priority="922"/>
  </conditionalFormatting>
  <conditionalFormatting sqref="H7300:J7300">
    <cfRule type="duplicateValues" dxfId="0" priority="921"/>
  </conditionalFormatting>
  <conditionalFormatting sqref="H7301:J7301">
    <cfRule type="duplicateValues" dxfId="0" priority="920"/>
  </conditionalFormatting>
  <conditionalFormatting sqref="H7302:J7302">
    <cfRule type="duplicateValues" dxfId="0" priority="919"/>
  </conditionalFormatting>
  <conditionalFormatting sqref="H7303:J7303">
    <cfRule type="duplicateValues" dxfId="0" priority="918"/>
  </conditionalFormatting>
  <conditionalFormatting sqref="H7310:J7310">
    <cfRule type="duplicateValues" dxfId="0" priority="917"/>
  </conditionalFormatting>
  <conditionalFormatting sqref="H7355:J7355">
    <cfRule type="duplicateValues" dxfId="0" priority="913"/>
  </conditionalFormatting>
  <conditionalFormatting sqref="H7362:J7362">
    <cfRule type="duplicateValues" dxfId="0" priority="911"/>
  </conditionalFormatting>
  <conditionalFormatting sqref="H7364">
    <cfRule type="duplicateValues" dxfId="0" priority="309"/>
  </conditionalFormatting>
  <conditionalFormatting sqref="H7369">
    <cfRule type="duplicateValues" dxfId="0" priority="561"/>
  </conditionalFormatting>
  <conditionalFormatting sqref="H7370:J7370">
    <cfRule type="duplicateValues" dxfId="0" priority="910"/>
  </conditionalFormatting>
  <conditionalFormatting sqref="H7372:J7372">
    <cfRule type="duplicateValues" dxfId="0" priority="905"/>
  </conditionalFormatting>
  <conditionalFormatting sqref="I7380:J7380">
    <cfRule type="duplicateValues" dxfId="0" priority="899"/>
  </conditionalFormatting>
  <conditionalFormatting sqref="H7388">
    <cfRule type="duplicateValues" dxfId="0" priority="352"/>
  </conditionalFormatting>
  <conditionalFormatting sqref="H7402">
    <cfRule type="duplicateValues" dxfId="4" priority="196"/>
    <cfRule type="duplicateValues" dxfId="0" priority="197"/>
  </conditionalFormatting>
  <conditionalFormatting sqref="I7420">
    <cfRule type="duplicateValues" dxfId="0" priority="897"/>
  </conditionalFormatting>
  <conditionalFormatting sqref="H7433:J7433">
    <cfRule type="duplicateValues" dxfId="0" priority="896"/>
  </conditionalFormatting>
  <conditionalFormatting sqref="H7434:J7434">
    <cfRule type="duplicateValues" dxfId="0" priority="895"/>
  </conditionalFormatting>
  <conditionalFormatting sqref="H7435:J7435">
    <cfRule type="duplicateValues" dxfId="0" priority="894"/>
  </conditionalFormatting>
  <conditionalFormatting sqref="H7436:J7436">
    <cfRule type="duplicateValues" dxfId="0" priority="893"/>
  </conditionalFormatting>
  <conditionalFormatting sqref="H7465">
    <cfRule type="duplicateValues" dxfId="0" priority="802"/>
  </conditionalFormatting>
  <conditionalFormatting sqref="H7482:J7482">
    <cfRule type="duplicateValues" dxfId="0" priority="890"/>
  </conditionalFormatting>
  <conditionalFormatting sqref="H7496">
    <cfRule type="duplicateValues" dxfId="0" priority="724"/>
  </conditionalFormatting>
  <conditionalFormatting sqref="H7497">
    <cfRule type="duplicateValues" dxfId="0" priority="189"/>
  </conditionalFormatting>
  <conditionalFormatting sqref="H7508:J7508">
    <cfRule type="duplicateValues" dxfId="0" priority="889"/>
  </conditionalFormatting>
  <conditionalFormatting sqref="H7514:J7514">
    <cfRule type="duplicateValues" dxfId="0" priority="887"/>
  </conditionalFormatting>
  <conditionalFormatting sqref="H7515:J7515">
    <cfRule type="duplicateValues" dxfId="0" priority="886"/>
  </conditionalFormatting>
  <conditionalFormatting sqref="H7516:I7516">
    <cfRule type="duplicateValues" dxfId="0" priority="885"/>
  </conditionalFormatting>
  <conditionalFormatting sqref="H7526">
    <cfRule type="duplicateValues" dxfId="0" priority="722"/>
  </conditionalFormatting>
  <conditionalFormatting sqref="H7529">
    <cfRule type="duplicateValues" dxfId="0" priority="884"/>
  </conditionalFormatting>
  <conditionalFormatting sqref="H7535:J7535">
    <cfRule type="duplicateValues" dxfId="0" priority="882"/>
  </conditionalFormatting>
  <conditionalFormatting sqref="H7536:J7536">
    <cfRule type="duplicateValues" dxfId="0" priority="879"/>
  </conditionalFormatting>
  <conditionalFormatting sqref="H7537:J7537">
    <cfRule type="duplicateValues" dxfId="0" priority="874"/>
  </conditionalFormatting>
  <conditionalFormatting sqref="H7538:J7538">
    <cfRule type="duplicateValues" dxfId="0" priority="873"/>
  </conditionalFormatting>
  <conditionalFormatting sqref="H7539:J7539">
    <cfRule type="duplicateValues" dxfId="0" priority="872"/>
  </conditionalFormatting>
  <conditionalFormatting sqref="H7586:J7586">
    <cfRule type="duplicateValues" dxfId="0" priority="867"/>
  </conditionalFormatting>
  <conditionalFormatting sqref="H7587:J7587">
    <cfRule type="duplicateValues" dxfId="0" priority="865"/>
  </conditionalFormatting>
  <conditionalFormatting sqref="H7588:J7588">
    <cfRule type="duplicateValues" dxfId="0" priority="862"/>
  </conditionalFormatting>
  <conditionalFormatting sqref="H7589:J7589">
    <cfRule type="duplicateValues" dxfId="0" priority="861"/>
  </conditionalFormatting>
  <conditionalFormatting sqref="H7604">
    <cfRule type="duplicateValues" dxfId="0" priority="699"/>
  </conditionalFormatting>
  <conditionalFormatting sqref="H7609">
    <cfRule type="duplicateValues" dxfId="0" priority="535"/>
  </conditionalFormatting>
  <conditionalFormatting sqref="H7610">
    <cfRule type="duplicateValues" dxfId="0" priority="805"/>
  </conditionalFormatting>
  <conditionalFormatting sqref="J7610">
    <cfRule type="duplicateValues" dxfId="0" priority="804"/>
  </conditionalFormatting>
  <conditionalFormatting sqref="H7623:J7623">
    <cfRule type="duplicateValues" dxfId="0" priority="855"/>
  </conditionalFormatting>
  <conditionalFormatting sqref="H7626">
    <cfRule type="duplicateValues" dxfId="0" priority="732"/>
  </conditionalFormatting>
  <conditionalFormatting sqref="H7628">
    <cfRule type="duplicateValues" dxfId="0" priority="854"/>
  </conditionalFormatting>
  <conditionalFormatting sqref="H7631">
    <cfRule type="duplicateValues" dxfId="0" priority="853"/>
  </conditionalFormatting>
  <conditionalFormatting sqref="I7641:J7641">
    <cfRule type="duplicateValues" dxfId="0" priority="847"/>
  </conditionalFormatting>
  <conditionalFormatting sqref="H7642:J7642">
    <cfRule type="duplicateValues" dxfId="0" priority="846"/>
  </conditionalFormatting>
  <conditionalFormatting sqref="H7643">
    <cfRule type="duplicateValues" dxfId="0" priority="239"/>
  </conditionalFormatting>
  <conditionalFormatting sqref="H7644">
    <cfRule type="duplicateValues" dxfId="0" priority="749"/>
  </conditionalFormatting>
  <conditionalFormatting sqref="I7660:J7660">
    <cfRule type="duplicateValues" dxfId="0" priority="845"/>
  </conditionalFormatting>
  <conditionalFormatting sqref="H7667:J7667">
    <cfRule type="duplicateValues" dxfId="0" priority="843"/>
  </conditionalFormatting>
  <conditionalFormatting sqref="H7668:J7668">
    <cfRule type="duplicateValues" dxfId="0" priority="842"/>
  </conditionalFormatting>
  <conditionalFormatting sqref="H7669:J7669">
    <cfRule type="duplicateValues" dxfId="0" priority="841"/>
  </conditionalFormatting>
  <conditionalFormatting sqref="H7670:I7670">
    <cfRule type="duplicateValues" dxfId="0" priority="839"/>
  </conditionalFormatting>
  <conditionalFormatting sqref="J7670">
    <cfRule type="duplicateValues" dxfId="0" priority="838"/>
  </conditionalFormatting>
  <conditionalFormatting sqref="H7671:J7671">
    <cfRule type="duplicateValues" dxfId="0" priority="837"/>
  </conditionalFormatting>
  <conditionalFormatting sqref="I7698:J7698">
    <cfRule type="duplicateValues" dxfId="0" priority="834"/>
  </conditionalFormatting>
  <conditionalFormatting sqref="H7716">
    <cfRule type="duplicateValues" dxfId="0" priority="831"/>
  </conditionalFormatting>
  <conditionalFormatting sqref="H7736">
    <cfRule type="duplicateValues" dxfId="0" priority="484"/>
  </conditionalFormatting>
  <conditionalFormatting sqref="H7775">
    <cfRule type="duplicateValues" dxfId="0" priority="803"/>
  </conditionalFormatting>
  <conditionalFormatting sqref="H7805">
    <cfRule type="duplicateValues" dxfId="0" priority="625"/>
  </conditionalFormatting>
  <conditionalFormatting sqref="I7811">
    <cfRule type="duplicateValues" dxfId="0" priority="550"/>
  </conditionalFormatting>
  <conditionalFormatting sqref="I7816:J7816">
    <cfRule type="duplicateValues" dxfId="0" priority="828"/>
  </conditionalFormatting>
  <conditionalFormatting sqref="H7828">
    <cfRule type="duplicateValues" dxfId="0" priority="756"/>
  </conditionalFormatting>
  <conditionalFormatting sqref="H7848:J7848">
    <cfRule type="duplicateValues" dxfId="0" priority="827"/>
  </conditionalFormatting>
  <conditionalFormatting sqref="H7849:J7849">
    <cfRule type="duplicateValues" dxfId="0" priority="826"/>
  </conditionalFormatting>
  <conditionalFormatting sqref="H7850:J7850">
    <cfRule type="duplicateValues" dxfId="0" priority="825"/>
  </conditionalFormatting>
  <conditionalFormatting sqref="H7851:J7851">
    <cfRule type="duplicateValues" dxfId="0" priority="824"/>
  </conditionalFormatting>
  <conditionalFormatting sqref="H7852:J7852">
    <cfRule type="duplicateValues" dxfId="0" priority="823"/>
  </conditionalFormatting>
  <conditionalFormatting sqref="H7853:J7853">
    <cfRule type="duplicateValues" dxfId="0" priority="822"/>
  </conditionalFormatting>
  <conditionalFormatting sqref="H7854:J7854">
    <cfRule type="duplicateValues" dxfId="0" priority="821"/>
  </conditionalFormatting>
  <conditionalFormatting sqref="H7855:J7855">
    <cfRule type="duplicateValues" dxfId="0" priority="820"/>
  </conditionalFormatting>
  <conditionalFormatting sqref="H7856:J7856">
    <cfRule type="duplicateValues" dxfId="0" priority="819"/>
  </conditionalFormatting>
  <conditionalFormatting sqref="H7868">
    <cfRule type="duplicateValues" dxfId="0" priority="585"/>
  </conditionalFormatting>
  <conditionalFormatting sqref="H7876">
    <cfRule type="duplicateValues" dxfId="0" priority="284"/>
  </conditionalFormatting>
  <conditionalFormatting sqref="J7877">
    <cfRule type="duplicateValues" dxfId="0" priority="460"/>
  </conditionalFormatting>
  <conditionalFormatting sqref="J7882">
    <cfRule type="duplicateValues" dxfId="0" priority="455"/>
  </conditionalFormatting>
  <conditionalFormatting sqref="H7883">
    <cfRule type="duplicateValues" dxfId="0" priority="552"/>
  </conditionalFormatting>
  <conditionalFormatting sqref="H7887">
    <cfRule type="duplicateValues" dxfId="0" priority="272"/>
  </conditionalFormatting>
  <conditionalFormatting sqref="H7891">
    <cfRule type="duplicateValues" dxfId="0" priority="769"/>
  </conditionalFormatting>
  <conditionalFormatting sqref="H7905">
    <cfRule type="duplicateValues" dxfId="0" priority="694"/>
  </conditionalFormatting>
  <conditionalFormatting sqref="J7911">
    <cfRule type="duplicateValues" dxfId="0" priority="592"/>
  </conditionalFormatting>
  <conditionalFormatting sqref="H7918">
    <cfRule type="duplicateValues" dxfId="0" priority="122"/>
  </conditionalFormatting>
  <conditionalFormatting sqref="H7921">
    <cfRule type="duplicateValues" dxfId="0" priority="688"/>
  </conditionalFormatting>
  <conditionalFormatting sqref="H7924">
    <cfRule type="duplicateValues" dxfId="0" priority="471"/>
  </conditionalFormatting>
  <conditionalFormatting sqref="H7929">
    <cfRule type="duplicateValues" dxfId="0" priority="697"/>
  </conditionalFormatting>
  <conditionalFormatting sqref="I7943">
    <cfRule type="duplicateValues" dxfId="0" priority="229"/>
  </conditionalFormatting>
  <conditionalFormatting sqref="H7949">
    <cfRule type="duplicateValues" dxfId="0" priority="731"/>
  </conditionalFormatting>
  <conditionalFormatting sqref="H7961">
    <cfRule type="duplicateValues" dxfId="0" priority="314"/>
  </conditionalFormatting>
  <conditionalFormatting sqref="H7962">
    <cfRule type="duplicateValues" dxfId="0" priority="623"/>
  </conditionalFormatting>
  <conditionalFormatting sqref="I7973">
    <cfRule type="duplicateValues" dxfId="0" priority="718"/>
  </conditionalFormatting>
  <conditionalFormatting sqref="J7973">
    <cfRule type="duplicateValues" dxfId="0" priority="717"/>
  </conditionalFormatting>
  <conditionalFormatting sqref="H7982">
    <cfRule type="duplicateValues" dxfId="0" priority="713"/>
  </conditionalFormatting>
  <conditionalFormatting sqref="H7986">
    <cfRule type="duplicateValues" dxfId="0" priority="332"/>
  </conditionalFormatting>
  <conditionalFormatting sqref="H7994">
    <cfRule type="duplicateValues" dxfId="0" priority="146"/>
  </conditionalFormatting>
  <conditionalFormatting sqref="H8004">
    <cfRule type="duplicateValues" dxfId="0" priority="709"/>
  </conditionalFormatting>
  <conditionalFormatting sqref="H8013">
    <cfRule type="duplicateValues" dxfId="0" priority="160"/>
  </conditionalFormatting>
  <conditionalFormatting sqref="H8021">
    <cfRule type="duplicateValues" dxfId="0" priority="673"/>
  </conditionalFormatting>
  <conditionalFormatting sqref="J8022">
    <cfRule type="duplicateValues" dxfId="0" priority="555"/>
  </conditionalFormatting>
  <conditionalFormatting sqref="H8040">
    <cfRule type="duplicateValues" dxfId="0" priority="404"/>
  </conditionalFormatting>
  <conditionalFormatting sqref="J8047">
    <cfRule type="duplicateValues" dxfId="0" priority="514"/>
  </conditionalFormatting>
  <conditionalFormatting sqref="H8054">
    <cfRule type="duplicateValues" dxfId="0" priority="726"/>
  </conditionalFormatting>
  <conditionalFormatting sqref="H8055">
    <cfRule type="duplicateValues" dxfId="0" priority="563"/>
  </conditionalFormatting>
  <conditionalFormatting sqref="H8063">
    <cfRule type="duplicateValues" dxfId="0" priority="465"/>
  </conditionalFormatting>
  <conditionalFormatting sqref="H8069">
    <cfRule type="duplicateValues" dxfId="0" priority="540"/>
  </conditionalFormatting>
  <conditionalFormatting sqref="H8078">
    <cfRule type="duplicateValues" dxfId="0" priority="311"/>
  </conditionalFormatting>
  <conditionalFormatting sqref="H8083">
    <cfRule type="duplicateValues" dxfId="0" priority="525"/>
  </conditionalFormatting>
  <conditionalFormatting sqref="J8099">
    <cfRule type="duplicateValues" dxfId="0" priority="365"/>
  </conditionalFormatting>
  <conditionalFormatting sqref="H8106">
    <cfRule type="duplicateValues" dxfId="0" priority="115"/>
  </conditionalFormatting>
  <conditionalFormatting sqref="I8108">
    <cfRule type="duplicateValues" dxfId="0" priority="815"/>
  </conditionalFormatting>
  <conditionalFormatting sqref="H8120">
    <cfRule type="duplicateValues" dxfId="0" priority="253"/>
  </conditionalFormatting>
  <conditionalFormatting sqref="H8129">
    <cfRule type="duplicateValues" dxfId="0" priority="715"/>
  </conditionalFormatting>
  <conditionalFormatting sqref="J8135">
    <cfRule type="duplicateValues" dxfId="0" priority="354"/>
  </conditionalFormatting>
  <conditionalFormatting sqref="I8137">
    <cfRule type="duplicateValues" dxfId="0" priority="776"/>
  </conditionalFormatting>
  <conditionalFormatting sqref="H8138">
    <cfRule type="duplicateValues" dxfId="0" priority="458"/>
  </conditionalFormatting>
  <conditionalFormatting sqref="I8139">
    <cfRule type="duplicateValues" dxfId="0" priority="403"/>
  </conditionalFormatting>
  <conditionalFormatting sqref="I8140">
    <cfRule type="duplicateValues" dxfId="0" priority="565"/>
  </conditionalFormatting>
  <conditionalFormatting sqref="I8157">
    <cfRule type="duplicateValues" dxfId="0" priority="482"/>
  </conditionalFormatting>
  <conditionalFormatting sqref="I8169">
    <cfRule type="duplicateValues" dxfId="0" priority="751"/>
  </conditionalFormatting>
  <conditionalFormatting sqref="H8175">
    <cfRule type="duplicateValues" dxfId="0" priority="798"/>
  </conditionalFormatting>
  <conditionalFormatting sqref="H8178">
    <cfRule type="duplicateValues" dxfId="0" priority="129"/>
  </conditionalFormatting>
  <conditionalFormatting sqref="H8182">
    <cfRule type="duplicateValues" dxfId="0" priority="813"/>
  </conditionalFormatting>
  <conditionalFormatting sqref="I8182:J8182">
    <cfRule type="duplicateValues" dxfId="0" priority="812"/>
  </conditionalFormatting>
  <conditionalFormatting sqref="H8210">
    <cfRule type="duplicateValues" dxfId="0" priority="488"/>
  </conditionalFormatting>
  <conditionalFormatting sqref="J8210">
    <cfRule type="duplicateValues" dxfId="0" priority="810"/>
  </conditionalFormatting>
  <conditionalFormatting sqref="K8210">
    <cfRule type="duplicateValues" dxfId="0" priority="811"/>
  </conditionalFormatting>
  <conditionalFormatting sqref="H8211">
    <cfRule type="duplicateValues" dxfId="0" priority="342"/>
  </conditionalFormatting>
  <conditionalFormatting sqref="H8213">
    <cfRule type="duplicateValues" dxfId="0" priority="594"/>
  </conditionalFormatting>
  <conditionalFormatting sqref="H8222">
    <cfRule type="duplicateValues" dxfId="0" priority="388"/>
  </conditionalFormatting>
  <conditionalFormatting sqref="H8226">
    <cfRule type="duplicateValues" dxfId="0" priority="560"/>
  </conditionalFormatting>
  <conditionalFormatting sqref="H8232:J8232">
    <cfRule type="duplicateValues" dxfId="0" priority="808"/>
  </conditionalFormatting>
  <conditionalFormatting sqref="H8233:J8233">
    <cfRule type="duplicateValues" dxfId="0" priority="807"/>
  </conditionalFormatting>
  <conditionalFormatting sqref="H8234:J8234">
    <cfRule type="duplicateValues" dxfId="0" priority="806"/>
  </conditionalFormatting>
  <conditionalFormatting sqref="H8235:J8235">
    <cfRule type="duplicateValues" dxfId="0" priority="801"/>
  </conditionalFormatting>
  <conditionalFormatting sqref="H8236:J8236">
    <cfRule type="duplicateValues" dxfId="0" priority="799"/>
  </conditionalFormatting>
  <conditionalFormatting sqref="H8272">
    <cfRule type="duplicateValues" dxfId="0" priority="568"/>
  </conditionalFormatting>
  <conditionalFormatting sqref="H8274">
    <cfRule type="duplicateValues" dxfId="0" priority="746"/>
  </conditionalFormatting>
  <conditionalFormatting sqref="H8280">
    <cfRule type="duplicateValues" dxfId="0" priority="661"/>
  </conditionalFormatting>
  <conditionalFormatting sqref="H8300">
    <cfRule type="duplicateValues" dxfId="0" priority="768"/>
  </conditionalFormatting>
  <conditionalFormatting sqref="H8306">
    <cfRule type="duplicateValues" dxfId="0" priority="743"/>
  </conditionalFormatting>
  <conditionalFormatting sqref="H8316">
    <cfRule type="duplicateValues" dxfId="4" priority="206"/>
    <cfRule type="duplicateValues" dxfId="0" priority="207"/>
  </conditionalFormatting>
  <conditionalFormatting sqref="H8323">
    <cfRule type="duplicateValues" dxfId="0" priority="366"/>
  </conditionalFormatting>
  <conditionalFormatting sqref="H8336:J8336">
    <cfRule type="duplicateValues" dxfId="0" priority="789"/>
  </conditionalFormatting>
  <conditionalFormatting sqref="H8337:J8337">
    <cfRule type="duplicateValues" dxfId="0" priority="788"/>
  </conditionalFormatting>
  <conditionalFormatting sqref="H8338:J8338">
    <cfRule type="duplicateValues" dxfId="0" priority="787"/>
  </conditionalFormatting>
  <conditionalFormatting sqref="H8339:J8339">
    <cfRule type="duplicateValues" dxfId="0" priority="786"/>
  </conditionalFormatting>
  <conditionalFormatting sqref="H8340:J8340">
    <cfRule type="duplicateValues" dxfId="0" priority="784"/>
  </conditionalFormatting>
  <conditionalFormatting sqref="H8341:J8341">
    <cfRule type="duplicateValues" dxfId="0" priority="783"/>
  </conditionalFormatting>
  <conditionalFormatting sqref="H8342:J8342">
    <cfRule type="duplicateValues" dxfId="0" priority="782"/>
  </conditionalFormatting>
  <conditionalFormatting sqref="H8343:J8343">
    <cfRule type="duplicateValues" dxfId="0" priority="781"/>
  </conditionalFormatting>
  <conditionalFormatting sqref="H8344:J8344">
    <cfRule type="duplicateValues" dxfId="0" priority="779"/>
  </conditionalFormatting>
  <conditionalFormatting sqref="H8345:J8345">
    <cfRule type="duplicateValues" dxfId="0" priority="777"/>
  </conditionalFormatting>
  <conditionalFormatting sqref="H8349:J8349">
    <cfRule type="duplicateValues" dxfId="0" priority="774"/>
  </conditionalFormatting>
  <conditionalFormatting sqref="H8378">
    <cfRule type="duplicateValues" dxfId="0" priority="252"/>
  </conditionalFormatting>
  <conditionalFormatting sqref="H8382">
    <cfRule type="duplicateValues" dxfId="0" priority="630"/>
  </conditionalFormatting>
  <conditionalFormatting sqref="H8384">
    <cfRule type="duplicateValues" dxfId="0" priority="348"/>
  </conditionalFormatting>
  <conditionalFormatting sqref="H8387">
    <cfRule type="duplicateValues" dxfId="0" priority="752"/>
  </conditionalFormatting>
  <conditionalFormatting sqref="H8389:J8389">
    <cfRule type="duplicateValues" dxfId="0" priority="767"/>
  </conditionalFormatting>
  <conditionalFormatting sqref="H8390:J8390">
    <cfRule type="duplicateValues" dxfId="0" priority="766"/>
  </conditionalFormatting>
  <conditionalFormatting sqref="I8398:J8398">
    <cfRule type="duplicateValues" dxfId="0" priority="764"/>
  </conditionalFormatting>
  <conditionalFormatting sqref="I8410">
    <cfRule type="duplicateValues" dxfId="0" priority="730"/>
  </conditionalFormatting>
  <conditionalFormatting sqref="H8420:J8420">
    <cfRule type="duplicateValues" dxfId="0" priority="762"/>
  </conditionalFormatting>
  <conditionalFormatting sqref="H8421:J8421">
    <cfRule type="duplicateValues" dxfId="0" priority="761"/>
  </conditionalFormatting>
  <conditionalFormatting sqref="H8427">
    <cfRule type="duplicateValues" dxfId="0" priority="617"/>
  </conditionalFormatting>
  <conditionalFormatting sqref="H8436:J8436">
    <cfRule type="duplicateValues" dxfId="0" priority="760"/>
  </conditionalFormatting>
  <conditionalFormatting sqref="H8437:J8437">
    <cfRule type="duplicateValues" dxfId="0" priority="759"/>
  </conditionalFormatting>
  <conditionalFormatting sqref="H8438:J8438">
    <cfRule type="duplicateValues" dxfId="0" priority="757"/>
  </conditionalFormatting>
  <conditionalFormatting sqref="H8439:J8439">
    <cfRule type="duplicateValues" dxfId="0" priority="750"/>
  </conditionalFormatting>
  <conditionalFormatting sqref="H8440:J8440">
    <cfRule type="duplicateValues" dxfId="0" priority="747"/>
  </conditionalFormatting>
  <conditionalFormatting sqref="H8441">
    <cfRule type="duplicateValues" dxfId="0" priority="745"/>
  </conditionalFormatting>
  <conditionalFormatting sqref="I8441:J8441">
    <cfRule type="duplicateValues" dxfId="0" priority="744"/>
  </conditionalFormatting>
  <conditionalFormatting sqref="H8442:J8442">
    <cfRule type="duplicateValues" dxfId="0" priority="742"/>
  </conditionalFormatting>
  <conditionalFormatting sqref="H8445:J8445">
    <cfRule type="duplicateValues" dxfId="0" priority="740"/>
  </conditionalFormatting>
  <conditionalFormatting sqref="H8455:J8455">
    <cfRule type="duplicateValues" dxfId="0" priority="737"/>
  </conditionalFormatting>
  <conditionalFormatting sqref="H8459:J8459">
    <cfRule type="duplicateValues" dxfId="0" priority="735"/>
  </conditionalFormatting>
  <conditionalFormatting sqref="H8460">
    <cfRule type="duplicateValues" dxfId="0" priority="530"/>
  </conditionalFormatting>
  <conditionalFormatting sqref="H8477">
    <cfRule type="duplicateValues" dxfId="0" priority="142"/>
  </conditionalFormatting>
  <conditionalFormatting sqref="H8488">
    <cfRule type="duplicateValues" dxfId="0" priority="652"/>
  </conditionalFormatting>
  <conditionalFormatting sqref="H8499">
    <cfRule type="duplicateValues" dxfId="0" priority="485"/>
  </conditionalFormatting>
  <conditionalFormatting sqref="H8500">
    <cfRule type="duplicateValues" dxfId="0" priority="451"/>
  </conditionalFormatting>
  <conditionalFormatting sqref="H8513:J8513">
    <cfRule type="duplicateValues" dxfId="0" priority="729"/>
  </conditionalFormatting>
  <conditionalFormatting sqref="H8514:J8514">
    <cfRule type="duplicateValues" dxfId="0" priority="727"/>
  </conditionalFormatting>
  <conditionalFormatting sqref="H8515:J8515">
    <cfRule type="duplicateValues" dxfId="0" priority="725"/>
  </conditionalFormatting>
  <conditionalFormatting sqref="H8516:J8516">
    <cfRule type="duplicateValues" dxfId="0" priority="723"/>
  </conditionalFormatting>
  <conditionalFormatting sqref="H8517:J8517">
    <cfRule type="duplicateValues" dxfId="0" priority="720"/>
  </conditionalFormatting>
  <conditionalFormatting sqref="H8518:J8518">
    <cfRule type="duplicateValues" dxfId="0" priority="716"/>
  </conditionalFormatting>
  <conditionalFormatting sqref="H8519:J8519">
    <cfRule type="duplicateValues" dxfId="0" priority="712"/>
  </conditionalFormatting>
  <conditionalFormatting sqref="H8520:J8520">
    <cfRule type="duplicateValues" dxfId="0" priority="710"/>
  </conditionalFormatting>
  <conditionalFormatting sqref="H8521:J8521">
    <cfRule type="duplicateValues" dxfId="0" priority="707"/>
  </conditionalFormatting>
  <conditionalFormatting sqref="H8571">
    <cfRule type="duplicateValues" dxfId="0" priority="553"/>
  </conditionalFormatting>
  <conditionalFormatting sqref="H8573">
    <cfRule type="duplicateValues" dxfId="0" priority="192"/>
  </conditionalFormatting>
  <conditionalFormatting sqref="H8583">
    <cfRule type="duplicateValues" dxfId="0" priority="665"/>
  </conditionalFormatting>
  <conditionalFormatting sqref="H8584:J8584">
    <cfRule type="duplicateValues" dxfId="0" priority="700"/>
  </conditionalFormatting>
  <conditionalFormatting sqref="H8587:J8587">
    <cfRule type="duplicateValues" dxfId="0" priority="698"/>
  </conditionalFormatting>
  <conditionalFormatting sqref="H8600">
    <cfRule type="duplicateValues" dxfId="0" priority="684"/>
  </conditionalFormatting>
  <conditionalFormatting sqref="H8610:J8610">
    <cfRule type="duplicateValues" dxfId="0" priority="691"/>
  </conditionalFormatting>
  <conditionalFormatting sqref="H8612:J8612">
    <cfRule type="duplicateValues" dxfId="0" priority="690"/>
  </conditionalFormatting>
  <conditionalFormatting sqref="H8613">
    <cfRule type="duplicateValues" dxfId="0" priority="687"/>
  </conditionalFormatting>
  <conditionalFormatting sqref="I8613:J8613">
    <cfRule type="duplicateValues" dxfId="0" priority="686"/>
  </conditionalFormatting>
  <conditionalFormatting sqref="H8614:J8614">
    <cfRule type="duplicateValues" dxfId="0" priority="683"/>
  </conditionalFormatting>
  <conditionalFormatting sqref="H8615">
    <cfRule type="duplicateValues" dxfId="0" priority="681"/>
  </conditionalFormatting>
  <conditionalFormatting sqref="I8615:J8615">
    <cfRule type="duplicateValues" dxfId="0" priority="680"/>
  </conditionalFormatting>
  <conditionalFormatting sqref="H8616:J8616">
    <cfRule type="duplicateValues" dxfId="0" priority="679"/>
  </conditionalFormatting>
  <conditionalFormatting sqref="H8617:J8617">
    <cfRule type="duplicateValues" dxfId="0" priority="678"/>
  </conditionalFormatting>
  <conditionalFormatting sqref="H8668">
    <cfRule type="duplicateValues" dxfId="0" priority="674"/>
  </conditionalFormatting>
  <conditionalFormatting sqref="H8674:J8674">
    <cfRule type="duplicateValues" dxfId="0" priority="672"/>
  </conditionalFormatting>
  <conditionalFormatting sqref="H8675:J8675">
    <cfRule type="duplicateValues" dxfId="0" priority="670"/>
  </conditionalFormatting>
  <conditionalFormatting sqref="H8676:J8676">
    <cfRule type="duplicateValues" dxfId="0" priority="669"/>
  </conditionalFormatting>
  <conditionalFormatting sqref="H8677:J8677">
    <cfRule type="duplicateValues" dxfId="0" priority="666"/>
  </conditionalFormatting>
  <conditionalFormatting sqref="H8698">
    <cfRule type="duplicateValues" dxfId="0" priority="308"/>
  </conditionalFormatting>
  <conditionalFormatting sqref="H8706:J8706">
    <cfRule type="duplicateValues" dxfId="0" priority="659"/>
  </conditionalFormatting>
  <conditionalFormatting sqref="H8710:J8710">
    <cfRule type="duplicateValues" dxfId="0" priority="658"/>
  </conditionalFormatting>
  <conditionalFormatting sqref="H8715:J8715">
    <cfRule type="duplicateValues" dxfId="0" priority="657"/>
  </conditionalFormatting>
  <conditionalFormatting sqref="H8716:J8716">
    <cfRule type="duplicateValues" dxfId="0" priority="656"/>
  </conditionalFormatting>
  <conditionalFormatting sqref="H8717:J8717">
    <cfRule type="duplicateValues" dxfId="0" priority="655"/>
  </conditionalFormatting>
  <conditionalFormatting sqref="H8718:J8718">
    <cfRule type="duplicateValues" dxfId="0" priority="653"/>
  </conditionalFormatting>
  <conditionalFormatting sqref="H8719:J8719">
    <cfRule type="duplicateValues" dxfId="0" priority="651"/>
  </conditionalFormatting>
  <conditionalFormatting sqref="H8720:J8720">
    <cfRule type="duplicateValues" dxfId="0" priority="650"/>
  </conditionalFormatting>
  <conditionalFormatting sqref="H8721:J8721">
    <cfRule type="duplicateValues" dxfId="0" priority="649"/>
  </conditionalFormatting>
  <conditionalFormatting sqref="H8722:J8722">
    <cfRule type="duplicateValues" dxfId="0" priority="647"/>
  </conditionalFormatting>
  <conditionalFormatting sqref="H8723:J8723">
    <cfRule type="duplicateValues" dxfId="0" priority="646"/>
  </conditionalFormatting>
  <conditionalFormatting sqref="H8724:J8724">
    <cfRule type="duplicateValues" dxfId="0" priority="645"/>
  </conditionalFormatting>
  <conditionalFormatting sqref="H8725:J8725">
    <cfRule type="duplicateValues" dxfId="0" priority="644"/>
  </conditionalFormatting>
  <conditionalFormatting sqref="H8726:J8726">
    <cfRule type="duplicateValues" dxfId="0" priority="643"/>
  </conditionalFormatting>
  <conditionalFormatting sqref="H8727:J8727">
    <cfRule type="duplicateValues" dxfId="0" priority="642"/>
  </conditionalFormatting>
  <conditionalFormatting sqref="H8728:J8728">
    <cfRule type="duplicateValues" dxfId="0" priority="641"/>
  </conditionalFormatting>
  <conditionalFormatting sqref="H8729:J8729">
    <cfRule type="duplicateValues" dxfId="0" priority="640"/>
  </conditionalFormatting>
  <conditionalFormatting sqref="J8751">
    <cfRule type="duplicateValues" dxfId="0" priority="506"/>
  </conditionalFormatting>
  <conditionalFormatting sqref="H8754">
    <cfRule type="duplicateValues" dxfId="0" priority="556"/>
  </conditionalFormatting>
  <conditionalFormatting sqref="H8758">
    <cfRule type="duplicateValues" dxfId="0" priority="320"/>
  </conditionalFormatting>
  <conditionalFormatting sqref="H8760:J8760">
    <cfRule type="duplicateValues" dxfId="0" priority="633"/>
  </conditionalFormatting>
  <conditionalFormatting sqref="H8764">
    <cfRule type="duplicateValues" dxfId="0" priority="558"/>
  </conditionalFormatting>
  <conditionalFormatting sqref="H8766">
    <cfRule type="duplicateValues" dxfId="0" priority="9"/>
  </conditionalFormatting>
  <conditionalFormatting sqref="I8769:J8769">
    <cfRule type="duplicateValues" dxfId="0" priority="632"/>
  </conditionalFormatting>
  <conditionalFormatting sqref="H8771">
    <cfRule type="duplicateValues" dxfId="0" priority="513"/>
  </conditionalFormatting>
  <conditionalFormatting sqref="H8773">
    <cfRule type="duplicateValues" dxfId="0" priority="266"/>
  </conditionalFormatting>
  <conditionalFormatting sqref="H8777">
    <cfRule type="duplicateValues" dxfId="0" priority="265"/>
  </conditionalFormatting>
  <conditionalFormatting sqref="I8778">
    <cfRule type="duplicateValues" dxfId="0" priority="557"/>
  </conditionalFormatting>
  <conditionalFormatting sqref="H8782">
    <cfRule type="duplicateValues" dxfId="0" priority="95"/>
  </conditionalFormatting>
  <conditionalFormatting sqref="H8784">
    <cfRule type="duplicateValues" dxfId="0" priority="602"/>
  </conditionalFormatting>
  <conditionalFormatting sqref="H8793:J8793">
    <cfRule type="duplicateValues" dxfId="0" priority="631"/>
  </conditionalFormatting>
  <conditionalFormatting sqref="H8794:J8794">
    <cfRule type="duplicateValues" dxfId="0" priority="629"/>
  </conditionalFormatting>
  <conditionalFormatting sqref="H8795:J8795">
    <cfRule type="duplicateValues" dxfId="0" priority="628"/>
  </conditionalFormatting>
  <conditionalFormatting sqref="H8796:J8796">
    <cfRule type="duplicateValues" dxfId="0" priority="626"/>
  </conditionalFormatting>
  <conditionalFormatting sqref="H8797:J8797">
    <cfRule type="duplicateValues" dxfId="0" priority="624"/>
  </conditionalFormatting>
  <conditionalFormatting sqref="H8798:J8798">
    <cfRule type="duplicateValues" dxfId="0" priority="622"/>
  </conditionalFormatting>
  <conditionalFormatting sqref="H8799:J8799">
    <cfRule type="duplicateValues" dxfId="0" priority="621"/>
  </conditionalFormatting>
  <conditionalFormatting sqref="H8800:J8800">
    <cfRule type="duplicateValues" dxfId="0" priority="620"/>
  </conditionalFormatting>
  <conditionalFormatting sqref="H8801">
    <cfRule type="duplicateValues" dxfId="0" priority="619"/>
  </conditionalFormatting>
  <conditionalFormatting sqref="I8801:J8801">
    <cfRule type="duplicateValues" dxfId="0" priority="618"/>
  </conditionalFormatting>
  <conditionalFormatting sqref="H8812:J8812">
    <cfRule type="duplicateValues" dxfId="0" priority="614"/>
  </conditionalFormatting>
  <conditionalFormatting sqref="I8833">
    <cfRule type="duplicateValues" dxfId="0" priority="566"/>
  </conditionalFormatting>
  <conditionalFormatting sqref="H8859">
    <cfRule type="duplicateValues" dxfId="0" priority="503"/>
  </conditionalFormatting>
  <conditionalFormatting sqref="H8860">
    <cfRule type="duplicateValues" dxfId="0" priority="588"/>
  </conditionalFormatting>
  <conditionalFormatting sqref="I8861">
    <cfRule type="duplicateValues" dxfId="0" priority="541"/>
  </conditionalFormatting>
  <conditionalFormatting sqref="H8872:J8872">
    <cfRule type="duplicateValues" dxfId="0" priority="607"/>
  </conditionalFormatting>
  <conditionalFormatting sqref="H8873:J8873">
    <cfRule type="duplicateValues" dxfId="0" priority="606"/>
  </conditionalFormatting>
  <conditionalFormatting sqref="H8874:J8874">
    <cfRule type="duplicateValues" dxfId="0" priority="605"/>
  </conditionalFormatting>
  <conditionalFormatting sqref="H8875:J8875">
    <cfRule type="duplicateValues" dxfId="0" priority="603"/>
  </conditionalFormatting>
  <conditionalFormatting sqref="H8876:J8876">
    <cfRule type="duplicateValues" dxfId="0" priority="601"/>
  </conditionalFormatting>
  <conditionalFormatting sqref="H8877:J8877">
    <cfRule type="duplicateValues" dxfId="0" priority="598"/>
  </conditionalFormatting>
  <conditionalFormatting sqref="H8878:J8878">
    <cfRule type="duplicateValues" dxfId="0" priority="597"/>
  </conditionalFormatting>
  <conditionalFormatting sqref="H8879:J8879">
    <cfRule type="duplicateValues" dxfId="0" priority="595"/>
  </conditionalFormatting>
  <conditionalFormatting sqref="H8880:J8880">
    <cfRule type="duplicateValues" dxfId="0" priority="593"/>
  </conditionalFormatting>
  <conditionalFormatting sqref="H8881:J8881">
    <cfRule type="duplicateValues" dxfId="0" priority="590"/>
  </conditionalFormatting>
  <conditionalFormatting sqref="H8882:J8882">
    <cfRule type="duplicateValues" dxfId="0" priority="589"/>
  </conditionalFormatting>
  <conditionalFormatting sqref="H8883:J8883">
    <cfRule type="duplicateValues" dxfId="0" priority="587"/>
  </conditionalFormatting>
  <conditionalFormatting sqref="H8884:J8884">
    <cfRule type="duplicateValues" dxfId="0" priority="586"/>
  </conditionalFormatting>
  <conditionalFormatting sqref="H8916">
    <cfRule type="duplicateValues" dxfId="0" priority="554"/>
  </conditionalFormatting>
  <conditionalFormatting sqref="H8923">
    <cfRule type="duplicateValues" dxfId="0" priority="256"/>
  </conditionalFormatting>
  <conditionalFormatting sqref="J8923">
    <cfRule type="duplicateValues" dxfId="0" priority="255"/>
  </conditionalFormatting>
  <conditionalFormatting sqref="I8924">
    <cfRule type="duplicateValues" dxfId="0" priority="442"/>
  </conditionalFormatting>
  <conditionalFormatting sqref="H8931:J8931">
    <cfRule type="duplicateValues" dxfId="0" priority="577"/>
  </conditionalFormatting>
  <conditionalFormatting sqref="H8932:J8932">
    <cfRule type="duplicateValues" dxfId="0" priority="575"/>
  </conditionalFormatting>
  <conditionalFormatting sqref="C8933">
    <cfRule type="duplicateValues" dxfId="0" priority="573"/>
  </conditionalFormatting>
  <conditionalFormatting sqref="H8933:J8933">
    <cfRule type="duplicateValues" dxfId="0" priority="574"/>
  </conditionalFormatting>
  <conditionalFormatting sqref="H8934:J8934">
    <cfRule type="duplicateValues" dxfId="0" priority="571"/>
  </conditionalFormatting>
  <conditionalFormatting sqref="H8935:J8935">
    <cfRule type="duplicateValues" dxfId="0" priority="570"/>
  </conditionalFormatting>
  <conditionalFormatting sqref="H8936:J8936">
    <cfRule type="duplicateValues" dxfId="0" priority="569"/>
  </conditionalFormatting>
  <conditionalFormatting sqref="H8937:J8937">
    <cfRule type="duplicateValues" dxfId="0" priority="567"/>
  </conditionalFormatting>
  <conditionalFormatting sqref="H8938:J8938">
    <cfRule type="duplicateValues" dxfId="0" priority="564"/>
  </conditionalFormatting>
  <conditionalFormatting sqref="H8944:J8944">
    <cfRule type="duplicateValues" dxfId="0" priority="548"/>
  </conditionalFormatting>
  <conditionalFormatting sqref="H8948:J8948">
    <cfRule type="duplicateValues" dxfId="0" priority="546"/>
  </conditionalFormatting>
  <conditionalFormatting sqref="H8964:J8964">
    <cfRule type="duplicateValues" dxfId="0" priority="543"/>
  </conditionalFormatting>
  <conditionalFormatting sqref="H8965">
    <cfRule type="duplicateValues" dxfId="0" priority="534"/>
  </conditionalFormatting>
  <conditionalFormatting sqref="H8977:J8977">
    <cfRule type="duplicateValues" dxfId="0" priority="542"/>
  </conditionalFormatting>
  <conditionalFormatting sqref="H8978:J8978">
    <cfRule type="duplicateValues" dxfId="0" priority="539"/>
  </conditionalFormatting>
  <conditionalFormatting sqref="H8979:J8979">
    <cfRule type="duplicateValues" dxfId="0" priority="536"/>
  </conditionalFormatting>
  <conditionalFormatting sqref="H8980:J8980">
    <cfRule type="duplicateValues" dxfId="0" priority="531"/>
  </conditionalFormatting>
  <conditionalFormatting sqref="H8981">
    <cfRule type="duplicateValues" dxfId="0" priority="527"/>
  </conditionalFormatting>
  <conditionalFormatting sqref="I8981:J8981">
    <cfRule type="duplicateValues" dxfId="0" priority="526"/>
  </conditionalFormatting>
  <conditionalFormatting sqref="H8982:J8982">
    <cfRule type="duplicateValues" dxfId="0" priority="524"/>
  </conditionalFormatting>
  <conditionalFormatting sqref="H8983:J8983">
    <cfRule type="duplicateValues" dxfId="0" priority="523"/>
  </conditionalFormatting>
  <conditionalFormatting sqref="H8996">
    <cfRule type="duplicateValues" dxfId="0" priority="508"/>
  </conditionalFormatting>
  <conditionalFormatting sqref="H9007">
    <cfRule type="duplicateValues" dxfId="0" priority="268"/>
  </conditionalFormatting>
  <conditionalFormatting sqref="H9014:J9014">
    <cfRule type="duplicateValues" dxfId="0" priority="517"/>
  </conditionalFormatting>
  <conditionalFormatting sqref="H9015:J9015">
    <cfRule type="duplicateValues" dxfId="0" priority="516"/>
  </conditionalFormatting>
  <conditionalFormatting sqref="H9016:J9016">
    <cfRule type="duplicateValues" dxfId="0" priority="512"/>
  </conditionalFormatting>
  <conditionalFormatting sqref="H9017:J9017">
    <cfRule type="duplicateValues" dxfId="0" priority="511"/>
  </conditionalFormatting>
  <conditionalFormatting sqref="H9018:J9018">
    <cfRule type="duplicateValues" dxfId="0" priority="507"/>
  </conditionalFormatting>
  <conditionalFormatting sqref="H9019:J9019">
    <cfRule type="duplicateValues" dxfId="0" priority="505"/>
  </conditionalFormatting>
  <conditionalFormatting sqref="H9020:J9020">
    <cfRule type="duplicateValues" dxfId="0" priority="504"/>
  </conditionalFormatting>
  <conditionalFormatting sqref="H9021:J9021">
    <cfRule type="duplicateValues" dxfId="0" priority="502"/>
  </conditionalFormatting>
  <conditionalFormatting sqref="H9024:J9024">
    <cfRule type="duplicateValues" dxfId="0" priority="500"/>
  </conditionalFormatting>
  <conditionalFormatting sqref="H9036:J9036">
    <cfRule type="duplicateValues" dxfId="0" priority="497"/>
  </conditionalFormatting>
  <conditionalFormatting sqref="H9037:J9037">
    <cfRule type="duplicateValues" dxfId="0" priority="496"/>
  </conditionalFormatting>
  <conditionalFormatting sqref="I9043">
    <cfRule type="duplicateValues" dxfId="0" priority="445"/>
  </conditionalFormatting>
  <conditionalFormatting sqref="H9056:J9056">
    <cfRule type="duplicateValues" dxfId="0" priority="492"/>
  </conditionalFormatting>
  <conditionalFormatting sqref="H9058:J9058">
    <cfRule type="duplicateValues" dxfId="0" priority="490"/>
  </conditionalFormatting>
  <conditionalFormatting sqref="H9059:J9059">
    <cfRule type="duplicateValues" dxfId="0" priority="489"/>
  </conditionalFormatting>
  <conditionalFormatting sqref="H9060:J9060">
    <cfRule type="duplicateValues" dxfId="0" priority="487"/>
  </conditionalFormatting>
  <conditionalFormatting sqref="H9061:J9061">
    <cfRule type="duplicateValues" dxfId="0" priority="486"/>
  </conditionalFormatting>
  <conditionalFormatting sqref="H9062:J9062">
    <cfRule type="duplicateValues" dxfId="0" priority="481"/>
  </conditionalFormatting>
  <conditionalFormatting sqref="H9063:J9063">
    <cfRule type="duplicateValues" dxfId="0" priority="480"/>
  </conditionalFormatting>
  <conditionalFormatting sqref="H9064:J9064">
    <cfRule type="duplicateValues" dxfId="0" priority="479"/>
  </conditionalFormatting>
  <conditionalFormatting sqref="H9069:J9069">
    <cfRule type="duplicateValues" dxfId="0" priority="477"/>
  </conditionalFormatting>
  <conditionalFormatting sqref="H9070:J9070">
    <cfRule type="duplicateValues" dxfId="0" priority="476"/>
  </conditionalFormatting>
  <conditionalFormatting sqref="H9071:J9071">
    <cfRule type="duplicateValues" dxfId="0" priority="475"/>
  </conditionalFormatting>
  <conditionalFormatting sqref="H9072:J9072">
    <cfRule type="duplicateValues" dxfId="0" priority="474"/>
  </conditionalFormatting>
  <conditionalFormatting sqref="H9077">
    <cfRule type="duplicateValues" dxfId="0" priority="277"/>
  </conditionalFormatting>
  <conditionalFormatting sqref="H9092">
    <cfRule type="duplicateValues" dxfId="0" priority="65"/>
  </conditionalFormatting>
  <conditionalFormatting sqref="H9096">
    <cfRule type="duplicateValues" dxfId="0" priority="385"/>
  </conditionalFormatting>
  <conditionalFormatting sqref="H9119">
    <cfRule type="duplicateValues" dxfId="0" priority="307"/>
  </conditionalFormatting>
  <conditionalFormatting sqref="H9144:J9144">
    <cfRule type="duplicateValues" dxfId="0" priority="472"/>
  </conditionalFormatting>
  <conditionalFormatting sqref="H9145:J9145">
    <cfRule type="duplicateValues" dxfId="0" priority="470"/>
  </conditionalFormatting>
  <conditionalFormatting sqref="H9146:J9146">
    <cfRule type="duplicateValues" dxfId="0" priority="469"/>
  </conditionalFormatting>
  <conditionalFormatting sqref="H9147:J9147">
    <cfRule type="duplicateValues" dxfId="0" priority="467"/>
  </conditionalFormatting>
  <conditionalFormatting sqref="H9148:J9148">
    <cfRule type="duplicateValues" dxfId="0" priority="464"/>
  </conditionalFormatting>
  <conditionalFormatting sqref="H9149:J9149">
    <cfRule type="duplicateValues" dxfId="0" priority="462"/>
  </conditionalFormatting>
  <conditionalFormatting sqref="H9150:J9150">
    <cfRule type="duplicateValues" dxfId="0" priority="461"/>
  </conditionalFormatting>
  <conditionalFormatting sqref="H9151:J9151">
    <cfRule type="duplicateValues" dxfId="0" priority="459"/>
  </conditionalFormatting>
  <conditionalFormatting sqref="H9152:J9152">
    <cfRule type="duplicateValues" dxfId="0" priority="454"/>
  </conditionalFormatting>
  <conditionalFormatting sqref="H9153:J9153">
    <cfRule type="duplicateValues" dxfId="0" priority="453"/>
  </conditionalFormatting>
  <conditionalFormatting sqref="H9154:J9154">
    <cfRule type="duplicateValues" dxfId="0" priority="450"/>
  </conditionalFormatting>
  <conditionalFormatting sqref="H9155:J9155">
    <cfRule type="duplicateValues" dxfId="0" priority="447"/>
  </conditionalFormatting>
  <conditionalFormatting sqref="H9156:J9156">
    <cfRule type="duplicateValues" dxfId="0" priority="446"/>
  </conditionalFormatting>
  <conditionalFormatting sqref="H9157:J9157">
    <cfRule type="duplicateValues" dxfId="0" priority="443"/>
  </conditionalFormatting>
  <conditionalFormatting sqref="H9158:J9158">
    <cfRule type="duplicateValues" dxfId="0" priority="441"/>
  </conditionalFormatting>
  <conditionalFormatting sqref="H9159:J9159">
    <cfRule type="duplicateValues" dxfId="0" priority="440"/>
  </conditionalFormatting>
  <conditionalFormatting sqref="H9160">
    <cfRule type="duplicateValues" dxfId="0" priority="439"/>
  </conditionalFormatting>
  <conditionalFormatting sqref="I9160:J9160">
    <cfRule type="duplicateValues" dxfId="0" priority="438"/>
  </conditionalFormatting>
  <conditionalFormatting sqref="H9164:J9164">
    <cfRule type="duplicateValues" dxfId="0" priority="436"/>
  </conditionalFormatting>
  <conditionalFormatting sqref="H9181:J9181">
    <cfRule type="duplicateValues" dxfId="0" priority="431"/>
  </conditionalFormatting>
  <conditionalFormatting sqref="H9186:J9186">
    <cfRule type="duplicateValues" dxfId="0" priority="425"/>
  </conditionalFormatting>
  <conditionalFormatting sqref="H9187:J9187">
    <cfRule type="duplicateValues" dxfId="0" priority="424"/>
  </conditionalFormatting>
  <conditionalFormatting sqref="H9193">
    <cfRule type="duplicateValues" dxfId="0" priority="371"/>
  </conditionalFormatting>
  <conditionalFormatting sqref="H9212">
    <cfRule type="duplicateValues" dxfId="0" priority="343"/>
  </conditionalFormatting>
  <conditionalFormatting sqref="H9215">
    <cfRule type="duplicateValues" dxfId="0" priority="347"/>
  </conditionalFormatting>
  <conditionalFormatting sqref="H9229:J9229">
    <cfRule type="duplicateValues" dxfId="0" priority="418"/>
  </conditionalFormatting>
  <conditionalFormatting sqref="H9357:J9357">
    <cfRule type="duplicateValues" dxfId="0" priority="416"/>
  </conditionalFormatting>
  <conditionalFormatting sqref="H9360:J9360">
    <cfRule type="duplicateValues" dxfId="0" priority="401"/>
  </conditionalFormatting>
  <conditionalFormatting sqref="H9361:J9361">
    <cfRule type="duplicateValues" dxfId="0" priority="400"/>
  </conditionalFormatting>
  <conditionalFormatting sqref="H9366">
    <cfRule type="duplicateValues" dxfId="0" priority="374"/>
  </conditionalFormatting>
  <conditionalFormatting sqref="H9367:J9367">
    <cfRule type="duplicateValues" dxfId="0" priority="399"/>
  </conditionalFormatting>
  <conditionalFormatting sqref="H9368:J9368">
    <cfRule type="duplicateValues" dxfId="0" priority="398"/>
  </conditionalFormatting>
  <conditionalFormatting sqref="H9369:J9369">
    <cfRule type="duplicateValues" dxfId="0" priority="397"/>
  </conditionalFormatting>
  <conditionalFormatting sqref="H9370:J9370">
    <cfRule type="duplicateValues" dxfId="0" priority="396"/>
  </conditionalFormatting>
  <conditionalFormatting sqref="H9371:J9371">
    <cfRule type="duplicateValues" dxfId="0" priority="395"/>
  </conditionalFormatting>
  <conditionalFormatting sqref="H9372:J9372">
    <cfRule type="duplicateValues" dxfId="0" priority="394"/>
  </conditionalFormatting>
  <conditionalFormatting sqref="I9375:J9375">
    <cfRule type="duplicateValues" dxfId="0" priority="392"/>
  </conditionalFormatting>
  <conditionalFormatting sqref="H9379:J9379">
    <cfRule type="duplicateValues" dxfId="0" priority="391"/>
  </conditionalFormatting>
  <conditionalFormatting sqref="H9407:J9407">
    <cfRule type="duplicateValues" dxfId="0" priority="389"/>
  </conditionalFormatting>
  <conditionalFormatting sqref="H9418:J9418">
    <cfRule type="duplicateValues" dxfId="0" priority="386"/>
  </conditionalFormatting>
  <conditionalFormatting sqref="H9428">
    <cfRule type="duplicateValues" dxfId="0" priority="178"/>
  </conditionalFormatting>
  <conditionalFormatting sqref="I9428">
    <cfRule type="duplicateValues" dxfId="0" priority="179"/>
  </conditionalFormatting>
  <conditionalFormatting sqref="J9428">
    <cfRule type="duplicateValues" dxfId="0" priority="180"/>
  </conditionalFormatting>
  <conditionalFormatting sqref="H9438">
    <cfRule type="duplicateValues" dxfId="0" priority="346"/>
  </conditionalFormatting>
  <conditionalFormatting sqref="H9441">
    <cfRule type="duplicateValues" dxfId="3" priority="3"/>
  </conditionalFormatting>
  <conditionalFormatting sqref="H9448:J9448">
    <cfRule type="duplicateValues" dxfId="0" priority="379"/>
  </conditionalFormatting>
  <conditionalFormatting sqref="H9449:J9449">
    <cfRule type="duplicateValues" dxfId="0" priority="377"/>
  </conditionalFormatting>
  <conditionalFormatting sqref="H9450:J9450">
    <cfRule type="duplicateValues" dxfId="0" priority="376"/>
  </conditionalFormatting>
  <conditionalFormatting sqref="H9451:J9451">
    <cfRule type="duplicateValues" dxfId="0" priority="375"/>
  </conditionalFormatting>
  <conditionalFormatting sqref="H9475">
    <cfRule type="duplicateValues" dxfId="0" priority="295"/>
  </conditionalFormatting>
  <conditionalFormatting sqref="H9485:J9485">
    <cfRule type="duplicateValues" dxfId="0" priority="370"/>
  </conditionalFormatting>
  <conditionalFormatting sqref="H9486:J9486">
    <cfRule type="duplicateValues" dxfId="0" priority="369"/>
  </conditionalFormatting>
  <conditionalFormatting sqref="I9503">
    <cfRule type="duplicateValues" dxfId="0" priority="131"/>
  </conditionalFormatting>
  <conditionalFormatting sqref="H9517">
    <cfRule type="duplicateValues" dxfId="0" priority="135"/>
  </conditionalFormatting>
  <conditionalFormatting sqref="H9521">
    <cfRule type="duplicateValues" dxfId="0" priority="141"/>
  </conditionalFormatting>
  <conditionalFormatting sqref="I9532">
    <cfRule type="duplicateValues" dxfId="0" priority="292"/>
  </conditionalFormatting>
  <conditionalFormatting sqref="H9536">
    <cfRule type="duplicateValues" dxfId="0" priority="128"/>
  </conditionalFormatting>
  <conditionalFormatting sqref="H9537">
    <cfRule type="duplicateValues" dxfId="0" priority="165"/>
  </conditionalFormatting>
  <conditionalFormatting sqref="H9538">
    <cfRule type="duplicateValues" dxfId="0" priority="313"/>
  </conditionalFormatting>
  <conditionalFormatting sqref="H9543">
    <cfRule type="duplicateValues" dxfId="0" priority="353"/>
  </conditionalFormatting>
  <conditionalFormatting sqref="H9556:J9556">
    <cfRule type="duplicateValues" dxfId="0" priority="364"/>
  </conditionalFormatting>
  <conditionalFormatting sqref="H9557:J9557">
    <cfRule type="duplicateValues" dxfId="0" priority="363"/>
  </conditionalFormatting>
  <conditionalFormatting sqref="H9577:J9577">
    <cfRule type="duplicateValues" dxfId="0" priority="360"/>
  </conditionalFormatting>
  <conditionalFormatting sqref="H9578:J9578">
    <cfRule type="duplicateValues" dxfId="0" priority="359"/>
  </conditionalFormatting>
  <conditionalFormatting sqref="H9582">
    <cfRule type="duplicateValues" dxfId="0" priority="161"/>
  </conditionalFormatting>
  <conditionalFormatting sqref="H9606:J9606">
    <cfRule type="duplicateValues" dxfId="0" priority="356"/>
  </conditionalFormatting>
  <conditionalFormatting sqref="H9633:J9633">
    <cfRule type="duplicateValues" dxfId="0" priority="345"/>
  </conditionalFormatting>
  <conditionalFormatting sqref="H9634:J9634">
    <cfRule type="duplicateValues" dxfId="0" priority="344"/>
  </conditionalFormatting>
  <conditionalFormatting sqref="H9635:J9635">
    <cfRule type="duplicateValues" dxfId="0" priority="341"/>
  </conditionalFormatting>
  <conditionalFormatting sqref="H9656">
    <cfRule type="duplicateValues" dxfId="0" priority="304"/>
  </conditionalFormatting>
  <conditionalFormatting sqref="H9660">
    <cfRule type="duplicateValues" dxfId="0" priority="338"/>
  </conditionalFormatting>
  <conditionalFormatting sqref="H9661">
    <cfRule type="duplicateValues" dxfId="0" priority="19"/>
  </conditionalFormatting>
  <conditionalFormatting sqref="H9663">
    <cfRule type="duplicateValues" dxfId="0" priority="337"/>
  </conditionalFormatting>
  <conditionalFormatting sqref="I9663:J9663">
    <cfRule type="duplicateValues" dxfId="0" priority="336"/>
  </conditionalFormatting>
  <conditionalFormatting sqref="H9664:J9664">
    <cfRule type="duplicateValues" dxfId="0" priority="335"/>
  </conditionalFormatting>
  <conditionalFormatting sqref="H9692">
    <cfRule type="duplicateValues" dxfId="0" priority="114"/>
  </conditionalFormatting>
  <conditionalFormatting sqref="H9713:J9713">
    <cfRule type="duplicateValues" dxfId="0" priority="331"/>
  </conditionalFormatting>
  <conditionalFormatting sqref="H9714:J9714">
    <cfRule type="duplicateValues" dxfId="0" priority="330"/>
  </conditionalFormatting>
  <conditionalFormatting sqref="H9715:J9715">
    <cfRule type="duplicateValues" dxfId="0" priority="329"/>
  </conditionalFormatting>
  <conditionalFormatting sqref="H9716:J9716">
    <cfRule type="duplicateValues" dxfId="0" priority="328"/>
  </conditionalFormatting>
  <conditionalFormatting sqref="H9724:J9724">
    <cfRule type="duplicateValues" dxfId="0" priority="325"/>
  </conditionalFormatting>
  <conditionalFormatting sqref="H9725:J9725">
    <cfRule type="duplicateValues" dxfId="0" priority="324"/>
  </conditionalFormatting>
  <conditionalFormatting sqref="H9733">
    <cfRule type="duplicateValues" dxfId="0" priority="169"/>
  </conditionalFormatting>
  <conditionalFormatting sqref="J9734">
    <cfRule type="duplicateValues" dxfId="0" priority="322"/>
  </conditionalFormatting>
  <conditionalFormatting sqref="H9755:J9755">
    <cfRule type="duplicateValues" dxfId="0" priority="321"/>
  </conditionalFormatting>
  <conditionalFormatting sqref="H9756:J9756">
    <cfRule type="duplicateValues" dxfId="0" priority="317"/>
  </conditionalFormatting>
  <conditionalFormatting sqref="I9768">
    <cfRule type="duplicateValues" dxfId="0" priority="250"/>
  </conditionalFormatting>
  <conditionalFormatting sqref="H9772">
    <cfRule type="duplicateValues" dxfId="0" priority="144"/>
  </conditionalFormatting>
  <conditionalFormatting sqref="H9778">
    <cfRule type="duplicateValues" dxfId="0" priority="132"/>
  </conditionalFormatting>
  <conditionalFormatting sqref="H9782">
    <cfRule type="duplicateValues" dxfId="0" priority="222"/>
  </conditionalFormatting>
  <conditionalFormatting sqref="H9822">
    <cfRule type="duplicateValues" dxfId="0" priority="159"/>
  </conditionalFormatting>
  <conditionalFormatting sqref="J9827">
    <cfRule type="duplicateValues" dxfId="0" priority="247"/>
  </conditionalFormatting>
  <conditionalFormatting sqref="H9839:J9839">
    <cfRule type="duplicateValues" dxfId="0" priority="312"/>
  </conditionalFormatting>
  <conditionalFormatting sqref="H9840">
    <cfRule type="duplicateValues" dxfId="0" priority="306"/>
  </conditionalFormatting>
  <conditionalFormatting sqref="I9840:J9840">
    <cfRule type="duplicateValues" dxfId="0" priority="305"/>
  </conditionalFormatting>
  <conditionalFormatting sqref="H9841:J9841">
    <cfRule type="duplicateValues" dxfId="0" priority="303"/>
  </conditionalFormatting>
  <conditionalFormatting sqref="H9884">
    <cfRule type="duplicateValues" dxfId="0" priority="291"/>
  </conditionalFormatting>
  <conditionalFormatting sqref="H9891">
    <cfRule type="duplicateValues" dxfId="0" priority="177"/>
  </conditionalFormatting>
  <conditionalFormatting sqref="H9896:J9896">
    <cfRule type="duplicateValues" dxfId="0" priority="300"/>
  </conditionalFormatting>
  <conditionalFormatting sqref="H9897:J9897">
    <cfRule type="duplicateValues" dxfId="0" priority="299"/>
  </conditionalFormatting>
  <conditionalFormatting sqref="H9898:J9898">
    <cfRule type="duplicateValues" dxfId="0" priority="298"/>
  </conditionalFormatting>
  <conditionalFormatting sqref="H9899:J9899">
    <cfRule type="duplicateValues" dxfId="0" priority="297"/>
  </conditionalFormatting>
  <conditionalFormatting sqref="H9900:J9900">
    <cfRule type="duplicateValues" dxfId="0" priority="296"/>
  </conditionalFormatting>
  <conditionalFormatting sqref="H9930:J9930">
    <cfRule type="duplicateValues" dxfId="0" priority="290"/>
  </conditionalFormatting>
  <conditionalFormatting sqref="I9946:J9946">
    <cfRule type="duplicateValues" dxfId="0" priority="287"/>
  </conditionalFormatting>
  <conditionalFormatting sqref="H9948">
    <cfRule type="duplicateValues" dxfId="0" priority="152"/>
  </conditionalFormatting>
  <conditionalFormatting sqref="H9953:J9953">
    <cfRule type="duplicateValues" dxfId="0" priority="286"/>
  </conditionalFormatting>
  <conditionalFormatting sqref="H9955:J9955">
    <cfRule type="duplicateValues" dxfId="0" priority="285"/>
  </conditionalFormatting>
  <conditionalFormatting sqref="H9991:J9991">
    <cfRule type="duplicateValues" dxfId="0" priority="280"/>
  </conditionalFormatting>
  <conditionalFormatting sqref="H9992:J9992">
    <cfRule type="duplicateValues" dxfId="0" priority="279"/>
  </conditionalFormatting>
  <conditionalFormatting sqref="H9993:J9993">
    <cfRule type="duplicateValues" dxfId="0" priority="278"/>
  </conditionalFormatting>
  <conditionalFormatting sqref="H10012">
    <cfRule type="duplicateValues" dxfId="0" priority="157"/>
  </conditionalFormatting>
  <conditionalFormatting sqref="H10056">
    <cfRule type="duplicateValues" dxfId="0" priority="162"/>
  </conditionalFormatting>
  <conditionalFormatting sqref="I10069">
    <cfRule type="duplicateValues" dxfId="0" priority="150"/>
  </conditionalFormatting>
  <conditionalFormatting sqref="H10071">
    <cfRule type="duplicateValues" dxfId="0" priority="254"/>
  </conditionalFormatting>
  <conditionalFormatting sqref="H10073:J10073">
    <cfRule type="duplicateValues" dxfId="0" priority="273"/>
  </conditionalFormatting>
  <conditionalFormatting sqref="H10076:J10076">
    <cfRule type="duplicateValues" dxfId="0" priority="271"/>
  </conditionalFormatting>
  <conditionalFormatting sqref="H10077:J10077">
    <cfRule type="duplicateValues" dxfId="0" priority="270"/>
  </conditionalFormatting>
  <conditionalFormatting sqref="H10078:J10078">
    <cfRule type="duplicateValues" dxfId="0" priority="267"/>
  </conditionalFormatting>
  <conditionalFormatting sqref="H10079:J10079">
    <cfRule type="duplicateValues" dxfId="0" priority="264"/>
  </conditionalFormatting>
  <conditionalFormatting sqref="H10080:J10080">
    <cfRule type="duplicateValues" dxfId="0" priority="263"/>
  </conditionalFormatting>
  <conditionalFormatting sqref="H10081:J10081">
    <cfRule type="duplicateValues" dxfId="0" priority="261"/>
  </conditionalFormatting>
  <conditionalFormatting sqref="H10082:J10082">
    <cfRule type="duplicateValues" dxfId="0" priority="260"/>
  </conditionalFormatting>
  <conditionalFormatting sqref="H10122">
    <cfRule type="duplicateValues" dxfId="0" priority="191"/>
  </conditionalFormatting>
  <conditionalFormatting sqref="H10127:J10127">
    <cfRule type="duplicateValues" dxfId="0" priority="257"/>
  </conditionalFormatting>
  <conditionalFormatting sqref="H10128:J10128">
    <cfRule type="duplicateValues" dxfId="0" priority="251"/>
  </conditionalFormatting>
  <conditionalFormatting sqref="H10129:J10129">
    <cfRule type="duplicateValues" dxfId="0" priority="249"/>
  </conditionalFormatting>
  <conditionalFormatting sqref="H10130:J10130">
    <cfRule type="duplicateValues" dxfId="0" priority="246"/>
  </conditionalFormatting>
  <conditionalFormatting sqref="H10131:J10131">
    <cfRule type="duplicateValues" dxfId="0" priority="245"/>
  </conditionalFormatting>
  <conditionalFormatting sqref="H10135:J10135">
    <cfRule type="duplicateValues" dxfId="0" priority="243"/>
  </conditionalFormatting>
  <conditionalFormatting sqref="H10136:J10136">
    <cfRule type="duplicateValues" dxfId="0" priority="242"/>
  </conditionalFormatting>
  <conditionalFormatting sqref="H10145">
    <cfRule type="duplicateValues" dxfId="0" priority="195"/>
  </conditionalFormatting>
  <conditionalFormatting sqref="H10153:J10153">
    <cfRule type="duplicateValues" dxfId="0" priority="234"/>
  </conditionalFormatting>
  <conditionalFormatting sqref="I10155:J10155">
    <cfRule type="duplicateValues" dxfId="0" priority="233"/>
  </conditionalFormatting>
  <conditionalFormatting sqref="H10157:J10157">
    <cfRule type="duplicateValues" dxfId="0" priority="232"/>
  </conditionalFormatting>
  <conditionalFormatting sqref="H10160:J10160">
    <cfRule type="duplicateValues" dxfId="0" priority="231"/>
  </conditionalFormatting>
  <conditionalFormatting sqref="H10161:J10161">
    <cfRule type="duplicateValues" dxfId="0" priority="230"/>
  </conditionalFormatting>
  <conditionalFormatting sqref="H10181:J10181">
    <cfRule type="duplicateValues" dxfId="0" priority="225"/>
  </conditionalFormatting>
  <conditionalFormatting sqref="H10182:J10182">
    <cfRule type="duplicateValues" dxfId="0" priority="223"/>
  </conditionalFormatting>
  <conditionalFormatting sqref="H10183:J10183">
    <cfRule type="duplicateValues" dxfId="0" priority="221"/>
  </conditionalFormatting>
  <conditionalFormatting sqref="H10184:J10184">
    <cfRule type="duplicateValues" dxfId="0" priority="220"/>
  </conditionalFormatting>
  <conditionalFormatting sqref="H10185:J10185">
    <cfRule type="duplicateValues" dxfId="0" priority="219"/>
  </conditionalFormatting>
  <conditionalFormatting sqref="A10199">
    <cfRule type="duplicateValues" dxfId="0" priority="216"/>
  </conditionalFormatting>
  <conditionalFormatting sqref="I10199">
    <cfRule type="duplicateValues" dxfId="0" priority="215"/>
  </conditionalFormatting>
  <conditionalFormatting sqref="A10200">
    <cfRule type="duplicateValues" dxfId="0" priority="213"/>
  </conditionalFormatting>
  <conditionalFormatting sqref="H10200:J10200">
    <cfRule type="duplicateValues" dxfId="0" priority="212"/>
  </conditionalFormatting>
  <conditionalFormatting sqref="H10201:J10201">
    <cfRule type="duplicateValues" dxfId="0" priority="211"/>
  </conditionalFormatting>
  <conditionalFormatting sqref="I10204">
    <cfRule type="duplicateValues" dxfId="0" priority="64"/>
  </conditionalFormatting>
  <conditionalFormatting sqref="H10210:J10210">
    <cfRule type="duplicateValues" dxfId="0" priority="193"/>
  </conditionalFormatting>
  <conditionalFormatting sqref="H10212:J10212">
    <cfRule type="duplicateValues" dxfId="0" priority="190"/>
  </conditionalFormatting>
  <conditionalFormatting sqref="H10213:J10213">
    <cfRule type="duplicateValues" dxfId="0" priority="188"/>
  </conditionalFormatting>
  <conditionalFormatting sqref="H10264:J10264">
    <cfRule type="duplicateValues" dxfId="0" priority="173"/>
  </conditionalFormatting>
  <conditionalFormatting sqref="H10265:J10265">
    <cfRule type="duplicateValues" dxfId="0" priority="171"/>
  </conditionalFormatting>
  <conditionalFormatting sqref="H10297:J10297">
    <cfRule type="duplicateValues" dxfId="0" priority="164"/>
  </conditionalFormatting>
  <conditionalFormatting sqref="H10298:J10298">
    <cfRule type="duplicateValues" dxfId="0" priority="163"/>
  </conditionalFormatting>
  <conditionalFormatting sqref="H10299:J10299">
    <cfRule type="duplicateValues" dxfId="0" priority="158"/>
  </conditionalFormatting>
  <conditionalFormatting sqref="H10300:J10300">
    <cfRule type="duplicateValues" dxfId="0" priority="156"/>
  </conditionalFormatting>
  <conditionalFormatting sqref="H10315">
    <cfRule type="duplicateValues" dxfId="0" priority="154"/>
  </conditionalFormatting>
  <conditionalFormatting sqref="I10315:J10315">
    <cfRule type="duplicateValues" dxfId="0" priority="153"/>
  </conditionalFormatting>
  <conditionalFormatting sqref="J10323">
    <cfRule type="duplicateValues" dxfId="0" priority="68"/>
  </conditionalFormatting>
  <conditionalFormatting sqref="H10333">
    <cfRule type="duplicateValues" dxfId="0" priority="71"/>
  </conditionalFormatting>
  <conditionalFormatting sqref="H10350">
    <cfRule type="duplicateValues" dxfId="0" priority="27"/>
  </conditionalFormatting>
  <conditionalFormatting sqref="I10354">
    <cfRule type="duplicateValues" dxfId="0" priority="134"/>
  </conditionalFormatting>
  <conditionalFormatting sqref="H10361:J10361">
    <cfRule type="duplicateValues" dxfId="0" priority="147"/>
  </conditionalFormatting>
  <conditionalFormatting sqref="H10362:J10362">
    <cfRule type="duplicateValues" dxfId="0" priority="145"/>
  </conditionalFormatting>
  <conditionalFormatting sqref="H10363:J10363">
    <cfRule type="duplicateValues" dxfId="0" priority="143"/>
  </conditionalFormatting>
  <conditionalFormatting sqref="H10364:J10364">
    <cfRule type="duplicateValues" dxfId="0" priority="140"/>
  </conditionalFormatting>
  <conditionalFormatting sqref="H10365:J10365">
    <cfRule type="duplicateValues" dxfId="0" priority="138"/>
  </conditionalFormatting>
  <conditionalFormatting sqref="H10366:J10366">
    <cfRule type="duplicateValues" dxfId="0" priority="137"/>
  </conditionalFormatting>
  <conditionalFormatting sqref="H10367:J10367">
    <cfRule type="duplicateValues" dxfId="0" priority="136"/>
  </conditionalFormatting>
  <conditionalFormatting sqref="H10368:J10368">
    <cfRule type="duplicateValues" dxfId="0" priority="133"/>
  </conditionalFormatting>
  <conditionalFormatting sqref="A10390">
    <cfRule type="duplicateValues" dxfId="0" priority="126"/>
  </conditionalFormatting>
  <conditionalFormatting sqref="H10476:J10476">
    <cfRule type="duplicateValues" dxfId="0" priority="118"/>
  </conditionalFormatting>
  <conditionalFormatting sqref="H10477:J10477">
    <cfRule type="duplicateValues" dxfId="0" priority="116"/>
  </conditionalFormatting>
  <conditionalFormatting sqref="J10484">
    <cfRule type="duplicateValues" dxfId="0" priority="112"/>
  </conditionalFormatting>
  <conditionalFormatting sqref="I10485:J10485">
    <cfRule type="duplicateValues" dxfId="0" priority="111"/>
  </conditionalFormatting>
  <conditionalFormatting sqref="I10486:J10486">
    <cfRule type="duplicateValues" dxfId="0" priority="110"/>
  </conditionalFormatting>
  <conditionalFormatting sqref="I10487:J10487">
    <cfRule type="duplicateValues" dxfId="0" priority="108"/>
  </conditionalFormatting>
  <conditionalFormatting sqref="I10488:J10488">
    <cfRule type="duplicateValues" dxfId="0" priority="107"/>
  </conditionalFormatting>
  <conditionalFormatting sqref="I10489:J10489">
    <cfRule type="duplicateValues" dxfId="0" priority="106"/>
  </conditionalFormatting>
  <conditionalFormatting sqref="I10490:J10490">
    <cfRule type="duplicateValues" dxfId="0" priority="105"/>
  </conditionalFormatting>
  <conditionalFormatting sqref="H10491">
    <cfRule type="duplicateValues" dxfId="0" priority="104"/>
  </conditionalFormatting>
  <conditionalFormatting sqref="I10492:J10492">
    <cfRule type="duplicateValues" dxfId="0" priority="103"/>
  </conditionalFormatting>
  <conditionalFormatting sqref="A10495">
    <cfRule type="duplicateValues" dxfId="0" priority="101"/>
  </conditionalFormatting>
  <conditionalFormatting sqref="H10495:J10495">
    <cfRule type="duplicateValues" dxfId="0" priority="98"/>
  </conditionalFormatting>
  <conditionalFormatting sqref="A10496">
    <cfRule type="duplicateValues" dxfId="0" priority="100"/>
  </conditionalFormatting>
  <conditionalFormatting sqref="H10496:J10496">
    <cfRule type="duplicateValues" dxfId="0" priority="97"/>
  </conditionalFormatting>
  <conditionalFormatting sqref="H10501">
    <cfRule type="duplicateValues" dxfId="0" priority="66"/>
  </conditionalFormatting>
  <conditionalFormatting sqref="H10502:J10502">
    <cfRule type="duplicateValues" dxfId="0" priority="96"/>
  </conditionalFormatting>
  <conditionalFormatting sqref="H10507">
    <cfRule type="duplicateValues" dxfId="0" priority="92"/>
  </conditionalFormatting>
  <conditionalFormatting sqref="I10507:J10507">
    <cfRule type="duplicateValues" dxfId="0" priority="93"/>
  </conditionalFormatting>
  <conditionalFormatting sqref="I10508:J10508">
    <cfRule type="duplicateValues" dxfId="0" priority="91"/>
  </conditionalFormatting>
  <conditionalFormatting sqref="I10509:J10509">
    <cfRule type="duplicateValues" dxfId="0" priority="90"/>
  </conditionalFormatting>
  <conditionalFormatting sqref="I10510:J10510">
    <cfRule type="duplicateValues" dxfId="0" priority="89"/>
  </conditionalFormatting>
  <conditionalFormatting sqref="A10532">
    <cfRule type="duplicateValues" dxfId="0" priority="81"/>
  </conditionalFormatting>
  <conditionalFormatting sqref="A10548">
    <cfRule type="duplicateValues" dxfId="0" priority="76"/>
  </conditionalFormatting>
  <conditionalFormatting sqref="H10548:J10548">
    <cfRule type="duplicateValues" dxfId="0" priority="73"/>
  </conditionalFormatting>
  <conditionalFormatting sqref="A10549">
    <cfRule type="duplicateValues" dxfId="0" priority="75"/>
  </conditionalFormatting>
  <conditionalFormatting sqref="H10549:J10549">
    <cfRule type="duplicateValues" dxfId="0" priority="72"/>
  </conditionalFormatting>
  <conditionalFormatting sqref="H10551:J10551">
    <cfRule type="duplicateValues" dxfId="0" priority="70"/>
  </conditionalFormatting>
  <conditionalFormatting sqref="H10552:J10552">
    <cfRule type="duplicateValues" dxfId="0" priority="69"/>
  </conditionalFormatting>
  <conditionalFormatting sqref="H10553:J10553">
    <cfRule type="duplicateValues" dxfId="0" priority="67"/>
  </conditionalFormatting>
  <conditionalFormatting sqref="H10572">
    <cfRule type="duplicateValues" dxfId="0" priority="61"/>
  </conditionalFormatting>
  <conditionalFormatting sqref="I10572:J10572">
    <cfRule type="duplicateValues" dxfId="0" priority="60"/>
  </conditionalFormatting>
  <conditionalFormatting sqref="H10573">
    <cfRule type="duplicateValues" dxfId="0" priority="59"/>
  </conditionalFormatting>
  <conditionalFormatting sqref="I10573:J10573">
    <cfRule type="duplicateValues" dxfId="0" priority="58"/>
  </conditionalFormatting>
  <conditionalFormatting sqref="H10574">
    <cfRule type="duplicateValues" dxfId="0" priority="57"/>
  </conditionalFormatting>
  <conditionalFormatting sqref="I10574:J10574">
    <cfRule type="duplicateValues" dxfId="0" priority="56"/>
  </conditionalFormatting>
  <conditionalFormatting sqref="I10575:J10575">
    <cfRule type="duplicateValues" dxfId="0" priority="54"/>
  </conditionalFormatting>
  <conditionalFormatting sqref="I10576:J10576">
    <cfRule type="duplicateValues" dxfId="0" priority="53"/>
  </conditionalFormatting>
  <conditionalFormatting sqref="H10577">
    <cfRule type="duplicateValues" dxfId="0" priority="52"/>
  </conditionalFormatting>
  <conditionalFormatting sqref="I10577:J10577">
    <cfRule type="duplicateValues" dxfId="0" priority="51"/>
  </conditionalFormatting>
  <conditionalFormatting sqref="H10578">
    <cfRule type="duplicateValues" dxfId="0" priority="50"/>
  </conditionalFormatting>
  <conditionalFormatting sqref="I10578:J10578">
    <cfRule type="duplicateValues" dxfId="0" priority="49"/>
  </conditionalFormatting>
  <conditionalFormatting sqref="H10579">
    <cfRule type="duplicateValues" dxfId="0" priority="48"/>
  </conditionalFormatting>
  <conditionalFormatting sqref="I10579:J10579">
    <cfRule type="duplicateValues" dxfId="0" priority="46"/>
  </conditionalFormatting>
  <conditionalFormatting sqref="H10580">
    <cfRule type="duplicateValues" dxfId="0" priority="45"/>
  </conditionalFormatting>
  <conditionalFormatting sqref="I10580:J10580">
    <cfRule type="duplicateValues" dxfId="0" priority="44"/>
  </conditionalFormatting>
  <conditionalFormatting sqref="H10581">
    <cfRule type="duplicateValues" dxfId="0" priority="43"/>
  </conditionalFormatting>
  <conditionalFormatting sqref="I10581:J10581">
    <cfRule type="duplicateValues" dxfId="0" priority="42"/>
  </conditionalFormatting>
  <conditionalFormatting sqref="H10582">
    <cfRule type="duplicateValues" dxfId="0" priority="41"/>
  </conditionalFormatting>
  <conditionalFormatting sqref="I10582:J10582">
    <cfRule type="duplicateValues" dxfId="0" priority="40"/>
  </conditionalFormatting>
  <conditionalFormatting sqref="A10605">
    <cfRule type="duplicateValues" dxfId="0" priority="35"/>
  </conditionalFormatting>
  <conditionalFormatting sqref="H10605:J10605">
    <cfRule type="duplicateValues" dxfId="0" priority="30"/>
  </conditionalFormatting>
  <conditionalFormatting sqref="H10606:J10606">
    <cfRule type="duplicateValues" dxfId="0" priority="29"/>
  </conditionalFormatting>
  <conditionalFormatting sqref="H10607:J10607">
    <cfRule type="duplicateValues" dxfId="0" priority="28"/>
  </conditionalFormatting>
  <conditionalFormatting sqref="A10619">
    <cfRule type="duplicateValues" dxfId="0" priority="24"/>
  </conditionalFormatting>
  <conditionalFormatting sqref="A10624">
    <cfRule type="duplicateValues" dxfId="0" priority="22"/>
  </conditionalFormatting>
  <conditionalFormatting sqref="H10627:J10627">
    <cfRule type="duplicateValues" dxfId="0" priority="18"/>
  </conditionalFormatting>
  <conditionalFormatting sqref="H10636:J10636">
    <cfRule type="duplicateValues" dxfId="0" priority="16"/>
  </conditionalFormatting>
  <conditionalFormatting sqref="I10637:J10637">
    <cfRule type="duplicateValues" dxfId="0" priority="15"/>
  </conditionalFormatting>
  <conditionalFormatting sqref="H10638">
    <cfRule type="duplicateValues" dxfId="0" priority="13"/>
  </conditionalFormatting>
  <conditionalFormatting sqref="I10638:J10638">
    <cfRule type="duplicateValues" dxfId="0" priority="12"/>
  </conditionalFormatting>
  <conditionalFormatting sqref="H10658">
    <cfRule type="duplicateValues" dxfId="3" priority="5"/>
  </conditionalFormatting>
  <conditionalFormatting sqref="H10660:J10660">
    <cfRule type="duplicateValues" dxfId="3" priority="4"/>
  </conditionalFormatting>
  <conditionalFormatting sqref="A3584:A3613">
    <cfRule type="duplicateValues" dxfId="0" priority="2568"/>
  </conditionalFormatting>
  <conditionalFormatting sqref="A3614:A3724">
    <cfRule type="duplicateValues" dxfId="0" priority="2569"/>
  </conditionalFormatting>
  <conditionalFormatting sqref="A3726:A3745">
    <cfRule type="duplicateValues" dxfId="0" priority="2567"/>
  </conditionalFormatting>
  <conditionalFormatting sqref="A3767:A3784">
    <cfRule type="duplicateValues" dxfId="0" priority="2536"/>
  </conditionalFormatting>
  <conditionalFormatting sqref="A3785:A3788">
    <cfRule type="duplicateValues" dxfId="0" priority="2535"/>
  </conditionalFormatting>
  <conditionalFormatting sqref="A3802:A3806">
    <cfRule type="duplicateValues" dxfId="0" priority="2509"/>
  </conditionalFormatting>
  <conditionalFormatting sqref="A3807:A3810">
    <cfRule type="duplicateValues" dxfId="0" priority="2506"/>
  </conditionalFormatting>
  <conditionalFormatting sqref="A3820:A3831">
    <cfRule type="duplicateValues" dxfId="0" priority="2489"/>
  </conditionalFormatting>
  <conditionalFormatting sqref="A3842:A3845">
    <cfRule type="duplicateValues" dxfId="0" priority="2474"/>
  </conditionalFormatting>
  <conditionalFormatting sqref="A3846:A3858">
    <cfRule type="duplicateValues" dxfId="0" priority="2473"/>
  </conditionalFormatting>
  <conditionalFormatting sqref="A3886:A3888">
    <cfRule type="duplicateValues" dxfId="0" priority="2442"/>
  </conditionalFormatting>
  <conditionalFormatting sqref="A3890:A3891">
    <cfRule type="duplicateValues" dxfId="0" priority="2440"/>
  </conditionalFormatting>
  <conditionalFormatting sqref="A3980:A4035">
    <cfRule type="duplicateValues" dxfId="0" priority="2397"/>
  </conditionalFormatting>
  <conditionalFormatting sqref="A4056:A4068">
    <cfRule type="duplicateValues" dxfId="0" priority="2365"/>
  </conditionalFormatting>
  <conditionalFormatting sqref="A4093:A4098">
    <cfRule type="duplicateValues" dxfId="0" priority="2333"/>
  </conditionalFormatting>
  <conditionalFormatting sqref="A4120:A4130">
    <cfRule type="duplicateValues" dxfId="0" priority="2310"/>
  </conditionalFormatting>
  <conditionalFormatting sqref="A4153:A4177">
    <cfRule type="duplicateValues" dxfId="0" priority="2275"/>
  </conditionalFormatting>
  <conditionalFormatting sqref="A4216:A4217">
    <cfRule type="duplicateValues" dxfId="0" priority="2230"/>
  </conditionalFormatting>
  <conditionalFormatting sqref="A4219:A4221">
    <cfRule type="duplicateValues" dxfId="0" priority="2228"/>
  </conditionalFormatting>
  <conditionalFormatting sqref="A4228:A4237">
    <cfRule type="duplicateValues" dxfId="0" priority="2226"/>
  </conditionalFormatting>
  <conditionalFormatting sqref="A4238:A4246">
    <cfRule type="duplicateValues" dxfId="0" priority="2225"/>
  </conditionalFormatting>
  <conditionalFormatting sqref="A4247:A4253">
    <cfRule type="duplicateValues" dxfId="0" priority="2224"/>
  </conditionalFormatting>
  <conditionalFormatting sqref="A4254:A4255">
    <cfRule type="duplicateValues" dxfId="0" priority="2223"/>
  </conditionalFormatting>
  <conditionalFormatting sqref="A4276:A4278">
    <cfRule type="duplicateValues" dxfId="0" priority="2222"/>
  </conditionalFormatting>
  <conditionalFormatting sqref="A4293:A4303">
    <cfRule type="duplicateValues" dxfId="0" priority="2221"/>
  </conditionalFormatting>
  <conditionalFormatting sqref="A4305:A4308">
    <cfRule type="duplicateValues" dxfId="0" priority="2220"/>
  </conditionalFormatting>
  <conditionalFormatting sqref="A4309:A4310">
    <cfRule type="duplicateValues" dxfId="0" priority="2219"/>
  </conditionalFormatting>
  <conditionalFormatting sqref="A4364:A4386">
    <cfRule type="duplicateValues" dxfId="0" priority="2147"/>
  </conditionalFormatting>
  <conditionalFormatting sqref="A4396:A4425">
    <cfRule type="duplicateValues" dxfId="0" priority="2136"/>
  </conditionalFormatting>
  <conditionalFormatting sqref="A4452:A4465">
    <cfRule type="duplicateValues" dxfId="0" priority="2100"/>
  </conditionalFormatting>
  <conditionalFormatting sqref="A4474:A4480">
    <cfRule type="duplicateValues" dxfId="0" priority="2088"/>
  </conditionalFormatting>
  <conditionalFormatting sqref="A4492:A4509">
    <cfRule type="duplicateValues" dxfId="0" priority="2073"/>
  </conditionalFormatting>
  <conditionalFormatting sqref="A4521:A4544">
    <cfRule type="duplicateValues" dxfId="0" priority="2054"/>
  </conditionalFormatting>
  <conditionalFormatting sqref="A4551:A4591">
    <cfRule type="duplicateValues" dxfId="0" priority="2043"/>
  </conditionalFormatting>
  <conditionalFormatting sqref="A4654:A4656">
    <cfRule type="duplicateValues" dxfId="0" priority="2023"/>
  </conditionalFormatting>
  <conditionalFormatting sqref="A4770:A4782">
    <cfRule type="duplicateValues" dxfId="0" priority="1928"/>
  </conditionalFormatting>
  <conditionalFormatting sqref="A4783:A4792">
    <cfRule type="duplicateValues" dxfId="0" priority="1927"/>
  </conditionalFormatting>
  <conditionalFormatting sqref="A4801:A4802">
    <cfRule type="duplicateValues" dxfId="0" priority="1925"/>
  </conditionalFormatting>
  <conditionalFormatting sqref="A4803:A4809">
    <cfRule type="duplicateValues" dxfId="0" priority="1926"/>
  </conditionalFormatting>
  <conditionalFormatting sqref="A5013:A5025">
    <cfRule type="duplicateValues" dxfId="0" priority="1852"/>
  </conditionalFormatting>
  <conditionalFormatting sqref="A5036:A5044">
    <cfRule type="duplicateValues" dxfId="0" priority="1833"/>
  </conditionalFormatting>
  <conditionalFormatting sqref="A5080:A5094">
    <cfRule type="duplicateValues" dxfId="0" priority="1807"/>
  </conditionalFormatting>
  <conditionalFormatting sqref="A5122:A5156">
    <cfRule type="duplicateValues" dxfId="0" priority="1753"/>
  </conditionalFormatting>
  <conditionalFormatting sqref="A5172:A5209">
    <cfRule type="duplicateValues" dxfId="0" priority="1729"/>
  </conditionalFormatting>
  <conditionalFormatting sqref="A5223:A5224">
    <cfRule type="duplicateValues" dxfId="0" priority="1708"/>
  </conditionalFormatting>
  <conditionalFormatting sqref="A5225:A5233">
    <cfRule type="duplicateValues" dxfId="0" priority="1709"/>
  </conditionalFormatting>
  <conditionalFormatting sqref="A5287:A5299">
    <cfRule type="duplicateValues" dxfId="0" priority="1670"/>
  </conditionalFormatting>
  <conditionalFormatting sqref="A5321:A5336">
    <cfRule type="duplicateValues" dxfId="0" priority="1636"/>
  </conditionalFormatting>
  <conditionalFormatting sqref="A10391:A10393">
    <cfRule type="duplicateValues" dxfId="0" priority="124"/>
  </conditionalFormatting>
  <conditionalFormatting sqref="A10394:A10437">
    <cfRule type="duplicateValues" dxfId="0" priority="125"/>
  </conditionalFormatting>
  <conditionalFormatting sqref="A10511:A10512">
    <cfRule type="duplicateValues" dxfId="0" priority="88"/>
  </conditionalFormatting>
  <conditionalFormatting sqref="A10513:A10515">
    <cfRule type="duplicateValues" dxfId="0" priority="87"/>
  </conditionalFormatting>
  <conditionalFormatting sqref="A10516:A10517">
    <cfRule type="duplicateValues" dxfId="0" priority="86"/>
  </conditionalFormatting>
  <conditionalFormatting sqref="A10518:A10519">
    <cfRule type="duplicateValues" dxfId="0" priority="85"/>
  </conditionalFormatting>
  <conditionalFormatting sqref="A10520:A10523">
    <cfRule type="duplicateValues" dxfId="0" priority="84"/>
  </conditionalFormatting>
  <conditionalFormatting sqref="A10524:A10527">
    <cfRule type="duplicateValues" dxfId="0" priority="83"/>
  </conditionalFormatting>
  <conditionalFormatting sqref="A10528:A10531">
    <cfRule type="duplicateValues" dxfId="0" priority="82"/>
  </conditionalFormatting>
  <conditionalFormatting sqref="A10533:A10534">
    <cfRule type="duplicateValues" dxfId="0" priority="80"/>
  </conditionalFormatting>
  <conditionalFormatting sqref="A10535:A10542">
    <cfRule type="duplicateValues" dxfId="0" priority="79"/>
  </conditionalFormatting>
  <conditionalFormatting sqref="A10545:A10547">
    <cfRule type="duplicateValues" dxfId="0" priority="77"/>
  </conditionalFormatting>
  <conditionalFormatting sqref="A10583:A10584">
    <cfRule type="duplicateValues" dxfId="0" priority="39"/>
  </conditionalFormatting>
  <conditionalFormatting sqref="A10585:A10597">
    <cfRule type="duplicateValues" dxfId="0" priority="38"/>
  </conditionalFormatting>
  <conditionalFormatting sqref="A10598:A10599">
    <cfRule type="duplicateValues" dxfId="0" priority="37"/>
  </conditionalFormatting>
  <conditionalFormatting sqref="A10600:A10604">
    <cfRule type="duplicateValues" dxfId="0" priority="36"/>
  </conditionalFormatting>
  <conditionalFormatting sqref="A10620:A10623">
    <cfRule type="duplicateValues" dxfId="0" priority="23"/>
  </conditionalFormatting>
  <conditionalFormatting sqref="A10625:A10626">
    <cfRule type="duplicateValues" dxfId="0" priority="21"/>
  </conditionalFormatting>
  <conditionalFormatting sqref="A10642:A10645">
    <cfRule type="duplicateValues" dxfId="0" priority="11"/>
  </conditionalFormatting>
  <conditionalFormatting sqref="A10654:A10663">
    <cfRule type="duplicateValues" dxfId="3" priority="7"/>
  </conditionalFormatting>
  <conditionalFormatting sqref="C7593:C7595">
    <cfRule type="duplicateValues" dxfId="0" priority="859"/>
  </conditionalFormatting>
  <conditionalFormatting sqref="E10194:E10197">
    <cfRule type="duplicateValues" dxfId="0" priority="217"/>
  </conditionalFormatting>
  <conditionalFormatting sqref="H5112:H5116">
    <cfRule type="duplicateValues" dxfId="0" priority="1760"/>
  </conditionalFormatting>
  <conditionalFormatting sqref="H5117:H5119">
    <cfRule type="duplicateValues" dxfId="0" priority="1757"/>
  </conditionalFormatting>
  <conditionalFormatting sqref="H5120:H5121">
    <cfRule type="duplicateValues" dxfId="0" priority="1754"/>
  </conditionalFormatting>
  <conditionalFormatting sqref="H10575:H10576">
    <cfRule type="duplicateValues" dxfId="0" priority="55"/>
  </conditionalFormatting>
  <conditionalFormatting sqref="I4551:I4591">
    <cfRule type="duplicateValues" dxfId="0" priority="2042"/>
  </conditionalFormatting>
  <conditionalFormatting sqref="I5059:I5101">
    <cfRule type="duplicateValues" dxfId="0" priority="1806"/>
  </conditionalFormatting>
  <conditionalFormatting sqref="I5106:I5111">
    <cfRule type="duplicateValues" dxfId="0" priority="1770"/>
  </conditionalFormatting>
  <conditionalFormatting sqref="I5112:I5116">
    <cfRule type="duplicateValues" dxfId="0" priority="1762"/>
  </conditionalFormatting>
  <conditionalFormatting sqref="I5117:I5119">
    <cfRule type="duplicateValues" dxfId="0" priority="1759"/>
  </conditionalFormatting>
  <conditionalFormatting sqref="I5120:I5121">
    <cfRule type="duplicateValues" dxfId="0" priority="1756"/>
  </conditionalFormatting>
  <conditionalFormatting sqref="J5080:J5094">
    <cfRule type="duplicateValues" dxfId="0" priority="1801"/>
  </conditionalFormatting>
  <conditionalFormatting sqref="J5106:J5111">
    <cfRule type="duplicateValues" dxfId="0" priority="1769"/>
  </conditionalFormatting>
  <conditionalFormatting sqref="J5112:J5116">
    <cfRule type="duplicateValues" dxfId="0" priority="1761"/>
  </conditionalFormatting>
  <conditionalFormatting sqref="J5117:J5119">
    <cfRule type="duplicateValues" dxfId="0" priority="1758"/>
  </conditionalFormatting>
  <conditionalFormatting sqref="J5120:J5121">
    <cfRule type="duplicateValues" dxfId="0" priority="1755"/>
  </conditionalFormatting>
  <conditionalFormatting sqref="A1 A3:A3579 A6043:A6092 A5914:A5929 A5626:A5697 A5771:A5779 A5337:A5350 A5370:A5377 A3789:A3798 A3832:A3841 A3746:A3765 A3811:A3819 A4069:A4085 A5844:A5854 A4317:A4363 A4481:A4491 A4545:A4550 A4592:A4602 A5004:A5012 A3859:A3879 A5026:A5035 A5102:A5121 A4387:A4395 A5045:A5058 A4956:A4993 A4426:A4451 A5210:A5222 A5234:A5245 A5157:A5171 A4466:A4473 A4695:A4768 A4510:A4520 A5300:A5320 A5276:A5286 A5416:A5457 A4036:A4055 A3951:A3978 A4178:A4205 A4131:A4151 A4105:A4119 A6185:A6203 A7848:A7863 A8872:A8910 A7372:A7383 A7434:A7453 A8793:A8826 A8513:A8556 A8674:A8697 A8715:A8747 A8336:A8376 A7706:A7721 A8436:A8459 A8931:A8953 A8612:A8625 A7535:A7572 A7586:A7603 A7667:A7678 A7633:A7640 A8232:A8266 A8389:A8400 A6156:A6174 A9220:A9357 A8977:A8995 A9058:A9072 A9014:A9040 A9144:A9187 A6237:A6252 A6115:A6144 A9367:A9383 A6327:A6354 A6771:A6793 A6623:A6649 A6864:A6882 A7028:A7078 A6486:A6529 A6551:A6575 A6932:A6975 A6711:A6721 A7085:A7355 A6588:A6601 A6668:A6688 A8587:A8599 A6395:A6419 A6282:A6306 A6366:A6382 A9556:A9578 A10181:A10198 A10127:A10138 A10076:A10103 A10232:A10242 A10160:A10169 A10146:A10152 A10297:A10315 A10361:A10389 A9930:A9935 A9991:A10009 A9755:A9762 A9955:A9978 A9633:A9650 A10264:A10283 A10212:A10219 A9485:A9496 A9449:A9471 A9418:A9426 A9713:A9725 A9608:A9621 A9839:A9863 A9896:A9912 A9663:A9677 A10438:A10447 A10476:A10492 A10551:A10582 A10606:A10618 A10627:A10641 A10646:A10653 A10664:A1048576 A10502:A10510">
    <cfRule type="duplicateValues" dxfId="0" priority="2602"/>
  </conditionalFormatting>
  <conditionalFormatting sqref="C1:D1 Y2:AA2">
    <cfRule type="duplicateValues" dxfId="0" priority="3619"/>
  </conditionalFormatting>
  <conditionalFormatting sqref="H1 H2:J46 I47:J47 H48:J67 I68:J68 H69:J70 I71:J72 H73:J116 I592:J592 H499:J589 I590:J590 H591:J591 I498:J498 H597:J597 I596:J596 H593:J595 I598:J598 H599:J616 H617:I617 H618:J624 J625 H626:J627 H628:I628 H629:J629 I630:J630 H281:J293 I294:J294 H295:J295 I296:J296 H297:J301 H127:J133 I134:J134 H135:J201 I202:J202 I302:J302 H303:J324 H325:I325 H326:J336 I337:J337 H203:J203 I204:J204 H338:J349 I350:J350 H351:J366 H367:I367 H368:J373 I374:J374 H375:J376 I377:J377 H378:J386 I387:J387 H388:J428 I435 H430:J434 I429:J429 H436:J449 I450:J450 H451:J453 I454:J454 H455:J467 I468:J468 H469:J497 H631:J656 I126:J126 H118:J125 I280 I117:J117 H257:J279 I256:J256 H205:J255 H657:I657 H658:J660 I661:J661 H662:J670 I671:J671 H672:J674 I675:J675 H676:J685 H686:I686 H687:J687 I688:J688 H689:J698 I699:J699 H700:J714 I715:J715 H727:J727 I726:J726 H716:J725 I728:J728 H729:J755 H756:I756 H757:J774 H784:J785 I786:J786 H787:J789 I775:J775 H776:J782 H783:I783 I790:J790 I815:J815 H816:J816 H819:J836 I817:J818 I837:J837 H838:J858 I859:J859 H880:J887 H879:I879 H791:J814 H860:J878 H888:I888 H889:J922 I923:J923 H924:J970 I971:J971 H1017:J1036 I1016:J1016 H972:J1015 I1037:J1037 I1078:J1078 I1101:J1102 H1131:J1159 I1130:J1130 H1103:J1129 H1079:J1083 H1038:J1063 I1064:J1064 H1065:J1077 H1085:J1100 I1084:J1084 I1478:J1478 H1292:J1299 I1212 H1199:J1211 H1544:J1563 H1566:J1590 I1591 H1592:J1608 I1198:J1198 H1194:J1197 I1542:J1543 I1193:J1193 I1160:J1161 I1564:J1565 H1448:J1449 I1450:J1450 H1479:J1516 I1517:J1517 H1518:J1520 I1521:J1521 H1522:J1523 I1524:J1524 H1525:J1541 I1317:J1317 H1162:J1188 H1189:I1189 H1190:J1192 H1213:J1253 I1254:J1254 H1255:J1290 I1291:J1291 H1301:J1304 I1348:J1348 I1305:J1305 H1337:J1347 I1336:J1336 H1330:J1335 I1329:J1329 H1318:J1328 H1351:J1355 H1356:I1356 H1357:J1361 H1312:J1316 H1432:J1446 I1431:J1431 H1363:J1372 I1373:J1373 H1374:J1424 H1425:I1425 H1426:J1430 H1464:J1477 H1463:I1463 H1451:J1461 I1462 I1447:J1447 I1362:J1362 H1349:J1349 I1350:J1350 I1311:J1311 H1306:J1310 I1300:J1300 I1609:J1609 H2858:J2858 H1610:J1636 H2390:J2392 H2395:J2395">
    <cfRule type="duplicateValues" dxfId="0" priority="3624"/>
  </conditionalFormatting>
  <conditionalFormatting sqref="H1:I67 I68 H69:I295 I296 H297:I1372 I1373 H1374:I1520 I1521 H1522:I2691 H2693:I3322 I3323 H3324:I3489 I3490 H3491:I3775 I3776 H3777:I3806 H5944:I6103 I5943 I4124 H4125:I5392 I3807 H5504:I5942 I5503 H3808:I4123 I5393 H5394:I5502 I7364 H8699:I8757 I8773 H8774:I8776 I8777 H8778:I8781 I8782 H8783:I8922 I8923 I8384 H8759:I8765 I8766 H8767:I8772 H8924:I9006 H7389:I7401 I7402 H7498:I7642 I7497 H7403:I7496 H8014:I8077 I8013 H7995:I8012 I7994 H7987:I7993 I7643 I8211 H7644:I7875 I8698 H8385:I8476 I8477 H8478:I8572 I8573 H8574:I8697 I8758 I8120 H8121:I8177 I8178 H8179:I8210 H8212:I8315 I8316 I8078 H8079:I8105 I8106 H8107:I8119 H8317:I8377 I7986 H7944:I7960 H7943 H7888:I7917 I7918 H7919:I7942 I7887 H7877:I7886 I7876 I8378 I7961 H7962:I7985 I7388 H6222:I6314 I6315 H6316:I6859 I6221 H9008:I9076 I9007 H6182:I6220 I6181 I6896 H9216:I9427 H6897:I6924 H6105:I6180 I9215 H9213:I9214 I9212 H9078:I9091 I9092 H9093:I9118 I9077 I6104 I9119 H9120:I9211 I6925 H6926:I7363 H7365:I7387 H8379:I8383 I6860 H6861:I6895 H9533:I9535 I9536:I9538 I2692 H10198:I10198 H9544:I9578 I9438 H9429:I9437 H9539:I9542 I9543 H9439:I9440 I9441 H9442:I9474 I9475 H9476:I9502 H9503 H9504:I9516 I9517 H9518:I9520 I9521 H9522:I9531 H9532 H10639:I10641 H10671:I1048576">
    <cfRule type="duplicateValues" dxfId="4" priority="358"/>
  </conditionalFormatting>
  <conditionalFormatting sqref="H1:J46 I47:J47 H48:J67 I68:J68 H69:J70 I71:J72 H73:J125 I126:J126 H127:J133 I134:J134 H135:J203 I204:J204 H597:J624 J625 H626:J629 I630:J630 I728:J728 H729:J785 I786:J786 H787:J789 H430:J589 I429:J429 H351:J366 H367:I367 H368:J386 I387:J387 H388:J428 I350:J350 H338:J349 I337:J337 H257:J295 I296:J296 H297:J336 I256:J256 H205:J255 H727:J727 I726:J726 H631:J725 I590:J590 H591:J595 I596:J596 I1064:J1064 H1017:J1063 I1016:J1016 H924:J1015 I923:J923 H889:J922 H888:I888 H880:J887 H879:I879 H860:J878 I859:J859 H819:J858 I818:J818 H791:J817 I790:J790 H1131:J1159 I1130:J1130 H1065:J1129 I1350:J1350 H1301:J1304 I1291:J1291 H1190:J1197 H1330:J1335 I1336:J1336 H1337:J1349 I1329:J1329 H1189:I1189 I1160:J1160 H1161:J1188 I1198:J1198 H1255:J1290 I1254:J1254 H1199:J1253 I1431:J1431 H1522:J1523 I1521:J1521 H1312:J1328 I1311:J1311 H1518:J1520 I1524:J1524 H1525:J1541 H1356:I1356 H1351:J1355 I1517:J1517 H1432:J1461 I1462 H1544:J1564 H1306:J1310 I1305:J1305 I1565:J1565 H1566:J1590 I1591 H1592:J1608 H1463:J1516 I1300:J1300 H1292:J1299 H1426:J1430 H1357:J1372 I1373:J1373 H1374:J1424 H1425:I1425 I1542:J1543 I2564:J2564 H2693:J2751 H2765:J2772 H2753:J2763 H2774:J2775 I2776:J2776 H2777:J2785 I2773:J2773 I2752:J2752 H2786:I2786 I2841:J2841 I2788 H2789:J2840 H2842:J2861 H2787:J2787 I2764:J2764 H4105:J4105 H5697:J5697 H10198:J10198 I1666:J1666 H4435:J4435 H2516:J2563 H2565:J2566 H1823:J1833 I1740:J1740 I2515:J2515 H2496:J2514 J2495 H1739:J1739 I1738:J1738 H1727:J1729 I1730:J1730 H1731:J1737 I1726:J1726 H1689:J1712 I1713 H2682:J2683 I2630:J2630 I2681:J2681 H2631:J2680 H2684:I2684 H2601:J2629 I2600:J2600 H2685:J2691 I2692:J2692 H1935:J2132 I1934:J1934 H1927:J1933 I2133:J2133 H2451:J2489 I1860:J1860 H1861:J1892 H1714:J1719 I1822:J1822 H1780:J1821 I1926:J1926 H2134:J2159 I1720:J1720 H1900:J1925 H1899:I1899 H1895:J1898 H1721:J1725 I2185:J2185 I1779:J1779 H1741:J1778 I1834:J1834 H1835:J1836 I1837:J1837 H1844:J1848 H1849 J1849 H1850:J1859 I1843:J1843 H1838:J1842 I1682:J1682 H1683:J1687 I1688:J1688 I2160:J2160 H2490 I2449:J2450 H2264:J2448 I2263:J2263 H2578:J2599 I2577:J2577 H2568:J2576 I2567:J2567 H1610:J1665 I1609:J1609 H2495 H2491:J2494 J2490 H2198:J2262 H2161:J2184 I2197:J2197 H2186:J2196 I1893:J1894 H1667:J1681 H10639:J10641 H10671:J1048576">
    <cfRule type="duplicateValues" dxfId="1" priority="2903"/>
  </conditionalFormatting>
  <conditionalFormatting sqref="H1:J46 I47:J47 H48:J67 I68:J68 H69:J70 I71:J72 H73:J116 I117:J117 H118:J125 I590:J590 H591:J591 I498:J498 H597:J597 I596:J596 H593:J595 I598:J598 H599:J616 H617:I617 H618:J624 J625 H626:J627 H628:I628 H629:J629 I630:J630 H295:J295 I296:J296 H297:J301 H203:J203 I204:J204 I302:J302 H303:J324 H325:I325 H326:J336 I337:J337 H338:J349 I350:J350 H351:J366 H367:I367 H368:J373 H205:J255 I374:J374 H375:J376 I377:J377 H378:J386 I387:J387 H388:J428 I435 I256:J256 H257:J279 H430:J434 I429:J429 H436:J449 I450:J450 H451:J453 I454:J454 H455:J467 I468:J468 H469:J497 H631:J656 I592:J592 H499:J589 I202:J202 I294:J294 H281:J293 H127:J133 I134:J134 H135:J201 I126:J126 I280 H657:I657 H658:J660 I661:J661 H662:J670 I671:J671 H672:J674 I675:J675 H676:J685 H686:I686 H687:J687 I688:J688 H689:J698 I699:J699 H700:J714 I715:J715 H727:J727 I726:J726 H716:J725 I728:J728 H729:J755 H756:I756 H757:J774 I775:J775 H776:J782 H783:I783 H787:J789 I786:J786 H784:J785 H791:J814 I817:J818 I815:J815 H816:J816 H819:J836 I837:J837 H838:J858 I859:J859 H880:J887 H879:I879 I790:J790 H860:J878 H888:I888 H889:J922 I923:J923 H924:J970 I971:J971 H1017:J1036 I1016:J1016 H972:J1015 I1037:J1037 I1078:J1078 I1101:J1102 H1131:J1159 I1130:J1130 H1103:J1129 H1079:J1083 H1038:J1063 I1064:J1064 H1065:J1077 H1085:J1100 I1084:J1084 I1478:J1478 H1255:J1290 I1254:J1254 I1291:J1291 H1301:J1304 I1305:J1305 I1542:J1543 H1566:J1590 I1591 H1592:J1608 H1312:J1316 I1311:J1311 H1306:J1310 I1300:J1300 H1544:J1563 H1292:J1299 I1212 I1564:J1565 H1351:J1355 H1356:I1356 H1357:J1361 I1350:J1350 H1349:J1349 I1362:J1362 I1450:J1450 H1448:J1449 H1479:J1516 I1517:J1517 H1518:J1520 I1521:J1521 H1522:J1523 I1524:J1524 H1525:J1541 I1317:J1317 H1162:J1188 H1189:I1189 H1190:J1192 H1213:J1253 I1160:J1161 I1193:J1193 I1348:J1348 H1337:J1347 I1336:J1336 H1330:J1335 I1329:J1329 H1318:J1328 H1194:J1197 H1432:J1446 I1431:J1431 H1363:J1372 I1373:J1373 H1374:J1424 H1425:I1425 H1426:J1430 H1464:J1477 H1463:I1463 H1451:J1461 I1462 I1447:J1447 I1198:J1198 H1199:J1211 H2858:J2858 H4105:J4105 H10198:J10198 I1609:J1609 H5697:J5697 H2395:J2395 H2390:J2392 H1610:J1636 H10639:J10641 H10671:J1048576">
    <cfRule type="duplicateValues" dxfId="2" priority="3496"/>
  </conditionalFormatting>
  <conditionalFormatting sqref="H1:J46 I47:J47 H48:J67 I68:J68 H69:J70 I71:J72 H73:J116 I117:J117 H118:J125 I126:J126 H499:J589 I590:J590 H591:J591 I498:J498 H593:J595 H628:I628 H629:J629 I630:J630 I671:J671 H672:J674 I675:J675 H676:J685 H686:I686 H657:I657 H658:J660 I661:J661 H662:J670 H687:J687 I688:J688 H689:J698 I699:J699 H700:J725 I726:J726 H727:J727 I728:J728 H729:J755 H756:I756 H757:J782 H783:I783 I454:J454 H378:J386 I387:J387 H388:J428 H787:J789 I377:J377 I786:J786 H784:J785 H351:J366 H367:I367 H368:J376 I350:J350 H338:J349 I337:J337 H303:J336 I302:J302 H257:J295 I296:J296 H297:J301 H430:J453 I429:J429 H455:J497 I256:J256 H205:J255 I204:J204 H127:J133 I134:J134 H135:J203 H631:J656 I596:J596 H626:J627 J625 H597:J624 I592:J592 H791:J816 I923:J923 H924:J970 I971:J971 H1017:J1063 I1016:J1016 H972:J1015 I1064:J1064 H1065:J1083 I1084:J1084 H1085:J1101 I1102:J1102 H1131:J1159 I1130:J1130 H1103:J1129 H889:J922 H888:I888 H880:J887 H879:I879 H860:J878 I859:J859 H838:J858 I837:J837 H819:J836 I817:J818 I790:J790 H1451:J1461 I1462 H1463:I1463 I1542:J1543 H1544:J1564 H1318:J1328 I1329:J1329 H1330:J1335 I1362:J1362 H1448:J1449 I1450:J1450 H1566:J1590 I1591 H1592:J1608 I1336:J1336 H1337:J1349 I1565:J1565 I1350:J1350 H1351:J1355 H1356:I1356 H1357:J1361 H1190:J1197 H1426:J1430 H1425:I1425 H1363:J1372 I1373:J1373 H1374:J1424 H1189:I1189 I1212 H1292:J1299 I1300:J1300 I1160:J1160 H1161:J1188 I1198:J1198 H1199:J1211 I1431:J1431 H1464:J1516 I1517:J1517 H1518:J1520 I1521:J1521 H1522:J1523 I1524:J1524 H1525:J1541 H1432:J1446 I1447:J1447 I1317:J1317 H1213:J1253 I1254:J1254 H1255:J1290 I1291:J1291 H1301:J1304 I1305:J1305 H1312:J1316 I1311:J1311 H1306:J1310 H1895:J1898 H2858:J2858 H2861:J2861 H4105:J4105 H5697:J5697 H10198:J10198 H2395:J2395 H4435:J4435 H1741:J1742 I1740:J1740 H1808:J1821 I1822:J1822 I1893:J1894 H1899:I1899 H1823:J1830 I1688:J1688 H1721:J1725 I1720:J1720 H1714:J1719 I1713 H1689:J1712 I1726:J1726 H1731:J1733 I1730:J1730 H1727:J1729 H1832:J1833 I1834:J1834 H1844:J1848 H1849 J1849 H1850:J1859 I1843:J1843 H1838:J1842 I1837:J1837 H1835:J1836 I1860:J1860 H1861:J1889 H1735:J1737 I1738:J1738 H1739:J1739 I1734:J1734 I1831:J1831 H1744:J1751 I1752:J1752 H1900:J1901 H1610:J1665 I1609:J1609 I1666:J1666 H1903:J1925 I1902 I1926:J1926 H1935:J2037 I1934:J1934 H1927:J1933 H2071:J2073 H2039:J2069 I2038:J2038 H2388:J2392 I1682:J1682 H1683:J1687 I1890:J1890 I1743:J1743 H1667:J1681 H1891:J1892 H1753:J1778 I1779:J1779 I1807:J1807 H1780:J1806 H10639:J10641 H10671:J1048576">
    <cfRule type="duplicateValues" dxfId="2" priority="3274"/>
  </conditionalFormatting>
  <conditionalFormatting sqref="H1:J46 I47:J47 H48:J67 I68:J68 H69:J70 I71:J72 H73:J116 I117:J117 H118:J125 I126:J126 H499:J589 I590:J590 H591:J591 I498:J498 H593:J595 H628:I628 H629:J629 I630:J630 I661:J661 H662:J670 I671:J671 H672:J674 I675:J675 H676:J685 H657:I657 H658:J660 H686:I686 H687:J687 I688:J688 H689:J698 I699:J699 H700:J714 I715:J715 H716:J725 I726:J726 H727:J727 I728:J728 H729:J755 H756:I756 H757:J782 H783:I783 I454:J454 H378:J386 I387:J387 H388:J428 H787:J789 I377:J377 I786:J786 H784:J785 H351:J366 H367:I367 H368:J376 I350:J350 H338:J349 I337:J337 H303:J336 I302:J302 H430:J453 I429:J429 H455:J497 H257:J295 I296:J296 H297:J301 I256:J256 H205:J255 I204:J204 H127:J133 I134:J134 H135:J203 H631:J656 I596:J596 H626:J627 J625 H597:J624 I592:J592 H791:J816 I971:J971 H1065:J1083 H972:J1015 I1016:J1016 H1017:J1063 I1064:J1064 I1084:J1084 H1085:J1101 I1102:J1102 H889:J922 H888:I888 H880:J887 H1131:J1159 I1130:J1130 H1103:J1129 H879:I879 H860:J878 I859:J859 H838:J858 I837:J837 H819:J836 I817:J818 I790:J790 I923:J923 H924:J970 H1566:J1590 I1542:J1543 H1544:J1564 H1448:J1449 I1447:J1447 H1432:J1446 I1431:J1431 H1374:J1424 I1591 H1592:J1608 I1373:J1373 H1363:J1372 I1565:J1565 H1190:J1197 H1425:I1425 H1464:J1516 I1517:J1517 H1518:J1520 I1521:J1521 H1522:J1523 I1524:J1524 H1525:J1541 H1426:J1430 I1450:J1450 I1362:J1362 H1451:J1461 I1462 H1463:I1463 H1337:J1349 I1336:J1336 H1330:J1335 I1329:J1329 H1318:J1328 I1350:J1350 H1351:J1355 H1356:I1356 H1357:J1361 I1317:J1317 H1213:J1253 I1254:J1254 H1255:J1290 I1291:J1291 H1301:J1304 I1305:J1305 H1312:J1316 I1311:J1311 H1306:J1310 I1300:J1300 H1292:J1299 I1212 H1199:J1211 I1198:J1198 H1189:I1189 H1161:J1188 I1160:J1160 H1900:J1901 H2858:J2858 H2861:J2861 H4105:J4105 H5697:J5697 H10198:J10198 I1831:J1831 H4435:J4435 I1738:J1738 H1735:J1737 I1734:J1734 I1743:J1743 H1741:J1742 H1753:J1778 H1895:J1898 I1926:J1926 I1779:J1779 I1688:J1688 H1721:J1725 I1720:J1720 H1714:J1719 I1713 H1689:J1712 I1726:J1726 H1731:J1733 I1730:J1730 H1727:J1729 I1740:J1740 H1832:J1833 I1834:J1834 H1844:J1848 H1849 J1849 H1850:J1859 I1843:J1843 H1838:J1842 I1837:J1837 H1835:J1836 I1860:J1860 H1861:J1889 I1807:J1807 H1823:J1830 I1822:J1822 H1808:J1821 H1899:I1899 H1610:J1665 I1609:J1609 I1666:J1666 I1890:J1890 H1935:J1965 I1934:J1934 H1927:J1933 H2390:J2392 I1682:J1682 H1891:J1892 I1902 H1903:J1925 H1739:J1739 H1667:J1681 I1893:J1894 I1752:J1752 H1744:J1751 H1683:J1687 H2395:J2395 H2388:J2388 H1780:J1806 H10639:J10641 H10671:J1048576">
    <cfRule type="duplicateValues" dxfId="2" priority="3349"/>
  </conditionalFormatting>
  <conditionalFormatting sqref="I1:I624 I626:I1848 I3141:I3207 I2981:I3139 I10198 I1850:I2489 I3209:I3330 I2496:I2979 I2491:I2494 I10639:I10641 I10671:I1048576">
    <cfRule type="duplicateValues" dxfId="1" priority="2692"/>
  </conditionalFormatting>
  <conditionalFormatting sqref="I1638:J1641">
    <cfRule type="duplicateValues" dxfId="2" priority="3491"/>
    <cfRule type="duplicateValues" dxfId="0" priority="3492"/>
  </conditionalFormatting>
  <conditionalFormatting sqref="I1642:J1657">
    <cfRule type="duplicateValues" dxfId="2" priority="3489"/>
    <cfRule type="duplicateValues" dxfId="0" priority="3490"/>
  </conditionalFormatting>
  <conditionalFormatting sqref="H1667:J1681 I1666:J1666 H1658:J1665 I1684:J1684 H1683:J1683 I1682:J1682 H1685:J1687 I1688:J1688 H1689:J1695">
    <cfRule type="duplicateValues" dxfId="0" priority="3485"/>
  </conditionalFormatting>
  <conditionalFormatting sqref="H1697:J1712 I1720:J1720 H1721:J1725 I1740:J1740 H1739:J1739 I1738:J1738 H1735:J1737 I1734:J1734 H1727:J1729 I1730:J1730 H1731:J1733 I1726:J1726 H1714:J1719 I1713">
    <cfRule type="duplicateValues" dxfId="0" priority="3480"/>
  </conditionalFormatting>
  <conditionalFormatting sqref="I1743:J1743 I1752:J1752 H1744:J1751">
    <cfRule type="duplicateValues" dxfId="0" priority="3473"/>
  </conditionalFormatting>
  <conditionalFormatting sqref="H1755:J1770">
    <cfRule type="duplicateValues" dxfId="0" priority="3465"/>
  </conditionalFormatting>
  <conditionalFormatting sqref="H1772:J1778 I1779:J1779 H1780:J1790">
    <cfRule type="duplicateValues" dxfId="0" priority="3459"/>
  </conditionalFormatting>
  <conditionalFormatting sqref="H1792:J1801">
    <cfRule type="duplicateValues" dxfId="0" priority="3447"/>
  </conditionalFormatting>
  <conditionalFormatting sqref="H1805:J1805 H1828:J1828 I1827:J1827 H1817:J1821 I1822:J1822 H1823:J1826 H1814:J1815 H1808:J1809 I1810:J1810 H1811:J1812 I1806:J1807">
    <cfRule type="duplicateValues" dxfId="0" priority="3439"/>
  </conditionalFormatting>
  <conditionalFormatting sqref="H1830:J1830 H1861:J1873 I1860:J1860 H1844:J1848 H1849 J1849 H1850:J1859 I1843:J1843 H1838:J1842 I1837:J1837 H1835:J1836 I1834:J1834 H1832:J1833 I1831:J1831">
    <cfRule type="duplicateValues" dxfId="0" priority="3428"/>
  </conditionalFormatting>
  <conditionalFormatting sqref="H1876:J1889 I1902 I1893:J1894 H1900:J1901 H1899:I1899 H1895:J1898 H1891:J1892 I1890:J1890">
    <cfRule type="duplicateValues" dxfId="0" priority="3415"/>
  </conditionalFormatting>
  <conditionalFormatting sqref="H1903:J1915">
    <cfRule type="duplicateValues" dxfId="0" priority="3410"/>
  </conditionalFormatting>
  <conditionalFormatting sqref="H1916:J1920">
    <cfRule type="duplicateValues" dxfId="0" priority="3406"/>
  </conditionalFormatting>
  <conditionalFormatting sqref="H1925:J1925 I1926:J1926 H1927:J1930">
    <cfRule type="duplicateValues" dxfId="0" priority="3397"/>
  </conditionalFormatting>
  <conditionalFormatting sqref="I1934:J1934 H1935:J1942">
    <cfRule type="duplicateValues" dxfId="0" priority="3384"/>
  </conditionalFormatting>
  <conditionalFormatting sqref="H1961:J1962">
    <cfRule type="duplicateValues" dxfId="0" priority="3351"/>
  </conditionalFormatting>
  <conditionalFormatting sqref="H1963:J1965">
    <cfRule type="duplicateValues" dxfId="0" priority="3350"/>
  </conditionalFormatting>
  <conditionalFormatting sqref="H1968:J1970">
    <cfRule type="duplicateValues" dxfId="0" priority="3345"/>
  </conditionalFormatting>
  <conditionalFormatting sqref="H1972:J1974">
    <cfRule type="duplicateValues" dxfId="0" priority="3343"/>
  </conditionalFormatting>
  <conditionalFormatting sqref="H1977:J1978">
    <cfRule type="duplicateValues" dxfId="0" priority="3340"/>
  </conditionalFormatting>
  <conditionalFormatting sqref="H1982:J1988">
    <cfRule type="duplicateValues" dxfId="0" priority="3336"/>
  </conditionalFormatting>
  <conditionalFormatting sqref="H1993:J2000">
    <cfRule type="duplicateValues" dxfId="0" priority="3331"/>
  </conditionalFormatting>
  <conditionalFormatting sqref="H2004:J2008">
    <cfRule type="duplicateValues" dxfId="0" priority="3327"/>
  </conditionalFormatting>
  <conditionalFormatting sqref="H2009:J2012">
    <cfRule type="duplicateValues" dxfId="0" priority="3326"/>
  </conditionalFormatting>
  <conditionalFormatting sqref="H2016:J2017">
    <cfRule type="duplicateValues" dxfId="0" priority="3322"/>
  </conditionalFormatting>
  <conditionalFormatting sqref="H2018:J2020">
    <cfRule type="duplicateValues" dxfId="0" priority="3321"/>
  </conditionalFormatting>
  <conditionalFormatting sqref="H2021:J2023">
    <cfRule type="duplicateValues" dxfId="0" priority="3320"/>
  </conditionalFormatting>
  <conditionalFormatting sqref="H2032:J2033">
    <cfRule type="duplicateValues" dxfId="0" priority="3311"/>
  </conditionalFormatting>
  <conditionalFormatting sqref="H2037:J2037 I2038:J2038">
    <cfRule type="duplicateValues" dxfId="0" priority="3306"/>
  </conditionalFormatting>
  <conditionalFormatting sqref="H2039:J2041">
    <cfRule type="duplicateValues" dxfId="0" priority="3305"/>
  </conditionalFormatting>
  <conditionalFormatting sqref="H2042:J2043">
    <cfRule type="duplicateValues" dxfId="0" priority="3304"/>
  </conditionalFormatting>
  <conditionalFormatting sqref="H2051:J2052">
    <cfRule type="duplicateValues" dxfId="0" priority="3295"/>
  </conditionalFormatting>
  <conditionalFormatting sqref="H2055:J2057">
    <cfRule type="duplicateValues" dxfId="0" priority="3292"/>
  </conditionalFormatting>
  <conditionalFormatting sqref="H2059:J2061">
    <cfRule type="duplicateValues" dxfId="0" priority="3290"/>
  </conditionalFormatting>
  <conditionalFormatting sqref="H2062:J2064">
    <cfRule type="duplicateValues" dxfId="0" priority="3289"/>
  </conditionalFormatting>
  <conditionalFormatting sqref="H2065:J2067">
    <cfRule type="duplicateValues" dxfId="0" priority="3288"/>
  </conditionalFormatting>
  <conditionalFormatting sqref="H2068:J2069">
    <cfRule type="duplicateValues" dxfId="0" priority="3287"/>
  </conditionalFormatting>
  <conditionalFormatting sqref="H2096:J2098">
    <cfRule type="duplicateValues" dxfId="0" priority="3250"/>
  </conditionalFormatting>
  <conditionalFormatting sqref="H2100:J2101">
    <cfRule type="duplicateValues" dxfId="0" priority="3248"/>
  </conditionalFormatting>
  <conditionalFormatting sqref="H2102:J2104">
    <cfRule type="duplicateValues" dxfId="0" priority="3247"/>
  </conditionalFormatting>
  <conditionalFormatting sqref="H2105:J2107">
    <cfRule type="duplicateValues" dxfId="0" priority="3246"/>
  </conditionalFormatting>
  <conditionalFormatting sqref="H2109:J2110">
    <cfRule type="duplicateValues" dxfId="0" priority="3244"/>
  </conditionalFormatting>
  <conditionalFormatting sqref="H2111:J2112">
    <cfRule type="duplicateValues" dxfId="0" priority="3243"/>
  </conditionalFormatting>
  <conditionalFormatting sqref="H2114 I2127:J2127 H2128:J2132 I2133:J2133 H2134:J2146 H2115:J2126 J2114">
    <cfRule type="duplicateValues" dxfId="0" priority="3235"/>
  </conditionalFormatting>
  <conditionalFormatting sqref="H2158:J2159 H2163 J2163 H2198:J2242 I2197:J2197 H2188:J2196 H2187:I2187 H2186:J2186 I2185:J2185 H2164:J2184 H2161:J2162 I2160:J2160">
    <cfRule type="duplicateValues" dxfId="0" priority="3222"/>
  </conditionalFormatting>
  <conditionalFormatting sqref="H2255:J2262 I2263:J2263 H2264:J2280 H2281:I2281 H2282:J2290 I2291:J2292 H2293:J2296 I2297:J2297">
    <cfRule type="duplicateValues" dxfId="0" priority="3192"/>
  </conditionalFormatting>
  <conditionalFormatting sqref="H2298:J2299">
    <cfRule type="duplicateValues" dxfId="0" priority="3191"/>
  </conditionalFormatting>
  <conditionalFormatting sqref="H2303:J2306">
    <cfRule type="duplicateValues" dxfId="0" priority="3187"/>
  </conditionalFormatting>
  <conditionalFormatting sqref="H2312:J2312 H2316:J2327 I2315:J2315 H2314:J2314 I2313:J2313">
    <cfRule type="duplicateValues" dxfId="0" priority="3176"/>
  </conditionalFormatting>
  <conditionalFormatting sqref="H2347:J2353">
    <cfRule type="duplicateValues" dxfId="0" priority="3145"/>
  </conditionalFormatting>
  <conditionalFormatting sqref="H2360:J2371">
    <cfRule type="duplicateValues" dxfId="0" priority="3135"/>
  </conditionalFormatting>
  <conditionalFormatting sqref="H2405:J2418">
    <cfRule type="duplicateValues" dxfId="0" priority="3091"/>
  </conditionalFormatting>
  <conditionalFormatting sqref="H2430:J2430 H2446:J2446 I2447:J2447 H2451:J2454 I2449:J2450 H2448:J2448 I2445:J2445 H2440:J2444 I2439:J2439 I2436:J2436 H2437:J2438 H2434:J2434 H2432:H2433 I2431:J2433">
    <cfRule type="duplicateValues" dxfId="0" priority="3075"/>
  </conditionalFormatting>
  <conditionalFormatting sqref="I2463 H2464:J2489 H2490 J2490 H2496:J2514 I2515:J2515 H2516:J2519 J2495 H2495 H2491:J2494 I2520 H2521:J2525">
    <cfRule type="duplicateValues" dxfId="0" priority="3061"/>
  </conditionalFormatting>
  <conditionalFormatting sqref="H2542:J2550 I2551:J2551 H2552:J2563 I2564:J2564 H2565:J2566 H2578:J2599 H2568:J2576 I2567:J2567 I2600:J2600 I2577:J2577">
    <cfRule type="duplicateValues" dxfId="0" priority="3028"/>
  </conditionalFormatting>
  <conditionalFormatting sqref="H2615:J2616">
    <cfRule type="duplicateValues" dxfId="0" priority="3001"/>
  </conditionalFormatting>
  <conditionalFormatting sqref="H2621:J2629 H2631:J2640 I2630:J2630">
    <cfRule type="duplicateValues" dxfId="0" priority="2990"/>
  </conditionalFormatting>
  <conditionalFormatting sqref="H2657:J2680 H2765:J2772 H2753:J2763 I2752:J2752 H2789:J2826 I2788 H2787:J2787 H2827 J2827 I2773:J2773 H2774:J2775 H2693:J2751 I2776:J2776 H2777:J2785 I2764:J2764 H2786:I2786 H2685:J2691 I2692:J2692 H2684:I2684 H2682:J2683 I2681:J2681">
    <cfRule type="duplicateValues" dxfId="0" priority="2959"/>
  </conditionalFormatting>
  <conditionalFormatting sqref="H2849:J2850">
    <cfRule type="duplicateValues" dxfId="0" priority="2920"/>
  </conditionalFormatting>
  <conditionalFormatting sqref="H2851:J2852">
    <cfRule type="duplicateValues" dxfId="0" priority="2919"/>
  </conditionalFormatting>
  <conditionalFormatting sqref="H2862:J2863 I2923:J2923 H2924:J2933 I2934:J2934 H2915:J2922 I2914:J2914 H2906:J2913 I2905:J2905 H2896:J2904 I2895:J2895 H2865:J2892 I2893:J2893 H2894:J2894 I2864:J2864">
    <cfRule type="duplicateValues" dxfId="0" priority="2897"/>
  </conditionalFormatting>
  <conditionalFormatting sqref="H2954:J2956">
    <cfRule type="duplicateValues" dxfId="0" priority="2871"/>
  </conditionalFormatting>
  <conditionalFormatting sqref="H2958:J2959">
    <cfRule type="duplicateValues" dxfId="0" priority="2867"/>
  </conditionalFormatting>
  <conditionalFormatting sqref="H2970:J2973">
    <cfRule type="duplicateValues" dxfId="0" priority="2856"/>
  </conditionalFormatting>
  <conditionalFormatting sqref="H2974:J2976">
    <cfRule type="duplicateValues" dxfId="0" priority="2855"/>
  </conditionalFormatting>
  <conditionalFormatting sqref="H2977:J2978 I2979:J2979 H2980 J2980 H2981:J3005">
    <cfRule type="duplicateValues" dxfId="0" priority="2847"/>
  </conditionalFormatting>
  <conditionalFormatting sqref="H3019:J3029">
    <cfRule type="duplicateValues" dxfId="0" priority="2830"/>
  </conditionalFormatting>
  <conditionalFormatting sqref="H3032:J3033">
    <cfRule type="duplicateValues" dxfId="0" priority="2827"/>
  </conditionalFormatting>
  <conditionalFormatting sqref="H3036:J3037">
    <cfRule type="duplicateValues" dxfId="0" priority="2824"/>
  </conditionalFormatting>
  <conditionalFormatting sqref="H3048:J3059">
    <cfRule type="duplicateValues" dxfId="0" priority="2811"/>
  </conditionalFormatting>
  <conditionalFormatting sqref="H3067:J3070 I3080:J3080 H3081:J3082 I3083:J3083 H3084:J3085 H3072:J3078 I3071:J3071">
    <cfRule type="duplicateValues" dxfId="0" priority="2800"/>
  </conditionalFormatting>
  <conditionalFormatting sqref="H3088:J3089">
    <cfRule type="duplicateValues" dxfId="0" priority="2793"/>
  </conditionalFormatting>
  <conditionalFormatting sqref="H3091:J3092">
    <cfRule type="duplicateValues" dxfId="0" priority="2790"/>
  </conditionalFormatting>
  <conditionalFormatting sqref="H3097:J3101 I3102:J3102 H3110:J3112 H3109:I3109 H3103:J3105 H3106:I3106 H3107:J3108 I3113:J3113">
    <cfRule type="duplicateValues" dxfId="0" priority="2784"/>
  </conditionalFormatting>
  <conditionalFormatting sqref="H3126:J3129 I3130:J3130 H3150:J3152 I3153:J3153 H3154:J3161 I3149:J3149 H3141:J3148 H3140 H3131:J3139">
    <cfRule type="duplicateValues" dxfId="0" priority="2766"/>
  </conditionalFormatting>
  <conditionalFormatting sqref="H3174:J3176 H3178:J3207 J3208 H3209:J3238 I3177:J3177">
    <cfRule type="duplicateValues" dxfId="0" priority="2751"/>
  </conditionalFormatting>
  <conditionalFormatting sqref="H3251:J3262">
    <cfRule type="duplicateValues" dxfId="0" priority="2731"/>
  </conditionalFormatting>
  <conditionalFormatting sqref="H3263:J3263 I3264:J3264 H3265:J3265 I3266:J3266 H3267:J3268 H3271:J3274 I3269:J3270 H3281:J3289">
    <cfRule type="duplicateValues" dxfId="0" priority="2732"/>
  </conditionalFormatting>
  <conditionalFormatting sqref="H3275:J3278 H3279:I3279 H3280:J3280">
    <cfRule type="duplicateValues" dxfId="0" priority="2730"/>
  </conditionalFormatting>
  <conditionalFormatting sqref="H3300:J3322 I3323:J3323 H3324:J3326 H3328:J3330 I3327:J3327">
    <cfRule type="duplicateValues" dxfId="0" priority="2693"/>
  </conditionalFormatting>
  <conditionalFormatting sqref="H3341:J3344 H3345:I3345 H3346:J3346">
    <cfRule type="duplicateValues" dxfId="1" priority="2674"/>
    <cfRule type="duplicateValues" dxfId="2" priority="2675"/>
    <cfRule type="duplicateValues" dxfId="2" priority="2676"/>
    <cfRule type="duplicateValues" dxfId="2" priority="2677"/>
    <cfRule type="duplicateValues" dxfId="0" priority="2679"/>
  </conditionalFormatting>
  <conditionalFormatting sqref="H3347:J3363">
    <cfRule type="duplicateValues" dxfId="0" priority="2671"/>
  </conditionalFormatting>
  <conditionalFormatting sqref="H3368:J3368 I3369:J3369 H3370:J3375 I3376:J3376 H3377:J3382 I3383:J3383 H3384:J3387">
    <cfRule type="duplicateValues" dxfId="0" priority="2661"/>
  </conditionalFormatting>
  <conditionalFormatting sqref="H3399:J3399 H3400 J3400 H3401:J3401 H3402:I3402 H3403:J3403 I3404:J3404 H3405:J3414 H3415:I3416">
    <cfRule type="duplicateValues" dxfId="0" priority="2644"/>
  </conditionalFormatting>
  <conditionalFormatting sqref="H3426:J3427">
    <cfRule type="duplicateValues" dxfId="0" priority="2632"/>
  </conditionalFormatting>
  <conditionalFormatting sqref="H3432:J3447 I3452 H3453:J3460 H3449:J3451 I3448:J3448">
    <cfRule type="duplicateValues" dxfId="0" priority="2623"/>
  </conditionalFormatting>
  <conditionalFormatting sqref="H3470:H3475 H3520:H3521 H3523:H3535 H3537:H3551 H3553:H3574 H3484 H3481:H3482 H3477:H3479 H3487:H3489 H3511:H3518 H3500:H3509 H3493:H3495 H3497:H3498">
    <cfRule type="duplicateValues" dxfId="0" priority="2574"/>
  </conditionalFormatting>
  <conditionalFormatting sqref="I3473:J3475 J3539:J3559 J3476:J3537">
    <cfRule type="duplicateValues" dxfId="0" priority="2603"/>
  </conditionalFormatting>
  <conditionalFormatting sqref="I3476:I3537 I3539:I3559">
    <cfRule type="duplicateValues" dxfId="0" priority="2601"/>
  </conditionalFormatting>
  <conditionalFormatting sqref="I3572:J3573">
    <cfRule type="duplicateValues" dxfId="0" priority="2582"/>
  </conditionalFormatting>
  <conditionalFormatting sqref="H3580:J3583 H3725:J3725">
    <cfRule type="duplicateValues" dxfId="0" priority="2566"/>
  </conditionalFormatting>
  <conditionalFormatting sqref="A3583 A3725">
    <cfRule type="duplicateValues" dxfId="0" priority="2570"/>
  </conditionalFormatting>
  <conditionalFormatting sqref="H3584:J3585 I3708:J3709 H3716:J3716 I3715:J3715 H3710:J3714 H3703:J3707 I3718:J3718 H3719:J3724 H3717:I3717 I3702:J3702 H3642:J3642 I3643:J3643 H3651:J3660 H3661:I3661 H3662:J3668 I3650:J3650 H3644:J3645 I3646:J3646 H3647:J3649 I3669:J3669 H3670:J3674 I3675:J3675 H3697:J3698 I3696:J3696 H3676:J3695 I3699:J3699 H3700:J3701 H3641 I3639:J3640 H3592:J3615 I3591:J3591 H3587:J3590 I3616:J3616 H3617:J3625 I3626:J3626 H3627:J3638 H3586:I3586">
    <cfRule type="duplicateValues" dxfId="0" priority="2565"/>
  </conditionalFormatting>
  <conditionalFormatting sqref="H3726:J3734 H3740:J3742 H3743:I3743 H3744:J3745 H3736:J3738 I3735:J3735">
    <cfRule type="duplicateValues" dxfId="0" priority="2564"/>
  </conditionalFormatting>
  <conditionalFormatting sqref="H3766:J3766 H3782:J3784 I3781:J3781 H3768:J3769 H3770:I3771 H3772:J3775 I3776:J3776 H3777:J3780 J3767">
    <cfRule type="duplicateValues" dxfId="0" priority="2534"/>
  </conditionalFormatting>
  <conditionalFormatting sqref="H3785:I3785 H3786:J3788">
    <cfRule type="duplicateValues" dxfId="0" priority="2532"/>
  </conditionalFormatting>
  <conditionalFormatting sqref="H3799:J3799 H3802:H3805 I3802:J3806">
    <cfRule type="duplicateValues" dxfId="0" priority="2505"/>
  </conditionalFormatting>
  <conditionalFormatting sqref="I3807:J3810 H3808:H3809">
    <cfRule type="duplicateValues" dxfId="0" priority="2502"/>
  </conditionalFormatting>
  <conditionalFormatting sqref="H3813 J3813">
    <cfRule type="duplicateValues" dxfId="0" priority="2496"/>
  </conditionalFormatting>
  <conditionalFormatting sqref="H3820:J3830 I3831:J3831">
    <cfRule type="duplicateValues" dxfId="0" priority="2488"/>
  </conditionalFormatting>
  <conditionalFormatting sqref="H3842:J3842 I3843:J3845 H3843 H3845 H3846:J3848 I3849:J3851 J3852 I3853:J3858 H3850:H3852 H3856:H3858">
    <cfRule type="duplicateValues" dxfId="0" priority="2472"/>
  </conditionalFormatting>
  <conditionalFormatting sqref="A3880:A3885 A3895:A3950">
    <cfRule type="duplicateValues" dxfId="0" priority="2444"/>
  </conditionalFormatting>
  <conditionalFormatting sqref="H3880:J3886 H3927:J3929 J3926 H3926 H3907:J3925 I3906:J3906 H3897:J3905 I3896:J3896 H3938:J3942 H3930 I3930:J3937 H3935:H3936 H3944:J3949 I3950:J3950 H3888:J3895 I3887:J3887">
    <cfRule type="duplicateValues" dxfId="0" priority="2438"/>
  </conditionalFormatting>
  <conditionalFormatting sqref="A3892 A3894">
    <cfRule type="duplicateValues" dxfId="0" priority="2443"/>
  </conditionalFormatting>
  <conditionalFormatting sqref="H3979:J3980 I3988:J3988 H3989:J3989 H3992:H3996 I3990:J4014 I4016:J4020 H3998:H3999 H4009:H4010 H4001:H4007 H4012:H4015 H4017 H4019:H4020 I4029:J4030 H4031:J4035 H4021:J4023 I4024:J4024 H4025:J4025 I4026:J4026 H4027:J4028 H3982:J3987 J3981 H3981">
    <cfRule type="duplicateValues" dxfId="0" priority="2393"/>
  </conditionalFormatting>
  <conditionalFormatting sqref="I4068:J4068 H4067:J4067 H4065:H4066 H4057 H4059:H4063 I4056:J4066">
    <cfRule type="duplicateValues" dxfId="0" priority="2363"/>
  </conditionalFormatting>
  <conditionalFormatting sqref="H4070:J4072">
    <cfRule type="duplicateValues" dxfId="0" priority="2354"/>
  </conditionalFormatting>
  <conditionalFormatting sqref="H4086:J4090 H4102:J4104 I4101:J4101 H4092:J4100 I4091:J4091">
    <cfRule type="duplicateValues" dxfId="0" priority="2332"/>
  </conditionalFormatting>
  <conditionalFormatting sqref="A4087:A4090 A4099:A4104 A4092">
    <cfRule type="duplicateValues" dxfId="0" priority="2336"/>
  </conditionalFormatting>
  <conditionalFormatting sqref="I4120:J4120 H4130:J4130 I4127:J4129 H4125:J4126 I4124:J4124 H4121:J4123">
    <cfRule type="duplicateValues" dxfId="0" priority="2309"/>
  </conditionalFormatting>
  <conditionalFormatting sqref="H4152:J4160 I4161:J4161 K4165 H4176:J4176 H4166:J4170 J4164 H4163:I4164 H4172:J4174 H4162:J4162">
    <cfRule type="duplicateValues" dxfId="0" priority="2273"/>
  </conditionalFormatting>
  <conditionalFormatting sqref="A4206:A4215 A4223:A4227 A4256:A4275 A4312:A4316 A4304 A4279:A4292">
    <cfRule type="duplicateValues" dxfId="0" priority="2231"/>
  </conditionalFormatting>
  <conditionalFormatting sqref="H4206:J4212 I4213:J4213 H4214:J4255 H4314 H4311:J4312 I4313:J4313 I4310:J4310 H4315:J4316 J4314 I4256:J4256 H4257:J4267 I4268:J4268 H4269:J4304 H4305 J4305 H4306:J4309">
    <cfRule type="duplicateValues" dxfId="0" priority="2217"/>
  </conditionalFormatting>
  <conditionalFormatting sqref="H4364:J4369 I4370:J4370 H4376:J4379 I4375:J4375 H4373:J4374 J4380 H4381:J4383 J4372 H4371:J4371 I4384:J4386">
    <cfRule type="duplicateValues" dxfId="0" priority="2146"/>
  </conditionalFormatting>
  <conditionalFormatting sqref="H4396:J4401 I4402:J4402 H4413:J4421 I4412:J4412 H4403:J4411 H4423:J4425 I4422:J4422">
    <cfRule type="duplicateValues" dxfId="0" priority="2135"/>
  </conditionalFormatting>
  <conditionalFormatting sqref="H4452:J4460 I4461 I4462:J4462 H4463:J4465">
    <cfRule type="duplicateValues" dxfId="0" priority="2099"/>
  </conditionalFormatting>
  <conditionalFormatting sqref="H4474:J4480">
    <cfRule type="duplicateValues" dxfId="0" priority="2087"/>
  </conditionalFormatting>
  <conditionalFormatting sqref="H4492:J4493 I4494:J4494 I4496:J4496 H4497:J4498 H4495:J4495 H4503:J4509 H4502:I4502 I4501:J4501 H4500:J4500 I4499:J4499">
    <cfRule type="duplicateValues" dxfId="0" priority="2072"/>
  </conditionalFormatting>
  <conditionalFormatting sqref="H4521:H4525 J4521:J4534 J4536:J4544 H4527:H4544">
    <cfRule type="duplicateValues" dxfId="0" priority="2052"/>
  </conditionalFormatting>
  <conditionalFormatting sqref="I4521:I4534 I4536:I4544">
    <cfRule type="duplicateValues" dxfId="0" priority="2053"/>
  </conditionalFormatting>
  <conditionalFormatting sqref="H4551 H4574 H4577:H4583 H4585:H4589 H4591 J4551:J4591 H4567:H4570 H4565 H4561:H4563 H4555:H4559 H4553">
    <cfRule type="duplicateValues" dxfId="0" priority="2041"/>
  </conditionalFormatting>
  <conditionalFormatting sqref="A4603:A4653 A4657:A4694">
    <cfRule type="duplicateValues" dxfId="0" priority="2024"/>
  </conditionalFormatting>
  <conditionalFormatting sqref="H4603:J4609 H4662:J4671 I4661:J4661 H4650:J4660 I4649:J4649 H4645:J4648 I4643:J4644 H4685:J4694 H4673:J4682 I4672:J4672 H4640:J4642 I4639:J4639 H4636:J4638 I4635:J4635 H4619:J4628 I4629:J4629 H4634:J4634 I4633:J4633 H4630:J4632 J4618 H4618 H4611:J4617 H4610:I4610">
    <cfRule type="duplicateValues" dxfId="0" priority="2022"/>
  </conditionalFormatting>
  <conditionalFormatting sqref="I4684:J4684 H4683:I4683">
    <cfRule type="duplicateValues" dxfId="0" priority="2020"/>
  </conditionalFormatting>
  <conditionalFormatting sqref="A4769 A4793:A4800 A4819:A4955">
    <cfRule type="duplicateValues" dxfId="0" priority="1929"/>
  </conditionalFormatting>
  <conditionalFormatting sqref="H4769:J4775 H4777:J4779 I4780:J4780 H4781:J4785 I4786:J4787 H4788:J4791 I4792:J4792 H4793:J4805 I4776:J4776 I4882:J4883 H4900:H4901 H4918:J4919 I4920:J4920 H4925:J4926 I4924:J4924 H4923:J4923 I4927:J4928 I4922:J4922 H4921:J4921 I4933:J4935 H4932:J4932 I4931:J4931 H4894:H4896 H4898 H4905:H4910 H4903 H4915:H4916 I4937:J4955 H4943:H4945 J4917 H4938:H4940 H4947:H4952 H4954 I4906:J4916 J4905 I4893:J4904 H4912 H4936:J4936 H4929:J4930 H4807:J4814 I4815:J4815 H4816:J4817 I4818:J4818 H4819:J4820 I4821:J4821 H4892:J4892 I4891:J4891 H4889:J4890 I4888:J4888 H4884:J4887 H4835:J4839 I4834:J4834 H4822:J4833 I4806:J4806 H4870:J4881 H4869:I4869 H4867:J4868 H4864 H4866 I4864:J4866 H4857:J4861 I4840:J4841 H4842:J4843 I4862:J4862 I4844:J4844 H4845:J4850 I4851:J4851 H4852:J4854 I4855:J4856">
    <cfRule type="duplicateValues" dxfId="0" priority="1924"/>
  </conditionalFormatting>
  <conditionalFormatting sqref="A4994:A4999 A5001:A5003">
    <cfRule type="duplicateValues" dxfId="0" priority="1869"/>
  </conditionalFormatting>
  <conditionalFormatting sqref="H4994:J4996 H5000:J5003 H4998:J4998 I4997:J4997">
    <cfRule type="duplicateValues" dxfId="0" priority="1868"/>
  </conditionalFormatting>
  <conditionalFormatting sqref="H5013:J5013 H5024:J5025 H5023:I5023 J5022 H5022 H5018:J5021 I5017:J5017 H5015:J5016 I5014:J5014">
    <cfRule type="duplicateValues" dxfId="0" priority="1851"/>
  </conditionalFormatting>
  <conditionalFormatting sqref="H5036:J5036 I5043 H5044:J5044 H5042 H5038:J5041 I5037:J5037">
    <cfRule type="duplicateValues" dxfId="0" priority="1832"/>
  </conditionalFormatting>
  <conditionalFormatting sqref="A5059 A5095:A5101 A5061:A5078">
    <cfRule type="duplicateValues" dxfId="0" priority="1810"/>
  </conditionalFormatting>
  <conditionalFormatting sqref="H5059:H5068 H5095:H5101 H5088:H5090 H5078:H5080 H5082:H5086 H5092 H5071:H5076">
    <cfRule type="duplicateValues" dxfId="0" priority="1805"/>
  </conditionalFormatting>
  <conditionalFormatting sqref="J5059 J5095:J5101 J5061:J5078">
    <cfRule type="duplicateValues" dxfId="0" priority="1804"/>
  </conditionalFormatting>
  <conditionalFormatting sqref="I5122:J5122 I5156:J5156 H5149:J5149 I5150:J5150 H5148:I5148 H5147:J5147 I5146:J5146 H5151:J5155 H5145:J5145 I5144:J5144 H5142:J5143 I5141:J5141 I5127:J5128 H5129:J5140 H5123:J5126">
    <cfRule type="duplicateValues" dxfId="0" priority="1752"/>
  </conditionalFormatting>
  <conditionalFormatting sqref="H5172:J5185 I5189:J5189 I5190 H5205:J5207 I5204:J5204 H5191:J5203 I5208:J5208 H5209:J5209 H5187:J5188 I5186:J5186">
    <cfRule type="duplicateValues" dxfId="0" priority="1728"/>
  </conditionalFormatting>
  <conditionalFormatting sqref="H5223:J5224">
    <cfRule type="duplicateValues" dxfId="0" priority="1706"/>
  </conditionalFormatting>
  <conditionalFormatting sqref="H5225:I5225 H5232:J5233 I5231:J5231 H5226:J5230">
    <cfRule type="duplicateValues" dxfId="0" priority="1707"/>
  </conditionalFormatting>
  <conditionalFormatting sqref="A5246:A5247 A5259:A5275 A5249:A5257">
    <cfRule type="duplicateValues" dxfId="0" priority="1690"/>
  </conditionalFormatting>
  <conditionalFormatting sqref="H5246:J5271 H5273:I5273 I5274:J5274">
    <cfRule type="duplicateValues" dxfId="0" priority="1687"/>
  </conditionalFormatting>
  <conditionalFormatting sqref="H5287:J5293 H5299:J5299 I5298:J5298 H5296:J5297 I5294:J5294">
    <cfRule type="duplicateValues" dxfId="0" priority="1669"/>
  </conditionalFormatting>
  <conditionalFormatting sqref="H5321:J5326 H5334:J5336 I5333:J5333 H5328:J5332 I5327:J5327">
    <cfRule type="duplicateValues" dxfId="0" priority="1635"/>
  </conditionalFormatting>
  <conditionalFormatting sqref="H5351:J5367 I5368:J5368">
    <cfRule type="duplicateValues" dxfId="0" priority="1612"/>
  </conditionalFormatting>
  <conditionalFormatting sqref="H5378:J5378 I5415:J5415 H5384:J5389 I5390:J5390 H5397:J5414 I5396:J5396 H5394:J5395 I5393:J5393 H5391:J5392 I5382:J5383 I5381 I5379:J5380">
    <cfRule type="duplicateValues" dxfId="0" priority="1601"/>
  </conditionalFormatting>
  <conditionalFormatting sqref="I5458:J5458 H5470:I5470 H5471:J5487 H5489:J5497 H5504:J5505 I5503:J5503 H5499:J5502 I5506 H5507:J5514 H5498:I5498 H5488:I5488 H5459:J5469">
    <cfRule type="duplicateValues" dxfId="0" priority="1536"/>
  </conditionalFormatting>
  <conditionalFormatting sqref="H5515:J5518 H5525:I5525 H5545:J5547 I5544:J5544 H5528:J5543 I5527:J5527 H5526:J5526 I5548:J5548 J5598 H5598 H5597:J5597 I5596:J5596 J5595 H5595 H5549:J5594 I5599:J5599 H5600:J5607 H5608 J5608 H5609:J5616 I5617:J5617 H5618:J5625 H5524:J5524 I5523:J5523 H5522:J5522 J5521 H5521 H5520:J5520 I5519">
    <cfRule type="duplicateValues" dxfId="0" priority="1535"/>
  </conditionalFormatting>
  <conditionalFormatting sqref="H5698:J5744 I5758:J5758 H5767:J5770 I5766:J5766 H5759:J5765 H5749:J5757 I5748:J5748 H5747:J5747 I5745:J5746">
    <cfRule type="duplicateValues" dxfId="0" priority="1425"/>
  </conditionalFormatting>
  <conditionalFormatting sqref="H5778:J5779">
    <cfRule type="duplicateValues" dxfId="0" priority="1416"/>
  </conditionalFormatting>
  <conditionalFormatting sqref="H5780:J5793 I5819:J5819 H5842:J5843 I5841:J5841 H5820:J5825 I5826:J5826 H5827:J5831 I5832:J5832 H5833:J5840 H5795:J5818 J5794 H5794">
    <cfRule type="duplicateValues" dxfId="0" priority="1415"/>
  </conditionalFormatting>
  <conditionalFormatting sqref="H5855:J5865 I5883:J5883 H5909:J5912 I5908:J5908 H5884:J5893 I5894:J5894 H5895:J5902 H5903 J5903 H5904:J5907 H5913 J5913 H5867:J5882 I5866:J5866">
    <cfRule type="duplicateValues" dxfId="0" priority="1400"/>
  </conditionalFormatting>
  <conditionalFormatting sqref="H5930:J5933 I5996:J5997 H5998:J6007 I6008:J6008 H6009:J6009 I6010:J6010 H6011:J6011 I6012:J6012 H6013:J6023 I6024:J6024 H6025:J6027 H6028:I6028 I6029:J6029 H6030:J6034 I6035:J6035 H6036:J6040 H6042:J6042 H5968:J5995 I5967:J5967 H5950:J5956 I5957:J5957 H5958:J5966 I5949:J5949 H5944:J5948 I5943:J5943 H5935:J5942 H5934:I5934">
    <cfRule type="duplicateValues" dxfId="0" priority="1380"/>
  </conditionalFormatting>
  <conditionalFormatting sqref="H6084:J6090 H6092:J6092">
    <cfRule type="duplicateValues" dxfId="0" priority="1321"/>
  </conditionalFormatting>
  <conditionalFormatting sqref="H6093:J6097 I6099:J6099 H6105:J6106 I6104:J6104 H6100:J6103 I6112:J6112 H6113:J6114 J6098 H6098">
    <cfRule type="duplicateValues" dxfId="0" priority="1319"/>
  </conditionalFormatting>
  <conditionalFormatting sqref="H6107:J6110 J6111">
    <cfRule type="duplicateValues" dxfId="0" priority="1318"/>
  </conditionalFormatting>
  <conditionalFormatting sqref="H6145:J6155">
    <cfRule type="duplicateValues" dxfId="0" priority="1276"/>
  </conditionalFormatting>
  <conditionalFormatting sqref="H6175:J6176 I6177:J6177 H6178:J6178 I6179:J6181 H6182:J6184">
    <cfRule type="duplicateValues" dxfId="0" priority="1252"/>
  </conditionalFormatting>
  <conditionalFormatting sqref="H6193:J6200 H6201 J6201 H6202:J6203">
    <cfRule type="duplicateValues" dxfId="0" priority="1241"/>
  </conditionalFormatting>
  <conditionalFormatting sqref="I6204:J6204 I6208:J6210 I6229:J6236 H6230:H6235 H6228:J6228 I6227:J6227 H6211:J6220 I6221:J6221 H6222:J6226 H6207:J6207 I6206:J6206 H6205:J6205">
    <cfRule type="duplicateValues" dxfId="0" priority="1240"/>
  </conditionalFormatting>
  <conditionalFormatting sqref="H6239:J6243">
    <cfRule type="duplicateValues" dxfId="0" priority="1228"/>
  </conditionalFormatting>
  <conditionalFormatting sqref="H6244:J6245">
    <cfRule type="duplicateValues" dxfId="0" priority="1227"/>
  </conditionalFormatting>
  <conditionalFormatting sqref="H6246:J6251">
    <cfRule type="duplicateValues" dxfId="0" priority="1226"/>
  </conditionalFormatting>
  <conditionalFormatting sqref="H6253:J6257 I6279:J6279 H6280:J6281 H6276:J6278 I6275:J6275 H6273:J6274 I6272:J6272 H6259:J6271 I6258:J6258">
    <cfRule type="duplicateValues" dxfId="0" priority="1224"/>
  </conditionalFormatting>
  <conditionalFormatting sqref="H6287:J6295">
    <cfRule type="duplicateValues" dxfId="0" priority="1216"/>
  </conditionalFormatting>
  <conditionalFormatting sqref="H6296:J6306">
    <cfRule type="duplicateValues" dxfId="0" priority="1215"/>
  </conditionalFormatting>
  <conditionalFormatting sqref="H6307:J6310 H6312:J6313 H6314:I6314 I6315:J6316 H6317:J6320 H6323:J6326 I6321:J6322">
    <cfRule type="duplicateValues" dxfId="0" priority="1214"/>
  </conditionalFormatting>
  <conditionalFormatting sqref="H6332:J6336">
    <cfRule type="duplicateValues" dxfId="0" priority="1202"/>
  </conditionalFormatting>
  <conditionalFormatting sqref="H6338:J6341 H6343:J6354">
    <cfRule type="duplicateValues" dxfId="0" priority="1200"/>
  </conditionalFormatting>
  <conditionalFormatting sqref="H6355:J6356 I6357:J6357 H6358:J6365">
    <cfRule type="duplicateValues" dxfId="0" priority="1198"/>
  </conditionalFormatting>
  <conditionalFormatting sqref="H6372:J6375">
    <cfRule type="duplicateValues" dxfId="0" priority="1189"/>
  </conditionalFormatting>
  <conditionalFormatting sqref="H6376:J6382">
    <cfRule type="duplicateValues" dxfId="0" priority="1188"/>
  </conditionalFormatting>
  <conditionalFormatting sqref="H6383:J6385 H6387:J6387 H6388 J6388 H6393:J6393 H6392:I6392 H6389:J6391">
    <cfRule type="duplicateValues" dxfId="0" priority="1187"/>
  </conditionalFormatting>
  <conditionalFormatting sqref="H6404:J6410">
    <cfRule type="duplicateValues" dxfId="0" priority="1172"/>
  </conditionalFormatting>
  <conditionalFormatting sqref="H6411:J6417">
    <cfRule type="duplicateValues" dxfId="0" priority="1171"/>
  </conditionalFormatting>
  <conditionalFormatting sqref="H6420:J6422 H6467:J6472 I6466:J6466 H6455:J6465 H6451:I6451 I6440:J6441 H6431:J6439 H6424:J6427 I6423:J6423 H6442:J6450 I6430:J6430 H6429:J6429 I6428:J6428">
    <cfRule type="duplicateValues" dxfId="0" priority="1168"/>
  </conditionalFormatting>
  <conditionalFormatting sqref="H6473:J6476 I6477:J6477 H6478:J6479 I6480:J6480 H6483:J6483 H6482:I6482 H6481:J6481 I6484:J6485">
    <cfRule type="duplicateValues" dxfId="0" priority="1164"/>
  </conditionalFormatting>
  <conditionalFormatting sqref="H6493:J6509 H6514:J6514 H6511:J6512 H6510:I6510">
    <cfRule type="duplicateValues" dxfId="0" priority="1145"/>
  </conditionalFormatting>
  <conditionalFormatting sqref="H6515:J6517">
    <cfRule type="duplicateValues" dxfId="0" priority="1142"/>
  </conditionalFormatting>
  <conditionalFormatting sqref="H6520:J6523">
    <cfRule type="duplicateValues" dxfId="0" priority="1139"/>
  </conditionalFormatting>
  <conditionalFormatting sqref="H6524:J6525">
    <cfRule type="duplicateValues" dxfId="0" priority="1137"/>
  </conditionalFormatting>
  <conditionalFormatting sqref="H6526:J6529">
    <cfRule type="duplicateValues" dxfId="0" priority="1138"/>
  </conditionalFormatting>
  <conditionalFormatting sqref="H6530:J6542 H6550:J6550 I6549:J6549 H6548:J6548 H6543">
    <cfRule type="duplicateValues" dxfId="0" priority="1136"/>
  </conditionalFormatting>
  <conditionalFormatting sqref="H6555:J6559">
    <cfRule type="duplicateValues" dxfId="0" priority="1125"/>
  </conditionalFormatting>
  <conditionalFormatting sqref="H6560:J6565">
    <cfRule type="duplicateValues" dxfId="0" priority="1124"/>
  </conditionalFormatting>
  <conditionalFormatting sqref="H6566:J6575">
    <cfRule type="duplicateValues" dxfId="0" priority="1123"/>
  </conditionalFormatting>
  <conditionalFormatting sqref="H6576:J6578 I6579:J6579 H6580:J6587">
    <cfRule type="duplicateValues" dxfId="0" priority="1122"/>
  </conditionalFormatting>
  <conditionalFormatting sqref="H6591:J6601">
    <cfRule type="duplicateValues" dxfId="0" priority="1111"/>
  </conditionalFormatting>
  <conditionalFormatting sqref="I6602:J6602 H6603:J6603 I6604:J6604 H6605:J6607 H6608 I6609:J6609 H6613:J6622 I6612:J6612 H6610:J6611">
    <cfRule type="duplicateValues" dxfId="0" priority="1110"/>
  </conditionalFormatting>
  <conditionalFormatting sqref="H6629:J6630">
    <cfRule type="duplicateValues" dxfId="0" priority="1098"/>
  </conditionalFormatting>
  <conditionalFormatting sqref="H6632:J6641">
    <cfRule type="duplicateValues" dxfId="0" priority="1096"/>
  </conditionalFormatting>
  <conditionalFormatting sqref="H6642:J6649">
    <cfRule type="duplicateValues" dxfId="0" priority="1095"/>
  </conditionalFormatting>
  <conditionalFormatting sqref="H6650:J6652 I6653:J6653 H6654:J6654 H6661:I6661 H6662 J6662 H6663:J6667 H6656:J6660 I6655:J6655">
    <cfRule type="duplicateValues" dxfId="0" priority="1094"/>
  </conditionalFormatting>
  <conditionalFormatting sqref="H6671:J6673">
    <cfRule type="duplicateValues" dxfId="0" priority="1087"/>
  </conditionalFormatting>
  <conditionalFormatting sqref="H6674:J6675">
    <cfRule type="duplicateValues" dxfId="0" priority="1086"/>
  </conditionalFormatting>
  <conditionalFormatting sqref="H6676:J6678">
    <cfRule type="duplicateValues" dxfId="0" priority="1085"/>
  </conditionalFormatting>
  <conditionalFormatting sqref="H6679:J6683 H6685:J6688">
    <cfRule type="duplicateValues" dxfId="0" priority="1084"/>
  </conditionalFormatting>
  <conditionalFormatting sqref="I6690:J6690 H6691:J6696 I6698:J6699 H6700:J6703 I6704:J6704 H6705:J6710">
    <cfRule type="duplicateValues" dxfId="0" priority="1082"/>
  </conditionalFormatting>
  <conditionalFormatting sqref="H6714:J6721">
    <cfRule type="duplicateValues" dxfId="0" priority="1075"/>
  </conditionalFormatting>
  <conditionalFormatting sqref="I6722:J6735 H6763:J6766 H6732:H6735 H6722:H6730 I6762:J6762 H6757:J6761 I6756:J6756 H6750:J6755 I6749:J6749 H6738:J6740 I6741:J6741 H6742:J6748 I6770:J6770 H6768:J6769">
    <cfRule type="duplicateValues" dxfId="0" priority="1073"/>
  </conditionalFormatting>
  <conditionalFormatting sqref="H6778:J6779">
    <cfRule type="duplicateValues" dxfId="0" priority="1056"/>
  </conditionalFormatting>
  <conditionalFormatting sqref="H6780:J6783">
    <cfRule type="duplicateValues" dxfId="0" priority="1055"/>
  </conditionalFormatting>
  <conditionalFormatting sqref="H6785:J6788">
    <cfRule type="duplicateValues" dxfId="0" priority="1053"/>
  </conditionalFormatting>
  <conditionalFormatting sqref="H6789:J6793">
    <cfRule type="duplicateValues" dxfId="0" priority="1052"/>
  </conditionalFormatting>
  <conditionalFormatting sqref="H6794:J6801 I6827:J6827 H6828:J6847 H6848 J6848 H6849:J6849 H6851:J6855 I6856:J6856 H6861:J6863 I6860:J6860 H6857:J6859 H6814:J6826 I6813:J6813 H6808:J6812 I6807:J6807 H6803:J6806 I6802:J6802">
    <cfRule type="duplicateValues" dxfId="0" priority="1051"/>
  </conditionalFormatting>
  <conditionalFormatting sqref="H6870:J6874">
    <cfRule type="duplicateValues" dxfId="0" priority="1041"/>
  </conditionalFormatting>
  <conditionalFormatting sqref="H6878:J6882">
    <cfRule type="duplicateValues" dxfId="0" priority="1037"/>
  </conditionalFormatting>
  <conditionalFormatting sqref="H6883:J6886 I6887:J6887 H6888:J6894 H6895 J6895 H6902:J6913 J6901 H6901 H6897:J6900 I6896:J6896 I6918:J6918 H6919:J6920 H6921 H6923:J6923 H6924 I6925:J6925 H6926:J6931 H6915:J6917 I6914:J6914">
    <cfRule type="duplicateValues" dxfId="0" priority="1036"/>
  </conditionalFormatting>
  <conditionalFormatting sqref="H6943:J6965">
    <cfRule type="duplicateValues" dxfId="0" priority="1010"/>
  </conditionalFormatting>
  <conditionalFormatting sqref="H6966:J6967">
    <cfRule type="duplicateValues" dxfId="0" priority="1009"/>
  </conditionalFormatting>
  <conditionalFormatting sqref="H6968:J6969">
    <cfRule type="duplicateValues" dxfId="0" priority="1008"/>
  </conditionalFormatting>
  <conditionalFormatting sqref="H6970:J6974">
    <cfRule type="duplicateValues" dxfId="0" priority="1007"/>
  </conditionalFormatting>
  <conditionalFormatting sqref="H6976:J6979 H6980:I6980 H6981:J6986 H7025:J7025 I7026:J7026 H7027:J7027 J7024 H7009:J7011 H7002:J7005 H6989:J6993 I6994:J6994 H6995:J6999">
    <cfRule type="duplicateValues" dxfId="0" priority="1005"/>
  </conditionalFormatting>
  <conditionalFormatting sqref="H7013:J7017 I7020:J7020 H7021:J7022 H7019:J7019 I7018:J7018">
    <cfRule type="duplicateValues" dxfId="0" priority="996"/>
  </conditionalFormatting>
  <conditionalFormatting sqref="H7051:J7056">
    <cfRule type="duplicateValues" dxfId="0" priority="953"/>
  </conditionalFormatting>
  <conditionalFormatting sqref="H7058:J7069">
    <cfRule type="duplicateValues" dxfId="0" priority="951"/>
  </conditionalFormatting>
  <conditionalFormatting sqref="H7079:J7084">
    <cfRule type="duplicateValues" dxfId="0" priority="928"/>
  </conditionalFormatting>
  <conditionalFormatting sqref="H7085:J7292 H7311:J7347 H7304:J7309 H7297:J7297 H7294:J7294">
    <cfRule type="duplicateValues" dxfId="0" priority="927"/>
  </conditionalFormatting>
  <conditionalFormatting sqref="H7348:J7354">
    <cfRule type="duplicateValues" dxfId="0" priority="914"/>
  </conditionalFormatting>
  <conditionalFormatting sqref="H7356:J7361 H7371:J7371 H7363:J7363 I7364:J7364 H7365:J7368 I7369:J7369">
    <cfRule type="duplicateValues" dxfId="0" priority="912"/>
  </conditionalFormatting>
  <conditionalFormatting sqref="H7373:J7377">
    <cfRule type="duplicateValues" dxfId="0" priority="902"/>
  </conditionalFormatting>
  <conditionalFormatting sqref="H7378:J7379">
    <cfRule type="duplicateValues" dxfId="0" priority="901"/>
  </conditionalFormatting>
  <conditionalFormatting sqref="H7380 H7381:J7383">
    <cfRule type="duplicateValues" dxfId="0" priority="900"/>
  </conditionalFormatting>
  <conditionalFormatting sqref="H7384:J7387 I7388:J7388 H7403:J7419 I7402:J7402 H7389:J7401 H7421:J7432 J7420 H7420">
    <cfRule type="duplicateValues" dxfId="0" priority="898"/>
  </conditionalFormatting>
  <conditionalFormatting sqref="H7437:J7453">
    <cfRule type="duplicateValues" dxfId="0" priority="892"/>
  </conditionalFormatting>
  <conditionalFormatting sqref="H7454:J7455 J7456 H7473:J7481 H7456:H7464 H7466:H7472 I7457:J7472 J7483:J7494 H7483:I7489 H7491:I7494 I7490 H7534:J7534 I7529:J7529 H7527:J7528 I7526:J7526 H7521:J7525 H7509:J7513 I7496:J7497 H7498:J7507 H7495:J7495">
    <cfRule type="duplicateValues" dxfId="0" priority="891"/>
  </conditionalFormatting>
  <conditionalFormatting sqref="J7516 H7517:J7520">
    <cfRule type="duplicateValues" dxfId="0" priority="888"/>
  </conditionalFormatting>
  <conditionalFormatting sqref="H7530:J7533">
    <cfRule type="duplicateValues" dxfId="0" priority="883"/>
  </conditionalFormatting>
  <conditionalFormatting sqref="H7540:J7554">
    <cfRule type="duplicateValues" dxfId="0" priority="871"/>
  </conditionalFormatting>
  <conditionalFormatting sqref="H7555:J7572">
    <cfRule type="duplicateValues" dxfId="0" priority="870"/>
  </conditionalFormatting>
  <conditionalFormatting sqref="H7573:J7585">
    <cfRule type="duplicateValues" dxfId="0" priority="869"/>
  </conditionalFormatting>
  <conditionalFormatting sqref="H7590:J7597">
    <cfRule type="duplicateValues" dxfId="0" priority="860"/>
  </conditionalFormatting>
  <conditionalFormatting sqref="H7598:J7599">
    <cfRule type="duplicateValues" dxfId="0" priority="858"/>
  </conditionalFormatting>
  <conditionalFormatting sqref="H7600:J7603">
    <cfRule type="duplicateValues" dxfId="0" priority="857"/>
  </conditionalFormatting>
  <conditionalFormatting sqref="I7604:J7604 I7610 H7611:J7622 H7624:J7625 I7626:J7626 H7627:J7627 H7632:J7632 I7631:J7631 H7629:J7630 I7628:J7628 I7609:J7609 H7605:J7608">
    <cfRule type="duplicateValues" dxfId="0" priority="856"/>
  </conditionalFormatting>
  <conditionalFormatting sqref="H7633:J7635">
    <cfRule type="duplicateValues" dxfId="0" priority="851"/>
  </conditionalFormatting>
  <conditionalFormatting sqref="H7636:J7637">
    <cfRule type="duplicateValues" dxfId="0" priority="850"/>
  </conditionalFormatting>
  <conditionalFormatting sqref="H7638:J7640">
    <cfRule type="duplicateValues" dxfId="0" priority="849"/>
  </conditionalFormatting>
  <conditionalFormatting sqref="I7643:J7644 H7660 H7661:J7666 H7645:J7659">
    <cfRule type="duplicateValues" dxfId="0" priority="848"/>
  </conditionalFormatting>
  <conditionalFormatting sqref="H7672:J7678">
    <cfRule type="duplicateValues" dxfId="0" priority="836"/>
  </conditionalFormatting>
  <conditionalFormatting sqref="H7679:J7697 H7699:J7705 H7698">
    <cfRule type="duplicateValues" dxfId="0" priority="835"/>
  </conditionalFormatting>
  <conditionalFormatting sqref="H7706:J7715 H7717:J7721 I7716:J7716">
    <cfRule type="duplicateValues" dxfId="0" priority="832"/>
  </conditionalFormatting>
  <conditionalFormatting sqref="H7722:J7735 H7817:J7827 H7776:J7804 I7805:J7805 H7812:J7815 J7811 H7811 H7806:J7810 I7775:J7775 H7816 H7829:J7847 I7828:J7828 H7737:J7774 I7736:J7736">
    <cfRule type="duplicateValues" dxfId="0" priority="830"/>
  </conditionalFormatting>
  <conditionalFormatting sqref="H7857:J7858">
    <cfRule type="duplicateValues" dxfId="0" priority="818"/>
  </conditionalFormatting>
  <conditionalFormatting sqref="H7859:J7863">
    <cfRule type="duplicateValues" dxfId="0" priority="817"/>
  </conditionalFormatting>
  <conditionalFormatting sqref="H7864:J7867 I8063:J8063 I8040:J8040 H8056:J8062 H8048:J8053 H8047:I8047 H8041:J8046 H8100:J8105 I8106:J8106 H8107:J8107 H8099:I8099 H8084:J8098 I8083:J8083 H8079:J8082 I8078:J8078 H8070:J8077 H8108 J8108:J8112 H8109:I8119 H8121:J8122 I8120:J8120 J8114:J8119 H8064:J8068 I8069:J8069 I8054:J8055 H8022:I8022 H8023:J8039 I8021:J8021 H8014:J8020 I8013:J8013 H8005:J8012 I8004:J8004 I7982:J7982 H7974:J7981 H7995:J8003 I7994:J7994 H7987:J7993 I7986:J7986 H7983:J7985 H7973 H7963:J7972 I7961:J7962 H7950:J7960 I7949:J7949 H7944:J7948 J7943 H7943 H7930:J7942 I7929:J7929 H7925:J7928 I7924:J7924 H7922:J7923 I7921:J7921 H7912:J7917 I7918:J7918 H7919:J7920 H7911:I7911 H7906:J7910 I7905:J7905 H7892:J7904 I7891:J7891 H7888:J7890 I7887:J7887 H7884:J7886 I7883:J7883 H7882:I7882 H7878:J7881 H7877:I7877 I7876:J7876 H7869:J7875 I7868:J7868">
    <cfRule type="duplicateValues" dxfId="0" priority="816"/>
  </conditionalFormatting>
  <conditionalFormatting sqref="H8123:J8128 H8227:J8231 H8158:J8168 J8157 H8157 I8226:J8226 H8214:J8221 I8222:J8222 H8223:J8225 H8169 J8169 H8170:J8174 I8213:J8213 I8211:J8211 H8212:J8212 I8210 H8183:J8209 H8176:J8177 I8178:J8178 H8179:J8181 I8175:J8175 H8141:J8156 I8138:J8138 J8139:J8140 H8139:H8140 J8137 H8137 H8136:J8136 H8135:I8135 H8130:J8134 I8129:J8129">
    <cfRule type="duplicateValues" dxfId="0" priority="814"/>
  </conditionalFormatting>
  <conditionalFormatting sqref="H8237:J8240">
    <cfRule type="duplicateValues" dxfId="0" priority="797"/>
  </conditionalFormatting>
  <conditionalFormatting sqref="H8241:J8259">
    <cfRule type="duplicateValues" dxfId="0" priority="796"/>
  </conditionalFormatting>
  <conditionalFormatting sqref="H8260:J8261">
    <cfRule type="duplicateValues" dxfId="0" priority="795"/>
  </conditionalFormatting>
  <conditionalFormatting sqref="H8262:J8266">
    <cfRule type="duplicateValues" dxfId="0" priority="794"/>
  </conditionalFormatting>
  <conditionalFormatting sqref="H8267:J8271 I8272:J8272 H8273:J8273 H8335:J8335 H8317:J8322 I8316:J8316 H8307:J8315 I8323:J8323 H8324:J8330 I8306:J8306 H8301:J8305 I8300:J8300 H8281:J8299 I8280:J8280 H8275:J8279 I8274:J8274">
    <cfRule type="duplicateValues" dxfId="0" priority="793"/>
  </conditionalFormatting>
  <conditionalFormatting sqref="H8331:J8334">
    <cfRule type="duplicateValues" dxfId="0" priority="792"/>
  </conditionalFormatting>
  <conditionalFormatting sqref="H8346:J8348">
    <cfRule type="duplicateValues" dxfId="0" priority="775"/>
  </conditionalFormatting>
  <conditionalFormatting sqref="H8350:J8352">
    <cfRule type="duplicateValues" dxfId="0" priority="773"/>
  </conditionalFormatting>
  <conditionalFormatting sqref="H8353:J8365">
    <cfRule type="duplicateValues" dxfId="0" priority="772"/>
  </conditionalFormatting>
  <conditionalFormatting sqref="H8366:J8376">
    <cfRule type="duplicateValues" dxfId="0" priority="771"/>
  </conditionalFormatting>
  <conditionalFormatting sqref="H8377:J8377 I8378:J8378 H8379:J8381 H8388:J8388 I8386:J8387 H8385:J8385 I8384:J8384 H8383:J8383 I8382:J8382">
    <cfRule type="duplicateValues" dxfId="0" priority="770"/>
  </conditionalFormatting>
  <conditionalFormatting sqref="H8399:J8400 H8398 H8391:J8397">
    <cfRule type="duplicateValues" dxfId="0" priority="765"/>
  </conditionalFormatting>
  <conditionalFormatting sqref="H8401:J8409 H8428:J8435 I8427:J8427 H8422:J8426 H8411:J8419 J8410 H8410">
    <cfRule type="duplicateValues" dxfId="0" priority="763"/>
  </conditionalFormatting>
  <conditionalFormatting sqref="H8443:J8444">
    <cfRule type="duplicateValues" dxfId="0" priority="741"/>
  </conditionalFormatting>
  <conditionalFormatting sqref="H8446:J8450">
    <cfRule type="duplicateValues" dxfId="0" priority="739"/>
  </conditionalFormatting>
  <conditionalFormatting sqref="H8451:J8454">
    <cfRule type="duplicateValues" dxfId="0" priority="738"/>
  </conditionalFormatting>
  <conditionalFormatting sqref="H8456:J8458">
    <cfRule type="duplicateValues" dxfId="0" priority="736"/>
  </conditionalFormatting>
  <conditionalFormatting sqref="I8460:J8460 H8501:J8512 I8488:J8488 I8499:J8500 H8489:J8498 H8461:J8476 I8477:J8477 H8478:J8487">
    <cfRule type="duplicateValues" dxfId="0" priority="734"/>
  </conditionalFormatting>
  <conditionalFormatting sqref="H8522:J8527">
    <cfRule type="duplicateValues" dxfId="0" priority="706"/>
  </conditionalFormatting>
  <conditionalFormatting sqref="H8528:J8536">
    <cfRule type="duplicateValues" dxfId="0" priority="705"/>
  </conditionalFormatting>
  <conditionalFormatting sqref="H8537:J8552">
    <cfRule type="duplicateValues" dxfId="0" priority="704"/>
  </conditionalFormatting>
  <conditionalFormatting sqref="H8553:J8554">
    <cfRule type="duplicateValues" dxfId="0" priority="703"/>
  </conditionalFormatting>
  <conditionalFormatting sqref="H8555:J8556">
    <cfRule type="duplicateValues" dxfId="0" priority="702"/>
  </conditionalFormatting>
  <conditionalFormatting sqref="H8557:J8570 I8571:J8571 H8572:J8572 I8573:J8573 H8574:J8582 H8585:J8586 I8583:J8583">
    <cfRule type="duplicateValues" dxfId="0" priority="701"/>
  </conditionalFormatting>
  <conditionalFormatting sqref="H8588:J8599">
    <cfRule type="duplicateValues" dxfId="0" priority="693"/>
  </conditionalFormatting>
  <conditionalFormatting sqref="J8600:J8607 H8601:I8607 H8608:J8609 H8611:J8611">
    <cfRule type="duplicateValues" dxfId="0" priority="692"/>
  </conditionalFormatting>
  <conditionalFormatting sqref="H8618:J8625">
    <cfRule type="duplicateValues" dxfId="0" priority="676"/>
  </conditionalFormatting>
  <conditionalFormatting sqref="H8626:J8667 I8668:J8668 H8669:J8673">
    <cfRule type="duplicateValues" dxfId="0" priority="675"/>
  </conditionalFormatting>
  <conditionalFormatting sqref="H8678:J8697">
    <cfRule type="duplicateValues" dxfId="0" priority="664"/>
  </conditionalFormatting>
  <conditionalFormatting sqref="I8698:J8698 H8699:J8705 H8707:J8709 H8711:J8714">
    <cfRule type="duplicateValues" dxfId="0" priority="660"/>
  </conditionalFormatting>
  <conditionalFormatting sqref="H8730:J8733">
    <cfRule type="duplicateValues" dxfId="0" priority="639"/>
  </conditionalFormatting>
  <conditionalFormatting sqref="H8734:J8736">
    <cfRule type="duplicateValues" dxfId="0" priority="638"/>
  </conditionalFormatting>
  <conditionalFormatting sqref="H8737:J8741">
    <cfRule type="duplicateValues" dxfId="0" priority="637"/>
  </conditionalFormatting>
  <conditionalFormatting sqref="H8742:J8745">
    <cfRule type="duplicateValues" dxfId="0" priority="636"/>
  </conditionalFormatting>
  <conditionalFormatting sqref="H8746:J8747">
    <cfRule type="duplicateValues" dxfId="0" priority="635"/>
  </conditionalFormatting>
  <conditionalFormatting sqref="H8748:J8750 H8779:J8781 I8782:J8782 H8783:J8783 J8778 H8778 I8777:J8777 H8774:J8776 I8773:J8773 H8772:J8772 I8771:J8771 H8770:J8770 I8784:J8784 H8785:J8792 H8769 H8765:J8765 I8766:J8766 H8767:J8768 I8764:J8764 H8763:J8763 I8762:J8762 H8761:J8761 H8759:J8759 I8758:J8758 H8755:J8757 I8754:J8754 H8752:J8753 H8751:I8751">
    <cfRule type="duplicateValues" dxfId="0" priority="634"/>
  </conditionalFormatting>
  <conditionalFormatting sqref="H8802:J8808">
    <cfRule type="duplicateValues" dxfId="0" priority="616"/>
  </conditionalFormatting>
  <conditionalFormatting sqref="H8809:J8811">
    <cfRule type="duplicateValues" dxfId="0" priority="615"/>
  </conditionalFormatting>
  <conditionalFormatting sqref="H8813:J8814">
    <cfRule type="duplicateValues" dxfId="0" priority="613"/>
  </conditionalFormatting>
  <conditionalFormatting sqref="H8815:J8821">
    <cfRule type="duplicateValues" dxfId="0" priority="612"/>
  </conditionalFormatting>
  <conditionalFormatting sqref="H8822:J8823">
    <cfRule type="duplicateValues" dxfId="0" priority="611"/>
  </conditionalFormatting>
  <conditionalFormatting sqref="H8824:J8826">
    <cfRule type="duplicateValues" dxfId="0" priority="609"/>
  </conditionalFormatting>
  <conditionalFormatting sqref="H8833 J8833 H8834:J8858 I8859:J8860 H8861 J8861 H8862:J8871 H8827:J8832">
    <cfRule type="duplicateValues" dxfId="0" priority="608"/>
  </conditionalFormatting>
  <conditionalFormatting sqref="H8885:J8887">
    <cfRule type="duplicateValues" dxfId="0" priority="584"/>
  </conditionalFormatting>
  <conditionalFormatting sqref="H8888:J8894">
    <cfRule type="duplicateValues" dxfId="0" priority="583"/>
  </conditionalFormatting>
  <conditionalFormatting sqref="H8895:J8897">
    <cfRule type="duplicateValues" dxfId="0" priority="582"/>
  </conditionalFormatting>
  <conditionalFormatting sqref="H8898:J8901">
    <cfRule type="duplicateValues" dxfId="0" priority="581"/>
  </conditionalFormatting>
  <conditionalFormatting sqref="H8902:J8903">
    <cfRule type="duplicateValues" dxfId="0" priority="580"/>
  </conditionalFormatting>
  <conditionalFormatting sqref="H8904:J8910">
    <cfRule type="duplicateValues" dxfId="0" priority="579"/>
  </conditionalFormatting>
  <conditionalFormatting sqref="H8911:J8915 H8917:J8922 I8923 H8924 J8924 H8925:J8930 I8916:J8916">
    <cfRule type="duplicateValues" dxfId="0" priority="578"/>
  </conditionalFormatting>
  <conditionalFormatting sqref="H8939:J8943">
    <cfRule type="duplicateValues" dxfId="0" priority="549"/>
  </conditionalFormatting>
  <conditionalFormatting sqref="H8945:J8947">
    <cfRule type="duplicateValues" dxfId="0" priority="547"/>
  </conditionalFormatting>
  <conditionalFormatting sqref="H8949:J8953">
    <cfRule type="duplicateValues" dxfId="0" priority="545"/>
  </conditionalFormatting>
  <conditionalFormatting sqref="H8954:J8963 H8966:J8976 I8965:J8965">
    <cfRule type="duplicateValues" dxfId="0" priority="544"/>
  </conditionalFormatting>
  <conditionalFormatting sqref="H8984:J8985">
    <cfRule type="duplicateValues" dxfId="0" priority="522"/>
  </conditionalFormatting>
  <conditionalFormatting sqref="H8986:J8991">
    <cfRule type="duplicateValues" dxfId="0" priority="521"/>
  </conditionalFormatting>
  <conditionalFormatting sqref="H8992:J8993">
    <cfRule type="duplicateValues" dxfId="0" priority="520"/>
  </conditionalFormatting>
  <conditionalFormatting sqref="H8994:J8995">
    <cfRule type="duplicateValues" dxfId="0" priority="519"/>
  </conditionalFormatting>
  <conditionalFormatting sqref="H8997:J9006 I8996:J8996 H9008:J9013 I9007:J9007">
    <cfRule type="duplicateValues" dxfId="0" priority="518"/>
  </conditionalFormatting>
  <conditionalFormatting sqref="H9022:J9023">
    <cfRule type="duplicateValues" dxfId="0" priority="501"/>
  </conditionalFormatting>
  <conditionalFormatting sqref="H9025:J9028">
    <cfRule type="duplicateValues" dxfId="0" priority="499"/>
  </conditionalFormatting>
  <conditionalFormatting sqref="H9029:J9035">
    <cfRule type="duplicateValues" dxfId="0" priority="498"/>
  </conditionalFormatting>
  <conditionalFormatting sqref="H9038:J9040">
    <cfRule type="duplicateValues" dxfId="0" priority="495"/>
  </conditionalFormatting>
  <conditionalFormatting sqref="H9041:J9042 H9043 J9043 H9044:J9055 H9057:J9057">
    <cfRule type="duplicateValues" dxfId="0" priority="493"/>
  </conditionalFormatting>
  <conditionalFormatting sqref="H9065:J9068">
    <cfRule type="duplicateValues" dxfId="0" priority="478"/>
  </conditionalFormatting>
  <conditionalFormatting sqref="H9073:J9076 I9077:J9077 H9078:J9091 I9092:J9092 H9093:J9095 I9096:J9096 H9120:J9143 I9119:J9119 H9097:J9118">
    <cfRule type="duplicateValues" dxfId="0" priority="473"/>
  </conditionalFormatting>
  <conditionalFormatting sqref="H9161:J9163">
    <cfRule type="duplicateValues" dxfId="0" priority="437"/>
  </conditionalFormatting>
  <conditionalFormatting sqref="H9165:J9173">
    <cfRule type="duplicateValues" dxfId="0" priority="435"/>
  </conditionalFormatting>
  <conditionalFormatting sqref="H9174:J9175">
    <cfRule type="duplicateValues" dxfId="0" priority="434"/>
  </conditionalFormatting>
  <conditionalFormatting sqref="H9176:J9177">
    <cfRule type="duplicateValues" dxfId="0" priority="433"/>
  </conditionalFormatting>
  <conditionalFormatting sqref="H9178:J9180">
    <cfRule type="duplicateValues" dxfId="0" priority="432"/>
  </conditionalFormatting>
  <conditionalFormatting sqref="H9182:J9183">
    <cfRule type="duplicateValues" dxfId="0" priority="430"/>
  </conditionalFormatting>
  <conditionalFormatting sqref="H9184:J9185">
    <cfRule type="duplicateValues" dxfId="0" priority="429"/>
  </conditionalFormatting>
  <conditionalFormatting sqref="H9188:J9192 H9194:J9211 I9212:J9212 H9213:J9214 I9215:J9215 H9216:J9217 I9193:J9193">
    <cfRule type="duplicateValues" dxfId="0" priority="423"/>
  </conditionalFormatting>
  <conditionalFormatting sqref="H9218:J9219">
    <cfRule type="duplicateValues" dxfId="0" priority="422"/>
  </conditionalFormatting>
  <conditionalFormatting sqref="H9220:J9228">
    <cfRule type="duplicateValues" dxfId="0" priority="419"/>
  </conditionalFormatting>
  <conditionalFormatting sqref="H9230:J9356">
    <cfRule type="duplicateValues" dxfId="0" priority="417"/>
  </conditionalFormatting>
  <conditionalFormatting sqref="H9358:J9359 I9366:J9366 H9362:J9365">
    <cfRule type="duplicateValues" dxfId="0" priority="402"/>
  </conditionalFormatting>
  <conditionalFormatting sqref="H9373:J9374 H9380:J9383 H9376:J9378 H9375">
    <cfRule type="duplicateValues" dxfId="0" priority="393"/>
  </conditionalFormatting>
  <conditionalFormatting sqref="H9384:J9406 H9408:J9417">
    <cfRule type="duplicateValues" dxfId="0" priority="390"/>
  </conditionalFormatting>
  <conditionalFormatting sqref="H9419:J9420">
    <cfRule type="duplicateValues" dxfId="0" priority="383"/>
  </conditionalFormatting>
  <conditionalFormatting sqref="H9421:J9423">
    <cfRule type="duplicateValues" dxfId="0" priority="382"/>
  </conditionalFormatting>
  <conditionalFormatting sqref="H9424:J9426">
    <cfRule type="duplicateValues" dxfId="0" priority="381"/>
  </conditionalFormatting>
  <conditionalFormatting sqref="H9427:J9427 H9439:J9440 I9441:J9441 H9442:J9447 I9438:J9438 H9429:J9437">
    <cfRule type="duplicateValues" dxfId="0" priority="380"/>
  </conditionalFormatting>
  <conditionalFormatting sqref="H9452:J9471">
    <cfRule type="duplicateValues" dxfId="0" priority="373"/>
  </conditionalFormatting>
  <conditionalFormatting sqref="H9472:J9474 I9475:J9475 H9476:J9484">
    <cfRule type="duplicateValues" dxfId="0" priority="372"/>
  </conditionalFormatting>
  <conditionalFormatting sqref="H9487:J9496">
    <cfRule type="duplicateValues" dxfId="0" priority="368"/>
  </conditionalFormatting>
  <conditionalFormatting sqref="H9497:J9502 H9503 J9503 H9504:J9516 I9517:J9517 H9518:J9520 I9521:J9521 H9522:J9531 H9532 J9532 H9533:J9535 I9536:J9538 H9539:J9542 I9543:J9543 H9544:J9555">
    <cfRule type="duplicateValues" dxfId="0" priority="367"/>
  </conditionalFormatting>
  <conditionalFormatting sqref="H9558:J9559">
    <cfRule type="duplicateValues" dxfId="0" priority="362"/>
  </conditionalFormatting>
  <conditionalFormatting sqref="H9560:J9576">
    <cfRule type="duplicateValues" dxfId="0" priority="361"/>
  </conditionalFormatting>
  <conditionalFormatting sqref="H9579:J9581 I9582:J9582 H9583:J9605 H9607:J9607">
    <cfRule type="duplicateValues" dxfId="0" priority="357"/>
  </conditionalFormatting>
  <conditionalFormatting sqref="H9608:J9621">
    <cfRule type="duplicateValues" dxfId="0" priority="350"/>
  </conditionalFormatting>
  <conditionalFormatting sqref="H9622:J9632">
    <cfRule type="duplicateValues" dxfId="0" priority="349"/>
  </conditionalFormatting>
  <conditionalFormatting sqref="H9636:J9650">
    <cfRule type="duplicateValues" dxfId="0" priority="340"/>
  </conditionalFormatting>
  <conditionalFormatting sqref="H9651:J9655 I9656:J9656 H9657:J9659 I9660:J9661 H9662:J9662">
    <cfRule type="duplicateValues" dxfId="0" priority="339"/>
  </conditionalFormatting>
  <conditionalFormatting sqref="H9665:J9677">
    <cfRule type="duplicateValues" dxfId="0" priority="334"/>
  </conditionalFormatting>
  <conditionalFormatting sqref="H9678:J9691 I9692:J9692 H9693:J9712">
    <cfRule type="duplicateValues" dxfId="0" priority="333"/>
  </conditionalFormatting>
  <conditionalFormatting sqref="H9717:J9723">
    <cfRule type="duplicateValues" dxfId="0" priority="326"/>
  </conditionalFormatting>
  <conditionalFormatting sqref="H9726:J9732 H9735:J9754 H9734:I9734 I9733:J9733">
    <cfRule type="duplicateValues" dxfId="0" priority="323"/>
  </conditionalFormatting>
  <conditionalFormatting sqref="H9757:J9762">
    <cfRule type="duplicateValues" dxfId="0" priority="316"/>
  </conditionalFormatting>
  <conditionalFormatting sqref="H9763:J9767 H9828:J9838 H9827:I9827 H9783:J9821 I9822:J9822 H9823:J9826 I9782:J9782 H9773:J9777 I9778:J9778 H9779:J9781 I9772:J9772 H9769:J9771 J9768 H9768">
    <cfRule type="duplicateValues" dxfId="0" priority="315"/>
  </conditionalFormatting>
  <conditionalFormatting sqref="H9842:J9863">
    <cfRule type="duplicateValues" dxfId="0" priority="302"/>
  </conditionalFormatting>
  <conditionalFormatting sqref="H9864:J9883 I9884:J9884 H9885:J9890 I9891:J9891 H9892:J9895">
    <cfRule type="duplicateValues" dxfId="0" priority="301"/>
  </conditionalFormatting>
  <conditionalFormatting sqref="H9901:J9912">
    <cfRule type="duplicateValues" dxfId="0" priority="294"/>
  </conditionalFormatting>
  <conditionalFormatting sqref="H9913:J9929">
    <cfRule type="duplicateValues" dxfId="0" priority="293"/>
  </conditionalFormatting>
  <conditionalFormatting sqref="H9931:J9935">
    <cfRule type="duplicateValues" dxfId="0" priority="289"/>
  </conditionalFormatting>
  <conditionalFormatting sqref="H9936:J9945 H9946 H9947:J9947 I9948:J9948 H9949:J9952 H9954:J9954">
    <cfRule type="duplicateValues" dxfId="0" priority="288"/>
  </conditionalFormatting>
  <conditionalFormatting sqref="H9956:J9978">
    <cfRule type="duplicateValues" dxfId="0" priority="282"/>
  </conditionalFormatting>
  <conditionalFormatting sqref="H9979:J9990">
    <cfRule type="duplicateValues" dxfId="0" priority="281"/>
  </conditionalFormatting>
  <conditionalFormatting sqref="H9994:J10001">
    <cfRule type="duplicateValues" dxfId="0" priority="276"/>
  </conditionalFormatting>
  <conditionalFormatting sqref="H10002:J10009">
    <cfRule type="duplicateValues" dxfId="0" priority="275"/>
  </conditionalFormatting>
  <conditionalFormatting sqref="H10010:J10011 H10070:J10070 J10069 H10069 H10057:J10068 I10056:J10056 H10074:J10075 H10072:J10072 I10071:J10071 H10013:J10055 I10012:J10012">
    <cfRule type="duplicateValues" dxfId="0" priority="274"/>
  </conditionalFormatting>
  <conditionalFormatting sqref="H10083:J10103">
    <cfRule type="duplicateValues" dxfId="0" priority="259"/>
  </conditionalFormatting>
  <conditionalFormatting sqref="H10104:J10121 I10122:J10122 H10123:J10126">
    <cfRule type="duplicateValues" dxfId="0" priority="258"/>
  </conditionalFormatting>
  <conditionalFormatting sqref="H10132:J10134">
    <cfRule type="duplicateValues" dxfId="0" priority="244"/>
  </conditionalFormatting>
  <conditionalFormatting sqref="H10137:J10138">
    <cfRule type="duplicateValues" dxfId="0" priority="241"/>
  </conditionalFormatting>
  <conditionalFormatting sqref="H10139:J10144 I10145:J10145">
    <cfRule type="duplicateValues" dxfId="0" priority="240"/>
  </conditionalFormatting>
  <conditionalFormatting sqref="H10146:J10152">
    <cfRule type="duplicateValues" dxfId="0" priority="238"/>
  </conditionalFormatting>
  <conditionalFormatting sqref="H10154:J10154 H10158:J10159 H10156:J10156">
    <cfRule type="duplicateValues" dxfId="0" priority="235"/>
  </conditionalFormatting>
  <conditionalFormatting sqref="H10162:J10165">
    <cfRule type="duplicateValues" dxfId="0" priority="228"/>
  </conditionalFormatting>
  <conditionalFormatting sqref="H10166:J10169">
    <cfRule type="duplicateValues" dxfId="0" priority="227"/>
  </conditionalFormatting>
  <conditionalFormatting sqref="H10170:J10180">
    <cfRule type="duplicateValues" dxfId="0" priority="226"/>
  </conditionalFormatting>
  <conditionalFormatting sqref="H10186:J10193">
    <cfRule type="duplicateValues" dxfId="0" priority="218"/>
  </conditionalFormatting>
  <conditionalFormatting sqref="J10199 H10199">
    <cfRule type="duplicateValues" dxfId="0" priority="214"/>
  </conditionalFormatting>
  <conditionalFormatting sqref="H10199:I10203 H10204">
    <cfRule type="duplicateValues" dxfId="4" priority="208"/>
  </conditionalFormatting>
  <conditionalFormatting sqref="H10202:J10203">
    <cfRule type="duplicateValues" dxfId="0" priority="210"/>
  </conditionalFormatting>
  <conditionalFormatting sqref="H10204 J10204">
    <cfRule type="duplicateValues" dxfId="0" priority="209"/>
  </conditionalFormatting>
  <conditionalFormatting sqref="H10205:J10209 H10211:J10211">
    <cfRule type="duplicateValues" dxfId="0" priority="194"/>
  </conditionalFormatting>
  <conditionalFormatting sqref="H10214:J10219">
    <cfRule type="duplicateValues" dxfId="0" priority="187"/>
  </conditionalFormatting>
  <conditionalFormatting sqref="H10220:J10227">
    <cfRule type="duplicateValues" dxfId="0" priority="184"/>
  </conditionalFormatting>
  <conditionalFormatting sqref="H10228:J10231">
    <cfRule type="duplicateValues" dxfId="0" priority="183"/>
  </conditionalFormatting>
  <conditionalFormatting sqref="H10232:J10242">
    <cfRule type="duplicateValues" dxfId="0" priority="176"/>
  </conditionalFormatting>
  <conditionalFormatting sqref="H10243:J10263">
    <cfRule type="duplicateValues" dxfId="0" priority="175"/>
  </conditionalFormatting>
  <conditionalFormatting sqref="H10266:J10283">
    <cfRule type="duplicateValues" dxfId="0" priority="167"/>
  </conditionalFormatting>
  <conditionalFormatting sqref="H10284:J10296">
    <cfRule type="duplicateValues" dxfId="0" priority="166"/>
  </conditionalFormatting>
  <conditionalFormatting sqref="H10301:J10314">
    <cfRule type="duplicateValues" dxfId="0" priority="155"/>
  </conditionalFormatting>
  <conditionalFormatting sqref="H10316:J10322 H10323:I10323 H10324:J10332 I10333:J10333 H10334:J10349 I10350:J10350 H10351:J10353 H10354 J10354 H10355:J10360">
    <cfRule type="duplicateValues" dxfId="0" priority="151"/>
  </conditionalFormatting>
  <conditionalFormatting sqref="H10369:J10389">
    <cfRule type="duplicateValues" dxfId="0" priority="127"/>
  </conditionalFormatting>
  <conditionalFormatting sqref="H10390:J10437">
    <cfRule type="duplicateValues" dxfId="0" priority="123"/>
  </conditionalFormatting>
  <conditionalFormatting sqref="H10438:J10441 H10442:J10442 H10443:J10447">
    <cfRule type="duplicateValues" dxfId="0" priority="121"/>
  </conditionalFormatting>
  <conditionalFormatting sqref="A10448:A10453 A10455 A10457:A10459 A10461:A10475">
    <cfRule type="duplicateValues" dxfId="0" priority="120"/>
  </conditionalFormatting>
  <conditionalFormatting sqref="H10448:J10475">
    <cfRule type="duplicateValues" dxfId="0" priority="119"/>
  </conditionalFormatting>
  <conditionalFormatting sqref="H10478:J10483 I10491:J10491 H10492 H10485:H10490 H10484:I10484">
    <cfRule type="duplicateValues" dxfId="0" priority="113"/>
  </conditionalFormatting>
  <conditionalFormatting sqref="A10493:A10494 A10497:A10501">
    <cfRule type="duplicateValues" dxfId="0" priority="102"/>
  </conditionalFormatting>
  <conditionalFormatting sqref="H10493:J10494 I10501:J10501 H10497:J10500">
    <cfRule type="duplicateValues" dxfId="0" priority="99"/>
  </conditionalFormatting>
  <conditionalFormatting sqref="H10503:J10506 H10508:H10510">
    <cfRule type="duplicateValues" dxfId="0" priority="94"/>
  </conditionalFormatting>
  <conditionalFormatting sqref="H10511:J10547 H10550:J10550">
    <cfRule type="duplicateValues" dxfId="0" priority="74"/>
  </conditionalFormatting>
  <conditionalFormatting sqref="A10543:A10544 A10550">
    <cfRule type="duplicateValues" dxfId="0" priority="78"/>
  </conditionalFormatting>
  <conditionalFormatting sqref="H10554:J10565">
    <cfRule type="duplicateValues" dxfId="0" priority="63"/>
  </conditionalFormatting>
  <conditionalFormatting sqref="H10566:J10571">
    <cfRule type="duplicateValues" dxfId="0" priority="62"/>
  </conditionalFormatting>
  <conditionalFormatting sqref="H10583:J10584">
    <cfRule type="duplicateValues" dxfId="0" priority="34"/>
  </conditionalFormatting>
  <conditionalFormatting sqref="H10585:J10597">
    <cfRule type="duplicateValues" dxfId="0" priority="33"/>
  </conditionalFormatting>
  <conditionalFormatting sqref="H10598:J10599">
    <cfRule type="duplicateValues" dxfId="0" priority="32"/>
  </conditionalFormatting>
  <conditionalFormatting sqref="H10600:J10604">
    <cfRule type="duplicateValues" dxfId="0" priority="31"/>
  </conditionalFormatting>
  <conditionalFormatting sqref="H10608:J10608 H10609:J10611 H10612:J10612 H10613:J10615 H10616:J10616 H10617:J10617 H10618:J10618">
    <cfRule type="duplicateValues" dxfId="0" priority="25"/>
  </conditionalFormatting>
  <conditionalFormatting sqref="H10619:J10626">
    <cfRule type="duplicateValues" dxfId="0" priority="20"/>
  </conditionalFormatting>
  <conditionalFormatting sqref="H10628:J10635 H10637">
    <cfRule type="duplicateValues" dxfId="0" priority="17"/>
  </conditionalFormatting>
  <conditionalFormatting sqref="H10642:J10645">
    <cfRule type="duplicateValues" dxfId="0" priority="10"/>
  </conditionalFormatting>
  <conditionalFormatting sqref="H10646:J10652 H10653:J10653">
    <cfRule type="duplicateValues" dxfId="0" priority="8"/>
  </conditionalFormatting>
  <conditionalFormatting sqref="H10654:J10657 I10658:J10658 H10659:J10659 H10661:J10663">
    <cfRule type="duplicateValues" dxfId="3" priority="6"/>
  </conditionalFormatting>
  <conditionalFormatting sqref="H10664:J10664 H10665:J10666 H10667:J10667 H10668:J10669 H10670:J10670">
    <cfRule type="duplicateValues" dxfId="3" priority="1"/>
  </conditionalFormatting>
  <dataValidations count="36">
    <dataValidation type="list" allowBlank="1" showInputMessage="1" showErrorMessage="1" sqref="B1799 B1802 B1946 B1960 B2003 B2085 B2086 B2087 B2088 B2089 B2090 B2091 B2092 B2093 B2094 B2105 B2106 B2107 B2108 B2620 B4085 B2109:B2110">
      <formula1>"喜盈门,真北店,真北一店,真北二店,同福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尚品宅配,其他"</formula1>
    </dataValidation>
    <dataValidation type="list" allowBlank="1" showInputMessage="1" showErrorMessage="1" sqref="B2833">
      <formula1>"喜盈门,真北店,真北一店,真北二店,汶水店,家饰佳,沪南店,金桥店,浦江店,吉盛伟邦,建配龙,同福店,好饰家,百安居徐泾店,金山店,南汇店,奉贤店,龙阳店,沪太/未来店,真北铝木店,普陀店,松江店,百安居金桥店,百安居杨浦店,百安居闵行店,百家宜,家装部"</formula1>
    </dataValidation>
    <dataValidation type="list" allowBlank="1" showInputMessage="1" showErrorMessage="1" sqref="B3 B4 B5 B6 B7 B8 B9 B10 B13 B16 B17 B18 B19 B20 B21 B22 B23 B24 B25 B26 B27 B28 B29 B30 B31 B32 B33 B34 B38 B39 B40 B41 B42 B43 B44 B45 B46 B47 B48 B49 B50 B51 B52 B53 B54 B55 B56 B61 B62 B70 B71 B72 B79 B80 B83 B84 B85 B88 B89 B90 B91 B92 B93 B94 B95 B98 B99 B100 B101 B102 B103 B104 B108 B109 B110 B111 B112 B113 B114 B115 B116 B119 B122 B123 B124 B125 B126 B127 B130 B131 B132 B135 B136 B137 B138 B139 B140 B141 B142 B143 B144 B147 B148 B149 B160 B164 B165 B166 B167 B168 B169 B170 B171 B174 B175 B178 B179 B180 B181 B182 B183 B186 B187 B188 B189 B190 B191 B200 B201 B202 B203 B204 B205 B206 B207 B211 B212 B213 B214 B215 B219 B220 B221 B222 B223 B224 B225 B226 B227 B228 B229 B230 B231 B232 B233 B234 B235 B236 B240 B241 B242 B245 B250 B251 B252 B253 B254 B255 B258 B259 B260 B261 B262 B263 B264 B265 B266 B269 B272 B276 B277 B278 B279 B280 B281 B282 B283 B284 B285 B286 B289 B290 B291 B292 B293 B299 B300 B303 B308 B309 B310 B311 B312 B313 B314 B317 B322 B323 B324 B325 B326 B327 B332 B347 B348 B349 B350 B351 B354 B355 B359 B362 B363 B364 B365 B366 B367 B368 B369 B370 B371 B372 B373 B374 B375 B380 B381 B385 B386 B387 B388 B389 B390 B391 B392 B395 B396 B397 B398 B404 B407 B408 B409 B410 B411 B412 B413 B417 B425 B426 B427 B428 B432 B433 B434 B435 B438 B439 B440 B449 B450 B451 B452 B453 B454 B457 B458 B459 B460 B467 B474 B475 B476 B479 B480 B481 B482 B483 B484 B485 B488 B489 B490 B493 B499 B500 B501 B502 B507 B508 B515 B516 B517 B518 B519 B520 B521 B522 B523 B528 B529 B536 B537 B538 B539 B540 B541 B542 B543 B544 B549 B553 B554 B555 B556 B559 B560 B561 B562 B563 B571 B572 B573 B580 B586 B587 B588 B589 B590 B591 B595 B599 B600 B601 B604 B607 B608 B609 B610 B611 B612 B615 B618 B619 B620 B621 B622 B625 B626 B631 B632 B633 B634 B637 B638 B639 B640 B641 B648 B649 B650 B651 B652 B653 B656 B659 B660 B661 B662 B663 B664 B667 B671 B672 B675 B676 B679 B680 B684 B685 B686 B687 B688 B694 B695 B696 B697 B698 B699 B700 B701 B702 B703 B706 B707 B708 B709 B710 B711 B718 B719 B720 B727 B731 B732 B733 B734 B744 B745 B746 B747 B752 B753 B754 B755 B756 B757 B760 B761 B762 B765 B773 B778 B800 B801 B805 B810 B819 B822 B823 B824 B825 B1266 B1637 B1697 B1698 B1699 B1700 B1701 B1709 B1743 B1748 B1752 B1755 B1756 B1757 B1763 B1764 B1772 B1773 B1776 B1781 B1792 B1793 B1794 B1795 B1796 B1797 B1798 B1805 B1806 B1807 B1808 B1812 B1813 B1814 B1815 B1816 B1826 B1827 B1828 B1829 B1830 B1836 B1840 B1843 B1844 B1845 B1846 B1847 B1850 B1851 B1852 B1858 B1859 B1865 B1872 B1873 B1876 B1877 B1878 B1880 B1881 B1882 B1883 B1884 B1885 B1886 B1895 B1898 B1903 B1910 B1911 B1916 B1920 B1925 B1932 B1934 B1935 B1940 B1941 B1942 B1950 B1982 B2075 B2076 B2077 B2078 B2080 B2095 B2114 B2115 B2116 B2117 B2118 B2119 B2120 B2121 B2122 B2123 B2130 B2133 B2139 B2158 B2161 B2166 B2172 B2173 B2174 B2175 B2176 B2177 B2178 B2179 B2180 B2181 B2188 B2189 B2193 B2194 B2195 B2196 B2197 B2198 B2201 B2202 B2203 B2204 B2205 B2208 B2209 B2212 B2222 B2223 B2224 B2225 B2229 B2230 B2231 B2232 B2233 B2234 B2238 B2239 B2240 B2241 B2242 B2244 B2255 B2258 B2259 B2260 B2263 B2264 B2265 B2266 B2267 B2268 B2269 B2270 B2271 B2272 B2273 B2274 B2275 B2276 B2277 B2278 B2279 B2280 B2281 B2282 B2283 B2284 B2288 B2289 B2290 B2299 B2302 B2312 B2313 B2314 B2315 B2316 B2317 B2322 B2323 B2324 B2325 B2348 B2349 B2350 B2351 B2352 B2360 B2362 B2363 B2364 B2365 B2366 B2367 B2370 B2382 B2384 B2385 B2386 B2387 B2388 B2390 B2391 B2392 B2393 B2395 B2396 B2398 B2399 B2401 B2402 B2403 B2404 B2405 B2406 B2407 B2408 B2418 B2430 B2434 B2436 B2437 B2449 B2452 B2453 B2454 B2459 B2463 B2464 B2469 B2472 B2473 B2474 B2478 B2482 B2485 B2494 B2498 B2499 B2500 B2501 B2502 B2506 B2518 B2525 B2535 B2542 B2543 B2544 B2545 B2546 B2547 B2548 B2549 B2550 B2551 B2552 B2553 B2554 B2555 B2565 B2566 B2567 B2568 B2574 B2575 B2576 B2577 B2582 B2583 B2584 B2585 B2586 B2599 B2600 B2602 B2606 B2621 B2622 B2623 B2624 B2625 B2631 B2635 B2636 B2657 B2658 B2659 B2660 B2661 B2662 B2663 B2664 B2665 B2668 B2669 B2670 B2671 B2672 B2673 B2674 B2675 B2676 B2677 B2678 B2679 B2680 B2683 B2684 B2685 B2686 B2687 B2688 B2689 B2690 B2691 B2693 B2694 B2695 B2696 B2697 B2698 B2699 B2700 B2701 B2702 B2703 B2704 B2706 B2707 B2708 B2709 B2710 B2712 B2713 B2714 B2715 B2716 B2717 B2718 B2719 B2720 B2721 B2722 B2723 B2724 B2725 B2726 B2727 B2728 B2729 B2730 B2731 B2732 B2733 B2734 B2735 B2736 B2737 B2738 B2752 B2756 B2759 B2760 B2761 B2762 B2765 B2766 B2767 B2768 B2772 B2773 B2777 B2780 B2785 B2786 B2787 B2788 B2789 B2790 B2791 B2799 B2800 B2803 B2804 B2807 B2817 B2818 B2819 B2827 B2829 B2832 B2834 B2839 B2843 B2856 B2857 B2858 B2861 B2862 B2863 B2887 B2892 B2917 B2927 B2928 B2929 B2930 B2934 B2982 B2992 B2993 B2994 B3002 B3012 B3029 B3035 B3050 B3051 B3052 B3055 B3059 B3251 B3252 B3253 B3256 B3257 B3261 B3262 B3275 B3278 B3279 B3280 B3293 B3295 B3296 B3298 B3337 B3346 B3367 B3392 B3408 B3409 B3410 B3422 B3428 B3431 B3462 B3466 B3467 B3468 B3472 B3570 B3571 B3753 B3754 B3757 B3758 B3759 B3760 B3761 B3762 B3792 B3795 B3814 B3815 B3836 B3837 B3863 B3865 B3866 B3868 B3877 B3878 B3879 B3886 B3962 B3965 B3966 B3967 B3972 B3975 B3978 B4043 B4045 B4046 B4051 B4076 B4079 B4080 B4083 B4105 B4110 B4111 B4112 B4113 B4116 B4117 B4119 B4138 B4139 B4142 B4143 B4147 B4148 B4150 B4186 B4187 B4192 B4195 B4196 B4197 B4198 B4200 B4205 B4317 B4318 B4333 B4334 B4336 B4340 B4341 B4343 B4344 B4345 B4347 B4350 B4353 B4355 B4389 B4391 B4392 B4430 B4432 B4435 B4436 B4441 B4444 B4445 B4447 B4468 B4470 B4472 B4484 B4488 B4490 B4491 B4517 B4518 B4519 B4520 B4550 B4595 B4596 B4600 B4602 B4695 B4703 B4714 B4717 B4719 B4720 B4721 B4723 B4726 B4730 B4731 B4732 B4736 B4737 B4740 B4743 B4744 B4748 B4751 B4752 B4753 B4754 B4756 B4762 B4763 B4764 B4767 B4965 B4967 B4969 B4971 B4972 B4974 B4975 B4976 B4977 B4979 B4981 B4988 B5004 B5005 B5009 B5031 B5034 B5052 B5057 B5160 B5167 B5171 B5213 B5214 B5216 B5218 B5219 B5220 B5240 B5241 B5244 B5279 B5281 B5286 B5302 B5309 B5311 B5312 B5319 B5342 B5343 B5344 B5345 B5346 B5348 B5374 B5377 B5423 B5429 B5432 B5437 B5439 B5443 B5446 B5447 B5449 B5453 B5454 B5654 B5657 B5658 B5660 B5662 B5663 B5664 B5665 B5668 B5669 B5670 B5671 B5673 B5675 B5677 B5680 B5685 B5688 B5691 B5692 B5694 B5697 B5773 B5774 B5849 B5850 B5920 B5924 B5927 B5929 B6047 B6075 B6078 B6081 B6082 B6128 B6129 B6132 B6135 B6139 B6140 B6141 B6144 B6161 B6164 B6165 B6171 B6174 B6190 B6286 B6330 B6935 B8715 B9160 B1:B2 B11:B12 B14:B15 B35:B37 B57:B60 B63:B64 B65:B69 B73:B74 B75:B76 B77:B78 B81:B82 B86:B87 B96:B97 B105:B107 B117:B118 B120:B121 B128:B129 B133:B134 B145:B146 B150:B151 B152:B154 B155:B156 B157:B159 B161:B163 B172:B173 B176:B177 B184:B185 B192:B194 B195:B199 B208:B210 B216:B218 B237:B239 B243:B244 B246:B249 B256:B257 B267:B268 B270:B271 B273:B275 B287:B288 B294:B295 B296:B298 B301:B302 B304:B305 B306:B307 B315:B316 B318:B319 B320:B321 B328:B331 B333:B334 B335:B339 B340:B342 B343:B346 B352:B353 B356:B358 B360:B361 B376:B377 B378:B379 B382:B384 B393:B394 B399:B401 B402:B403 B405:B406 B414:B415 B418:B419 B420:B422 B423:B424 B429:B431 B436:B437 B441:B442 B443:B446 B447:B448 B455:B456 B461:B462 B463:B464 B465:B466 B468:B469 B470:B473 B477:B478 B486:B487 B491:B492 B494:B498 B503:B504 B505:B506 B509:B510 B511:B514 B524:B527 B530:B531 B532:B535 B545:B546 B547:B548 B550:B552 B557:B558 B564:B566 B567:B570 B574:B575 B576:B577 B578:B579 B581:B583 B584:B585 B592:B594 B596:B598 B602:B603 B605:B606 B613:B614 B616:B617 B623:B624 B627:B630 B635:B636 B642:B643 B644:B645 B646:B647 B654:B655 B657:B658 B665:B666 B668:B670 B673:B674 B677:B678 B681:B683 B689:B690 B691:B693 B704:B705 B712:B713 B714:B715 B716:B717 B721:B722 B723:B724 B725:B726 B728:B730 B735:B737 B738:B743 B748:B751 B758:B759 B763:B764 B766:B767 B768:B772 B774:B775 B776:B777 B779:B781 B782:B783 B784:B786 B787:B789 B790:B793 B794:B796 B797:B799 B802:B804 B806:B809 B811:B812 B813:B814 B815:B818 B820:B821 B826:B827 B828:B1141 B1142:B1147 B1148:B1149 B1150:B1151 B1152:B1265 B1267:B1295 B1296:B1433 B1434:B1453 B1454:B1477 B1478:B1512 B1513:B1525 B1526:B1592 B1593:B1596 B1597:B1600 B1601:B1603 B1604:B1625 B1626:B1636 B1638:B1657 B1658:B1676 B1677:B1696 B1702:B1708 B1710:B1741 B1744:B1747 B1749:B1751 B1758:B1762 B1765:B1767 B1768:B1770 B1774:B1775 B1777:B1778 B1779:B1780 B1782:B1788 B1789:B1790 B1800:B1801 B1809:B1811 B1817:B1820 B1821:B1823 B1824:B1825 B1831:B1835 B1837:B1839 B1841:B1842 B1848:B1849 B1853:B1857 B1860:B1864 B1866:B1867 B1868:B1869 B1870:B1871 B1887:B1891 B1893:B1894 B1896:B1897 B1899:B1902 B1904:B1909 B1912:B1915 B1917:B1919 B1926:B1930 B1936:B1938 B2124:B2129 B2131:B2132 B2134:B2138 B2140:B2146 B2159:B2160 B2162:B2165 B2167:B2171 B2182:B2187 B2190:B2192 B2199:B2200 B2206:B2207 B2210:B2211 B2213:B2218 B2219:B2221 B2226:B2228 B2236:B2237 B2256:B2257 B2261:B2262 B2285:B2287 B2291:B2292 B2293:B2294 B2295:B2297 B2318:B2321 B2326:B2327 B2368:B2369 B2409:B2417 B2431:B2433 B2438:B2446 B2447:B2448 B2450:B2451 B2465:B2468 B2470:B2471 B2475:B2477 B2479:B2481 B2483:B2484 B2486:B2488 B2489:B2490 B2491:B2493 B2495:B2497 B2503:B2505 B2507:B2515 B2516:B2517 B2519:B2522 B2523:B2524 B2556:B2558 B2560:B2562 B2563:B2564 B2569:B2573 B2578:B2581 B2587:B2593 B2594:B2598 B2627:B2630 B2632:B2633 B2637:B2640 B2681:B2682 B2739:B2744 B2745:B2747 B2748:B2751 B2753:B2755 B2757:B2758 B2763:B2764 B2769:B2770 B2774:B2776 B2778:B2779 B2781:B2784 B2792:B2798 B2801:B2802 B2805:B2806 B2808:B2810 B2811:B2816 B2822:B2823 B2824:B2826 B2864:B2866 B2867:B2870 B2871:B2873 B2874:B2883 B2884:B2886 B2888:B2891 B2893:B2895 B2896:B2902 B2903:B2916 B2918:B2921 B2922:B2926 B2931:B2933 B2977:B2979 B2980:B2981 B2983:B2991 B2995:B2999 B3000:B3001 B3003:B3005 B3019:B3025 B3026:B3028 B3048:B3049 B3053:B3054 B3056:B3058 B3254:B3255 B3258:B3260 B3276:B3277 B3401:B3407 B3411:B3416 B3887:B3888">
      <formula1>"喜盈门,真北店,真北一店,真北二店,汶水店,家饰佳,家饰佳一店,家饰佳二店,沪南店,金桥店,浦江店,吉盛伟邦,建配龙,同福店,好饰家,百安居徐泾店,百安居万达茂店,金山店,南汇店,奉贤店,百安居龙阳店,百安居沪太店,真北铝木店,百安居普陀店,松江店,百安居金桥店,百安居杨浦店,百安居闵行店,百安居莘庄店,百家宜,嘉定店,美美家,兴力达,城大店,其他"</formula1>
    </dataValidation>
    <dataValidation type="list" allowBlank="1" showInputMessage="1" showErrorMessage="1" sqref="B1962 B2027">
      <formula1>"喜盈门,真北店,真北一店,真北二店,汶水店,家饰佳,家饰佳铝木,沪南店,金桥店,浦江店,吉盛伟邦,普陀店,金山店,南汇店,松江店,奉贤店,龙阳店,沪太/未来店,百安居金桥店,百安居杨浦店,建配龙,同福店,好饰家,铝木店,生活家,百家宜,百安居徐泾店,百安居闵行店,家装部,公司"</formula1>
    </dataValidation>
    <dataValidation allowBlank="1" showInputMessage="1" showErrorMessage="1" sqref="D5 D289 D652 D1373 D2692 D2807 D3058 D3106 D3323 D3776 D5589 D5788 D5973 D5995 D6113 D6314 C6315 D6315 D6485 D6886 D6892 D6978 D7385 D7497 D7523 D7583 D7629 D7643 D7648 D7768 D7788 D7823 D7833 D7880 D7893 D7918 D7928 D7935 D7943 D8044 D8050 D8057 D8178 D8208 D8388 D8477 D8698 D8707 D8758 D8781 D8782 D8923 D8924 D8955 D8958 D9002 D9009 D9044 D9045 D9050 D9085 D9096 D9119 D9120 D9126 D9127 D9131 D9132 D9137 D9138 D9140 D9141 D9143 D9190 D9191 D9192 D9199 D9200 D9201 D9203 D9205 D9206 D9212 D9215 D9218 D9219 D9220 D9223 D9226 D9227 D9228 D9357 D9358 D9360 D9361 D9364 D9366 D9368 D9369 D9370 D9371 D9372 D9373 D9374 D9375 D9376 D9377 D9378 D9379 D9380 D9381 D9382 D9383 D9387 D9391 D9400 D9401 D9405 D9428 D9438 D9440 D9475 D9484 D9497 D9502 D9506 D9511 D9512 D9517 D9528 D9531 D9532 D9534 D9536 D9537 D9543 D9548 D9579 D9580 D9581 D9587 D9588 D9601 D9630 D9653 D9662 D9679 D9681 D9684 D9690 D9691 D9692 D9697 D9703 D9706 D9728 D9729 D9732 D9736 D9739 D9748 D9753 D9766 D9768 D9776 D9777 D9778 D9782 D9792 D9793 D9798 D9800 D9801 D9804 D9814 D9816 D9818 D9827 D9837 D9839 D9840 D9842 D9843 D9844 D9845 D9851 D9854 D9859 D9862 D9863 D9865 D9866 D9870 D9871 D9872 D9883 D9886 D9887 D9888 D9889 D9890 D9892 D9895 D9896 D9897 D9898 D9899 D9900 D9903 D9908 D9909 D9910 D9911 D9912 D9913 D9914 D9915 D9920 D9921 D9925 D9938 D9939 D9949 D9985 D9987 D9989 D9993 D10000 D10001 D10009 D10010 D10011 D10012 D10014 D10015 D10018 D10026 D10028 D10029 D10030 D10031 D10036 D10043 D10044 D10047 D10048 D10050 D10051 D10055 D10056 D10064 D10076 D10077 D10078 D10079 D10081 D10082 D10087 D10090 D10093 D10094 D10095 D10096 D10103 D10105 D10107 D10109 D10110 D10113 D10116 D10118 D10120 D10122 D10123 D10124 D10126 D10127 D10128 D10129 D10130 D10131 D10134 D10135 D10137 D10138 D10139 D10142 D10146 D10147 D10148 D10149 D10152 D10154 D10157 D10160 D10161 D10162 D10163 D10164 D10165 D10166 D10169 D10172 D10174 D10179 D10208 D10210 D10212 D10213 D10218 D10221 D10225 D10227 D10228 D10232 D10233 D10234 D10239 D10240 D10241 D10242 D10243 D10244 D10247 D10262 D10263 D10264 D10265 D10266 D10267 D10268 D10284 D10287 D10361 D10362 D10363 D10364 D10365 D10366 D10367 D10368 D10369 D10370 D10371 D10372 D10373 D10376 D10377 D10378 D10379 D10380 D10381 D10382 D10383 D10384 D10385 D10386 D10387 D10388 D10389 D10393 D10434 D10438 D10441 D10442 D10443 D10447 D10539 D10606 D10607 D10608 D10611 D10612 D10613 D10616 D10617 D10618 D10620 D10627 D10628 D10629 D10630 D10631 D10634 D10635 D10636 D10637 D10638 D10646 D10649 D10653 D10660 D10664 D10665 D10666 D10667 D10670 D3:D4 D6:D7 D8:D9 D8783:D8870 D8959:D8963 D9221:D9222 D9224:D9225 D9230:D9286 D9287:D9289 D9290:D9313 D9314:D9316 D9317:D9356 D9846:D9848 D9849:D9850 D9852:D9853 D9855:D9856 D9857:D9858 D9860:D9861 D9901:D9902 D9904:D9905 D9906:D9907 D9994:D9995 D9996:D9999 D10002:D10006 D10007:D10008 D10084:D10086 D10088:D10089 D10091:D10092 D10097:D10100 D10101:D10102 D10132:D10133 D10150:D10151 D10167:D10168 D10175:D10178 D10180:D10204 D10214:D10215 D10216:D10217 D10235:D10238 D10269:D10270 D10271:D10281 D10282:D10283 D10374:D10375 D10439:D10440 D10444:D10446 D10609:D10610 D10614:D10615 D10632:D10633 D10647:D10648 D10650:D10652 D10668:D10669"/>
    <dataValidation type="list" allowBlank="1" showInputMessage="1" showErrorMessage="1" sqref="B1753 B1874 B1922 B1923 B1943 B1947 B1948 B1951 B1952 B1954 B1956 B1957 B1958 B1959 B1961 B1975 B1985 B1987 B1988 B1990 B2005 B2016 B2024 B2025 B2026 B2028 B2030 B2031 B2040 B2041 B2045 B2047 B2052 B2061 B2062 B2063 B2064 B2079 B2082 B2084 B2097 B2111 B2151 B3124 B4191">
      <formula1>"喜盈门,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尚品宅配,其他"</formula1>
    </dataValidation>
    <dataValidation type="list" allowBlank="1" showInputMessage="1" showErrorMessage="1" sqref="B1742 B1966 B1967 B1970 B1971 B1972 B1973 B1974 B1976 B1977 B1978 B1979 B1980 B1981 B1993 B2042 B4395 B4734 B4992 B5435 B1963:B1965 B1968:B1969">
      <formula1>"喜盈门,真北一店,真北店,城大店,真北二店,同福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尚品宅配,其他"</formula1>
    </dataValidation>
    <dataValidation type="list" allowBlank="1" showInputMessage="1" showErrorMessage="1" sqref="B1754 B1771 B1791 B1803 B1804 B1875 B1879 B1892 B1921 B1924 B1931 B1933 B1939 B1944 B1945 B1949 B1953 B1986 B1989 B1991 B1992 B1995 B1996 B1997 B1998 B1999 B2000 B2001 B2002 B2004 B2006 B2007 B2008 B2009 B2010 B2011 B2012 B2013 B2014 B2015 B2017 B2018 B2019 B2020 B2021 B2022 B2023 B2033 B2034 B2035 B2036 B2039 B2043 B2044 B2046 B2048 B2049 B2050 B2051 B2053 B2058 B2065 B2068 B2069 B2070 B2071 B2072 B2073 B2074 B2096 B2098 B2099 B2147 B2148 B2149 B2150 B2152 B2153 B2154 B2155 B2156 B2157 B2347 B2389 B2394 B2397 B2400 B3429 B3819 B3872 B4081 B4084 B4201 B4486 B5650 B5919 B2037:B2038 B2055:B2057 B2059:B2060 B2066:B2067 B2100:B2101 B2102:B2104">
      <formula1>"喜盈门,真北店,真北一店,真北二店,汶水店,家饰佳,家饰佳一店,家饰佳二店,沪南店,金桥店,浦江店,吉盛伟邦,建配龙,同福店,好饰家,百安居徐泾店,金山店,南汇店,奉贤店,百安居龙阳店,百安居沪太店,真北铝木店,百安居普陀店,松江店,百安居金桥店,百安居杨浦店,百安居闵行店,百安居莘庄店,百家宜,嘉定店,美美家,兴力达,城大店,其他"</formula1>
    </dataValidation>
    <dataValidation type="list" allowBlank="1" showInputMessage="1" showErrorMessage="1" sqref="B10395 B10396 B10397 B10398 B10399 B10400 B10456 B10495 B10496 B10390:B10394 B10401:B10405 B10406:B10414 B10415:B10429 B10430:B10437 B10448:B10455 B10457:B10475 B10493:B10494 B10497:B10501">
      <formula1>"喜盈门,真北店,真北一店,真北二店,汶水店,家饰佳,家饰佳一店,家饰佳二店,沪南店,金桥店,浦江店,吉盛伟邦,建配龙,同福店,好饰家,百安居徐泾店,百安居万达茂店,金山店,南汇店,奉贤店,百安居龙阳店,百安居沪太店,真北铝木店,百安居普陀店,松江店,百安居金桥店,百安居杨浦店,百安居闵行店,百安居莘庄店,尚品宅配,百家宜,嘉定店,美美家,兴力达,城大店,其他"</formula1>
    </dataValidation>
    <dataValidation type="list" allowBlank="1" showInputMessage="1" showErrorMessage="1" sqref="B1955 B1984 B1994 B2029 B2032 B2054 B2083 B2112">
      <formula1>"喜盈门,真北店,真北一店,真北二店,汶水店,家饰佳,家饰佳一店,家饰佳二店,沪南店,金桥店,浦江店,吉盛伟邦,百安居普陀店,金山店,南汇店,松江店,百安居龙阳店,百安居沪太店,百安居金桥店,百安居杨浦店,建配龙,铝木店,生活家,百家宜,好饰家,百安居徐泾店,百安居闵行店,奉贤店,嘉定店,公司,美美家,兴力达,同福店,其他"</formula1>
    </dataValidation>
    <dataValidation type="list" allowBlank="1" showInputMessage="1" showErrorMessage="1" sqref="B10660 B10664 B10665 B10666 B10667 B10669 B10670">
      <formula1>"金盛店,喜盈门,真北店,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同福店,美美家,兴力达,兴明店,尚品宅配,其他"</formula1>
    </dataValidation>
    <dataValidation type="list" allowBlank="1" showInputMessage="1" showErrorMessage="1" sqref="B2528 B2531 B2532 B2533 B2534 B2536 B2559 B2601 B2607 B2608 B2609 B2610 B2611 B2612 B2613 B2614 B2626 B2644 B2645 B2646 B2647 B2820 B2821 B2828 B2830 B2831 B2840 B2841 B2842 B2844 B2845 B2846 B2942 B2963 B2969 B2970 B2971 B2972 B2973 B2976 B5451 B2529:B2530 B2837:B2838">
      <formula1>"喜盈门,真北店,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1983 B2081 B2113">
      <formula1>"喜盈门,真北一店,真北二店,汶水店,同福店,真北店,家饰佳,家饰佳一店,家饰佳二店,沪南店,金桥店,浦江店,吉盛伟邦,百安居普陀店,金山店,南汇店,松江店,百安居龙阳店,百安居沪太店,百安居金桥店,百安居杨浦店,建配龙,铝木店,生活家,百家宜,好饰家,百安居徐泾店,百安居闵行店,奉贤店,嘉定店,公司,美美家,兴力达,尚品宅配,其他"</formula1>
    </dataValidation>
    <dataValidation type="list" allowBlank="1" showInputMessage="1" showErrorMessage="1" sqref="B2235 B2243 B2245 B2246 B2247 B2248 B2249 B2250 B2251 B2252 B2253 B2254 B2298 B2300 B2301 B2303 B2304 B2305 B2306 B2307 B2308 B2309 B2310 B2311 B2328 B2330 B2331 B2354 B2355 B2361 B2374 B2375 B2376 B2419 B2422 B2429 B2859 B5448 B5682">
      <formula1>"喜盈门,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2329 B2332 B2333 B2334 B2335 B2336 B2337 B2338 B2339 B2340 B2341 B2342 B2343 B2344 B2345 B2346 B4055 B6143">
      <formula1>"喜盈门,真北一店,真北店,同福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2353 B2356 B2357 B2358 B2359">
      <formula1>"喜盈门,真北一店,真北店,城大店,同福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2371 B2372 B2373 B2377 B2378 B2379 B2380 B2381 B2383 B2420 B2421 B2423 B2424 B2425 B2426 B2427 B2428 B5678">
      <formula1>"喜盈门,真北一店,同福店,真北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textLength" operator="between" allowBlank="1" showInputMessage="1" showErrorMessage="1" sqref="I10194">
      <formula1>11</formula1>
      <formula2>11</formula2>
    </dataValidation>
    <dataValidation type="list" allowBlank="1" showInputMessage="1" showErrorMessage="1" sqref="B2935 B2936 B2937 B2938 B2939 B2940 B2941 B2943 B2944 B2945 B2946 B2948 B2949 B2950 B2951 B2952 B2953 B2957 B2958 B2959 B2960 B2961 B2962 B2964 B2965 B2966 B2967 B2968 B3006 B3007 B3008 B3009 B3010 B3011 B3013 B3014 B3015 B3016 B3017 B3018 B3064 B3247 B3249 B3756 B4338 B4342 B4487 B5164 B5280 B2954:B2956">
      <formula1>"喜盈门,真北店,真北一店,城大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2435 B2455 B2456 B2457 B2458 B2460 B2461 B2462 B2526 B2527 B2537 B2538 B2539 B2540 B2541 B2860">
      <formula1>"喜盈门,真北一店,真北二店,真北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2603 B2604 B2605 B2617 B2618 B2619 B2634 B2641 B2642 B2643 B2648 B2649 B2650 B2651 B2652 B2653 B2654 B2655 B2656 B2666 B2667 B2771 B2835 B2836 B2847 B2848 B2849 B2850 B2851 B2852 B2853 B2854 B2855 B2947 B2974 B2975 B3574 B3793 B3798 B3839 B3964 B4189 B5651 B5676 B5775 B2615:B2616">
      <formula1>"喜盈门,真北一店,真北二店,城大店,同福店,真北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3030 B3031 B3034 B3038 B3039 B3040 B3041 B3042 B3043 B3044 B3045 B3046 B3047 B3060 B3061 B3062 B3063 B3065 B3066 B3086 B3087 B3090 B3091 B3092 B3093 B3094 B3095 B3096 B3116 B3117 B3118 B3119 B3120 B3121 B3122 B3123 B3125 B3133 B3162 B3163 B3164 B3165 B3166 B3167 B3168 B3169 B3170 B3171 B3172 B3173 B3200 B3239 B3240 B3241 B3242 B3243 B3244 B3245 B3246 B3248 B3250 B3290 B3291 B3292 B3294 B3297 B3331 B3332 B3333 B3334 B3335 B3336 B3338 B3339 B3340 B3364 B3365 B3366 B3388 B3389 B3390 B3391 B3393 B3394 B3395 B3396 B3397 B3398 B3399 B3417 B3418 B3419 B3420 B3421 B3423 B3424 B3425 B3426 B3427 B3430 B3461 B3463 B3464 B3465 B3469 B3470 B3471 B3560 B3561 B3562 B3563 B3564 B3565 B3566 B3567 B3568 B3569 B3572 B3573 B3575 B3576 B3577 B3578 B3579 B3590 B3663 B3669 B3746 B3747 B3748 B3749 B3750 B3751 B3752 B3755 B3763 B3764 B3765 B3789 B3790 B3791 B3794 B3796 B3797 B3811 B3812 B3813 B3816 B3817 B3832 B3833 B3834 B3835 B3838 B3840 B3859 B3860 B3861 B3862 B3864 B3867 B3869 B3870 B3871 B3873 B3874 B3875 B3876 B3943 B3951 B3952 B3953 B3954 B3955 B3956 B3957 B3958 B3959 B3960 B3961 B3963 B3968 B3969 B3970 B3971 B3973 B3974 B3976 B3977 B4036 B4037 B4038 B4039 B4040 B4041 B4042 B4044 B4047 B4048 B4049 B4050 B4052 B4053 B4054 B4068 B4069 B4070 B4071 B4072 B4073 B4074 B4075 B4077 B4078 B4082 B4106 B4107 B4108 B4109 B4114 B4115 B4118 B4131 B4132 B4133 B4134 B4135 B4136 B4137 B4140 B4141 B4144 B4145 B4146 B4149 B4151 B4165 B4171 B4175 B4177 B4178 B4179 B4180 B4181 B4182 B4183 B4184 B4185 B4188 B4190 B4193 B4194 B4199 B4202 B4203 B4257 B4258 B4261 B4262 B4266 B4267 B4268 B4269 B4282 B4283 B4286 B4292 B4309 B4319 B4320 B4321 B4322 B4323 B4324 B4325 B4326 B4327 B4328 B4329 B4330 B4331 B4332 B4335 B4337 B4339 B4346 B4348 B4349 B4352 B4354 B4356 B4357 B4358 B4359 B4360 B4361 B4362 B4363 B4387 B4388 B4390 B4394 B4407 B4408 B4426 B4427 B4428 B4429 B4431 B4433 B4438 B4439 B4440 B4446 B4449 B4450 B4451 B4466 B4467 B4480 B4481 B4482 B4483 B4485 B4492 B4503 B4510 B4511 B4512 B4513 B4514 B4515 B4516 B4523 B4524 B4525 B4545 B4546 B4547 B4548 B4549 B4553 B4567 B4570 B4571 B4585 B4586 B4587 B4588 B4591 B4592 B4593 B4594 B4599 B4601 B4603 B4604 B4607 B4641 B4646 B4673 B4676 B4677 B4682 B4683 B4684 B4691 B4694 B4696 B4697 B4698 B4699 B4700 B4701 B4702 B4704 B4705 B4706 B4707 B4708 B4709 B4710 B4711 B4712 B4713 B4715 B4716 B4718 B4724 B4725 B4727 B4728 B4729 B4733 B4735 B4738 B4745 B4746 B4747 B4757 B4758 B4759 B4760 B4761 B4765 B4766 B4768 B4769 B4785 B4786 B4793 B4794 B4800 B4801 B4808 B4811 B4817 B4819 B4841 B4844 B4847 B4848 B4849 B4850 B4851 B4852 B4853 B4854 B4858 B4863 B4900 B4905 B4908 B4915 B4916 B4921 B4923 B4924 B4939 B4940 B4945 B4946 B4949 B4954 B4957 B4958 B4959 B4960 B4961 B4962 B4963 B4964 B4968 B4970 B4973 B4978 B4982 B4983 B4985 B4986 B4987 B4989 B4990 B4991 B4994 B4995 B4996 B4999 B5006 B5007 B5008 B5010 B5011 B5012 B5017 B5026 B5027 B5028 B5029 B5030 B5032 B5035 B5045 B5046 B5047 B5048 B5049 B5050 B5054 B5055 B5056 B5059 B5060 B5066 B5075 B5076 B5079 B5102 B5103 B5104 B5105 B5106 B5108 B5109 B5110 B5111 B5112 B5113 B5114 B5115 B5116 B5117 B5118 B5119 B5120 B5121 B5122 B5123 B5124 B5125 B5126 B5130 B5131 B5138 B5139 B5140 B5152 B5157 B5158 B5161 B5163 B5165 B5166 B5168 B5169 B5170 B5181 B5186 B5187 B5194 B5210 B5211 B5212 B5221 B5222 B5223 B5224 B5233 B5234 B5235 B5236 B5237 B5238 B5239 B5242 B5243 B5245 B5246 B5247 B5249 B5250 B5251 B5252 B5253 B5254 B5255 B5258 B5260 B5264 B5272 B5275 B5276 B5278 B5282 B5283 B5284 B5285 B5293 B5294 B5295 B5300 B5301 B5303 B5304 B5305 B5306 B5307 B5308 B5313 B5314 B5316 B5317 B5318 B5320 B5321 B5322 B5323 B5329 B5330 B5331 B5332 B5333 B5334 B5337 B5338 B5339 B5340 B5341 B5347 B5349 B5350 B5358 B5361 B5362 B5363 B5368 B5369 B5370 B5371 B5372 B5373 B5375 B5376 B5385 B5386 B5387 B5388 B5394 B5395 B5398 B5403 B5404 B5416 B5417 B5418 B5419 B5420 B5421 B5422 B5424 B5425 B5426 B5427 B5428 B5430 B5431 B5433 B5434 B5438 B5440 B5441 B5442 B5450 B5452 B5455 B5457 B5458 B5461 B5477 B5483 B5492 B5500 B5501 B5509 B5512 B5517 B5526 B5536 B5541 B5542 B5543 B5544 B5551 B5552 B5553 B5556 B5557 B5558 B5577 B5586 B5587 B5588 B5591 B5611 B5612 B5613 B5614 B5626 B5627 B5628 B5629 B5630 B5631 B5632 B5633 B5634 B5635 B5636 B5637 B5638 B5639 B5640 B5641 B5642 B5643 B5644 B5645 B5646 B5647 B5648 B5649 B5652 B5653 B5656 B5661 B5667 B5674 B5679 B5684 B5687 B5689 B5690 B5693 B5695 B5696 B5703 B5706 B5707 B5708 B5709 B5712 B5722 B5723 B5724 B5737 B5738 B5739 B5742 B5743 B5744 B5750 B5754 B5755 B5756 B5763 B5768 B5769 B5770 B5771 B5772 B5776 B5777 B5778 B5779 B5780 B5787 B5788 B5789 B5793 B5799 B5800 B5801 B5802 B5803 B5804 B5805 B5808 B5809 B5810 B5811 B5812 B5813 B5816 B5817 B5822 B5823 B5829 B5830 B5831 B5832 B5836 B5839 B5840 B5841 B5844 B5845 B5846 B5847 B5848 B5852 B5853 B5855 B5856 B5859 B5860 B5861 B5862 B5865 B5866 B5867 B5868 B5869 B5878 B5881 B5882 B5883 B5895 B5896 B5900 B5906 B5912 B5913 B5914 B5915 B5916 B5917 B5918 B5923 B5925 B5926 B5933 B5934 B5938 B5939 B5940 B5941 B5942 B5943 B5944 B5945 B5946 B5949 B5950 B5951 B5952 B5953 B5954 B5955 B5956 B5967 B5968 B5969 B5972 B5973 B5978 B5979 B5980 B5989 B5992 B5993 B5994 B5995 B5998 B5999 B6002 B6005 B6008 B6009 B6015 B6016 B6017 B6018 B6032 B6035 B6036 B6037 B6038 B6039 B6040 B6041 B6044 B6045 B6046 B6048 B6050 B6051 B6052 B6053 B6054 B6055 B6056 B6057 B6058 B6059 B6060 B6061 B6062 B6063 B6064 B6065 B6066 B6067 B6068 B6069 B6070 B6071 B6072 B6074 B6076 B6077 B6079 B6083 B6088 B6089 B6090 B6091 B6092 B6115 B6116 B6117 B6118 B6119 B6120 B6121 B6122 B6123 B6124 B6125 B6126 B6127 B6130 B6131 B6133 B6134 B6136 B6142 B6156 B6157 B6158 B6159 B6160 B6163 B6166 B6167 B6168 B6169 B6172 B6185 B6186 B6187 B6188 B6189 B6192 B6193 B6196 B6197 B6198 B6199 B6237 B6238 B6239 B6240 B6241 B6242 B6243 B6244 B6245 B6251 B6252 B6282 B6283 B6284 B6285 B6287 B6296 B6297 B6301 B6302 B6305 B6306 B6311 B6314 B6327 B6328 B6329 B6331 B6332 B6333 B6334 B6337 B6342 B6347 B6348 B6349 B6350 B6351 B6354 B6357 B6360 B6361 B6366 B6367 B6368 B6369 B6370 B6371 B6372 B6375 B6378 B6379 B6382 B6383 B6384 B6385 B6386 B6389 B6390 B6395 B6396 B6397 B6398 B6399 B6400 B6401 B6402 B6403 B6406 B6407 B6408 B6415 B6418 B6419 B6428 B6432 B6437 B6438 B6439 B6440 B6444 B6445 B6452 B6453 B6454 B6462 B6463 B6464 B6465 B6471 B6472 B6473 B6474 B6478 B6483 B6485 B6486 B6487 B6488 B6489 B6490 B6491 B6492 B6493 B6501 B6502 B6503 B6504 B6505 B6506 B6507 B6508 B6511 B6512 B6513 B6514 B6515 B6516 B6517 B6518 B6519 B6520 B6521 B6522 B6523 B6524 B6525 B6526 B6527 B6528 B6529 B6530 B6531 B6532 B6533 B6540 B6541 B6542 B6543 B6544 B6545 B6546 B6547 B6550 B6551 B6552 B6553 B6554 B6555 B6556 B6557 B6558 B6559 B6560 B6561 B6562 B6563 B6566 B6567 B6568 B6569 B6574 B6575 B6588 B6590 B6591 B6594 B6597 B6598 B6599 B6600 B6601 B6602 B6603 B6604 B6609 B6612 B6613 B6616 B6617 B6618 B6623 B6624 B6625 B6626 B6627 B6628 B6629 B6630 B6632 B6641 B6642 B6643 B6644 B6647 B6650 B6668 B6669 B6670 B6671 B6674 B6675 B6676 B6677 B6678 B6679 B6680 B6681 B6682 B6683 B6684 B6685 B6686 B6687 B6688 B6689 B6697 B6698 B6699 B6700 B6701 B6711 B6712 B6713 B6714 B6715 B6718 B6721 B6722 B6723 B6729 B6736 B6737 B6741 B6754 B6764 B6765 B6766 B6767 B6771 B6772 B6773 B6774 B6775 B6776 B6778 B6779 B6782 B6783 B6784 B6789 B6792 B6793 B6794 B6796 B6797 B6798 B6799 B6802 B6803 B6804 B6805 B6806 B6807 B6808 B6809 B6810 B6820 B6821 B6824 B6830 B6831 B6832 B6833 B6834 B6843 B6844 B6845 B6846 B6849 B6850 B6851 B6852 B6853 B6864 B6865 B6866 B6867 B6868 B6869 B6870 B6871 B6872 B6875 B6876 B6877 B6878 B6879 B6880 B6881 B6882 B6883 B6884 B6885 B6886 B6887 B6888 B6889 B6890 B6892 B6893 B6894 B6895 B6896 B6897 B6898 B6899 B6902 B6903 B6904 B6905 B6906 B6907 B6908 B6909 B6922 B6932 B6933 B6934 B6936 B6937 B6938 B6939 B6940 B6941 B6942 B6943 B6944 B6945 B6946 B6947 B6948 B6949 B6950 B6954 B6955 B6956 B6959 B6960 B6961 B6962 B6963 B6964 B6965 B6966 B6967 B6968 B6969 B6970 B6971 B6972 B6973 B6974 B6975 B6984 B6985 B6986 B6987 B7000 B7001 B7006 B7007 B7008 B7015 B7020 B7021 B7023 B7024 B7025 B7028 B7029 B7030 B7031 B7032 B7033 B7034 B7035 B7036 B7037 B7038 B7039 B7040 B7041 B7042 B7043 B7044 B7045 B7046 B7047 B7048 B7049 B7050 B7051 B7052 B7053 B7054 B7055 B7056 B7057 B7058 B7059 B7060 B7061 B7062 B7063 B7064 B7070 B7071 B7072 B7073 B7074 B7075 B7076 B7077 B7078 B7292 B7295 B7296 B7297 B7298 B7299 B7300 B7301 B7302 B7303 B7304 B7305 B7306 B7317 B7335 B7336 B7337 B7338 B7348 B7354 B7355 B7356 B7357 B7358 B7359 B7360 B7368 B7369 B7370 B7371 B7372 B7373 B7374 B7375 B7376 B7377 B7378 B7379 B7380 B7387 B7388 B7394 B7395 B7396 B7405 B7406 B7407 B7426 B7433 B7434 B7435 B7436 B7439 B7440 B7441 B7442 B7443 B7444 B7445 B7450 B7451 B7452 B7453 B7538 B7742 B8349 B8459 B8516 B8587 B8613 B8675 B8717 B8718 B8746 B8872 B8978 B9156 B9164 B9181 B9186 B9187 B9357 B9578 B9635 B9725 B9755 B3032:B3033 B3036:B3037 B3088:B3089 B4254:B4256 B4259:B4260 B4263:B4264 B4270:B4271 B4272:B4275 B4276:B4278 B4279:B4281 B4284:B4285 B4288:B4291 B4293:B4302 B4303:B4304 B4305:B4308 B4312:B4316 B4364:B4368 B4370:B4379 B4380:B4381 B4382:B4383 B4385:B4386 B4396:B4397 B4398:B4405 B4409:B4412 B4414:B4420 B4422:B4425 B4452:B4454 B4455:B4456 B4457:B4460 B4462:B4463 B4464:B4465 B4474:B4476 B4477:B4478 B4493:B4494 B4495:B4499 B4500:B4502 B4504:B4505 B4507:B4509 B4521:B4522 B4527:B4529 B4530:B4544 B4551:B4552 B4555:B4561 B4563:B4566 B4568:B4569 B4572:B4579 B4580:B4584 B4589:B4590 B4605:B4606 B4610:B4614 B4617:B4619 B4620:B4621 B4622:B4623 B4624:B4629 B4631:B4633 B4634:B4638 B4639:B4640 B4642:B4645 B4647:B4648 B4649:B4650 B4651:B4653 B4654:B4656 B4657:B4663 B4664:B4667 B4668:B4672 B4674:B4675 B4678:B4681 B4685:B4687 B4688:B4690 B4692:B4693 B4770:B4771 B4772:B4782 B4783:B4784 B4787:B4789 B4790:B4792 B4795:B4797 B4798:B4799 B4820:B4824 B4825:B4826 B4827:B4828 B4830:B4831 B4832:B4835 B4837:B4840 B4842:B4843 B4855:B4856 B4859:B4862 B4864:B4865 B4867:B4868 B4869:B4870 B4871:B4874 B4875:B4881 B4882:B4884 B4885:B4886 B4887:B4888 B4890:B4892 B4893:B4897 B4898:B4899 B4901:B4902 B4909:B4910 B4911:B4912 B4913:B4914 B4917:B4918 B4919:B4920 B4925:B4926 B4927:B4930 B4932:B4935 B4936:B4938 B4941:B4944 B4947:B4948 B4950:B4951 B4952:B4953 B4997:B4998 B5001:B5003 B5013:B5016 B5018:B5019 B5020:B5023 B5024:B5025 B5036:B5037 B5038:B5040 B5042:B5044 B5061:B5062 B5063:B5065 B5067:B5074 B5077:B5078 B5080:B5094 B5095:B5096 B5098:B5101 B5127:B5129 B5132:B5137 B5141:B5142 B5143:B5145 B5146:B5148 B5149:B5151 B5153:B5154 B5155:B5156 B5172:B5173 B5174:B5175 B5176:B5177 B5178:B5179 B5184:B5185 B5188:B5189 B5190:B5193 B5195:B5196 B5197:B5200 B5202:B5203 B5205:B5206 B5207:B5209 B5225:B5231 B5256:B5257 B5262:B5263 B5265:B5266 B5267:B5270 B5273:B5274 B5287:B5288 B5289:B5290 B5291:B5292 B5296:B5299 B5324:B5327 B5335:B5336 B5351:B5353 B5354:B5355 B5356:B5357 B5359:B5360 B5364:B5365 B5366:B5367 B5378:B5384 B5389:B5393 B5462:B5463 B5464:B5469 B5471:B5474 B5475:B5476 B5479:B5482 B5484:B5485 B5486:B5489 B5490:B5491 B5493:B5494 B5496:B5499 B5502:B5505 B5506:B5508 B5510:B5511 B5513:B5514 B5515:B5516 B5518:B5525 B5527:B5535 B5537:B5538 B5539:B5540 B5545:B5548 B5549:B5550 B5554:B5555 B5559:B5573 B5574:B5576 B5578:B5579 B5580:B5585 B5589:B5590 B5592:B5598 B5599:B5604 B5605:B5607 B5608:B5610 B5615:B5616 B5617:B5621 B5622:B5625 B5698:B5700 B5701:B5702 B5704:B5705 B5710:B5711 B5713:B5714 B5715:B5718 B5719:B5721 B5725:B5736 B5740:B5741 B5745:B5749 B5751:B5753 B5757:B5762 B5764:B5767 B5781:B5783 B5784:B5786 B5790:B5792 B5794:B5798 B5806:B5807 B5814:B5815 B5818:B5819 B5820:B5821 B5824:B5828 B5833:B5835 B5837:B5838 B5842:B5843 B5857:B5858 B5863:B5864 B5870:B5874 B5875:B5877 B5879:B5880 B5884:B5885 B5886:B5889 B5890:B5894 B5897:B5899 B5901:B5903 B5904:B5905 B5907:B5911 B5930:B5932 B5935:B5937 B5947:B5948 B5957:B5963 B5964:B5966 B5970:B5971 B5974:B5975 B5976:B5977 B5981:B5988 B5990:B5991 B5996:B5997 B6000:B6001 B6003:B6004 B6006:B6007 B6010:B6011 B6012:B6014 B6019:B6025 B6026:B6031 B6033:B6034 B6084:B6085 B6086:B6087 B6194:B6195 B6200:B6201 B6202:B6203 B6246:B6250 B6288:B6289 B6290:B6291 B6292:B6295 B6298:B6300 B6303:B6304 B6309:B6310 B6312:B6313 B6315:B6323 B6325:B6326 B6335:B6336 B6338:B6341 B6343:B6344 B6345:B6346 B6352:B6353 B6355:B6356 B6358:B6359 B6362:B6365 B6373:B6374 B6376:B6377 B6380:B6381 B6387:B6388 B6391:B6394 B6404:B6405 B6409:B6410 B6411:B6412 B6413:B6414 B6416:B6417 B6420:B6421 B6422:B6427 B6429:B6431 B6433:B6436 B6441:B6443 B6446:B6447 B6448:B6451 B6455:B6461 B6466:B6470 B6476:B6477 B6479:B6480 B6481:B6482 B6494:B6497 B6498:B6500 B6509:B6510 B6534:B6539 B6548:B6549 B6564:B6565 B6570:B6571 B6572:B6573 B6576:B6587 B6592:B6593 B6595:B6596 B6605:B6608 B6610:B6611 B6614:B6615 B6619:B6622 B6633:B6640 B6645:B6646 B6648:B6649 B6651:B6664 B6665:B6667 B6672:B6673 B6690:B6696 B6702:B6706 B6707:B6710 B6716:B6717 B6719:B6720 B6724:B6728 B6730:B6731 B6732:B6733 B6734:B6735 B6738:B6740 B6742:B6743 B6744:B6745 B6746:B6751 B6752:B6753 B6755:B6756 B6757:B6763 B6768:B6770 B6780:B6781 B6785:B6786 B6787:B6788 B6790:B6791 B6800:B6801 B6811:B6819 B6822:B6823 B6825:B6829 B6835:B6837 B6838:B6842 B6847:B6848 B6854:B6856 B6857:B6863 B6873:B6874 B6900:B6901 B6910:B6921 B6923:B6926 B6927:B6931 B6951:B6953 B6957:B6958 B6976:B6983 B6989:B6994 B6995:B6999 B7002:B7005 B7009:B7012 B7013:B7014 B7016:B7019 B7026:B7027 B7065:B7067 B7068:B7069 B7079:B7084 B7085:B7179 B7180:B7257 B7258:B7288 B7289:B7291 B7293:B7294 B7307:B7316 B7318:B7334 B7339:B7342 B7343:B7347 B7349:B7350 B7351:B7353 B7361:B7367 B7381:B7383 B7384:B7386 B7389:B7393 B7397:B7404 B7408:B7410 B7411:B7412 B7413:B7421 B7422:B7425 B7428:B7432 B7437:B7438 B7446:B7449">
      <formula1>"喜盈门,真北店,真北一店,同福店,城大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公司,美美家,兴力达,兴明店,尚品宅配,其他"</formula1>
    </dataValidation>
    <dataValidation type="list" allowBlank="1" showInputMessage="1" showErrorMessage="1" sqref="B3085 B3097 B3112 B3126 B3132 B3146 B3147 B3151 B3152 B3153 B3154 B3155 B3158 B3161 B3184 B3189 B3190 B3199 B3201 B3202 B3203 B3204 B3205 B3206 B3212 B3216 B3217 B3218 B3219 B3220 B3221 B3222 B3223 B3224 B3225 B3272 B3281 B3282 B3283 B3284 B3299 B3303 B3304 B3305 B3306 B3307 B3312 B3313 B3316 B3323 B3324 B3328 B3329 B3330 B3345 B3351 B3352 B3353 B3354 B3355 B3356 B3363 B3368 B3373 B3374 B3375 B3376 B3384 B3385 B3386 B3387 B3400 B3432 B3433 B3434 B3437 B3440 B3441 B3473 B3476 B3480 B3494 B3499 B3500 B3501 B3502 B3506 B3507 B3511 B3515 B3516 B3524 B3525 B3526 B3527 B3528 B3536 B3554 B3580 B3581 B3582 B3583 B3603 B3614 B3646 B3647 B3648 B3649 B3664 B3684 B3725 B3766 B3775 B3776 B3777 B3778 B3799 B3800 B3801 B3807 B3808 B3809 B3810 B3818 B3831 B3841 B3842 B3846 B3852 B3853 B3854 B3882 B3883 B3884 B3885 B3889 B3890 B3891 B3892 B3893 B3894 B3895 B3896 B3897 B3898 B3899 B3900 B3909 B3914 B3915 B3941 B3942 B3946 B3949 B3950 B3979 B3980 B3981 B3984 B3985 B3986 B3987 B3988 B3989 B3999 B4009 B4013 B4014 B4015 B4016 B4019 B4020 B4021 B4027 B4028 B4067 B4086 B4123 B4124 B4152 B4153 B4154 B4155 B4156 B4159 B4162 B4163 B4164 B4166 B4172 B4176 B4204 B4206 B4207 B4208 B4209 B4210 B4211 B4212 B4213 B4214 B4215 B4216 B4217 B4218 B4219 B4220 B4221 B4222 B4223 B4224 B4225 B4265 B4287 B4310 B4311 B4351 B4369 B4384 B4393 B4406 B4413 B4421 B4434 B4437 B4442 B4443 B4448 B4461 B4469 B4471 B4473 B4479 B4506 B4526 B4554 B4562 B4597 B4598 B4630 B4722 B4739 B4741 B4742 B4749 B4750 B4755 B4802 B4803 B4804 B4805 B4806 B4807 B4809 B4829 B4836 B4845 B4846 B4857 B4866 B4889 B4903 B4904 B4922 B4931 B4955 B4966 B4980 B4984 B4993 B5000 B5033 B5041 B5051 B5053 B5058 B5097 B5159 B5162 B5180 B5182 B5183 B5201 B5204 B5215 B5217 B5232 B5248 B5259 B5261 B5271 B5277 B5310 B5315 B5328 B5396 B5397 B5402 B5436 B5444 B5445 B5456 B5470 B5478 B5495 B5655 B5659 B5666 B5672 B5681 B5683 B5686 B5851 B5854 B5921 B5922 B5928 B6042 B6043 B6049 B6073 B6080 B6093 B6094 B6095 B6106 B6111 B6137 B6138 B6145 B6146 B6149 B6162 B6170 B6173 B6175 B6176 B6179 B6180 B6183 B6184 B6191 B6221 B6222 B6225 B6229 B6230 B6236 B6258 B6263 B6274 B6275 B6281 B6324 B6589 B6631 B6777 B6988 B7022 B8440 B8674 B8879 B9664 B3067:B3080 B3081:B3084 B3098:B3102 B3103:B3111 B3113:B3115 B3127:B3131 B3134:B3145 B3148:B3150 B3156:B3157 B3159:B3160 B3174:B3175 B3176:B3178 B3179:B3183 B3185:B3188 B3191:B3198 B3207:B3208 B3209:B3211 B3213:B3215 B3226:B3232 B3233:B3238 B3263:B3271 B3273:B3274 B3285:B3289 B3300:B3302 B3308:B3311 B3314:B3315 B3317:B3320 B3321:B3322 B3325:B3327 B3341:B3342 B3343:B3344 B3347:B3350 B3357:B3362 B3369:B3370 B3371:B3372 B3377:B3380 B3381:B3383 B3435:B3436 B3438:B3439 B3442:B3443 B3444:B3449 B3450:B3453 B3454:B3456 B3457:B3460 B3474:B3475 B3477:B3479 B3481:B3482 B3483:B3493 B3495:B3498 B3504:B3505 B3509:B3510 B3512:B3514 B3517:B3523 B3529:B3535 B3537:B3538 B3539:B3549 B3550:B3551 B3552:B3553 B3555:B3559 B3584:B3586 B3587:B3589 B3591:B3595 B3596:B3597 B3598:B3602 B3604:B3605 B3606:B3607 B3608:B3613 B3615:B3621 B3622:B3627 B3628:B3632 B3633:B3643 B3644:B3645 B3650:B3653 B3654:B3662 B3665:B3668 B3670:B3675 B3676:B3677 B3678:B3683 B3685:B3688 B3689:B3697 B3698:B3707 B3708:B3717 B3718:B3724 B3726:B3728 B3729:B3734 B3735:B3737 B3738:B3745 B3767:B3771 B3772:B3774 B3779:B3780 B3781:B3782 B3783:B3784 B3785:B3788 B3802:B3803 B3804:B3806 B3820:B3830 B3843:B3845 B3847:B3851 B3855:B3858 B3880:B3881 B3901:B3904 B3905:B3908 B3910:B3913 B3916:B3917 B3918:B3924 B3925:B3929 B3930:B3933 B3934:B3935 B3936:B3937 B3938:B3940 B3944:B3945 B3947:B3948 B3982:B3983 B3990:B3991 B3992:B3998 B4000:B4008 B4010:B4012 B4017:B4018 B4022:B4026 B4029:B4030 B4031:B4035 B4056:B4066 B4087:B4092 B4093:B4098 B4099:B4104 B4120:B4122 B4125:B4126 B4127:B4130 B4157:B4158 B4160:B4161 B4167:B4170 B4173:B4174 B4226:B4227 B4608:B4609 B4615:B4616 B4906:B4907 B5399:B5401 B5405:B5406 B5407:B5409 B5410:B5415 B5459:B5460 B6096:B6101 B6102:B6105 B6107:B6110 B6112:B6114 B6150:B6154 B6177:B6178 B6181:B6182 B6204:B6208 B6209:B6220 B6223:B6224 B6226:B6228 B6231:B6233 B6234:B6235 B6253:B6255 B6256:B6257 B6259:B6262 B6264:B6268 B6269:B6272 B6276:B6280 B6307:B6308">
      <formula1>"喜盈门,真北店,真北一店,真北二店,兴明店,汶水店,家饰佳,家饰佳一店,家饰佳二店,沪南店,金桥店,浦江店,吉盛伟邦,建配龙,同福店,好饰家,百安居徐泾店,百安居万达茂店,金山店,南汇店,奉贤店,百安居龙阳店,百安居沪太店,真北铝木店,百安居普陀店,松江店,百安居金桥店,百安居杨浦店,百安居闵行店,百安居莘庄店,百家宜,嘉定店,美美家,兴力达,城大店,其他"</formula1>
    </dataValidation>
    <dataValidation type="list" allowBlank="1" showInputMessage="1" showErrorMessage="1" sqref="F3866 F3867">
      <formula1>"主单,加项"</formula1>
    </dataValidation>
    <dataValidation type="list" allowBlank="1" showInputMessage="1" showErrorMessage="1" sqref="B10548 B10549 B10550 B10585 B10586 B10602 B10603 B10604 B10605 B10619 B10623 B10624 B10543:B10544 B10545:B10547 B10583:B10584 B10590:B10597 B10598:B10599 B10600:B10601 B10620:B10622 B10625:B10626 B10642:B10645">
      <formula1>"金盛店,喜盈门,真北店,真北一店,真北二店,汶水店,家饰佳,家饰佳一店,家饰佳二店,沪南店,金桥店,浦江店,吉盛伟邦,建配龙,同福店,好饰家,百安居徐泾店,百安居万达茂店,金山店,南汇店,奉贤店,百安居龙阳店,百安居沪太店,真北铝木店,百安居普陀店,松江店,百安居金桥店,百安居杨浦店,百安居闵行店,百安居莘庄店,尚品宅配,百家宜,嘉定店,美美家,兴力达,城大店,其他"</formula1>
    </dataValidation>
    <dataValidation type="list" allowBlank="1" showInputMessage="1" showErrorMessage="1" sqref="B7485 B7486 B7487 B7488 B7491 B7492 B7504 B7509 B7513 B7514 B7518 B7519 B7520 B7530 B7534 B7576 B7577 B7578 B7579 B7580 B7581 B7608 B7609 B7612 B7616 B7624 B7647 B7651 B7657 B7658 B7665 B7666 B7698 B7704 B7705 B7733 B7734 B7745 B7746 B7747 B7748 B7749 B7750 B7758 B7759 B7774 B7775 B7776 B7777 B7783 B7807 B7808 B7816 B7821 B7827 B7868 B7869 B7878 B7886 B7887 B7888 B7889 B7896 B7897 B7898 B7899 B7900 B7901 B7902 B7964 B8015 B8016 B8017 B8018 B8019 B8020 B8021 B8022 B8023 B8028 B8037 B8038 B8039 B8042 B8048 B8049 B8050 B8051 B8052 B8053 B8058 B8074 B8083 B8123 B8124 B8125 B8133 B8134 B8135 B8139 B8146 B8147 B8148 B8149 B8150 B8157 B8158 B8159 B8160 B8163 B8164 B8165 B8166 B8167 B8168 B8172 B8173 B8180 B8181 B8183 B8184 B8185 B8186 B8187 B8188 B8189 B8190 B8191 B8192 B8193 B8194 B8195 B8196 B8197 B8198 B8199 B8200 B8201 B8205 B8206 B8207 B8208 B8209 B8210 B8211 B8214 B8215 B8216 B8217 B8220 B8221 B8222 B8227 B8228 B8263 B8267 B8282 B8285 B8290 B8291 B8292 B8293 B8313 B8330 B8335 B8339 B8380 B8381 B8382 B8383 B8384 B8385 B8476 B8496 B8512 B8584 B8586 B8630 B8631 B8632 B8641 B8642 B8645 B8703 B8704 B8705 B8706 B8710 B8752 B8760 B8765 B8766 B8773 B8776 B8786 B8787 B8788 B8789 B8792 B8800 B8832 B8839 B8852 B8853 B8854 B8855 B8856 B8857 B8858 B8859 B8864 B8866 B8867 B8871 B8922 B8929 B8930 B8996 B9013 B9057 B9070 B9125 B9128 B9129 B9196 B9197 B9198 B9209 B9211 B9212 B9217 B9219 B9229 B9358 B9359 B9393 B9401 B9402 B9410 B9431 B9435 B9436 B9437 B9438 B9439 B9441 B9442 B9443 B9446 B9448 B9484 B9497 B9498 B9501 B9505 B9506 B9507 B9512 B9513 B9514 B9532 B9533 B9549 B9589 B9596 B9598 B9600 B9601 B9604 B9605 B9622 B9630 B9631 B9632 B9634 B9653 B9654 B9655 B9659 B9678 B9679 B9683 B9684 B9691 B9692 B9704 B9705 B9706 B9709 B9726 B9727 B9728 B9735 B9736 B9766 B9767 B9768 B9769 B9782 B9783 B9784 B9812 B9813 B9832 B9833 B9834 B9835 B9836 B9837 B9838 B9857 B9878 B9879 B9880 B9881 B9884 B9889 B9896 B9900 B9913 B9914 B9915 B9924 B9940 B9941 B9953 B9954 B9985 B9986 B9987 B9989 B10010 B10013 B10014 B10016 B10081 B10136 B10183 B7454:B7455 B7456:B7482 B7483:B7484 B7489:B7490 B7493:B7494 B7495:B7503 B7506:B7507 B7510:B7512 B7521:B7529 B7531:B7533 B7573:B7574 B7582:B7584 B7604:B7605 B7606:B7607 B7613:B7615 B7617:B7622 B7625:B7626 B7627:B7632 B7642:B7646 B7648:B7650 B7652:B7655 B7659:B7660 B7661:B7664 B7679:B7697 B7699:B7701 B7702:B7703 B7723:B7724 B7725:B7732 B7735:B7741 B7743:B7744 B7751:B7754 B7755:B7757 B7760:B7763 B7764:B7765 B7766:B7770 B7771:B7773 B7778:B7780 B7781:B7782 B7784:B7806 B7809:B7813 B7814:B7815 B7817:B7820 B7822:B7824 B7825:B7826 B7828:B7842 B7843:B7844 B7845:B7847 B7864:B7867 B7870:B7871 B7872:B7877 B7879:B7880 B7881:B7882 B7883:B7885 B7890:B7895 B7903:B7918 B7919:B7928 B7929:B7930 B7931:B7932 B7933:B7947 B7948:B7963 B7965:B7966 B7967:B7969 B7970:B7973 B7974:B7992 B7993:B7994 B7996:B8000 B8001:B8003 B8004:B8012 B8013:B8014 B8024:B8027 B8029:B8036 B8040:B8041 B8043:B8047 B8054:B8056 B8059:B8061 B8062:B8063 B8064:B8073 B8075:B8079 B8080:B8082 B8084:B8085 B8086:B8087 B8088:B8089 B8090:B8091 B8092:B8104 B8105:B8106 B8108:B8119 B8120:B8122 B8126:B8132 B8136:B8138 B8140:B8145 B8151:B8156 B8161:B8162 B8169:B8171 B8174:B8175 B8176:B8177 B8202:B8204 B8212:B8213 B8218:B8219 B8223:B8226 B8229:B8231 B8269:B8272 B8273:B8281 B8283:B8284 B8286:B8289 B8294:B8298 B8299:B8301 B8302:B8303 B8304:B8308 B8309:B8310 B8311:B8312 B8314:B8322 B8323:B8325 B8326:B8327 B8328:B8329 B8331:B8334 B8377:B8379 B8386:B8388 B8401:B8413 B8414:B8417 B8418:B8419 B8422:B8432 B8433:B8435 B8460:B8462 B8463:B8469 B8470:B8473 B8474:B8475 B8477:B8481 B8482:B8483 B8484:B8492 B8493:B8495 B8498:B8502 B8503:B8506 B8507:B8508 B8509:B8511 B8569:B8571 B8572:B8583 B8600:B8607 B8608:B8611 B8626:B8629 B8633:B8635 B8636:B8638 B8639:B8640 B8643:B8644 B8646:B8653 B8654:B8657 B8658:B8669 B8670:B8673 B8698:B8701 B8707:B8708 B8711:B8714 B8748:B8751 B8753:B8755 B8756:B8757 B8758:B8759 B8762:B8764 B8768:B8771 B8777:B8778 B8779:B8780 B8781:B8785 B8790:B8791 B8827:B8829 B8830:B8831 B8833:B8834 B8835:B8838 B8860:B8863 B8912:B8921 B8923:B8924 B8925:B8928 B8954:B8976 B8997:B9000 B9001:B9004 B9005:B9006 B9041:B9042 B9043:B9056 B9073:B9074 B9075:B9095 B9096:B9104 B9105:B9124 B9126:B9127 B9130:B9139 B9140:B9142 B9188:B9195 B9199:B9206 B9207:B9208 B9214:B9216 B9360:B9366 B9384:B9385 B9386:B9388 B9391:B9392 B9394:B9396 B9397:B9400 B9403:B9409 B9411:B9412 B9413:B9417 B9427:B9428 B9429:B9430 B9432:B9434 B9444:B9445 B9472:B9480 B9481:B9483 B9499:B9500 B9502:B9504 B9510:B9511 B9515:B9518 B9519:B9520 B9521:B9522 B9523:B9526 B9527:B9530 B9534:B9536 B9537:B9547 B9550:B9555 B9579:B9582 B9583:B9588 B9590:B9591 B9592:B9593 B9594:B9595 B9602:B9603 B9606:B9607 B9623:B9624 B9626:B9627 B9628:B9629 B9651:B9652 B9656:B9657 B9661:B9662 B9681:B9682 B9686:B9690 B9693:B9695 B9696:B9703 B9707:B9708 B9710:B9712 B9729:B9734 B9737:B9744 B9746:B9754 B9763:B9765 B9770:B9781 B9785:B9787 B9788:B9811 B9814:B9819 B9820:B9826 B9827:B9831 B9864:B9873 B9875:B9877 B9882:B9883 B9885:B9888 B9890:B9893 B9894:B9895 B9918:B9919 B9920:B9923 B9925:B9929 B9936:B9939 B9942:B9945 B9947:B9952">
      <formula1>"喜盈门,真北店,真北一店,真北二店,兴明店,汶水店,家饰佳,家饰佳一店,家饰佳二店,沪南店,金盛店,金桥店,浦江店,吉盛伟邦,建配龙,同福店,好饰家,百安居徐泾店,百安居万达茂店,金山店,南汇店,奉贤店,百安居龙阳店,百安居沪太店,真北铝木店,百安居普陀店,松江店,百安居金桥店,百安居杨浦店,百安居闵行店,百安居莘庄店,百家宜,嘉定店,美美家,兴力达,城大店,其他"</formula1>
    </dataValidation>
    <dataValidation type="list" allowBlank="1" showInputMessage="1" showErrorMessage="1" sqref="B7611 B9988 B9990 B10011 B10012 B10015 B10017 B10018 B10019 B10020 B10024 B10025 B10026 B10029 B10030 B10031 B10032 B10033 B10034 B10035 B10036 B10037 B10038 B10039 B10055 B10059 B10062 B10063 B10064 B10067 B10069 B10070 B10071 B10072 B10073 B10107 B10121 B10124 B10125 B10126 B10156 B10173 B10174 B10175 B10176 B10177 B10178 B10179 B10180 B10194 B10195 B10220 B10223 B10224 B10225 B10226 B10230 B10231 B10284 B10285 B10299 B10344 B10345 B10358 B9979:B9980 B9981:B9984 B10021:B10023 B10027:B10028 B10040:B10047 B10048:B10054 B10056:B10058 B10060:B10061 B10065:B10066 B10074:B10075 B10104:B10106 B10108:B10109 B10110:B10115 B10116:B10118 B10119:B10120 B10122:B10123 B10139:B10145 B10154:B10155 B10157:B10159 B10170:B10172 B10196:B10197 B10199:B10201 B10202:B10204 B10205:B10207 B10208:B10209 B10210:B10211 B10221:B10222 B10228:B10229 B10243:B10248 B10249:B10250 B10251:B10263 B10286:B10289 B10290:B10292 B10293:B10294 B10295:B10296 B10350:B10352 B10354:B10355">
      <formula1>"喜盈门,真北店,真北一店,真北二店,尚品宅配,兴明店,汶水店,家饰佳,家饰佳一店,家饰佳二店,沪南店,金盛店,金桥店,浦江店,吉盛伟邦,建配龙,同福店,好饰家,百安居徐泾店,百安居万达茂店,金山店,南汇店,奉贤店,百安居龙阳店,百安居沪太店,真北铝木店,百安居普陀店,松江店,百安居金桥店,百安居杨浦店,百安居闵行店,百安居莘庄店,美千居,百家宜,嘉定店,美美家,兴力达,城大店,其他"</formula1>
    </dataValidation>
    <dataValidation type="list" allowBlank="1" showInputMessage="1" showErrorMessage="1" sqref="B10353 B10627 B10316:B10343 B10346:B10349 B10359:B10360">
      <formula1>"喜盈门,真北店,真北一店,真北二店,尚品宅配,兴明店,汶水店,家饰佳,家饰佳一店,家饰佳二店,沪南店,金盛店,金桥店,浦江店,吉盛伟邦,建配龙,同福店,好饰家,百安居徐泾店,百安居万达茂店,金山店,南汇店,奉贤店,百安居龙阳店,百安居沪太店,真北铝木店,百安居普陀店,松江店,百安居金桥店,百安居杨浦店,百安居闵行店,百安居莘庄店,喜盈门/金桥店,美千居,百家宜,嘉定店,美美家,兴力达,城大店,其他"</formula1>
    </dataValidation>
    <dataValidation type="list" allowBlank="1" showInputMessage="1" showErrorMessage="1" sqref="B10535:B10542">
      <formula1>"金盛店,喜盈门,真北店,真北一店,真北二店,汶水店,家饰佳,家饰佳一店,家饰佳二店,沪南店,金桥店,浦江店,吉盛伟邦,建配龙,同福店,好饰家,百安居徐泾店,百安居万达茂店,金山店,南汇店,奉贤店,百安居龙阳店,百安居沪太店,真北铝木店,百安居普陀店,松江店,百安居金桥店,百安居杨浦店,百安居闵行店,百安居莘庄店,尚品宅配,百家宜,泗泾店,嘉定店,美美家,兴力达,城大店,其他"</formula1>
    </dataValidation>
    <dataValidation type="list" allowBlank="1" showInputMessage="1" showErrorMessage="1" sqref="B10443 B10476 B10477 B10480 B10481 B10486 B10492 B10502 B10504 B10505 B10506 B10551 B10568 B10569 B10570 B10571 B10580 B10581 B10582 B10608 B10613 B10635 B10438:B10441 B10446:B10447 B10478:B10479 B10482:B10483 B10484:B10485 B10487:B10489 B10490:B10491 B10508:B10510">
      <formula1>"喜盈门,真北店,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同福店,美美家,兴力达,兴明店,尚品宅配,其他"</formula1>
    </dataValidation>
    <dataValidation type="list" allowBlank="1" showInputMessage="1" showErrorMessage="1" sqref="B10552 B10554 B10557 B10558 B10559 B10560 B10561 B10564 B10565 B10566 B10567 B10555:B10556 B10562:B10563">
      <formula1>"喜盈门,真北店,真北一店,城大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同福店,美美家,兴力达,兴明店,尚品宅配,其他"</formula1>
    </dataValidation>
    <dataValidation type="list" allowBlank="1" showInputMessage="1" showErrorMessage="1" sqref="B10553 B10574 B10575 B10576 B10577 B10578 B10579">
      <formula1>"金盛店,城大店,喜盈门,真北店,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同福店,美美家,兴力达,兴明店,尚品宅配,其他"</formula1>
    </dataValidation>
    <dataValidation type="list" allowBlank="1" showInputMessage="1" showErrorMessage="1" sqref="B10589 B10511:B10527 B10528:B10534">
      <formula1>"喜盈门,真北店,真北一店,真北二店,汶水店,家饰佳,家饰佳一店,家饰佳二店,沪南店,金桥店,浦江店,吉盛伟邦,建配龙,同福店,好饰家,百安居徐泾店,百安居万达茂店,金山店,南汇店,奉贤店,百安居龙阳店,百安居沪太店,真北铝木店,百安居普陀店,松江店,百安居金桥店,百安居杨浦店,百安居闵行店,百安居莘庄店,尚品宅配,百家宜,泗泾店,嘉定店,美美家,兴力达,城大店,其他"</formula1>
    </dataValidation>
    <dataValidation type="list" allowBlank="1" showInputMessage="1" showErrorMessage="1" sqref="B10587 B10588 B10606 B10607 B10612 B10616 B10617 B10618 B10628 B10629 B10630 B10631 B10634 B10637 B10646 B10649 B10653 B10609:B10611 B10614:B10615 B10650:B10652">
      <formula1>"金盛店,喜盈门,真北店,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同福店,美美家,兴力达,兴明店,尚品宅配,其他"</formula1>
    </dataValidation>
    <dataValidation type="list" allowBlank="1" showInputMessage="1" showErrorMessage="1" sqref="B10572 B10573 B10638">
      <formula1>"城大店,喜盈门,真北店,真北一店,真北二店,汶水店,家饰佳,家饰佳一店,家饰佳二店,沪南店,金桥店,浦江店,吉盛伟邦,百安居普陀店,金山店,南汇店,松江店,百安居龙阳店,百安居沪太店,百安居金桥店,百安居杨浦店,百安居万达茂店,建配龙,铝木店,生活家,百家宜,好饰家,百安居徐泾店,百安居闵行店,奉贤店,嘉定店,同福店,美美家,兴力达,兴明店,尚品宅配,其他"</formula1>
    </dataValidation>
    <dataValidation type="list" allowBlank="1" showInputMessage="1" showErrorMessage="1" sqref="B10661 B10662 B10663 B10654:B10659">
      <formula1>"金盛店,喜盈门,真北店,真北一店,真北二店,汶水店,家饰佳,家饰佳一店,家饰佳二店,沪南店,金桥店,浦江店,吉盛伟邦,建配龙,同福店,好饰家,百安居徐泾店,百安居万达茂店,金山店,南汇店,奉贤店,百安居龙阳店,百安居沪太店,真北铝木店,百安居普陀店,松江店,百安居金桥店,百安居杨浦店,百安居闵行店,百安居莘庄店,尚品宅配,百家宜,嘉定店,美美家,兴力达,城大店,其他"</formula1>
    </dataValidation>
  </dataValidation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32"/>
  <sheetViews>
    <sheetView topLeftCell="A49" workbookViewId="0">
      <selection activeCell="I76" sqref="I76"/>
    </sheetView>
  </sheetViews>
  <sheetFormatPr defaultColWidth="9" defaultRowHeight="13.5"/>
  <cols>
    <col min="1" max="1" width="10.125" style="42" customWidth="1"/>
    <col min="2" max="2" width="9.5" style="42" customWidth="1"/>
    <col min="3" max="3" width="14.625" style="42" customWidth="1"/>
    <col min="4" max="4" width="14.125" style="42" customWidth="1"/>
    <col min="5" max="5" width="21.5" style="42" customWidth="1"/>
    <col min="6" max="6" width="9" style="42"/>
    <col min="7" max="7" width="9.875" style="42" customWidth="1"/>
    <col min="8" max="8" width="9" style="42"/>
    <col min="9" max="9" width="13.375" style="42" customWidth="1"/>
    <col min="10" max="10" width="17" style="42" customWidth="1"/>
    <col min="11" max="11" width="21.75" style="42" customWidth="1"/>
    <col min="12" max="12" width="7.25" style="42" customWidth="1"/>
    <col min="13" max="13" width="13.625" style="42" customWidth="1"/>
    <col min="14" max="14" width="9.375" style="42" customWidth="1"/>
    <col min="15" max="15" width="12.625" style="42" customWidth="1"/>
    <col min="16" max="16" width="14.875" style="42" customWidth="1"/>
    <col min="17" max="17" width="21.375" style="42" customWidth="1"/>
    <col min="18" max="16384" width="9" style="42"/>
  </cols>
  <sheetData>
    <row r="1" spans="1:17">
      <c r="A1" s="65" t="s">
        <v>21290</v>
      </c>
      <c r="B1" s="66"/>
      <c r="C1" s="66"/>
      <c r="D1" s="66"/>
      <c r="E1" s="67"/>
      <c r="G1" s="65" t="s">
        <v>21291</v>
      </c>
      <c r="H1" s="66"/>
      <c r="I1" s="66"/>
      <c r="J1" s="66"/>
      <c r="K1" s="67"/>
      <c r="M1" s="65" t="s">
        <v>21292</v>
      </c>
      <c r="N1" s="66"/>
      <c r="O1" s="66"/>
      <c r="P1" s="66"/>
      <c r="Q1" s="67"/>
    </row>
    <row r="2" spans="1:17">
      <c r="A2" s="80" t="s">
        <v>21234</v>
      </c>
      <c r="B2" s="80">
        <f>SUM(B4:B43)</f>
        <v>117</v>
      </c>
      <c r="C2" s="80">
        <f>SUM(C4:C43)</f>
        <v>1838778.27</v>
      </c>
      <c r="D2" s="81">
        <f>C2/B2</f>
        <v>15716.0535897436</v>
      </c>
      <c r="E2" s="81"/>
      <c r="G2" s="80" t="s">
        <v>21234</v>
      </c>
      <c r="H2" s="80">
        <f>SUM(H4:H43)</f>
        <v>162</v>
      </c>
      <c r="I2" s="80">
        <f>SUM(I4:I43)</f>
        <v>2120107</v>
      </c>
      <c r="J2" s="81">
        <f>I2/H2</f>
        <v>13087.0802469136</v>
      </c>
      <c r="K2" s="81"/>
      <c r="M2" s="80" t="s">
        <v>21234</v>
      </c>
      <c r="N2" s="80">
        <f>SUM(N4:N43)</f>
        <v>169</v>
      </c>
      <c r="O2" s="80">
        <f>SUM(O4:O43)</f>
        <v>2740310.8</v>
      </c>
      <c r="P2" s="81">
        <f>O2/N2</f>
        <v>16214.8568047337</v>
      </c>
      <c r="Q2" s="81"/>
    </row>
    <row r="3" spans="1:17">
      <c r="A3" s="69" t="s">
        <v>30</v>
      </c>
      <c r="B3" s="70" t="s">
        <v>21258</v>
      </c>
      <c r="C3" s="70" t="s">
        <v>10</v>
      </c>
      <c r="D3" s="70" t="s">
        <v>21242</v>
      </c>
      <c r="E3" s="72" t="s">
        <v>21243</v>
      </c>
      <c r="G3" s="69" t="s">
        <v>30</v>
      </c>
      <c r="H3" s="70" t="s">
        <v>21258</v>
      </c>
      <c r="I3" s="70" t="s">
        <v>10</v>
      </c>
      <c r="J3" s="70" t="s">
        <v>21242</v>
      </c>
      <c r="K3" s="72" t="s">
        <v>21243</v>
      </c>
      <c r="M3" s="69" t="s">
        <v>30</v>
      </c>
      <c r="N3" s="70" t="s">
        <v>21258</v>
      </c>
      <c r="O3" s="70" t="s">
        <v>10</v>
      </c>
      <c r="P3" s="70" t="s">
        <v>21242</v>
      </c>
      <c r="Q3" s="72" t="s">
        <v>21243</v>
      </c>
    </row>
    <row r="4" spans="1:17">
      <c r="A4" s="73" t="s">
        <v>143</v>
      </c>
      <c r="B4" s="74">
        <f>COUNTIFS(总表!D:D,A4,总表!L:L,"&lt;&gt;",总表!G:G,"&gt;=2019/7/1",总表!G:G,"&lt;=2019/7/7")</f>
        <v>2</v>
      </c>
      <c r="C4" s="74">
        <f>SUMIFS(总表!N:N,总表!D:D,A4,总表!G:G,"&gt;=2019/7/1",总表!G:G,"&lt;=2019/7/7")</f>
        <v>268765</v>
      </c>
      <c r="D4" s="75">
        <f t="shared" ref="D4:D36" si="0">C4/B4</f>
        <v>134382.5</v>
      </c>
      <c r="E4" s="82" t="str">
        <f>VLOOKUP(A4,设计师对应店铺!A:B,COLUMN(设计师对应店铺!B:B)-COLUMN(设计师对应店铺!A:B)+1,0)</f>
        <v>沪南店店长</v>
      </c>
      <c r="G4" s="73" t="s">
        <v>356</v>
      </c>
      <c r="H4" s="74">
        <f>COUNTIFS(总表!D:D,G4,总表!L:L,"&lt;&gt;",总表!G:G,"&gt;=2019/7/8",总表!G:G,"&lt;=2019/7/14")</f>
        <v>11</v>
      </c>
      <c r="I4" s="74">
        <f>SUMIFS(总表!N:N,总表!D:D,G4,总表!G:G,"&gt;=2019/7/8",总表!G:G,"&lt;=2019/7/14")</f>
        <v>173732</v>
      </c>
      <c r="J4" s="75">
        <f t="shared" ref="J4:J33" si="1">I4/H4</f>
        <v>15793.8181818182</v>
      </c>
      <c r="K4" s="82" t="str">
        <f>VLOOKUP(G4,设计师对应店铺!A:B,COLUMN(设计师对应店铺!B:B)-COLUMN(设计师对应店铺!A:B)+1,0)</f>
        <v>百安居</v>
      </c>
      <c r="M4" s="73" t="s">
        <v>717</v>
      </c>
      <c r="N4" s="74">
        <f>COUNTIFS(总表!D:D,M4,总表!L:L,"&lt;&gt;",总表!G:G,"&gt;=2019/7/15",总表!G:G,"&lt;=2019/7/21")</f>
        <v>5</v>
      </c>
      <c r="O4" s="74">
        <f>SUMIFS(总表!N:N,总表!D:D,M4,总表!G:G,"&gt;=2019/7/15",总表!G:G,"&lt;=2019/7/21")</f>
        <v>205410</v>
      </c>
      <c r="P4" s="75">
        <f t="shared" ref="P4:P19" si="2">O4/N4</f>
        <v>41082</v>
      </c>
      <c r="Q4" s="82">
        <f>VLOOKUP(M4,设计师对应店铺!A:B,COLUMN(设计师对应店铺!B:B)-COLUMN(设计师对应店铺!A:B)+1,0)</f>
        <v>0</v>
      </c>
    </row>
    <row r="5" spans="1:17">
      <c r="A5" s="77" t="s">
        <v>125</v>
      </c>
      <c r="B5" s="70">
        <f>COUNTIFS(总表!D:D,A5,总表!L:L,"&lt;&gt;",总表!G:G,"&gt;=2019/7/1",总表!G:G,"&lt;=2019/7/7")</f>
        <v>8</v>
      </c>
      <c r="C5" s="70">
        <f>SUMIFS(总表!N:N,总表!D:D,A5,总表!G:G,"&gt;=2019/7/1",总表!G:G,"&lt;=2019/7/7")</f>
        <v>118207</v>
      </c>
      <c r="D5" s="71">
        <f t="shared" si="0"/>
        <v>14775.875</v>
      </c>
      <c r="E5" s="83" t="str">
        <f>VLOOKUP(A5,设计师对应店铺!A:B,COLUMN(设计师对应店铺!B:B)-COLUMN(设计师对应店铺!A:B)+1,0)</f>
        <v>同福店店长</v>
      </c>
      <c r="G5" s="77" t="s">
        <v>49</v>
      </c>
      <c r="H5" s="70">
        <f>COUNTIFS(总表!D:D,G5,总表!L:L,"&lt;&gt;",总表!G:G,"&gt;=2019/7/8",总表!G:G,"&lt;=2019/7/14")</f>
        <v>14</v>
      </c>
      <c r="I5" s="70">
        <f>SUMIFS(总表!N:N,总表!D:D,G5,总表!G:G,"&gt;=2019/7/8",总表!G:G,"&lt;=2019/7/14")</f>
        <v>167975</v>
      </c>
      <c r="J5" s="71">
        <f t="shared" si="1"/>
        <v>11998.2142857143</v>
      </c>
      <c r="K5" s="83" t="str">
        <f>VLOOKUP(G5,设计师对应店铺!A:B,COLUMN(设计师对应店铺!B:B)-COLUMN(设计师对应店铺!A:B)+1,0)</f>
        <v>奉贤、金山、南汇、松江</v>
      </c>
      <c r="M5" s="77" t="s">
        <v>37</v>
      </c>
      <c r="N5" s="70">
        <f>COUNTIFS(总表!D:D,M5,总表!L:L,"&lt;&gt;",总表!G:G,"&gt;=2019/7/15",总表!G:G,"&lt;=2019/7/21")</f>
        <v>13</v>
      </c>
      <c r="O5" s="70">
        <f>SUMIFS(总表!N:N,总表!D:D,M5,总表!G:G,"&gt;=2019/7/15",总表!G:G,"&lt;=2019/7/21")</f>
        <v>186207</v>
      </c>
      <c r="P5" s="71">
        <f t="shared" si="2"/>
        <v>14323.6153846154</v>
      </c>
      <c r="Q5" s="83" t="str">
        <f>VLOOKUP(M5,设计师对应店铺!A:B,COLUMN(设计师对应店铺!B:B)-COLUMN(设计师对应店铺!A:B)+1,0)</f>
        <v>浦江店</v>
      </c>
    </row>
    <row r="6" spans="1:17">
      <c r="A6" s="73" t="s">
        <v>75</v>
      </c>
      <c r="B6" s="74">
        <f>COUNTIFS(总表!D:D,A6,总表!L:L,"&lt;&gt;",总表!G:G,"&gt;=2019/7/1",总表!G:G,"&lt;=2019/7/7")</f>
        <v>4</v>
      </c>
      <c r="C6" s="74">
        <f>SUMIFS(总表!N:N,总表!D:D,A6,总表!G:G,"&gt;=2019/7/1",总表!G:G,"&lt;=2019/7/7")</f>
        <v>113819</v>
      </c>
      <c r="D6" s="75">
        <f t="shared" si="0"/>
        <v>28454.75</v>
      </c>
      <c r="E6" s="82" t="str">
        <f>VLOOKUP(A6,设计师对应店铺!A:B,COLUMN(设计师对应店铺!B:B)-COLUMN(设计师对应店铺!A:B)+1,0)</f>
        <v>宜山经理</v>
      </c>
      <c r="G6" s="73" t="s">
        <v>343</v>
      </c>
      <c r="H6" s="74">
        <f>COUNTIFS(总表!D:D,G6,总表!L:L,"&lt;&gt;",总表!G:G,"&gt;=2019/7/8",总表!G:G,"&lt;=2019/7/14")</f>
        <v>4</v>
      </c>
      <c r="I6" s="74">
        <f>SUMIFS(总表!N:N,总表!D:D,G6,总表!G:G,"&gt;=2019/7/8",总表!G:G,"&lt;=2019/7/14")</f>
        <v>126891</v>
      </c>
      <c r="J6" s="75">
        <f t="shared" si="1"/>
        <v>31722.75</v>
      </c>
      <c r="K6" s="82" t="str">
        <f>VLOOKUP(G6,设计师对应店铺!A:B,COLUMN(设计师对应店铺!B:B)-COLUMN(设计师对应店铺!A:B)+1,0)</f>
        <v>喜盈门</v>
      </c>
      <c r="M6" s="73" t="s">
        <v>132</v>
      </c>
      <c r="N6" s="74">
        <f>COUNTIFS(总表!D:D,M6,总表!L:L,"&lt;&gt;",总表!G:G,"&gt;=2019/7/15",总表!G:G,"&lt;=2019/7/21")</f>
        <v>9</v>
      </c>
      <c r="O6" s="74">
        <f>SUMIFS(总表!N:N,总表!D:D,M6,总表!G:G,"&gt;=2019/7/15",总表!G:G,"&lt;=2019/7/21")</f>
        <v>157010</v>
      </c>
      <c r="P6" s="75">
        <f t="shared" si="2"/>
        <v>17445.5555555556</v>
      </c>
      <c r="Q6" s="82" t="str">
        <f>VLOOKUP(M6,设计师对应店铺!A:B,COLUMN(设计师对应店铺!B:B)-COLUMN(设计师对应店铺!A:B)+1,0)</f>
        <v>真北店</v>
      </c>
    </row>
    <row r="7" spans="1:17">
      <c r="A7" s="77" t="s">
        <v>139</v>
      </c>
      <c r="B7" s="70">
        <f>COUNTIFS(总表!D:D,A7,总表!L:L,"&lt;&gt;",总表!G:G,"&gt;=2019/7/1",总表!G:G,"&lt;=2019/7/7")</f>
        <v>8</v>
      </c>
      <c r="C7" s="70">
        <f>SUMIFS(总表!N:N,总表!D:D,A7,总表!G:G,"&gt;=2019/7/1",总表!G:G,"&lt;=2019/7/7")</f>
        <v>106587</v>
      </c>
      <c r="D7" s="71">
        <f t="shared" si="0"/>
        <v>13323.375</v>
      </c>
      <c r="E7" s="83" t="str">
        <f>VLOOKUP(A7,设计师对应店铺!A:B,COLUMN(设计师对应店铺!B:B)-COLUMN(设计师对应店铺!A:B)+1,0)</f>
        <v>家饰佳</v>
      </c>
      <c r="G7" s="77" t="s">
        <v>155</v>
      </c>
      <c r="H7" s="70">
        <f>COUNTIFS(总表!D:D,G7,总表!L:L,"&lt;&gt;",总表!G:G,"&gt;=2019/7/8",总表!G:G,"&lt;=2019/7/14")</f>
        <v>6</v>
      </c>
      <c r="I7" s="70">
        <f>SUMIFS(总表!N:N,总表!D:D,G7,总表!G:G,"&gt;=2019/7/8",总表!G:G,"&lt;=2019/7/14")</f>
        <v>118225</v>
      </c>
      <c r="J7" s="71">
        <f t="shared" si="1"/>
        <v>19704.1666666667</v>
      </c>
      <c r="K7" s="83" t="str">
        <f>VLOOKUP(G7,设计师对应店铺!A:B,COLUMN(设计师对应店铺!B:B)-COLUMN(设计师对应店铺!A:B)+1,0)</f>
        <v>好饰家</v>
      </c>
      <c r="M7" s="77" t="s">
        <v>427</v>
      </c>
      <c r="N7" s="70">
        <f>COUNTIFS(总表!D:D,M7,总表!L:L,"&lt;&gt;",总表!G:G,"&gt;=2019/7/15",总表!G:G,"&lt;=2019/7/21")</f>
        <v>5</v>
      </c>
      <c r="O7" s="70">
        <f>SUMIFS(总表!N:N,总表!D:D,M7,总表!G:G,"&gt;=2019/7/15",总表!G:G,"&lt;=2019/7/21")</f>
        <v>155692</v>
      </c>
      <c r="P7" s="71">
        <f t="shared" si="2"/>
        <v>31138.4</v>
      </c>
      <c r="Q7" s="83" t="str">
        <f>VLOOKUP(M7,设计师对应店铺!A:B,COLUMN(设计师对应店铺!B:B)-COLUMN(设计师对应店铺!A:B)+1,0)</f>
        <v>百家宜</v>
      </c>
    </row>
    <row r="8" spans="1:17">
      <c r="A8" s="73" t="s">
        <v>89</v>
      </c>
      <c r="B8" s="74">
        <f>COUNTIFS(总表!D:D,A8,总表!L:L,"&lt;&gt;",总表!G:G,"&gt;=2019/7/1",总表!G:G,"&lt;=2019/7/7")</f>
        <v>9</v>
      </c>
      <c r="C8" s="74">
        <f>SUMIFS(总表!N:N,总表!D:D,A8,总表!G:G,"&gt;=2019/7/1",总表!G:G,"&lt;=2019/7/7")</f>
        <v>99834</v>
      </c>
      <c r="D8" s="75">
        <f t="shared" si="0"/>
        <v>11092.6666666667</v>
      </c>
      <c r="E8" s="82" t="str">
        <f>VLOOKUP(A8,设计师对应店铺!A:B,COLUMN(设计师对应店铺!B:B)-COLUMN(设计师对应店铺!A:B)+1,0)</f>
        <v>吉盛伟邦</v>
      </c>
      <c r="G8" s="73" t="s">
        <v>60</v>
      </c>
      <c r="H8" s="74">
        <f>COUNTIFS(总表!D:D,G8,总表!L:L,"&lt;&gt;",总表!G:G,"&gt;=2019/7/8",总表!G:G,"&lt;=2019/7/14")</f>
        <v>9</v>
      </c>
      <c r="I8" s="74">
        <f>SUMIFS(总表!N:N,总表!D:D,G8,总表!G:G,"&gt;=2019/7/8",总表!G:G,"&lt;=2019/7/14")</f>
        <v>117091</v>
      </c>
      <c r="J8" s="75">
        <f t="shared" si="1"/>
        <v>13010.1111111111</v>
      </c>
      <c r="K8" s="82" t="str">
        <f>VLOOKUP(G8,设计师对应店铺!A:B,COLUMN(设计师对应店铺!B:B)-COLUMN(设计师对应店铺!A:B)+1,0)</f>
        <v>家饰佳</v>
      </c>
      <c r="M8" s="73" t="s">
        <v>343</v>
      </c>
      <c r="N8" s="74">
        <f>COUNTIFS(总表!D:D,M8,总表!L:L,"&lt;&gt;",总表!G:G,"&gt;=2019/7/15",总表!G:G,"&lt;=2019/7/21")</f>
        <v>8</v>
      </c>
      <c r="O8" s="74">
        <f>SUMIFS(总表!N:N,总表!D:D,M8,总表!G:G,"&gt;=2019/7/15",总表!G:G,"&lt;=2019/7/21")</f>
        <v>154360</v>
      </c>
      <c r="P8" s="75">
        <f t="shared" si="2"/>
        <v>19295</v>
      </c>
      <c r="Q8" s="82" t="str">
        <f>VLOOKUP(M8,设计师对应店铺!A:B,COLUMN(设计师对应店铺!B:B)-COLUMN(设计师对应店铺!A:B)+1,0)</f>
        <v>喜盈门</v>
      </c>
    </row>
    <row r="9" spans="1:17">
      <c r="A9" s="77" t="s">
        <v>717</v>
      </c>
      <c r="B9" s="70">
        <f>COUNTIFS(总表!D:D,A9,总表!L:L,"&lt;&gt;",总表!G:G,"&gt;=2019/7/1",总表!G:G,"&lt;=2019/7/7")</f>
        <v>2</v>
      </c>
      <c r="C9" s="70">
        <f>SUMIFS(总表!N:N,总表!D:D,A9,总表!G:G,"&gt;=2019/7/1",总表!G:G,"&lt;=2019/7/7")</f>
        <v>109115</v>
      </c>
      <c r="D9" s="71">
        <f t="shared" si="0"/>
        <v>54557.5</v>
      </c>
      <c r="E9" s="83">
        <f>VLOOKUP(A9,设计师对应店铺!A:B,COLUMN(设计师对应店铺!B:B)-COLUMN(设计师对应店铺!A:B)+1,0)</f>
        <v>0</v>
      </c>
      <c r="G9" s="77" t="s">
        <v>187</v>
      </c>
      <c r="H9" s="70">
        <f>COUNTIFS(总表!D:D,G9,总表!L:L,"&lt;&gt;",总表!G:G,"&gt;=2019/7/8",总表!G:G,"&lt;=2019/7/14")</f>
        <v>7</v>
      </c>
      <c r="I9" s="70">
        <f>SUMIFS(总表!N:N,总表!D:D,G9,总表!G:G,"&gt;=2019/7/8",总表!G:G,"&lt;=2019/7/14")</f>
        <v>113857</v>
      </c>
      <c r="J9" s="71">
        <f t="shared" si="1"/>
        <v>16265.2857142857</v>
      </c>
      <c r="K9" s="83" t="str">
        <f>VLOOKUP(G9,设计师对应店铺!A:B,COLUMN(设计师对应店铺!B:B)-COLUMN(设计师对应店铺!A:B)+1,0)</f>
        <v>百家宜</v>
      </c>
      <c r="M9" s="77" t="s">
        <v>139</v>
      </c>
      <c r="N9" s="70">
        <f>COUNTIFS(总表!D:D,M9,总表!L:L,"&lt;&gt;",总表!G:G,"&gt;=2019/7/15",总表!G:G,"&lt;=2019/7/21")</f>
        <v>11</v>
      </c>
      <c r="O9" s="70">
        <f>SUMIFS(总表!N:N,总表!D:D,M9,总表!G:G,"&gt;=2019/7/15",总表!G:G,"&lt;=2019/7/21")</f>
        <v>131480</v>
      </c>
      <c r="P9" s="71">
        <f t="shared" si="2"/>
        <v>11952.7272727273</v>
      </c>
      <c r="Q9" s="83" t="str">
        <f>VLOOKUP(M9,设计师对应店铺!A:B,COLUMN(设计师对应店铺!B:B)-COLUMN(设计师对应店铺!A:B)+1,0)</f>
        <v>家饰佳</v>
      </c>
    </row>
    <row r="10" spans="1:17">
      <c r="A10" s="73" t="s">
        <v>68</v>
      </c>
      <c r="B10" s="74">
        <f>COUNTIFS(总表!D:D,A10,总表!L:L,"&lt;&gt;",总表!G:G,"&gt;=2019/7/1",总表!G:G,"&lt;=2019/7/7")</f>
        <v>9</v>
      </c>
      <c r="C10" s="74">
        <f>SUMIFS(总表!N:N,总表!D:D,A10,总表!G:G,"&gt;=2019/7/1",总表!G:G,"&lt;=2019/7/7")</f>
        <v>85247.27</v>
      </c>
      <c r="D10" s="75">
        <f t="shared" si="0"/>
        <v>9471.91888888889</v>
      </c>
      <c r="E10" s="82" t="str">
        <f>VLOOKUP(A10,设计师对应店铺!A:B,COLUMN(设计师对应店铺!B:B)-COLUMN(设计师对应店铺!A:B)+1,0)</f>
        <v>沪南店</v>
      </c>
      <c r="G10" s="73" t="s">
        <v>68</v>
      </c>
      <c r="H10" s="74">
        <f>COUNTIFS(总表!D:D,G10,总表!L:L,"&lt;&gt;",总表!G:G,"&gt;=2019/7/8",总表!G:G,"&lt;=2019/7/14")</f>
        <v>11</v>
      </c>
      <c r="I10" s="74">
        <f>SUMIFS(总表!N:N,总表!D:D,G10,总表!G:G,"&gt;=2019/7/8",总表!G:G,"&lt;=2019/7/14")</f>
        <v>112384</v>
      </c>
      <c r="J10" s="75">
        <f t="shared" si="1"/>
        <v>10216.7272727273</v>
      </c>
      <c r="K10" s="82" t="str">
        <f>VLOOKUP(G10,设计师对应店铺!A:B,COLUMN(设计师对应店铺!B:B)-COLUMN(设计师对应店铺!A:B)+1,0)</f>
        <v>沪南店</v>
      </c>
      <c r="M10" s="73" t="s">
        <v>68</v>
      </c>
      <c r="N10" s="74">
        <f>COUNTIFS(总表!D:D,M10,总表!L:L,"&lt;&gt;",总表!G:G,"&gt;=2019/7/15",总表!G:G,"&lt;=2019/7/21")</f>
        <v>10</v>
      </c>
      <c r="O10" s="74">
        <f>SUMIFS(总表!N:N,总表!D:D,M10,总表!G:G,"&gt;=2019/7/15",总表!G:G,"&lt;=2019/7/21")</f>
        <v>131191</v>
      </c>
      <c r="P10" s="75">
        <f t="shared" si="2"/>
        <v>13119.1</v>
      </c>
      <c r="Q10" s="82" t="str">
        <f>VLOOKUP(M10,设计师对应店铺!A:B,COLUMN(设计师对应店铺!B:B)-COLUMN(设计师对应店铺!A:B)+1,0)</f>
        <v>沪南店</v>
      </c>
    </row>
    <row r="11" spans="1:17">
      <c r="A11" s="77" t="s">
        <v>187</v>
      </c>
      <c r="B11" s="70">
        <f>COUNTIFS(总表!D:D,A11,总表!L:L,"&lt;&gt;",总表!G:G,"&gt;=2019/7/1",总表!G:G,"&lt;=2019/7/7")</f>
        <v>2</v>
      </c>
      <c r="C11" s="70">
        <f>SUMIFS(总表!N:N,总表!D:D,A11,总表!G:G,"&gt;=2019/7/1",总表!G:G,"&lt;=2019/7/7")</f>
        <v>80663</v>
      </c>
      <c r="D11" s="71">
        <f t="shared" si="0"/>
        <v>40331.5</v>
      </c>
      <c r="E11" s="83" t="str">
        <f>VLOOKUP(A11,设计师对应店铺!A:B,COLUMN(设计师对应店铺!B:B)-COLUMN(设计师对应店铺!A:B)+1,0)</f>
        <v>百家宜</v>
      </c>
      <c r="G11" s="77" t="s">
        <v>110</v>
      </c>
      <c r="H11" s="70">
        <f>COUNTIFS(总表!D:D,G11,总表!L:L,"&lt;&gt;",总表!G:G,"&gt;=2019/7/8",总表!G:G,"&lt;=2019/7/14")</f>
        <v>10</v>
      </c>
      <c r="I11" s="70">
        <f>SUMIFS(总表!N:N,总表!D:D,G11,总表!G:G,"&gt;=2019/7/8",总表!G:G,"&lt;=2019/7/14")</f>
        <v>95041</v>
      </c>
      <c r="J11" s="71">
        <f t="shared" si="1"/>
        <v>9504.1</v>
      </c>
      <c r="K11" s="83" t="str">
        <f>VLOOKUP(G11,设计师对应店铺!A:B,COLUMN(设计师对应店铺!B:B)-COLUMN(设计师对应店铺!A:B)+1,0)</f>
        <v>喜盈门</v>
      </c>
      <c r="M11" s="77" t="s">
        <v>162</v>
      </c>
      <c r="N11" s="70">
        <f>COUNTIFS(总表!D:D,M11,总表!L:L,"&lt;&gt;",总表!G:G,"&gt;=2019/7/15",总表!G:G,"&lt;=2019/7/21")</f>
        <v>9</v>
      </c>
      <c r="O11" s="70">
        <f>SUMIFS(总表!N:N,总表!D:D,M11,总表!G:G,"&gt;=2019/7/15",总表!G:G,"&lt;=2019/7/21")</f>
        <v>129208</v>
      </c>
      <c r="P11" s="71">
        <f t="shared" si="2"/>
        <v>14356.4444444444</v>
      </c>
      <c r="Q11" s="83" t="str">
        <f>VLOOKUP(M11,设计师对应店铺!A:B,COLUMN(设计师对应店铺!B:B)-COLUMN(设计师对应店铺!A:B)+1,0)</f>
        <v>真北店</v>
      </c>
    </row>
    <row r="12" spans="1:17">
      <c r="A12" s="73" t="s">
        <v>37</v>
      </c>
      <c r="B12" s="74">
        <f>COUNTIFS(总表!D:D,A12,总表!L:L,"&lt;&gt;",总表!G:G,"&gt;=2019/7/1",总表!G:G,"&lt;=2019/7/7")</f>
        <v>7</v>
      </c>
      <c r="C12" s="74">
        <f>SUMIFS(总表!N:N,总表!D:D,A12,总表!G:G,"&gt;=2019/7/1",总表!G:G,"&lt;=2019/7/7")</f>
        <v>78478</v>
      </c>
      <c r="D12" s="75">
        <f t="shared" si="0"/>
        <v>11211.1428571429</v>
      </c>
      <c r="E12" s="82" t="str">
        <f>VLOOKUP(A12,设计师对应店铺!A:B,COLUMN(设计师对应店铺!B:B)-COLUMN(设计师对应店铺!A:B)+1,0)</f>
        <v>浦江店</v>
      </c>
      <c r="G12" s="73" t="s">
        <v>33</v>
      </c>
      <c r="H12" s="74">
        <f>COUNTIFS(总表!D:D,G12,总表!L:L,"&lt;&gt;",总表!G:G,"&gt;=2019/7/8",总表!G:G,"&lt;=2019/7/14")</f>
        <v>8</v>
      </c>
      <c r="I12" s="74">
        <f>SUMIFS(总表!N:N,总表!D:D,G12,总表!G:G,"&gt;=2019/7/8",总表!G:G,"&lt;=2019/7/14")</f>
        <v>91893</v>
      </c>
      <c r="J12" s="75">
        <f t="shared" si="1"/>
        <v>11486.625</v>
      </c>
      <c r="K12" s="82" t="str">
        <f>VLOOKUP(G12,设计师对应店铺!A:B,COLUMN(设计师对应店铺!B:B)-COLUMN(设计师对应店铺!A:B)+1,0)</f>
        <v>汶水店</v>
      </c>
      <c r="M12" s="73" t="s">
        <v>221</v>
      </c>
      <c r="N12" s="74">
        <f>COUNTIFS(总表!D:D,M12,总表!L:L,"&lt;&gt;",总表!G:G,"&gt;=2019/7/15",总表!G:G,"&lt;=2019/7/21")</f>
        <v>5</v>
      </c>
      <c r="O12" s="74">
        <f>SUMIFS(总表!N:N,总表!D:D,M12,总表!G:G,"&gt;=2019/7/15",总表!G:G,"&lt;=2019/7/21")</f>
        <v>109517</v>
      </c>
      <c r="P12" s="75">
        <f t="shared" si="2"/>
        <v>21903.4</v>
      </c>
      <c r="Q12" s="82" t="str">
        <f>VLOOKUP(M12,设计师对应店铺!A:B,COLUMN(设计师对应店铺!B:B)-COLUMN(设计师对应店铺!A:B)+1,0)</f>
        <v>汶水店</v>
      </c>
    </row>
    <row r="13" spans="1:17">
      <c r="A13" s="77" t="s">
        <v>155</v>
      </c>
      <c r="B13" s="70">
        <f>COUNTIFS(总表!D:D,A13,总表!L:L,"&lt;&gt;",总表!G:G,"&gt;=2019/7/1",总表!G:G,"&lt;=2019/7/7")</f>
        <v>5</v>
      </c>
      <c r="C13" s="70">
        <f>SUMIFS(总表!N:N,总表!D:D,A13,总表!G:G,"&gt;=2019/7/1",总表!G:G,"&lt;=2019/7/7")</f>
        <v>75482</v>
      </c>
      <c r="D13" s="71">
        <f t="shared" si="0"/>
        <v>15096.4</v>
      </c>
      <c r="E13" s="83" t="str">
        <f>VLOOKUP(A13,设计师对应店铺!A:B,COLUMN(设计师对应店铺!B:B)-COLUMN(设计师对应店铺!A:B)+1,0)</f>
        <v>好饰家</v>
      </c>
      <c r="G13" s="77" t="s">
        <v>139</v>
      </c>
      <c r="H13" s="70">
        <f>COUNTIFS(总表!D:D,G13,总表!L:L,"&lt;&gt;",总表!G:G,"&gt;=2019/7/8",总表!G:G,"&lt;=2019/7/14")</f>
        <v>7</v>
      </c>
      <c r="I13" s="70">
        <f>SUMIFS(总表!N:N,总表!D:D,G13,总表!G:G,"&gt;=2019/7/8",总表!G:G,"&lt;=2019/7/14")</f>
        <v>82414</v>
      </c>
      <c r="J13" s="71">
        <f t="shared" si="1"/>
        <v>11773.4285714286</v>
      </c>
      <c r="K13" s="83" t="str">
        <f>VLOOKUP(G13,设计师对应店铺!A:B,COLUMN(设计师对应店铺!B:B)-COLUMN(设计师对应店铺!A:B)+1,0)</f>
        <v>家饰佳</v>
      </c>
      <c r="M13" s="77" t="s">
        <v>187</v>
      </c>
      <c r="N13" s="70">
        <f>COUNTIFS(总表!D:D,M13,总表!L:L,"&lt;&gt;",总表!G:G,"&gt;=2019/7/15",总表!G:G,"&lt;=2019/7/21")</f>
        <v>7</v>
      </c>
      <c r="O13" s="70">
        <f>SUMIFS(总表!N:N,总表!D:D,M13,总表!G:G,"&gt;=2019/7/15",总表!G:G,"&lt;=2019/7/21")</f>
        <v>133593</v>
      </c>
      <c r="P13" s="71">
        <f t="shared" si="2"/>
        <v>19084.7142857143</v>
      </c>
      <c r="Q13" s="83" t="str">
        <f>VLOOKUP(M13,设计师对应店铺!A:B,COLUMN(设计师对应店铺!B:B)-COLUMN(设计师对应店铺!A:B)+1,0)</f>
        <v>百家宜</v>
      </c>
    </row>
    <row r="14" spans="1:17">
      <c r="A14" s="73" t="s">
        <v>182</v>
      </c>
      <c r="B14" s="74">
        <f>COUNTIFS(总表!D:D,A14,总表!L:L,"&lt;&gt;",总表!G:G,"&gt;=2019/7/1",总表!G:G,"&lt;=2019/7/7")</f>
        <v>6</v>
      </c>
      <c r="C14" s="74">
        <f>SUMIFS(总表!N:N,总表!D:D,A14,总表!G:G,"&gt;=2019/7/1",总表!G:G,"&lt;=2019/7/7")</f>
        <v>68141</v>
      </c>
      <c r="D14" s="75">
        <f t="shared" si="0"/>
        <v>11356.8333333333</v>
      </c>
      <c r="E14" s="82" t="str">
        <f>VLOOKUP(A14,设计师对应店铺!A:B,COLUMN(设计师对应店铺!B:B)-COLUMN(设计师对应店铺!A:B)+1,0)</f>
        <v>真北店</v>
      </c>
      <c r="G14" s="73" t="s">
        <v>427</v>
      </c>
      <c r="H14" s="74">
        <f>COUNTIFS(总表!D:D,G14,总表!L:L,"&lt;&gt;",总表!G:G,"&gt;=2019/7/8",总表!G:G,"&lt;=2019/7/14")</f>
        <v>3</v>
      </c>
      <c r="I14" s="74">
        <f>SUMIFS(总表!N:N,总表!D:D,G14,总表!G:G,"&gt;=2019/7/8",总表!G:G,"&lt;=2019/7/14")</f>
        <v>81800</v>
      </c>
      <c r="J14" s="75">
        <f t="shared" si="1"/>
        <v>27266.6666666667</v>
      </c>
      <c r="K14" s="82" t="str">
        <f>VLOOKUP(G14,设计师对应店铺!A:B,COLUMN(设计师对应店铺!B:B)-COLUMN(设计师对应店铺!A:B)+1,0)</f>
        <v>百家宜</v>
      </c>
      <c r="M14" s="73" t="s">
        <v>44</v>
      </c>
      <c r="N14" s="74">
        <f>COUNTIFS(总表!D:D,M14,总表!L:L,"&lt;&gt;",总表!G:G,"&gt;=2019/7/15",总表!G:G,"&lt;=2019/7/21")</f>
        <v>7</v>
      </c>
      <c r="O14" s="74">
        <f>SUMIFS(总表!N:N,总表!D:D,M14,总表!G:G,"&gt;=2019/7/15",总表!G:G,"&lt;=2019/7/21")</f>
        <v>103848</v>
      </c>
      <c r="P14" s="75">
        <f t="shared" si="2"/>
        <v>14835.4285714286</v>
      </c>
      <c r="Q14" s="82" t="str">
        <f>VLOOKUP(M14,设计师对应店铺!A:B,COLUMN(设计师对应店铺!B:B)-COLUMN(设计师对应店铺!A:B)+1,0)</f>
        <v>金桥店、百安居</v>
      </c>
    </row>
    <row r="15" spans="1:17">
      <c r="A15" s="77" t="s">
        <v>44</v>
      </c>
      <c r="B15" s="70">
        <f>COUNTIFS(总表!D:D,A15,总表!L:L,"&lt;&gt;",总表!G:G,"&gt;=2019/7/1",总表!G:G,"&lt;=2019/7/7")</f>
        <v>6</v>
      </c>
      <c r="C15" s="70">
        <f>SUMIFS(总表!N:N,总表!D:D,A15,总表!G:G,"&gt;=2019/7/1",总表!G:G,"&lt;=2019/7/7")</f>
        <v>61281</v>
      </c>
      <c r="D15" s="71">
        <f t="shared" si="0"/>
        <v>10213.5</v>
      </c>
      <c r="E15" s="83" t="str">
        <f>VLOOKUP(A15,设计师对应店铺!A:B,COLUMN(设计师对应店铺!B:B)-COLUMN(设计师对应店铺!A:B)+1,0)</f>
        <v>金桥店、百安居</v>
      </c>
      <c r="G15" s="77" t="s">
        <v>221</v>
      </c>
      <c r="H15" s="70">
        <f>COUNTIFS(总表!D:D,G15,总表!L:L,"&lt;&gt;",总表!G:G,"&gt;=2019/7/8",总表!G:G,"&lt;=2019/7/14")</f>
        <v>4</v>
      </c>
      <c r="I15" s="70">
        <f>SUMIFS(总表!N:N,总表!D:D,G15,总表!G:G,"&gt;=2019/7/8",总表!G:G,"&lt;=2019/7/14")</f>
        <v>79198</v>
      </c>
      <c r="J15" s="71">
        <f t="shared" si="1"/>
        <v>19799.5</v>
      </c>
      <c r="K15" s="83" t="str">
        <f>VLOOKUP(G15,设计师对应店铺!A:B,COLUMN(设计师对应店铺!B:B)-COLUMN(设计师对应店铺!A:B)+1,0)</f>
        <v>汶水店</v>
      </c>
      <c r="M15" s="77" t="s">
        <v>110</v>
      </c>
      <c r="N15" s="70">
        <f>COUNTIFS(总表!D:D,M15,总表!L:L,"&lt;&gt;",总表!G:G,"&gt;=2019/7/15",总表!G:G,"&lt;=2019/7/21")</f>
        <v>8</v>
      </c>
      <c r="O15" s="70">
        <f>SUMIFS(总表!N:N,总表!D:D,M15,总表!G:G,"&gt;=2019/7/15",总表!G:G,"&lt;=2019/7/21")</f>
        <v>101448</v>
      </c>
      <c r="P15" s="71">
        <f t="shared" si="2"/>
        <v>12681</v>
      </c>
      <c r="Q15" s="83" t="str">
        <f>VLOOKUP(M15,设计师对应店铺!A:B,COLUMN(设计师对应店铺!B:B)-COLUMN(设计师对应店铺!A:B)+1,0)</f>
        <v>喜盈门</v>
      </c>
    </row>
    <row r="16" spans="1:17">
      <c r="A16" s="73" t="s">
        <v>60</v>
      </c>
      <c r="B16" s="74">
        <f>COUNTIFS(总表!D:D,A16,总表!L:L,"&lt;&gt;",总表!G:G,"&gt;=2019/7/1",总表!G:G,"&lt;=2019/7/7")</f>
        <v>5</v>
      </c>
      <c r="C16" s="74">
        <f>SUMIFS(总表!N:N,总表!D:D,A16,总表!G:G,"&gt;=2019/7/1",总表!G:G,"&lt;=2019/7/7")</f>
        <v>55577</v>
      </c>
      <c r="D16" s="75">
        <f t="shared" si="0"/>
        <v>11115.4</v>
      </c>
      <c r="E16" s="82" t="str">
        <f>VLOOKUP(A16,设计师对应店铺!A:B,COLUMN(设计师对应店铺!B:B)-COLUMN(设计师对应店铺!A:B)+1,0)</f>
        <v>家饰佳</v>
      </c>
      <c r="G16" s="73" t="s">
        <v>143</v>
      </c>
      <c r="H16" s="74">
        <f>COUNTIFS(总表!D:D,G16,总表!L:L,"&lt;&gt;",总表!G:G,"&gt;=2019/7/8",总表!G:G,"&lt;=2019/7/14")</f>
        <v>5</v>
      </c>
      <c r="I16" s="74">
        <f>SUMIFS(总表!N:N,总表!D:D,G16,总表!G:G,"&gt;=2019/7/8",总表!G:G,"&lt;=2019/7/14")</f>
        <v>72283</v>
      </c>
      <c r="J16" s="75">
        <f t="shared" si="1"/>
        <v>14456.6</v>
      </c>
      <c r="K16" s="82" t="str">
        <f>VLOOKUP(G16,设计师对应店铺!A:B,COLUMN(设计师对应店铺!B:B)-COLUMN(设计师对应店铺!A:B)+1,0)</f>
        <v>沪南店店长</v>
      </c>
      <c r="M16" s="73" t="s">
        <v>518</v>
      </c>
      <c r="N16" s="74">
        <f>COUNTIFS(总表!D:D,M16,总表!L:L,"&lt;&gt;",总表!G:G,"&gt;=2019/7/15",总表!G:G,"&lt;=2019/7/21")</f>
        <v>4</v>
      </c>
      <c r="O16" s="74">
        <f>SUMIFS(总表!N:N,总表!D:D,M16,总表!G:G,"&gt;=2019/7/15",总表!G:G,"&lt;=2019/7/21")</f>
        <v>90580</v>
      </c>
      <c r="P16" s="75">
        <f t="shared" si="2"/>
        <v>22645</v>
      </c>
      <c r="Q16" s="82" t="str">
        <f>VLOOKUP(M16,设计师对应店铺!A:B,COLUMN(设计师对应店铺!B:B)-COLUMN(设计师对应店铺!A:B)+1,0)</f>
        <v>奉贤店</v>
      </c>
    </row>
    <row r="17" spans="1:17">
      <c r="A17" s="77" t="s">
        <v>132</v>
      </c>
      <c r="B17" s="70">
        <f>COUNTIFS(总表!D:D,A17,总表!L:L,"&lt;&gt;",总表!G:G,"&gt;=2019/7/1",总表!G:G,"&lt;=2019/7/7")</f>
        <v>6</v>
      </c>
      <c r="C17" s="70">
        <f>SUMIFS(总表!N:N,总表!D:D,A17,总表!G:G,"&gt;=2019/7/1",总表!G:G,"&lt;=2019/7/7")</f>
        <v>55259</v>
      </c>
      <c r="D17" s="71">
        <f t="shared" si="0"/>
        <v>9209.83333333333</v>
      </c>
      <c r="E17" s="83" t="str">
        <f>VLOOKUP(A17,设计师对应店铺!A:B,COLUMN(设计师对应店铺!B:B)-COLUMN(设计师对应店铺!A:B)+1,0)</f>
        <v>真北店</v>
      </c>
      <c r="G17" s="77" t="s">
        <v>717</v>
      </c>
      <c r="H17" s="70">
        <f>COUNTIFS(总表!D:D,G17,总表!L:L,"&lt;&gt;",总表!G:G,"&gt;=2019/7/8",总表!G:G,"&lt;=2019/7/14")</f>
        <v>4</v>
      </c>
      <c r="I17" s="70">
        <f>SUMIFS(总表!N:N,总表!D:D,G17,总表!G:G,"&gt;=2019/7/8",总表!G:G,"&lt;=2019/7/14")</f>
        <v>70775</v>
      </c>
      <c r="J17" s="71">
        <f t="shared" si="1"/>
        <v>17693.75</v>
      </c>
      <c r="K17" s="83">
        <f>VLOOKUP(G17,设计师对应店铺!A:B,COLUMN(设计师对应店铺!B:B)-COLUMN(设计师对应店铺!A:B)+1,0)</f>
        <v>0</v>
      </c>
      <c r="M17" s="77" t="s">
        <v>271</v>
      </c>
      <c r="N17" s="70">
        <f>COUNTIFS(总表!D:D,M17,总表!L:L,"&lt;&gt;",总表!G:G,"&gt;=2019/7/15",总表!G:G,"&lt;=2019/7/21")</f>
        <v>6</v>
      </c>
      <c r="O17" s="70">
        <f>SUMIFS(总表!N:N,总表!D:D,M17,总表!G:G,"&gt;=2019/7/15",总表!G:G,"&lt;=2019/7/21")</f>
        <v>87767</v>
      </c>
      <c r="P17" s="71">
        <f t="shared" si="2"/>
        <v>14627.8333333333</v>
      </c>
      <c r="Q17" s="83" t="str">
        <f>VLOOKUP(M17,设计师对应店铺!A:B,COLUMN(设计师对应店铺!B:B)-COLUMN(设计师对应店铺!A:B)+1,0)</f>
        <v>喜盈门</v>
      </c>
    </row>
    <row r="18" spans="1:17">
      <c r="A18" s="73" t="s">
        <v>33</v>
      </c>
      <c r="B18" s="74">
        <f>COUNTIFS(总表!D:D,A18,总表!L:L,"&lt;&gt;",总表!G:G,"&gt;=2019/7/1",总表!G:G,"&lt;=2019/7/7")</f>
        <v>5</v>
      </c>
      <c r="C18" s="74">
        <f>SUMIFS(总表!N:N,总表!D:D,A18,总表!G:G,"&gt;=2019/7/1",总表!G:G,"&lt;=2019/7/7")</f>
        <v>52517</v>
      </c>
      <c r="D18" s="75">
        <f t="shared" si="0"/>
        <v>10503.4</v>
      </c>
      <c r="E18" s="82" t="str">
        <f>VLOOKUP(A18,设计师对应店铺!A:B,COLUMN(设计师对应店铺!B:B)-COLUMN(设计师对应店铺!A:B)+1,0)</f>
        <v>汶水店</v>
      </c>
      <c r="G18" s="73" t="s">
        <v>518</v>
      </c>
      <c r="H18" s="74">
        <f>COUNTIFS(总表!D:D,G18,总表!L:L,"&lt;&gt;",总表!G:G,"&gt;=2019/7/8",总表!G:G,"&lt;=2019/7/14")</f>
        <v>6</v>
      </c>
      <c r="I18" s="74">
        <f>SUMIFS(总表!N:N,总表!D:D,G18,总表!G:G,"&gt;=2019/7/8",总表!G:G,"&lt;=2019/7/14")</f>
        <v>66252</v>
      </c>
      <c r="J18" s="75">
        <f t="shared" si="1"/>
        <v>11042</v>
      </c>
      <c r="K18" s="82" t="str">
        <f>VLOOKUP(G18,设计师对应店铺!A:B,COLUMN(设计师对应店铺!B:B)-COLUMN(设计师对应店铺!A:B)+1,0)</f>
        <v>奉贤店</v>
      </c>
      <c r="M18" s="73" t="s">
        <v>89</v>
      </c>
      <c r="N18" s="74">
        <f>COUNTIFS(总表!D:D,M18,总表!L:L,"&lt;&gt;",总表!G:G,"&gt;=2019/7/15",总表!G:G,"&lt;=2019/7/21")</f>
        <v>7</v>
      </c>
      <c r="O18" s="74">
        <f>SUMIFS(总表!N:N,总表!D:D,M18,总表!G:G,"&gt;=2019/7/15",总表!G:G,"&lt;=2019/7/21")</f>
        <v>80483</v>
      </c>
      <c r="P18" s="75">
        <f t="shared" si="2"/>
        <v>11497.5714285714</v>
      </c>
      <c r="Q18" s="82" t="str">
        <f>VLOOKUP(M18,设计师对应店铺!A:B,COLUMN(设计师对应店铺!B:B)-COLUMN(设计师对应店铺!A:B)+1,0)</f>
        <v>吉盛伟邦</v>
      </c>
    </row>
    <row r="19" spans="1:17">
      <c r="A19" s="77" t="s">
        <v>149</v>
      </c>
      <c r="B19" s="70">
        <f>COUNTIFS(总表!D:D,A19,总表!L:L,"&lt;&gt;",总表!G:G,"&gt;=2019/7/1",总表!G:G,"&lt;=2019/7/7")</f>
        <v>2</v>
      </c>
      <c r="C19" s="70">
        <f>SUMIFS(总表!N:N,总表!D:D,A19,总表!G:G,"&gt;=2019/7/1",总表!G:G,"&lt;=2019/7/7")</f>
        <v>50850</v>
      </c>
      <c r="D19" s="71">
        <f t="shared" si="0"/>
        <v>25425</v>
      </c>
      <c r="E19" s="83" t="str">
        <f>VLOOKUP(A19,设计师对应店铺!A:B,COLUMN(设计师对应店铺!B:B)-COLUMN(设计师对应店铺!A:B)+1,0)</f>
        <v>百安居</v>
      </c>
      <c r="G19" s="77" t="s">
        <v>407</v>
      </c>
      <c r="H19" s="70">
        <f>COUNTIFS(总表!D:D,G19,总表!L:L,"&lt;&gt;",总表!G:G,"&gt;=2019/7/8",总表!G:G,"&lt;=2019/7/14")</f>
        <v>4</v>
      </c>
      <c r="I19" s="70">
        <f>SUMIFS(总表!N:N,总表!D:D,G19,总表!G:G,"&gt;=2019/7/8",总表!G:G,"&lt;=2019/7/14")</f>
        <v>59273</v>
      </c>
      <c r="J19" s="71">
        <f t="shared" si="1"/>
        <v>14818.25</v>
      </c>
      <c r="K19" s="83" t="str">
        <f>VLOOKUP(G19,设计师对应店铺!A:B,COLUMN(设计师对应店铺!B:B)-COLUMN(设计师对应店铺!A:B)+1,0)</f>
        <v>嘉定店</v>
      </c>
      <c r="M19" s="77" t="s">
        <v>33</v>
      </c>
      <c r="N19" s="70">
        <f>COUNTIFS(总表!D:D,M19,总表!L:L,"&lt;&gt;",总表!G:G,"&gt;=2019/7/15",总表!G:G,"&lt;=2019/7/21")</f>
        <v>5</v>
      </c>
      <c r="O19" s="70">
        <f>SUMIFS(总表!N:N,总表!D:D,M19,总表!G:G,"&gt;=2019/7/15",总表!G:G,"&lt;=2019/7/21")</f>
        <v>72276</v>
      </c>
      <c r="P19" s="71">
        <f t="shared" si="2"/>
        <v>14455.2</v>
      </c>
      <c r="Q19" s="83" t="str">
        <f>VLOOKUP(M19,设计师对应店铺!A:B,COLUMN(设计师对应店铺!B:B)-COLUMN(设计师对应店铺!A:B)+1,0)</f>
        <v>汶水店</v>
      </c>
    </row>
    <row r="20" spans="1:17">
      <c r="A20" s="73" t="s">
        <v>162</v>
      </c>
      <c r="B20" s="74">
        <f>COUNTIFS(总表!D:D,A20,总表!L:L,"&lt;&gt;",总表!G:G,"&gt;=2019/7/1",总表!G:G,"&lt;=2019/7/7")</f>
        <v>2</v>
      </c>
      <c r="C20" s="74">
        <f>SUMIFS(总表!N:N,总表!D:D,A20,总表!G:G,"&gt;=2019/7/1",总表!G:G,"&lt;=2019/7/7")</f>
        <v>37230</v>
      </c>
      <c r="D20" s="75">
        <f t="shared" si="0"/>
        <v>18615</v>
      </c>
      <c r="E20" s="82" t="str">
        <f>VLOOKUP(A20,设计师对应店铺!A:B,COLUMN(设计师对应店铺!B:B)-COLUMN(设计师对应店铺!A:B)+1,0)</f>
        <v>真北店</v>
      </c>
      <c r="G20" s="73" t="s">
        <v>171</v>
      </c>
      <c r="H20" s="74">
        <f>COUNTIFS(总表!D:D,G20,总表!L:L,"&lt;&gt;",总表!G:G,"&gt;=2019/7/8",总表!G:G,"&lt;=2019/7/14")</f>
        <v>4</v>
      </c>
      <c r="I20" s="74">
        <f>SUMIFS(总表!N:N,总表!D:D,G20,总表!G:G,"&gt;=2019/7/8",总表!G:G,"&lt;=2019/7/14")</f>
        <v>57144</v>
      </c>
      <c r="J20" s="75">
        <f t="shared" si="1"/>
        <v>14286</v>
      </c>
      <c r="K20" s="82" t="str">
        <f>VLOOKUP(G20,设计师对应店铺!A:B,COLUMN(设计师对应店铺!B:B)-COLUMN(设计师对应店铺!A:B)+1,0)</f>
        <v>家饰佳、兴力达</v>
      </c>
      <c r="M20" s="73" t="s">
        <v>182</v>
      </c>
      <c r="N20" s="74">
        <f>COUNTIFS(总表!D:D,M20,总表!L:L,"&lt;&gt;",总表!G:G,"&gt;=2019/7/15",总表!G:G,"&lt;=2019/7/21")</f>
        <v>0</v>
      </c>
      <c r="O20" s="74">
        <f>SUMIFS(总表!N:N,总表!D:D,M20,总表!G:G,"&gt;=2019/7/15",总表!G:G,"&lt;=2019/7/21")</f>
        <v>67505</v>
      </c>
      <c r="P20" s="75" t="s">
        <v>498</v>
      </c>
      <c r="Q20" s="82" t="str">
        <f>VLOOKUP(M20,设计师对应店铺!A:B,COLUMN(设计师对应店铺!B:B)-COLUMN(设计师对应店铺!A:B)+1,0)</f>
        <v>真北店</v>
      </c>
    </row>
    <row r="21" spans="1:17">
      <c r="A21" s="77" t="s">
        <v>110</v>
      </c>
      <c r="B21" s="70">
        <f>COUNTIFS(总表!D:D,A21,总表!L:L,"&lt;&gt;",总表!G:G,"&gt;=2019/7/1",总表!G:G,"&lt;=2019/7/7")</f>
        <v>3</v>
      </c>
      <c r="C21" s="70">
        <f>SUMIFS(总表!N:N,总表!D:D,A21,总表!G:G,"&gt;=2019/7/1",总表!G:G,"&lt;=2019/7/7")</f>
        <v>36260</v>
      </c>
      <c r="D21" s="71">
        <f t="shared" si="0"/>
        <v>12086.6666666667</v>
      </c>
      <c r="E21" s="83" t="str">
        <f>VLOOKUP(A21,设计师对应店铺!A:B,COLUMN(设计师对应店铺!B:B)-COLUMN(设计师对应店铺!A:B)+1,0)</f>
        <v>喜盈门</v>
      </c>
      <c r="G21" s="77" t="s">
        <v>89</v>
      </c>
      <c r="H21" s="70">
        <f>COUNTIFS(总表!D:D,G21,总表!L:L,"&lt;&gt;",总表!G:G,"&gt;=2019/7/8",总表!G:G,"&lt;=2019/7/14")</f>
        <v>7</v>
      </c>
      <c r="I21" s="70">
        <f>SUMIFS(总表!N:N,总表!D:D,G21,总表!G:G,"&gt;=2019/7/8",总表!G:G,"&lt;=2019/7/14")</f>
        <v>56397</v>
      </c>
      <c r="J21" s="71">
        <f t="shared" si="1"/>
        <v>8056.71428571429</v>
      </c>
      <c r="K21" s="83" t="str">
        <f>VLOOKUP(G21,设计师对应店铺!A:B,COLUMN(设计师对应店铺!B:B)-COLUMN(设计师对应店铺!A:B)+1,0)</f>
        <v>吉盛伟邦</v>
      </c>
      <c r="M21" s="77" t="s">
        <v>49</v>
      </c>
      <c r="N21" s="70">
        <f>COUNTIFS(总表!D:D,M21,总表!L:L,"&lt;&gt;",总表!G:G,"&gt;=2019/7/15",总表!G:G,"&lt;=2019/7/21")</f>
        <v>4</v>
      </c>
      <c r="O21" s="70">
        <f>SUMIFS(总表!N:N,总表!D:D,M21,总表!G:G,"&gt;=2019/7/15",总表!G:G,"&lt;=2019/7/21")</f>
        <v>66640</v>
      </c>
      <c r="P21" s="71">
        <f t="shared" ref="P21:P34" si="3">O21/N21</f>
        <v>16660</v>
      </c>
      <c r="Q21" s="83" t="str">
        <f>VLOOKUP(M21,设计师对应店铺!A:B,COLUMN(设计师对应店铺!B:B)-COLUMN(设计师对应店铺!A:B)+1,0)</f>
        <v>奉贤、金山、南汇、松江</v>
      </c>
    </row>
    <row r="22" spans="1:17">
      <c r="A22" s="73" t="s">
        <v>221</v>
      </c>
      <c r="B22" s="74">
        <f>COUNTIFS(总表!D:D,A22,总表!L:L,"&lt;&gt;",总表!G:G,"&gt;=2019/7/1",总表!G:G,"&lt;=2019/7/7")</f>
        <v>2</v>
      </c>
      <c r="C22" s="74">
        <f>SUMIFS(总表!N:N,总表!D:D,A22,总表!G:G,"&gt;=2019/7/1",总表!G:G,"&lt;=2019/7/7")</f>
        <v>27021</v>
      </c>
      <c r="D22" s="75">
        <f t="shared" si="0"/>
        <v>13510.5</v>
      </c>
      <c r="E22" s="82" t="str">
        <f>VLOOKUP(A22,设计师对应店铺!A:B,COLUMN(设计师对应店铺!B:B)-COLUMN(设计师对应店铺!A:B)+1,0)</f>
        <v>汶水店</v>
      </c>
      <c r="G22" s="73" t="s">
        <v>37</v>
      </c>
      <c r="H22" s="74">
        <f>COUNTIFS(总表!D:D,G22,总表!L:L,"&lt;&gt;",总表!G:G,"&gt;=2019/7/8",总表!G:G,"&lt;=2019/7/14")</f>
        <v>5</v>
      </c>
      <c r="I22" s="74">
        <f>SUMIFS(总表!N:N,总表!D:D,G22,总表!G:G,"&gt;=2019/7/8",总表!G:G,"&lt;=2019/7/14")</f>
        <v>51797</v>
      </c>
      <c r="J22" s="75">
        <f t="shared" si="1"/>
        <v>10359.4</v>
      </c>
      <c r="K22" s="82" t="str">
        <f>VLOOKUP(G22,设计师对应店铺!A:B,COLUMN(设计师对应店铺!B:B)-COLUMN(设计师对应店铺!A:B)+1,0)</f>
        <v>浦江店</v>
      </c>
      <c r="M22" s="73" t="s">
        <v>125</v>
      </c>
      <c r="N22" s="74">
        <f>COUNTIFS(总表!D:D,M22,总表!L:L,"&lt;&gt;",总表!G:G,"&gt;=2019/7/15",总表!G:G,"&lt;=2019/7/21")</f>
        <v>5</v>
      </c>
      <c r="O22" s="74">
        <f>SUMIFS(总表!N:N,总表!D:D,M22,总表!G:G,"&gt;=2019/7/15",总表!G:G,"&lt;=2019/7/21")</f>
        <v>64541</v>
      </c>
      <c r="P22" s="75">
        <f t="shared" si="3"/>
        <v>12908.2</v>
      </c>
      <c r="Q22" s="82"/>
    </row>
    <row r="23" spans="1:17">
      <c r="A23" s="77" t="s">
        <v>49</v>
      </c>
      <c r="B23" s="70">
        <f>COUNTIFS(总表!D:D,A23,总表!L:L,"&lt;&gt;",总表!G:G,"&gt;=2019/7/1",总表!G:G,"&lt;=2019/7/7")</f>
        <v>3</v>
      </c>
      <c r="C23" s="70">
        <f>SUMIFS(总表!N:N,总表!D:D,A23,总表!G:G,"&gt;=2019/7/1",总表!G:G,"&lt;=2019/7/7")</f>
        <v>25796</v>
      </c>
      <c r="D23" s="71">
        <f t="shared" si="0"/>
        <v>8598.66666666667</v>
      </c>
      <c r="E23" s="83" t="str">
        <f>VLOOKUP(A23,设计师对应店铺!A:B,COLUMN(设计师对应店铺!B:B)-COLUMN(设计师对应店铺!A:B)+1,0)</f>
        <v>奉贤、金山、南汇、松江</v>
      </c>
      <c r="G23" s="77" t="s">
        <v>162</v>
      </c>
      <c r="H23" s="70">
        <f>COUNTIFS(总表!D:D,G23,总表!L:L,"&lt;&gt;",总表!G:G,"&gt;=2019/7/8",总表!G:G,"&lt;=2019/7/14")</f>
        <v>5</v>
      </c>
      <c r="I23" s="70">
        <f>SUMIFS(总表!N:N,总表!D:D,G23,总表!G:G,"&gt;=2019/7/8",总表!G:G,"&lt;=2019/7/14")</f>
        <v>49422</v>
      </c>
      <c r="J23" s="71">
        <f t="shared" si="1"/>
        <v>9884.4</v>
      </c>
      <c r="K23" s="83" t="str">
        <f>VLOOKUP(G23,设计师对应店铺!A:B,COLUMN(设计师对应店铺!B:B)-COLUMN(设计师对应店铺!A:B)+1,0)</f>
        <v>真北店</v>
      </c>
      <c r="M23" s="77" t="s">
        <v>337</v>
      </c>
      <c r="N23" s="70">
        <f>COUNTIFS(总表!D:D,M23,总表!L:L,"&lt;&gt;",总表!G:G,"&gt;=2019/7/15",总表!G:G,"&lt;=2019/7/21")</f>
        <v>6</v>
      </c>
      <c r="O23" s="70">
        <f>SUMIFS(总表!N:N,总表!D:D,M23,总表!G:G,"&gt;=2019/7/15",总表!G:G,"&lt;=2019/7/21")</f>
        <v>63316</v>
      </c>
      <c r="P23" s="71">
        <f t="shared" si="3"/>
        <v>10552.6666666667</v>
      </c>
      <c r="Q23" s="83" t="str">
        <f>VLOOKUP(M23,设计师对应店铺!A:B,COLUMN(设计师对应店铺!B:B)-COLUMN(设计师对应店铺!A:B)+1,0)</f>
        <v>建配龙</v>
      </c>
    </row>
    <row r="24" spans="1:17">
      <c r="A24" s="73" t="s">
        <v>343</v>
      </c>
      <c r="B24" s="74">
        <f>COUNTIFS(总表!D:D,A24,总表!L:L,"&lt;&gt;",总表!G:G,"&gt;=2019/7/1",总表!G:G,"&lt;=2019/7/7")</f>
        <v>2</v>
      </c>
      <c r="C24" s="74">
        <f>SUMIFS(总表!N:N,总表!D:D,A24,总表!G:G,"&gt;=2019/7/1",总表!G:G,"&lt;=2019/7/7")</f>
        <v>25257</v>
      </c>
      <c r="D24" s="75">
        <f t="shared" si="0"/>
        <v>12628.5</v>
      </c>
      <c r="E24" s="82" t="str">
        <f>VLOOKUP(A24,设计师对应店铺!A:B,COLUMN(设计师对应店铺!B:B)-COLUMN(设计师对应店铺!A:B)+1,0)</f>
        <v>喜盈门</v>
      </c>
      <c r="G24" s="73" t="s">
        <v>182</v>
      </c>
      <c r="H24" s="74">
        <f>COUNTIFS(总表!D:D,G24,总表!L:L,"&lt;&gt;",总表!G:G,"&gt;=2019/7/8",总表!G:G,"&lt;=2019/7/14")</f>
        <v>3</v>
      </c>
      <c r="I24" s="74">
        <f>SUMIFS(总表!N:N,总表!D:D,G24,总表!G:G,"&gt;=2019/7/8",总表!G:G,"&lt;=2019/7/14")</f>
        <v>47126</v>
      </c>
      <c r="J24" s="75">
        <f t="shared" si="1"/>
        <v>15708.6666666667</v>
      </c>
      <c r="K24" s="82" t="str">
        <f>VLOOKUP(G24,设计师对应店铺!A:B,COLUMN(设计师对应店铺!B:B)-COLUMN(设计师对应店铺!A:B)+1,0)</f>
        <v>真北店</v>
      </c>
      <c r="M24" s="73" t="s">
        <v>407</v>
      </c>
      <c r="N24" s="74">
        <f>COUNTIFS(总表!D:D,M24,总表!L:L,"&lt;&gt;",总表!G:G,"&gt;=2019/7/15",总表!G:G,"&lt;=2019/7/21")</f>
        <v>5</v>
      </c>
      <c r="O24" s="74">
        <f>SUMIFS(总表!N:N,总表!D:D,M24,总表!G:G,"&gt;=2019/7/15",总表!G:G,"&lt;=2019/7/21")</f>
        <v>60237</v>
      </c>
      <c r="P24" s="75">
        <f t="shared" si="3"/>
        <v>12047.4</v>
      </c>
      <c r="Q24" s="82" t="str">
        <f>VLOOKUP(M24,设计师对应店铺!A:B,COLUMN(设计师对应店铺!B:B)-COLUMN(设计师对应店铺!A:B)+1,0)</f>
        <v>嘉定店</v>
      </c>
    </row>
    <row r="25" spans="1:17">
      <c r="A25" s="77" t="s">
        <v>361</v>
      </c>
      <c r="B25" s="70">
        <f>COUNTIFS(总表!D:D,A25,总表!L:L,"&lt;&gt;",总表!G:G,"&gt;=2019/7/1",总表!G:G,"&lt;=2019/7/7")</f>
        <v>2</v>
      </c>
      <c r="C25" s="70">
        <f>SUMIFS(总表!N:N,总表!D:D,A25,总表!G:G,"&gt;=2019/7/1",总表!G:G,"&lt;=2019/7/7")</f>
        <v>24805</v>
      </c>
      <c r="D25" s="71">
        <f t="shared" si="0"/>
        <v>12402.5</v>
      </c>
      <c r="E25" s="83" t="str">
        <f>VLOOKUP(A25,设计师对应店铺!A:B,COLUMN(设计师对应店铺!B:B)-COLUMN(设计师对应店铺!A:B)+1,0)</f>
        <v>美美家自配</v>
      </c>
      <c r="G25" s="77" t="s">
        <v>132</v>
      </c>
      <c r="H25" s="70">
        <f>COUNTIFS(总表!D:D,G25,总表!L:L,"&lt;&gt;",总表!G:G,"&gt;=2019/7/8",总表!G:G,"&lt;=2019/7/14")</f>
        <v>4</v>
      </c>
      <c r="I25" s="70">
        <f>SUMIFS(总表!N:N,总表!D:D,G25,总表!G:G,"&gt;=2019/7/8",总表!G:G,"&lt;=2019/7/14")</f>
        <v>42521</v>
      </c>
      <c r="J25" s="71">
        <f t="shared" si="1"/>
        <v>10630.25</v>
      </c>
      <c r="K25" s="83" t="str">
        <f>VLOOKUP(G25,设计师对应店铺!A:B,COLUMN(设计师对应店铺!B:B)-COLUMN(设计师对应店铺!A:B)+1,0)</f>
        <v>真北店</v>
      </c>
      <c r="M25" s="77" t="s">
        <v>143</v>
      </c>
      <c r="N25" s="70">
        <f>COUNTIFS(总表!D:D,M25,总表!L:L,"&lt;&gt;",总表!G:G,"&gt;=2019/7/15",总表!G:G,"&lt;=2019/7/21")</f>
        <v>4</v>
      </c>
      <c r="O25" s="70">
        <f>SUMIFS(总表!N:N,总表!D:D,M25,总表!G:G,"&gt;=2019/7/15",总表!G:G,"&lt;=2019/7/21")</f>
        <v>58138</v>
      </c>
      <c r="P25" s="71">
        <f t="shared" si="3"/>
        <v>14534.5</v>
      </c>
      <c r="Q25" s="83" t="str">
        <f>VLOOKUP(M25,设计师对应店铺!A:B,COLUMN(设计师对应店铺!B:B)-COLUMN(设计师对应店铺!A:B)+1,0)</f>
        <v>沪南店店长</v>
      </c>
    </row>
    <row r="26" spans="1:17">
      <c r="A26" s="73" t="s">
        <v>3965</v>
      </c>
      <c r="B26" s="74">
        <f>COUNTIFS(总表!D:D,A26,总表!L:L,"&lt;&gt;",总表!G:G,"&gt;=2019/7/1",总表!G:G,"&lt;=2019/7/7")</f>
        <v>1</v>
      </c>
      <c r="C26" s="74">
        <f>SUMIFS(总表!N:N,总表!D:D,A26,总表!G:G,"&gt;=2019/7/1",总表!G:G,"&lt;=2019/7/7")</f>
        <v>22407</v>
      </c>
      <c r="D26" s="75">
        <f t="shared" si="0"/>
        <v>22407</v>
      </c>
      <c r="E26" s="82" t="str">
        <f>VLOOKUP(A26,设计师对应店铺!A:B,COLUMN(设计师对应店铺!B:B)-COLUMN(设计师对应店铺!A:B)+1,0)</f>
        <v>奉贤、金山、南汇、松江</v>
      </c>
      <c r="G26" s="73" t="s">
        <v>44</v>
      </c>
      <c r="H26" s="74">
        <f>COUNTIFS(总表!D:D,G26,总表!L:L,"&lt;&gt;",总表!G:G,"&gt;=2019/7/8",总表!G:G,"&lt;=2019/7/14")</f>
        <v>5</v>
      </c>
      <c r="I26" s="74">
        <f>SUMIFS(总表!N:N,总表!D:D,G26,总表!G:G,"&gt;=2019/7/8",总表!G:G,"&lt;=2019/7/14")</f>
        <v>42038</v>
      </c>
      <c r="J26" s="75">
        <f t="shared" si="1"/>
        <v>8407.6</v>
      </c>
      <c r="K26" s="82" t="str">
        <f>VLOOKUP(G26,设计师对应店铺!A:B,COLUMN(设计师对应店铺!B:B)-COLUMN(设计师对应店铺!A:B)+1,0)</f>
        <v>金桥店、百安居</v>
      </c>
      <c r="M26" s="73" t="s">
        <v>155</v>
      </c>
      <c r="N26" s="74">
        <f>COUNTIFS(总表!D:D,M26,总表!L:L,"&lt;&gt;",总表!G:G,"&gt;=2019/7/15",总表!G:G,"&lt;=2019/7/21")</f>
        <v>3</v>
      </c>
      <c r="O26" s="74">
        <f>SUMIFS(总表!N:N,总表!D:D,M26,总表!G:G,"&gt;=2019/7/15",总表!G:G,"&lt;=2019/7/21")</f>
        <v>51308</v>
      </c>
      <c r="P26" s="75">
        <f t="shared" si="3"/>
        <v>17102.6666666667</v>
      </c>
      <c r="Q26" s="82" t="str">
        <f>VLOOKUP(M26,设计师对应店铺!A:B,COLUMN(设计师对应店铺!B:B)-COLUMN(设计师对应店铺!A:B)+1,0)</f>
        <v>好饰家</v>
      </c>
    </row>
    <row r="27" spans="1:17">
      <c r="A27" s="77" t="s">
        <v>407</v>
      </c>
      <c r="B27" s="70">
        <f>COUNTIFS(总表!D:D,A27,总表!L:L,"&lt;&gt;",总表!G:G,"&gt;=2019/7/1",总表!G:G,"&lt;=2019/7/7")</f>
        <v>2</v>
      </c>
      <c r="C27" s="70">
        <f>SUMIFS(总表!N:N,总表!D:D,A27,总表!G:G,"&gt;=2019/7/1",总表!G:G,"&lt;=2019/7/7")</f>
        <v>20932</v>
      </c>
      <c r="D27" s="71">
        <f t="shared" si="0"/>
        <v>10466</v>
      </c>
      <c r="E27" s="83" t="str">
        <f>VLOOKUP(A27,设计师对应店铺!A:B,COLUMN(设计师对应店铺!B:B)-COLUMN(设计师对应店铺!A:B)+1,0)</f>
        <v>嘉定店</v>
      </c>
      <c r="G27" s="77" t="s">
        <v>635</v>
      </c>
      <c r="H27" s="70">
        <f>COUNTIFS(总表!D:D,G27,总表!L:L,"&lt;&gt;",总表!G:G,"&gt;=2019/7/8",总表!G:G,"&lt;=2019/7/14")</f>
        <v>5</v>
      </c>
      <c r="I27" s="70">
        <f>SUMIFS(总表!N:N,总表!D:D,G27,总表!G:G,"&gt;=2019/7/8",总表!G:G,"&lt;=2019/7/14")</f>
        <v>38553</v>
      </c>
      <c r="J27" s="71">
        <f t="shared" si="1"/>
        <v>7710.6</v>
      </c>
      <c r="K27" s="83" t="str">
        <f>VLOOKUP(G27,设计师对应店铺!A:B,COLUMN(设计师对应店铺!B:B)-COLUMN(设计师对应店铺!A:B)+1,0)</f>
        <v>家饰佳、兴力达</v>
      </c>
      <c r="M27" s="77" t="s">
        <v>356</v>
      </c>
      <c r="N27" s="70">
        <f>COUNTIFS(总表!D:D,M27,总表!L:L,"&lt;&gt;",总表!G:G,"&gt;=2019/7/15",总表!G:G,"&lt;=2019/7/21")</f>
        <v>8</v>
      </c>
      <c r="O27" s="70">
        <f>SUMIFS(总表!N:N,总表!D:D,M27,总表!G:G,"&gt;=2019/7/15",总表!G:G,"&lt;=2019/7/21")</f>
        <v>46363</v>
      </c>
      <c r="P27" s="71">
        <f t="shared" si="3"/>
        <v>5795.375</v>
      </c>
      <c r="Q27" s="83" t="str">
        <f>VLOOKUP(M27,设计师对应店铺!A:B,COLUMN(设计师对应店铺!B:B)-COLUMN(设计师对应店铺!A:B)+1,0)</f>
        <v>百安居</v>
      </c>
    </row>
    <row r="28" spans="1:17">
      <c r="A28" s="73" t="s">
        <v>1170</v>
      </c>
      <c r="B28" s="74">
        <f>COUNTIFS(总表!D:D,A28,总表!L:L,"&lt;&gt;",总表!G:G,"&gt;=2019/7/1",总表!G:G,"&lt;=2019/7/7")</f>
        <v>2</v>
      </c>
      <c r="C28" s="74">
        <f>SUMIFS(总表!N:N,总表!D:D,A28,总表!G:G,"&gt;=2019/7/1",总表!G:G,"&lt;=2019/7/7")</f>
        <v>20395</v>
      </c>
      <c r="D28" s="75">
        <f t="shared" si="0"/>
        <v>10197.5</v>
      </c>
      <c r="E28" s="82" t="str">
        <f>VLOOKUP(A28,设计师对应店铺!A:B,COLUMN(设计师对应店铺!B:B)-COLUMN(设计师对应店铺!A:B)+1,0)</f>
        <v>百安居</v>
      </c>
      <c r="G28" s="73" t="s">
        <v>1170</v>
      </c>
      <c r="H28" s="74">
        <f>COUNTIFS(总表!D:D,G28,总表!L:L,"&lt;&gt;",总表!G:G,"&gt;=2019/7/8",总表!G:G,"&lt;=2019/7/14")</f>
        <v>3</v>
      </c>
      <c r="I28" s="74">
        <f>SUMIFS(总表!N:N,总表!D:D,G28,总表!G:G,"&gt;=2019/7/8",总表!G:G,"&lt;=2019/7/14")</f>
        <v>30245</v>
      </c>
      <c r="J28" s="75">
        <f t="shared" si="1"/>
        <v>10081.6666666667</v>
      </c>
      <c r="K28" s="82" t="str">
        <f>VLOOKUP(G28,设计师对应店铺!A:B,COLUMN(设计师对应店铺!B:B)-COLUMN(设计师对应店铺!A:B)+1,0)</f>
        <v>百安居</v>
      </c>
      <c r="M28" s="73" t="s">
        <v>635</v>
      </c>
      <c r="N28" s="74">
        <f>COUNTIFS(总表!D:D,M28,总表!L:L,"&lt;&gt;",总表!G:G,"&gt;=2019/7/15",总表!G:G,"&lt;=2019/7/21")</f>
        <v>4</v>
      </c>
      <c r="O28" s="74">
        <f>SUMIFS(总表!N:N,总表!D:D,M28,总表!G:G,"&gt;=2019/7/15",总表!G:G,"&lt;=2019/7/21")</f>
        <v>44542</v>
      </c>
      <c r="P28" s="75">
        <f t="shared" si="3"/>
        <v>11135.5</v>
      </c>
      <c r="Q28" s="82" t="str">
        <f>VLOOKUP(M28,设计师对应店铺!A:B,COLUMN(设计师对应店铺!B:B)-COLUMN(设计师对应店铺!A:B)+1,0)</f>
        <v>家饰佳、兴力达</v>
      </c>
    </row>
    <row r="29" spans="1:17">
      <c r="A29" s="77" t="s">
        <v>427</v>
      </c>
      <c r="B29" s="70">
        <f>COUNTIFS(总表!D:D,A29,总表!L:L,"&lt;&gt;",总表!G:G,"&gt;=2019/7/1",总表!G:G,"&lt;=2019/7/7")</f>
        <v>1</v>
      </c>
      <c r="C29" s="70">
        <f>SUMIFS(总表!N:N,总表!D:D,A29,总表!G:G,"&gt;=2019/7/1",总表!G:G,"&lt;=2019/7/7")</f>
        <v>19221</v>
      </c>
      <c r="D29" s="71">
        <f t="shared" si="0"/>
        <v>19221</v>
      </c>
      <c r="E29" s="83" t="str">
        <f>VLOOKUP(A29,设计师对应店铺!A:B,COLUMN(设计师对应店铺!B:B)-COLUMN(设计师对应店铺!A:B)+1,0)</f>
        <v>百家宜</v>
      </c>
      <c r="G29" s="77" t="s">
        <v>21268</v>
      </c>
      <c r="H29" s="70">
        <f>COUNTIFS(总表!D:D,G29,总表!L:L,"&lt;&gt;",总表!G:G,"&gt;=2019/7/8",总表!G:G,"&lt;=2019/7/14")</f>
        <v>0</v>
      </c>
      <c r="I29" s="70">
        <f>SUMIFS(总表!N:N,总表!D:D,G29,总表!G:G,"&gt;=2019/7/8",总表!G:G,"&lt;=2019/7/14")</f>
        <v>0</v>
      </c>
      <c r="J29" s="71" t="e">
        <f t="shared" si="1"/>
        <v>#DIV/0!</v>
      </c>
      <c r="K29" s="83" t="str">
        <f>VLOOKUP(G29,设计师对应店铺!A:B,COLUMN(设计师对应店铺!B:B)-COLUMN(设计师对应店铺!A:B)+1,0)</f>
        <v>金山店</v>
      </c>
      <c r="M29" s="77" t="s">
        <v>171</v>
      </c>
      <c r="N29" s="70">
        <f>COUNTIFS(总表!D:D,M29,总表!L:L,"&lt;&gt;",总表!G:G,"&gt;=2019/7/15",总表!G:G,"&lt;=2019/7/21")</f>
        <v>4</v>
      </c>
      <c r="O29" s="70">
        <f>SUMIFS(总表!N:N,总表!D:D,M29,总表!G:G,"&gt;=2019/7/15",总表!G:G,"&lt;=2019/7/21")</f>
        <v>62429</v>
      </c>
      <c r="P29" s="71">
        <f t="shared" si="3"/>
        <v>15607.25</v>
      </c>
      <c r="Q29" s="83" t="str">
        <f>VLOOKUP(M29,设计师对应店铺!A:B,COLUMN(设计师对应店铺!B:B)-COLUMN(设计师对应店铺!A:B)+1,0)</f>
        <v>家饰佳、兴力达</v>
      </c>
    </row>
    <row r="30" spans="1:17">
      <c r="A30" s="73" t="s">
        <v>115</v>
      </c>
      <c r="B30" s="74">
        <f>COUNTIFS(总表!D:D,A30,总表!L:L,"&lt;&gt;",总表!G:G,"&gt;=2019/7/1",总表!G:G,"&lt;=2019/7/7")</f>
        <v>2</v>
      </c>
      <c r="C30" s="74">
        <f>SUMIFS(总表!N:N,总表!D:D,A30,总表!G:G,"&gt;=2019/7/1",总表!G:G,"&lt;=2019/7/7")</f>
        <v>16762</v>
      </c>
      <c r="D30" s="75">
        <f t="shared" si="0"/>
        <v>8381</v>
      </c>
      <c r="E30" s="82" t="str">
        <f>VLOOKUP(A30,设计师对应店铺!A:B,COLUMN(设计师对应店铺!B:B)-COLUMN(设计师对应店铺!A:B)+1,0)</f>
        <v>奉贤、金山、南汇、松江</v>
      </c>
      <c r="G30" s="73" t="s">
        <v>149</v>
      </c>
      <c r="H30" s="74">
        <f>COUNTIFS(总表!D:D,G30,总表!L:L,"&lt;&gt;",总表!G:G,"&gt;=2019/7/8",总表!G:G,"&lt;=2019/7/14")</f>
        <v>1</v>
      </c>
      <c r="I30" s="74">
        <f>SUMIFS(总表!N:N,总表!D:D,G30,总表!G:G,"&gt;=2019/7/8",总表!G:G,"&lt;=2019/7/14")</f>
        <v>18266</v>
      </c>
      <c r="J30" s="75">
        <f t="shared" si="1"/>
        <v>18266</v>
      </c>
      <c r="K30" s="82" t="str">
        <f>VLOOKUP(G30,设计师对应店铺!A:B,COLUMN(设计师对应店铺!B:B)-COLUMN(设计师对应店铺!A:B)+1,0)</f>
        <v>百安居</v>
      </c>
      <c r="M30" s="73" t="s">
        <v>60</v>
      </c>
      <c r="N30" s="74">
        <f>COUNTIFS(总表!D:D,M30,总表!L:L,"&lt;&gt;",总表!G:G,"&gt;=2019/7/15",总表!G:G,"&lt;=2019/7/21")</f>
        <v>3</v>
      </c>
      <c r="O30" s="74">
        <f>SUMIFS(总表!N:N,总表!D:D,M30,总表!G:G,"&gt;=2019/7/15",总表!G:G,"&lt;=2019/7/21")</f>
        <v>35624</v>
      </c>
      <c r="P30" s="75">
        <f t="shared" si="3"/>
        <v>11874.6666666667</v>
      </c>
      <c r="Q30" s="82" t="str">
        <f>VLOOKUP(M30,设计师对应店铺!A:B,COLUMN(设计师对应店铺!B:B)-COLUMN(设计师对应店铺!A:B)+1,0)</f>
        <v>家饰佳</v>
      </c>
    </row>
    <row r="31" spans="1:17">
      <c r="A31" s="77" t="s">
        <v>337</v>
      </c>
      <c r="B31" s="70">
        <f>COUNTIFS(总表!D:D,A31,总表!L:L,"&lt;&gt;",总表!G:G,"&gt;=2019/7/1",总表!G:G,"&lt;=2019/7/7")</f>
        <v>1</v>
      </c>
      <c r="C31" s="70">
        <f>SUMIFS(总表!N:N,总表!D:D,A31,总表!G:G,"&gt;=2019/7/1",总表!G:G,"&lt;=2019/7/7")</f>
        <v>16433</v>
      </c>
      <c r="D31" s="71">
        <f t="shared" si="0"/>
        <v>16433</v>
      </c>
      <c r="E31" s="83" t="str">
        <f>VLOOKUP(A31,设计师对应店铺!A:B,COLUMN(设计师对应店铺!B:B)-COLUMN(设计师对应店铺!A:B)+1,0)</f>
        <v>建配龙</v>
      </c>
      <c r="G31" s="77" t="s">
        <v>115</v>
      </c>
      <c r="H31" s="70">
        <f>COUNTIFS(总表!D:D,G31,总表!L:L,"&lt;&gt;",总表!G:G,"&gt;=2019/7/8",总表!G:G,"&lt;=2019/7/14")</f>
        <v>1</v>
      </c>
      <c r="I31" s="70">
        <f>SUMIFS(总表!N:N,总表!D:D,G31,总表!G:G,"&gt;=2019/7/8",总表!G:G,"&lt;=2019/7/14")</f>
        <v>15613</v>
      </c>
      <c r="J31" s="71">
        <f t="shared" si="1"/>
        <v>15613</v>
      </c>
      <c r="K31" s="83" t="str">
        <f>VLOOKUP(G31,设计师对应店铺!A:B,COLUMN(设计师对应店铺!B:B)-COLUMN(设计师对应店铺!A:B)+1,0)</f>
        <v>奉贤、金山、南汇、松江</v>
      </c>
      <c r="M31" s="77" t="s">
        <v>5336</v>
      </c>
      <c r="N31" s="70">
        <f>COUNTIFS(总表!D:D,M31,总表!L:L,"&lt;&gt;",总表!G:G,"&gt;=2019/7/15",总表!G:G,"&lt;=2019/7/21")</f>
        <v>1</v>
      </c>
      <c r="O31" s="70">
        <f>SUMIFS(总表!N:N,总表!D:D,M31,总表!G:G,"&gt;=2019/7/15",总表!G:G,"&lt;=2019/7/21")</f>
        <v>27526.8</v>
      </c>
      <c r="P31" s="71">
        <f t="shared" si="3"/>
        <v>27526.8</v>
      </c>
      <c r="Q31" s="83" t="str">
        <f>VLOOKUP(M31,设计师对应店铺!A:B,COLUMN(设计师对应店铺!B:B)-COLUMN(设计师对应店铺!A:B)+1,0)</f>
        <v>尚品宅配</v>
      </c>
    </row>
    <row r="32" spans="1:17">
      <c r="A32" s="73" t="s">
        <v>635</v>
      </c>
      <c r="B32" s="74">
        <f>COUNTIFS(总表!D:D,A32,总表!L:L,"&lt;&gt;",总表!G:G,"&gt;=2019/7/1",总表!G:G,"&lt;=2019/7/7")</f>
        <v>3</v>
      </c>
      <c r="C32" s="74">
        <f>SUMIFS(总表!N:N,总表!D:D,A32,总表!G:G,"&gt;=2019/7/1",总表!G:G,"&lt;=2019/7/7")</f>
        <v>15962</v>
      </c>
      <c r="D32" s="75">
        <f t="shared" si="0"/>
        <v>5320.66666666667</v>
      </c>
      <c r="E32" s="82" t="str">
        <f>VLOOKUP(A32,设计师对应店铺!A:B,COLUMN(设计师对应店铺!B:B)-COLUMN(设计师对应店铺!A:B)+1,0)</f>
        <v>家饰佳、兴力达</v>
      </c>
      <c r="G32" s="73" t="s">
        <v>271</v>
      </c>
      <c r="H32" s="74">
        <f>COUNTIFS(总表!D:D,G32,总表!L:L,"&lt;&gt;",总表!G:G,"&gt;=2019/7/8",总表!G:G,"&lt;=2019/7/14")</f>
        <v>1</v>
      </c>
      <c r="I32" s="74">
        <f>SUMIFS(总表!N:N,总表!D:D,G32,总表!G:G,"&gt;=2019/7/8",总表!G:G,"&lt;=2019/7/14")</f>
        <v>7630</v>
      </c>
      <c r="J32" s="75">
        <f t="shared" si="1"/>
        <v>7630</v>
      </c>
      <c r="K32" s="82" t="str">
        <f>VLOOKUP(G32,设计师对应店铺!A:B,COLUMN(设计师对应店铺!B:B)-COLUMN(设计师对应店铺!A:B)+1,0)</f>
        <v>喜盈门</v>
      </c>
      <c r="M32" s="73" t="s">
        <v>5337</v>
      </c>
      <c r="N32" s="74">
        <f>COUNTIFS(总表!D:D,M32,总表!L:L,"&lt;&gt;",总表!G:G,"&gt;=2019/7/15",总表!G:G,"&lt;=2019/7/21")</f>
        <v>1</v>
      </c>
      <c r="O32" s="74">
        <f>SUMIFS(总表!N:N,总表!D:D,M32,总表!G:G,"&gt;=2019/7/15",总表!G:G,"&lt;=2019/7/21")</f>
        <v>22962</v>
      </c>
      <c r="P32" s="75">
        <f t="shared" si="3"/>
        <v>22962</v>
      </c>
      <c r="Q32" s="82" t="str">
        <f>VLOOKUP(M32,设计师对应店铺!A:B,COLUMN(设计师对应店铺!B:B)-COLUMN(设计师对应店铺!A:B)+1,0)</f>
        <v>尚品宅配</v>
      </c>
    </row>
    <row r="33" spans="1:17">
      <c r="A33" s="77" t="s">
        <v>518</v>
      </c>
      <c r="B33" s="70">
        <f>COUNTIFS(总表!D:D,A33,总表!L:L,"&lt;&gt;",总表!G:G,"&gt;=2019/7/1",总表!G:G,"&lt;=2019/7/7")</f>
        <v>2</v>
      </c>
      <c r="C33" s="70">
        <f>SUMIFS(总表!N:N,总表!D:D,A33,总表!G:G,"&gt;=2019/7/1",总表!G:G,"&lt;=2019/7/7")</f>
        <v>15041</v>
      </c>
      <c r="D33" s="71">
        <f t="shared" si="0"/>
        <v>7520.5</v>
      </c>
      <c r="E33" s="83" t="str">
        <f>VLOOKUP(A33,设计师对应店铺!A:B,COLUMN(设计师对应店铺!B:B)-COLUMN(设计师对应店铺!A:B)+1,0)</f>
        <v>奉贤店</v>
      </c>
      <c r="G33" s="77" t="s">
        <v>337</v>
      </c>
      <c r="H33" s="70">
        <f>COUNTIFS(总表!D:D,G33,总表!L:L,"&lt;&gt;",总表!G:G,"&gt;=2019/7/8",总表!G:G,"&lt;=2019/7/14")</f>
        <v>2</v>
      </c>
      <c r="I33" s="70">
        <f>SUMIFS(总表!N:N,总表!D:D,G33,总表!G:G,"&gt;=2019/7/8",总表!G:G,"&lt;=2019/7/14")</f>
        <v>12626</v>
      </c>
      <c r="J33" s="71">
        <f t="shared" si="1"/>
        <v>6313</v>
      </c>
      <c r="K33" s="83" t="str">
        <f>VLOOKUP(G33,设计师对应店铺!A:B,COLUMN(设计师对应店铺!B:B)-COLUMN(设计师对应店铺!A:B)+1,0)</f>
        <v>建配龙</v>
      </c>
      <c r="M33" s="77" t="s">
        <v>1170</v>
      </c>
      <c r="N33" s="70">
        <f>COUNTIFS(总表!D:D,M33,总表!L:L,"&lt;&gt;",总表!G:G,"&gt;=2019/7/15",总表!G:G,"&lt;=2019/7/21")</f>
        <v>1</v>
      </c>
      <c r="O33" s="70">
        <f>SUMIFS(总表!N:N,总表!D:D,M33,总表!G:G,"&gt;=2019/7/15",总表!G:G,"&lt;=2019/7/21")</f>
        <v>22640</v>
      </c>
      <c r="P33" s="71">
        <f t="shared" si="3"/>
        <v>22640</v>
      </c>
      <c r="Q33" s="83" t="str">
        <f>VLOOKUP(M33,设计师对应店铺!A:B,COLUMN(设计师对应店铺!B:B)-COLUMN(设计师对应店铺!A:B)+1,0)</f>
        <v>百安居</v>
      </c>
    </row>
    <row r="34" spans="1:17">
      <c r="A34" s="73" t="s">
        <v>171</v>
      </c>
      <c r="B34" s="74">
        <f>COUNTIFS(总表!D:D,A34,总表!L:L,"&lt;&gt;",总表!G:G,"&gt;=2019/7/1",总表!G:G,"&lt;=2019/7/7")</f>
        <v>1</v>
      </c>
      <c r="C34" s="74">
        <f>SUMIFS(总表!N:N,总表!D:D,A34,总表!G:G,"&gt;=2019/7/1",总表!G:G,"&lt;=2019/7/7")</f>
        <v>14972</v>
      </c>
      <c r="D34" s="75">
        <f t="shared" si="0"/>
        <v>14972</v>
      </c>
      <c r="E34" s="82" t="str">
        <f>VLOOKUP(A34,设计师对应店铺!A:B,COLUMN(设计师对应店铺!B:B)-COLUMN(设计师对应店铺!A:B)+1,0)</f>
        <v>家饰佳、兴力达</v>
      </c>
      <c r="G34" s="73" t="s">
        <v>75</v>
      </c>
      <c r="H34" s="74">
        <f>COUNTIFS(总表!D:D,G34,总表!L:L,"&lt;&gt;",总表!G:G,"&gt;=2019/7/8",总表!G:G,"&lt;=2019/7/14")</f>
        <v>0</v>
      </c>
      <c r="I34" s="74">
        <f>SUMIFS(总表!N:N,总表!D:D,G34,总表!G:G,"&gt;=2019/7/8",总表!G:G,"&lt;=2019/7/14")</f>
        <v>10901</v>
      </c>
      <c r="J34" s="75" t="s">
        <v>498</v>
      </c>
      <c r="K34" s="82" t="str">
        <f>VLOOKUP(G34,设计师对应店铺!A:B,COLUMN(设计师对应店铺!B:B)-COLUMN(设计师对应店铺!A:B)+1,0)</f>
        <v>宜山经理</v>
      </c>
      <c r="M34" s="73" t="s">
        <v>361</v>
      </c>
      <c r="N34" s="74">
        <f>COUNTIFS(总表!D:D,M34,总表!L:L,"&lt;&gt;",总表!G:G,"&gt;=2019/7/15",总表!G:G,"&lt;=2019/7/21")</f>
        <v>1</v>
      </c>
      <c r="O34" s="74">
        <f>SUMIFS(总表!N:N,总表!D:D,M34,总表!G:G,"&gt;=2019/7/15",总表!G:G,"&lt;=2019/7/21")</f>
        <v>22197</v>
      </c>
      <c r="P34" s="75">
        <f t="shared" si="3"/>
        <v>22197</v>
      </c>
      <c r="Q34" s="82" t="str">
        <f>VLOOKUP(M34,设计师对应店铺!A:B,COLUMN(设计师对应店铺!B:B)-COLUMN(设计师对应店铺!A:B)+1,0)</f>
        <v>美美家自配</v>
      </c>
    </row>
    <row r="35" spans="1:17">
      <c r="A35" s="77" t="s">
        <v>271</v>
      </c>
      <c r="B35" s="70">
        <f>COUNTIFS(总表!D:D,A35,总表!L:L,"&lt;&gt;",总表!G:G,"&gt;=2019/7/1",总表!G:G,"&lt;=2019/7/7")</f>
        <v>1</v>
      </c>
      <c r="C35" s="70">
        <f>SUMIFS(总表!N:N,总表!D:D,A35,总表!G:G,"&gt;=2019/7/1",总表!G:G,"&lt;=2019/7/7")</f>
        <v>11480</v>
      </c>
      <c r="D35" s="71">
        <f t="shared" si="0"/>
        <v>11480</v>
      </c>
      <c r="E35" s="83" t="str">
        <f>VLOOKUP(A35,设计师对应店铺!A:B,COLUMN(设计师对应店铺!B:B)-COLUMN(设计师对应店铺!A:B)+1,0)</f>
        <v>喜盈门</v>
      </c>
      <c r="G35" s="77" t="s">
        <v>3965</v>
      </c>
      <c r="H35" s="70">
        <f>COUNTIFS(总表!D:D,G35,总表!L:L,"&lt;&gt;",总表!G:G,"&gt;=2019/7/8",总表!G:G,"&lt;=2019/7/14")</f>
        <v>1</v>
      </c>
      <c r="I35" s="70">
        <f>SUMIFS(总表!N:N,总表!D:D,G35,总表!G:G,"&gt;=2019/7/8",总表!G:G,"&lt;=2019/7/14")</f>
        <v>10678</v>
      </c>
      <c r="J35" s="71">
        <f>I35/H35</f>
        <v>10678</v>
      </c>
      <c r="K35" s="83" t="str">
        <f>VLOOKUP(G35,设计师对应店铺!A:B,COLUMN(设计师对应店铺!B:B)-COLUMN(设计师对应店铺!A:B)+1,0)</f>
        <v>奉贤、金山、南汇、松江</v>
      </c>
      <c r="M35" s="77" t="s">
        <v>75</v>
      </c>
      <c r="N35" s="70">
        <f>COUNTIFS(总表!D:D,M35,总表!L:L,"&lt;&gt;",总表!G:G,"&gt;=2019/7/15",总表!G:G,"&lt;=2019/7/21")</f>
        <v>0</v>
      </c>
      <c r="O35" s="70">
        <f>SUMIFS(总表!N:N,总表!D:D,M35,总表!G:G,"&gt;=2019/7/15",总表!G:G,"&lt;=2019/7/21")</f>
        <v>17656</v>
      </c>
      <c r="P35" s="71" t="s">
        <v>498</v>
      </c>
      <c r="Q35" s="83" t="str">
        <f>VLOOKUP(M35,设计师对应店铺!A:B,COLUMN(设计师对应店铺!B:B)-COLUMN(设计师对应店铺!A:B)+1,0)</f>
        <v>宜山经理</v>
      </c>
    </row>
    <row r="36" spans="1:17">
      <c r="A36" s="73" t="s">
        <v>356</v>
      </c>
      <c r="B36" s="74">
        <f>COUNTIFS(总表!D:D,A36,总表!L:L,"&lt;&gt;",总表!G:G,"&gt;=2019/7/1",总表!G:G,"&lt;=2019/7/7")</f>
        <v>1</v>
      </c>
      <c r="C36" s="74">
        <f>SUMIFS(总表!N:N,总表!D:D,A36,总表!G:G,"&gt;=2019/7/1",总表!G:G,"&lt;=2019/7/7")</f>
        <v>7742</v>
      </c>
      <c r="D36" s="75">
        <f t="shared" si="0"/>
        <v>7742</v>
      </c>
      <c r="E36" s="82" t="str">
        <f>VLOOKUP(A36,设计师对应店铺!A:B,COLUMN(设计师对应店铺!B:B)-COLUMN(设计师对应店铺!A:B)+1,0)</f>
        <v>百安居</v>
      </c>
      <c r="G36" s="73" t="s">
        <v>125</v>
      </c>
      <c r="H36" s="74">
        <f>COUNTIFS(总表!D:D,G36,总表!L:L,"&lt;&gt;",总表!G:G,"&gt;=2019/7/8",总表!G:G,"&lt;=2019/7/14")</f>
        <v>0</v>
      </c>
      <c r="I36" s="74">
        <f>SUMIFS(总表!N:N,总表!D:D,G36,总表!G:G,"&gt;=2019/7/8",总表!G:G,"&lt;=2019/7/14")</f>
        <v>66</v>
      </c>
      <c r="J36" s="75" t="s">
        <v>498</v>
      </c>
      <c r="K36" s="82" t="str">
        <f>VLOOKUP(G36,设计师对应店铺!A:B,COLUMN(设计师对应店铺!B:B)-COLUMN(设计师对应店铺!A:B)+1,0)</f>
        <v>同福店店长</v>
      </c>
      <c r="M36" s="73" t="s">
        <v>149</v>
      </c>
      <c r="N36" s="74">
        <f>COUNTIFS(总表!D:D,M36,总表!L:L,"&lt;&gt;",总表!G:G,"&gt;=2019/7/15",总表!G:G,"&lt;=2019/7/21")</f>
        <v>0</v>
      </c>
      <c r="O36" s="74">
        <f>SUMIFS(总表!N:N,总表!D:D,M36,总表!G:G,"&gt;=2019/7/15",总表!G:G,"&lt;=2019/7/21")</f>
        <v>2597</v>
      </c>
      <c r="P36" s="75" t="s">
        <v>498</v>
      </c>
      <c r="Q36" s="82" t="str">
        <f>VLOOKUP(M36,设计师对应店铺!A:B,COLUMN(设计师对应店铺!B:B)-COLUMN(设计师对应店铺!A:B)+1,0)</f>
        <v>百安居</v>
      </c>
    </row>
    <row r="37" spans="1:17">
      <c r="A37" s="77" t="s">
        <v>5695</v>
      </c>
      <c r="B37" s="70">
        <f>COUNTIFS(总表!D:D,A37,总表!L:L,"&lt;&gt;",总表!G:G,"&gt;=2019/7/1",总表!G:G,"&lt;=2019/7/7")</f>
        <v>0</v>
      </c>
      <c r="C37" s="70">
        <f>SUMIFS(总表!N:N,总表!D:D,A37,总表!G:G,"&gt;=2019/7/1",总表!G:G,"&lt;=2019/7/7")</f>
        <v>1240</v>
      </c>
      <c r="D37" s="71" t="s">
        <v>498</v>
      </c>
      <c r="E37" s="83" t="str">
        <f>VLOOKUP(A37,设计师对应店铺!A:B,COLUMN(设计师对应店铺!B:B)-COLUMN(设计师对应店铺!A:B)+1,0)</f>
        <v>设计总监</v>
      </c>
      <c r="G37" s="77" t="s">
        <v>1431</v>
      </c>
      <c r="H37" s="70">
        <f>COUNTIFS(总表!D:D,G37,总表!L:L,"&lt;&gt;",总表!G:G,"&gt;=2019/7/8",总表!G:G,"&lt;=2019/7/14")</f>
        <v>0</v>
      </c>
      <c r="I37" s="70">
        <f>SUMIFS(总表!N:N,总表!D:D,G37,总表!G:G,"&gt;=2019/7/8",总表!G:G,"&lt;=2019/7/14")</f>
        <v>0</v>
      </c>
      <c r="J37" s="71">
        <v>0</v>
      </c>
      <c r="K37" s="83" t="str">
        <f>VLOOKUP(G37,设计师对应店铺!A:B,COLUMN(设计师对应店铺!B:B)-COLUMN(设计师对应店铺!A:B)+1,0)</f>
        <v>真北店</v>
      </c>
      <c r="M37" s="77" t="s">
        <v>3965</v>
      </c>
      <c r="N37" s="70">
        <f>COUNTIFS(总表!D:D,M37,总表!L:L,"&lt;&gt;",总表!G:G,"&gt;=2019/7/15",总表!G:G,"&lt;=2019/7/21")</f>
        <v>0</v>
      </c>
      <c r="O37" s="70">
        <f>SUMIFS(总表!N:N,总表!D:D,M37,总表!G:G,"&gt;=2019/7/15",总表!G:G,"&lt;=2019/7/21")</f>
        <v>0</v>
      </c>
      <c r="P37" s="71">
        <v>0</v>
      </c>
      <c r="Q37" s="83" t="str">
        <f>VLOOKUP(M37,设计师对应店铺!A:B,COLUMN(设计师对应店铺!B:B)-COLUMN(设计师对应店铺!A:B)+1,0)</f>
        <v>奉贤、金山、南汇、松江</v>
      </c>
    </row>
    <row r="38" spans="1:17">
      <c r="A38" s="73" t="s">
        <v>1431</v>
      </c>
      <c r="B38" s="74">
        <f>COUNTIFS(总表!D:D,A38,总表!L:L,"&lt;&gt;",总表!G:G,"&gt;=2019/7/1",总表!G:G,"&lt;=2019/7/7")</f>
        <v>0</v>
      </c>
      <c r="C38" s="74">
        <f>SUMIFS(总表!N:N,总表!D:D,A38,总表!G:G,"&gt;=2019/7/1",总表!G:G,"&lt;=2019/7/7")</f>
        <v>0</v>
      </c>
      <c r="D38" s="75">
        <v>0</v>
      </c>
      <c r="E38" s="82" t="str">
        <f>VLOOKUP(A38,设计师对应店铺!A:B,COLUMN(设计师对应店铺!B:B)-COLUMN(设计师对应店铺!A:B)+1,0)</f>
        <v>真北店</v>
      </c>
      <c r="G38" s="73" t="s">
        <v>191</v>
      </c>
      <c r="H38" s="74">
        <f>COUNTIFS(总表!D:D,G38,总表!L:L,"&lt;&gt;",总表!G:G,"&gt;=2019/7/8",总表!G:G,"&lt;=2019/7/14")</f>
        <v>0</v>
      </c>
      <c r="I38" s="74">
        <f>SUMIFS(总表!N:N,总表!D:D,G38,总表!G:G,"&gt;=2019/7/8",总表!G:G,"&lt;=2019/7/14")</f>
        <v>0</v>
      </c>
      <c r="J38" s="75">
        <v>0</v>
      </c>
      <c r="K38" s="82" t="str">
        <f>VLOOKUP(G38,设计师对应店铺!A:B,COLUMN(设计师对应店铺!B:B)-COLUMN(设计师对应店铺!A:B)+1,0)</f>
        <v>家饰佳</v>
      </c>
      <c r="M38" s="73" t="s">
        <v>1431</v>
      </c>
      <c r="N38" s="74">
        <f>COUNTIFS(总表!D:D,M38,总表!L:L,"&lt;&gt;",总表!G:G,"&gt;=2019/7/15",总表!G:G,"&lt;=2019/7/21")</f>
        <v>0</v>
      </c>
      <c r="O38" s="74">
        <f>SUMIFS(总表!N:N,总表!D:D,M38,总表!G:G,"&gt;=2019/7/15",总表!G:G,"&lt;=2019/7/21")</f>
        <v>0</v>
      </c>
      <c r="P38" s="75">
        <v>0</v>
      </c>
      <c r="Q38" s="82" t="str">
        <f>VLOOKUP(M38,设计师对应店铺!A:B,COLUMN(设计师对应店铺!B:B)-COLUMN(设计师对应店铺!A:B)+1,0)</f>
        <v>真北店</v>
      </c>
    </row>
    <row r="39" spans="1:17">
      <c r="A39" s="77" t="s">
        <v>191</v>
      </c>
      <c r="B39" s="70">
        <f>COUNTIFS(总表!D:D,A39,总表!L:L,"&lt;&gt;",总表!G:G,"&gt;=2019/7/1",总表!G:G,"&lt;=2019/7/7")</f>
        <v>0</v>
      </c>
      <c r="C39" s="70">
        <f>SUMIFS(总表!N:N,总表!D:D,A39,总表!G:G,"&gt;=2019/7/1",总表!G:G,"&lt;=2019/7/7")</f>
        <v>0</v>
      </c>
      <c r="D39" s="71">
        <v>0</v>
      </c>
      <c r="E39" s="83" t="str">
        <f>VLOOKUP(A39,设计师对应店铺!A:B,COLUMN(设计师对应店铺!B:B)-COLUMN(设计师对应店铺!A:B)+1,0)</f>
        <v>家饰佳</v>
      </c>
      <c r="G39" s="77" t="s">
        <v>5337</v>
      </c>
      <c r="H39" s="70">
        <f>COUNTIFS(总表!D:D,G39,总表!L:L,"&lt;&gt;",总表!G:G,"&gt;=2019/7/8",总表!G:G,"&lt;=2019/7/14")</f>
        <v>0</v>
      </c>
      <c r="I39" s="70">
        <f>SUMIFS(总表!N:N,总表!D:D,G39,总表!G:G,"&gt;=2019/7/8",总表!G:G,"&lt;=2019/7/14")</f>
        <v>0</v>
      </c>
      <c r="J39" s="71">
        <v>0</v>
      </c>
      <c r="K39" s="83" t="str">
        <f>VLOOKUP(G39,设计师对应店铺!A:B,COLUMN(设计师对应店铺!B:B)-COLUMN(设计师对应店铺!A:B)+1,0)</f>
        <v>尚品宅配</v>
      </c>
      <c r="M39" s="77" t="s">
        <v>191</v>
      </c>
      <c r="N39" s="70">
        <f>COUNTIFS(总表!D:D,M39,总表!L:L,"&lt;&gt;",总表!G:G,"&gt;=2019/7/15",总表!G:G,"&lt;=2019/7/21")</f>
        <v>0</v>
      </c>
      <c r="O39" s="70">
        <f>SUMIFS(总表!N:N,总表!D:D,M39,总表!G:G,"&gt;=2019/7/15",总表!G:G,"&lt;=2019/7/21")</f>
        <v>0</v>
      </c>
      <c r="P39" s="71">
        <v>0</v>
      </c>
      <c r="Q39" s="83" t="str">
        <f>VLOOKUP(M39,设计师对应店铺!A:B,COLUMN(设计师对应店铺!B:B)-COLUMN(设计师对应店铺!A:B)+1,0)</f>
        <v>家饰佳</v>
      </c>
    </row>
    <row r="40" spans="1:17">
      <c r="A40" s="73" t="s">
        <v>5337</v>
      </c>
      <c r="B40" s="74">
        <f>COUNTIFS(总表!D:D,A40,总表!L:L,"&lt;&gt;",总表!G:G,"&gt;=2019/7/1",总表!G:G,"&lt;=2019/7/7")</f>
        <v>0</v>
      </c>
      <c r="C40" s="74">
        <f>SUMIFS(总表!N:N,总表!D:D,A40,总表!G:G,"&gt;=2019/7/1",总表!G:G,"&lt;=2019/7/7")</f>
        <v>0</v>
      </c>
      <c r="D40" s="75">
        <v>0</v>
      </c>
      <c r="E40" s="82" t="str">
        <f>VLOOKUP(A40,设计师对应店铺!A:B,COLUMN(设计师对应店铺!B:B)-COLUMN(设计师对应店铺!A:B)+1,0)</f>
        <v>尚品宅配</v>
      </c>
      <c r="G40" s="73" t="s">
        <v>361</v>
      </c>
      <c r="H40" s="74">
        <f>COUNTIFS(总表!D:D,G40,总表!L:L,"&lt;&gt;",总表!G:G,"&gt;=2019/7/8",总表!G:G,"&lt;=2019/7/14")</f>
        <v>2</v>
      </c>
      <c r="I40" s="74">
        <f>SUMIFS(总表!N:N,总表!D:D,G40,总表!G:G,"&gt;=2019/7/8",总表!G:G,"&lt;=2019/7/14")</f>
        <v>0</v>
      </c>
      <c r="J40" s="75">
        <f>I40/H40</f>
        <v>0</v>
      </c>
      <c r="K40" s="82" t="str">
        <f>VLOOKUP(G40,设计师对应店铺!A:B,COLUMN(设计师对应店铺!B:B)-COLUMN(设计师对应店铺!A:B)+1,0)</f>
        <v>美美家自配</v>
      </c>
      <c r="M40" s="73" t="s">
        <v>115</v>
      </c>
      <c r="N40" s="74">
        <f>COUNTIFS(总表!D:D,M40,总表!L:L,"&lt;&gt;",总表!G:G,"&gt;=2019/7/15",总表!G:G,"&lt;=2019/7/21")</f>
        <v>0</v>
      </c>
      <c r="O40" s="74">
        <f>SUMIFS(总表!N:N,总表!D:D,M40,总表!G:G,"&gt;=2019/7/15",总表!G:G,"&lt;=2019/7/21")</f>
        <v>0</v>
      </c>
      <c r="P40" s="75">
        <v>0</v>
      </c>
      <c r="Q40" s="82" t="str">
        <f>VLOOKUP(M40,设计师对应店铺!A:B,COLUMN(设计师对应店铺!B:B)-COLUMN(设计师对应店铺!A:B)+1,0)</f>
        <v>奉贤、金山、南汇、松江</v>
      </c>
    </row>
    <row r="41" spans="1:17">
      <c r="A41" s="77" t="s">
        <v>5336</v>
      </c>
      <c r="B41" s="70">
        <f>COUNTIFS(总表!D:D,A41,总表!L:L,"&lt;&gt;",总表!G:G,"&gt;=2019/7/1",总表!G:G,"&lt;=2019/7/7")</f>
        <v>0</v>
      </c>
      <c r="C41" s="70">
        <f>SUMIFS(总表!N:N,总表!D:D,A41,总表!G:G,"&gt;=2019/7/1",总表!G:G,"&lt;=2019/7/7")</f>
        <v>0</v>
      </c>
      <c r="D41" s="71">
        <v>0</v>
      </c>
      <c r="E41" s="83" t="str">
        <f>VLOOKUP(A41,设计师对应店铺!A:B,COLUMN(设计师对应店铺!B:B)-COLUMN(设计师对应店铺!A:B)+1,0)</f>
        <v>尚品宅配</v>
      </c>
      <c r="G41" s="77" t="s">
        <v>5336</v>
      </c>
      <c r="H41" s="70">
        <f>COUNTIFS(总表!D:D,G41,总表!L:L,"&lt;&gt;",总表!G:G,"&gt;=2019/7/8",总表!G:G,"&lt;=2019/7/14")</f>
        <v>0</v>
      </c>
      <c r="I41" s="70">
        <f>SUMIFS(总表!N:N,总表!D:D,G41,总表!G:G,"&gt;=2019/7/8",总表!G:G,"&lt;=2019/7/14")</f>
        <v>0</v>
      </c>
      <c r="J41" s="71">
        <v>0</v>
      </c>
      <c r="K41" s="83" t="str">
        <f>VLOOKUP(G41,设计师对应店铺!A:B,COLUMN(设计师对应店铺!B:B)-COLUMN(设计师对应店铺!A:B)+1,0)</f>
        <v>尚品宅配</v>
      </c>
      <c r="M41" s="77" t="s">
        <v>21268</v>
      </c>
      <c r="N41" s="70">
        <f>COUNTIFS(总表!D:D,M41,总表!L:L,"&lt;&gt;",总表!G:G,"&gt;=2019/7/15",总表!G:G,"&lt;=2019/7/21")</f>
        <v>0</v>
      </c>
      <c r="O41" s="70">
        <f>SUMIFS(总表!N:N,总表!D:D,M41,总表!G:G,"&gt;=2019/7/15",总表!G:G,"&lt;=2019/7/21")</f>
        <v>0</v>
      </c>
      <c r="P41" s="71">
        <v>0</v>
      </c>
      <c r="Q41" s="83" t="str">
        <f>VLOOKUP(M41,设计师对应店铺!A:B,COLUMN(设计师对应店铺!B:B)-COLUMN(设计师对应店铺!A:B)+1,0)</f>
        <v>金山店</v>
      </c>
    </row>
    <row r="42" spans="1:17">
      <c r="A42" s="73" t="s">
        <v>21268</v>
      </c>
      <c r="B42" s="74">
        <f>COUNTIFS(总表!D:D,A42,总表!L:L,"&lt;&gt;",总表!G:G,"&gt;=2019/7/1",总表!G:G,"&lt;=2019/7/7")</f>
        <v>0</v>
      </c>
      <c r="C42" s="74">
        <f>SUMIFS(总表!N:N,总表!D:D,A42,总表!G:G,"&gt;=2019/7/1",总表!G:G,"&lt;=2019/7/7")</f>
        <v>0</v>
      </c>
      <c r="D42" s="75">
        <v>0</v>
      </c>
      <c r="E42" s="82" t="str">
        <f>VLOOKUP(A42,设计师对应店铺!A:B,COLUMN(设计师对应店铺!B:B)-COLUMN(设计师对应店铺!A:B)+1,0)</f>
        <v>金山店</v>
      </c>
      <c r="G42" s="73" t="s">
        <v>5695</v>
      </c>
      <c r="H42" s="74">
        <f>COUNTIFS(总表!D:D,G42,总表!L:L,"&lt;&gt;",总表!G:G,"&gt;=2019/7/8",总表!G:G,"&lt;=2019/7/14")</f>
        <v>0</v>
      </c>
      <c r="I42" s="74">
        <f>SUMIFS(总表!N:N,总表!D:D,G42,总表!G:G,"&gt;=2019/7/8",总表!G:G,"&lt;=2019/7/14")</f>
        <v>0</v>
      </c>
      <c r="J42" s="75">
        <v>0</v>
      </c>
      <c r="K42" s="82" t="str">
        <f>VLOOKUP(G42,设计师对应店铺!A:B,COLUMN(设计师对应店铺!B:B)-COLUMN(设计师对应店铺!A:B)+1,0)</f>
        <v>设计总监</v>
      </c>
      <c r="M42" s="73" t="s">
        <v>443</v>
      </c>
      <c r="N42" s="74">
        <f>COUNTIFS(总表!D:D,M42,总表!L:L,"&lt;&gt;",总表!G:G,"&gt;=2019/7/15",总表!G:G,"&lt;=2019/7/21")</f>
        <v>0</v>
      </c>
      <c r="O42" s="74">
        <f>SUMIFS(总表!N:N,总表!D:D,M42,总表!G:G,"&gt;=2019/7/15",总表!G:G,"&lt;=2019/7/21")</f>
        <v>0</v>
      </c>
      <c r="P42" s="75">
        <v>0</v>
      </c>
      <c r="Q42" s="82" t="str">
        <f>VLOOKUP(M42,设计师对应店铺!A:B,COLUMN(设计师对应店铺!B:B)-COLUMN(设计师对应店铺!A:B)+1,0)</f>
        <v>家饰佳</v>
      </c>
    </row>
    <row r="43" spans="1:17">
      <c r="A43" s="77" t="s">
        <v>443</v>
      </c>
      <c r="B43" s="70">
        <f>COUNTIFS(总表!D:D,A43,总表!L:L,"&lt;&gt;",总表!G:G,"&gt;=2019/7/1",总表!G:G,"&lt;=2019/7/7")</f>
        <v>0</v>
      </c>
      <c r="C43" s="70">
        <f>SUMIFS(总表!N:N,总表!D:D,A43,总表!G:G,"&gt;=2019/7/1",总表!G:G,"&lt;=2019/7/7")</f>
        <v>0</v>
      </c>
      <c r="D43" s="71">
        <v>0</v>
      </c>
      <c r="E43" s="83" t="str">
        <f>VLOOKUP(A43,设计师对应店铺!A:B,COLUMN(设计师对应店铺!B:B)-COLUMN(设计师对应店铺!A:B)+1,0)</f>
        <v>家饰佳</v>
      </c>
      <c r="G43" s="77" t="s">
        <v>443</v>
      </c>
      <c r="H43" s="70">
        <f>COUNTIFS(总表!D:D,G43,总表!L:L,"&lt;&gt;",总表!G:G,"&gt;=2019/7/8",总表!G:G,"&lt;=2019/7/14")</f>
        <v>0</v>
      </c>
      <c r="I43" s="70">
        <f>SUMIFS(总表!N:N,总表!D:D,G43,总表!G:G,"&gt;=2019/7/8",总表!G:G,"&lt;=2019/7/14")</f>
        <v>0</v>
      </c>
      <c r="J43" s="71">
        <v>0</v>
      </c>
      <c r="K43" s="83" t="str">
        <f>VLOOKUP(G43,设计师对应店铺!A:B,COLUMN(设计师对应店铺!B:B)-COLUMN(设计师对应店铺!A:B)+1,0)</f>
        <v>家饰佳</v>
      </c>
      <c r="M43" s="77" t="s">
        <v>5695</v>
      </c>
      <c r="N43" s="70">
        <f>COUNTIFS(总表!D:D,M43,总表!L:L,"&lt;&gt;",总表!G:G,"&gt;=2019/7/15",总表!G:G,"&lt;=2019/7/21")</f>
        <v>0</v>
      </c>
      <c r="O43" s="70">
        <f>SUMIFS(总表!N:N,总表!D:D,M43,总表!G:G,"&gt;=2019/7/15",总表!G:G,"&lt;=2019/7/21")</f>
        <v>-25981</v>
      </c>
      <c r="P43" s="71" t="s">
        <v>498</v>
      </c>
      <c r="Q43" s="83" t="str">
        <f>VLOOKUP(M43,设计师对应店铺!A:B,COLUMN(设计师对应店铺!B:B)-COLUMN(设计师对应店铺!A:B)+1,0)</f>
        <v>设计总监</v>
      </c>
    </row>
    <row r="44" spans="8:14">
      <c r="H44"/>
      <c r="I44"/>
      <c r="J44"/>
      <c r="K44"/>
      <c r="L44"/>
      <c r="M44"/>
      <c r="N44"/>
    </row>
    <row r="45" spans="1:5">
      <c r="A45" s="65" t="s">
        <v>21293</v>
      </c>
      <c r="B45" s="66"/>
      <c r="C45" s="66"/>
      <c r="D45" s="66"/>
      <c r="E45" s="67"/>
    </row>
    <row r="46" spans="1:5">
      <c r="A46" s="80" t="s">
        <v>21234</v>
      </c>
      <c r="B46" s="80">
        <f>SUM(B48:B87)</f>
        <v>203</v>
      </c>
      <c r="C46" s="80">
        <f>SUM(C48:C87)</f>
        <v>3260256.43</v>
      </c>
      <c r="D46" s="81">
        <f>C46/B46</f>
        <v>16060.3765024631</v>
      </c>
      <c r="E46" s="81"/>
    </row>
    <row r="47" spans="1:5">
      <c r="A47" s="69" t="s">
        <v>30</v>
      </c>
      <c r="B47" s="70" t="s">
        <v>21258</v>
      </c>
      <c r="C47" s="70" t="s">
        <v>10</v>
      </c>
      <c r="D47" s="70" t="s">
        <v>21242</v>
      </c>
      <c r="E47" s="72" t="s">
        <v>21243</v>
      </c>
    </row>
    <row r="48" spans="1:5">
      <c r="A48" s="73" t="s">
        <v>717</v>
      </c>
      <c r="B48" s="74">
        <f>COUNTIFS(总表!D:D,A48,总表!L:L,"&lt;&gt;",总表!G:G,"&gt;=2019/7/22",总表!G:G,"&lt;=2019/7/28")</f>
        <v>7</v>
      </c>
      <c r="C48" s="74">
        <f>SUMIFS(总表!N:N,总表!D:D,A48,总表!G:G,"&gt;=2019/7/22",总表!G:G,"&lt;=2019/7/28")</f>
        <v>268760</v>
      </c>
      <c r="D48" s="75">
        <f t="shared" ref="D48:D75" si="4">C48/B48</f>
        <v>38394.2857142857</v>
      </c>
      <c r="E48" s="82">
        <f>VLOOKUP(A48,设计师对应店铺!A:B,COLUMN(设计师对应店铺!B:B)-COLUMN(设计师对应店铺!A:B)+1,0)</f>
        <v>0</v>
      </c>
    </row>
    <row r="49" spans="1:5">
      <c r="A49" s="77" t="s">
        <v>89</v>
      </c>
      <c r="B49" s="70">
        <f>COUNTIFS(总表!D:D,A49,总表!L:L,"&lt;&gt;",总表!G:G,"&gt;=2019/7/22",总表!G:G,"&lt;=2019/7/28")</f>
        <v>13</v>
      </c>
      <c r="C49" s="70">
        <f>SUMIFS(总表!N:N,总表!D:D,A49,总表!G:G,"&gt;=2019/7/22",总表!G:G,"&lt;=2019/7/28")</f>
        <v>216840</v>
      </c>
      <c r="D49" s="71">
        <f t="shared" si="4"/>
        <v>16680</v>
      </c>
      <c r="E49" s="83" t="str">
        <f>VLOOKUP(A49,设计师对应店铺!A:B,COLUMN(设计师对应店铺!B:B)-COLUMN(设计师对应店铺!A:B)+1,0)</f>
        <v>吉盛伟邦</v>
      </c>
    </row>
    <row r="50" spans="1:5">
      <c r="A50" s="73" t="s">
        <v>187</v>
      </c>
      <c r="B50" s="74">
        <f>COUNTIFS(总表!D:D,A50,总表!L:L,"&lt;&gt;",总表!G:G,"&gt;=2019/7/22",总表!G:G,"&lt;=2019/7/28")</f>
        <v>10</v>
      </c>
      <c r="C50" s="74">
        <f>SUMIFS(总表!N:N,总表!D:D,A50,总表!G:G,"&gt;=2019/7/22",总表!G:G,"&lt;=2019/7/28")</f>
        <v>216060</v>
      </c>
      <c r="D50" s="75">
        <f t="shared" si="4"/>
        <v>21606</v>
      </c>
      <c r="E50" s="82" t="str">
        <f>VLOOKUP(A50,设计师对应店铺!A:B,COLUMN(设计师对应店铺!B:B)-COLUMN(设计师对应店铺!A:B)+1,0)</f>
        <v>百家宜</v>
      </c>
    </row>
    <row r="51" spans="1:5">
      <c r="A51" s="77" t="s">
        <v>343</v>
      </c>
      <c r="B51" s="70">
        <f>COUNTIFS(总表!D:D,A51,总表!L:L,"&lt;&gt;",总表!G:G,"&gt;=2019/7/22",总表!G:G,"&lt;=2019/7/28")</f>
        <v>14</v>
      </c>
      <c r="C51" s="70">
        <f>SUMIFS(总表!N:N,总表!D:D,A51,总表!G:G,"&gt;=2019/7/22",总表!G:G,"&lt;=2019/7/28")</f>
        <v>214384</v>
      </c>
      <c r="D51" s="71">
        <f t="shared" si="4"/>
        <v>15313.1428571429</v>
      </c>
      <c r="E51" s="83" t="str">
        <f>VLOOKUP(A51,设计师对应店铺!A:B,COLUMN(设计师对应店铺!B:B)-COLUMN(设计师对应店铺!A:B)+1,0)</f>
        <v>喜盈门</v>
      </c>
    </row>
    <row r="52" spans="1:5">
      <c r="A52" s="73" t="s">
        <v>68</v>
      </c>
      <c r="B52" s="74">
        <f>COUNTIFS(总表!D:D,A52,总表!L:L,"&lt;&gt;",总表!G:G,"&gt;=2019/7/22",总表!G:G,"&lt;=2019/7/28")</f>
        <v>15</v>
      </c>
      <c r="C52" s="74">
        <f>SUMIFS(总表!N:N,总表!D:D,A52,总表!G:G,"&gt;=2019/7/22",总表!G:G,"&lt;=2019/7/28")</f>
        <v>203602</v>
      </c>
      <c r="D52" s="75">
        <f t="shared" si="4"/>
        <v>13573.4666666667</v>
      </c>
      <c r="E52" s="82" t="str">
        <f>VLOOKUP(A52,设计师对应店铺!A:B,COLUMN(设计师对应店铺!B:B)-COLUMN(设计师对应店铺!A:B)+1,0)</f>
        <v>沪南店</v>
      </c>
    </row>
    <row r="53" spans="1:5">
      <c r="A53" s="77" t="s">
        <v>139</v>
      </c>
      <c r="B53" s="70">
        <f>COUNTIFS(总表!D:D,A53,总表!L:L,"&lt;&gt;",总表!G:G,"&gt;=2019/7/22",总表!G:G,"&lt;=2019/7/28")</f>
        <v>15</v>
      </c>
      <c r="C53" s="70">
        <f>SUMIFS(总表!N:N,总表!D:D,A53,总表!G:G,"&gt;=2019/7/22",总表!G:G,"&lt;=2019/7/28")</f>
        <v>180238</v>
      </c>
      <c r="D53" s="71">
        <f t="shared" si="4"/>
        <v>12015.8666666667</v>
      </c>
      <c r="E53" s="83" t="str">
        <f>VLOOKUP(A53,设计师对应店铺!A:B,COLUMN(设计师对应店铺!B:B)-COLUMN(设计师对应店铺!A:B)+1,0)</f>
        <v>家饰佳</v>
      </c>
    </row>
    <row r="54" spans="1:5">
      <c r="A54" s="73" t="s">
        <v>143</v>
      </c>
      <c r="B54" s="74">
        <f>COUNTIFS(总表!D:D,A54,总表!L:L,"&lt;&gt;",总表!G:G,"&gt;=2019/7/22",总表!G:G,"&lt;=2019/7/28")</f>
        <v>3</v>
      </c>
      <c r="C54" s="74">
        <f>SUMIFS(总表!N:N,总表!D:D,A54,总表!G:G,"&gt;=2019/7/22",总表!G:G,"&lt;=2019/7/28")</f>
        <v>184134</v>
      </c>
      <c r="D54" s="75">
        <f t="shared" si="4"/>
        <v>61378</v>
      </c>
      <c r="E54" s="82" t="str">
        <f>VLOOKUP(A54,设计师对应店铺!A:B,COLUMN(设计师对应店铺!B:B)-COLUMN(设计师对应店铺!A:B)+1,0)</f>
        <v>沪南店店长</v>
      </c>
    </row>
    <row r="55" spans="1:5">
      <c r="A55" s="77" t="s">
        <v>44</v>
      </c>
      <c r="B55" s="70">
        <f>COUNTIFS(总表!D:D,A55,总表!L:L,"&lt;&gt;",总表!G:G,"&gt;=2019/7/22",总表!G:G,"&lt;=2019/7/28")</f>
        <v>9</v>
      </c>
      <c r="C55" s="70">
        <f>SUMIFS(总表!N:N,总表!D:D,A55,总表!G:G,"&gt;=2019/7/22",总表!G:G,"&lt;=2019/7/28")</f>
        <v>168697</v>
      </c>
      <c r="D55" s="71">
        <f t="shared" si="4"/>
        <v>18744.1111111111</v>
      </c>
      <c r="E55" s="83" t="str">
        <f>VLOOKUP(A55,设计师对应店铺!A:B,COLUMN(设计师对应店铺!B:B)-COLUMN(设计师对应店铺!A:B)+1,0)</f>
        <v>金桥店、百安居</v>
      </c>
    </row>
    <row r="56" spans="1:5">
      <c r="A56" s="73" t="s">
        <v>49</v>
      </c>
      <c r="B56" s="74">
        <f>COUNTIFS(总表!D:D,A56,总表!L:L,"&lt;&gt;",总表!G:G,"&gt;=2019/7/22",总表!G:G,"&lt;=2019/7/28")</f>
        <v>11</v>
      </c>
      <c r="C56" s="74">
        <f>SUMIFS(总表!N:N,总表!D:D,A56,总表!G:G,"&gt;=2019/7/22",总表!G:G,"&lt;=2019/7/28")</f>
        <v>165401</v>
      </c>
      <c r="D56" s="75">
        <f t="shared" si="4"/>
        <v>15036.4545454545</v>
      </c>
      <c r="E56" s="82" t="str">
        <f>VLOOKUP(A56,设计师对应店铺!A:B,COLUMN(设计师对应店铺!B:B)-COLUMN(设计师对应店铺!A:B)+1,0)</f>
        <v>奉贤、金山、南汇、松江</v>
      </c>
    </row>
    <row r="57" spans="1:5">
      <c r="A57" s="77" t="s">
        <v>125</v>
      </c>
      <c r="B57" s="70">
        <f>COUNTIFS(总表!D:D,A57,总表!L:L,"&lt;&gt;",总表!G:G,"&gt;=2019/7/22",总表!G:G,"&lt;=2019/7/28")</f>
        <v>9</v>
      </c>
      <c r="C57" s="70">
        <f>SUMIFS(总表!N:N,总表!D:D,A57,总表!G:G,"&gt;=2019/7/22",总表!G:G,"&lt;=2019/7/28")</f>
        <v>157177</v>
      </c>
      <c r="D57" s="71">
        <f t="shared" si="4"/>
        <v>17464.1111111111</v>
      </c>
      <c r="E57" s="83" t="str">
        <f>VLOOKUP(A57,设计师对应店铺!A:B,COLUMN(设计师对应店铺!B:B)-COLUMN(设计师对应店铺!A:B)+1,0)</f>
        <v>同福店店长</v>
      </c>
    </row>
    <row r="58" spans="1:5">
      <c r="A58" s="73" t="s">
        <v>271</v>
      </c>
      <c r="B58" s="74">
        <f>COUNTIFS(总表!D:D,A58,总表!L:L,"&lt;&gt;",总表!G:G,"&gt;=2019/7/22",总表!G:G,"&lt;=2019/7/28")</f>
        <v>8</v>
      </c>
      <c r="C58" s="74">
        <f>SUMIFS(总表!N:N,总表!D:D,A58,总表!G:G,"&gt;=2019/7/22",总表!G:G,"&lt;=2019/7/28")</f>
        <v>141383</v>
      </c>
      <c r="D58" s="75">
        <f t="shared" si="4"/>
        <v>17672.875</v>
      </c>
      <c r="E58" s="82" t="str">
        <f>VLOOKUP(A58,设计师对应店铺!A:B,COLUMN(设计师对应店铺!B:B)-COLUMN(设计师对应店铺!A:B)+1,0)</f>
        <v>喜盈门</v>
      </c>
    </row>
    <row r="59" spans="1:5">
      <c r="A59" s="77" t="s">
        <v>155</v>
      </c>
      <c r="B59" s="70">
        <f>COUNTIFS(总表!D:D,A59,总表!L:L,"&lt;&gt;",总表!G:G,"&gt;=2019/7/22",总表!G:G,"&lt;=2019/7/28")</f>
        <v>5</v>
      </c>
      <c r="C59" s="70">
        <f>SUMIFS(总表!N:N,总表!D:D,A59,总表!G:G,"&gt;=2019/7/22",总表!G:G,"&lt;=2019/7/28")</f>
        <v>122144</v>
      </c>
      <c r="D59" s="71">
        <f t="shared" si="4"/>
        <v>24428.8</v>
      </c>
      <c r="E59" s="83" t="str">
        <f>VLOOKUP(A59,设计师对应店铺!A:B,COLUMN(设计师对应店铺!B:B)-COLUMN(设计师对应店铺!A:B)+1,0)</f>
        <v>好饰家</v>
      </c>
    </row>
    <row r="60" spans="1:5">
      <c r="A60" s="73" t="s">
        <v>171</v>
      </c>
      <c r="B60" s="74">
        <f>COUNTIFS(总表!D:D,A60,总表!L:L,"&lt;&gt;",总表!G:G,"&gt;=2019/7/22",总表!G:G,"&lt;=2019/7/28")</f>
        <v>7</v>
      </c>
      <c r="C60" s="74">
        <f>SUMIFS(总表!N:N,总表!D:D,A60,总表!G:G,"&gt;=2019/7/22",总表!G:G,"&lt;=2019/7/28")</f>
        <v>119734</v>
      </c>
      <c r="D60" s="75">
        <f t="shared" si="4"/>
        <v>17104.8571428571</v>
      </c>
      <c r="E60" s="82" t="str">
        <f>VLOOKUP(A60,设计师对应店铺!A:B,COLUMN(设计师对应店铺!B:B)-COLUMN(设计师对应店铺!A:B)+1,0)</f>
        <v>家饰佳、兴力达</v>
      </c>
    </row>
    <row r="61" spans="1:5">
      <c r="A61" s="77" t="s">
        <v>37</v>
      </c>
      <c r="B61" s="70">
        <f>COUNTIFS(总表!D:D,A61,总表!L:L,"&lt;&gt;",总表!G:G,"&gt;=2019/7/22",总表!G:G,"&lt;=2019/7/28")</f>
        <v>8</v>
      </c>
      <c r="C61" s="70">
        <f>SUMIFS(总表!N:N,总表!D:D,A61,总表!G:G,"&gt;=2019/7/22",总表!G:G,"&lt;=2019/7/28")</f>
        <v>110413</v>
      </c>
      <c r="D61" s="71">
        <f t="shared" si="4"/>
        <v>13801.625</v>
      </c>
      <c r="E61" s="83" t="str">
        <f>VLOOKUP(A61,设计师对应店铺!A:B,COLUMN(设计师对应店铺!B:B)-COLUMN(设计师对应店铺!A:B)+1,0)</f>
        <v>浦江店</v>
      </c>
    </row>
    <row r="62" spans="1:5">
      <c r="A62" s="73" t="s">
        <v>162</v>
      </c>
      <c r="B62" s="74">
        <f>COUNTIFS(总表!D:D,A62,总表!L:L,"&lt;&gt;",总表!G:G,"&gt;=2019/7/22",总表!G:G,"&lt;=2019/7/28")</f>
        <v>8</v>
      </c>
      <c r="C62" s="74">
        <f>SUMIFS(总表!N:N,总表!D:D,A62,总表!G:G,"&gt;=2019/7/22",总表!G:G,"&lt;=2019/7/28")</f>
        <v>112719.43</v>
      </c>
      <c r="D62" s="75">
        <f t="shared" si="4"/>
        <v>14089.92875</v>
      </c>
      <c r="E62" s="82" t="str">
        <f>VLOOKUP(A62,设计师对应店铺!A:B,COLUMN(设计师对应店铺!B:B)-COLUMN(设计师对应店铺!A:B)+1,0)</f>
        <v>真北店</v>
      </c>
    </row>
    <row r="63" spans="1:5">
      <c r="A63" s="77" t="s">
        <v>33</v>
      </c>
      <c r="B63" s="70">
        <f>COUNTIFS(总表!D:D,A63,总表!L:L,"&lt;&gt;",总表!G:G,"&gt;=2019/7/22",总表!G:G,"&lt;=2019/7/28")</f>
        <v>9</v>
      </c>
      <c r="C63" s="70">
        <f>SUMIFS(总表!N:N,总表!D:D,A63,总表!G:G,"&gt;=2019/7/22",总表!G:G,"&lt;=2019/7/28")</f>
        <v>105573</v>
      </c>
      <c r="D63" s="71">
        <f t="shared" si="4"/>
        <v>11730.3333333333</v>
      </c>
      <c r="E63" s="83" t="str">
        <f>VLOOKUP(A63,设计师对应店铺!A:B,COLUMN(设计师对应店铺!B:B)-COLUMN(设计师对应店铺!A:B)+1,0)</f>
        <v>汶水店</v>
      </c>
    </row>
    <row r="64" spans="1:5">
      <c r="A64" s="73" t="s">
        <v>407</v>
      </c>
      <c r="B64" s="74">
        <f>COUNTIFS(总表!D:D,A64,总表!L:L,"&lt;&gt;",总表!G:G,"&gt;=2019/7/22",总表!G:G,"&lt;=2019/7/28")</f>
        <v>10</v>
      </c>
      <c r="C64" s="74">
        <f>SUMIFS(总表!N:N,总表!D:D,A64,总表!G:G,"&gt;=2019/7/22",总表!G:G,"&lt;=2019/7/28")</f>
        <v>99651</v>
      </c>
      <c r="D64" s="75">
        <f t="shared" si="4"/>
        <v>9965.1</v>
      </c>
      <c r="E64" s="82" t="str">
        <f>VLOOKUP(A64,设计师对应店铺!A:B,COLUMN(设计师对应店铺!B:B)-COLUMN(设计师对应店铺!A:B)+1,0)</f>
        <v>嘉定店</v>
      </c>
    </row>
    <row r="65" spans="1:5">
      <c r="A65" s="77" t="s">
        <v>110</v>
      </c>
      <c r="B65" s="70">
        <f>COUNTIFS(总表!D:D,A65,总表!L:L,"&lt;&gt;",总表!G:G,"&gt;=2019/7/22",总表!G:G,"&lt;=2019/7/28")</f>
        <v>10</v>
      </c>
      <c r="C65" s="70">
        <f>SUMIFS(总表!N:N,总表!D:D,A65,总表!G:G,"&gt;=2019/7/22",总表!G:G,"&lt;=2019/7/28")</f>
        <v>76035</v>
      </c>
      <c r="D65" s="71">
        <f t="shared" si="4"/>
        <v>7603.5</v>
      </c>
      <c r="E65" s="83" t="str">
        <f>VLOOKUP(A65,设计师对应店铺!A:B,COLUMN(设计师对应店铺!B:B)-COLUMN(设计师对应店铺!A:B)+1,0)</f>
        <v>喜盈门</v>
      </c>
    </row>
    <row r="66" spans="1:5">
      <c r="A66" s="73" t="s">
        <v>518</v>
      </c>
      <c r="B66" s="74">
        <f>COUNTIFS(总表!D:D,A66,总表!L:L,"&lt;&gt;",总表!G:G,"&gt;=2019/7/22",总表!G:G,"&lt;=2019/7/28")</f>
        <v>4</v>
      </c>
      <c r="C66" s="74">
        <f>SUMIFS(总表!N:N,总表!D:D,A66,总表!G:G,"&gt;=2019/7/22",总表!G:G,"&lt;=2019/7/28")</f>
        <v>64680</v>
      </c>
      <c r="D66" s="75">
        <f t="shared" si="4"/>
        <v>16170</v>
      </c>
      <c r="E66" s="82" t="str">
        <f>VLOOKUP(A66,设计师对应店铺!A:B,COLUMN(设计师对应店铺!B:B)-COLUMN(设计师对应店铺!A:B)+1,0)</f>
        <v>奉贤店</v>
      </c>
    </row>
    <row r="67" spans="1:5">
      <c r="A67" s="77" t="s">
        <v>337</v>
      </c>
      <c r="B67" s="70">
        <f>COUNTIFS(总表!D:D,A67,总表!L:L,"&lt;&gt;",总表!G:G,"&gt;=2019/7/22",总表!G:G,"&lt;=2019/7/28")</f>
        <v>5</v>
      </c>
      <c r="C67" s="70">
        <f>SUMIFS(总表!N:N,总表!D:D,A67,总表!G:G,"&gt;=2019/7/22",总表!G:G,"&lt;=2019/7/28")</f>
        <v>54585</v>
      </c>
      <c r="D67" s="71">
        <f t="shared" si="4"/>
        <v>10917</v>
      </c>
      <c r="E67" s="83" t="str">
        <f>VLOOKUP(A67,设计师对应店铺!A:B,COLUMN(设计师对应店铺!B:B)-COLUMN(设计师对应店铺!A:B)+1,0)</f>
        <v>建配龙</v>
      </c>
    </row>
    <row r="68" spans="1:5">
      <c r="A68" s="73" t="s">
        <v>221</v>
      </c>
      <c r="B68" s="74">
        <f>COUNTIFS(总表!D:D,A68,总表!L:L,"&lt;&gt;",总表!G:G,"&gt;=2019/7/22",总表!G:G,"&lt;=2019/7/28")</f>
        <v>3</v>
      </c>
      <c r="C68" s="74">
        <f>SUMIFS(总表!N:N,总表!D:D,A68,总表!G:G,"&gt;=2019/7/22",总表!G:G,"&lt;=2019/7/28")</f>
        <v>50948</v>
      </c>
      <c r="D68" s="75">
        <f t="shared" si="4"/>
        <v>16982.6666666667</v>
      </c>
      <c r="E68" s="82" t="str">
        <f>VLOOKUP(A68,设计师对应店铺!A:B,COLUMN(设计师对应店铺!B:B)-COLUMN(设计师对应店铺!A:B)+1,0)</f>
        <v>汶水店</v>
      </c>
    </row>
    <row r="69" spans="1:5">
      <c r="A69" s="77" t="s">
        <v>132</v>
      </c>
      <c r="B69" s="70">
        <f>COUNTIFS(总表!D:D,A69,总表!L:L,"&lt;&gt;",总表!G:G,"&gt;=2019/7/22",总表!G:G,"&lt;=2019/7/28")</f>
        <v>6</v>
      </c>
      <c r="C69" s="70">
        <f>SUMIFS(总表!N:N,总表!D:D,A69,总表!G:G,"&gt;=2019/7/22",总表!G:G,"&lt;=2019/7/28")</f>
        <v>47565</v>
      </c>
      <c r="D69" s="71">
        <f t="shared" si="4"/>
        <v>7927.5</v>
      </c>
      <c r="E69" s="83" t="str">
        <f>VLOOKUP(A69,设计师对应店铺!A:B,COLUMN(设计师对应店铺!B:B)-COLUMN(设计师对应店铺!A:B)+1,0)</f>
        <v>真北店</v>
      </c>
    </row>
    <row r="70" spans="1:5">
      <c r="A70" s="73" t="s">
        <v>635</v>
      </c>
      <c r="B70" s="74">
        <f>COUNTIFS(总表!D:D,A70,总表!L:L,"&lt;&gt;",总表!G:G,"&gt;=2019/7/22",总表!G:G,"&lt;=2019/7/28")</f>
        <v>4</v>
      </c>
      <c r="C70" s="74">
        <f>SUMIFS(总表!N:N,总表!D:D,A70,总表!G:G,"&gt;=2019/7/22",总表!G:G,"&lt;=2019/7/28")</f>
        <v>42248</v>
      </c>
      <c r="D70" s="75">
        <f t="shared" si="4"/>
        <v>10562</v>
      </c>
      <c r="E70" s="82" t="str">
        <f>VLOOKUP(A70,设计师对应店铺!A:B,COLUMN(设计师对应店铺!B:B)-COLUMN(设计师对应店铺!A:B)+1,0)</f>
        <v>家饰佳、兴力达</v>
      </c>
    </row>
    <row r="71" spans="1:5">
      <c r="A71" s="77" t="s">
        <v>149</v>
      </c>
      <c r="B71" s="70">
        <f>COUNTIFS(总表!D:D,A71,总表!L:L,"&lt;&gt;",总表!G:G,"&gt;=2019/7/22",总表!G:G,"&lt;=2019/7/28")</f>
        <v>3</v>
      </c>
      <c r="C71" s="70">
        <f>SUMIFS(总表!N:N,总表!D:D,A71,总表!G:G,"&gt;=2019/7/22",总表!G:G,"&lt;=2019/7/28")</f>
        <v>39583</v>
      </c>
      <c r="D71" s="71">
        <f t="shared" si="4"/>
        <v>13194.3333333333</v>
      </c>
      <c r="E71" s="83" t="str">
        <f>VLOOKUP(A71,设计师对应店铺!A:B,COLUMN(设计师对应店铺!B:B)-COLUMN(设计师对应店铺!A:B)+1,0)</f>
        <v>百安居</v>
      </c>
    </row>
    <row r="72" spans="1:5">
      <c r="A72" s="73" t="s">
        <v>75</v>
      </c>
      <c r="B72" s="74">
        <f>COUNTIFS(总表!D:D,A72,总表!L:L,"&lt;&gt;",总表!G:G,"&gt;=2019/7/22",总表!G:G,"&lt;=2019/7/28")</f>
        <v>1</v>
      </c>
      <c r="C72" s="74">
        <f>SUMIFS(总表!N:N,总表!D:D,A72,总表!G:G,"&gt;=2019/7/22",总表!G:G,"&lt;=2019/7/28")</f>
        <v>34634</v>
      </c>
      <c r="D72" s="75">
        <f t="shared" si="4"/>
        <v>34634</v>
      </c>
      <c r="E72" s="82" t="str">
        <f>VLOOKUP(A72,设计师对应店铺!A:B,COLUMN(设计师对应店铺!B:B)-COLUMN(设计师对应店铺!A:B)+1,0)</f>
        <v>宜山经理</v>
      </c>
    </row>
    <row r="73" spans="1:5">
      <c r="A73" s="77" t="s">
        <v>427</v>
      </c>
      <c r="B73" s="70">
        <f>COUNTIFS(总表!D:D,A73,总表!L:L,"&lt;&gt;",总表!G:G,"&gt;=2019/7/22",总表!G:G,"&lt;=2019/7/28")</f>
        <v>2</v>
      </c>
      <c r="C73" s="70">
        <f>SUMIFS(总表!N:N,总表!D:D,A73,总表!G:G,"&gt;=2019/7/22",总表!G:G,"&lt;=2019/7/28")</f>
        <v>31388</v>
      </c>
      <c r="D73" s="71">
        <f t="shared" si="4"/>
        <v>15694</v>
      </c>
      <c r="E73" s="83" t="str">
        <f>VLOOKUP(A73,设计师对应店铺!A:B,COLUMN(设计师对应店铺!B:B)-COLUMN(设计师对应店铺!A:B)+1,0)</f>
        <v>百家宜</v>
      </c>
    </row>
    <row r="74" spans="1:5">
      <c r="A74" s="73" t="s">
        <v>60</v>
      </c>
      <c r="B74" s="74">
        <f>COUNTIFS(总表!D:D,A74,总表!L:L,"&lt;&gt;",总表!G:G,"&gt;=2019/7/22",总表!G:G,"&lt;=2019/7/28")</f>
        <v>1</v>
      </c>
      <c r="C74" s="74">
        <f>SUMIFS(总表!N:N,总表!D:D,A74,总表!G:G,"&gt;=2019/7/22",总表!G:G,"&lt;=2019/7/28")</f>
        <v>15252</v>
      </c>
      <c r="D74" s="75">
        <f t="shared" si="4"/>
        <v>15252</v>
      </c>
      <c r="E74" s="82" t="str">
        <f>VLOOKUP(A74,设计师对应店铺!A:B,COLUMN(设计师对应店铺!B:B)-COLUMN(设计师对应店铺!A:B)+1,0)</f>
        <v>家饰佳</v>
      </c>
    </row>
    <row r="75" spans="1:5">
      <c r="A75" s="77" t="s">
        <v>182</v>
      </c>
      <c r="B75" s="70">
        <f>COUNTIFS(总表!D:D,A75,总表!L:L,"&lt;&gt;",总表!G:G,"&gt;=2019/7/22",总表!G:G,"&lt;=2019/7/28")</f>
        <v>1</v>
      </c>
      <c r="C75" s="70">
        <f>SUMIFS(总表!N:N,总表!D:D,A75,总表!G:G,"&gt;=2019/7/22",总表!G:G,"&lt;=2019/7/28")</f>
        <v>8595</v>
      </c>
      <c r="D75" s="71">
        <f t="shared" si="4"/>
        <v>8595</v>
      </c>
      <c r="E75" s="83" t="str">
        <f>VLOOKUP(A75,设计师对应店铺!A:B,COLUMN(设计师对应店铺!B:B)-COLUMN(设计师对应店铺!A:B)+1,0)</f>
        <v>真北店</v>
      </c>
    </row>
    <row r="76" spans="1:5">
      <c r="A76" s="73" t="s">
        <v>5695</v>
      </c>
      <c r="B76" s="74">
        <f>COUNTIFS(总表!D:D,A76,总表!L:L,"&lt;&gt;",总表!G:G,"&gt;=2019/7/22",总表!G:G,"&lt;=2019/7/28")</f>
        <v>0</v>
      </c>
      <c r="C76" s="74">
        <f>SUMIFS(总表!N:N,总表!D:D,A76,总表!G:G,"&gt;=2019/7/22",总表!G:G,"&lt;=2019/7/28")</f>
        <v>4350</v>
      </c>
      <c r="D76" s="75" t="s">
        <v>498</v>
      </c>
      <c r="E76" s="82" t="str">
        <f>VLOOKUP(A76,设计师对应店铺!A:B,COLUMN(设计师对应店铺!B:B)-COLUMN(设计师对应店铺!A:B)+1,0)</f>
        <v>设计总监</v>
      </c>
    </row>
    <row r="77" spans="1:5">
      <c r="A77" s="77" t="s">
        <v>443</v>
      </c>
      <c r="B77" s="70">
        <f>COUNTIFS(总表!D:D,A77,总表!L:L,"&lt;&gt;",总表!G:G,"&gt;=2019/7/22",总表!G:G,"&lt;=2019/7/28")</f>
        <v>2</v>
      </c>
      <c r="C77" s="70">
        <f>SUMIFS(总表!N:N,总表!D:D,A77,总表!G:G,"&gt;=2019/7/22",总表!G:G,"&lt;=2019/7/28")</f>
        <v>11589</v>
      </c>
      <c r="D77" s="71">
        <f>C77/B77</f>
        <v>5794.5</v>
      </c>
      <c r="E77" s="83" t="str">
        <f>VLOOKUP(A77,设计师对应店铺!A:B,COLUMN(设计师对应店铺!B:B)-COLUMN(设计师对应店铺!A:B)+1,0)</f>
        <v>家饰佳</v>
      </c>
    </row>
    <row r="78" spans="1:5">
      <c r="A78" s="73" t="s">
        <v>3965</v>
      </c>
      <c r="B78" s="74">
        <f>COUNTIFS(总表!D:D,A78,总表!L:L,"&lt;&gt;",总表!G:G,"&gt;=2019/7/22",总表!G:G,"&lt;=2019/7/28")</f>
        <v>0</v>
      </c>
      <c r="C78" s="74">
        <f>SUMIFS(总表!N:N,总表!D:D,A78,总表!G:G,"&gt;=2019/7/22",总表!G:G,"&lt;=2019/7/28")</f>
        <v>0</v>
      </c>
      <c r="D78" s="75">
        <v>0</v>
      </c>
      <c r="E78" s="82" t="str">
        <f>VLOOKUP(A78,设计师对应店铺!A:B,COLUMN(设计师对应店铺!B:B)-COLUMN(设计师对应店铺!A:B)+1,0)</f>
        <v>奉贤、金山、南汇、松江</v>
      </c>
    </row>
    <row r="79" spans="1:5">
      <c r="A79" s="77" t="s">
        <v>1431</v>
      </c>
      <c r="B79" s="70">
        <f>COUNTIFS(总表!D:D,A79,总表!L:L,"&lt;&gt;",总表!G:G,"&gt;=2019/7/22",总表!G:G,"&lt;=2019/7/28")</f>
        <v>0</v>
      </c>
      <c r="C79" s="70">
        <f>SUMIFS(总表!N:N,总表!D:D,A79,总表!G:G,"&gt;=2019/7/22",总表!G:G,"&lt;=2019/7/28")</f>
        <v>0</v>
      </c>
      <c r="D79" s="71">
        <v>0</v>
      </c>
      <c r="E79" s="83" t="str">
        <f>VLOOKUP(A79,设计师对应店铺!A:B,COLUMN(设计师对应店铺!B:B)-COLUMN(设计师对应店铺!A:B)+1,0)</f>
        <v>真北店</v>
      </c>
    </row>
    <row r="80" spans="1:5">
      <c r="A80" s="73" t="s">
        <v>191</v>
      </c>
      <c r="B80" s="74">
        <f>COUNTIFS(总表!D:D,A80,总表!L:L,"&lt;&gt;",总表!G:G,"&gt;=2019/7/22",总表!G:G,"&lt;=2019/7/28")</f>
        <v>0</v>
      </c>
      <c r="C80" s="74">
        <f>SUMIFS(总表!N:N,总表!D:D,A80,总表!G:G,"&gt;=2019/7/22",总表!G:G,"&lt;=2019/7/28")</f>
        <v>0</v>
      </c>
      <c r="D80" s="75">
        <v>0</v>
      </c>
      <c r="E80" s="82" t="str">
        <f>VLOOKUP(A80,设计师对应店铺!A:B,COLUMN(设计师对应店铺!B:B)-COLUMN(设计师对应店铺!A:B)+1,0)</f>
        <v>家饰佳</v>
      </c>
    </row>
    <row r="81" spans="1:5">
      <c r="A81" s="77" t="s">
        <v>5337</v>
      </c>
      <c r="B81" s="70">
        <f>COUNTIFS(总表!D:D,A81,总表!L:L,"&lt;&gt;",总表!G:G,"&gt;=2019/7/22",总表!G:G,"&lt;=2019/7/28")</f>
        <v>0</v>
      </c>
      <c r="C81" s="70">
        <f>SUMIFS(总表!N:N,总表!D:D,A81,总表!G:G,"&gt;=2019/7/22",总表!G:G,"&lt;=2019/7/28")</f>
        <v>0</v>
      </c>
      <c r="D81" s="71">
        <v>0</v>
      </c>
      <c r="E81" s="83" t="str">
        <f>VLOOKUP(A81,设计师对应店铺!A:B,COLUMN(设计师对应店铺!B:B)-COLUMN(设计师对应店铺!A:B)+1,0)</f>
        <v>尚品宅配</v>
      </c>
    </row>
    <row r="82" spans="1:5">
      <c r="A82" s="73" t="s">
        <v>361</v>
      </c>
      <c r="B82" s="74">
        <f>COUNTIFS(总表!D:D,A82,总表!L:L,"&lt;&gt;",总表!G:G,"&gt;=2019/7/22",总表!G:G,"&lt;=2019/7/28")</f>
        <v>0</v>
      </c>
      <c r="C82" s="74">
        <f>SUMIFS(总表!N:N,总表!D:D,A82,总表!G:G,"&gt;=2019/7/22",总表!G:G,"&lt;=2019/7/28")</f>
        <v>0</v>
      </c>
      <c r="D82" s="75">
        <v>0</v>
      </c>
      <c r="E82" s="82" t="str">
        <f>VLOOKUP(A82,设计师对应店铺!A:B,COLUMN(设计师对应店铺!B:B)-COLUMN(设计师对应店铺!A:B)+1,0)</f>
        <v>美美家自配</v>
      </c>
    </row>
    <row r="83" spans="1:5">
      <c r="A83" s="77" t="s">
        <v>1170</v>
      </c>
      <c r="B83" s="70">
        <f>COUNTIFS(总表!D:D,A83,总表!L:L,"&lt;&gt;",总表!G:G,"&gt;=2019/7/22",总表!G:G,"&lt;=2019/7/28")</f>
        <v>0</v>
      </c>
      <c r="C83" s="70">
        <f>SUMIFS(总表!N:N,总表!D:D,A83,总表!G:G,"&gt;=2019/7/22",总表!G:G,"&lt;=2019/7/28")</f>
        <v>0</v>
      </c>
      <c r="D83" s="71">
        <v>0</v>
      </c>
      <c r="E83" s="83" t="str">
        <f>VLOOKUP(A83,设计师对应店铺!A:B,COLUMN(设计师对应店铺!B:B)-COLUMN(设计师对应店铺!A:B)+1,0)</f>
        <v>百安居</v>
      </c>
    </row>
    <row r="84" spans="1:5">
      <c r="A84" s="73" t="s">
        <v>115</v>
      </c>
      <c r="B84" s="74">
        <f>COUNTIFS(总表!D:D,A84,总表!L:L,"&lt;&gt;",总表!G:G,"&gt;=2019/7/22",总表!G:G,"&lt;=2019/7/28")</f>
        <v>0</v>
      </c>
      <c r="C84" s="74">
        <f>SUMIFS(总表!N:N,总表!D:D,A84,总表!G:G,"&gt;=2019/7/22",总表!G:G,"&lt;=2019/7/28")</f>
        <v>0</v>
      </c>
      <c r="D84" s="75">
        <v>0</v>
      </c>
      <c r="E84" s="82" t="str">
        <f>VLOOKUP(A84,设计师对应店铺!A:B,COLUMN(设计师对应店铺!B:B)-COLUMN(设计师对应店铺!A:B)+1,0)</f>
        <v>奉贤、金山、南汇、松江</v>
      </c>
    </row>
    <row r="85" spans="1:5">
      <c r="A85" s="77" t="s">
        <v>5336</v>
      </c>
      <c r="B85" s="70">
        <f>COUNTIFS(总表!D:D,A85,总表!L:L,"&lt;&gt;",总表!G:G,"&gt;=2019/7/22",总表!G:G,"&lt;=2019/7/28")</f>
        <v>0</v>
      </c>
      <c r="C85" s="70">
        <f>SUMIFS(总表!N:N,总表!D:D,A85,总表!G:G,"&gt;=2019/7/22",总表!G:G,"&lt;=2019/7/28")</f>
        <v>0</v>
      </c>
      <c r="D85" s="71">
        <v>0</v>
      </c>
      <c r="E85" s="83" t="str">
        <f>VLOOKUP(A85,设计师对应店铺!A:B,COLUMN(设计师对应店铺!B:B)-COLUMN(设计师对应店铺!A:B)+1,0)</f>
        <v>尚品宅配</v>
      </c>
    </row>
    <row r="86" spans="1:5">
      <c r="A86" s="73" t="s">
        <v>21268</v>
      </c>
      <c r="B86" s="74">
        <f>COUNTIFS(总表!D:D,A86,总表!L:L,"&lt;&gt;",总表!G:G,"&gt;=2019/7/22",总表!G:G,"&lt;=2019/7/28")</f>
        <v>0</v>
      </c>
      <c r="C86" s="74">
        <f>SUMIFS(总表!N:N,总表!D:D,A86,总表!G:G,"&gt;=2019/7/22",总表!G:G,"&lt;=2019/7/28")</f>
        <v>0</v>
      </c>
      <c r="D86" s="75">
        <v>0</v>
      </c>
      <c r="E86" s="82" t="str">
        <f>VLOOKUP(A86,设计师对应店铺!A:B,COLUMN(设计师对应店铺!B:B)-COLUMN(设计师对应店铺!A:B)+1,0)</f>
        <v>金山店</v>
      </c>
    </row>
    <row r="87" spans="1:5">
      <c r="A87" s="77" t="s">
        <v>356</v>
      </c>
      <c r="B87" s="70">
        <f>COUNTIFS(总表!D:D,A87,总表!L:L,"&lt;&gt;",总表!G:G,"&gt;=2019/7/22",总表!G:G,"&lt;=2019/7/28")</f>
        <v>0</v>
      </c>
      <c r="C87" s="70">
        <f>SUMIFS(总表!N:N,总表!D:D,A87,总表!G:G,"&gt;=2019/7/22",总表!G:G,"&lt;=2019/7/28")</f>
        <v>-8106</v>
      </c>
      <c r="D87" s="71" t="s">
        <v>498</v>
      </c>
      <c r="E87" s="83" t="str">
        <f>VLOOKUP(A87,设计师对应店铺!A:B,COLUMN(设计师对应店铺!B:B)-COLUMN(设计师对应店铺!A:B)+1,0)</f>
        <v>百安居</v>
      </c>
    </row>
    <row r="90" spans="1:5">
      <c r="A90" s="65" t="s">
        <v>21294</v>
      </c>
      <c r="B90" s="66"/>
      <c r="C90" s="66"/>
      <c r="D90" s="66"/>
      <c r="E90" s="67"/>
    </row>
    <row r="91" spans="1:5">
      <c r="A91" s="80" t="s">
        <v>21234</v>
      </c>
      <c r="B91" s="80">
        <f>SUM(B93:B132)</f>
        <v>220</v>
      </c>
      <c r="C91" s="80">
        <f>SUM(C93:C132)</f>
        <v>3335452.99</v>
      </c>
      <c r="D91" s="81">
        <f>C91/B91</f>
        <v>15161.1499545455</v>
      </c>
      <c r="E91" s="81"/>
    </row>
    <row r="92" spans="1:5">
      <c r="A92" s="69" t="s">
        <v>30</v>
      </c>
      <c r="B92" s="70" t="s">
        <v>21258</v>
      </c>
      <c r="C92" s="70" t="s">
        <v>10</v>
      </c>
      <c r="D92" s="70" t="s">
        <v>21242</v>
      </c>
      <c r="E92" s="72" t="s">
        <v>21243</v>
      </c>
    </row>
    <row r="93" spans="1:5">
      <c r="A93" s="73" t="s">
        <v>139</v>
      </c>
      <c r="B93" s="74">
        <f>COUNTIFS(总表!D:D,A93,总表!L:L,"&lt;&gt;",总表!G:G,"&gt;=2019/7/29",总表!G:G,"&lt;=2019/7/31")</f>
        <v>30</v>
      </c>
      <c r="C93" s="74">
        <f>SUMIFS(总表!N:N,总表!D:D,A93,总表!G:G,"&gt;=2019/7/29",总表!G:G,"&lt;=2019/7/31")</f>
        <v>366746</v>
      </c>
      <c r="D93" s="75">
        <f t="shared" ref="D93:D125" si="5">C93/B93</f>
        <v>12224.8666666667</v>
      </c>
      <c r="E93" s="82" t="str">
        <f>VLOOKUP(A93,设计师对应店铺!A:B,COLUMN(设计师对应店铺!B:B)-COLUMN(设计师对应店铺!A:B)+1,0)</f>
        <v>家饰佳</v>
      </c>
    </row>
    <row r="94" spans="1:5">
      <c r="A94" s="77" t="s">
        <v>37</v>
      </c>
      <c r="B94" s="70">
        <f>COUNTIFS(总表!D:D,A94,总表!L:L,"&lt;&gt;",总表!G:G,"&gt;=2019/7/29",总表!G:G,"&lt;=2019/7/31")</f>
        <v>25</v>
      </c>
      <c r="C94" s="70">
        <f>SUMIFS(总表!N:N,总表!D:D,A94,总表!G:G,"&gt;=2019/7/29",总表!G:G,"&lt;=2019/7/31")</f>
        <v>260590</v>
      </c>
      <c r="D94" s="71">
        <f t="shared" si="5"/>
        <v>10423.6</v>
      </c>
      <c r="E94" s="83" t="str">
        <f>VLOOKUP(A94,设计师对应店铺!A:B,COLUMN(设计师对应店铺!B:B)-COLUMN(设计师对应店铺!A:B)+1,0)</f>
        <v>浦江店</v>
      </c>
    </row>
    <row r="95" spans="1:5">
      <c r="A95" s="73" t="s">
        <v>132</v>
      </c>
      <c r="B95" s="74">
        <f>COUNTIFS(总表!D:D,A95,总表!L:L,"&lt;&gt;",总表!G:G,"&gt;=2019/7/29",总表!G:G,"&lt;=2019/7/31")</f>
        <v>7</v>
      </c>
      <c r="C95" s="74">
        <f>SUMIFS(总表!N:N,总表!D:D,A95,总表!G:G,"&gt;=2019/7/29",总表!G:G,"&lt;=2019/7/31")</f>
        <v>207847</v>
      </c>
      <c r="D95" s="75">
        <f t="shared" si="5"/>
        <v>29692.4285714286</v>
      </c>
      <c r="E95" s="82" t="str">
        <f>VLOOKUP(A95,设计师对应店铺!A:B,COLUMN(设计师对应店铺!B:B)-COLUMN(设计师对应店铺!A:B)+1,0)</f>
        <v>真北店</v>
      </c>
    </row>
    <row r="96" spans="1:5">
      <c r="A96" s="77" t="s">
        <v>427</v>
      </c>
      <c r="B96" s="70">
        <f>COUNTIFS(总表!D:D,A96,总表!L:L,"&lt;&gt;",总表!G:G,"&gt;=2019/7/29",总表!G:G,"&lt;=2019/7/31")</f>
        <v>17</v>
      </c>
      <c r="C96" s="70">
        <f>SUMIFS(总表!N:N,总表!D:D,A96,总表!G:G,"&gt;=2019/7/29",总表!G:G,"&lt;=2019/7/31")</f>
        <v>192131</v>
      </c>
      <c r="D96" s="71">
        <f t="shared" si="5"/>
        <v>11301.8235294118</v>
      </c>
      <c r="E96" s="83" t="str">
        <f>VLOOKUP(A96,设计师对应店铺!A:B,COLUMN(设计师对应店铺!B:B)-COLUMN(设计师对应店铺!A:B)+1,0)</f>
        <v>百家宜</v>
      </c>
    </row>
    <row r="97" spans="1:5">
      <c r="A97" s="73" t="s">
        <v>717</v>
      </c>
      <c r="B97" s="74">
        <f>COUNTIFS(总表!D:D,A97,总表!L:L,"&lt;&gt;",总表!G:G,"&gt;=2019/7/29",总表!G:G,"&lt;=2019/7/31")</f>
        <v>7</v>
      </c>
      <c r="C97" s="74">
        <f>SUMIFS(总表!N:N,总表!D:D,A97,总表!G:G,"&gt;=2019/7/29",总表!G:G,"&lt;=2019/7/31")</f>
        <v>173390</v>
      </c>
      <c r="D97" s="75">
        <f t="shared" si="5"/>
        <v>24770</v>
      </c>
      <c r="E97" s="82">
        <f>VLOOKUP(A97,设计师对应店铺!A:B,COLUMN(设计师对应店铺!B:B)-COLUMN(设计师对应店铺!A:B)+1,0)</f>
        <v>0</v>
      </c>
    </row>
    <row r="98" spans="1:5">
      <c r="A98" s="77" t="s">
        <v>407</v>
      </c>
      <c r="B98" s="70">
        <f>COUNTIFS(总表!D:D,A98,总表!L:L,"&lt;&gt;",总表!G:G,"&gt;=2019/7/29",总表!G:G,"&lt;=2019/7/31")</f>
        <v>5</v>
      </c>
      <c r="C98" s="70">
        <f>SUMIFS(总表!N:N,总表!D:D,A98,总表!G:G,"&gt;=2019/7/29",总表!G:G,"&lt;=2019/7/31")</f>
        <v>167349</v>
      </c>
      <c r="D98" s="71">
        <f t="shared" si="5"/>
        <v>33469.8</v>
      </c>
      <c r="E98" s="83" t="str">
        <f>VLOOKUP(A98,设计师对应店铺!A:B,COLUMN(设计师对应店铺!B:B)-COLUMN(设计师对应店铺!A:B)+1,0)</f>
        <v>嘉定店</v>
      </c>
    </row>
    <row r="99" spans="1:5">
      <c r="A99" s="73" t="s">
        <v>187</v>
      </c>
      <c r="B99" s="74">
        <f>COUNTIFS(总表!D:D,A99,总表!L:L,"&lt;&gt;",总表!G:G,"&gt;=2019/7/29",总表!G:G,"&lt;=2019/7/31")</f>
        <v>8</v>
      </c>
      <c r="C99" s="74">
        <f>SUMIFS(总表!N:N,总表!D:D,A99,总表!G:G,"&gt;=2019/7/29",总表!G:G,"&lt;=2019/7/31")</f>
        <v>149279</v>
      </c>
      <c r="D99" s="75">
        <f t="shared" si="5"/>
        <v>18659.875</v>
      </c>
      <c r="E99" s="82" t="str">
        <f>VLOOKUP(A99,设计师对应店铺!A:B,COLUMN(设计师对应店铺!B:B)-COLUMN(设计师对应店铺!A:B)+1,0)</f>
        <v>百家宜</v>
      </c>
    </row>
    <row r="100" spans="1:5">
      <c r="A100" s="77" t="s">
        <v>33</v>
      </c>
      <c r="B100" s="70">
        <f>COUNTIFS(总表!D:D,A100,总表!L:L,"&lt;&gt;",总表!G:G,"&gt;=2019/7/29",总表!G:G,"&lt;=2019/7/31")</f>
        <v>8</v>
      </c>
      <c r="C100" s="70">
        <f>SUMIFS(总表!N:N,总表!D:D,A100,总表!G:G,"&gt;=2019/7/29",总表!G:G,"&lt;=2019/7/31")</f>
        <v>144173</v>
      </c>
      <c r="D100" s="71">
        <f t="shared" si="5"/>
        <v>18021.625</v>
      </c>
      <c r="E100" s="83" t="str">
        <f>VLOOKUP(A100,设计师对应店铺!A:B,COLUMN(设计师对应店铺!B:B)-COLUMN(设计师对应店铺!A:B)+1,0)</f>
        <v>汶水店</v>
      </c>
    </row>
    <row r="101" spans="1:5">
      <c r="A101" s="73" t="s">
        <v>125</v>
      </c>
      <c r="B101" s="74">
        <f>COUNTIFS(总表!D:D,A101,总表!L:L,"&lt;&gt;",总表!G:G,"&gt;=2019/7/29",总表!G:G,"&lt;=2019/7/31")</f>
        <v>12</v>
      </c>
      <c r="C101" s="74">
        <f>SUMIFS(总表!N:N,总表!D:D,A101,总表!G:G,"&gt;=2019/7/29",总表!G:G,"&lt;=2019/7/31")</f>
        <v>143276</v>
      </c>
      <c r="D101" s="75">
        <f t="shared" si="5"/>
        <v>11939.6666666667</v>
      </c>
      <c r="E101" s="82" t="str">
        <f>VLOOKUP(A101,设计师对应店铺!A:B,COLUMN(设计师对应店铺!B:B)-COLUMN(设计师对应店铺!A:B)+1,0)</f>
        <v>同福店店长</v>
      </c>
    </row>
    <row r="102" spans="1:5">
      <c r="A102" s="77" t="s">
        <v>49</v>
      </c>
      <c r="B102" s="70">
        <f>COUNTIFS(总表!D:D,A102,总表!L:L,"&lt;&gt;",总表!G:G,"&gt;=2019/7/29",总表!G:G,"&lt;=2019/7/31")</f>
        <v>5</v>
      </c>
      <c r="C102" s="70">
        <f>SUMIFS(总表!N:N,总表!D:D,A102,总表!G:G,"&gt;=2019/7/29",总表!G:G,"&lt;=2019/7/31")</f>
        <v>142113</v>
      </c>
      <c r="D102" s="71">
        <f t="shared" si="5"/>
        <v>28422.6</v>
      </c>
      <c r="E102" s="83" t="str">
        <f>VLOOKUP(A102,设计师对应店铺!A:B,COLUMN(设计师对应店铺!B:B)-COLUMN(设计师对应店铺!A:B)+1,0)</f>
        <v>奉贤、金山、南汇、松江</v>
      </c>
    </row>
    <row r="103" spans="1:5">
      <c r="A103" s="73" t="s">
        <v>68</v>
      </c>
      <c r="B103" s="74">
        <f>COUNTIFS(总表!D:D,A103,总表!L:L,"&lt;&gt;",总表!G:G,"&gt;=2019/7/29",总表!G:G,"&lt;=2019/7/31")</f>
        <v>12</v>
      </c>
      <c r="C103" s="74">
        <f>SUMIFS(总表!N:N,总表!D:D,A103,总表!G:G,"&gt;=2019/7/29",总表!G:G,"&lt;=2019/7/31")</f>
        <v>132539.99</v>
      </c>
      <c r="D103" s="75">
        <f t="shared" si="5"/>
        <v>11044.9991666667</v>
      </c>
      <c r="E103" s="82" t="str">
        <f>VLOOKUP(A103,设计师对应店铺!A:B,COLUMN(设计师对应店铺!B:B)-COLUMN(设计师对应店铺!A:B)+1,0)</f>
        <v>沪南店</v>
      </c>
    </row>
    <row r="104" spans="1:5">
      <c r="A104" s="77" t="s">
        <v>343</v>
      </c>
      <c r="B104" s="70">
        <f>COUNTIFS(总表!D:D,A104,总表!L:L,"&lt;&gt;",总表!G:G,"&gt;=2019/7/29",总表!G:G,"&lt;=2019/7/31")</f>
        <v>5</v>
      </c>
      <c r="C104" s="70">
        <f>SUMIFS(总表!N:N,总表!D:D,A104,总表!G:G,"&gt;=2019/7/29",总表!G:G,"&lt;=2019/7/31")</f>
        <v>120147</v>
      </c>
      <c r="D104" s="71">
        <f t="shared" si="5"/>
        <v>24029.4</v>
      </c>
      <c r="E104" s="83" t="str">
        <f>VLOOKUP(A104,设计师对应店铺!A:B,COLUMN(设计师对应店铺!B:B)-COLUMN(设计师对应店铺!A:B)+1,0)</f>
        <v>喜盈门</v>
      </c>
    </row>
    <row r="105" spans="1:5">
      <c r="A105" s="73" t="s">
        <v>518</v>
      </c>
      <c r="B105" s="74">
        <f>COUNTIFS(总表!D:D,A105,总表!L:L,"&lt;&gt;",总表!G:G,"&gt;=2019/7/29",总表!G:G,"&lt;=2019/7/31")</f>
        <v>2</v>
      </c>
      <c r="C105" s="74">
        <f>SUMIFS(总表!N:N,总表!D:D,A105,总表!G:G,"&gt;=2019/7/29",总表!G:G,"&lt;=2019/7/31")</f>
        <v>108700</v>
      </c>
      <c r="D105" s="75">
        <f t="shared" si="5"/>
        <v>54350</v>
      </c>
      <c r="E105" s="82" t="str">
        <f>VLOOKUP(A105,设计师对应店铺!A:B,COLUMN(设计师对应店铺!B:B)-COLUMN(设计师对应店铺!A:B)+1,0)</f>
        <v>奉贤店</v>
      </c>
    </row>
    <row r="106" spans="1:5">
      <c r="A106" s="77" t="s">
        <v>155</v>
      </c>
      <c r="B106" s="70">
        <f>COUNTIFS(总表!D:D,A106,总表!L:L,"&lt;&gt;",总表!G:G,"&gt;=2019/7/29",总表!G:G,"&lt;=2019/7/31")</f>
        <v>7</v>
      </c>
      <c r="C106" s="70">
        <f>SUMIFS(总表!N:N,总表!D:D,A106,总表!G:G,"&gt;=2019/7/29",总表!G:G,"&lt;=2019/7/31")</f>
        <v>108251</v>
      </c>
      <c r="D106" s="71">
        <f t="shared" si="5"/>
        <v>15464.4285714286</v>
      </c>
      <c r="E106" s="83" t="str">
        <f>VLOOKUP(A106,设计师对应店铺!A:B,COLUMN(设计师对应店铺!B:B)-COLUMN(设计师对应店铺!A:B)+1,0)</f>
        <v>好饰家</v>
      </c>
    </row>
    <row r="107" spans="1:5">
      <c r="A107" s="73" t="s">
        <v>89</v>
      </c>
      <c r="B107" s="74">
        <f>COUNTIFS(总表!D:D,A107,总表!L:L,"&lt;&gt;",总表!G:G,"&gt;=2019/7/29",总表!G:G,"&lt;=2019/7/31")</f>
        <v>8</v>
      </c>
      <c r="C107" s="74">
        <f>SUMIFS(总表!N:N,总表!D:D,A107,总表!G:G,"&gt;=2019/7/29",总表!G:G,"&lt;=2019/7/31")</f>
        <v>109287</v>
      </c>
      <c r="D107" s="75">
        <f t="shared" si="5"/>
        <v>13660.875</v>
      </c>
      <c r="E107" s="82" t="str">
        <f>VLOOKUP(A107,设计师对应店铺!A:B,COLUMN(设计师对应店铺!B:B)-COLUMN(设计师对应店铺!A:B)+1,0)</f>
        <v>吉盛伟邦</v>
      </c>
    </row>
    <row r="108" spans="1:5">
      <c r="A108" s="77" t="s">
        <v>75</v>
      </c>
      <c r="B108" s="70">
        <f>COUNTIFS(总表!D:D,A108,总表!L:L,"&lt;&gt;",总表!G:G,"&gt;=2019/7/29",总表!G:G,"&lt;=2019/7/31")</f>
        <v>4</v>
      </c>
      <c r="C108" s="70">
        <f>SUMIFS(总表!N:N,总表!D:D,A108,总表!G:G,"&gt;=2019/7/29",总表!G:G,"&lt;=2019/7/31")</f>
        <v>101934</v>
      </c>
      <c r="D108" s="71">
        <f t="shared" si="5"/>
        <v>25483.5</v>
      </c>
      <c r="E108" s="83" t="str">
        <f>VLOOKUP(A108,设计师对应店铺!A:B,COLUMN(设计师对应店铺!B:B)-COLUMN(设计师对应店铺!A:B)+1,0)</f>
        <v>宜山经理</v>
      </c>
    </row>
    <row r="109" spans="1:5">
      <c r="A109" s="73" t="s">
        <v>44</v>
      </c>
      <c r="B109" s="74">
        <f>COUNTIFS(总表!D:D,A109,总表!L:L,"&lt;&gt;",总表!G:G,"&gt;=2019/7/29",总表!G:G,"&lt;=2019/7/31")</f>
        <v>3</v>
      </c>
      <c r="C109" s="74">
        <f>SUMIFS(总表!N:N,总表!D:D,A109,总表!G:G,"&gt;=2019/7/29",总表!G:G,"&lt;=2019/7/31")</f>
        <v>96776</v>
      </c>
      <c r="D109" s="75">
        <f t="shared" si="5"/>
        <v>32258.6666666667</v>
      </c>
      <c r="E109" s="82" t="str">
        <f>VLOOKUP(A109,设计师对应店铺!A:B,COLUMN(设计师对应店铺!B:B)-COLUMN(设计师对应店铺!A:B)+1,0)</f>
        <v>金桥店、百安居</v>
      </c>
    </row>
    <row r="110" spans="1:5">
      <c r="A110" s="77" t="s">
        <v>271</v>
      </c>
      <c r="B110" s="70">
        <f>COUNTIFS(总表!D:D,A110,总表!L:L,"&lt;&gt;",总表!G:G,"&gt;=2019/7/29",总表!G:G,"&lt;=2019/7/31")</f>
        <v>7</v>
      </c>
      <c r="C110" s="70">
        <f>SUMIFS(总表!N:N,总表!D:D,A110,总表!G:G,"&gt;=2019/7/29",总表!G:G,"&lt;=2019/7/31")</f>
        <v>77290</v>
      </c>
      <c r="D110" s="71">
        <f t="shared" si="5"/>
        <v>11041.4285714286</v>
      </c>
      <c r="E110" s="83" t="str">
        <f>VLOOKUP(A110,设计师对应店铺!A:B,COLUMN(设计师对应店铺!B:B)-COLUMN(设计师对应店铺!A:B)+1,0)</f>
        <v>喜盈门</v>
      </c>
    </row>
    <row r="111" spans="1:5">
      <c r="A111" s="73" t="s">
        <v>110</v>
      </c>
      <c r="B111" s="74">
        <f>COUNTIFS(总表!D:D,A111,总表!L:L,"&lt;&gt;",总表!G:G,"&gt;=2019/7/29",总表!G:G,"&lt;=2019/7/31")</f>
        <v>6</v>
      </c>
      <c r="C111" s="74">
        <f>SUMIFS(总表!N:N,总表!D:D,A111,总表!G:G,"&gt;=2019/7/29",总表!G:G,"&lt;=2019/7/31")</f>
        <v>69450</v>
      </c>
      <c r="D111" s="75">
        <f t="shared" si="5"/>
        <v>11575</v>
      </c>
      <c r="E111" s="82" t="str">
        <f>VLOOKUP(A111,设计师对应店铺!A:B,COLUMN(设计师对应店铺!B:B)-COLUMN(设计师对应店铺!A:B)+1,0)</f>
        <v>喜盈门</v>
      </c>
    </row>
    <row r="112" spans="1:5">
      <c r="A112" s="77" t="s">
        <v>162</v>
      </c>
      <c r="B112" s="70">
        <f>COUNTIFS(总表!D:D,A112,总表!L:L,"&lt;&gt;",总表!G:G,"&gt;=2019/7/29",总表!G:G,"&lt;=2019/7/31")</f>
        <v>6</v>
      </c>
      <c r="C112" s="70">
        <f>SUMIFS(总表!N:N,总表!D:D,A112,总表!G:G,"&gt;=2019/7/29",总表!G:G,"&lt;=2019/7/31")</f>
        <v>59748</v>
      </c>
      <c r="D112" s="71">
        <f t="shared" si="5"/>
        <v>9958</v>
      </c>
      <c r="E112" s="83" t="str">
        <f>VLOOKUP(A112,设计师对应店铺!A:B,COLUMN(设计师对应店铺!B:B)-COLUMN(设计师对应店铺!A:B)+1,0)</f>
        <v>真北店</v>
      </c>
    </row>
    <row r="113" spans="1:5">
      <c r="A113" s="73" t="s">
        <v>221</v>
      </c>
      <c r="B113" s="74">
        <f>COUNTIFS(总表!D:D,A113,总表!L:L,"&lt;&gt;",总表!G:G,"&gt;=2019/7/29",总表!G:G,"&lt;=2019/7/31")</f>
        <v>6</v>
      </c>
      <c r="C113" s="74">
        <f>SUMIFS(总表!N:N,总表!D:D,A113,总表!G:G,"&gt;=2019/7/29",总表!G:G,"&lt;=2019/7/31")</f>
        <v>69761</v>
      </c>
      <c r="D113" s="75">
        <f t="shared" si="5"/>
        <v>11626.8333333333</v>
      </c>
      <c r="E113" s="82" t="str">
        <f>VLOOKUP(A113,设计师对应店铺!A:B,COLUMN(设计师对应店铺!B:B)-COLUMN(设计师对应店铺!A:B)+1,0)</f>
        <v>汶水店</v>
      </c>
    </row>
    <row r="114" spans="1:5">
      <c r="A114" s="77" t="s">
        <v>356</v>
      </c>
      <c r="B114" s="70">
        <f>COUNTIFS(总表!D:D,A114,总表!L:L,"&lt;&gt;",总表!G:G,"&gt;=2019/7/29",总表!G:G,"&lt;=2019/7/31")</f>
        <v>3</v>
      </c>
      <c r="C114" s="70">
        <f>SUMIFS(总表!N:N,总表!D:D,A114,总表!G:G,"&gt;=2019/7/29",总表!G:G,"&lt;=2019/7/31")</f>
        <v>56170</v>
      </c>
      <c r="D114" s="71">
        <f t="shared" si="5"/>
        <v>18723.3333333333</v>
      </c>
      <c r="E114" s="83" t="str">
        <f>VLOOKUP(A114,设计师对应店铺!A:B,COLUMN(设计师对应店铺!B:B)-COLUMN(设计师对应店铺!A:B)+1,0)</f>
        <v>百安居</v>
      </c>
    </row>
    <row r="115" spans="1:5">
      <c r="A115" s="73" t="s">
        <v>143</v>
      </c>
      <c r="B115" s="74">
        <f>COUNTIFS(总表!D:D,A115,总表!L:L,"&lt;&gt;",总表!G:G,"&gt;=2019/7/29",总表!G:G,"&lt;=2019/7/31")</f>
        <v>4</v>
      </c>
      <c r="C115" s="74">
        <f>SUMIFS(总表!N:N,总表!D:D,A115,总表!G:G,"&gt;=2019/7/29",总表!G:G,"&lt;=2019/7/31")</f>
        <v>51478</v>
      </c>
      <c r="D115" s="75">
        <f t="shared" si="5"/>
        <v>12869.5</v>
      </c>
      <c r="E115" s="82" t="str">
        <f>VLOOKUP(A115,设计师对应店铺!A:B,COLUMN(设计师对应店铺!B:B)-COLUMN(设计师对应店铺!A:B)+1,0)</f>
        <v>沪南店店长</v>
      </c>
    </row>
    <row r="116" spans="1:5">
      <c r="A116" s="77" t="s">
        <v>635</v>
      </c>
      <c r="B116" s="70">
        <f>COUNTIFS(总表!D:D,A116,总表!L:L,"&lt;&gt;",总表!G:G,"&gt;=2019/7/29",总表!G:G,"&lt;=2019/7/31")</f>
        <v>5</v>
      </c>
      <c r="C116" s="70">
        <f>SUMIFS(总表!N:N,总表!D:D,A116,总表!G:G,"&gt;=2019/7/29",总表!G:G,"&lt;=2019/7/31")</f>
        <v>58795</v>
      </c>
      <c r="D116" s="71">
        <f t="shared" si="5"/>
        <v>11759</v>
      </c>
      <c r="E116" s="83" t="str">
        <f>VLOOKUP(A116,设计师对应店铺!A:B,COLUMN(设计师对应店铺!B:B)-COLUMN(设计师对应店铺!A:B)+1,0)</f>
        <v>家饰佳、兴力达</v>
      </c>
    </row>
    <row r="117" spans="1:5">
      <c r="A117" s="73" t="s">
        <v>171</v>
      </c>
      <c r="B117" s="74">
        <f>COUNTIFS(总表!D:D,A117,总表!L:L,"&lt;&gt;",总表!G:G,"&gt;=2019/7/29",总表!G:G,"&lt;=2019/7/31")</f>
        <v>3</v>
      </c>
      <c r="C117" s="74">
        <f>SUMIFS(总表!N:N,总表!D:D,A117,总表!G:G,"&gt;=2019/7/29",总表!G:G,"&lt;=2019/7/31")</f>
        <v>42045</v>
      </c>
      <c r="D117" s="75">
        <f t="shared" si="5"/>
        <v>14015</v>
      </c>
      <c r="E117" s="82" t="str">
        <f>VLOOKUP(A117,设计师对应店铺!A:B,COLUMN(设计师对应店铺!B:B)-COLUMN(设计师对应店铺!A:B)+1,0)</f>
        <v>家饰佳、兴力达</v>
      </c>
    </row>
    <row r="118" spans="1:5">
      <c r="A118" s="77" t="s">
        <v>182</v>
      </c>
      <c r="B118" s="70">
        <f>COUNTIFS(总表!D:D,A118,总表!L:L,"&lt;&gt;",总表!G:G,"&gt;=2019/7/29",总表!G:G,"&lt;=2019/7/31")</f>
        <v>4</v>
      </c>
      <c r="C118" s="70">
        <f>SUMIFS(总表!N:N,总表!D:D,A118,总表!G:G,"&gt;=2019/7/29",总表!G:G,"&lt;=2019/7/31")</f>
        <v>33773</v>
      </c>
      <c r="D118" s="71">
        <f t="shared" si="5"/>
        <v>8443.25</v>
      </c>
      <c r="E118" s="83" t="str">
        <f>VLOOKUP(A118,设计师对应店铺!A:B,COLUMN(设计师对应店铺!B:B)-COLUMN(设计师对应店铺!A:B)+1,0)</f>
        <v>真北店</v>
      </c>
    </row>
    <row r="119" spans="1:5">
      <c r="A119" s="73" t="s">
        <v>337</v>
      </c>
      <c r="B119" s="74">
        <f>COUNTIFS(总表!D:D,A119,总表!L:L,"&lt;&gt;",总表!G:G,"&gt;=2019/7/29",总表!G:G,"&lt;=2019/7/31")</f>
        <v>3</v>
      </c>
      <c r="C119" s="74">
        <f>SUMIFS(总表!N:N,总表!D:D,A119,总表!G:G,"&gt;=2019/7/29",总表!G:G,"&lt;=2019/7/31")</f>
        <v>30400</v>
      </c>
      <c r="D119" s="75">
        <f t="shared" si="5"/>
        <v>10133.3333333333</v>
      </c>
      <c r="E119" s="82" t="str">
        <f>VLOOKUP(A119,设计师对应店铺!A:B,COLUMN(设计师对应店铺!B:B)-COLUMN(设计师对应店铺!A:B)+1,0)</f>
        <v>建配龙</v>
      </c>
    </row>
    <row r="120" spans="1:5">
      <c r="A120" s="77" t="s">
        <v>149</v>
      </c>
      <c r="B120" s="70">
        <f>COUNTIFS(总表!D:D,A120,总表!L:L,"&lt;&gt;",总表!G:G,"&gt;=2019/7/29",总表!G:G,"&lt;=2019/7/31")</f>
        <v>3</v>
      </c>
      <c r="C120" s="70">
        <f>SUMIFS(总表!N:N,总表!D:D,A120,总表!G:G,"&gt;=2019/7/29",总表!G:G,"&lt;=2019/7/31")</f>
        <v>26683</v>
      </c>
      <c r="D120" s="71">
        <f t="shared" si="5"/>
        <v>8894.33333333333</v>
      </c>
      <c r="E120" s="83" t="str">
        <f>VLOOKUP(A120,设计师对应店铺!A:B,COLUMN(设计师对应店铺!B:B)-COLUMN(设计师对应店铺!A:B)+1,0)</f>
        <v>百安居</v>
      </c>
    </row>
    <row r="121" spans="1:5">
      <c r="A121" s="73" t="s">
        <v>1170</v>
      </c>
      <c r="B121" s="74">
        <f>COUNTIFS(总表!D:D,A121,总表!L:L,"&lt;&gt;",总表!G:G,"&gt;=2019/7/29",总表!G:G,"&lt;=2019/7/31")</f>
        <v>1</v>
      </c>
      <c r="C121" s="74">
        <f>SUMIFS(总表!N:N,总表!D:D,A121,总表!G:G,"&gt;=2019/7/29",总表!G:G,"&lt;=2019/7/31")</f>
        <v>17941</v>
      </c>
      <c r="D121" s="75">
        <f t="shared" si="5"/>
        <v>17941</v>
      </c>
      <c r="E121" s="82" t="str">
        <f>VLOOKUP(A121,设计师对应店铺!A:B,COLUMN(设计师对应店铺!B:B)-COLUMN(设计师对应店铺!A:B)+1,0)</f>
        <v>百安居</v>
      </c>
    </row>
    <row r="122" spans="1:5">
      <c r="A122" s="77" t="s">
        <v>60</v>
      </c>
      <c r="B122" s="70">
        <f>COUNTIFS(总表!D:D,A122,总表!L:L,"&lt;&gt;",总表!G:G,"&gt;=2019/7/29",总表!G:G,"&lt;=2019/7/31")</f>
        <v>1</v>
      </c>
      <c r="C122" s="70">
        <f>SUMIFS(总表!N:N,总表!D:D,A122,总表!G:G,"&gt;=2019/7/29",总表!G:G,"&lt;=2019/7/31")</f>
        <v>6600</v>
      </c>
      <c r="D122" s="71">
        <f t="shared" si="5"/>
        <v>6600</v>
      </c>
      <c r="E122" s="83" t="str">
        <f>VLOOKUP(A122,设计师对应店铺!A:B,COLUMN(设计师对应店铺!B:B)-COLUMN(设计师对应店铺!A:B)+1,0)</f>
        <v>家饰佳</v>
      </c>
    </row>
    <row r="123" spans="1:5">
      <c r="A123" s="73" t="s">
        <v>191</v>
      </c>
      <c r="B123" s="74">
        <f>COUNTIFS(总表!D:D,A123,总表!L:L,"&lt;&gt;",总表!G:G,"&gt;=2019/7/29",总表!G:G,"&lt;=2019/7/31")</f>
        <v>1</v>
      </c>
      <c r="C123" s="74">
        <f>SUMIFS(总表!N:N,总表!D:D,A123,总表!G:G,"&gt;=2019/7/29",总表!G:G,"&lt;=2019/7/31")</f>
        <v>5312</v>
      </c>
      <c r="D123" s="75">
        <f t="shared" si="5"/>
        <v>5312</v>
      </c>
      <c r="E123" s="82" t="str">
        <f>VLOOKUP(A123,设计师对应店铺!A:B,COLUMN(设计师对应店铺!B:B)-COLUMN(设计师对应店铺!A:B)+1,0)</f>
        <v>家饰佳</v>
      </c>
    </row>
    <row r="124" spans="1:5">
      <c r="A124" s="77" t="s">
        <v>5336</v>
      </c>
      <c r="B124" s="70">
        <f>COUNTIFS(总表!D:D,A124,总表!L:L,"&lt;&gt;",总表!G:G,"&gt;=2019/7/29",总表!G:G,"&lt;=2019/7/31")</f>
        <v>1</v>
      </c>
      <c r="C124" s="70">
        <f>SUMIFS(总表!N:N,总表!D:D,A124,总表!G:G,"&gt;=2019/7/29",总表!G:G,"&lt;=2019/7/31")</f>
        <v>2870</v>
      </c>
      <c r="D124" s="71">
        <f t="shared" si="5"/>
        <v>2870</v>
      </c>
      <c r="E124" s="83" t="str">
        <f>VLOOKUP(A124,设计师对应店铺!A:B,COLUMN(设计师对应店铺!B:B)-COLUMN(设计师对应店铺!A:B)+1,0)</f>
        <v>尚品宅配</v>
      </c>
    </row>
    <row r="125" spans="1:5">
      <c r="A125" s="73" t="s">
        <v>115</v>
      </c>
      <c r="B125" s="74">
        <f>COUNTIFS(总表!D:D,A125,总表!L:L,"&lt;&gt;",总表!G:G,"&gt;=2019/7/29",总表!G:G,"&lt;=2019/7/31")</f>
        <v>1</v>
      </c>
      <c r="C125" s="74">
        <f>SUMIFS(总表!N:N,总表!D:D,A125,总表!G:G,"&gt;=2019/7/29",总表!G:G,"&lt;=2019/7/31")</f>
        <v>2608</v>
      </c>
      <c r="D125" s="75">
        <f t="shared" si="5"/>
        <v>2608</v>
      </c>
      <c r="E125" s="82" t="str">
        <f>VLOOKUP(A125,设计师对应店铺!A:B,COLUMN(设计师对应店铺!B:B)-COLUMN(设计师对应店铺!A:B)+1,0)</f>
        <v>奉贤、金山、南汇、松江</v>
      </c>
    </row>
    <row r="126" spans="1:5">
      <c r="A126" s="77" t="s">
        <v>3965</v>
      </c>
      <c r="B126" s="70">
        <f>COUNTIFS(总表!D:D,A126,总表!L:L,"&lt;&gt;",总表!G:G,"&gt;=2019/7/29",总表!G:G,"&lt;=2019/7/31")</f>
        <v>0</v>
      </c>
      <c r="C126" s="70">
        <f>SUMIFS(总表!N:N,总表!D:D,A126,总表!G:G,"&gt;=2019/7/29",总表!G:G,"&lt;=2019/7/31")</f>
        <v>0</v>
      </c>
      <c r="D126" s="71">
        <v>0</v>
      </c>
      <c r="E126" s="83" t="str">
        <f>VLOOKUP(A126,设计师对应店铺!A:B,COLUMN(设计师对应店铺!B:B)-COLUMN(设计师对应店铺!A:B)+1,0)</f>
        <v>奉贤、金山、南汇、松江</v>
      </c>
    </row>
    <row r="127" spans="1:5">
      <c r="A127" s="73" t="s">
        <v>1431</v>
      </c>
      <c r="B127" s="74">
        <f>COUNTIFS(总表!D:D,A127,总表!L:L,"&lt;&gt;",总表!G:G,"&gt;=2019/7/29",总表!G:G,"&lt;=2019/7/31")</f>
        <v>0</v>
      </c>
      <c r="C127" s="74">
        <f>SUMIFS(总表!N:N,总表!D:D,A127,总表!G:G,"&gt;=2019/7/29",总表!G:G,"&lt;=2019/7/31")</f>
        <v>0</v>
      </c>
      <c r="D127" s="75">
        <v>0</v>
      </c>
      <c r="E127" s="82" t="str">
        <f>VLOOKUP(A127,设计师对应店铺!A:B,COLUMN(设计师对应店铺!B:B)-COLUMN(设计师对应店铺!A:B)+1,0)</f>
        <v>真北店</v>
      </c>
    </row>
    <row r="128" spans="1:5">
      <c r="A128" s="77" t="s">
        <v>5337</v>
      </c>
      <c r="B128" s="70">
        <f>COUNTIFS(总表!D:D,A128,总表!L:L,"&lt;&gt;",总表!G:G,"&gt;=2019/7/29",总表!G:G,"&lt;=2019/7/31")</f>
        <v>0</v>
      </c>
      <c r="C128" s="70">
        <f>SUMIFS(总表!N:N,总表!D:D,A128,总表!G:G,"&gt;=2019/7/29",总表!G:G,"&lt;=2019/7/31")</f>
        <v>0</v>
      </c>
      <c r="D128" s="71">
        <v>0</v>
      </c>
      <c r="E128" s="83" t="str">
        <f>VLOOKUP(A128,设计师对应店铺!A:B,COLUMN(设计师对应店铺!B:B)-COLUMN(设计师对应店铺!A:B)+1,0)</f>
        <v>尚品宅配</v>
      </c>
    </row>
    <row r="129" spans="1:5">
      <c r="A129" s="73" t="s">
        <v>361</v>
      </c>
      <c r="B129" s="74">
        <f>COUNTIFS(总表!D:D,A129,总表!L:L,"&lt;&gt;",总表!G:G,"&gt;=2019/7/29",总表!G:G,"&lt;=2019/7/31")</f>
        <v>0</v>
      </c>
      <c r="C129" s="74">
        <f>SUMIFS(总表!N:N,总表!D:D,A129,总表!G:G,"&gt;=2019/7/29",总表!G:G,"&lt;=2019/7/31")</f>
        <v>0</v>
      </c>
      <c r="D129" s="75">
        <v>0</v>
      </c>
      <c r="E129" s="82" t="str">
        <f>VLOOKUP(A129,设计师对应店铺!A:B,COLUMN(设计师对应店铺!B:B)-COLUMN(设计师对应店铺!A:B)+1,0)</f>
        <v>美美家自配</v>
      </c>
    </row>
    <row r="130" spans="1:5">
      <c r="A130" s="77" t="s">
        <v>21268</v>
      </c>
      <c r="B130" s="70">
        <f>COUNTIFS(总表!D:D,A130,总表!L:L,"&lt;&gt;",总表!G:G,"&gt;=2019/7/29",总表!G:G,"&lt;=2019/7/31")</f>
        <v>0</v>
      </c>
      <c r="C130" s="70">
        <f>SUMIFS(总表!N:N,总表!D:D,A130,总表!G:G,"&gt;=2019/7/29",总表!G:G,"&lt;=2019/7/31")</f>
        <v>0</v>
      </c>
      <c r="D130" s="71">
        <v>0</v>
      </c>
      <c r="E130" s="83" t="str">
        <f>VLOOKUP(A130,设计师对应店铺!A:B,COLUMN(设计师对应店铺!B:B)-COLUMN(设计师对应店铺!A:B)+1,0)</f>
        <v>金山店</v>
      </c>
    </row>
    <row r="131" spans="1:5">
      <c r="A131" s="73" t="s">
        <v>5695</v>
      </c>
      <c r="B131" s="74">
        <f>COUNTIFS(总表!D:D,A131,总表!L:L,"&lt;&gt;",总表!G:G,"&gt;=2019/7/29",总表!G:G,"&lt;=2019/7/31")</f>
        <v>0</v>
      </c>
      <c r="C131" s="74">
        <f>SUMIFS(总表!N:N,总表!D:D,A131,总表!G:G,"&gt;=2019/7/29",总表!G:G,"&lt;=2019/7/31")</f>
        <v>0</v>
      </c>
      <c r="D131" s="75">
        <v>0</v>
      </c>
      <c r="E131" s="82" t="str">
        <f>VLOOKUP(A131,设计师对应店铺!A:B,COLUMN(设计师对应店铺!B:B)-COLUMN(设计师对应店铺!A:B)+1,0)</f>
        <v>设计总监</v>
      </c>
    </row>
    <row r="132" spans="1:5">
      <c r="A132" s="77" t="s">
        <v>443</v>
      </c>
      <c r="B132" s="70">
        <f>COUNTIFS(总表!D:D,A132,总表!L:L,"&lt;&gt;",总表!G:G,"&gt;=2019/7/29",总表!G:G,"&lt;=2019/7/31")</f>
        <v>0</v>
      </c>
      <c r="C132" s="70">
        <f>SUMIFS(总表!N:N,总表!D:D,A132,总表!G:G,"&gt;=2019/7/29",总表!G:G,"&lt;=2019/7/31")</f>
        <v>0</v>
      </c>
      <c r="D132" s="71">
        <v>0</v>
      </c>
      <c r="E132" s="83" t="str">
        <f>VLOOKUP(A132,设计师对应店铺!A:B,COLUMN(设计师对应店铺!B:B)-COLUMN(设计师对应店铺!A:B)+1,0)</f>
        <v>家饰佳</v>
      </c>
    </row>
  </sheetData>
  <autoFilter ref="A92:E132">
    <sortState ref="A92:E132">
      <sortCondition ref="C92" descending="1"/>
    </sortState>
    <extLst/>
  </autoFilter>
  <mergeCells count="5">
    <mergeCell ref="A1:E1"/>
    <mergeCell ref="G1:K1"/>
    <mergeCell ref="M1:Q1"/>
    <mergeCell ref="A45:E45"/>
    <mergeCell ref="A90:E90"/>
  </mergeCell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L15" sqref="L15"/>
    </sheetView>
  </sheetViews>
  <sheetFormatPr defaultColWidth="9" defaultRowHeight="13.5"/>
  <cols>
    <col min="1" max="1" width="9" style="42"/>
    <col min="2" max="2" width="10" style="42" customWidth="1"/>
    <col min="3" max="3" width="12.25" style="42" customWidth="1"/>
    <col min="4" max="4" width="12.125" style="42" customWidth="1"/>
    <col min="5" max="5" width="13.875" style="42" customWidth="1"/>
    <col min="6" max="6" width="13.25" style="64" customWidth="1"/>
    <col min="7" max="7" width="21.375" style="42" customWidth="1"/>
    <col min="8" max="10" width="9" style="42"/>
    <col min="11" max="11" width="10.375" style="42"/>
    <col min="12" max="13" width="9" style="42"/>
    <col min="14" max="14" width="14.625" style="42" customWidth="1"/>
    <col min="15" max="16384" width="9" style="42"/>
  </cols>
  <sheetData>
    <row r="1" spans="1:15">
      <c r="A1" s="65" t="s">
        <v>21295</v>
      </c>
      <c r="B1" s="66"/>
      <c r="C1" s="66"/>
      <c r="D1" s="66"/>
      <c r="E1" s="66"/>
      <c r="F1" s="66"/>
      <c r="G1" s="67"/>
      <c r="I1" s="78" t="s">
        <v>21296</v>
      </c>
      <c r="J1" s="78"/>
      <c r="K1" s="78"/>
      <c r="L1" s="78"/>
      <c r="M1" s="78"/>
      <c r="N1" s="78"/>
      <c r="O1" s="78"/>
    </row>
    <row r="2" s="63" customFormat="1" spans="1:15">
      <c r="A2" s="68" t="s">
        <v>21234</v>
      </c>
      <c r="B2" s="68">
        <f>SUM(B4:B43)</f>
        <v>861</v>
      </c>
      <c r="C2" s="68">
        <f>SUM(C4:C43)</f>
        <v>11991741.06</v>
      </c>
      <c r="D2" s="68">
        <f>SUM(D4:D43)</f>
        <v>1303164.43</v>
      </c>
      <c r="E2" s="68">
        <f>SUM(E4:E43)</f>
        <v>13294905.49</v>
      </c>
      <c r="F2" s="68">
        <f>E2/B2</f>
        <v>15441.2375029036</v>
      </c>
      <c r="G2" s="68"/>
      <c r="I2" s="79" t="s">
        <v>30</v>
      </c>
      <c r="J2" s="74" t="s">
        <v>21239</v>
      </c>
      <c r="K2" s="74" t="s">
        <v>21240</v>
      </c>
      <c r="L2" s="74" t="s">
        <v>21241</v>
      </c>
      <c r="M2" s="74" t="s">
        <v>10</v>
      </c>
      <c r="N2" s="75" t="s">
        <v>21242</v>
      </c>
      <c r="O2" s="76" t="s">
        <v>21243</v>
      </c>
    </row>
    <row r="3" spans="1:15">
      <c r="A3" s="69" t="s">
        <v>30</v>
      </c>
      <c r="B3" s="70" t="s">
        <v>21239</v>
      </c>
      <c r="C3" s="70" t="s">
        <v>21240</v>
      </c>
      <c r="D3" s="70" t="s">
        <v>21241</v>
      </c>
      <c r="E3" s="70" t="s">
        <v>10</v>
      </c>
      <c r="F3" s="71" t="s">
        <v>21242</v>
      </c>
      <c r="G3" s="72" t="s">
        <v>21243</v>
      </c>
      <c r="I3" s="77" t="s">
        <v>139</v>
      </c>
      <c r="J3" s="70">
        <f>COUNTIFS(总表!D:D,I3,总表!L:L,"&lt;&gt;",总表!U:U,"",总表!G:G,"&gt;=2019/7/1",总表!G:G,"&lt;=2019/7/31")</f>
        <v>71</v>
      </c>
      <c r="K3" s="70">
        <f>SUMIFS(总表!L:L,总表!D:D,I3,总表!G:G,"&gt;=2019/7/1",总表!G:G,"&lt;=2019/7/31")</f>
        <v>838318.5</v>
      </c>
      <c r="L3" s="70">
        <f>SUMIFS(总表!M:M,总表!D:D,I3,总表!G:G,"&gt;=2019/7/1",总表!G:G,"&lt;=2019/7/31")</f>
        <v>29146.5</v>
      </c>
      <c r="M3" s="70">
        <f t="shared" ref="M3:M34" si="0">K3+L3</f>
        <v>867465</v>
      </c>
      <c r="N3" s="71">
        <f t="shared" ref="N3:N33" si="1">M3/J3</f>
        <v>12217.8169014085</v>
      </c>
      <c r="O3" s="72" t="str">
        <f>VLOOKUP(I3,设计师对应店铺!A:B,COLUMN(设计师对应店铺!B:B)-COLUMN(设计师对应店铺!A:B)+1,0)</f>
        <v>家饰佳</v>
      </c>
    </row>
    <row r="4" spans="1:15">
      <c r="A4" s="73" t="s">
        <v>139</v>
      </c>
      <c r="B4" s="74">
        <f>COUNTIFS(总表!D:D,A4,总表!L:L,"&lt;&gt;",总表!U:U,"",总表!G:G,"&gt;=2019/7/1",总表!G:G,"&lt;=2019/7/31")</f>
        <v>71</v>
      </c>
      <c r="C4" s="74">
        <f>SUMIFS(总表!L:L,总表!D:D,A4,总表!G:G,"&gt;=2019/7/1",总表!G:G,"&lt;=2019/7/31")</f>
        <v>838318.5</v>
      </c>
      <c r="D4" s="74">
        <f>SUMIFS(总表!M:M,总表!D:D,A4,总表!G:G,"&gt;=2019/7/1",总表!G:G,"&lt;=2019/7/31")</f>
        <v>29146.5</v>
      </c>
      <c r="E4" s="74">
        <f t="shared" ref="E4:E31" si="2">C4+D4</f>
        <v>867465</v>
      </c>
      <c r="F4" s="75">
        <f>E4/B4</f>
        <v>12217.8169014085</v>
      </c>
      <c r="G4" s="76" t="str">
        <f>VLOOKUP(A4,设计师对应店铺!A:B,COLUMN(设计师对应店铺!B:B)-COLUMN(设计师对应店铺!A:B)+1,0)</f>
        <v>家饰佳</v>
      </c>
      <c r="I4" s="73" t="s">
        <v>717</v>
      </c>
      <c r="J4" s="74">
        <f>COUNTIFS(总表!D:D,I4,总表!L:L,"&lt;&gt;",总表!U:U,"",总表!G:G,"&gt;=2019/7/1",总表!G:G,"&lt;=2019/7/31")</f>
        <v>25</v>
      </c>
      <c r="K4" s="74">
        <f>SUMIFS(总表!L:L,总表!D:D,I4,总表!G:G,"&gt;=2019/7/1",总表!G:G,"&lt;=2019/7/31")</f>
        <v>777005</v>
      </c>
      <c r="L4" s="74">
        <f>SUMIFS(总表!M:M,总表!D:D,I4,总表!G:G,"&gt;=2019/7/1",总表!G:G,"&lt;=2019/7/31")</f>
        <v>50445</v>
      </c>
      <c r="M4" s="74">
        <f t="shared" si="0"/>
        <v>827450</v>
      </c>
      <c r="N4" s="75">
        <f t="shared" si="1"/>
        <v>33098</v>
      </c>
      <c r="O4" s="76">
        <f>VLOOKUP(I4,设计师对应店铺!A:B,COLUMN(设计师对应店铺!B:B)-COLUMN(设计师对应店铺!A:B)+1,0)</f>
        <v>0</v>
      </c>
    </row>
    <row r="5" spans="1:15">
      <c r="A5" s="77" t="s">
        <v>717</v>
      </c>
      <c r="B5" s="70">
        <f>COUNTIFS(总表!D:D,A5,总表!L:L,"&lt;&gt;",总表!U:U,"",总表!G:G,"&gt;=2019/7/1",总表!G:G,"&lt;=2019/7/31")</f>
        <v>25</v>
      </c>
      <c r="C5" s="70">
        <f>SUMIFS(总表!L:L,总表!D:D,A5,总表!G:G,"&gt;=2019/7/1",总表!G:G,"&lt;=2019/7/31")</f>
        <v>777005</v>
      </c>
      <c r="D5" s="70">
        <f>SUMIFS(总表!M:M,总表!D:D,A5,总表!G:G,"&gt;=2019/7/1",总表!G:G,"&lt;=2019/7/31")</f>
        <v>50445</v>
      </c>
      <c r="E5" s="70">
        <f t="shared" si="2"/>
        <v>827450</v>
      </c>
      <c r="F5" s="71">
        <f>E5/B5</f>
        <v>33098</v>
      </c>
      <c r="G5" s="72">
        <f>VLOOKUP(A5,设计师对应店铺!A:B,COLUMN(设计师对应店铺!B:B)-COLUMN(设计师对应店铺!A:B)+1,0)</f>
        <v>0</v>
      </c>
      <c r="I5" s="77" t="s">
        <v>37</v>
      </c>
      <c r="J5" s="70">
        <f>COUNTIFS(总表!D:D,I5,总表!L:L,"&lt;&gt;",总表!U:U,"",总表!G:G,"&gt;=2019/7/1",总表!G:G,"&lt;=2019/7/31")</f>
        <v>57</v>
      </c>
      <c r="K5" s="70">
        <f>SUMIFS(总表!L:L,总表!D:D,I5,总表!G:G,"&gt;=2019/7/1",总表!G:G,"&lt;=2019/7/31")</f>
        <v>657971</v>
      </c>
      <c r="L5" s="70">
        <f>SUMIFS(总表!M:M,总表!D:D,I5,总表!G:G,"&gt;=2019/7/1",总表!G:G,"&lt;=2019/7/31")</f>
        <v>29514</v>
      </c>
      <c r="M5" s="70">
        <f t="shared" si="0"/>
        <v>687485</v>
      </c>
      <c r="N5" s="71">
        <f t="shared" si="1"/>
        <v>12061.1403508772</v>
      </c>
      <c r="O5" s="72" t="str">
        <f>VLOOKUP(I5,设计师对应店铺!A:B,COLUMN(设计师对应店铺!B:B)-COLUMN(设计师对应店铺!A:B)+1,0)</f>
        <v>浦江店</v>
      </c>
    </row>
    <row r="6" spans="1:15">
      <c r="A6" s="73" t="s">
        <v>37</v>
      </c>
      <c r="B6" s="74">
        <f>COUNTIFS(总表!D:D,A6,总表!L:L,"&lt;&gt;",总表!U:U,"",总表!G:G,"&gt;=2019/7/1",总表!G:G,"&lt;=2019/7/31")</f>
        <v>57</v>
      </c>
      <c r="C6" s="74">
        <f>SUMIFS(总表!L:L,总表!D:D,A6,总表!G:G,"&gt;=2019/7/1",总表!G:G,"&lt;=2019/7/31")</f>
        <v>657971</v>
      </c>
      <c r="D6" s="74">
        <f>SUMIFS(总表!M:M,总表!D:D,A6,总表!G:G,"&gt;=2019/7/1",总表!G:G,"&lt;=2019/7/31")</f>
        <v>29514</v>
      </c>
      <c r="E6" s="74">
        <f t="shared" si="2"/>
        <v>687485</v>
      </c>
      <c r="F6" s="74">
        <f>E6/B6</f>
        <v>12061.1403508772</v>
      </c>
      <c r="G6" s="76" t="str">
        <f>VLOOKUP(A6,设计师对应店铺!A:B,COLUMN(设计师对应店铺!B:B)-COLUMN(设计师对应店铺!A:B)+1,0)</f>
        <v>浦江店</v>
      </c>
      <c r="I6" s="73" t="s">
        <v>187</v>
      </c>
      <c r="J6" s="74">
        <f>COUNTIFS(总表!D:D,I6,总表!L:L,"&lt;&gt;",总表!U:U,"",总表!G:G,"&gt;=2019/7/1",总表!G:G,"&lt;=2019/7/31")</f>
        <v>34</v>
      </c>
      <c r="K6" s="74">
        <f>SUMIFS(总表!L:L,总表!D:D,I6,总表!G:G,"&gt;=2019/7/1",总表!G:G,"&lt;=2019/7/31")</f>
        <v>587426</v>
      </c>
      <c r="L6" s="74">
        <f>SUMIFS(总表!M:M,总表!D:D,I6,总表!G:G,"&gt;=2019/7/1",总表!G:G,"&lt;=2019/7/31")</f>
        <v>106026</v>
      </c>
      <c r="M6" s="74">
        <f t="shared" si="0"/>
        <v>693452</v>
      </c>
      <c r="N6" s="75">
        <f t="shared" si="1"/>
        <v>20395.6470588235</v>
      </c>
      <c r="O6" s="76" t="str">
        <f>VLOOKUP(I6,设计师对应店铺!A:B,COLUMN(设计师对应店铺!B:B)-COLUMN(设计师对应店铺!A:B)+1,0)</f>
        <v>百家宜</v>
      </c>
    </row>
    <row r="7" spans="1:15">
      <c r="A7" s="77" t="s">
        <v>187</v>
      </c>
      <c r="B7" s="70">
        <f>COUNTIFS(总表!D:D,A7,总表!L:L,"&lt;&gt;",总表!U:U,"",总表!G:G,"&gt;=2019/7/1",总表!G:G,"&lt;=2019/7/31")</f>
        <v>34</v>
      </c>
      <c r="C7" s="70">
        <f>SUMIFS(总表!L:L,总表!D:D,A7,总表!G:G,"&gt;=2019/7/1",总表!G:G,"&lt;=2019/7/31")</f>
        <v>587426</v>
      </c>
      <c r="D7" s="70">
        <f>SUMIFS(总表!M:M,总表!D:D,A7,总表!G:G,"&gt;=2019/7/1",总表!G:G,"&lt;=2019/7/31")</f>
        <v>106026</v>
      </c>
      <c r="E7" s="70">
        <f t="shared" si="2"/>
        <v>693452</v>
      </c>
      <c r="F7" s="71">
        <f t="shared" ref="F7:F41" si="3">E7/B7</f>
        <v>20395.6470588235</v>
      </c>
      <c r="G7" s="72" t="str">
        <f>VLOOKUP(A7,设计师对应店铺!A:B,COLUMN(设计师对应店铺!B:B)-COLUMN(设计师对应店铺!A:B)+1,0)</f>
        <v>百家宜</v>
      </c>
      <c r="I7" s="77" t="s">
        <v>68</v>
      </c>
      <c r="J7" s="70">
        <f>COUNTIFS(总表!D:D,I7,总表!L:L,"&lt;&gt;",总表!U:U,"",总表!G:G,"&gt;=2019/7/1",总表!G:G,"&lt;=2019/7/31")</f>
        <v>57</v>
      </c>
      <c r="K7" s="70">
        <f>SUMIFS(总表!L:L,总表!D:D,I7,总表!G:G,"&gt;=2019/7/1",总表!G:G,"&lt;=2019/7/31")</f>
        <v>595450.26</v>
      </c>
      <c r="L7" s="70">
        <f>SUMIFS(总表!M:M,总表!D:D,I7,总表!G:G,"&gt;=2019/7/1",总表!G:G,"&lt;=2019/7/31")</f>
        <v>69514</v>
      </c>
      <c r="M7" s="70">
        <f t="shared" si="0"/>
        <v>664964.26</v>
      </c>
      <c r="N7" s="71">
        <f t="shared" si="1"/>
        <v>11666.0396491228</v>
      </c>
      <c r="O7" s="72" t="str">
        <f>VLOOKUP(I7,设计师对应店铺!A:B,COLUMN(设计师对应店铺!B:B)-COLUMN(设计师对应店铺!A:B)+1,0)</f>
        <v>沪南店</v>
      </c>
    </row>
    <row r="8" spans="1:15">
      <c r="A8" s="73" t="s">
        <v>68</v>
      </c>
      <c r="B8" s="74">
        <f>COUNTIFS(总表!D:D,A8,总表!L:L,"&lt;&gt;",总表!U:U,"",总表!G:G,"&gt;=2019/7/1",总表!G:G,"&lt;=2019/7/31")</f>
        <v>57</v>
      </c>
      <c r="C8" s="74">
        <f>SUMIFS(总表!L:L,总表!D:D,A8,总表!G:G,"&gt;=2019/7/1",总表!G:G,"&lt;=2019/7/31")</f>
        <v>595450.26</v>
      </c>
      <c r="D8" s="74">
        <f>SUMIFS(总表!M:M,总表!D:D,A8,总表!G:G,"&gt;=2019/7/1",总表!G:G,"&lt;=2019/7/31")</f>
        <v>69514</v>
      </c>
      <c r="E8" s="74">
        <f t="shared" si="2"/>
        <v>664964.26</v>
      </c>
      <c r="F8" s="75">
        <f t="shared" si="3"/>
        <v>11666.0396491228</v>
      </c>
      <c r="G8" s="76" t="str">
        <f>VLOOKUP(A8,设计师对应店铺!A:B,COLUMN(设计师对应店铺!B:B)-COLUMN(设计师对应店铺!A:B)+1,0)</f>
        <v>沪南店</v>
      </c>
      <c r="I8" s="73" t="s">
        <v>343</v>
      </c>
      <c r="J8" s="74">
        <f>COUNTIFS(总表!D:D,I8,总表!L:L,"&lt;&gt;",总表!U:U,"",总表!G:G,"&gt;=2019/7/1",总表!G:G,"&lt;=2019/7/31")</f>
        <v>33</v>
      </c>
      <c r="K8" s="74">
        <f>SUMIFS(总表!L:L,总表!D:D,I8,总表!G:G,"&gt;=2019/7/1",总表!G:G,"&lt;=2019/7/31")</f>
        <v>612356</v>
      </c>
      <c r="L8" s="74">
        <f>SUMIFS(总表!M:M,总表!D:D,I8,总表!G:G,"&gt;=2019/7/1",总表!G:G,"&lt;=2019/7/31")</f>
        <v>28683</v>
      </c>
      <c r="M8" s="74">
        <f t="shared" si="0"/>
        <v>641039</v>
      </c>
      <c r="N8" s="75">
        <f t="shared" si="1"/>
        <v>19425.4242424242</v>
      </c>
      <c r="O8" s="76" t="str">
        <f>VLOOKUP(I8,设计师对应店铺!A:B,COLUMN(设计师对应店铺!B:B)-COLUMN(设计师对应店铺!A:B)+1,0)</f>
        <v>喜盈门</v>
      </c>
    </row>
    <row r="9" spans="1:15">
      <c r="A9" s="77" t="s">
        <v>343</v>
      </c>
      <c r="B9" s="70">
        <f>COUNTIFS(总表!D:D,A9,总表!L:L,"&lt;&gt;",总表!U:U,"",总表!G:G,"&gt;=2019/7/1",总表!G:G,"&lt;=2019/7/31")</f>
        <v>33</v>
      </c>
      <c r="C9" s="70">
        <f>SUMIFS(总表!L:L,总表!D:D,A9,总表!G:G,"&gt;=2019/7/1",总表!G:G,"&lt;=2019/7/31")</f>
        <v>612356</v>
      </c>
      <c r="D9" s="70">
        <f>SUMIFS(总表!M:M,总表!D:D,A9,总表!G:G,"&gt;=2019/7/1",总表!G:G,"&lt;=2019/7/31")</f>
        <v>28683</v>
      </c>
      <c r="E9" s="70">
        <f t="shared" si="2"/>
        <v>641039</v>
      </c>
      <c r="F9" s="71">
        <f t="shared" si="3"/>
        <v>19425.4242424242</v>
      </c>
      <c r="G9" s="72" t="str">
        <f>VLOOKUP(A9,设计师对应店铺!A:B,COLUMN(设计师对应店铺!B:B)-COLUMN(设计师对应店铺!A:B)+1,0)</f>
        <v>喜盈门</v>
      </c>
      <c r="I9" s="77" t="s">
        <v>143</v>
      </c>
      <c r="J9" s="70">
        <f>COUNTIFS(总表!D:D,I9,总表!L:L,"&lt;&gt;",总表!U:U,"",总表!G:G,"&gt;=2019/7/1",总表!G:G,"&lt;=2019/7/31")</f>
        <v>18</v>
      </c>
      <c r="K9" s="70">
        <f>SUMIFS(总表!L:L,总表!D:D,I9,总表!G:G,"&gt;=2019/7/1",总表!G:G,"&lt;=2019/7/31")</f>
        <v>398308</v>
      </c>
      <c r="L9" s="70">
        <f>SUMIFS(总表!M:M,总表!D:D,I9,总表!G:G,"&gt;=2019/7/1",总表!G:G,"&lt;=2019/7/31")</f>
        <v>236490</v>
      </c>
      <c r="M9" s="70">
        <f t="shared" si="0"/>
        <v>634798</v>
      </c>
      <c r="N9" s="71">
        <f t="shared" si="1"/>
        <v>35266.5555555556</v>
      </c>
      <c r="O9" s="72" t="str">
        <f>VLOOKUP(I9,设计师对应店铺!A:B,COLUMN(设计师对应店铺!B:B)-COLUMN(设计师对应店铺!A:B)+1,0)</f>
        <v>沪南店店长</v>
      </c>
    </row>
    <row r="10" spans="1:15">
      <c r="A10" s="73" t="s">
        <v>143</v>
      </c>
      <c r="B10" s="74">
        <f>COUNTIFS(总表!D:D,A10,总表!L:L,"&lt;&gt;",总表!U:U,"",总表!G:G,"&gt;=2019/7/1",总表!G:G,"&lt;=2019/7/31")</f>
        <v>18</v>
      </c>
      <c r="C10" s="74">
        <f>SUMIFS(总表!L:L,总表!D:D,A10,总表!G:G,"&gt;=2019/7/1",总表!G:G,"&lt;=2019/7/31")</f>
        <v>398308</v>
      </c>
      <c r="D10" s="74">
        <f>SUMIFS(总表!M:M,总表!D:D,A10,总表!G:G,"&gt;=2019/7/1",总表!G:G,"&lt;=2019/7/31")</f>
        <v>236490</v>
      </c>
      <c r="E10" s="74">
        <f t="shared" si="2"/>
        <v>634798</v>
      </c>
      <c r="F10" s="75">
        <f t="shared" si="3"/>
        <v>35266.5555555556</v>
      </c>
      <c r="G10" s="76" t="str">
        <f>VLOOKUP(A10,设计师对应店铺!A:B,COLUMN(设计师对应店铺!B:B)-COLUMN(设计师对应店铺!A:B)+1,0)</f>
        <v>沪南店店长</v>
      </c>
      <c r="I10" s="73" t="s">
        <v>89</v>
      </c>
      <c r="J10" s="74">
        <f>COUNTIFS(总表!D:D,I10,总表!L:L,"&lt;&gt;",总表!U:U,"",总表!G:G,"&gt;=2019/7/1",总表!G:G,"&lt;=2019/7/31")</f>
        <v>43</v>
      </c>
      <c r="K10" s="74">
        <f>SUMIFS(总表!L:L,总表!D:D,I10,总表!G:G,"&gt;=2019/7/1",总表!G:G,"&lt;=2019/7/31")</f>
        <v>539714</v>
      </c>
      <c r="L10" s="74">
        <f>SUMIFS(总表!M:M,总表!D:D,I10,总表!G:G,"&gt;=2019/7/1",总表!G:G,"&lt;=2019/7/31")</f>
        <v>23127</v>
      </c>
      <c r="M10" s="74">
        <f t="shared" si="0"/>
        <v>562841</v>
      </c>
      <c r="N10" s="75">
        <f t="shared" si="1"/>
        <v>13089.3255813953</v>
      </c>
      <c r="O10" s="76" t="str">
        <f>VLOOKUP(I10,设计师对应店铺!A:B,COLUMN(设计师对应店铺!B:B)-COLUMN(设计师对应店铺!A:B)+1,0)</f>
        <v>吉盛伟邦</v>
      </c>
    </row>
    <row r="11" spans="1:15">
      <c r="A11" s="77" t="s">
        <v>49</v>
      </c>
      <c r="B11" s="70">
        <f>COUNTIFS(总表!D:D,A11,总表!L:L,"&lt;&gt;",总表!U:U,"",总表!G:G,"&gt;=2019/7/1",总表!G:G,"&lt;=2019/7/31")</f>
        <v>37</v>
      </c>
      <c r="C11" s="70">
        <f>SUMIFS(总表!L:L,总表!D:D,A11,总表!G:G,"&gt;=2019/7/1",总表!G:G,"&lt;=2019/7/31")</f>
        <v>527557</v>
      </c>
      <c r="D11" s="70">
        <f>SUMIFS(总表!M:M,总表!D:D,A11,总表!G:G,"&gt;=2019/7/1",总表!G:G,"&lt;=2019/7/31")</f>
        <v>40368</v>
      </c>
      <c r="E11" s="70">
        <f t="shared" si="2"/>
        <v>567925</v>
      </c>
      <c r="F11" s="71">
        <f t="shared" si="3"/>
        <v>15349.3243243243</v>
      </c>
      <c r="G11" s="72" t="str">
        <f>VLOOKUP(A11,设计师对应店铺!A:B,COLUMN(设计师对应店铺!B:B)-COLUMN(设计师对应店铺!A:B)+1,0)</f>
        <v>奉贤、金山、南汇、松江</v>
      </c>
      <c r="I11" s="77" t="s">
        <v>132</v>
      </c>
      <c r="J11" s="70">
        <f>COUNTIFS(总表!D:D,I11,总表!L:L,"&lt;&gt;",总表!U:U,"",总表!G:G,"&gt;=2019/7/1",总表!G:G,"&lt;=2019/7/31")</f>
        <v>32</v>
      </c>
      <c r="K11" s="70">
        <f>SUMIFS(总表!L:L,总表!D:D,I11,总表!G:G,"&gt;=2019/7/1",总表!G:G,"&lt;=2019/7/31")</f>
        <v>519307</v>
      </c>
      <c r="L11" s="70">
        <f>SUMIFS(总表!M:M,总表!D:D,I11,总表!G:G,"&gt;=2019/7/1",总表!G:G,"&lt;=2019/7/31")</f>
        <v>-9105</v>
      </c>
      <c r="M11" s="70">
        <f t="shared" si="0"/>
        <v>510202</v>
      </c>
      <c r="N11" s="71">
        <f t="shared" si="1"/>
        <v>15943.8125</v>
      </c>
      <c r="O11" s="72" t="str">
        <f>VLOOKUP(I11,设计师对应店铺!A:B,COLUMN(设计师对应店铺!B:B)-COLUMN(设计师对应店铺!A:B)+1,0)</f>
        <v>真北店</v>
      </c>
    </row>
    <row r="12" spans="1:15">
      <c r="A12" s="73" t="s">
        <v>89</v>
      </c>
      <c r="B12" s="74">
        <f>COUNTIFS(总表!D:D,A12,总表!L:L,"&lt;&gt;",总表!U:U,"",总表!G:G,"&gt;=2019/7/1",总表!G:G,"&lt;=2019/7/31")</f>
        <v>43</v>
      </c>
      <c r="C12" s="74">
        <f>SUMIFS(总表!L:L,总表!D:D,A12,总表!G:G,"&gt;=2019/7/1",总表!G:G,"&lt;=2019/7/31")</f>
        <v>539714</v>
      </c>
      <c r="D12" s="74">
        <f>SUMIFS(总表!M:M,总表!D:D,A12,总表!G:G,"&gt;=2019/7/1",总表!G:G,"&lt;=2019/7/31")</f>
        <v>23127</v>
      </c>
      <c r="E12" s="74">
        <f t="shared" si="2"/>
        <v>562841</v>
      </c>
      <c r="F12" s="75">
        <f t="shared" si="3"/>
        <v>13089.3255813953</v>
      </c>
      <c r="G12" s="76" t="str">
        <f>VLOOKUP(A12,设计师对应店铺!A:B,COLUMN(设计师对应店铺!B:B)-COLUMN(设计师对应店铺!A:B)+1,0)</f>
        <v>吉盛伟邦</v>
      </c>
      <c r="I12" s="73" t="s">
        <v>125</v>
      </c>
      <c r="J12" s="74">
        <f>COUNTIFS(总表!D:D,I12,总表!L:L,"&lt;&gt;",总表!U:U,"",总表!G:G,"&gt;=2019/7/1",总表!G:G,"&lt;=2019/7/31")</f>
        <v>34</v>
      </c>
      <c r="K12" s="74">
        <f>SUMIFS(总表!L:L,总表!D:D,I12,总表!G:G,"&gt;=2019/7/1",总表!G:G,"&lt;=2019/7/31")</f>
        <v>446307</v>
      </c>
      <c r="L12" s="74">
        <f>SUMIFS(总表!M:M,总表!D:D,I12,总表!G:G,"&gt;=2019/7/1",总表!G:G,"&lt;=2019/7/31")</f>
        <v>36960</v>
      </c>
      <c r="M12" s="74">
        <f t="shared" si="0"/>
        <v>483267</v>
      </c>
      <c r="N12" s="75">
        <f t="shared" si="1"/>
        <v>14213.7352941176</v>
      </c>
      <c r="O12" s="76" t="str">
        <f>VLOOKUP(I12,设计师对应店铺!A:B,COLUMN(设计师对应店铺!B:B)-COLUMN(设计师对应店铺!A:B)+1,0)</f>
        <v>同福店店长</v>
      </c>
    </row>
    <row r="13" spans="1:15">
      <c r="A13" s="77" t="s">
        <v>132</v>
      </c>
      <c r="B13" s="70">
        <f>COUNTIFS(总表!D:D,A13,总表!L:L,"&lt;&gt;",总表!U:U,"",总表!G:G,"&gt;=2019/7/1",总表!G:G,"&lt;=2019/7/31")</f>
        <v>32</v>
      </c>
      <c r="C13" s="70">
        <f>SUMIFS(总表!L:L,总表!D:D,A13,总表!G:G,"&gt;=2019/7/1",总表!G:G,"&lt;=2019/7/31")</f>
        <v>519307</v>
      </c>
      <c r="D13" s="70">
        <f>SUMIFS(总表!M:M,总表!D:D,A13,总表!G:G,"&gt;=2019/7/1",总表!G:G,"&lt;=2019/7/31")</f>
        <v>-9105</v>
      </c>
      <c r="E13" s="70">
        <f t="shared" si="2"/>
        <v>510202</v>
      </c>
      <c r="F13" s="71">
        <f t="shared" si="3"/>
        <v>15943.8125</v>
      </c>
      <c r="G13" s="72" t="str">
        <f>VLOOKUP(A13,设计师对应店铺!A:B,COLUMN(设计师对应店铺!B:B)-COLUMN(设计师对应店铺!A:B)+1,0)</f>
        <v>真北店</v>
      </c>
      <c r="I13" s="77" t="s">
        <v>155</v>
      </c>
      <c r="J13" s="70">
        <f>COUNTIFS(总表!D:D,I13,总表!L:L,"&lt;&gt;",总表!U:U,"",总表!G:G,"&gt;=2019/7/1",总表!G:G,"&lt;=2019/7/31")</f>
        <v>24</v>
      </c>
      <c r="K13" s="70">
        <f>SUMIFS(总表!L:L,总表!D:D,I13,总表!G:G,"&gt;=2019/7/1",总表!G:G,"&lt;=2019/7/31")</f>
        <v>443808</v>
      </c>
      <c r="L13" s="70">
        <f>SUMIFS(总表!M:M,总表!D:D,I13,总表!G:G,"&gt;=2019/7/1",总表!G:G,"&lt;=2019/7/31")</f>
        <v>31602</v>
      </c>
      <c r="M13" s="70">
        <f t="shared" si="0"/>
        <v>475410</v>
      </c>
      <c r="N13" s="71">
        <f t="shared" si="1"/>
        <v>19808.75</v>
      </c>
      <c r="O13" s="72" t="str">
        <f>VLOOKUP(I13,设计师对应店铺!A:B,COLUMN(设计师对应店铺!B:B)-COLUMN(设计师对应店铺!A:B)+1,0)</f>
        <v>好饰家</v>
      </c>
    </row>
    <row r="14" spans="1:15">
      <c r="A14" s="73" t="s">
        <v>125</v>
      </c>
      <c r="B14" s="74">
        <f>COUNTIFS(总表!D:D,A14,总表!L:L,"&lt;&gt;",总表!U:U,"",总表!G:G,"&gt;=2019/7/1",总表!G:G,"&lt;=2019/7/31")</f>
        <v>34</v>
      </c>
      <c r="C14" s="74">
        <f>SUMIFS(总表!L:L,总表!D:D,A14,总表!G:G,"&gt;=2019/7/1",总表!G:G,"&lt;=2019/7/31")</f>
        <v>446307</v>
      </c>
      <c r="D14" s="74">
        <f>SUMIFS(总表!M:M,总表!D:D,A14,总表!G:G,"&gt;=2019/7/1",总表!G:G,"&lt;=2019/7/31")</f>
        <v>36960</v>
      </c>
      <c r="E14" s="74">
        <f t="shared" si="2"/>
        <v>483267</v>
      </c>
      <c r="F14" s="75">
        <f t="shared" si="3"/>
        <v>14213.7352941176</v>
      </c>
      <c r="G14" s="76" t="str">
        <f>VLOOKUP(A14,设计师对应店铺!A:B,COLUMN(设计师对应店铺!B:B)-COLUMN(设计师对应店铺!A:B)+1,0)</f>
        <v>同福店店长</v>
      </c>
      <c r="I14" s="73" t="s">
        <v>427</v>
      </c>
      <c r="J14" s="74">
        <f>COUNTIFS(总表!D:D,I14,总表!L:L,"&lt;&gt;",总表!U:U,"",总表!G:G,"&gt;=2019/7/1",总表!G:G,"&lt;=2019/7/31")</f>
        <v>27</v>
      </c>
      <c r="K14" s="74">
        <f>SUMIFS(总表!L:L,总表!D:D,I14,总表!G:G,"&gt;=2019/7/1",总表!G:G,"&lt;=2019/7/31")</f>
        <v>465500</v>
      </c>
      <c r="L14" s="74">
        <f>SUMIFS(总表!M:M,总表!D:D,I14,总表!G:G,"&gt;=2019/7/1",总表!G:G,"&lt;=2019/7/31")</f>
        <v>14732</v>
      </c>
      <c r="M14" s="74">
        <f t="shared" si="0"/>
        <v>480232</v>
      </c>
      <c r="N14" s="75">
        <f t="shared" si="1"/>
        <v>17786.3703703704</v>
      </c>
      <c r="O14" s="76" t="str">
        <f>VLOOKUP(I14,设计师对应店铺!A:B,COLUMN(设计师对应店铺!B:B)-COLUMN(设计师对应店铺!A:B)+1,0)</f>
        <v>百家宜</v>
      </c>
    </row>
    <row r="15" spans="1:15">
      <c r="A15" s="77" t="s">
        <v>155</v>
      </c>
      <c r="B15" s="70">
        <f>COUNTIFS(总表!D:D,A15,总表!L:L,"&lt;&gt;",总表!U:U,"",总表!G:G,"&gt;=2019/7/1",总表!G:G,"&lt;=2019/7/31")</f>
        <v>24</v>
      </c>
      <c r="C15" s="70">
        <f>SUMIFS(总表!L:L,总表!D:D,A15,总表!G:G,"&gt;=2019/7/1",总表!G:G,"&lt;=2019/7/31")</f>
        <v>443808</v>
      </c>
      <c r="D15" s="70">
        <f>SUMIFS(总表!M:M,总表!D:D,A15,总表!G:G,"&gt;=2019/7/1",总表!G:G,"&lt;=2019/7/31")</f>
        <v>31602</v>
      </c>
      <c r="E15" s="70">
        <f t="shared" si="2"/>
        <v>475410</v>
      </c>
      <c r="F15" s="71">
        <f t="shared" si="3"/>
        <v>19808.75</v>
      </c>
      <c r="G15" s="72" t="str">
        <f>VLOOKUP(A15,设计师对应店铺!A:B,COLUMN(设计师对应店铺!B:B)-COLUMN(设计师对应店铺!A:B)+1,0)</f>
        <v>好饰家</v>
      </c>
      <c r="I15" s="77" t="s">
        <v>44</v>
      </c>
      <c r="J15" s="70">
        <f>COUNTIFS(总表!D:D,I15,总表!L:L,"&lt;&gt;",总表!U:U,"",总表!G:G,"&gt;=2019/7/1",总表!G:G,"&lt;=2019/7/31")</f>
        <v>29</v>
      </c>
      <c r="K15" s="70">
        <f>SUMIFS(总表!L:L,总表!D:D,I15,总表!G:G,"&gt;=2019/7/1",总表!G:G,"&lt;=2019/7/31")</f>
        <v>421553</v>
      </c>
      <c r="L15" s="70">
        <f>SUMIFS(总表!M:M,总表!D:D,I15,总表!G:G,"&gt;=2019/7/1",总表!G:G,"&lt;=2019/7/31")</f>
        <v>51087</v>
      </c>
      <c r="M15" s="70">
        <f t="shared" si="0"/>
        <v>472640</v>
      </c>
      <c r="N15" s="71">
        <f t="shared" si="1"/>
        <v>16297.9310344828</v>
      </c>
      <c r="O15" s="72" t="str">
        <f>VLOOKUP(I15,设计师对应店铺!A:B,COLUMN(设计师对应店铺!B:B)-COLUMN(设计师对应店铺!A:B)+1,0)</f>
        <v>金桥店、百安居</v>
      </c>
    </row>
    <row r="16" spans="1:15">
      <c r="A16" s="73" t="s">
        <v>427</v>
      </c>
      <c r="B16" s="74">
        <f>COUNTIFS(总表!D:D,A16,总表!L:L,"&lt;&gt;",总表!U:U,"",总表!G:G,"&gt;=2019/7/1",总表!G:G,"&lt;=2019/7/31")</f>
        <v>27</v>
      </c>
      <c r="C16" s="74">
        <f>SUMIFS(总表!L:L,总表!D:D,A16,总表!G:G,"&gt;=2019/7/1",总表!G:G,"&lt;=2019/7/31")</f>
        <v>465500</v>
      </c>
      <c r="D16" s="74">
        <f>SUMIFS(总表!M:M,总表!D:D,A16,总表!G:G,"&gt;=2019/7/1",总表!G:G,"&lt;=2019/7/31")</f>
        <v>14732</v>
      </c>
      <c r="E16" s="74">
        <f t="shared" si="2"/>
        <v>480232</v>
      </c>
      <c r="F16" s="75">
        <f t="shared" si="3"/>
        <v>17786.3703703704</v>
      </c>
      <c r="G16" s="76" t="str">
        <f>VLOOKUP(A16,设计师对应店铺!A:B,COLUMN(设计师对应店铺!B:B)-COLUMN(设计师对应店铺!A:B)+1,0)</f>
        <v>百家宜</v>
      </c>
      <c r="I16" s="73" t="s">
        <v>33</v>
      </c>
      <c r="J16" s="74">
        <f>COUNTIFS(总表!D:D,I16,总表!L:L,"&lt;&gt;",总表!U:U,"",总表!G:G,"&gt;=2019/7/1",总表!G:G,"&lt;=2019/7/31")</f>
        <v>34</v>
      </c>
      <c r="K16" s="74">
        <f>SUMIFS(总表!L:L,总表!D:D,I16,总表!G:G,"&gt;=2019/7/1",总表!G:G,"&lt;=2019/7/31")</f>
        <v>410123</v>
      </c>
      <c r="L16" s="74">
        <f>SUMIFS(总表!M:M,总表!D:D,I16,总表!G:G,"&gt;=2019/7/1",总表!G:G,"&lt;=2019/7/31")</f>
        <v>56309</v>
      </c>
      <c r="M16" s="74">
        <f t="shared" si="0"/>
        <v>466432</v>
      </c>
      <c r="N16" s="75">
        <f t="shared" si="1"/>
        <v>13718.5882352941</v>
      </c>
      <c r="O16" s="76" t="str">
        <f>VLOOKUP(I16,设计师对应店铺!A:B,COLUMN(设计师对应店铺!B:B)-COLUMN(设计师对应店铺!A:B)+1,0)</f>
        <v>汶水店</v>
      </c>
    </row>
    <row r="17" spans="1:15">
      <c r="A17" s="77" t="s">
        <v>44</v>
      </c>
      <c r="B17" s="70">
        <f>COUNTIFS(总表!D:D,A17,总表!L:L,"&lt;&gt;",总表!U:U,"",总表!G:G,"&gt;=2019/7/1",总表!G:G,"&lt;=2019/7/31")</f>
        <v>29</v>
      </c>
      <c r="C17" s="70">
        <f>SUMIFS(总表!L:L,总表!D:D,A17,总表!G:G,"&gt;=2019/7/1",总表!G:G,"&lt;=2019/7/31")</f>
        <v>421553</v>
      </c>
      <c r="D17" s="70">
        <f>SUMIFS(总表!M:M,总表!D:D,A17,总表!G:G,"&gt;=2019/7/1",总表!G:G,"&lt;=2019/7/31")</f>
        <v>51087</v>
      </c>
      <c r="E17" s="70">
        <f t="shared" si="2"/>
        <v>472640</v>
      </c>
      <c r="F17" s="71">
        <f t="shared" si="3"/>
        <v>16297.9310344828</v>
      </c>
      <c r="G17" s="72" t="str">
        <f>VLOOKUP(A17,设计师对应店铺!A:B,COLUMN(设计师对应店铺!B:B)-COLUMN(设计师对应店铺!A:B)+1,0)</f>
        <v>金桥店、百安居</v>
      </c>
      <c r="I17" s="77" t="s">
        <v>407</v>
      </c>
      <c r="J17" s="70">
        <f>COUNTIFS(总表!D:D,I17,总表!L:L,"&lt;&gt;",总表!U:U,"",总表!G:G,"&gt;=2019/7/1",总表!G:G,"&lt;=2019/7/31")</f>
        <v>26</v>
      </c>
      <c r="K17" s="70">
        <f>SUMIFS(总表!L:L,总表!D:D,I17,总表!G:G,"&gt;=2019/7/1",总表!G:G,"&lt;=2019/7/31")</f>
        <v>397105</v>
      </c>
      <c r="L17" s="70">
        <f>SUMIFS(总表!M:M,总表!D:D,I17,总表!G:G,"&gt;=2019/7/1",总表!G:G,"&lt;=2019/7/31")</f>
        <v>10337</v>
      </c>
      <c r="M17" s="70">
        <f t="shared" si="0"/>
        <v>407442</v>
      </c>
      <c r="N17" s="71">
        <f t="shared" si="1"/>
        <v>15670.8461538462</v>
      </c>
      <c r="O17" s="72" t="str">
        <f>VLOOKUP(I17,设计师对应店铺!A:B,COLUMN(设计师对应店铺!B:B)-COLUMN(设计师对应店铺!A:B)+1,0)</f>
        <v>嘉定店</v>
      </c>
    </row>
    <row r="18" spans="1:15">
      <c r="A18" s="73" t="s">
        <v>33</v>
      </c>
      <c r="B18" s="74">
        <f>COUNTIFS(总表!D:D,A18,总表!L:L,"&lt;&gt;",总表!U:U,"",总表!G:G,"&gt;=2019/7/1",总表!G:G,"&lt;=2019/7/31")</f>
        <v>34</v>
      </c>
      <c r="C18" s="74">
        <f>SUMIFS(总表!L:L,总表!D:D,A18,总表!G:G,"&gt;=2019/7/1",总表!G:G,"&lt;=2019/7/31")</f>
        <v>410123</v>
      </c>
      <c r="D18" s="74">
        <f>SUMIFS(总表!M:M,总表!D:D,A18,总表!G:G,"&gt;=2019/7/1",总表!G:G,"&lt;=2019/7/31")</f>
        <v>56309</v>
      </c>
      <c r="E18" s="74">
        <f t="shared" si="2"/>
        <v>466432</v>
      </c>
      <c r="F18" s="75">
        <f t="shared" si="3"/>
        <v>13718.5882352941</v>
      </c>
      <c r="G18" s="76" t="str">
        <f>VLOOKUP(A18,设计师对应店铺!A:B,COLUMN(设计师对应店铺!B:B)-COLUMN(设计师对应店铺!A:B)+1,0)</f>
        <v>汶水店</v>
      </c>
      <c r="I18" s="73" t="s">
        <v>110</v>
      </c>
      <c r="J18" s="74">
        <f>COUNTIFS(总表!D:D,I18,总表!L:L,"&lt;&gt;",总表!U:U,"",总表!G:G,"&gt;=2019/7/1",总表!G:G,"&lt;=2019/7/31")</f>
        <v>37</v>
      </c>
      <c r="K18" s="74">
        <f>SUMIFS(总表!L:L,总表!D:D,I18,总表!G:G,"&gt;=2019/7/1",总表!G:G,"&lt;=2019/7/31")</f>
        <v>329958</v>
      </c>
      <c r="L18" s="74">
        <f>SUMIFS(总表!M:M,总表!D:D,I18,总表!G:G,"&gt;=2019/7/1",总表!G:G,"&lt;=2019/7/31")</f>
        <v>48276</v>
      </c>
      <c r="M18" s="74">
        <f t="shared" si="0"/>
        <v>378234</v>
      </c>
      <c r="N18" s="75">
        <f t="shared" si="1"/>
        <v>10222.5405405405</v>
      </c>
      <c r="O18" s="76" t="str">
        <f>VLOOKUP(I18,设计师对应店铺!A:B,COLUMN(设计师对应店铺!B:B)-COLUMN(设计师对应店铺!A:B)+1,0)</f>
        <v>喜盈门</v>
      </c>
    </row>
    <row r="19" spans="1:15">
      <c r="A19" s="77" t="s">
        <v>407</v>
      </c>
      <c r="B19" s="70">
        <f>COUNTIFS(总表!D:D,A19,总表!L:L,"&lt;&gt;",总表!U:U,"",总表!G:G,"&gt;=2019/7/1",总表!G:G,"&lt;=2019/7/31")</f>
        <v>26</v>
      </c>
      <c r="C19" s="70">
        <f>SUMIFS(总表!L:L,总表!D:D,A19,总表!G:G,"&gt;=2019/7/1",总表!G:G,"&lt;=2019/7/31")</f>
        <v>397105</v>
      </c>
      <c r="D19" s="70">
        <f>SUMIFS(总表!M:M,总表!D:D,A19,总表!G:G,"&gt;=2019/7/1",总表!G:G,"&lt;=2019/7/31")</f>
        <v>10337</v>
      </c>
      <c r="E19" s="70">
        <f t="shared" si="2"/>
        <v>407442</v>
      </c>
      <c r="F19" s="71">
        <f t="shared" si="3"/>
        <v>15670.8461538462</v>
      </c>
      <c r="G19" s="72" t="str">
        <f>VLOOKUP(A19,设计师对应店铺!A:B,COLUMN(设计师对应店铺!B:B)-COLUMN(设计师对应店铺!A:B)+1,0)</f>
        <v>嘉定店</v>
      </c>
      <c r="I19" s="77" t="s">
        <v>162</v>
      </c>
      <c r="J19" s="70">
        <f>COUNTIFS(总表!D:D,I19,总表!L:L,"&lt;&gt;",总表!U:U,"",总表!G:G,"&gt;=2019/7/1",总表!G:G,"&lt;=2019/7/31")</f>
        <v>30</v>
      </c>
      <c r="K19" s="70">
        <f>SUMIFS(总表!L:L,总表!D:D,I19,总表!G:G,"&gt;=2019/7/1",总表!G:G,"&lt;=2019/7/31")</f>
        <v>347668</v>
      </c>
      <c r="L19" s="70">
        <f>SUMIFS(总表!M:M,总表!D:D,I19,总表!G:G,"&gt;=2019/7/1",总表!G:G,"&lt;=2019/7/31")</f>
        <v>40659.43</v>
      </c>
      <c r="M19" s="70">
        <f t="shared" si="0"/>
        <v>388327.43</v>
      </c>
      <c r="N19" s="71">
        <f t="shared" si="1"/>
        <v>12944.2476666667</v>
      </c>
      <c r="O19" s="72" t="str">
        <f>VLOOKUP(I19,设计师对应店铺!A:B,COLUMN(设计师对应店铺!B:B)-COLUMN(设计师对应店铺!A:B)+1,0)</f>
        <v>真北店</v>
      </c>
    </row>
    <row r="20" spans="1:15">
      <c r="A20" s="73" t="s">
        <v>162</v>
      </c>
      <c r="B20" s="74">
        <f>COUNTIFS(总表!D:D,A20,总表!L:L,"&lt;&gt;",总表!U:U,"",总表!G:G,"&gt;=2019/7/1",总表!G:G,"&lt;=2019/7/31")</f>
        <v>30</v>
      </c>
      <c r="C20" s="74">
        <f>SUMIFS(总表!L:L,总表!D:D,A20,总表!G:G,"&gt;=2019/7/1",总表!G:G,"&lt;=2019/7/31")</f>
        <v>347668</v>
      </c>
      <c r="D20" s="74">
        <f>SUMIFS(总表!M:M,总表!D:D,A20,总表!G:G,"&gt;=2019/7/1",总表!G:G,"&lt;=2019/7/31")</f>
        <v>40659.43</v>
      </c>
      <c r="E20" s="74">
        <f t="shared" si="2"/>
        <v>388327.43</v>
      </c>
      <c r="F20" s="75">
        <f t="shared" si="3"/>
        <v>12944.2476666667</v>
      </c>
      <c r="G20" s="76" t="str">
        <f>VLOOKUP(A20,设计师对应店铺!A:B,COLUMN(设计师对应店铺!B:B)-COLUMN(设计师对应店铺!A:B)+1,0)</f>
        <v>真北店</v>
      </c>
      <c r="I20" s="73" t="s">
        <v>271</v>
      </c>
      <c r="J20" s="74">
        <f>COUNTIFS(总表!D:D,I20,总表!L:L,"&lt;&gt;",总表!U:U,"",总表!G:G,"&gt;=2019/7/1",总表!G:G,"&lt;=2019/7/31")</f>
        <v>22</v>
      </c>
      <c r="K20" s="74">
        <f>SUMIFS(总表!L:L,总表!D:D,I20,总表!G:G,"&gt;=2019/7/1",总表!G:G,"&lt;=2019/7/31")</f>
        <v>283103</v>
      </c>
      <c r="L20" s="74">
        <f>SUMIFS(总表!M:M,总表!D:D,I20,总表!G:G,"&gt;=2019/7/1",总表!G:G,"&lt;=2019/7/31")</f>
        <v>42447</v>
      </c>
      <c r="M20" s="74">
        <f t="shared" si="0"/>
        <v>325550</v>
      </c>
      <c r="N20" s="75">
        <f t="shared" si="1"/>
        <v>14797.7272727273</v>
      </c>
      <c r="O20" s="76" t="str">
        <f>VLOOKUP(I20,设计师对应店铺!A:B,COLUMN(设计师对应店铺!B:B)-COLUMN(设计师对应店铺!A:B)+1,0)</f>
        <v>喜盈门</v>
      </c>
    </row>
    <row r="21" spans="1:15">
      <c r="A21" s="77" t="s">
        <v>110</v>
      </c>
      <c r="B21" s="70">
        <f>COUNTIFS(总表!D:D,A21,总表!L:L,"&lt;&gt;",总表!U:U,"",总表!G:G,"&gt;=2019/7/1",总表!G:G,"&lt;=2019/7/31")</f>
        <v>37</v>
      </c>
      <c r="C21" s="70">
        <f>SUMIFS(总表!L:L,总表!D:D,A21,总表!G:G,"&gt;=2019/7/1",总表!G:G,"&lt;=2019/7/31")</f>
        <v>329958</v>
      </c>
      <c r="D21" s="70">
        <f>SUMIFS(总表!M:M,总表!D:D,A21,总表!G:G,"&gt;=2019/7/1",总表!G:G,"&lt;=2019/7/31")</f>
        <v>48276</v>
      </c>
      <c r="E21" s="70">
        <f t="shared" si="2"/>
        <v>378234</v>
      </c>
      <c r="F21" s="70">
        <f t="shared" si="3"/>
        <v>10222.5405405405</v>
      </c>
      <c r="G21" s="72" t="str">
        <f>VLOOKUP(A21,设计师对应店铺!A:B,COLUMN(设计师对应店铺!B:B)-COLUMN(设计师对应店铺!A:B)+1,0)</f>
        <v>喜盈门</v>
      </c>
      <c r="I21" s="77" t="s">
        <v>221</v>
      </c>
      <c r="J21" s="70">
        <f>COUNTIFS(总表!D:D,I21,总表!L:L,"&lt;&gt;",总表!U:U,"",总表!G:G,"&gt;=2019/7/1",总表!G:G,"&lt;=2019/7/31")</f>
        <v>20</v>
      </c>
      <c r="K21" s="70">
        <f>SUMIFS(总表!L:L,总表!D:D,I21,总表!G:G,"&gt;=2019/7/1",总表!G:G,"&lt;=2019/7/31")</f>
        <v>246840</v>
      </c>
      <c r="L21" s="70">
        <f>SUMIFS(总表!M:M,总表!D:D,I21,总表!G:G,"&gt;=2019/7/1",总表!G:G,"&lt;=2019/7/31")</f>
        <v>89605</v>
      </c>
      <c r="M21" s="70">
        <f t="shared" si="0"/>
        <v>336445</v>
      </c>
      <c r="N21" s="71">
        <f t="shared" si="1"/>
        <v>16822.25</v>
      </c>
      <c r="O21" s="72" t="str">
        <f>VLOOKUP(I21,设计师对应店铺!A:B,COLUMN(设计师对应店铺!B:B)-COLUMN(设计师对应店铺!A:B)+1,0)</f>
        <v>汶水店</v>
      </c>
    </row>
    <row r="22" spans="1:15">
      <c r="A22" s="73" t="s">
        <v>518</v>
      </c>
      <c r="B22" s="74">
        <f>COUNTIFS(总表!D:D,A22,总表!L:L,"&lt;&gt;",总表!U:U,"",总表!G:G,"&gt;=2019/7/1",总表!G:G,"&lt;=2019/7/31")</f>
        <v>18</v>
      </c>
      <c r="C22" s="74">
        <f>SUMIFS(总表!L:L,总表!D:D,A22,总表!G:G,"&gt;=2019/7/1",总表!G:G,"&lt;=2019/7/31")</f>
        <v>336088</v>
      </c>
      <c r="D22" s="74">
        <f>SUMIFS(总表!M:M,总表!D:D,A22,总表!G:G,"&gt;=2019/7/1",总表!G:G,"&lt;=2019/7/31")</f>
        <v>9165</v>
      </c>
      <c r="E22" s="74">
        <f t="shared" si="2"/>
        <v>345253</v>
      </c>
      <c r="F22" s="75">
        <f t="shared" si="3"/>
        <v>19180.7222222222</v>
      </c>
      <c r="G22" s="76" t="str">
        <f>VLOOKUP(A22,设计师对应店铺!A:B,COLUMN(设计师对应店铺!B:B)-COLUMN(设计师对应店铺!A:B)+1,0)</f>
        <v>奉贤店</v>
      </c>
      <c r="I22" s="73" t="s">
        <v>75</v>
      </c>
      <c r="J22" s="74">
        <f>COUNTIFS(总表!D:D,I22,总表!L:L,"&lt;&gt;",总表!U:U,"",总表!G:G,"&gt;=2019/7/1",总表!G:G,"&lt;=2019/7/31")</f>
        <v>9</v>
      </c>
      <c r="K22" s="74">
        <f>SUMIFS(总表!L:L,总表!D:D,I22,总表!G:G,"&gt;=2019/7/1",总表!G:G,"&lt;=2019/7/31")</f>
        <v>192390.5</v>
      </c>
      <c r="L22" s="74">
        <f>SUMIFS(总表!M:M,总表!D:D,I22,总表!G:G,"&gt;=2019/7/1",总表!G:G,"&lt;=2019/7/31")</f>
        <v>86553.5</v>
      </c>
      <c r="M22" s="74">
        <f t="shared" si="0"/>
        <v>278944</v>
      </c>
      <c r="N22" s="75">
        <f t="shared" si="1"/>
        <v>30993.7777777778</v>
      </c>
      <c r="O22" s="76" t="str">
        <f>VLOOKUP(I22,设计师对应店铺!A:B,COLUMN(设计师对应店铺!B:B)-COLUMN(设计师对应店铺!A:B)+1,0)</f>
        <v>宜山经理</v>
      </c>
    </row>
    <row r="23" spans="1:15">
      <c r="A23" s="77" t="s">
        <v>271</v>
      </c>
      <c r="B23" s="70">
        <f>COUNTIFS(总表!D:D,A23,总表!L:L,"&lt;&gt;",总表!U:U,"",总表!G:G,"&gt;=2019/7/1",总表!G:G,"&lt;=2019/7/31")</f>
        <v>22</v>
      </c>
      <c r="C23" s="70">
        <f>SUMIFS(总表!L:L,总表!D:D,A23,总表!G:G,"&gt;=2019/7/1",总表!G:G,"&lt;=2019/7/31")</f>
        <v>283103</v>
      </c>
      <c r="D23" s="70">
        <f>SUMIFS(总表!M:M,总表!D:D,A23,总表!G:G,"&gt;=2019/7/1",总表!G:G,"&lt;=2019/7/31")</f>
        <v>42447</v>
      </c>
      <c r="E23" s="70">
        <f t="shared" si="2"/>
        <v>325550</v>
      </c>
      <c r="F23" s="71">
        <f t="shared" si="3"/>
        <v>14797.7272727273</v>
      </c>
      <c r="G23" s="72" t="str">
        <f>VLOOKUP(A23,设计师对应店铺!A:B,COLUMN(设计师对应店铺!B:B)-COLUMN(设计师对应店铺!A:B)+1,0)</f>
        <v>喜盈门</v>
      </c>
      <c r="I23" s="77" t="s">
        <v>356</v>
      </c>
      <c r="J23" s="70">
        <f>COUNTIFS(总表!D:D,I23,总表!L:L,"&lt;&gt;",总表!U:U,"",总表!G:G,"&gt;=2019/7/1",总表!G:G,"&lt;=2019/7/31")</f>
        <v>22</v>
      </c>
      <c r="K23" s="70">
        <f>SUMIFS(总表!L:L,总表!D:D,I23,总表!G:G,"&gt;=2019/7/1",总表!G:G,"&lt;=2019/7/31")</f>
        <v>293008</v>
      </c>
      <c r="L23" s="70">
        <f>SUMIFS(总表!M:M,总表!D:D,I23,总表!G:G,"&gt;=2019/7/1",总表!G:G,"&lt;=2019/7/31")</f>
        <v>-17107</v>
      </c>
      <c r="M23" s="70">
        <f t="shared" si="0"/>
        <v>275901</v>
      </c>
      <c r="N23" s="71">
        <f t="shared" si="1"/>
        <v>12540.9545454545</v>
      </c>
      <c r="O23" s="72" t="str">
        <f>VLOOKUP(I23,设计师对应店铺!A:B,COLUMN(设计师对应店铺!B:B)-COLUMN(设计师对应店铺!A:B)+1,0)</f>
        <v>百安居</v>
      </c>
    </row>
    <row r="24" spans="1:15">
      <c r="A24" s="73" t="s">
        <v>221</v>
      </c>
      <c r="B24" s="74">
        <f>COUNTIFS(总表!D:D,A24,总表!L:L,"&lt;&gt;",总表!U:U,"",总表!G:G,"&gt;=2019/7/1",总表!G:G,"&lt;=2019/7/31")</f>
        <v>20</v>
      </c>
      <c r="C24" s="74">
        <f>SUMIFS(总表!L:L,总表!D:D,A24,总表!G:G,"&gt;=2019/7/1",总表!G:G,"&lt;=2019/7/31")</f>
        <v>246840</v>
      </c>
      <c r="D24" s="74">
        <f>SUMIFS(总表!M:M,总表!D:D,A24,总表!G:G,"&gt;=2019/7/1",总表!G:G,"&lt;=2019/7/31")</f>
        <v>89605</v>
      </c>
      <c r="E24" s="74">
        <f t="shared" si="2"/>
        <v>336445</v>
      </c>
      <c r="F24" s="75">
        <f t="shared" si="3"/>
        <v>16822.25</v>
      </c>
      <c r="G24" s="76" t="str">
        <f>VLOOKUP(A24,设计师对应店铺!A:B,COLUMN(设计师对应店铺!B:B)-COLUMN(设计师对应店铺!A:B)+1,0)</f>
        <v>汶水店</v>
      </c>
      <c r="I24" s="73" t="s">
        <v>171</v>
      </c>
      <c r="J24" s="74">
        <f>COUNTIFS(总表!D:D,I24,总表!L:L,"&lt;&gt;",总表!U:U,"",总表!G:G,"&gt;=2019/7/1",总表!G:G,"&lt;=2019/7/31")</f>
        <v>19</v>
      </c>
      <c r="K24" s="74">
        <f>SUMIFS(总表!L:L,总表!D:D,I24,总表!G:G,"&gt;=2019/7/1",总表!G:G,"&lt;=2019/7/31")</f>
        <v>245484</v>
      </c>
      <c r="L24" s="74">
        <f>SUMIFS(总表!M:M,总表!D:D,I24,总表!G:G,"&gt;=2019/7/1",总表!G:G,"&lt;=2019/7/31")</f>
        <v>50840</v>
      </c>
      <c r="M24" s="74">
        <f t="shared" si="0"/>
        <v>296324</v>
      </c>
      <c r="N24" s="75">
        <f t="shared" si="1"/>
        <v>15596</v>
      </c>
      <c r="O24" s="76" t="str">
        <f>VLOOKUP(I24,设计师对应店铺!A:B,COLUMN(设计师对应店铺!B:B)-COLUMN(设计师对应店铺!A:B)+1,0)</f>
        <v>家饰佳、兴力达</v>
      </c>
    </row>
    <row r="25" spans="1:15">
      <c r="A25" s="77" t="s">
        <v>75</v>
      </c>
      <c r="B25" s="70">
        <f>COUNTIFS(总表!D:D,A25,总表!L:L,"&lt;&gt;",总表!U:U,"",总表!G:G,"&gt;=2019/7/1",总表!G:G,"&lt;=2019/7/31")</f>
        <v>9</v>
      </c>
      <c r="C25" s="70">
        <f>SUMIFS(总表!L:L,总表!D:D,A25,总表!G:G,"&gt;=2019/7/1",总表!G:G,"&lt;=2019/7/31")</f>
        <v>192390.5</v>
      </c>
      <c r="D25" s="70">
        <f>SUMIFS(总表!M:M,总表!D:D,A25,总表!G:G,"&gt;=2019/7/1",总表!G:G,"&lt;=2019/7/31")</f>
        <v>86553.5</v>
      </c>
      <c r="E25" s="70">
        <f t="shared" si="2"/>
        <v>278944</v>
      </c>
      <c r="F25" s="71">
        <f t="shared" si="3"/>
        <v>30993.7777777778</v>
      </c>
      <c r="G25" s="72" t="str">
        <f>VLOOKUP(A25,设计师对应店铺!A:B,COLUMN(设计师对应店铺!B:B)-COLUMN(设计师对应店铺!A:B)+1,0)</f>
        <v>宜山经理</v>
      </c>
      <c r="I25" s="77" t="s">
        <v>60</v>
      </c>
      <c r="J25" s="70">
        <f>COUNTIFS(总表!D:D,I25,总表!L:L,"&lt;&gt;",总表!U:U,"",总表!G:G,"&gt;=2019/7/1",总表!G:G,"&lt;=2019/7/31")</f>
        <v>19</v>
      </c>
      <c r="K25" s="70">
        <f>SUMIFS(总表!L:L,总表!D:D,I25,总表!G:G,"&gt;=2019/7/1",总表!G:G,"&lt;=2019/7/31")</f>
        <v>213274</v>
      </c>
      <c r="L25" s="70">
        <f>SUMIFS(总表!M:M,总表!D:D,I25,总表!G:G,"&gt;=2019/7/1",总表!G:G,"&lt;=2019/7/31")</f>
        <v>16870</v>
      </c>
      <c r="M25" s="70">
        <f t="shared" si="0"/>
        <v>230144</v>
      </c>
      <c r="N25" s="71">
        <f t="shared" si="1"/>
        <v>12112.8421052632</v>
      </c>
      <c r="O25" s="72" t="str">
        <f>VLOOKUP(I25,设计师对应店铺!A:B,COLUMN(设计师对应店铺!B:B)-COLUMN(设计师对应店铺!A:B)+1,0)</f>
        <v>家饰佳</v>
      </c>
    </row>
    <row r="26" spans="1:15">
      <c r="A26" s="73" t="s">
        <v>356</v>
      </c>
      <c r="B26" s="74">
        <f>COUNTIFS(总表!D:D,A26,总表!L:L,"&lt;&gt;",总表!U:U,"",总表!G:G,"&gt;=2019/7/1",总表!G:G,"&lt;=2019/7/31")</f>
        <v>22</v>
      </c>
      <c r="C26" s="74">
        <f>SUMIFS(总表!L:L,总表!D:D,A26,总表!G:G,"&gt;=2019/7/1",总表!G:G,"&lt;=2019/7/31")</f>
        <v>293008</v>
      </c>
      <c r="D26" s="74">
        <f>SUMIFS(总表!M:M,总表!D:D,A26,总表!G:G,"&gt;=2019/7/1",总表!G:G,"&lt;=2019/7/31")</f>
        <v>-17107</v>
      </c>
      <c r="E26" s="74">
        <f t="shared" si="2"/>
        <v>275901</v>
      </c>
      <c r="F26" s="75">
        <f t="shared" si="3"/>
        <v>12540.9545454545</v>
      </c>
      <c r="G26" s="76" t="str">
        <f>VLOOKUP(A26,设计师对应店铺!A:B,COLUMN(设计师对应店铺!B:B)-COLUMN(设计师对应店铺!A:B)+1,0)</f>
        <v>百安居</v>
      </c>
      <c r="I26" s="73" t="s">
        <v>182</v>
      </c>
      <c r="J26" s="74">
        <f>COUNTIFS(总表!D:D,I26,总表!L:L,"&lt;&gt;",总表!U:U,"",总表!G:G,"&gt;=2019/7/1",总表!G:G,"&lt;=2019/7/31")</f>
        <v>14</v>
      </c>
      <c r="K26" s="74">
        <f>SUMIFS(总表!L:L,总表!D:D,I26,总表!G:G,"&gt;=2019/7/1",总表!G:G,"&lt;=2019/7/31")</f>
        <v>149243</v>
      </c>
      <c r="L26" s="74">
        <f>SUMIFS(总表!M:M,总表!D:D,I26,总表!G:G,"&gt;=2019/7/1",总表!G:G,"&lt;=2019/7/31")</f>
        <v>75897</v>
      </c>
      <c r="M26" s="74">
        <f t="shared" si="0"/>
        <v>225140</v>
      </c>
      <c r="N26" s="75">
        <f t="shared" si="1"/>
        <v>16081.4285714286</v>
      </c>
      <c r="O26" s="76" t="str">
        <f>VLOOKUP(I26,设计师对应店铺!A:B,COLUMN(设计师对应店铺!B:B)-COLUMN(设计师对应店铺!A:B)+1,0)</f>
        <v>真北店</v>
      </c>
    </row>
    <row r="27" spans="1:15">
      <c r="A27" s="77" t="s">
        <v>171</v>
      </c>
      <c r="B27" s="70">
        <f>COUNTIFS(总表!D:D,A27,总表!L:L,"&lt;&gt;",总表!U:U,"",总表!G:G,"&gt;=2019/7/1",总表!G:G,"&lt;=2019/7/31")</f>
        <v>19</v>
      </c>
      <c r="C27" s="70">
        <f>SUMIFS(总表!L:L,总表!D:D,A27,总表!G:G,"&gt;=2019/7/1",总表!G:G,"&lt;=2019/7/31")</f>
        <v>245484</v>
      </c>
      <c r="D27" s="70">
        <f>SUMIFS(总表!M:M,总表!D:D,A27,总表!G:G,"&gt;=2019/7/1",总表!G:G,"&lt;=2019/7/31")</f>
        <v>50840</v>
      </c>
      <c r="E27" s="70">
        <f t="shared" si="2"/>
        <v>296324</v>
      </c>
      <c r="F27" s="71">
        <f t="shared" si="3"/>
        <v>15596</v>
      </c>
      <c r="G27" s="72" t="str">
        <f>VLOOKUP(A27,设计师对应店铺!A:B,COLUMN(设计师对应店铺!B:B)-COLUMN(设计师对应店铺!A:B)+1,0)</f>
        <v>家饰佳、兴力达</v>
      </c>
      <c r="I27" s="77" t="s">
        <v>635</v>
      </c>
      <c r="J27" s="70">
        <f>COUNTIFS(总表!D:D,I27,总表!L:L,"&lt;&gt;",总表!U:U,"",总表!G:G,"&gt;=2019/7/1",总表!G:G,"&lt;=2019/7/31")</f>
        <v>21</v>
      </c>
      <c r="K27" s="70">
        <f>SUMIFS(总表!L:L,总表!D:D,I27,总表!G:G,"&gt;=2019/7/1",总表!G:G,"&lt;=2019/7/31")</f>
        <v>185723</v>
      </c>
      <c r="L27" s="70">
        <f>SUMIFS(总表!M:M,总表!D:D,I27,总表!G:G,"&gt;=2019/7/1",总表!G:G,"&lt;=2019/7/31")</f>
        <v>14377</v>
      </c>
      <c r="M27" s="70">
        <f t="shared" si="0"/>
        <v>200100</v>
      </c>
      <c r="N27" s="71">
        <f t="shared" si="1"/>
        <v>9528.57142857143</v>
      </c>
      <c r="O27" s="72" t="str">
        <f>VLOOKUP(I27,设计师对应店铺!A:B,COLUMN(设计师对应店铺!B:B)-COLUMN(设计师对应店铺!A:B)+1,0)</f>
        <v>家饰佳、兴力达</v>
      </c>
    </row>
    <row r="28" spans="1:15">
      <c r="A28" s="73" t="s">
        <v>60</v>
      </c>
      <c r="B28" s="74">
        <f>COUNTIFS(总表!D:D,A28,总表!L:L,"&lt;&gt;",总表!U:U,"",总表!G:G,"&gt;=2019/7/1",总表!G:G,"&lt;=2019/7/31")</f>
        <v>19</v>
      </c>
      <c r="C28" s="74">
        <f>SUMIFS(总表!L:L,总表!D:D,A28,总表!G:G,"&gt;=2019/7/1",总表!G:G,"&lt;=2019/7/31")</f>
        <v>213274</v>
      </c>
      <c r="D28" s="74">
        <f>SUMIFS(总表!M:M,总表!D:D,A28,总表!G:G,"&gt;=2019/7/1",总表!G:G,"&lt;=2019/7/31")</f>
        <v>16870</v>
      </c>
      <c r="E28" s="74">
        <f t="shared" si="2"/>
        <v>230144</v>
      </c>
      <c r="F28" s="75">
        <f t="shared" si="3"/>
        <v>12112.8421052632</v>
      </c>
      <c r="G28" s="76" t="str">
        <f>VLOOKUP(A28,设计师对应店铺!A:B,COLUMN(设计师对应店铺!B:B)-COLUMN(设计师对应店铺!A:B)+1,0)</f>
        <v>家饰佳</v>
      </c>
      <c r="I28" s="73" t="s">
        <v>337</v>
      </c>
      <c r="J28" s="74">
        <f>COUNTIFS(总表!D:D,I28,总表!L:L,"&lt;&gt;",总表!U:U,"",总表!G:G,"&gt;=2019/7/1",总表!G:G,"&lt;=2019/7/31")</f>
        <v>17</v>
      </c>
      <c r="K28" s="74">
        <f>SUMIFS(总表!L:L,总表!D:D,I28,总表!G:G,"&gt;=2019/7/1",总表!G:G,"&lt;=2019/7/31")</f>
        <v>163074</v>
      </c>
      <c r="L28" s="74">
        <f>SUMIFS(总表!M:M,总表!D:D,I28,总表!G:G,"&gt;=2019/7/1",总表!G:G,"&lt;=2019/7/31")</f>
        <v>14286</v>
      </c>
      <c r="M28" s="74">
        <f t="shared" si="0"/>
        <v>177360</v>
      </c>
      <c r="N28" s="75">
        <f t="shared" si="1"/>
        <v>10432.9411764706</v>
      </c>
      <c r="O28" s="76" t="str">
        <f>VLOOKUP(I28,设计师对应店铺!A:B,COLUMN(设计师对应店铺!B:B)-COLUMN(设计师对应店铺!A:B)+1,0)</f>
        <v>建配龙</v>
      </c>
    </row>
    <row r="29" spans="1:15">
      <c r="A29" s="77" t="s">
        <v>182</v>
      </c>
      <c r="B29" s="70">
        <f>COUNTIFS(总表!D:D,A29,总表!L:L,"&lt;&gt;",总表!U:U,"",总表!G:G,"&gt;=2019/7/1",总表!G:G,"&lt;=2019/7/31")</f>
        <v>14</v>
      </c>
      <c r="C29" s="70">
        <f>SUMIFS(总表!L:L,总表!D:D,A29,总表!G:G,"&gt;=2019/7/1",总表!G:G,"&lt;=2019/7/31")</f>
        <v>149243</v>
      </c>
      <c r="D29" s="70">
        <f>SUMIFS(总表!M:M,总表!D:D,A29,总表!G:G,"&gt;=2019/7/1",总表!G:G,"&lt;=2019/7/31")</f>
        <v>75897</v>
      </c>
      <c r="E29" s="70">
        <f t="shared" si="2"/>
        <v>225140</v>
      </c>
      <c r="F29" s="71">
        <f t="shared" si="3"/>
        <v>16081.4285714286</v>
      </c>
      <c r="G29" s="72" t="str">
        <f>VLOOKUP(A29,设计师对应店铺!A:B,COLUMN(设计师对应店铺!B:B)-COLUMN(设计师对应店铺!A:B)+1,0)</f>
        <v>真北店</v>
      </c>
      <c r="I29" s="77" t="s">
        <v>149</v>
      </c>
      <c r="J29" s="70">
        <f>COUNTIFS(总表!D:D,I29,总表!L:L,"&lt;&gt;",总表!U:U,"",总表!G:G,"&gt;=2019/7/1",总表!G:G,"&lt;=2019/7/31")</f>
        <v>9</v>
      </c>
      <c r="K29" s="70">
        <f>SUMIFS(总表!L:L,总表!D:D,I29,总表!G:G,"&gt;=2019/7/1",总表!G:G,"&lt;=2019/7/31")</f>
        <v>119812</v>
      </c>
      <c r="L29" s="70">
        <f>SUMIFS(总表!M:M,总表!D:D,I29,总表!G:G,"&gt;=2019/7/1",总表!G:G,"&lt;=2019/7/31")</f>
        <v>18167</v>
      </c>
      <c r="M29" s="70">
        <f t="shared" si="0"/>
        <v>137979</v>
      </c>
      <c r="N29" s="71">
        <f t="shared" si="1"/>
        <v>15331</v>
      </c>
      <c r="O29" s="72" t="str">
        <f>VLOOKUP(I29,设计师对应店铺!A:B,COLUMN(设计师对应店铺!B:B)-COLUMN(设计师对应店铺!A:B)+1,0)</f>
        <v>百安居</v>
      </c>
    </row>
    <row r="30" spans="1:15">
      <c r="A30" s="73" t="s">
        <v>635</v>
      </c>
      <c r="B30" s="74">
        <f>COUNTIFS(总表!D:D,A30,总表!L:L,"&lt;&gt;",总表!U:U,"",总表!G:G,"&gt;=2019/7/1",总表!G:G,"&lt;=2019/7/31")</f>
        <v>21</v>
      </c>
      <c r="C30" s="74">
        <f>SUMIFS(总表!L:L,总表!D:D,A30,总表!G:G,"&gt;=2019/7/1",总表!G:G,"&lt;=2019/7/31")</f>
        <v>185723</v>
      </c>
      <c r="D30" s="74">
        <f>SUMIFS(总表!M:M,总表!D:D,A30,总表!G:G,"&gt;=2019/7/1",总表!G:G,"&lt;=2019/7/31")</f>
        <v>14377</v>
      </c>
      <c r="E30" s="74">
        <f t="shared" si="2"/>
        <v>200100</v>
      </c>
      <c r="F30" s="75">
        <f t="shared" si="3"/>
        <v>9528.57142857143</v>
      </c>
      <c r="G30" s="76" t="str">
        <f>VLOOKUP(A30,设计师对应店铺!A:B,COLUMN(设计师对应店铺!B:B)-COLUMN(设计师对应店铺!A:B)+1,0)</f>
        <v>家饰佳、兴力达</v>
      </c>
      <c r="I30" s="73" t="s">
        <v>1170</v>
      </c>
      <c r="J30" s="74">
        <f>COUNTIFS(总表!D:D,I30,总表!L:L,"&lt;&gt;",总表!U:U,"",总表!G:G,"&gt;=2019/7/1",总表!G:G,"&lt;=2019/7/31")</f>
        <v>7</v>
      </c>
      <c r="K30" s="74">
        <f>SUMIFS(总表!L:L,总表!D:D,I30,总表!G:G,"&gt;=2019/7/1",总表!G:G,"&lt;=2019/7/31")</f>
        <v>75899</v>
      </c>
      <c r="L30" s="74">
        <f>SUMIFS(总表!M:M,总表!D:D,I30,总表!G:G,"&gt;=2019/7/1",总表!G:G,"&lt;=2019/7/31")</f>
        <v>15322</v>
      </c>
      <c r="M30" s="74">
        <f t="shared" si="0"/>
        <v>91221</v>
      </c>
      <c r="N30" s="75">
        <f t="shared" si="1"/>
        <v>13031.5714285714</v>
      </c>
      <c r="O30" s="76" t="str">
        <f>VLOOKUP(I30,设计师对应店铺!A:B,COLUMN(设计师对应店铺!B:B)-COLUMN(设计师对应店铺!A:B)+1,0)</f>
        <v>百安居</v>
      </c>
    </row>
    <row r="31" spans="1:15">
      <c r="A31" s="77" t="s">
        <v>337</v>
      </c>
      <c r="B31" s="70">
        <f>COUNTIFS(总表!D:D,A31,总表!L:L,"&lt;&gt;",总表!U:U,"",总表!G:G,"&gt;=2019/7/1",总表!G:G,"&lt;=2019/7/31")</f>
        <v>17</v>
      </c>
      <c r="C31" s="70">
        <f>SUMIFS(总表!L:L,总表!D:D,A31,总表!G:G,"&gt;=2019/7/1",总表!G:G,"&lt;=2019/7/31")</f>
        <v>163074</v>
      </c>
      <c r="D31" s="70">
        <f>SUMIFS(总表!M:M,总表!D:D,A31,总表!G:G,"&gt;=2019/7/1",总表!G:G,"&lt;=2019/7/31")</f>
        <v>14286</v>
      </c>
      <c r="E31" s="70">
        <f t="shared" si="2"/>
        <v>177360</v>
      </c>
      <c r="F31" s="71">
        <f t="shared" si="3"/>
        <v>10432.9411764706</v>
      </c>
      <c r="G31" s="72" t="str">
        <f>VLOOKUP(A31,设计师对应店铺!A:B,COLUMN(设计师对应店铺!B:B)-COLUMN(设计师对应店铺!A:B)+1,0)</f>
        <v>建配龙</v>
      </c>
      <c r="I31" s="77" t="s">
        <v>361</v>
      </c>
      <c r="J31" s="70">
        <f>COUNTIFS(总表!D:D,I31,总表!L:L,"&lt;&gt;",总表!U:U,"",总表!G:G,"&gt;=2019/7/1",总表!G:G,"&lt;=2019/7/31")</f>
        <v>4</v>
      </c>
      <c r="K31" s="70">
        <f>SUMIFS(总表!L:L,总表!D:D,I31,总表!G:G,"&gt;=2019/7/1",总表!G:G,"&lt;=2019/7/31")</f>
        <v>47002</v>
      </c>
      <c r="L31" s="70">
        <f>SUMIFS(总表!M:M,总表!D:D,I31,总表!G:G,"&gt;=2019/7/1",总表!G:G,"&lt;=2019/7/31")</f>
        <v>0</v>
      </c>
      <c r="M31" s="70">
        <f t="shared" si="0"/>
        <v>47002</v>
      </c>
      <c r="N31" s="71">
        <f t="shared" si="1"/>
        <v>11750.5</v>
      </c>
      <c r="O31" s="72" t="str">
        <f>VLOOKUP(I31,设计师对应店铺!A:B,COLUMN(设计师对应店铺!B:B)-COLUMN(设计师对应店铺!A:B)+1,0)</f>
        <v>美美家自配</v>
      </c>
    </row>
    <row r="32" spans="1:15">
      <c r="A32" s="73" t="s">
        <v>149</v>
      </c>
      <c r="B32" s="74">
        <f>COUNTIFS(总表!D:D,A32,总表!L:L,"&lt;&gt;",总表!U:U,"",总表!G:G,"&gt;=2019/7/1",总表!G:G,"&lt;=2019/7/31")</f>
        <v>9</v>
      </c>
      <c r="C32" s="74">
        <f>SUMIFS(总表!L:L,总表!D:D,A32,总表!G:G,"&gt;=2019/7/1",总表!G:G,"&lt;=2019/7/31")</f>
        <v>119812</v>
      </c>
      <c r="D32" s="74">
        <f>SUMIFS(总表!M:M,总表!D:D,A32,总表!G:G,"&gt;=2019/7/1",总表!G:G,"&lt;=2019/7/31")</f>
        <v>18167</v>
      </c>
      <c r="E32" s="74">
        <f>SUMIFS(总表!N:N,总表!D:D,A32,总表!G:G,"&gt;=2019/7/1",总表!G:G,"&lt;=2019/7/31")</f>
        <v>137979</v>
      </c>
      <c r="F32" s="75">
        <f t="shared" si="3"/>
        <v>15331</v>
      </c>
      <c r="G32" s="76" t="str">
        <f>VLOOKUP(A32,设计师对应店铺!A:B,COLUMN(设计师对应店铺!B:B)-COLUMN(设计师对应店铺!A:B)+1,0)</f>
        <v>百安居</v>
      </c>
      <c r="I32" s="73" t="s">
        <v>191</v>
      </c>
      <c r="J32" s="74">
        <f>COUNTIFS(总表!D:D,I32,总表!L:L,"&lt;&gt;",总表!U:U,"",总表!G:G,"&gt;=2019/7/1",总表!G:G,"&lt;=2019/7/31")</f>
        <v>1</v>
      </c>
      <c r="K32" s="74">
        <f>SUMIFS(总表!L:L,总表!D:D,I32,总表!G:G,"&gt;=2019/7/1",总表!G:G,"&lt;=2019/7/31")</f>
        <v>5312</v>
      </c>
      <c r="L32" s="74">
        <f>SUMIFS(总表!M:M,总表!D:D,I32,总表!G:G,"&gt;=2019/7/1",总表!G:G,"&lt;=2019/7/31")</f>
        <v>0</v>
      </c>
      <c r="M32" s="74">
        <f t="shared" si="0"/>
        <v>5312</v>
      </c>
      <c r="N32" s="74">
        <f t="shared" si="1"/>
        <v>5312</v>
      </c>
      <c r="O32" s="76" t="str">
        <f>VLOOKUP(I32,设计师对应店铺!A:B,COLUMN(设计师对应店铺!B:B)-COLUMN(设计师对应店铺!A:B)+1,0)</f>
        <v>家饰佳</v>
      </c>
    </row>
    <row r="33" spans="1:15">
      <c r="A33" s="77" t="s">
        <v>1170</v>
      </c>
      <c r="B33" s="70">
        <f>COUNTIFS(总表!D:D,A33,总表!L:L,"&lt;&gt;",总表!U:U,"",总表!G:G,"&gt;=2019/7/1",总表!G:G,"&lt;=2019/7/31")</f>
        <v>7</v>
      </c>
      <c r="C33" s="70">
        <f>SUMIFS(总表!L:L,总表!D:D,A33,总表!G:G,"&gt;=2019/7/1",总表!G:G,"&lt;=2019/7/31")</f>
        <v>75899</v>
      </c>
      <c r="D33" s="70">
        <f>SUMIFS(总表!M:M,总表!D:D,A33,总表!G:G,"&gt;=2019/7/1",总表!G:G,"&lt;=2019/7/31")</f>
        <v>15322</v>
      </c>
      <c r="E33" s="70">
        <f t="shared" ref="E33:E43" si="4">C33+D33</f>
        <v>91221</v>
      </c>
      <c r="F33" s="71">
        <f t="shared" si="3"/>
        <v>13031.5714285714</v>
      </c>
      <c r="G33" s="72" t="str">
        <f>VLOOKUP(A33,设计师对应店铺!A:B,COLUMN(设计师对应店铺!B:B)-COLUMN(设计师对应店铺!A:B)+1,0)</f>
        <v>百安居</v>
      </c>
      <c r="I33" s="77" t="s">
        <v>443</v>
      </c>
      <c r="J33" s="70">
        <f>COUNTIFS(总表!D:D,I33,总表!L:L,"&lt;&gt;",总表!U:U,"",总表!G:G,"&gt;=2019/7/1",总表!G:G,"&lt;=2019/7/31")</f>
        <v>2</v>
      </c>
      <c r="K33" s="70">
        <f>SUMIFS(总表!L:L,总表!D:D,I33,总表!G:G,"&gt;=2019/7/1",总表!G:G,"&lt;=2019/7/31")</f>
        <v>11589</v>
      </c>
      <c r="L33" s="70">
        <f>SUMIFS(总表!M:M,总表!D:D,I33,总表!G:G,"&gt;=2019/7/1",总表!G:G,"&lt;=2019/7/31")</f>
        <v>0</v>
      </c>
      <c r="M33" s="70">
        <f t="shared" si="0"/>
        <v>11589</v>
      </c>
      <c r="N33" s="71">
        <f t="shared" si="1"/>
        <v>5794.5</v>
      </c>
      <c r="O33" s="72" t="str">
        <f>VLOOKUP(I33,设计师对应店铺!A:B,COLUMN(设计师对应店铺!B:B)-COLUMN(设计师对应店铺!A:B)+1,0)</f>
        <v>家饰佳</v>
      </c>
    </row>
    <row r="34" spans="1:15">
      <c r="A34" s="73" t="s">
        <v>361</v>
      </c>
      <c r="B34" s="74">
        <f>COUNTIFS(总表!D:D,A34,总表!L:L,"&lt;&gt;",总表!U:U,"",总表!G:G,"&gt;=2019/7/1",总表!G:G,"&lt;=2019/7/31")</f>
        <v>4</v>
      </c>
      <c r="C34" s="74">
        <f>SUMIFS(总表!L:L,总表!D:D,A34,总表!G:G,"&gt;=2019/7/1",总表!G:G,"&lt;=2019/7/31")</f>
        <v>47002</v>
      </c>
      <c r="D34" s="74">
        <f>SUMIFS(总表!M:M,总表!D:D,A34,总表!G:G,"&gt;=2019/7/1",总表!G:G,"&lt;=2019/7/31")</f>
        <v>0</v>
      </c>
      <c r="E34" s="74">
        <f t="shared" si="4"/>
        <v>47002</v>
      </c>
      <c r="F34" s="75">
        <f t="shared" si="3"/>
        <v>11750.5</v>
      </c>
      <c r="G34" s="76" t="str">
        <f>VLOOKUP(A34,设计师对应店铺!A:B,COLUMN(设计师对应店铺!B:B)-COLUMN(设计师对应店铺!A:B)+1,0)</f>
        <v>美美家自配</v>
      </c>
      <c r="I34" s="73" t="s">
        <v>1431</v>
      </c>
      <c r="J34" s="74">
        <f>COUNTIFS(总表!D:D,I34,总表!L:L,"&lt;&gt;",总表!U:U,"",总表!G:G,"&gt;=2019/7/1",总表!G:G,"&lt;=2019/7/31")</f>
        <v>0</v>
      </c>
      <c r="K34" s="74">
        <f>SUMIFS(总表!L:L,总表!D:D,I34,总表!G:G,"&gt;=2019/7/1",总表!G:G,"&lt;=2019/7/31")</f>
        <v>0</v>
      </c>
      <c r="L34" s="74">
        <f>SUMIFS(总表!M:M,总表!D:D,I34,总表!G:G,"&gt;=2019/7/1",总表!G:G,"&lt;=2019/7/31")</f>
        <v>0</v>
      </c>
      <c r="M34" s="74">
        <f t="shared" si="0"/>
        <v>0</v>
      </c>
      <c r="N34" s="75">
        <v>0</v>
      </c>
      <c r="O34" s="76" t="str">
        <f>VLOOKUP(I34,设计师对应店铺!A:B,COLUMN(设计师对应店铺!B:B)-COLUMN(设计师对应店铺!A:B)+1,0)</f>
        <v>真北店</v>
      </c>
    </row>
    <row r="35" spans="1:7">
      <c r="A35" s="77" t="s">
        <v>115</v>
      </c>
      <c r="B35" s="70">
        <f>COUNTIFS(总表!D:D,A35,总表!L:L,"&lt;&gt;",总表!U:U,"",总表!G:G,"&gt;=2019/7/1",总表!G:G,"&lt;=2019/7/31")</f>
        <v>4</v>
      </c>
      <c r="C35" s="70">
        <f>SUMIFS(总表!L:L,总表!D:D,A35,总表!G:G,"&gt;=2019/7/1",总表!G:G,"&lt;=2019/7/31")</f>
        <v>40723</v>
      </c>
      <c r="D35" s="70">
        <f>SUMIFS(总表!M:M,总表!D:D,A35,总表!G:G,"&gt;=2019/7/1",总表!G:G,"&lt;=2019/7/31")</f>
        <v>-5740</v>
      </c>
      <c r="E35" s="70">
        <f t="shared" si="4"/>
        <v>34983</v>
      </c>
      <c r="F35" s="71">
        <f t="shared" si="3"/>
        <v>8745.75</v>
      </c>
      <c r="G35" s="72" t="str">
        <f>VLOOKUP(A35,设计师对应店铺!A:B,COLUMN(设计师对应店铺!B:B)-COLUMN(设计师对应店铺!A:B)+1,0)</f>
        <v>奉贤、金山、南汇、松江</v>
      </c>
    </row>
    <row r="36" spans="1:7">
      <c r="A36" s="73" t="s">
        <v>3965</v>
      </c>
      <c r="B36" s="74">
        <f>COUNTIFS(总表!D:D,A36,总表!L:L,"&lt;&gt;",总表!U:U,"",总表!G:G,"&gt;=2019/7/1",总表!G:G,"&lt;=2019/7/31")</f>
        <v>2</v>
      </c>
      <c r="C36" s="74">
        <f>SUMIFS(总表!L:L,总表!D:D,A36,总表!G:G,"&gt;=2019/7/1",总表!G:G,"&lt;=2019/7/31")</f>
        <v>14383</v>
      </c>
      <c r="D36" s="74">
        <f>SUMIFS(总表!M:M,总表!D:D,A36,总表!G:G,"&gt;=2019/7/1",总表!G:G,"&lt;=2019/7/31")</f>
        <v>18702</v>
      </c>
      <c r="E36" s="74">
        <f t="shared" si="4"/>
        <v>33085</v>
      </c>
      <c r="F36" s="75">
        <f t="shared" si="3"/>
        <v>16542.5</v>
      </c>
      <c r="G36" s="76" t="str">
        <f>VLOOKUP(A36,设计师对应店铺!A:B,COLUMN(设计师对应店铺!B:B)-COLUMN(设计师对应店铺!A:B)+1,0)</f>
        <v>奉贤、金山、南汇、松江</v>
      </c>
    </row>
    <row r="37" spans="1:7">
      <c r="A37" s="77" t="s">
        <v>5336</v>
      </c>
      <c r="B37" s="70">
        <f>COUNTIFS(总表!D:D,A37,总表!L:L,"&lt;&gt;",总表!U:U,"",总表!G:G,"&gt;=2019/7/1",总表!G:G,"&lt;=2019/7/31")</f>
        <v>2</v>
      </c>
      <c r="C37" s="70">
        <f>SUMIFS(总表!L:L,总表!D:D,A37,总表!G:G,"&gt;=2019/7/1",总表!G:G,"&lt;=2019/7/31")</f>
        <v>30396.8</v>
      </c>
      <c r="D37" s="70">
        <f>SUMIFS(总表!M:M,总表!D:D,A37,总表!G:G,"&gt;=2019/7/1",总表!G:G,"&lt;=2019/7/31")</f>
        <v>0</v>
      </c>
      <c r="E37" s="70">
        <f t="shared" si="4"/>
        <v>30396.8</v>
      </c>
      <c r="F37" s="71">
        <f t="shared" si="3"/>
        <v>15198.4</v>
      </c>
      <c r="G37" s="72" t="str">
        <f>VLOOKUP(A37,设计师对应店铺!A:B,COLUMN(设计师对应店铺!B:B)-COLUMN(设计师对应店铺!A:B)+1,0)</f>
        <v>尚品宅配</v>
      </c>
    </row>
    <row r="38" spans="1:7">
      <c r="A38" s="73" t="s">
        <v>5337</v>
      </c>
      <c r="B38" s="74">
        <f>COUNTIFS(总表!D:D,A38,总表!L:L,"&lt;&gt;",总表!U:U,"",总表!G:G,"&gt;=2019/7/1",总表!G:G,"&lt;=2019/7/31")</f>
        <v>1</v>
      </c>
      <c r="C38" s="74">
        <f>SUMIFS(总表!L:L,总表!D:D,A38,总表!G:G,"&gt;=2019/7/1",总表!G:G,"&lt;=2019/7/31")</f>
        <v>22962</v>
      </c>
      <c r="D38" s="74">
        <f>SUMIFS(总表!M:M,总表!D:D,A38,总表!G:G,"&gt;=2019/7/1",总表!G:G,"&lt;=2019/7/31")</f>
        <v>0</v>
      </c>
      <c r="E38" s="74">
        <f t="shared" si="4"/>
        <v>22962</v>
      </c>
      <c r="F38" s="75">
        <f t="shared" si="3"/>
        <v>22962</v>
      </c>
      <c r="G38" s="76" t="str">
        <f>VLOOKUP(A38,设计师对应店铺!A:B,COLUMN(设计师对应店铺!B:B)-COLUMN(设计师对应店铺!A:B)+1,0)</f>
        <v>尚品宅配</v>
      </c>
    </row>
    <row r="39" spans="1:7">
      <c r="A39" s="77" t="s">
        <v>21268</v>
      </c>
      <c r="B39" s="70">
        <f>COUNTIFS(总表!D:D,A39,总表!L:L,"&lt;&gt;",总表!U:U,"",总表!G:G,"&gt;=2019/7/1",总表!G:G,"&lt;=2019/7/31")</f>
        <v>0</v>
      </c>
      <c r="C39" s="70">
        <f>SUMIFS(总表!L:L,总表!D:D,A39,总表!G:G,"&gt;=2019/7/1",总表!G:G,"&lt;=2019/7/31")</f>
        <v>0</v>
      </c>
      <c r="D39" s="70">
        <f>SUMIFS(总表!M:M,总表!D:D,A39,总表!G:G,"&gt;=2019/7/1",总表!G:G,"&lt;=2019/7/31")</f>
        <v>0</v>
      </c>
      <c r="E39" s="70">
        <f t="shared" si="4"/>
        <v>0</v>
      </c>
      <c r="F39" s="71" t="e">
        <f t="shared" si="3"/>
        <v>#DIV/0!</v>
      </c>
      <c r="G39" s="72" t="str">
        <f>VLOOKUP(A39,设计师对应店铺!A:B,COLUMN(设计师对应店铺!B:B)-COLUMN(设计师对应店铺!A:B)+1,0)</f>
        <v>金山店</v>
      </c>
    </row>
    <row r="40" spans="1:7">
      <c r="A40" s="73" t="s">
        <v>191</v>
      </c>
      <c r="B40" s="74">
        <f>COUNTIFS(总表!D:D,A40,总表!L:L,"&lt;&gt;",总表!U:U,"",总表!G:G,"&gt;=2019/7/1",总表!G:G,"&lt;=2019/7/31")</f>
        <v>1</v>
      </c>
      <c r="C40" s="74">
        <f>SUMIFS(总表!L:L,总表!D:D,A40,总表!G:G,"&gt;=2019/7/1",总表!G:G,"&lt;=2019/7/31")</f>
        <v>5312</v>
      </c>
      <c r="D40" s="74">
        <f>SUMIFS(总表!M:M,总表!D:D,A40,总表!G:G,"&gt;=2019/7/1",总表!G:G,"&lt;=2019/7/31")</f>
        <v>0</v>
      </c>
      <c r="E40" s="74">
        <f t="shared" si="4"/>
        <v>5312</v>
      </c>
      <c r="F40" s="75">
        <f t="shared" si="3"/>
        <v>5312</v>
      </c>
      <c r="G40" s="76" t="str">
        <f>VLOOKUP(A40,设计师对应店铺!A:B,COLUMN(设计师对应店铺!B:B)-COLUMN(设计师对应店铺!A:B)+1,0)</f>
        <v>家饰佳</v>
      </c>
    </row>
    <row r="41" spans="1:7">
      <c r="A41" s="77" t="s">
        <v>443</v>
      </c>
      <c r="B41" s="70">
        <f>COUNTIFS(总表!D:D,A41,总表!L:L,"&lt;&gt;",总表!U:U,"",总表!G:G,"&gt;=2019/7/1",总表!G:G,"&lt;=2019/7/31")</f>
        <v>2</v>
      </c>
      <c r="C41" s="70">
        <f>SUMIFS(总表!L:L,总表!D:D,A41,总表!G:G,"&gt;=2019/7/1",总表!G:G,"&lt;=2019/7/31")</f>
        <v>11589</v>
      </c>
      <c r="D41" s="70">
        <f>SUMIFS(总表!M:M,总表!D:D,A41,总表!G:G,"&gt;=2019/7/1",总表!G:G,"&lt;=2019/7/31")</f>
        <v>0</v>
      </c>
      <c r="E41" s="70">
        <f t="shared" si="4"/>
        <v>11589</v>
      </c>
      <c r="F41" s="71">
        <f t="shared" si="3"/>
        <v>5794.5</v>
      </c>
      <c r="G41" s="72" t="str">
        <f>VLOOKUP(A41,设计师对应店铺!A:B,COLUMN(设计师对应店铺!B:B)-COLUMN(设计师对应店铺!A:B)+1,0)</f>
        <v>家饰佳</v>
      </c>
    </row>
    <row r="42" spans="1:7">
      <c r="A42" s="73" t="s">
        <v>1431</v>
      </c>
      <c r="B42" s="74">
        <f>COUNTIFS(总表!D:D,A42,总表!L:L,"&lt;&gt;",总表!U:U,"",总表!G:G,"&gt;=2019/7/1",总表!G:G,"&lt;=2019/7/31")</f>
        <v>0</v>
      </c>
      <c r="C42" s="74">
        <f>SUMIFS(总表!L:L,总表!D:D,A42,总表!G:G,"&gt;=2019/7/1",总表!G:G,"&lt;=2019/7/31")</f>
        <v>0</v>
      </c>
      <c r="D42" s="74">
        <f>SUMIFS(总表!M:M,总表!D:D,A42,总表!G:G,"&gt;=2019/7/1",总表!G:G,"&lt;=2019/7/31")</f>
        <v>0</v>
      </c>
      <c r="E42" s="74">
        <f t="shared" si="4"/>
        <v>0</v>
      </c>
      <c r="F42" s="75">
        <v>0</v>
      </c>
      <c r="G42" s="76" t="str">
        <f>VLOOKUP(A42,设计师对应店铺!A:B,COLUMN(设计师对应店铺!B:B)-COLUMN(设计师对应店铺!A:B)+1,0)</f>
        <v>真北店</v>
      </c>
    </row>
    <row r="43" spans="1:7">
      <c r="A43" s="77" t="s">
        <v>5695</v>
      </c>
      <c r="B43" s="70">
        <f>COUNTIFS(总表!D:D,A43,总表!L:L,"&lt;&gt;",总表!U:U,"",总表!G:G,"&gt;=2019/7/1",总表!G:G,"&lt;=2019/7/31")</f>
        <v>0</v>
      </c>
      <c r="C43" s="70">
        <f>SUMIFS(总表!L:L,总表!D:D,A43,总表!G:G,"&gt;=2019/7/1",总表!G:G,"&lt;=2019/7/31")</f>
        <v>0</v>
      </c>
      <c r="D43" s="70">
        <f>SUMIFS(总表!M:M,总表!D:D,A43,总表!G:G,"&gt;=2019/7/1",总表!G:G,"&lt;=2019/7/31")</f>
        <v>-20391</v>
      </c>
      <c r="E43" s="70">
        <f t="shared" si="4"/>
        <v>-20391</v>
      </c>
      <c r="F43" s="71" t="s">
        <v>498</v>
      </c>
      <c r="G43" s="72" t="str">
        <f>VLOOKUP(A43,设计师对应店铺!A:B,COLUMN(设计师对应店铺!B:B)-COLUMN(设计师对应店铺!A:B)+1,0)</f>
        <v>设计总监</v>
      </c>
    </row>
  </sheetData>
  <autoFilter ref="A3:G43">
    <sortState ref="A3:G43">
      <sortCondition ref="E3" descending="1"/>
    </sortState>
    <extLst/>
  </autoFilter>
  <mergeCells count="2">
    <mergeCell ref="A1:G1"/>
    <mergeCell ref="I1:O1"/>
  </mergeCell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9"/>
  <sheetViews>
    <sheetView workbookViewId="0">
      <selection activeCell="M21" sqref="M21"/>
    </sheetView>
  </sheetViews>
  <sheetFormatPr defaultColWidth="9" defaultRowHeight="13.5"/>
  <cols>
    <col min="1" max="1" width="12.5" style="42" customWidth="1"/>
    <col min="2" max="2" width="15.125" style="42" customWidth="1"/>
    <col min="3" max="5" width="9" style="42"/>
    <col min="6" max="6" width="12.625" style="42" customWidth="1"/>
    <col min="7" max="7" width="9" style="42"/>
    <col min="8" max="8" width="18.625" style="42" customWidth="1"/>
    <col min="9" max="10" width="9" style="42"/>
    <col min="11" max="11" width="11" style="42" customWidth="1"/>
    <col min="12" max="16384" width="9" style="42"/>
  </cols>
  <sheetData>
    <row r="1" spans="1:12">
      <c r="A1" s="43" t="s">
        <v>21297</v>
      </c>
      <c r="B1" s="43"/>
      <c r="C1" s="43"/>
      <c r="D1" s="43"/>
      <c r="E1" s="43"/>
      <c r="F1" s="43"/>
      <c r="H1" s="44" t="s">
        <v>1</v>
      </c>
      <c r="I1" s="44" t="s">
        <v>21225</v>
      </c>
      <c r="K1" s="44" t="s">
        <v>30</v>
      </c>
      <c r="L1" s="44" t="s">
        <v>21225</v>
      </c>
    </row>
    <row r="2" spans="1:12">
      <c r="A2" s="43" t="s">
        <v>21286</v>
      </c>
      <c r="B2" s="43" t="s">
        <v>1</v>
      </c>
      <c r="C2" s="43" t="s">
        <v>21298</v>
      </c>
      <c r="D2" s="43" t="s">
        <v>30</v>
      </c>
      <c r="E2" s="43" t="s">
        <v>21298</v>
      </c>
      <c r="F2" s="43" t="s">
        <v>21299</v>
      </c>
      <c r="H2" s="45" t="s">
        <v>498</v>
      </c>
      <c r="I2" s="57">
        <f>COUNTIFS(总表!C:C,H2,总表!L:L,"",总表!M:M,"",总表!G:G,"",总表!U:U,"")</f>
        <v>51</v>
      </c>
      <c r="K2" s="45" t="s">
        <v>149</v>
      </c>
      <c r="L2" s="57">
        <f>COUNTIFS(总表!D:D,K2,总表!L:L,"",总表!M:M,"",总表!G:G,"",总表!U:U,"")</f>
        <v>40</v>
      </c>
    </row>
    <row r="3" spans="1:12">
      <c r="A3" s="46" t="s">
        <v>18420</v>
      </c>
      <c r="B3" s="47" t="s">
        <v>43</v>
      </c>
      <c r="C3" s="47">
        <f>COUNTIFS(总表!B:B,"*百安居*",总表!C:C,B3,总表!L:L,"",总表!M:M,"",总表!G:G,"",总表!U:U,"")</f>
        <v>12</v>
      </c>
      <c r="D3" s="47" t="s">
        <v>149</v>
      </c>
      <c r="E3" s="47">
        <f>COUNTIFS(总表!B:B,"*百安居*",总表!D:D,D3,总表!L:L,"",总表!M:M,"",总表!G:G,"",总表!U:U,"")</f>
        <v>40</v>
      </c>
      <c r="F3" s="46">
        <f>COUNTIFS(总表!B:B,"*百安居*",总表!L:L,"",总表!M:M,"",总表!G:G,"",总表!U:U,"")</f>
        <v>105</v>
      </c>
      <c r="H3" s="45" t="s">
        <v>18904</v>
      </c>
      <c r="I3" s="57">
        <f>COUNTIFS(总表!C:C,H3,总表!L:L,"",总表!M:M,"",总表!G:G,"",总表!U:U,"")</f>
        <v>1</v>
      </c>
      <c r="K3" s="45" t="s">
        <v>407</v>
      </c>
      <c r="L3" s="57">
        <f>COUNTIFS(总表!D:D,K3,总表!L:L,"",总表!M:M,"",总表!G:G,"",总表!U:U,"")</f>
        <v>46</v>
      </c>
    </row>
    <row r="4" spans="1:12">
      <c r="A4" s="48"/>
      <c r="B4" s="47" t="s">
        <v>2043</v>
      </c>
      <c r="C4" s="47">
        <f>COUNTIFS(总表!B:B,"*百安居*",总表!C:C,B4,总表!L:L,"",总表!M:M,"",总表!G:G,"",总表!U:U,"")</f>
        <v>0</v>
      </c>
      <c r="D4" s="47" t="s">
        <v>143</v>
      </c>
      <c r="E4" s="47">
        <f>COUNTIFS(总表!B:B,"*百安居*",总表!D:D,D4,总表!L:L,"",总表!M:M,"",总表!G:G,"",总表!U:U,"")</f>
        <v>0</v>
      </c>
      <c r="F4" s="48"/>
      <c r="H4" s="45" t="s">
        <v>902</v>
      </c>
      <c r="I4" s="57">
        <f>COUNTIFS(总表!C:C,H4,总表!L:L,"",总表!M:M,"",总表!G:G,"",总表!U:U,"")</f>
        <v>6</v>
      </c>
      <c r="K4" s="45" t="s">
        <v>182</v>
      </c>
      <c r="L4" s="57">
        <f>COUNTIFS(总表!D:D,K4,总表!L:L,"",总表!M:M,"",总表!G:G,"",总表!U:U,"")</f>
        <v>15</v>
      </c>
    </row>
    <row r="5" spans="1:12">
      <c r="A5" s="48"/>
      <c r="B5" s="47" t="s">
        <v>148</v>
      </c>
      <c r="C5" s="47">
        <f>COUNTIFS(总表!B:B,"*百安居*",总表!C:C,B5,总表!L:L,"",总表!M:M,"",总表!G:G,"",总表!U:U,"")</f>
        <v>5</v>
      </c>
      <c r="D5" s="47"/>
      <c r="E5" s="47"/>
      <c r="F5" s="48"/>
      <c r="H5" s="45" t="s">
        <v>178</v>
      </c>
      <c r="I5" s="57">
        <f>COUNTIFS(总表!C:C,H5,总表!L:L,"",总表!M:M,"",总表!G:G,"",总表!U:U,"")</f>
        <v>30</v>
      </c>
      <c r="K5" s="45" t="s">
        <v>155</v>
      </c>
      <c r="L5" s="57">
        <f>COUNTIFS(总表!D:D,K5,总表!L:L,"",总表!M:M,"",总表!G:G,"",总表!U:U,"")</f>
        <v>19</v>
      </c>
    </row>
    <row r="6" spans="1:12">
      <c r="A6" s="48"/>
      <c r="B6" s="47" t="s">
        <v>758</v>
      </c>
      <c r="C6" s="47">
        <f>COUNTIFS(总表!B:B,"*百安居*",总表!C:C,B6,总表!L:L,"",总表!M:M,"",总表!G:G,"",总表!U:U,"")</f>
        <v>1</v>
      </c>
      <c r="D6" s="47" t="s">
        <v>1170</v>
      </c>
      <c r="E6" s="47">
        <f>COUNTIFS(总表!B:B,"*百安居*",总表!D:D,D6,总表!L:L,"",总表!M:M,"",总表!G:G,"",总表!U:U,"")</f>
        <v>0</v>
      </c>
      <c r="F6" s="48"/>
      <c r="H6" s="45" t="s">
        <v>251</v>
      </c>
      <c r="I6" s="57">
        <f>COUNTIFS(总表!C:C,H6,总表!L:L,"",总表!M:M,"",总表!G:G,"",总表!U:U,"")</f>
        <v>20</v>
      </c>
      <c r="K6" s="45" t="s">
        <v>139</v>
      </c>
      <c r="L6" s="57">
        <f>COUNTIFS(总表!D:D,K6,总表!L:L,"",总表!M:M,"",总表!G:G,"",总表!U:U,"")</f>
        <v>10</v>
      </c>
    </row>
    <row r="7" spans="1:12">
      <c r="A7" s="48"/>
      <c r="B7" s="47" t="s">
        <v>195</v>
      </c>
      <c r="C7" s="47">
        <f>COUNTIFS(总表!B:B,"*百安居*",总表!C:C,B7,总表!L:L,"",总表!M:M,"",总表!G:G,"",总表!U:U,"")</f>
        <v>11</v>
      </c>
      <c r="D7" s="47" t="s">
        <v>271</v>
      </c>
      <c r="E7" s="47">
        <f>COUNTIFS(总表!B:B,"*百安居*",总表!D:D,D7,总表!L:L,"",总表!M:M,"",总表!G:G,"",总表!U:U,"")</f>
        <v>0</v>
      </c>
      <c r="F7" s="48"/>
      <c r="H7" s="45" t="s">
        <v>186</v>
      </c>
      <c r="I7" s="57">
        <f>COUNTIFS(总表!C:C,H7,总表!L:L,"",总表!M:M,"",总表!G:G,"",总表!U:U,"")</f>
        <v>17</v>
      </c>
      <c r="K7" s="45" t="s">
        <v>361</v>
      </c>
      <c r="L7" s="57">
        <f>COUNTIFS(总表!D:D,K7,总表!L:L,"",总表!M:M,"",总表!G:G,"",总表!U:U,"")</f>
        <v>5</v>
      </c>
    </row>
    <row r="8" spans="1:12">
      <c r="A8" s="48"/>
      <c r="B8" s="47" t="s">
        <v>206</v>
      </c>
      <c r="C8" s="47">
        <f>COUNTIFS(总表!B:B,"*百安居*",总表!C:C,B8,总表!L:L,"",总表!M:M,"",总表!G:G,"",总表!U:U,"")</f>
        <v>2</v>
      </c>
      <c r="D8" s="47" t="s">
        <v>162</v>
      </c>
      <c r="E8" s="47">
        <f>COUNTIFS(总表!B:B,"*百安居*",总表!D:D,D8,总表!L:L,"",总表!M:M,"",总表!G:G,"",总表!U:U,"")</f>
        <v>0</v>
      </c>
      <c r="F8" s="48"/>
      <c r="H8" s="45" t="s">
        <v>43</v>
      </c>
      <c r="I8" s="57">
        <f>COUNTIFS(总表!C:C,H8,总表!L:L,"",总表!M:M,"",总表!G:G,"",总表!U:U,"")</f>
        <v>14</v>
      </c>
      <c r="K8" s="45" t="s">
        <v>132</v>
      </c>
      <c r="L8" s="57">
        <f>COUNTIFS(总表!D:D,K8,总表!L:L,"",总表!M:M,"",总表!G:G,"",总表!U:U,"")</f>
        <v>13</v>
      </c>
    </row>
    <row r="9" spans="1:12">
      <c r="A9" s="48"/>
      <c r="B9" s="47" t="s">
        <v>355</v>
      </c>
      <c r="C9" s="47">
        <f>COUNTIFS(总表!B:B,"*百安居*",总表!C:C,B9,总表!L:L,"",总表!M:M,"",总表!G:G,"",总表!U:U,"")</f>
        <v>27</v>
      </c>
      <c r="D9" s="47" t="s">
        <v>171</v>
      </c>
      <c r="E9" s="47">
        <f>COUNTIFS(总表!B:B,"*百安居*",总表!D:D,D9,总表!L:L,"",总表!M:M,"",总表!G:G,"",总表!U:U,"")</f>
        <v>0</v>
      </c>
      <c r="F9" s="48"/>
      <c r="H9" s="45" t="s">
        <v>1130</v>
      </c>
      <c r="I9" s="57">
        <f>COUNTIFS(总表!C:C,H9,总表!L:L,"",总表!M:M,"",总表!G:G,"",总表!U:U,"")</f>
        <v>1</v>
      </c>
      <c r="K9" s="45" t="s">
        <v>33</v>
      </c>
      <c r="L9" s="57">
        <f>COUNTIFS(总表!D:D,K9,总表!L:L,"",总表!M:M,"",总表!G:G,"",总表!U:U,"")</f>
        <v>58</v>
      </c>
    </row>
    <row r="10" spans="1:12">
      <c r="A10" s="48"/>
      <c r="B10" s="47" t="s">
        <v>599</v>
      </c>
      <c r="C10" s="47">
        <f>COUNTIFS(总表!B:B,"*百安居*",总表!C:C,B10,总表!L:L,"",总表!M:M,"",总表!G:G,"",总表!U:U,"")</f>
        <v>1</v>
      </c>
      <c r="D10" s="47"/>
      <c r="E10" s="47"/>
      <c r="F10" s="48"/>
      <c r="H10" s="45" t="s">
        <v>3018</v>
      </c>
      <c r="I10" s="57">
        <f>COUNTIFS(总表!C:C,H10,总表!L:L,"",总表!M:M,"",总表!G:G,"",总表!U:U,"")</f>
        <v>4</v>
      </c>
      <c r="K10" s="45" t="s">
        <v>427</v>
      </c>
      <c r="L10" s="57">
        <f>COUNTIFS(总表!D:D,K10,总表!L:L,"",总表!M:M,"",总表!G:G,"",总表!U:U,"")</f>
        <v>18</v>
      </c>
    </row>
    <row r="11" spans="1:12">
      <c r="A11" s="48"/>
      <c r="B11" s="47" t="s">
        <v>727</v>
      </c>
      <c r="C11" s="47">
        <f>COUNTIFS(总表!B:B,"*百安居*",总表!C:C,B11,总表!L:L,"",总表!M:M,"",总表!G:G,"",总表!U:U,"")</f>
        <v>6</v>
      </c>
      <c r="D11" s="47"/>
      <c r="E11" s="47"/>
      <c r="F11" s="48"/>
      <c r="H11" s="45" t="s">
        <v>3186</v>
      </c>
      <c r="I11" s="57">
        <f>COUNTIFS(总表!C:C,H11,总表!L:L,"",总表!M:M,"",总表!G:G,"",总表!U:U,"")</f>
        <v>26</v>
      </c>
      <c r="K11" s="45" t="s">
        <v>125</v>
      </c>
      <c r="L11" s="57">
        <f>COUNTIFS(总表!D:D,K11,总表!L:L,"",总表!M:M,"",总表!G:G,"",总表!U:U,"")</f>
        <v>21</v>
      </c>
    </row>
    <row r="12" spans="1:12">
      <c r="A12" s="48"/>
      <c r="B12" s="47" t="s">
        <v>1467</v>
      </c>
      <c r="C12" s="47">
        <f>COUNTIFS(总表!B:B,"*百安居*",总表!C:C,B12,总表!L:L,"",总表!M:M,"",总表!G:G,"",总表!U:U,"")</f>
        <v>4</v>
      </c>
      <c r="D12" s="47"/>
      <c r="E12" s="47"/>
      <c r="F12" s="48"/>
      <c r="H12" s="45" t="s">
        <v>5184</v>
      </c>
      <c r="I12" s="57">
        <f>COUNTIFS(总表!C:C,H12,总表!L:L,"",总表!M:M,"",总表!G:G,"",总表!U:U,"")</f>
        <v>1</v>
      </c>
      <c r="K12" s="45" t="s">
        <v>271</v>
      </c>
      <c r="L12" s="57">
        <f>COUNTIFS(总表!D:D,K12,总表!L:L,"",总表!M:M,"",总表!G:G,"",总表!U:U,"")</f>
        <v>35</v>
      </c>
    </row>
    <row r="13" spans="1:12">
      <c r="A13" s="48"/>
      <c r="B13" s="47" t="s">
        <v>4010</v>
      </c>
      <c r="C13" s="47">
        <f>COUNTIFS(总表!B:B,"*百安居*",总表!C:C,B13,总表!L:L,"",总表!M:M,"",总表!G:G,"",总表!U:U,"")</f>
        <v>0</v>
      </c>
      <c r="D13" s="47"/>
      <c r="E13" s="47"/>
      <c r="F13" s="48"/>
      <c r="H13" s="45" t="s">
        <v>181</v>
      </c>
      <c r="I13" s="57">
        <f>COUNTIFS(总表!C:C,H13,总表!L:L,"",总表!M:M,"",总表!G:G,"",总表!U:U,"")</f>
        <v>8</v>
      </c>
      <c r="K13" s="45" t="s">
        <v>343</v>
      </c>
      <c r="L13" s="57">
        <f>COUNTIFS(总表!D:D,K13,总表!L:L,"",总表!M:M,"",总表!G:G,"",总表!U:U,"")</f>
        <v>59</v>
      </c>
    </row>
    <row r="14" spans="1:12">
      <c r="A14" s="48"/>
      <c r="B14" s="47" t="s">
        <v>703</v>
      </c>
      <c r="C14" s="47">
        <f>COUNTIFS(总表!B:B,"*百安居*",总表!C:C,B14,总表!L:L,"",总表!M:M,"",总表!G:G,"",总表!U:U,"")</f>
        <v>12</v>
      </c>
      <c r="D14" s="47"/>
      <c r="E14" s="47"/>
      <c r="F14" s="48"/>
      <c r="H14" s="45" t="s">
        <v>1530</v>
      </c>
      <c r="I14" s="57">
        <f>COUNTIFS(总表!C:C,H14,总表!L:L,"",总表!M:M,"",总表!G:G,"",总表!U:U,"")</f>
        <v>3</v>
      </c>
      <c r="K14" s="45" t="s">
        <v>8334</v>
      </c>
      <c r="L14" s="57">
        <f>COUNTIFS(总表!D:D,K14,总表!L:L,"",总表!M:M,"",总表!G:G,"",总表!U:U,"")</f>
        <v>21</v>
      </c>
    </row>
    <row r="15" spans="1:12">
      <c r="A15" s="49"/>
      <c r="B15" s="47" t="s">
        <v>1728</v>
      </c>
      <c r="C15" s="47">
        <f>COUNTIFS(总表!B:B,"*百安居*",总表!C:C,B15,总表!L:L,"",总表!M:M,"",总表!G:G,"",总表!U:U,"")</f>
        <v>4</v>
      </c>
      <c r="D15" s="47"/>
      <c r="E15" s="47"/>
      <c r="F15" s="49"/>
      <c r="H15" s="45" t="s">
        <v>191</v>
      </c>
      <c r="I15" s="57">
        <f>COUNTIFS(总表!C:C,H15,总表!L:L,"",总表!M:M,"",总表!G:G,"",总表!U:U,"")</f>
        <v>1</v>
      </c>
      <c r="K15" s="45" t="s">
        <v>221</v>
      </c>
      <c r="L15" s="57">
        <f>COUNTIFS(总表!D:D,K15,总表!L:L,"",总表!M:M,"",总表!G:G,"",总表!U:U,"")</f>
        <v>66</v>
      </c>
    </row>
    <row r="16" spans="1:12">
      <c r="A16" s="50" t="s">
        <v>73</v>
      </c>
      <c r="B16" s="50" t="s">
        <v>498</v>
      </c>
      <c r="C16" s="50">
        <f>COUNTIFS(总表!B:B,A16,总表!C:C,B16,总表!L:L,"",总表!M:M,"",总表!G:G,"",总表!U:U,"")</f>
        <v>0</v>
      </c>
      <c r="D16" s="50" t="s">
        <v>143</v>
      </c>
      <c r="E16" s="50">
        <f>COUNTIFS(总表!B:B,A16,总表!D:D,D16,总表!L:L,"",总表!M:M,"",总表!G:G,"",总表!U:U,"")</f>
        <v>0</v>
      </c>
      <c r="F16" s="50">
        <f>COUNTIFS(总表!B:B,A16,总表!L:L,"",总表!M:M,"",总表!G:G,"",总表!U:U,"")</f>
        <v>94</v>
      </c>
      <c r="H16" s="45" t="s">
        <v>1160</v>
      </c>
      <c r="I16" s="57">
        <f>COUNTIFS(总表!C:C,H16,总表!L:L,"",总表!M:M,"",总表!G:G,"",总表!U:U,"")</f>
        <v>1</v>
      </c>
      <c r="K16" s="45" t="s">
        <v>68</v>
      </c>
      <c r="L16" s="57">
        <f>COUNTIFS(总表!D:D,K16,总表!L:L,"",总表!M:M,"",总表!G:G,"",总表!U:U,"")</f>
        <v>30</v>
      </c>
    </row>
    <row r="17" spans="1:12">
      <c r="A17" s="50"/>
      <c r="B17" s="50" t="s">
        <v>178</v>
      </c>
      <c r="C17" s="50">
        <f>COUNTIFS(总表!B:B,A16,总表!C:C,B17,总表!L:L,"",总表!M:M,"",总表!G:G,"",总表!U:U,"")</f>
        <v>30</v>
      </c>
      <c r="D17" s="50" t="s">
        <v>132</v>
      </c>
      <c r="E17" s="50">
        <f>COUNTIFS(总表!B:B,A16,总表!D:D,D17,总表!L:L,"",总表!M:M,"",总表!G:G,"",总表!U:U,"")</f>
        <v>0</v>
      </c>
      <c r="F17" s="50"/>
      <c r="H17" s="45" t="s">
        <v>10826</v>
      </c>
      <c r="I17" s="57">
        <f>COUNTIFS(总表!C:C,H17,总表!L:L,"",总表!M:M,"",总表!G:G,"",总表!U:U,"")</f>
        <v>1</v>
      </c>
      <c r="K17" s="45" t="s">
        <v>337</v>
      </c>
      <c r="L17" s="57">
        <f>COUNTIFS(总表!D:D,K17,总表!L:L,"",总表!M:M,"",总表!G:G,"",总表!U:U,"")</f>
        <v>51</v>
      </c>
    </row>
    <row r="18" spans="1:12">
      <c r="A18" s="50"/>
      <c r="B18" s="50" t="s">
        <v>1130</v>
      </c>
      <c r="C18" s="50">
        <f>COUNTIFS(总表!B:B,A16,总表!C:C,B18,总表!L:L,"",总表!M:M,"",总表!G:G,"",总表!U:U,"")</f>
        <v>1</v>
      </c>
      <c r="D18" s="50" t="s">
        <v>717</v>
      </c>
      <c r="E18" s="50">
        <f>COUNTIFS(总表!B:B,A16,总表!D:D,D18,总表!L:L,"",总表!M:M,"",总表!G:G,"",总表!U:U,"")</f>
        <v>0</v>
      </c>
      <c r="F18" s="50"/>
      <c r="H18" s="45" t="s">
        <v>823</v>
      </c>
      <c r="I18" s="57">
        <f>COUNTIFS(总表!C:C,H18,总表!L:L,"",总表!M:M,"",总表!G:G,"",总表!U:U,"")</f>
        <v>9</v>
      </c>
      <c r="K18" s="45" t="s">
        <v>207</v>
      </c>
      <c r="L18" s="57">
        <f>COUNTIFS(总表!D:D,K18,总表!L:L,"",总表!M:M,"",总表!G:G,"",总表!U:U,"")</f>
        <v>27</v>
      </c>
    </row>
    <row r="19" spans="1:12">
      <c r="A19" s="50"/>
      <c r="B19" s="50" t="s">
        <v>74</v>
      </c>
      <c r="C19" s="50">
        <f>COUNTIFS(总表!B:B,A16,总表!C:C,B19,总表!L:L,"",总表!M:M,"",总表!G:G,"",总表!U:U,"")</f>
        <v>63</v>
      </c>
      <c r="D19" s="50"/>
      <c r="E19" s="50"/>
      <c r="F19" s="50"/>
      <c r="H19" s="45" t="s">
        <v>13075</v>
      </c>
      <c r="I19" s="57">
        <f>COUNTIFS(总表!C:C,H19,总表!L:L,"",总表!M:M,"",总表!G:G,"",总表!U:U,"")</f>
        <v>3</v>
      </c>
      <c r="K19" s="45" t="s">
        <v>75</v>
      </c>
      <c r="L19" s="57">
        <f>COUNTIFS(总表!D:D,K19,总表!L:L,"",总表!M:M,"",总表!G:G,"",总表!U:U,"")</f>
        <v>88</v>
      </c>
    </row>
    <row r="20" spans="1:12">
      <c r="A20" s="50"/>
      <c r="B20" s="50" t="s">
        <v>4565</v>
      </c>
      <c r="C20" s="50">
        <f>COUNTIFS(总表!B:B,A16,总表!C:C,B20,总表!L:L,"",总表!M:M,"",总表!G:G,"",总表!U:U,"")</f>
        <v>0</v>
      </c>
      <c r="D20" s="50" t="s">
        <v>75</v>
      </c>
      <c r="E20" s="50">
        <f>COUNTIFS(总表!B:B,A16,总表!D:D,D20,总表!L:L,"",总表!M:M,"",总表!G:G,"",总表!U:U,"")</f>
        <v>87</v>
      </c>
      <c r="F20" s="50"/>
      <c r="H20" s="45" t="s">
        <v>287</v>
      </c>
      <c r="I20" s="57">
        <f>COUNTIFS(总表!C:C,H20,总表!L:L,"",总表!M:M,"",总表!G:G,"",总表!U:U,"")</f>
        <v>6</v>
      </c>
      <c r="K20" s="45" t="s">
        <v>162</v>
      </c>
      <c r="L20" s="57">
        <f>COUNTIFS(总表!D:D,K20,总表!L:L,"",总表!M:M,"",总表!G:G,"",总表!U:U,"")</f>
        <v>35</v>
      </c>
    </row>
    <row r="21" spans="1:12">
      <c r="A21" s="50"/>
      <c r="B21" s="50"/>
      <c r="C21" s="50"/>
      <c r="D21" s="50" t="s">
        <v>162</v>
      </c>
      <c r="E21" s="50">
        <f>COUNTIFS(总表!B:B,A16,总表!D:D,D21,总表!L:L,"",总表!M:M,"",总表!G:G,"",总表!U:U,"")</f>
        <v>0</v>
      </c>
      <c r="F21" s="50"/>
      <c r="H21" s="45" t="s">
        <v>220</v>
      </c>
      <c r="I21" s="57">
        <f>COUNTIFS(总表!C:C,H21,总表!L:L,"",总表!M:M,"",总表!G:G,"",总表!U:U,"")</f>
        <v>21</v>
      </c>
      <c r="K21" s="45" t="s">
        <v>187</v>
      </c>
      <c r="L21" s="57">
        <f>COUNTIFS(总表!D:D,K21,总表!L:L,"",总表!M:M,"",总表!G:G,"",总表!U:U,"")</f>
        <v>51</v>
      </c>
    </row>
    <row r="22" spans="1:12">
      <c r="A22" s="50"/>
      <c r="B22" s="50"/>
      <c r="C22" s="50"/>
      <c r="D22" s="50" t="s">
        <v>49</v>
      </c>
      <c r="E22" s="50">
        <f>COUNTIFS(总表!B:B,A16,总表!D:D,D22,总表!L:L,"",总表!M:M,"",总表!G:G,"",总表!U:U,"")</f>
        <v>0</v>
      </c>
      <c r="F22" s="50"/>
      <c r="H22" s="45" t="s">
        <v>1757</v>
      </c>
      <c r="I22" s="57">
        <f>COUNTIFS(总表!C:C,H22,总表!L:L,"",总表!M:M,"",总表!G:G,"",总表!U:U,"")</f>
        <v>4</v>
      </c>
      <c r="K22" s="45" t="s">
        <v>1436</v>
      </c>
      <c r="L22" s="57">
        <f>COUNTIFS(总表!D:D,K22,总表!L:L,"",总表!M:M,"",总表!G:G,"",总表!U:U,"")</f>
        <v>23</v>
      </c>
    </row>
    <row r="23" spans="1:12">
      <c r="A23" s="51" t="s">
        <v>2625</v>
      </c>
      <c r="B23" s="51" t="s">
        <v>2626</v>
      </c>
      <c r="C23" s="51">
        <f>COUNTIFS(总表!B:B,A23,总表!C:C,B23,总表!L:L,"",总表!M:M,"",总表!G:G,"",总表!U:U,"")</f>
        <v>4</v>
      </c>
      <c r="D23" s="51" t="s">
        <v>89</v>
      </c>
      <c r="E23" s="51">
        <f>COUNTIFS(总表!B:B,A23,总表!D:D,D23,总表!L:L,"",总表!M:M,"",总表!G:G,"",总表!U:U,"")</f>
        <v>1</v>
      </c>
      <c r="F23" s="51">
        <f>COUNTIFS(总表!B:B,A23,总表!L:L,"",总表!M:M,"",总表!G:G,"",总表!U:U,"")</f>
        <v>4</v>
      </c>
      <c r="H23" s="45" t="s">
        <v>101</v>
      </c>
      <c r="I23" s="57">
        <f>COUNTIFS(总表!C:C,H23,总表!L:L,"",总表!M:M,"",总表!G:G,"",总表!U:U,"")</f>
        <v>9</v>
      </c>
      <c r="K23" s="45" t="s">
        <v>7871</v>
      </c>
      <c r="L23" s="57">
        <f>COUNTIFS(总表!D:D,K23,总表!L:L,"",总表!M:M,"",总表!G:G,"",总表!U:U,"")</f>
        <v>1</v>
      </c>
    </row>
    <row r="24" spans="1:12">
      <c r="A24" s="52" t="s">
        <v>281</v>
      </c>
      <c r="B24" s="52" t="s">
        <v>498</v>
      </c>
      <c r="C24" s="52">
        <f>COUNTIFS(总表!B:B,A24,总表!C:C,B24,总表!L:L,"",总表!M:M,"",总表!G:G,"",总表!U:U,"")</f>
        <v>4</v>
      </c>
      <c r="D24" s="52" t="s">
        <v>49</v>
      </c>
      <c r="E24" s="52">
        <f>COUNTIFS(总表!B:B,A24,总表!D:D,D24,总表!L:L,"",总表!M:M,"",总表!G:G,"",总表!U:U,"")</f>
        <v>44</v>
      </c>
      <c r="F24" s="52">
        <f>COUNTIFS(总表!B:B,A24,总表!L:L,"",总表!M:M,"",总表!G:G,"",总表!U:U,"")</f>
        <v>44</v>
      </c>
      <c r="H24" s="45" t="s">
        <v>3954</v>
      </c>
      <c r="I24" s="57">
        <f>COUNTIFS(总表!C:C,H24,总表!L:L,"",总表!M:M,"",总表!G:G,"",总表!U:U,"")</f>
        <v>2</v>
      </c>
      <c r="K24" s="45" t="s">
        <v>635</v>
      </c>
      <c r="L24" s="57">
        <f>COUNTIFS(总表!D:D,K24,总表!L:L,"",总表!M:M,"",总表!G:G,"",总表!U:U,"")</f>
        <v>31</v>
      </c>
    </row>
    <row r="25" spans="1:12">
      <c r="A25" s="52"/>
      <c r="B25" s="52" t="s">
        <v>587</v>
      </c>
      <c r="C25" s="52">
        <f>COUNTIFS(总表!B:B,A24,总表!C:C,B25,总表!L:L,"",总表!M:M,"",总表!G:G,"",总表!U:U,"")</f>
        <v>0</v>
      </c>
      <c r="D25" s="52"/>
      <c r="E25" s="52"/>
      <c r="F25" s="52"/>
      <c r="H25" s="45" t="s">
        <v>426</v>
      </c>
      <c r="I25" s="57">
        <f>COUNTIFS(总表!C:C,H25,总表!L:L,"",总表!M:M,"",总表!G:G,"",总表!U:U,"")</f>
        <v>7</v>
      </c>
      <c r="K25" s="45" t="s">
        <v>44</v>
      </c>
      <c r="L25" s="57">
        <f>COUNTIFS(总表!D:D,K25,总表!L:L,"",总表!M:M,"",总表!G:G,"",总表!U:U,"")</f>
        <v>42</v>
      </c>
    </row>
    <row r="26" spans="1:12">
      <c r="A26" s="52"/>
      <c r="B26" s="52" t="s">
        <v>517</v>
      </c>
      <c r="C26" s="52">
        <f>COUNTIFS(总表!B:B,A24,总表!C:C,B26,总表!L:L,"",总表!M:M,"",总表!G:G,"",总表!U:U,"")</f>
        <v>2</v>
      </c>
      <c r="D26" s="52"/>
      <c r="E26" s="52"/>
      <c r="F26" s="52"/>
      <c r="H26" s="45" t="s">
        <v>494</v>
      </c>
      <c r="I26" s="57">
        <f>COUNTIFS(总表!C:C,H26,总表!L:L,"",总表!M:M,"",总表!G:G,"",总表!U:U,"")</f>
        <v>3</v>
      </c>
      <c r="K26" s="45" t="s">
        <v>171</v>
      </c>
      <c r="L26" s="57">
        <f>COUNTIFS(总表!D:D,K26,总表!L:L,"",总表!M:M,"",总表!G:G,"",总表!U:U,"")</f>
        <v>27</v>
      </c>
    </row>
    <row r="27" spans="1:12">
      <c r="A27" s="52"/>
      <c r="B27" s="52" t="s">
        <v>491</v>
      </c>
      <c r="C27" s="52">
        <f>COUNTIFS(总表!B:B,A24,总表!C:C,B27,总表!L:L,"",总表!M:M,"",总表!G:G,"",总表!U:U,"")</f>
        <v>36</v>
      </c>
      <c r="D27" s="52"/>
      <c r="E27" s="52"/>
      <c r="F27" s="52"/>
      <c r="H27" s="45" t="s">
        <v>328</v>
      </c>
      <c r="I27" s="57">
        <f>COUNTIFS(总表!C:C,H27,总表!L:L,"",总表!M:M,"",总表!G:G,"",总表!U:U,"")</f>
        <v>5</v>
      </c>
      <c r="K27" s="45" t="s">
        <v>443</v>
      </c>
      <c r="L27" s="57">
        <f>COUNTIFS(总表!D:D,K27,总表!L:L,"",总表!M:M,"",总表!G:G,"",总表!U:U,"")</f>
        <v>32</v>
      </c>
    </row>
    <row r="28" spans="1:12">
      <c r="A28" s="52"/>
      <c r="B28" s="52" t="s">
        <v>282</v>
      </c>
      <c r="C28" s="52">
        <f>COUNTIFS(总表!B:B,A24,总表!C:C,B28,总表!L:L,"",总表!M:M,"",总表!G:G,"",总表!U:U,"")</f>
        <v>0</v>
      </c>
      <c r="D28" s="52"/>
      <c r="E28" s="52"/>
      <c r="F28" s="52"/>
      <c r="H28" s="45" t="s">
        <v>304</v>
      </c>
      <c r="I28" s="57">
        <f>COUNTIFS(总表!C:C,H28,总表!L:L,"",总表!M:M,"",总表!G:G,"",总表!U:U,"")</f>
        <v>9</v>
      </c>
      <c r="K28" s="45" t="s">
        <v>237</v>
      </c>
      <c r="L28" s="57">
        <f>COUNTIFS(总表!D:D,K28,总表!L:L,"",总表!M:M,"",总表!G:G,"",总表!U:U,"")</f>
        <v>26</v>
      </c>
    </row>
    <row r="29" spans="1:12">
      <c r="A29" s="53" t="s">
        <v>153</v>
      </c>
      <c r="B29" s="53" t="s">
        <v>15708</v>
      </c>
      <c r="C29" s="53">
        <f>COUNTIFS(总表!B:B,A29,总表!C:C,B29,总表!L:L,"",总表!M:M,"",总表!G:G,"",总表!U:U,"")</f>
        <v>0</v>
      </c>
      <c r="D29" s="53" t="s">
        <v>149</v>
      </c>
      <c r="E29" s="53">
        <f>COUNTIFS(总表!B:B,A29,总表!D:D,D29,总表!L:L,"",总表!M:M,"",总表!G:G,"",总表!U:U,"")</f>
        <v>0</v>
      </c>
      <c r="F29" s="53">
        <f>COUNTIFS(总表!B:B,A29,总表!L:L,"",总表!M:M,"",总表!G:G,"",总表!U:U,"")</f>
        <v>19</v>
      </c>
      <c r="H29" s="45" t="s">
        <v>12765</v>
      </c>
      <c r="I29" s="57">
        <f>COUNTIFS(总表!C:C,H29,总表!L:L,"",总表!M:M,"",总表!G:G,"",总表!U:U,"")</f>
        <v>1</v>
      </c>
      <c r="K29" s="45" t="s">
        <v>110</v>
      </c>
      <c r="L29" s="57">
        <f>COUNTIFS(总表!D:D,K29,总表!L:L,"",总表!M:M,"",总表!G:G,"",总表!U:U,"")</f>
        <v>43</v>
      </c>
    </row>
    <row r="30" spans="1:12">
      <c r="A30" s="53"/>
      <c r="B30" s="53" t="s">
        <v>154</v>
      </c>
      <c r="C30" s="53">
        <f>COUNTIFS(总表!B:B,A29,总表!C:C,B30,总表!L:L,"",总表!M:M,"",总表!G:G,"",总表!U:U,"")</f>
        <v>4</v>
      </c>
      <c r="D30" s="53" t="s">
        <v>155</v>
      </c>
      <c r="E30" s="53">
        <f>COUNTIFS(总表!B:B,A29,总表!D:D,D30,总表!L:L,"",总表!M:M,"",总表!G:G,"",总表!U:U,"")</f>
        <v>19</v>
      </c>
      <c r="F30" s="53"/>
      <c r="H30" s="45" t="s">
        <v>124</v>
      </c>
      <c r="I30" s="57">
        <f>COUNTIFS(总表!C:C,H30,总表!L:L,"",总表!M:M,"",总表!G:G,"",总表!U:U,"")</f>
        <v>2</v>
      </c>
      <c r="K30" s="45" t="s">
        <v>89</v>
      </c>
      <c r="L30" s="57">
        <f>COUNTIFS(总表!D:D,K30,总表!L:L,"",总表!M:M,"",总表!G:G,"",总表!U:U,"")</f>
        <v>39</v>
      </c>
    </row>
    <row r="31" spans="1:12">
      <c r="A31" s="53"/>
      <c r="B31" s="53" t="s">
        <v>302</v>
      </c>
      <c r="C31" s="53">
        <f>COUNTIFS(总表!B:B,A29,总表!C:C,B31,总表!L:L,"",总表!M:M,"",总表!G:G,"",总表!U:U,"")</f>
        <v>10</v>
      </c>
      <c r="D31" s="53" t="s">
        <v>162</v>
      </c>
      <c r="E31" s="53">
        <f>COUNTIFS(总表!B:B,A29,总表!D:D,D31,总表!L:L,"",总表!M:M,"",总表!G:G,"",总表!U:U,"")</f>
        <v>0</v>
      </c>
      <c r="F31" s="53"/>
      <c r="H31" s="45" t="s">
        <v>80</v>
      </c>
      <c r="I31" s="57">
        <f>COUNTIFS(总表!C:C,H31,总表!L:L,"",总表!M:M,"",总表!G:G,"",总表!U:U,"")</f>
        <v>7</v>
      </c>
      <c r="K31" s="45" t="s">
        <v>37</v>
      </c>
      <c r="L31" s="57">
        <f>COUNTIFS(总表!D:D,K31,总表!L:L,"",总表!M:M,"",总表!G:G,"",总表!U:U,"")</f>
        <v>24</v>
      </c>
    </row>
    <row r="32" spans="1:12">
      <c r="A32" s="54" t="s">
        <v>66</v>
      </c>
      <c r="B32" s="54" t="s">
        <v>2389</v>
      </c>
      <c r="C32" s="54">
        <f>COUNTIFS(总表!B:B,A32,总表!C:C,B32,总表!L:L,"",总表!M:M,"",总表!G:G,"",总表!U:U,"")</f>
        <v>0</v>
      </c>
      <c r="D32" s="54" t="s">
        <v>68</v>
      </c>
      <c r="E32" s="54">
        <f>COUNTIFS(总表!B:B,A32,总表!D:D,D32,总表!L:L,"",总表!M:M,"",总表!G:G,"",总表!U:U,"")</f>
        <v>30</v>
      </c>
      <c r="F32" s="54">
        <f>COUNTIFS(总表!B:B,A32,总表!L:L,"",总表!M:M,"",总表!G:G,"",总表!U:U,"")</f>
        <v>64</v>
      </c>
      <c r="H32" s="45" t="s">
        <v>309</v>
      </c>
      <c r="I32" s="57">
        <f>COUNTIFS(总表!C:C,H32,总表!L:L,"",总表!M:M,"",总表!G:G,"",总表!U:U,"")</f>
        <v>9</v>
      </c>
      <c r="K32" s="45" t="s">
        <v>49</v>
      </c>
      <c r="L32" s="57">
        <f>COUNTIFS(总表!D:D,K32,总表!L:L,"",总表!M:M,"",总表!G:G,"",总表!U:U,"")</f>
        <v>158</v>
      </c>
    </row>
    <row r="33" spans="1:9">
      <c r="A33" s="54"/>
      <c r="B33" s="54" t="s">
        <v>3954</v>
      </c>
      <c r="C33" s="54">
        <f>COUNTIFS(总表!B:B,A32,总表!C:C,B33,总表!L:L,"",总表!M:M,"",总表!G:G,"",总表!U:U,"")</f>
        <v>2</v>
      </c>
      <c r="D33" s="54" t="s">
        <v>162</v>
      </c>
      <c r="E33" s="54">
        <f>COUNTIFS(总表!B:B,A32,总表!D:D,D33,总表!L:L,"",总表!M:M,"",总表!G:G,"",总表!U:U,"")</f>
        <v>0</v>
      </c>
      <c r="F33" s="54"/>
      <c r="H33" s="45" t="s">
        <v>406</v>
      </c>
      <c r="I33" s="57">
        <f>COUNTIFS(总表!C:C,H33,总表!L:L,"",总表!M:M,"",总表!G:G,"",总表!U:U,"")</f>
        <v>4</v>
      </c>
    </row>
    <row r="34" spans="1:9">
      <c r="A34" s="54"/>
      <c r="B34" s="54" t="s">
        <v>514</v>
      </c>
      <c r="C34" s="54">
        <f>COUNTIFS(总表!B:B,A32,总表!C:C,B34,总表!L:L,"",总表!M:M,"",总表!G:G,"",总表!U:U,"")</f>
        <v>1</v>
      </c>
      <c r="D34" s="54"/>
      <c r="E34" s="54"/>
      <c r="F34" s="54"/>
      <c r="H34" s="45" t="s">
        <v>1096</v>
      </c>
      <c r="I34" s="57">
        <v>7</v>
      </c>
    </row>
    <row r="35" spans="1:9">
      <c r="A35" s="54"/>
      <c r="B35" s="54" t="s">
        <v>119</v>
      </c>
      <c r="C35" s="54">
        <f>COUNTIFS(总表!B:B,A32,总表!C:C,B35,总表!L:L,"",总表!M:M,"",总表!G:G,"",总表!U:U,"")</f>
        <v>6</v>
      </c>
      <c r="D35" s="54"/>
      <c r="E35" s="54"/>
      <c r="F35" s="54"/>
      <c r="H35" s="45" t="s">
        <v>480</v>
      </c>
      <c r="I35" s="57">
        <f>COUNTIFS(总表!C:C,H35,总表!L:L,"",总表!M:M,"",总表!G:G,"",总表!U:U,"")</f>
        <v>3</v>
      </c>
    </row>
    <row r="36" spans="1:9">
      <c r="A36" s="54"/>
      <c r="B36" s="54" t="s">
        <v>505</v>
      </c>
      <c r="C36" s="54">
        <f>COUNTIFS(总表!B:B,A32,总表!C:C,B36,总表!L:L,"",总表!M:M,"",总表!G:G,"",总表!U:U,"")</f>
        <v>14</v>
      </c>
      <c r="D36" s="54"/>
      <c r="E36" s="54"/>
      <c r="F36" s="54"/>
      <c r="H36" s="45" t="s">
        <v>13525</v>
      </c>
      <c r="I36" s="57">
        <f>COUNTIFS(总表!C:C,H36,总表!L:L,"",总表!M:M,"",总表!G:G,"",总表!U:U,"")</f>
        <v>2</v>
      </c>
    </row>
    <row r="37" spans="1:9">
      <c r="A37" s="54"/>
      <c r="B37" s="54" t="s">
        <v>115</v>
      </c>
      <c r="C37" s="54">
        <f>COUNTIFS(总表!B:B,A32,总表!C:C,B37,总表!L:L,"",总表!M:M,"",总表!G:G,"",总表!U:U,"")</f>
        <v>0</v>
      </c>
      <c r="D37" s="54"/>
      <c r="E37" s="54"/>
      <c r="F37" s="54"/>
      <c r="H37" s="45" t="s">
        <v>13719</v>
      </c>
      <c r="I37" s="57">
        <f>COUNTIFS(总表!C:C,H37,总表!L:L,"",总表!M:M,"",总表!G:G,"",总表!U:U,"")</f>
        <v>9</v>
      </c>
    </row>
    <row r="38" spans="1:9">
      <c r="A38" s="54"/>
      <c r="B38" s="54" t="s">
        <v>1749</v>
      </c>
      <c r="C38" s="54">
        <f>COUNTIFS(总表!B:B,A32,总表!C:C,B38,总表!L:L,"",总表!M:M,"",总表!G:G,"",总表!U:U,"")</f>
        <v>5</v>
      </c>
      <c r="D38" s="54"/>
      <c r="E38" s="54"/>
      <c r="F38" s="54"/>
      <c r="H38" s="45" t="s">
        <v>514</v>
      </c>
      <c r="I38" s="57">
        <f>COUNTIFS(总表!C:C,H38,总表!L:L,"",总表!M:M,"",总表!G:G,"",总表!U:U,"")</f>
        <v>1</v>
      </c>
    </row>
    <row r="39" spans="1:9">
      <c r="A39" s="54"/>
      <c r="B39" s="54" t="s">
        <v>67</v>
      </c>
      <c r="C39" s="54">
        <f>COUNTIFS(总表!B:B,A32,总表!C:C,B39,总表!L:L,"",总表!M:M,"",总表!G:G,"",总表!U:U,"")</f>
        <v>8</v>
      </c>
      <c r="D39" s="54"/>
      <c r="E39" s="54"/>
      <c r="F39" s="54"/>
      <c r="H39" s="45" t="s">
        <v>59</v>
      </c>
      <c r="I39" s="57">
        <f>COUNTIFS(总表!C:C,H39,总表!L:L,"",总表!M:M,"",总表!G:G,"",总表!U:U,"")</f>
        <v>28</v>
      </c>
    </row>
    <row r="40" spans="1:9">
      <c r="A40" s="54"/>
      <c r="B40" s="54" t="s">
        <v>951</v>
      </c>
      <c r="C40" s="54">
        <f>COUNTIFS(总表!B:B,A32,总表!C:C,B40,总表!L:L,"",总表!M:M,"",总表!G:G,"",总表!U:U,"")</f>
        <v>15</v>
      </c>
      <c r="D40" s="54"/>
      <c r="E40" s="54"/>
      <c r="F40" s="54"/>
      <c r="H40" s="45" t="s">
        <v>74</v>
      </c>
      <c r="I40" s="57">
        <f>COUNTIFS(总表!C:C,H40,总表!L:L,"",总表!M:M,"",总表!G:G,"",总表!U:U,"")</f>
        <v>63</v>
      </c>
    </row>
    <row r="41" spans="1:9">
      <c r="A41" s="55" t="s">
        <v>87</v>
      </c>
      <c r="B41" s="55" t="s">
        <v>1757</v>
      </c>
      <c r="C41" s="55">
        <f>COUNTIFS(总表!B:B,A41,总表!C:C,B41,总表!L:L,"",总表!M:M,"",总表!G:G,"",总表!U:U,"")</f>
        <v>4</v>
      </c>
      <c r="D41" s="55" t="s">
        <v>33</v>
      </c>
      <c r="E41" s="55">
        <f>COUNTIFS(总表!B:B,A41,总表!D:D,D41,总表!L:L,"",总表!M:M,"",总表!G:G,"",总表!U:U,"")</f>
        <v>0</v>
      </c>
      <c r="F41" s="55">
        <f>COUNTIFS(总表!B:B,A41,总表!L:L,"",总表!M:M,"",总表!G:G,"",总表!U:U,"")</f>
        <v>38</v>
      </c>
      <c r="H41" s="45" t="s">
        <v>119</v>
      </c>
      <c r="I41" s="57">
        <f>COUNTIFS(总表!C:C,H41,总表!L:L,"",总表!M:M,"",总表!G:G,"",总表!U:U,"")</f>
        <v>6</v>
      </c>
    </row>
    <row r="42" spans="1:9">
      <c r="A42" s="55"/>
      <c r="B42" s="55" t="s">
        <v>88</v>
      </c>
      <c r="C42" s="55">
        <f>COUNTIFS(总表!B:B,A41,总表!C:C,B42,总表!L:L,"",总表!M:M,"",总表!G:G,"",总表!U:U,"")</f>
        <v>0</v>
      </c>
      <c r="D42" s="55" t="s">
        <v>271</v>
      </c>
      <c r="E42" s="55">
        <f>COUNTIFS(总表!B:B,A41,总表!D:D,D42,总表!L:L,"",总表!M:M,"",总表!G:G,"",总表!U:U,"")</f>
        <v>0</v>
      </c>
      <c r="F42" s="55"/>
      <c r="H42" s="45" t="s">
        <v>1234</v>
      </c>
      <c r="I42" s="57">
        <f>COUNTIFS(总表!C:C,H42,总表!L:L,"",总表!M:M,"",总表!G:G,"",总表!U:U,"")</f>
        <v>17</v>
      </c>
    </row>
    <row r="43" spans="1:9">
      <c r="A43" s="55"/>
      <c r="B43" s="55" t="s">
        <v>466</v>
      </c>
      <c r="C43" s="55">
        <f>COUNTIFS(总表!B:B,A41,总表!C:C,B43,总表!L:L,"",总表!M:M,"",总表!G:G,"",总表!U:U,"")</f>
        <v>7</v>
      </c>
      <c r="D43" s="55"/>
      <c r="E43" s="55"/>
      <c r="F43" s="55"/>
      <c r="H43" s="45" t="s">
        <v>148</v>
      </c>
      <c r="I43" s="57">
        <f>COUNTIFS(总表!C:C,H43,总表!L:L,"",总表!M:M,"",总表!G:G,"",总表!U:U,"")</f>
        <v>8</v>
      </c>
    </row>
    <row r="44" spans="1:9">
      <c r="A44" s="55"/>
      <c r="B44" s="55" t="s">
        <v>199</v>
      </c>
      <c r="C44" s="55">
        <f>COUNTIFS(总表!B:B,A41,总表!C:C,B44,总表!L:L,"",总表!M:M,"",总表!G:G,"",总表!U:U,"")</f>
        <v>11</v>
      </c>
      <c r="D44" s="55" t="s">
        <v>89</v>
      </c>
      <c r="E44" s="55">
        <f>COUNTIFS(总表!B:B,A41,总表!D:D,D44,总表!L:L,"",总表!M:M,"",总表!G:G,"",总表!U:U,"")</f>
        <v>38</v>
      </c>
      <c r="F44" s="55"/>
      <c r="H44" s="45" t="s">
        <v>7029</v>
      </c>
      <c r="I44" s="57">
        <f>COUNTIFS(总表!C:C,H44,总表!L:L,"",总表!M:M,"",总表!G:G,"",总表!U:U,"")</f>
        <v>5</v>
      </c>
    </row>
    <row r="45" spans="1:9">
      <c r="A45" s="56" t="s">
        <v>137</v>
      </c>
      <c r="B45" s="56" t="s">
        <v>191</v>
      </c>
      <c r="C45" s="56">
        <f>COUNTIFS(总表!B:B,A45,总表!C:C,B45,总表!L:L,"",总表!M:M,"",总表!G:G,"",总表!U:U,"")</f>
        <v>1</v>
      </c>
      <c r="D45" s="56" t="s">
        <v>191</v>
      </c>
      <c r="E45" s="56">
        <f>COUNTIFS(总表!B:B,A45,总表!D:D,D45,总表!L:L,"",总表!M:M,"",总表!G:G,"",总表!U:U,"")</f>
        <v>0</v>
      </c>
      <c r="F45" s="56">
        <f>COUNTIFS(总表!B:B,A45,总表!L:L,"",总表!M:M,"",总表!G:G,"",总表!U:U,"")</f>
        <v>58</v>
      </c>
      <c r="H45" s="45" t="s">
        <v>517</v>
      </c>
      <c r="I45" s="57">
        <f>COUNTIFS(总表!C:C,H45,总表!L:L,"",总表!M:M,"",总表!G:G,"",总表!U:U,"")</f>
        <v>2</v>
      </c>
    </row>
    <row r="46" spans="1:9">
      <c r="A46" s="56"/>
      <c r="B46" s="56" t="s">
        <v>1160</v>
      </c>
      <c r="C46" s="56">
        <f>COUNTIFS(总表!B:B,A45,总表!C:C,B46,总表!L:L,"",总表!M:M,"",总表!G:G,"",总表!U:U,"")</f>
        <v>1</v>
      </c>
      <c r="D46" s="56" t="s">
        <v>139</v>
      </c>
      <c r="E46" s="56">
        <f>COUNTIFS(总表!B:B,A45,总表!D:D,D46,总表!L:L,"",总表!M:M,"",总表!G:G,"",总表!U:U,"")</f>
        <v>10</v>
      </c>
      <c r="F46" s="56"/>
      <c r="H46" s="45" t="s">
        <v>2626</v>
      </c>
      <c r="I46" s="57">
        <f>COUNTIFS(总表!C:C,H46,总表!L:L,"",总表!M:M,"",总表!G:G,"",总表!U:U,"")</f>
        <v>4</v>
      </c>
    </row>
    <row r="47" spans="1:9">
      <c r="A47" s="56"/>
      <c r="B47" s="56" t="s">
        <v>426</v>
      </c>
      <c r="C47" s="56">
        <f>COUNTIFS(总表!B:B,A45,总表!C:C,B47,总表!L:L,"",总表!M:M,"",总表!G:G,"",总表!U:U,"")</f>
        <v>7</v>
      </c>
      <c r="D47" s="56" t="s">
        <v>427</v>
      </c>
      <c r="E47" s="56">
        <f>COUNTIFS(总表!B:B,A45,总表!D:D,D47,总表!L:L,"",总表!M:M,"",总表!G:G,"",总表!U:U,"")</f>
        <v>16</v>
      </c>
      <c r="F47" s="56"/>
      <c r="H47" s="45" t="s">
        <v>19384</v>
      </c>
      <c r="I47" s="57">
        <f>COUNTIFS(总表!C:C,H47,总表!L:L,"",总表!M:M,"",总表!G:G,"",总表!U:U,"")</f>
        <v>2</v>
      </c>
    </row>
    <row r="48" spans="1:9">
      <c r="A48" s="56"/>
      <c r="B48" s="56" t="s">
        <v>494</v>
      </c>
      <c r="C48" s="56">
        <f>COUNTIFS(总表!B:B,A45,总表!C:C,B48,总表!L:L,"",总表!M:M,"",总表!G:G,"",总表!U:U,"")</f>
        <v>3</v>
      </c>
      <c r="D48" s="56" t="s">
        <v>271</v>
      </c>
      <c r="E48" s="56">
        <f>COUNTIFS(总表!B:B,A45,总表!D:D,D48,总表!L:L,"",总表!M:M,"",总表!G:G,"",总表!U:U,"")</f>
        <v>0</v>
      </c>
      <c r="F48" s="56"/>
      <c r="H48" s="45" t="s">
        <v>2716</v>
      </c>
      <c r="I48" s="57">
        <f>COUNTIFS(总表!C:C,H48,总表!L:L,"",总表!M:M,"",总表!G:G,"",总表!U:U,"")</f>
        <v>16</v>
      </c>
    </row>
    <row r="49" spans="1:9">
      <c r="A49" s="56"/>
      <c r="B49" s="56" t="s">
        <v>406</v>
      </c>
      <c r="C49" s="56">
        <f>COUNTIFS(总表!B:B,A45,总表!C:C,B49,总表!L:L,"",总表!M:M,"",总表!G:G,"",总表!U:U,"")</f>
        <v>4</v>
      </c>
      <c r="D49" s="56"/>
      <c r="E49" s="56"/>
      <c r="F49" s="56"/>
      <c r="H49" s="45" t="s">
        <v>758</v>
      </c>
      <c r="I49" s="57">
        <f>COUNTIFS(总表!C:C,H49,总表!L:L,"",总表!M:M,"",总表!G:G,"",总表!U:U,"")</f>
        <v>1</v>
      </c>
    </row>
    <row r="50" spans="1:9">
      <c r="A50" s="56"/>
      <c r="B50" s="56" t="s">
        <v>1096</v>
      </c>
      <c r="C50" s="56">
        <f>COUNTIFS(总表!B:B,A45,总表!C:C,B50,总表!L:L,"",总表!M:M,"",总表!G:G,"",总表!U:U,"")</f>
        <v>1</v>
      </c>
      <c r="D50" s="56" t="s">
        <v>187</v>
      </c>
      <c r="E50" s="56">
        <f>COUNTIFS(总表!B:B,A45,总表!D:D,D50,总表!L:L,"",总表!M:M,"",总表!G:G,"",总表!U:U,"")</f>
        <v>0</v>
      </c>
      <c r="F50" s="56"/>
      <c r="H50" s="45" t="s">
        <v>399</v>
      </c>
      <c r="I50" s="57">
        <f>COUNTIFS(总表!C:C,H50,总表!L:L,"",总表!M:M,"",总表!G:G,"",总表!U:U,"")</f>
        <v>33</v>
      </c>
    </row>
    <row r="51" spans="1:9">
      <c r="A51" s="56"/>
      <c r="B51" s="56" t="s">
        <v>480</v>
      </c>
      <c r="C51" s="56">
        <f>COUNTIFS(总表!B:B,A45,总表!C:C,B51,总表!L:L,"",总表!M:M,"",总表!G:G,"",总表!U:U,"")</f>
        <v>3</v>
      </c>
      <c r="D51" s="56"/>
      <c r="E51" s="56"/>
      <c r="F51" s="56"/>
      <c r="H51" s="45" t="s">
        <v>505</v>
      </c>
      <c r="I51" s="57">
        <f>COUNTIFS(总表!C:C,H51,总表!L:L,"",总表!M:M,"",总表!G:G,"",总表!U:U,"")</f>
        <v>14</v>
      </c>
    </row>
    <row r="52" spans="1:9">
      <c r="A52" s="56"/>
      <c r="B52" s="56" t="s">
        <v>1108</v>
      </c>
      <c r="C52" s="56">
        <f>COUNTIFS(总表!B:B,A45,总表!C:C,B52,总表!L:L,"",总表!M:M,"",总表!G:G,"",总表!U:U,"")</f>
        <v>0</v>
      </c>
      <c r="D52" s="56"/>
      <c r="E52" s="56"/>
      <c r="F52" s="56"/>
      <c r="H52" s="45" t="s">
        <v>12699</v>
      </c>
      <c r="I52" s="57">
        <f>COUNTIFS(总表!C:C,H52,总表!L:L,"",总表!M:M,"",总表!G:G,"",总表!U:U,"")</f>
        <v>3</v>
      </c>
    </row>
    <row r="53" spans="1:9">
      <c r="A53" s="56"/>
      <c r="B53" s="56" t="s">
        <v>411</v>
      </c>
      <c r="C53" s="56">
        <f>COUNTIFS(总表!B:B,A45,总表!C:C,B53,总表!L:L,"",总表!M:M,"",总表!G:G,"",总表!U:U,"")</f>
        <v>12</v>
      </c>
      <c r="D53" s="56"/>
      <c r="E53" s="56"/>
      <c r="F53" s="56"/>
      <c r="H53" s="45" t="s">
        <v>411</v>
      </c>
      <c r="I53" s="57">
        <f>COUNTIFS(总表!C:C,H53,总表!L:L,"",总表!M:M,"",总表!G:G,"",总表!U:U,"")</f>
        <v>12</v>
      </c>
    </row>
    <row r="54" spans="1:9">
      <c r="A54" s="56"/>
      <c r="B54" s="56" t="s">
        <v>1048</v>
      </c>
      <c r="C54" s="56">
        <f>COUNTIFS(总表!B:B,A45,总表!C:C,B54,总表!L:L,"",总表!M:M,"",总表!G:G,"",总表!U:U,"")</f>
        <v>0</v>
      </c>
      <c r="D54" s="56"/>
      <c r="E54" s="56"/>
      <c r="F54" s="56"/>
      <c r="H54" s="45" t="s">
        <v>419</v>
      </c>
      <c r="I54" s="57">
        <f>COUNTIFS(总表!C:C,H54,总表!L:L,"",总表!M:M,"",总表!G:G,"",总表!U:U,"")</f>
        <v>15</v>
      </c>
    </row>
    <row r="55" spans="1:9">
      <c r="A55" s="56"/>
      <c r="B55" s="56" t="s">
        <v>2705</v>
      </c>
      <c r="C55" s="56">
        <f>COUNTIFS(总表!B:B,A45,总表!C:C,B55,总表!L:L,"",总表!M:M,"",总表!G:G,"",总表!U:U,"")</f>
        <v>10</v>
      </c>
      <c r="D55" s="56"/>
      <c r="E55" s="56"/>
      <c r="F55" s="56"/>
      <c r="H55" s="45" t="s">
        <v>115</v>
      </c>
      <c r="I55" s="57">
        <f>COUNTIFS(总表!C:C,H55,总表!L:L,"",总表!M:M,"",总表!G:G,"",总表!U:U,"")</f>
        <v>4</v>
      </c>
    </row>
    <row r="56" spans="1:9">
      <c r="A56" s="56"/>
      <c r="B56" s="56" t="s">
        <v>1195</v>
      </c>
      <c r="C56" s="56">
        <f>COUNTIFS(总表!B:B,A45,总表!C:C,B56,总表!L:L,"",总表!M:M,"",总表!G:G,"",总表!U:U,"")</f>
        <v>1</v>
      </c>
      <c r="D56" s="56"/>
      <c r="E56" s="56"/>
      <c r="F56" s="56"/>
      <c r="H56" s="45" t="s">
        <v>722</v>
      </c>
      <c r="I56" s="57">
        <f>COUNTIFS(总表!C:C,H56,总表!L:L,"",总表!M:M,"",总表!G:G,"",总表!U:U,"")</f>
        <v>7</v>
      </c>
    </row>
    <row r="57" spans="1:9">
      <c r="A57" s="56"/>
      <c r="B57" s="56" t="s">
        <v>861</v>
      </c>
      <c r="C57" s="56">
        <f>COUNTIFS(总表!B:B,A45,总表!C:C,B57,总表!L:L,"",总表!M:M,"",总表!G:G,"",总表!U:U,"")</f>
        <v>9</v>
      </c>
      <c r="D57" s="56"/>
      <c r="E57" s="56"/>
      <c r="F57" s="56"/>
      <c r="H57" s="45" t="s">
        <v>195</v>
      </c>
      <c r="I57" s="57">
        <f>COUNTIFS(总表!C:C,H57,总表!L:L,"",总表!M:M,"",总表!G:G,"",总表!U:U,"")</f>
        <v>11</v>
      </c>
    </row>
    <row r="58" spans="1:9">
      <c r="A58" s="56"/>
      <c r="B58" s="56" t="s">
        <v>1066</v>
      </c>
      <c r="C58" s="56">
        <f>COUNTIFS(总表!B:B,A45,总表!C:C,B58,总表!L:L,"",总表!M:M,"",总表!G:G,"",总表!U:U,"")</f>
        <v>0</v>
      </c>
      <c r="D58" s="56"/>
      <c r="E58" s="56"/>
      <c r="F58" s="56"/>
      <c r="H58" s="45" t="s">
        <v>1133</v>
      </c>
      <c r="I58" s="57">
        <f>COUNTIFS(总表!C:C,H58,总表!L:L,"",总表!M:M,"",总表!G:G,"",总表!U:U,"")</f>
        <v>1</v>
      </c>
    </row>
    <row r="59" spans="1:9">
      <c r="A59" s="56"/>
      <c r="B59" s="56" t="s">
        <v>138</v>
      </c>
      <c r="C59" s="56">
        <f>COUNTIFS(总表!B:B,A45,总表!C:C,B59,总表!L:L,"",总表!M:M,"",总表!G:G,"",总表!U:U,"")</f>
        <v>4</v>
      </c>
      <c r="D59" s="56"/>
      <c r="E59" s="56"/>
      <c r="F59" s="56"/>
      <c r="H59" s="45" t="s">
        <v>3196</v>
      </c>
      <c r="I59" s="57">
        <f>COUNTIFS(总表!C:C,H59,总表!L:L,"",总表!M:M,"",总表!G:G,"",总表!U:U,"")</f>
        <v>9</v>
      </c>
    </row>
    <row r="60" spans="1:9">
      <c r="A60" s="56"/>
      <c r="B60" s="56" t="s">
        <v>1041</v>
      </c>
      <c r="C60" s="56">
        <f>COUNTIFS(总表!B:B,A45,总表!C:C,B60,总表!L:L,"",总表!M:M,"",总表!G:G,"",总表!U:U,"")</f>
        <v>0</v>
      </c>
      <c r="D60" s="56"/>
      <c r="E60" s="56"/>
      <c r="F60" s="56"/>
      <c r="H60" s="45" t="s">
        <v>342</v>
      </c>
      <c r="I60" s="57">
        <f>COUNTIFS(总表!C:C,H60,总表!L:L,"",总表!M:M,"",总表!G:G,"",总表!U:U,"")</f>
        <v>29</v>
      </c>
    </row>
    <row r="61" spans="1:9">
      <c r="A61" s="50" t="s">
        <v>169</v>
      </c>
      <c r="B61" s="50" t="s">
        <v>170</v>
      </c>
      <c r="C61" s="50">
        <f>COUNTIFS(总表!B:B,A61,总表!C:C,B61,总表!L:L,"",总表!M:M,"",总表!G:G,"",总表!U:U,"")</f>
        <v>0</v>
      </c>
      <c r="D61" s="50" t="s">
        <v>635</v>
      </c>
      <c r="E61" s="50">
        <f>COUNTIFS(总表!B:B,A61,总表!D:D,D61,总表!L:L,"",总表!M:M,"",总表!G:G,"",总表!U:U,"")</f>
        <v>14</v>
      </c>
      <c r="F61" s="50">
        <f>COUNTIFS(总表!B:B,A61,总表!L:L,"",总表!M:M,"",总表!G:G,"",总表!U:U,"")</f>
        <v>19</v>
      </c>
      <c r="H61" s="45" t="s">
        <v>1620</v>
      </c>
      <c r="I61" s="57">
        <f>COUNTIFS(总表!C:C,H61,总表!L:L,"",总表!M:M,"",总表!G:G,"",总表!U:U,"")</f>
        <v>7</v>
      </c>
    </row>
    <row r="62" spans="1:9">
      <c r="A62" s="50"/>
      <c r="B62" s="50" t="s">
        <v>634</v>
      </c>
      <c r="C62" s="50">
        <f>COUNTIFS(总表!B:B,A61,总表!C:C,B62,总表!L:L,"",总表!M:M,"",总表!G:G,"",总表!U:U,"")</f>
        <v>12</v>
      </c>
      <c r="D62" s="50" t="s">
        <v>171</v>
      </c>
      <c r="E62" s="50">
        <f>COUNTIFS(总表!B:B,A61,总表!D:D,D62,总表!L:L,"",总表!M:M,"",总表!G:G,"",总表!U:U,"")</f>
        <v>5</v>
      </c>
      <c r="F62" s="50"/>
      <c r="H62" s="45" t="s">
        <v>14876</v>
      </c>
      <c r="I62" s="57">
        <f>COUNTIFS(总表!C:C,H62,总表!L:L,"",总表!M:M,"",总表!G:G,"",总表!U:U,"")</f>
        <v>1</v>
      </c>
    </row>
    <row r="63" spans="1:9">
      <c r="A63" s="50"/>
      <c r="B63" s="50" t="s">
        <v>542</v>
      </c>
      <c r="C63" s="50">
        <f>COUNTIFS(总表!B:B,A61,总表!C:C,B63,总表!L:L,"",总表!M:M,"",总表!G:G,"",总表!U:U,"")</f>
        <v>4</v>
      </c>
      <c r="D63" s="50"/>
      <c r="E63" s="50"/>
      <c r="F63" s="50"/>
      <c r="H63" s="45" t="s">
        <v>355</v>
      </c>
      <c r="I63" s="57">
        <f>COUNTIFS(总表!C:C,H63,总表!L:L,"",总表!M:M,"",总表!G:G,"",总表!U:U,"")</f>
        <v>27</v>
      </c>
    </row>
    <row r="64" spans="1:9">
      <c r="A64" s="50"/>
      <c r="B64" s="50" t="s">
        <v>1265</v>
      </c>
      <c r="C64" s="50">
        <f>COUNTIFS(总表!B:B,A61,总表!C:C,B64,总表!L:L,"",总表!M:M,"",总表!G:G,"",总表!U:U,"")</f>
        <v>0</v>
      </c>
      <c r="D64" s="50"/>
      <c r="E64" s="50"/>
      <c r="F64" s="50"/>
      <c r="H64" s="45" t="s">
        <v>275</v>
      </c>
      <c r="I64" s="57">
        <f>COUNTIFS(总表!C:C,H64,总表!L:L,"",总表!M:M,"",总表!G:G,"",总表!U:U,"")</f>
        <v>10</v>
      </c>
    </row>
    <row r="65" spans="1:9">
      <c r="A65" s="53" t="s">
        <v>405</v>
      </c>
      <c r="B65" s="53" t="s">
        <v>498</v>
      </c>
      <c r="C65" s="53">
        <f>COUNTIFS(总表!B:B,A65,总表!C:C,B65,总表!L:L,"",总表!M:M,"",总表!G:G,"",总表!U:U,"")</f>
        <v>1</v>
      </c>
      <c r="D65" s="53" t="s">
        <v>407</v>
      </c>
      <c r="E65" s="53">
        <f>COUNTIFS(总表!B:B,A65,总表!D:D,D65,总表!L:L,"",总表!M:M,"",总表!G:G,"",总表!U:U,"")</f>
        <v>46</v>
      </c>
      <c r="F65" s="53">
        <f>COUNTIFS(总表!B:B,A65,总表!L:L,"",总表!M:M,"",总表!G:G,"",总表!U:U,"")</f>
        <v>46</v>
      </c>
      <c r="H65" s="45" t="s">
        <v>634</v>
      </c>
      <c r="I65" s="57">
        <f>COUNTIFS(总表!C:C,H65,总表!L:L,"",总表!M:M,"",总表!G:G,"",总表!U:U,"")</f>
        <v>12</v>
      </c>
    </row>
    <row r="66" spans="1:9">
      <c r="A66" s="53"/>
      <c r="B66" s="53" t="s">
        <v>43</v>
      </c>
      <c r="C66" s="53">
        <f>COUNTIFS(总表!B:B,A65,总表!C:C,B66,总表!L:L,"",总表!M:M,"",总表!G:G,"",总表!U:U,"")</f>
        <v>1</v>
      </c>
      <c r="D66" s="53" t="s">
        <v>171</v>
      </c>
      <c r="E66" s="53">
        <f>COUNTIFS(总表!B:B,A65,总表!D:D,D66,总表!L:L,"",总表!M:M,"",总表!G:G,"",总表!U:U,"")</f>
        <v>0</v>
      </c>
      <c r="F66" s="53"/>
      <c r="H66" s="45" t="s">
        <v>5336</v>
      </c>
      <c r="I66" s="57">
        <f>COUNTIFS(总表!C:C,H66,总表!L:L,"",总表!M:M,"",总表!G:G,"",总表!U:U,"")</f>
        <v>23</v>
      </c>
    </row>
    <row r="67" spans="1:9">
      <c r="A67" s="53"/>
      <c r="B67" s="53" t="s">
        <v>823</v>
      </c>
      <c r="C67" s="53">
        <f>COUNTIFS(总表!B:B,A65,总表!C:C,B67,总表!L:L,"",总表!M:M,"",总表!G:G,"",总表!U:U,"")</f>
        <v>9</v>
      </c>
      <c r="D67" s="53"/>
      <c r="E67" s="53"/>
      <c r="F67" s="53"/>
      <c r="H67" s="45" t="s">
        <v>154</v>
      </c>
      <c r="I67" s="57">
        <f>COUNTIFS(总表!C:C,H67,总表!L:L,"",总表!M:M,"",总表!G:G,"",总表!U:U,"")</f>
        <v>4</v>
      </c>
    </row>
    <row r="68" spans="1:9">
      <c r="A68" s="53"/>
      <c r="B68" s="53" t="s">
        <v>406</v>
      </c>
      <c r="C68" s="53">
        <f>COUNTIFS(总表!B:B,A65,总表!C:C,B68,总表!L:L,"",总表!M:M,"",总表!G:G,"",总表!U:U,"")</f>
        <v>0</v>
      </c>
      <c r="D68" s="53"/>
      <c r="E68" s="53"/>
      <c r="F68" s="53"/>
      <c r="H68" s="45" t="s">
        <v>216</v>
      </c>
      <c r="I68" s="57">
        <f>COUNTIFS(总表!C:C,H68,总表!L:L,"",总表!M:M,"",总表!G:G,"",总表!U:U,"")</f>
        <v>1</v>
      </c>
    </row>
    <row r="69" spans="1:9">
      <c r="A69" s="53"/>
      <c r="B69" s="53" t="s">
        <v>3934</v>
      </c>
      <c r="C69" s="53">
        <f>COUNTIFS(总表!B:B,A65,总表!C:C,B69,总表!L:L,"",总表!M:M,"",总表!G:G,"",总表!U:U,"")</f>
        <v>0</v>
      </c>
      <c r="D69" s="53"/>
      <c r="E69" s="53"/>
      <c r="F69" s="53"/>
      <c r="H69" s="45" t="s">
        <v>2705</v>
      </c>
      <c r="I69" s="57">
        <f>COUNTIFS(总表!C:C,H69,总表!L:L,"",总表!M:M,"",总表!G:G,"",总表!U:U,"")</f>
        <v>10</v>
      </c>
    </row>
    <row r="70" spans="1:9">
      <c r="A70" s="53"/>
      <c r="B70" s="53" t="s">
        <v>1234</v>
      </c>
      <c r="C70" s="53">
        <f>COUNTIFS(总表!B:B,A65,总表!C:C,B70,总表!L:L,"",总表!M:M,"",总表!G:G,"",总表!U:U,"")</f>
        <v>17</v>
      </c>
      <c r="D70" s="53"/>
      <c r="E70" s="53"/>
      <c r="F70" s="53"/>
      <c r="H70" s="45" t="s">
        <v>491</v>
      </c>
      <c r="I70" s="57">
        <f>COUNTIFS(总表!C:C,H70,总表!L:L,"",总表!M:M,"",总表!G:G,"",总表!U:U,"")</f>
        <v>36</v>
      </c>
    </row>
    <row r="71" spans="1:9">
      <c r="A71" s="53"/>
      <c r="B71" s="53" t="s">
        <v>15608</v>
      </c>
      <c r="C71" s="53">
        <f>COUNTIFS(总表!B:B,A65,总表!C:C,B71,总表!L:L,"",总表!M:M,"",总表!G:G,"",总表!U:U,"")</f>
        <v>0</v>
      </c>
      <c r="D71" s="53"/>
      <c r="E71" s="53"/>
      <c r="F71" s="53"/>
      <c r="H71" s="45" t="s">
        <v>109</v>
      </c>
      <c r="I71" s="57">
        <f>COUNTIFS(总表!C:C,H71,总表!L:L,"",总表!M:M,"",总表!G:G,"",总表!U:U,"")</f>
        <v>19</v>
      </c>
    </row>
    <row r="72" spans="1:9">
      <c r="A72" s="53"/>
      <c r="B72" s="53" t="s">
        <v>206</v>
      </c>
      <c r="C72" s="53">
        <f>COUNTIFS(总表!B:B,A65,总表!C:C,B72,总表!L:L,"",总表!M:M,"",总表!G:G,"",总表!U:U,"")</f>
        <v>0</v>
      </c>
      <c r="D72" s="53"/>
      <c r="E72" s="53"/>
      <c r="F72" s="53"/>
      <c r="H72" s="45" t="s">
        <v>14638</v>
      </c>
      <c r="I72" s="57">
        <f>COUNTIFS(总表!C:C,H72,总表!L:L,"",总表!M:M,"",总表!G:G,"",总表!U:U,"")</f>
        <v>7</v>
      </c>
    </row>
    <row r="73" spans="1:9">
      <c r="A73" s="52" t="s">
        <v>335</v>
      </c>
      <c r="B73" s="52" t="s">
        <v>1765</v>
      </c>
      <c r="C73" s="52">
        <f>COUNTIFS(总表!B:B,A73,总表!C:C,B73,总表!L:L,"",总表!M:M,"",总表!G:G,"",总表!U:U,"")</f>
        <v>0</v>
      </c>
      <c r="D73" s="52" t="s">
        <v>271</v>
      </c>
      <c r="E73" s="52">
        <f>COUNTIFS(总表!B:B,A73,总表!D:D,D73,总表!L:L,"",总表!M:M,"",总表!G:G,"",总表!U:U,"")</f>
        <v>0</v>
      </c>
      <c r="F73" s="52">
        <f>COUNTIFS(总表!B:B,A73,总表!L:L,"",总表!M:M,"",总表!G:G,"",总表!U:U,"")</f>
        <v>52</v>
      </c>
      <c r="H73" s="45" t="s">
        <v>15883</v>
      </c>
      <c r="I73" s="57">
        <f>COUNTIFS(总表!C:C,H73,总表!L:L,"",总表!M:M,"",总表!G:G,"",总表!U:U,"")</f>
        <v>3</v>
      </c>
    </row>
    <row r="74" spans="1:9">
      <c r="A74" s="52"/>
      <c r="B74" s="52" t="s">
        <v>399</v>
      </c>
      <c r="C74" s="52">
        <f>COUNTIFS(总表!B:B,A73,总表!C:C,B74,总表!L:L,"",总表!M:M,"",总表!G:G,"",总表!U:U,"")</f>
        <v>33</v>
      </c>
      <c r="D74" s="52" t="s">
        <v>337</v>
      </c>
      <c r="E74" s="52">
        <f>COUNTIFS(总表!B:B,A73,总表!D:D,D74,总表!L:L,"",总表!M:M,"",总表!G:G,"",总表!U:U,"")</f>
        <v>51</v>
      </c>
      <c r="F74" s="52"/>
      <c r="H74" s="45" t="s">
        <v>1458</v>
      </c>
      <c r="I74" s="57">
        <f>COUNTIFS(总表!C:C,H74,总表!L:L,"",总表!M:M,"",总表!G:G,"",总表!U:U,"")</f>
        <v>1</v>
      </c>
    </row>
    <row r="75" spans="1:9">
      <c r="A75" s="52"/>
      <c r="B75" s="52" t="s">
        <v>615</v>
      </c>
      <c r="C75" s="52">
        <f>COUNTIFS(总表!B:B,A73,总表!C:C,B75,总表!L:L,"",总表!M:M,"",总表!G:G,"",总表!U:U,"")</f>
        <v>14</v>
      </c>
      <c r="D75" s="52" t="s">
        <v>162</v>
      </c>
      <c r="E75" s="52">
        <f>COUNTIFS(总表!B:B,A73,总表!D:D,D75,总表!L:L,"",总表!M:M,"",总表!G:G,"",总表!U:U,"")</f>
        <v>0</v>
      </c>
      <c r="F75" s="52"/>
      <c r="H75" s="45" t="s">
        <v>599</v>
      </c>
      <c r="I75" s="57">
        <f>COUNTIFS(总表!C:C,H75,总表!L:L,"",总表!M:M,"",总表!G:G,"",总表!U:U,"")</f>
        <v>1</v>
      </c>
    </row>
    <row r="76" spans="1:9">
      <c r="A76" s="52"/>
      <c r="B76" s="52" t="s">
        <v>336</v>
      </c>
      <c r="C76" s="52">
        <f>COUNTIFS(总表!B:B,A73,总表!C:C,B76,总表!L:L,"",总表!M:M,"",总表!G:G,"",总表!U:U,"")</f>
        <v>2</v>
      </c>
      <c r="D76" s="52" t="s">
        <v>171</v>
      </c>
      <c r="E76" s="52">
        <f>COUNTIFS(总表!B:B,A73,总表!D:D,D76,总表!L:L,"",总表!M:M,"",总表!G:G,"",总表!U:U,"")</f>
        <v>1</v>
      </c>
      <c r="F76" s="52"/>
      <c r="H76" s="45" t="s">
        <v>14070</v>
      </c>
      <c r="I76" s="57">
        <f>COUNTIFS(总表!C:C,H76,总表!L:L,"",总表!M:M,"",总表!G:G,"",总表!U:U,"")</f>
        <v>14</v>
      </c>
    </row>
    <row r="77" spans="1:9">
      <c r="A77" s="58" t="s">
        <v>185</v>
      </c>
      <c r="B77" s="58" t="s">
        <v>186</v>
      </c>
      <c r="C77" s="58">
        <f>COUNTIFS(总表!B:B,A77,总表!C:C,B77,总表!L:L,"",总表!M:M,"",总表!G:G,"",总表!U:U,"")</f>
        <v>17</v>
      </c>
      <c r="D77" s="58" t="s">
        <v>132</v>
      </c>
      <c r="E77" s="58">
        <f>COUNTIFS(总表!B:B,A77,总表!D:D,D77,总表!L:L,"",总表!M:M,"",总表!G:G,"",总表!U:U,"")</f>
        <v>0</v>
      </c>
      <c r="F77" s="58">
        <f>COUNTIFS(总表!B:B,A77,总表!L:L,"",总表!M:M,"",总表!G:G,"",总表!U:U,"")</f>
        <v>74</v>
      </c>
      <c r="H77" s="45" t="s">
        <v>615</v>
      </c>
      <c r="I77" s="57">
        <f>COUNTIFS(总表!C:C,H77,总表!L:L,"",总表!M:M,"",总表!G:G,"",总表!U:U,"")</f>
        <v>14</v>
      </c>
    </row>
    <row r="78" spans="1:9">
      <c r="A78" s="58"/>
      <c r="B78" s="58" t="s">
        <v>1530</v>
      </c>
      <c r="C78" s="58">
        <f>COUNTIFS(总表!B:B,A77,总表!C:C,B78,总表!L:L,"",总表!M:M,"",总表!G:G,"",总表!U:U,"")</f>
        <v>2</v>
      </c>
      <c r="D78" s="58" t="s">
        <v>33</v>
      </c>
      <c r="E78" s="58">
        <f>COUNTIFS(总表!B:B,A77,总表!D:D,D78,总表!L:L,"",总表!M:M,"",总表!G:G,"",总表!U:U,"")</f>
        <v>0</v>
      </c>
      <c r="F78" s="58"/>
      <c r="H78" s="45" t="s">
        <v>15301</v>
      </c>
      <c r="I78" s="57">
        <f>COUNTIFS(总表!C:C,H78,总表!L:L,"",总表!M:M,"",总表!G:G,"",总表!U:U,"")</f>
        <v>6</v>
      </c>
    </row>
    <row r="79" spans="1:9">
      <c r="A79" s="58"/>
      <c r="B79" s="58" t="s">
        <v>1133</v>
      </c>
      <c r="C79" s="58">
        <f>COUNTIFS(总表!B:B,A77,总表!C:C,B79,总表!L:L,"",总表!M:M,"",总表!G:G,"",总表!U:U,"")</f>
        <v>1</v>
      </c>
      <c r="D79" s="58" t="s">
        <v>427</v>
      </c>
      <c r="E79" s="58">
        <f>COUNTIFS(总表!B:B,A77,总表!D:D,D79,总表!L:L,"",总表!M:M,"",总表!G:G,"",总表!U:U,"")</f>
        <v>0</v>
      </c>
      <c r="F79" s="58"/>
      <c r="H79" s="45" t="s">
        <v>3973</v>
      </c>
      <c r="I79" s="57">
        <f>COUNTIFS(总表!C:C,H79,总表!L:L,"",总表!M:M,"",总表!G:G,"",总表!U:U,"")</f>
        <v>1</v>
      </c>
    </row>
    <row r="80" spans="1:9">
      <c r="A80" s="58"/>
      <c r="B80" s="58" t="s">
        <v>1620</v>
      </c>
      <c r="C80" s="58">
        <f>COUNTIFS(总表!B:B,A77,总表!C:C,B80,总表!L:L,"",总表!M:M,"",总表!G:G,"",总表!U:U,"")</f>
        <v>7</v>
      </c>
      <c r="D80" s="58" t="s">
        <v>187</v>
      </c>
      <c r="E80" s="58">
        <f>COUNTIFS(总表!B:B,A77,总表!D:D,D80,总表!L:L,"",总表!M:M,"",总表!G:G,"",总表!U:U,"")</f>
        <v>46</v>
      </c>
      <c r="F80" s="58"/>
      <c r="H80" s="45" t="s">
        <v>230</v>
      </c>
      <c r="I80" s="57">
        <f>COUNTIFS(总表!C:C,H80,总表!L:L,"",总表!M:M,"",总表!G:G,"",总表!U:U,"")</f>
        <v>3</v>
      </c>
    </row>
    <row r="81" spans="1:9">
      <c r="A81" s="58"/>
      <c r="B81" s="58" t="s">
        <v>4146</v>
      </c>
      <c r="C81" s="58">
        <f>COUNTIFS(总表!B:B,A77,总表!C:C,B81,总表!L:L,"",总表!M:M,"",总表!G:G,"",总表!U:U,"")</f>
        <v>6</v>
      </c>
      <c r="D81" s="58" t="s">
        <v>44</v>
      </c>
      <c r="E81" s="58">
        <f>COUNTIFS(总表!B:B,A77,总表!D:D,D81,总表!L:L,"",总表!M:M,"",总表!G:G,"",总表!U:U,"")</f>
        <v>27</v>
      </c>
      <c r="F81" s="58"/>
      <c r="H81" s="45" t="s">
        <v>366</v>
      </c>
      <c r="I81" s="57">
        <f>COUNTIFS(总表!C:C,H81,总表!L:L,"",总表!M:M,"",总表!G:G,"",总表!U:U,"")</f>
        <v>5</v>
      </c>
    </row>
    <row r="82" spans="1:9">
      <c r="A82" s="58"/>
      <c r="B82" s="58" t="s">
        <v>1204</v>
      </c>
      <c r="C82" s="58">
        <f>COUNTIFS(总表!B:B,A77,总表!C:C,B82,总表!L:L,"",总表!M:M,"",总表!G:G,"",总表!U:U,"")</f>
        <v>10</v>
      </c>
      <c r="D82" s="58" t="s">
        <v>171</v>
      </c>
      <c r="E82" s="58">
        <f>COUNTIFS(总表!B:B,A77,总表!D:D,D82,总表!L:L,"",总表!M:M,"",总表!G:G,"",总表!U:U,"")</f>
        <v>1</v>
      </c>
      <c r="F82" s="58"/>
      <c r="H82" s="45" t="s">
        <v>727</v>
      </c>
      <c r="I82" s="57">
        <f>COUNTIFS(总表!C:C,H82,总表!L:L,"",总表!M:M,"",总表!G:G,"",总表!U:U,"")</f>
        <v>6</v>
      </c>
    </row>
    <row r="83" spans="1:9">
      <c r="A83" s="58"/>
      <c r="B83" s="58" t="s">
        <v>886</v>
      </c>
      <c r="C83" s="58">
        <f>COUNTIFS(总表!B:B,A77,总表!C:C,B83,总表!L:L,"",总表!M:M,"",总表!G:G,"",总表!U:U,"")</f>
        <v>27</v>
      </c>
      <c r="D83" s="58"/>
      <c r="E83" s="58"/>
      <c r="F83" s="58"/>
      <c r="H83" s="45" t="s">
        <v>4935</v>
      </c>
      <c r="I83" s="57">
        <f>COUNTIFS(总表!C:C,H83,总表!L:L,"",总表!M:M,"",总表!G:G,"",总表!U:U,"")</f>
        <v>26</v>
      </c>
    </row>
    <row r="84" spans="1:9">
      <c r="A84" s="58"/>
      <c r="B84" s="58" t="s">
        <v>319</v>
      </c>
      <c r="C84" s="58">
        <f>COUNTIFS(总表!B:B,A77,总表!C:C,B84,总表!L:L,"",总表!M:M,"",总表!G:G,"",总表!U:U,"")</f>
        <v>0</v>
      </c>
      <c r="D84" s="58"/>
      <c r="E84" s="58"/>
      <c r="F84" s="58"/>
      <c r="H84" s="45" t="s">
        <v>95</v>
      </c>
      <c r="I84" s="57">
        <f>COUNTIFS(总表!C:C,H84,总表!L:L,"",总表!M:M,"",总表!G:G,"",总表!U:U,"")</f>
        <v>14</v>
      </c>
    </row>
    <row r="85" spans="1:9">
      <c r="A85" s="52" t="s">
        <v>243</v>
      </c>
      <c r="B85" s="52" t="s">
        <v>498</v>
      </c>
      <c r="C85" s="52">
        <f>COUNTIFS(总表!B:B,A85,总表!C:C,B85,总表!L:L,"",总表!M:M,"",总表!G:G,"",总表!U:U,"")</f>
        <v>0</v>
      </c>
      <c r="D85" s="52" t="s">
        <v>132</v>
      </c>
      <c r="E85" s="52">
        <f>COUNTIFS(总表!B:B,A85,总表!D:D,D85,总表!L:L,"",总表!M:M,"",总表!G:G,"",总表!U:U,"")</f>
        <v>0</v>
      </c>
      <c r="F85" s="52">
        <f>COUNTIFS(总表!B:B,A85,总表!L:L,"",总表!M:M,"",总表!G:G,"",总表!U:U,"")</f>
        <v>21</v>
      </c>
      <c r="H85" s="45" t="s">
        <v>347</v>
      </c>
      <c r="I85" s="57">
        <f>COUNTIFS(总表!C:C,H85,总表!L:L,"",总表!M:M,"",总表!G:G,"",总表!U:U,"")</f>
        <v>33</v>
      </c>
    </row>
    <row r="86" spans="1:9">
      <c r="A86" s="52"/>
      <c r="B86" s="52" t="s">
        <v>304</v>
      </c>
      <c r="C86" s="52">
        <f>COUNTIFS(总表!B:B,A85,总表!C:C,B86,总表!L:L,"",总表!M:M,"",总表!G:G,"",总表!U:U,"")</f>
        <v>9</v>
      </c>
      <c r="D86" s="52" t="s">
        <v>162</v>
      </c>
      <c r="E86" s="52">
        <f>COUNTIFS(总表!B:B,A85,总表!D:D,D86,总表!L:L,"",总表!M:M,"",总表!G:G,"",总表!U:U,"")</f>
        <v>0</v>
      </c>
      <c r="F86" s="52"/>
      <c r="H86" s="45" t="s">
        <v>19039</v>
      </c>
      <c r="I86" s="57">
        <f>COUNTIFS(总表!C:C,H86,总表!L:L,"",总表!M:M,"",总表!G:G,"",总表!U:U,"")</f>
        <v>2</v>
      </c>
    </row>
    <row r="87" spans="1:9">
      <c r="A87" s="52"/>
      <c r="B87" s="52" t="s">
        <v>309</v>
      </c>
      <c r="C87" s="52">
        <f>COUNTIFS(总表!B:B,A85,总表!C:C,B87,总表!L:L,"",总表!M:M,"",总表!G:G,"",总表!U:U,"")</f>
        <v>9</v>
      </c>
      <c r="D87" s="52" t="s">
        <v>49</v>
      </c>
      <c r="E87" s="52">
        <f>COUNTIFS(总表!B:B,A85,总表!D:D,D87,总表!L:L,"",总表!M:M,"",总表!G:G,"",总表!U:U,"")</f>
        <v>21</v>
      </c>
      <c r="F87" s="52"/>
      <c r="H87" s="45" t="s">
        <v>542</v>
      </c>
      <c r="I87" s="57">
        <f>COUNTIFS(总表!C:C,H87,总表!L:L,"",总表!M:M,"",总表!G:G,"",总表!U:U,"")</f>
        <v>5</v>
      </c>
    </row>
    <row r="88" spans="1:9">
      <c r="A88" s="52"/>
      <c r="B88" s="52" t="s">
        <v>244</v>
      </c>
      <c r="C88" s="52">
        <f>COUNTIFS(总表!B:B,A85,总表!C:C,B88,总表!L:L,"",总表!M:M,"",总表!G:G,"",总表!U:U,"")</f>
        <v>3</v>
      </c>
      <c r="D88" s="52"/>
      <c r="E88" s="52"/>
      <c r="F88" s="52"/>
      <c r="H88" s="45" t="s">
        <v>392</v>
      </c>
      <c r="I88" s="57">
        <f>COUNTIFS(总表!C:C,H88,总表!L:L,"",总表!M:M,"",总表!G:G,"",总表!U:U,"")</f>
        <v>5</v>
      </c>
    </row>
    <row r="89" spans="1:9">
      <c r="A89" s="53" t="s">
        <v>359</v>
      </c>
      <c r="B89" s="53" t="s">
        <v>3018</v>
      </c>
      <c r="C89" s="53">
        <f>COUNTIFS(总表!B:B,A89,总表!C:C,B89,总表!L:L,"",总表!M:M,"",总表!G:G,"",总表!U:U,"")</f>
        <v>4</v>
      </c>
      <c r="D89" s="53" t="s">
        <v>361</v>
      </c>
      <c r="E89" s="53">
        <f>COUNTIFS(总表!B:B,A89,总表!D:D,D89,总表!L:L,"",总表!M:M,"",总表!G:G,"",总表!U:U,"")</f>
        <v>5</v>
      </c>
      <c r="F89" s="53">
        <f>COUNTIFS(总表!B:B,A89,总表!L:L,"",总表!M:M,"",总表!G:G,"",总表!U:U,"")</f>
        <v>5</v>
      </c>
      <c r="H89" s="45" t="s">
        <v>1467</v>
      </c>
      <c r="I89" s="57">
        <f>COUNTIFS(总表!C:C,H89,总表!L:L,"",总表!M:M,"",总表!G:G,"",总表!U:U,"")</f>
        <v>4</v>
      </c>
    </row>
    <row r="90" spans="1:9">
      <c r="A90" s="53"/>
      <c r="B90" s="53" t="s">
        <v>5184</v>
      </c>
      <c r="C90" s="53">
        <f>COUNTIFS(总表!B:B,A89,总表!C:C,B90,总表!L:L,"",总表!M:M,"",总表!G:G,"",总表!U:U,"")</f>
        <v>1</v>
      </c>
      <c r="D90" s="53"/>
      <c r="E90" s="53"/>
      <c r="F90" s="53"/>
      <c r="H90" s="45" t="s">
        <v>302</v>
      </c>
      <c r="I90" s="57">
        <f>COUNTIFS(总表!C:C,H90,总表!L:L,"",总表!M:M,"",总表!G:G,"",总表!U:U,"")</f>
        <v>10</v>
      </c>
    </row>
    <row r="91" spans="1:9">
      <c r="A91" s="53"/>
      <c r="B91" s="53" t="s">
        <v>361</v>
      </c>
      <c r="C91" s="53">
        <f>COUNTIFS(总表!B:B,A89,总表!C:C,B91,总表!L:L,"",总表!M:M,"",总表!G:G,"",总表!U:U,"")</f>
        <v>0</v>
      </c>
      <c r="D91" s="53"/>
      <c r="E91" s="53"/>
      <c r="F91" s="53"/>
      <c r="H91" s="45" t="s">
        <v>1195</v>
      </c>
      <c r="I91" s="57">
        <f>COUNTIFS(总表!C:C,H91,总表!L:L,"",总表!M:M,"",总表!G:G,"",总表!U:U,"")</f>
        <v>1</v>
      </c>
    </row>
    <row r="92" spans="1:9">
      <c r="A92" s="53"/>
      <c r="B92" s="53" t="s">
        <v>360</v>
      </c>
      <c r="C92" s="53">
        <f>COUNTIFS(总表!B:B,A89,总表!C:C,B92,总表!L:L,"",总表!M:M,"",总表!G:G,"",总表!U:U,"")</f>
        <v>0</v>
      </c>
      <c r="D92" s="53"/>
      <c r="E92" s="53"/>
      <c r="F92" s="53"/>
      <c r="H92" s="45" t="s">
        <v>53</v>
      </c>
      <c r="I92" s="57">
        <f>COUNTIFS(总表!C:C,H92,总表!L:L,"",总表!M:M,"",总表!G:G,"",总表!U:U,"")</f>
        <v>9</v>
      </c>
    </row>
    <row r="93" spans="1:9">
      <c r="A93" s="55" t="s">
        <v>94</v>
      </c>
      <c r="B93" s="55" t="s">
        <v>101</v>
      </c>
      <c r="C93" s="55">
        <f>COUNTIFS(总表!B:B,A93,总表!C:C,B93,总表!L:L,"",总表!M:M,"",总表!G:G,"",总表!U:U,"")</f>
        <v>9</v>
      </c>
      <c r="D93" s="55" t="s">
        <v>171</v>
      </c>
      <c r="E93" s="55">
        <f>COUNTIFS(总表!B:B,A93,总表!D:D,D93,总表!L:L,"",总表!M:M,"",总表!G:G,"",总表!U:U,"")</f>
        <v>1</v>
      </c>
      <c r="F93" s="55">
        <f>COUNTIFS(总表!B:B,A93,总表!L:L,"",总表!M:M,"",总表!G:G,"",总表!U:U,"")</f>
        <v>73</v>
      </c>
      <c r="H93" s="45" t="s">
        <v>48</v>
      </c>
      <c r="I93" s="57">
        <f>COUNTIFS(总表!C:C,H93,总表!L:L,"",总表!M:M,"",总表!G:G,"",总表!U:U,"")</f>
        <v>1</v>
      </c>
    </row>
    <row r="94" spans="1:9">
      <c r="A94" s="55"/>
      <c r="B94" s="55" t="s">
        <v>3196</v>
      </c>
      <c r="C94" s="55">
        <f>COUNTIFS(总表!B:B,A93,总表!C:C,B94,总表!L:L,"",总表!M:M,"",总表!G:G,"",总表!U:U,"")</f>
        <v>9</v>
      </c>
      <c r="D94" s="55" t="s">
        <v>49</v>
      </c>
      <c r="E94" s="55">
        <f>COUNTIFS(总表!B:B,A93,总表!D:D,D94,总表!L:L,"",总表!M:M,"",总表!G:G,"",总表!U:U,"")</f>
        <v>72</v>
      </c>
      <c r="F94" s="55"/>
      <c r="H94" s="45" t="s">
        <v>377</v>
      </c>
      <c r="I94" s="57">
        <f>COUNTIFS(总表!C:C,H94,总表!L:L,"",总表!M:M,"",总表!G:G,"",总表!U:U,"")</f>
        <v>13</v>
      </c>
    </row>
    <row r="95" spans="1:9">
      <c r="A95" s="55"/>
      <c r="B95" s="55" t="s">
        <v>342</v>
      </c>
      <c r="C95" s="55">
        <f>COUNTIFS(总表!B:B,A93,总表!C:C,B95,总表!L:L,"",总表!M:M,"",总表!G:G,"",总表!U:U,"")</f>
        <v>0</v>
      </c>
      <c r="D95" s="55"/>
      <c r="E95" s="55"/>
      <c r="F95" s="55"/>
      <c r="H95" s="45" t="s">
        <v>16170</v>
      </c>
      <c r="I95" s="57">
        <f>COUNTIFS(总表!C:C,H95,总表!L:L,"",总表!M:M,"",总表!G:G,"",总表!U:U,"")</f>
        <v>1</v>
      </c>
    </row>
    <row r="96" spans="1:9">
      <c r="A96" s="55"/>
      <c r="B96" s="55" t="s">
        <v>3973</v>
      </c>
      <c r="C96" s="55">
        <f>COUNTIFS(总表!B:B,A93,总表!C:C,B96,总表!L:L,"",总表!M:M,"",总表!G:G,"",总表!U:U,"")</f>
        <v>1</v>
      </c>
      <c r="D96" s="55"/>
      <c r="E96" s="55"/>
      <c r="F96" s="55"/>
      <c r="H96" s="45" t="s">
        <v>336</v>
      </c>
      <c r="I96" s="57">
        <f>COUNTIFS(总表!C:C,H96,总表!L:L,"",总表!M:M,"",总表!G:G,"",总表!U:U,"")</f>
        <v>2</v>
      </c>
    </row>
    <row r="97" spans="1:9">
      <c r="A97" s="55"/>
      <c r="B97" s="55" t="s">
        <v>95</v>
      </c>
      <c r="C97" s="55">
        <f>COUNTIFS(总表!B:B,A93,总表!C:C,B97,总表!L:L,"",总表!M:M,"",总表!G:G,"",总表!U:U,"")</f>
        <v>14</v>
      </c>
      <c r="D97" s="55"/>
      <c r="E97" s="55"/>
      <c r="F97" s="55"/>
      <c r="H97" s="45" t="s">
        <v>861</v>
      </c>
      <c r="I97" s="57">
        <f>COUNTIFS(总表!C:C,H97,总表!L:L,"",总表!M:M,"",总表!G:G,"",总表!U:U,"")</f>
        <v>9</v>
      </c>
    </row>
    <row r="98" spans="1:9">
      <c r="A98" s="55"/>
      <c r="B98" s="55" t="s">
        <v>451</v>
      </c>
      <c r="C98" s="55">
        <f>COUNTIFS(总表!B:B,A93,总表!C:C,B98,总表!L:L,"",总表!M:M,"",总表!G:G,"",总表!U:U,"")</f>
        <v>1</v>
      </c>
      <c r="D98" s="55"/>
      <c r="E98" s="55"/>
      <c r="F98" s="55"/>
      <c r="H98" s="45" t="s">
        <v>451</v>
      </c>
      <c r="I98" s="57">
        <f>COUNTIFS(总表!C:C,H98,总表!L:L,"",总表!M:M,"",总表!G:G,"",总表!U:U,"")</f>
        <v>3</v>
      </c>
    </row>
    <row r="99" spans="1:9">
      <c r="A99" s="50" t="s">
        <v>35</v>
      </c>
      <c r="B99" s="50" t="s">
        <v>328</v>
      </c>
      <c r="C99" s="50">
        <f>COUNTIFS(总表!B:B,A99,总表!C:C,B99,总表!L:L,"",总表!M:M,"",总表!G:G,"",总表!U:U,"")</f>
        <v>5</v>
      </c>
      <c r="D99" s="50" t="s">
        <v>149</v>
      </c>
      <c r="E99" s="50">
        <f>COUNTIFS(总表!B:B,A99,总表!D:D,D99,总表!L:L,"",总表!M:M,"",总表!G:G,"",总表!U:U,"")</f>
        <v>0</v>
      </c>
      <c r="F99" s="50">
        <f>COUNTIFS(总表!B:B,A99,总表!L:L,"",总表!M:M,"",总表!G:G,"",总表!U:U,"")</f>
        <v>23</v>
      </c>
      <c r="H99" s="45" t="s">
        <v>32</v>
      </c>
      <c r="I99" s="57">
        <f>COUNTIFS(总表!C:C,H99,总表!L:L,"",总表!M:M,"",总表!G:G,"",总表!U:U,"")</f>
        <v>15</v>
      </c>
    </row>
    <row r="100" spans="1:9">
      <c r="A100" s="50"/>
      <c r="B100" s="50" t="s">
        <v>15572</v>
      </c>
      <c r="C100" s="50">
        <f>COUNTIFS(总表!B:B,A99,总表!C:C,B100,总表!L:L,"",总表!M:M,"",总表!G:G,"",总表!U:U,"")</f>
        <v>0</v>
      </c>
      <c r="D100" s="50" t="s">
        <v>132</v>
      </c>
      <c r="E100" s="50">
        <f>COUNTIFS(总表!B:B,A99,总表!D:D,D100,总表!L:L,"",总表!M:M,"",总表!G:G,"",总表!U:U,"")</f>
        <v>0</v>
      </c>
      <c r="F100" s="50"/>
      <c r="H100" s="45" t="s">
        <v>244</v>
      </c>
      <c r="I100" s="57">
        <f>COUNTIFS(总表!C:C,H100,总表!L:L,"",总表!M:M,"",总表!G:G,"",总表!U:U,"")</f>
        <v>3</v>
      </c>
    </row>
    <row r="101" spans="1:9">
      <c r="A101" s="50"/>
      <c r="B101" s="50" t="s">
        <v>392</v>
      </c>
      <c r="C101" s="50">
        <f>COUNTIFS(总表!B:B,A99,总表!C:C,B101,总表!L:L,"",总表!M:M,"",总表!G:G,"",总表!U:U,"")</f>
        <v>5</v>
      </c>
      <c r="D101" s="50" t="s">
        <v>125</v>
      </c>
      <c r="E101" s="50">
        <f>COUNTIFS(总表!B:B,A99,总表!D:D,D101,总表!L:L,"",总表!M:M,"",总表!G:G,"",总表!U:U,"")</f>
        <v>0</v>
      </c>
      <c r="F101" s="50"/>
      <c r="H101" s="45" t="s">
        <v>10921</v>
      </c>
      <c r="I101" s="57">
        <f>COUNTIFS(总表!C:C,H101,总表!L:L,"",总表!M:M,"",总表!G:G,"",总表!U:U,"")</f>
        <v>1</v>
      </c>
    </row>
    <row r="102" spans="1:9">
      <c r="A102" s="50"/>
      <c r="B102" s="50" t="s">
        <v>1191</v>
      </c>
      <c r="C102" s="50">
        <f>COUNTIFS(总表!B:B,A99,总表!C:C,B102,总表!L:L,"",总表!M:M,"",总表!G:G,"",总表!U:U,"")</f>
        <v>0</v>
      </c>
      <c r="D102" s="50"/>
      <c r="E102" s="50"/>
      <c r="F102" s="50"/>
      <c r="H102" s="45" t="s">
        <v>9318</v>
      </c>
      <c r="I102" s="57">
        <f>COUNTIFS(总表!C:C,H102,总表!L:L,"",总表!M:M,"",总表!G:G,"",总表!U:U,"")</f>
        <v>14</v>
      </c>
    </row>
    <row r="103" spans="1:9">
      <c r="A103" s="50"/>
      <c r="B103" s="50" t="s">
        <v>36</v>
      </c>
      <c r="C103" s="50">
        <f>COUNTIFS(总表!B:B,A99,总表!C:C,B103,总表!L:L,"",总表!M:M,"",总表!G:G,"",总表!U:U,"")</f>
        <v>12</v>
      </c>
      <c r="D103" s="50" t="s">
        <v>75</v>
      </c>
      <c r="E103" s="50">
        <f>COUNTIFS(总表!B:B,A99,总表!D:D,D103,总表!L:L,"",总表!M:M,"",总表!G:G,"",总表!U:U,"")</f>
        <v>0</v>
      </c>
      <c r="F103" s="50"/>
      <c r="H103" s="45" t="s">
        <v>1749</v>
      </c>
      <c r="I103" s="57">
        <f>COUNTIFS(总表!C:C,H103,总表!L:L,"",总表!M:M,"",总表!G:G,"",总表!U:U,"")</f>
        <v>5</v>
      </c>
    </row>
    <row r="104" spans="1:9">
      <c r="A104" s="50"/>
      <c r="B104" s="50"/>
      <c r="C104" s="50"/>
      <c r="D104" s="50" t="s">
        <v>162</v>
      </c>
      <c r="E104" s="50">
        <f>COUNTIFS(总表!B:B,A99,总表!D:D,D104,总表!L:L,"",总表!M:M,"",总表!G:G,"",总表!U:U,"")</f>
        <v>0</v>
      </c>
      <c r="F104" s="50"/>
      <c r="H104" s="45" t="s">
        <v>15901</v>
      </c>
      <c r="I104" s="57">
        <f>COUNTIFS(总表!C:C,H104,总表!L:L,"",总表!M:M,"",总表!G:G,"",总表!U:U,"")</f>
        <v>1</v>
      </c>
    </row>
    <row r="105" spans="1:9">
      <c r="A105" s="50"/>
      <c r="B105" s="50"/>
      <c r="C105" s="50"/>
      <c r="D105" s="50" t="s">
        <v>37</v>
      </c>
      <c r="E105" s="50">
        <f>COUNTIFS(总表!B:B,A99,总表!D:D,D105,总表!L:L,"",总表!M:M,"",总表!G:G,"",总表!U:U,"")</f>
        <v>23</v>
      </c>
      <c r="F105" s="50"/>
      <c r="H105" s="45" t="s">
        <v>466</v>
      </c>
      <c r="I105" s="57">
        <f>COUNTIFS(总表!C:C,H105,总表!L:L,"",总表!M:M,"",总表!G:G,"",总表!U:U,"")</f>
        <v>11</v>
      </c>
    </row>
    <row r="106" spans="1:9">
      <c r="A106" s="51" t="s">
        <v>47</v>
      </c>
      <c r="B106" s="51" t="s">
        <v>2399</v>
      </c>
      <c r="C106" s="51">
        <f>COUNTIFS(总表!B:B,A106,总表!C:C,B106,总表!L:L,"",总表!M:M,"",总表!G:G,"",总表!U:U,"")</f>
        <v>0</v>
      </c>
      <c r="D106" s="51" t="s">
        <v>132</v>
      </c>
      <c r="E106" s="51">
        <f>COUNTIFS(总表!B:B,A106,总表!D:D,D106,总表!L:L,"",总表!M:M,"",总表!G:G,"",总表!U:U,"")</f>
        <v>0</v>
      </c>
      <c r="F106" s="51">
        <f>COUNTIFS(总表!B:B,A106,总表!L:L,"",总表!M:M,"",总表!G:G,"",总表!U:U,"")</f>
        <v>17</v>
      </c>
      <c r="H106" s="45" t="s">
        <v>13171</v>
      </c>
      <c r="I106" s="57">
        <f>COUNTIFS(总表!C:C,H106,总表!L:L,"",总表!M:M,"",总表!G:G,"",总表!U:U,"")</f>
        <v>9</v>
      </c>
    </row>
    <row r="107" spans="1:9">
      <c r="A107" s="51"/>
      <c r="B107" s="51" t="s">
        <v>80</v>
      </c>
      <c r="C107" s="51">
        <f>COUNTIFS(总表!B:B,A106,总表!C:C,B107,总表!L:L,"",总表!M:M,"",总表!G:G,"",总表!U:U,"")</f>
        <v>7</v>
      </c>
      <c r="D107" s="51" t="s">
        <v>49</v>
      </c>
      <c r="E107" s="51">
        <f>COUNTIFS(总表!B:B,A106,总表!D:D,D107,总表!L:L,"",总表!M:M,"",总表!G:G,"",总表!U:U,"")</f>
        <v>17</v>
      </c>
      <c r="F107" s="51"/>
      <c r="H107" s="45" t="s">
        <v>4146</v>
      </c>
      <c r="I107" s="57">
        <f>COUNTIFS(总表!C:C,H107,总表!L:L,"",总表!M:M,"",总表!G:G,"",总表!U:U,"")</f>
        <v>6</v>
      </c>
    </row>
    <row r="108" spans="1:9">
      <c r="A108" s="51"/>
      <c r="B108" s="51" t="s">
        <v>3346</v>
      </c>
      <c r="C108" s="51">
        <f>COUNTIFS(总表!B:B,A106,总表!C:C,B108,总表!L:L,"",总表!M:M,"",总表!G:G,"",总表!U:U,"")</f>
        <v>0</v>
      </c>
      <c r="D108" s="51"/>
      <c r="E108" s="51"/>
      <c r="F108" s="51"/>
      <c r="H108" s="45" t="s">
        <v>806</v>
      </c>
      <c r="I108" s="57">
        <f>COUNTIFS(总表!C:C,H108,总表!L:L,"",总表!M:M,"",总表!G:G,"",总表!U:U,"")</f>
        <v>6</v>
      </c>
    </row>
    <row r="109" spans="1:9">
      <c r="A109" s="51"/>
      <c r="B109" s="51" t="s">
        <v>53</v>
      </c>
      <c r="C109" s="51">
        <f>COUNTIFS(总表!B:B,A106,总表!C:C,B109,总表!L:L,"",总表!M:M,"",总表!G:G,"",总表!U:U,"")</f>
        <v>9</v>
      </c>
      <c r="D109" s="51"/>
      <c r="E109" s="51"/>
      <c r="F109" s="51"/>
      <c r="H109" s="45" t="s">
        <v>1204</v>
      </c>
      <c r="I109" s="57">
        <f>COUNTIFS(总表!C:C,H109,总表!L:L,"",总表!M:M,"",总表!G:G,"",总表!U:U,"")</f>
        <v>10</v>
      </c>
    </row>
    <row r="110" spans="1:9">
      <c r="A110" s="51"/>
      <c r="B110" s="51" t="s">
        <v>48</v>
      </c>
      <c r="C110" s="51">
        <f>COUNTIFS(总表!B:B,A106,总表!C:C,B110,总表!L:L,"",总表!M:M,"",总表!G:G,"",总表!U:U,"")</f>
        <v>1</v>
      </c>
      <c r="D110" s="51"/>
      <c r="E110" s="51"/>
      <c r="F110" s="51"/>
      <c r="H110" s="45" t="s">
        <v>794</v>
      </c>
      <c r="I110" s="57">
        <f>COUNTIFS(总表!C:C,H110,总表!L:L,"",总表!M:M,"",总表!G:G,"",总表!U:U,"")</f>
        <v>22</v>
      </c>
    </row>
    <row r="111" spans="1:9">
      <c r="A111" s="52" t="s">
        <v>123</v>
      </c>
      <c r="B111" s="52" t="s">
        <v>902</v>
      </c>
      <c r="C111" s="52">
        <f>COUNTIFS(总表!B:B,A111,总表!C:C,B111,总表!L:L,"",总表!M:M,"",总表!G:G,"",总表!U:U,"")</f>
        <v>6</v>
      </c>
      <c r="D111" s="52" t="s">
        <v>125</v>
      </c>
      <c r="E111" s="52">
        <f>COUNTIFS(总表!B:B,A111,总表!D:D,D111,总表!L:L,"",总表!M:M,"",总表!G:G,"",总表!U:U,"")</f>
        <v>21</v>
      </c>
      <c r="F111" s="52">
        <f>COUNTIFS(总表!B:B,A111,总表!L:L,"",总表!M:M,"",总表!G:G,"",总表!U:U,"")</f>
        <v>21</v>
      </c>
      <c r="H111" s="45" t="s">
        <v>886</v>
      </c>
      <c r="I111" s="57">
        <f>COUNTIFS(总表!C:C,H111,总表!L:L,"",总表!M:M,"",总表!G:G,"",总表!U:U,"")</f>
        <v>27</v>
      </c>
    </row>
    <row r="112" spans="1:9">
      <c r="A112" s="52"/>
      <c r="B112" s="52" t="s">
        <v>124</v>
      </c>
      <c r="C112" s="52">
        <f>COUNTIFS(总表!B:B,A111,总表!C:C,B112,总表!L:L,"",总表!M:M,"",总表!G:G,"",总表!U:U,"")</f>
        <v>2</v>
      </c>
      <c r="D112" s="52"/>
      <c r="E112" s="52"/>
      <c r="F112" s="52"/>
      <c r="H112" s="45" t="s">
        <v>703</v>
      </c>
      <c r="I112" s="57">
        <f>COUNTIFS(总表!C:C,H112,总表!L:L,"",总表!M:M,"",总表!G:G,"",总表!U:U,"")</f>
        <v>12</v>
      </c>
    </row>
    <row r="113" spans="1:9">
      <c r="A113" s="52"/>
      <c r="B113" s="52" t="s">
        <v>2301</v>
      </c>
      <c r="C113" s="52">
        <f>COUNTIFS(总表!B:B,A111,总表!C:C,B113,总表!L:L,"",总表!M:M,"",总表!G:G,"",总表!U:U,"")</f>
        <v>0</v>
      </c>
      <c r="D113" s="52"/>
      <c r="E113" s="52"/>
      <c r="F113" s="52"/>
      <c r="H113" s="45" t="s">
        <v>1728</v>
      </c>
      <c r="I113" s="57">
        <f>COUNTIFS(总表!C:C,H113,总表!L:L,"",总表!M:M,"",总表!G:G,"",总表!U:U,"")</f>
        <v>5</v>
      </c>
    </row>
    <row r="114" spans="1:9">
      <c r="A114" s="59" t="s">
        <v>31</v>
      </c>
      <c r="B114" s="59" t="s">
        <v>251</v>
      </c>
      <c r="C114" s="59">
        <f>COUNTIFS(总表!B:B,A114,总表!C:C,B114,总表!L:L,"",总表!M:M,"",总表!G:G,"",总表!U:U,"")</f>
        <v>20</v>
      </c>
      <c r="D114" s="59" t="s">
        <v>132</v>
      </c>
      <c r="E114" s="59">
        <f>COUNTIFS(总表!B:B,A114,总表!D:D,D114,总表!L:L,"",总表!M:M,"",总表!G:G,"",总表!U:U,"")</f>
        <v>0</v>
      </c>
      <c r="F114" s="59">
        <f>COUNTIFS(总表!B:B,A114,总表!L:L,"",总表!M:M,"",总表!G:G,"",总表!U:U,"")</f>
        <v>136</v>
      </c>
      <c r="H114" s="45" t="s">
        <v>36</v>
      </c>
      <c r="I114" s="57">
        <f>COUNTIFS(总表!C:C,H114,总表!L:L,"",总表!M:M,"",总表!G:G,"",总表!U:U,"")</f>
        <v>12</v>
      </c>
    </row>
    <row r="115" spans="1:9">
      <c r="A115" s="59"/>
      <c r="B115" s="59" t="s">
        <v>3186</v>
      </c>
      <c r="C115" s="59">
        <f>COUNTIFS(总表!B:B,A114,总表!C:C,B115,总表!L:L,"",总表!M:M,"",总表!G:G,"",总表!U:U,"")</f>
        <v>26</v>
      </c>
      <c r="D115" s="59" t="s">
        <v>33</v>
      </c>
      <c r="E115" s="59">
        <f>COUNTIFS(总表!B:B,A114,总表!D:D,D115,总表!L:L,"",总表!M:M,"",总表!G:G,"",总表!U:U,"")</f>
        <v>58</v>
      </c>
      <c r="F115" s="59"/>
      <c r="H115" s="45" t="s">
        <v>67</v>
      </c>
      <c r="I115" s="57">
        <f>COUNTIFS(总表!C:C,H115,总表!L:L,"",总表!M:M,"",总表!G:G,"",总表!U:U,"")</f>
        <v>9</v>
      </c>
    </row>
    <row r="116" spans="1:9">
      <c r="A116" s="59"/>
      <c r="B116" s="59" t="s">
        <v>287</v>
      </c>
      <c r="C116" s="59">
        <f>COUNTIFS(总表!B:B,A114,总表!C:C,B116,总表!L:L,"",总表!M:M,"",总表!G:G,"",总表!U:U,"")</f>
        <v>6</v>
      </c>
      <c r="D116" s="59" t="s">
        <v>427</v>
      </c>
      <c r="E116" s="59">
        <f>COUNTIFS(总表!B:B,A114,总表!D:D,D116,总表!L:L,"",总表!M:M,"",总表!G:G,"",总表!U:U,"")</f>
        <v>0</v>
      </c>
      <c r="F116" s="59"/>
      <c r="H116" s="45" t="s">
        <v>199</v>
      </c>
      <c r="I116" s="57">
        <f>COUNTIFS(总表!C:C,H116,总表!L:L,"",总表!M:M,"",总表!G:G,"",总表!U:U,"")</f>
        <v>12</v>
      </c>
    </row>
    <row r="117" spans="1:9">
      <c r="A117" s="59"/>
      <c r="B117" s="59" t="s">
        <v>220</v>
      </c>
      <c r="C117" s="59">
        <f>COUNTIFS(总表!B:B,A114,总表!C:C,B117,总表!L:L,"",总表!M:M,"",总表!G:G,"",总表!U:U,"")</f>
        <v>21</v>
      </c>
      <c r="D117" s="59" t="s">
        <v>221</v>
      </c>
      <c r="E117" s="59">
        <f>COUNTIFS(总表!B:B,A114,总表!D:D,D117,总表!L:L,"",总表!M:M,"",总表!G:G,"",总表!U:U,"")</f>
        <v>66</v>
      </c>
      <c r="F117" s="59"/>
      <c r="H117" s="45" t="s">
        <v>161</v>
      </c>
      <c r="I117" s="57">
        <f>COUNTIFS(总表!C:C,H117,总表!L:L,"",总表!M:M,"",总表!G:G,"",总表!U:U,"")</f>
        <v>23</v>
      </c>
    </row>
    <row r="118" spans="1:9">
      <c r="A118" s="59"/>
      <c r="B118" s="59" t="s">
        <v>2716</v>
      </c>
      <c r="C118" s="59">
        <f>COUNTIFS(总表!B:B,A114,总表!C:C,B118,总表!L:L,"",总表!M:M,"",总表!G:G,"",总表!U:U,"")</f>
        <v>16</v>
      </c>
      <c r="D118" s="59" t="s">
        <v>162</v>
      </c>
      <c r="E118" s="59">
        <f>COUNTIFS(总表!B:B,A114,总表!D:D,D118,总表!L:L,"",总表!M:M,"",总表!G:G,"",总表!U:U,"")</f>
        <v>0</v>
      </c>
      <c r="F118" s="59"/>
      <c r="H118" s="45" t="s">
        <v>138</v>
      </c>
      <c r="I118" s="57">
        <f>COUNTIFS(总表!C:C,H118,总表!L:L,"",总表!M:M,"",总表!G:G,"",总表!U:U,"")</f>
        <v>4</v>
      </c>
    </row>
    <row r="119" spans="1:9">
      <c r="A119" s="59"/>
      <c r="B119" s="59" t="s">
        <v>419</v>
      </c>
      <c r="C119" s="59">
        <f>COUNTIFS(总表!B:B,A114,总表!C:C,B119,总表!L:L,"",总表!M:M,"",总表!G:G,"",总表!U:U,"")</f>
        <v>15</v>
      </c>
      <c r="D119" s="59"/>
      <c r="E119" s="59"/>
      <c r="F119" s="59"/>
      <c r="H119" s="45" t="s">
        <v>951</v>
      </c>
      <c r="I119" s="57">
        <f>COUNTIFS(总表!C:C,H119,总表!L:L,"",总表!M:M,"",总表!G:G,"",总表!U:U,"")</f>
        <v>15</v>
      </c>
    </row>
    <row r="120" spans="1:9">
      <c r="A120" s="59"/>
      <c r="B120" s="59" t="s">
        <v>115</v>
      </c>
      <c r="C120" s="59">
        <f>COUNTIFS(总表!B:B,A114,总表!C:C,B120,总表!L:L,"",总表!M:M,"",总表!G:G,"",总表!U:U,"")</f>
        <v>3</v>
      </c>
      <c r="D120" s="59"/>
      <c r="E120" s="59"/>
      <c r="F120" s="59"/>
      <c r="H120" s="45" t="s">
        <v>206</v>
      </c>
      <c r="I120" s="57">
        <f>COUNTIFS(总表!C:C,H120,总表!L:L,"",总表!M:M,"",总表!G:G,"",总表!U:U,"")</f>
        <v>2</v>
      </c>
    </row>
    <row r="121" spans="1:6">
      <c r="A121" s="59"/>
      <c r="B121" s="59" t="s">
        <v>216</v>
      </c>
      <c r="C121" s="59">
        <f>COUNTIFS(总表!B:B,A114,总表!C:C,B121,总表!L:L,"",总表!M:M,"",总表!G:G,"",总表!U:U,"")</f>
        <v>1</v>
      </c>
      <c r="D121" s="59"/>
      <c r="E121" s="59"/>
      <c r="F121" s="59"/>
    </row>
    <row r="122" spans="1:6">
      <c r="A122" s="59"/>
      <c r="B122" s="59" t="s">
        <v>377</v>
      </c>
      <c r="C122" s="59">
        <f>COUNTIFS(总表!B:B,A114,总表!C:C,B122,总表!L:L,"",总表!M:M,"",总表!G:G,"",总表!U:U,"")</f>
        <v>13</v>
      </c>
      <c r="D122" s="59"/>
      <c r="E122" s="59"/>
      <c r="F122" s="59"/>
    </row>
    <row r="123" spans="1:6">
      <c r="A123" s="59"/>
      <c r="B123" s="59" t="s">
        <v>32</v>
      </c>
      <c r="C123" s="59">
        <f>COUNTIFS(总表!B:B,A114,总表!C:C,B123,总表!L:L,"",总表!M:M,"",总表!G:G,"",总表!U:U,"")</f>
        <v>6</v>
      </c>
      <c r="D123" s="59"/>
      <c r="E123" s="59"/>
      <c r="F123" s="59"/>
    </row>
    <row r="124" spans="1:6">
      <c r="A124" s="50" t="s">
        <v>58</v>
      </c>
      <c r="B124" s="50" t="s">
        <v>514</v>
      </c>
      <c r="C124" s="50">
        <f>COUNTIFS(总表!B:B,A124,总表!C:C,B124,总表!L:L,"",总表!M:M,"",总表!G:G,"",总表!U:U,"")</f>
        <v>0</v>
      </c>
      <c r="D124" s="50" t="s">
        <v>407</v>
      </c>
      <c r="E124" s="50">
        <f>COUNTIFS(总表!B:B,A124,总表!D:D,D124,总表!L:L,"",总表!M:M,"",总表!G:G,"",总表!U:U,"")</f>
        <v>0</v>
      </c>
      <c r="F124" s="50">
        <f>COUNTIFS(总表!B:B,A124,总表!L:L,"",总表!M:M,"",总表!G:G,"",总表!U:U,"")</f>
        <v>137</v>
      </c>
    </row>
    <row r="125" spans="1:6">
      <c r="A125" s="50"/>
      <c r="B125" s="50" t="s">
        <v>59</v>
      </c>
      <c r="C125" s="50">
        <f>COUNTIFS(总表!B:B,A124,总表!C:C,B125,总表!L:L,"",总表!M:M,"",总表!G:G,"",总表!U:U,"")</f>
        <v>28</v>
      </c>
      <c r="D125" s="50" t="s">
        <v>132</v>
      </c>
      <c r="E125" s="50">
        <f>COUNTIFS(总表!B:B,A124,总表!D:D,D125,总表!L:L,"",总表!M:M,"",总表!G:G,"",总表!U:U,"")</f>
        <v>0</v>
      </c>
      <c r="F125" s="50"/>
    </row>
    <row r="126" spans="1:6">
      <c r="A126" s="50"/>
      <c r="B126" s="50" t="s">
        <v>15608</v>
      </c>
      <c r="C126" s="50">
        <f>COUNTIFS(总表!B:B,A124,总表!C:C,B126,总表!L:L,"",总表!M:M,"",总表!G:G,"",总表!U:U,"")</f>
        <v>0</v>
      </c>
      <c r="D126" s="50" t="s">
        <v>271</v>
      </c>
      <c r="E126" s="50">
        <f>COUNTIFS(总表!B:B,A124,总表!D:D,D126,总表!L:L,"",总表!M:M,"",总表!G:G,"",总表!U:U,"")</f>
        <v>35</v>
      </c>
      <c r="F126" s="50"/>
    </row>
    <row r="127" spans="1:6">
      <c r="A127" s="50"/>
      <c r="B127" s="50" t="s">
        <v>271</v>
      </c>
      <c r="C127" s="50">
        <f>COUNTIFS(总表!B:B,A124,总表!C:C,B127,总表!L:L,"",总表!M:M,"",总表!G:G,"",总表!U:U,"")</f>
        <v>0</v>
      </c>
      <c r="D127" s="50" t="s">
        <v>343</v>
      </c>
      <c r="E127" s="50">
        <f>COUNTIFS(总表!B:B,A124,总表!D:D,D127,总表!L:L,"",总表!M:M,"",总表!G:G,"",总表!U:U,"")</f>
        <v>58</v>
      </c>
      <c r="F127" s="50"/>
    </row>
    <row r="128" spans="1:6">
      <c r="A128" s="50"/>
      <c r="B128" s="50" t="s">
        <v>342</v>
      </c>
      <c r="C128" s="50">
        <f>COUNTIFS(总表!B:B,A124,总表!C:C,B128,总表!L:L,"",总表!M:M,"",总表!G:G,"",总表!U:U,"")</f>
        <v>29</v>
      </c>
      <c r="D128" s="50"/>
      <c r="E128" s="50"/>
      <c r="F128" s="50"/>
    </row>
    <row r="129" spans="1:6">
      <c r="A129" s="50"/>
      <c r="B129" s="50" t="s">
        <v>109</v>
      </c>
      <c r="C129" s="50">
        <f>COUNTIFS(总表!B:B,A124,总表!C:C,B129,总表!L:L,"",总表!M:M,"",总表!G:G,"",总表!U:U,"")</f>
        <v>19</v>
      </c>
      <c r="D129" s="50" t="s">
        <v>75</v>
      </c>
      <c r="E129" s="50">
        <f>COUNTIFS(总表!B:B,A124,总表!D:D,D129,总表!L:L,"",总表!M:M,"",总表!G:G,"",总表!U:U,"")</f>
        <v>1</v>
      </c>
      <c r="F129" s="50"/>
    </row>
    <row r="130" spans="1:6">
      <c r="A130" s="50"/>
      <c r="B130" s="50" t="s">
        <v>347</v>
      </c>
      <c r="C130" s="50">
        <f>COUNTIFS(总表!B:B,A124,总表!C:C,B130,总表!L:L,"",总表!M:M,"",总表!G:G,"",总表!U:U,"")</f>
        <v>33</v>
      </c>
      <c r="D130" s="50" t="s">
        <v>162</v>
      </c>
      <c r="E130" s="50">
        <f>COUNTIFS(总表!B:B,A124,总表!D:D,D130,总表!L:L,"",总表!M:M,"",总表!G:G,"",总表!U:U,"")</f>
        <v>0</v>
      </c>
      <c r="F130" s="50"/>
    </row>
    <row r="131" spans="1:6">
      <c r="A131" s="50"/>
      <c r="B131" s="50" t="s">
        <v>451</v>
      </c>
      <c r="C131" s="50">
        <f>COUNTIFS(总表!B:B,A124,总表!C:C,B131,总表!L:L,"",总表!M:M,"",总表!G:G,"",总表!U:U,"")</f>
        <v>2</v>
      </c>
      <c r="D131" s="50" t="s">
        <v>110</v>
      </c>
      <c r="E131" s="50">
        <f>COUNTIFS(总表!B:B,A124,总表!D:D,D131,总表!L:L,"",总表!M:M,"",总表!G:G,"",总表!U:U,"")</f>
        <v>43</v>
      </c>
      <c r="F131" s="50"/>
    </row>
    <row r="132" spans="1:6">
      <c r="A132" s="50"/>
      <c r="B132" s="50" t="s">
        <v>794</v>
      </c>
      <c r="C132" s="50">
        <f>COUNTIFS(总表!B:B,A124,总表!C:C,B132,总表!L:L,"",总表!M:M,"",总表!G:G,"",总表!U:U,"")</f>
        <v>22</v>
      </c>
      <c r="D132" s="50"/>
      <c r="E132" s="50"/>
      <c r="F132" s="50"/>
    </row>
    <row r="133" spans="1:6">
      <c r="A133" s="54" t="s">
        <v>805</v>
      </c>
      <c r="B133" s="54" t="s">
        <v>498</v>
      </c>
      <c r="C133" s="54">
        <f>COUNTIFS(总表!B:B,A133,总表!C:C,B133,总表!L:L,"",总表!M:M,"",总表!G:G,"",总表!U:U,"")</f>
        <v>2</v>
      </c>
      <c r="D133" s="54" t="s">
        <v>635</v>
      </c>
      <c r="E133" s="54">
        <f>COUNTIFS(总表!B:B,A133,总表!D:D,D133,总表!L:L,"",总表!M:M,"",总表!G:G,"",总表!U:U,"")</f>
        <v>17</v>
      </c>
      <c r="F133" s="54">
        <f>COUNTIFS(总表!B:B,A133,总表!L:L,"",总表!M:M,"",总表!G:G,"",总表!U:U,"")</f>
        <v>36</v>
      </c>
    </row>
    <row r="134" spans="1:6">
      <c r="A134" s="54"/>
      <c r="B134" s="54" t="s">
        <v>191</v>
      </c>
      <c r="C134" s="54">
        <f>COUNTIFS(总表!B:B,A133,总表!C:C,B134,总表!L:L,"",总表!M:M,"",总表!G:G,"",总表!U:U,"")</f>
        <v>0</v>
      </c>
      <c r="D134" s="54" t="s">
        <v>171</v>
      </c>
      <c r="E134" s="54">
        <f>COUNTIFS(总表!B:B,A133,总表!D:D,D134,总表!L:L,"",总表!M:M,"",总表!G:G,"",总表!U:U,"")</f>
        <v>19</v>
      </c>
      <c r="F134" s="54"/>
    </row>
    <row r="135" spans="1:6">
      <c r="A135" s="54"/>
      <c r="B135" s="54" t="s">
        <v>1458</v>
      </c>
      <c r="C135" s="54">
        <f>COUNTIFS(总表!B:B,A133,总表!C:C,B135,总表!L:L,"",总表!M:M,"",总表!G:G,"",总表!U:U,"")</f>
        <v>1</v>
      </c>
      <c r="D135" s="54"/>
      <c r="E135" s="54"/>
      <c r="F135" s="54"/>
    </row>
    <row r="136" spans="1:6">
      <c r="A136" s="54"/>
      <c r="B136" s="54" t="s">
        <v>1034</v>
      </c>
      <c r="C136" s="54">
        <f>COUNTIFS(总表!B:B,A133,总表!C:C,B136,总表!L:L,"",总表!M:M,"",总表!G:G,"",总表!U:U,"")</f>
        <v>0</v>
      </c>
      <c r="D136" s="54"/>
      <c r="E136" s="54"/>
      <c r="F136" s="54"/>
    </row>
    <row r="137" spans="1:6">
      <c r="A137" s="54"/>
      <c r="B137" s="54" t="s">
        <v>4935</v>
      </c>
      <c r="C137" s="54">
        <f>COUNTIFS(总表!B:B,A133,总表!C:C,B137,总表!L:L,"",总表!M:M,"",总表!G:G,"",总表!U:U,"")</f>
        <v>26</v>
      </c>
      <c r="D137" s="54"/>
      <c r="E137" s="54"/>
      <c r="F137" s="54"/>
    </row>
    <row r="138" spans="1:6">
      <c r="A138" s="54"/>
      <c r="B138" s="54" t="s">
        <v>806</v>
      </c>
      <c r="C138" s="54">
        <f>COUNTIFS(总表!B:B,A133,总表!C:C,B138,总表!L:L,"",总表!M:M,"",总表!G:G,"",总表!U:U,"")</f>
        <v>6</v>
      </c>
      <c r="D138" s="54"/>
      <c r="E138" s="54"/>
      <c r="F138" s="54"/>
    </row>
    <row r="139" spans="1:6">
      <c r="A139" s="55" t="s">
        <v>315</v>
      </c>
      <c r="B139" s="55" t="s">
        <v>181</v>
      </c>
      <c r="C139" s="55">
        <f>COUNTIFS(总表!B:B,"*真北*",总表!C:C,B139,总表!L:L,"",总表!M:M,"",总表!G:G,"",总表!U:U,"")</f>
        <v>8</v>
      </c>
      <c r="D139" s="55" t="s">
        <v>182</v>
      </c>
      <c r="E139" s="55">
        <f>COUNTIFS(总表!B:B,"*真北*",总表!D:D,D139,总表!L:L,"",总表!M:M,"",总表!G:G,"",总表!U:U,"")</f>
        <v>15</v>
      </c>
      <c r="F139" s="60">
        <f>COUNTIFS(总表!B:B,"*真北*",总表!L:L,"",总表!M:M,"",总表!G:G,"",总表!U:U,"")</f>
        <v>63</v>
      </c>
    </row>
    <row r="140" spans="1:6">
      <c r="A140" s="55"/>
      <c r="B140" s="55" t="s">
        <v>1431</v>
      </c>
      <c r="C140" s="55">
        <f>COUNTIFS(总表!B:B,"*真北*",总表!C:C,B140,总表!L:L,"",总表!M:M,"",总表!G:G,"",总表!U:U,"")</f>
        <v>0</v>
      </c>
      <c r="D140" s="55" t="s">
        <v>1431</v>
      </c>
      <c r="E140" s="55">
        <f>COUNTIFS(总表!B:B,"*真北*",总表!D:D,D140,总表!L:L,"",总表!M:M,"",总表!G:G,"",总表!U:U,"")</f>
        <v>0</v>
      </c>
      <c r="F140" s="61"/>
    </row>
    <row r="141" spans="1:6">
      <c r="A141" s="55"/>
      <c r="B141" s="55" t="s">
        <v>258</v>
      </c>
      <c r="C141" s="55">
        <f>COUNTIFS(总表!B:B,"*真北*",总表!C:C,B141,总表!L:L,"",总表!M:M,"",总表!G:G,"",总表!U:U,"")</f>
        <v>0</v>
      </c>
      <c r="D141" s="55" t="s">
        <v>155</v>
      </c>
      <c r="E141" s="55">
        <f>COUNTIFS(总表!B:B,"*真北*",总表!D:D,D141,总表!L:L,"",总表!M:M,"",总表!G:G,"",总表!U:U,"")</f>
        <v>0</v>
      </c>
      <c r="F141" s="61"/>
    </row>
    <row r="142" spans="1:6">
      <c r="A142" s="55"/>
      <c r="B142" s="55" t="s">
        <v>131</v>
      </c>
      <c r="C142" s="55">
        <f>COUNTIFS(总表!B:B,"*真北*",总表!C:C,B142,总表!L:L,"",总表!M:M,"",总表!G:G,"",总表!U:U,"")</f>
        <v>0</v>
      </c>
      <c r="D142" s="55" t="s">
        <v>132</v>
      </c>
      <c r="E142" s="55">
        <f>COUNTIFS(总表!B:B,"*真北*",总表!D:D,D142,总表!L:L,"",总表!M:M,"",总表!G:G,"",总表!U:U,"")</f>
        <v>13</v>
      </c>
      <c r="F142" s="61"/>
    </row>
    <row r="143" spans="1:6">
      <c r="A143" s="55"/>
      <c r="B143" s="55" t="s">
        <v>722</v>
      </c>
      <c r="C143" s="55">
        <f>COUNTIFS(总表!B:B,"*真北*",总表!C:C,B143,总表!L:L,"",总表!M:M,"",总表!G:G,"",总表!U:U,"")</f>
        <v>7</v>
      </c>
      <c r="D143" s="55" t="s">
        <v>33</v>
      </c>
      <c r="E143" s="55">
        <f>COUNTIFS(总表!B:B,"*真北*",总表!D:D,D143,总表!L:L,"",总表!M:M,"",总表!G:G,"",总表!U:U,"")</f>
        <v>0</v>
      </c>
      <c r="F143" s="61"/>
    </row>
    <row r="144" spans="1:6">
      <c r="A144" s="55"/>
      <c r="B144" s="55" t="s">
        <v>275</v>
      </c>
      <c r="C144" s="55">
        <f>COUNTIFS(总表!B:B,"*真北*",总表!C:C,B144,总表!L:L,"",总表!M:M,"",总表!G:G,"",总表!U:U,"")</f>
        <v>9</v>
      </c>
      <c r="D144" s="55" t="s">
        <v>427</v>
      </c>
      <c r="E144" s="55">
        <f>COUNTIFS(总表!B:B,"*真北*",总表!D:D,D144,总表!L:L,"",总表!M:M,"",总表!G:G,"",总表!U:U,"")</f>
        <v>0</v>
      </c>
      <c r="F144" s="61"/>
    </row>
    <row r="145" spans="1:6">
      <c r="A145" s="55"/>
      <c r="B145" s="55" t="s">
        <v>230</v>
      </c>
      <c r="C145" s="55">
        <f>COUNTIFS(总表!B:B,"*真北*",总表!C:C,B145,总表!L:L,"",总表!M:M,"",总表!G:G,"",总表!U:U,"")</f>
        <v>3</v>
      </c>
      <c r="D145" s="55" t="s">
        <v>162</v>
      </c>
      <c r="E145" s="55">
        <f>COUNTIFS(总表!B:B,"*真北*",总表!D:D,D145,总表!L:L,"",总表!M:M,"",总表!G:G,"",总表!U:U,"")</f>
        <v>35</v>
      </c>
      <c r="F145" s="61"/>
    </row>
    <row r="146" spans="1:6">
      <c r="A146" s="55"/>
      <c r="B146" s="55" t="s">
        <v>366</v>
      </c>
      <c r="C146" s="55">
        <f>COUNTIFS(总表!B:B,"*真北*",总表!C:C,B146,总表!L:L,"",总表!M:M,"",总表!G:G,"",总表!U:U,"")</f>
        <v>5</v>
      </c>
      <c r="D146" s="55" t="s">
        <v>171</v>
      </c>
      <c r="E146" s="55">
        <f>COUNTIFS(总表!B:B,"*真北*",总表!D:D,D146,总表!L:L,"",总表!M:M,"",总表!G:G,"",总表!U:U,"")</f>
        <v>0</v>
      </c>
      <c r="F146" s="61"/>
    </row>
    <row r="147" spans="1:6">
      <c r="A147" s="55"/>
      <c r="B147" s="55" t="s">
        <v>395</v>
      </c>
      <c r="C147" s="55">
        <f>COUNTIFS(总表!B:B,"*真北*",总表!C:C,B147,总表!L:L,"",总表!M:M,"",总表!G:G,"",总表!U:U,"")</f>
        <v>0</v>
      </c>
      <c r="D147" s="55" t="s">
        <v>89</v>
      </c>
      <c r="E147" s="55">
        <f>COUNTIFS(总表!B:B,"*真北*",总表!D:D,D147,总表!L:L,"",总表!M:M,"",总表!G:G,"",总表!U:U,"")</f>
        <v>0</v>
      </c>
      <c r="F147" s="61"/>
    </row>
    <row r="148" spans="1:6">
      <c r="A148" s="55"/>
      <c r="B148" s="55" t="s">
        <v>161</v>
      </c>
      <c r="C148" s="55">
        <f>COUNTIFS(总表!B:B,"*真北*",总表!C:C,B148,总表!L:L,"",总表!M:M,"",总表!G:G,"",总表!U:U,"")</f>
        <v>23</v>
      </c>
      <c r="D148" s="55" t="s">
        <v>49</v>
      </c>
      <c r="E148" s="55">
        <f>COUNTIFS(总表!B:B,"*真北*",总表!D:D,D148,总表!L:L,"",总表!M:M,"",总表!G:G,"",总表!U:U,"")</f>
        <v>0</v>
      </c>
      <c r="F148" s="62"/>
    </row>
    <row r="149" spans="6:6">
      <c r="F149" s="42">
        <f>SUM(F3:F145)</f>
        <v>1149</v>
      </c>
    </row>
  </sheetData>
  <mergeCells count="45">
    <mergeCell ref="A1:F1"/>
    <mergeCell ref="A3:A15"/>
    <mergeCell ref="A16:A22"/>
    <mergeCell ref="A24:A28"/>
    <mergeCell ref="A29:A31"/>
    <mergeCell ref="A32:A40"/>
    <mergeCell ref="A41:A44"/>
    <mergeCell ref="A45:A60"/>
    <mergeCell ref="A61:A64"/>
    <mergeCell ref="A65:A72"/>
    <mergeCell ref="A73:A76"/>
    <mergeCell ref="A77:A84"/>
    <mergeCell ref="A85:A88"/>
    <mergeCell ref="A89:A92"/>
    <mergeCell ref="A93:A98"/>
    <mergeCell ref="A99:A105"/>
    <mergeCell ref="A106:A110"/>
    <mergeCell ref="A111:A113"/>
    <mergeCell ref="A114:A123"/>
    <mergeCell ref="A124:A132"/>
    <mergeCell ref="A133:A138"/>
    <mergeCell ref="A139:A148"/>
    <mergeCell ref="D24:D28"/>
    <mergeCell ref="E24:E28"/>
    <mergeCell ref="F3:F15"/>
    <mergeCell ref="F16:F22"/>
    <mergeCell ref="F24:F28"/>
    <mergeCell ref="F29:F31"/>
    <mergeCell ref="F32:F40"/>
    <mergeCell ref="F41:F44"/>
    <mergeCell ref="F45:F60"/>
    <mergeCell ref="F61:F64"/>
    <mergeCell ref="F65:F72"/>
    <mergeCell ref="F73:F76"/>
    <mergeCell ref="F77:F84"/>
    <mergeCell ref="F85:F88"/>
    <mergeCell ref="F89:F92"/>
    <mergeCell ref="F93:F98"/>
    <mergeCell ref="F99:F105"/>
    <mergeCell ref="F106:F110"/>
    <mergeCell ref="F111:F113"/>
    <mergeCell ref="F114:F123"/>
    <mergeCell ref="F124:F132"/>
    <mergeCell ref="F133:F138"/>
    <mergeCell ref="F139:F148"/>
  </mergeCell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0"/>
  <sheetViews>
    <sheetView topLeftCell="A31" workbookViewId="0">
      <selection activeCell="B54" sqref="B54"/>
    </sheetView>
  </sheetViews>
  <sheetFormatPr defaultColWidth="9" defaultRowHeight="13.5" outlineLevelCol="5"/>
  <cols>
    <col min="2" max="2" width="14.375" customWidth="1"/>
  </cols>
  <sheetData>
    <row r="1" spans="1:3">
      <c r="A1" t="s">
        <v>30</v>
      </c>
      <c r="B1" t="s">
        <v>21300</v>
      </c>
      <c r="C1" s="37"/>
    </row>
    <row r="2" spans="1:6">
      <c r="A2" s="37" t="s">
        <v>182</v>
      </c>
      <c r="B2" s="37" t="s">
        <v>315</v>
      </c>
      <c r="C2" s="37"/>
      <c r="E2" s="37"/>
      <c r="F2" s="37"/>
    </row>
    <row r="3" spans="1:6">
      <c r="A3" s="37" t="s">
        <v>1431</v>
      </c>
      <c r="B3" s="37" t="s">
        <v>315</v>
      </c>
      <c r="C3" s="37"/>
      <c r="E3" s="37"/>
      <c r="F3" s="37"/>
    </row>
    <row r="4" spans="1:6">
      <c r="A4" s="37" t="s">
        <v>132</v>
      </c>
      <c r="B4" s="37" t="s">
        <v>315</v>
      </c>
      <c r="C4" s="37"/>
      <c r="E4" s="37"/>
      <c r="F4" s="37"/>
    </row>
    <row r="5" spans="1:6">
      <c r="A5" s="37" t="s">
        <v>162</v>
      </c>
      <c r="B5" s="37" t="s">
        <v>315</v>
      </c>
      <c r="C5" s="37"/>
      <c r="E5" s="37"/>
      <c r="F5" s="37"/>
    </row>
    <row r="6" spans="1:6">
      <c r="A6" s="37" t="s">
        <v>33</v>
      </c>
      <c r="B6" s="37" t="s">
        <v>31</v>
      </c>
      <c r="C6" s="37"/>
      <c r="E6" s="37"/>
      <c r="F6" s="37"/>
    </row>
    <row r="7" spans="1:6">
      <c r="A7" s="37" t="s">
        <v>221</v>
      </c>
      <c r="B7" s="37" t="s">
        <v>31</v>
      </c>
      <c r="C7" s="37"/>
      <c r="E7" s="37"/>
      <c r="F7" s="37"/>
    </row>
    <row r="8" spans="1:6">
      <c r="A8" s="37" t="s">
        <v>337</v>
      </c>
      <c r="B8" s="37" t="s">
        <v>335</v>
      </c>
      <c r="C8" s="37"/>
      <c r="E8" s="37"/>
      <c r="F8" s="37"/>
    </row>
    <row r="9" spans="1:6">
      <c r="A9" s="37" t="s">
        <v>407</v>
      </c>
      <c r="B9" s="37" t="s">
        <v>405</v>
      </c>
      <c r="C9" s="37"/>
      <c r="E9" s="37"/>
      <c r="F9" s="37"/>
    </row>
    <row r="10" spans="1:6">
      <c r="A10" s="37" t="s">
        <v>171</v>
      </c>
      <c r="B10" s="37" t="s">
        <v>21301</v>
      </c>
      <c r="C10" s="37"/>
      <c r="E10" s="37"/>
      <c r="F10" s="37"/>
    </row>
    <row r="11" spans="1:6">
      <c r="A11" s="37" t="s">
        <v>635</v>
      </c>
      <c r="B11" s="37" t="s">
        <v>21301</v>
      </c>
      <c r="C11" s="37"/>
      <c r="E11" s="37"/>
      <c r="F11" s="37"/>
    </row>
    <row r="12" spans="1:6">
      <c r="A12" s="37" t="s">
        <v>427</v>
      </c>
      <c r="B12" s="37" t="s">
        <v>73</v>
      </c>
      <c r="C12" s="37"/>
      <c r="E12" s="37"/>
      <c r="F12" s="37"/>
    </row>
    <row r="13" spans="1:6">
      <c r="A13" s="37" t="s">
        <v>139</v>
      </c>
      <c r="B13" s="37" t="s">
        <v>21302</v>
      </c>
      <c r="C13" s="37"/>
      <c r="E13" s="37"/>
      <c r="F13" s="37"/>
    </row>
    <row r="14" spans="1:6">
      <c r="A14" s="37" t="s">
        <v>60</v>
      </c>
      <c r="B14" s="37" t="s">
        <v>21302</v>
      </c>
      <c r="C14" s="37"/>
      <c r="E14" s="37"/>
      <c r="F14" s="37"/>
    </row>
    <row r="15" spans="1:6">
      <c r="A15" s="37" t="s">
        <v>191</v>
      </c>
      <c r="B15" s="37" t="s">
        <v>21302</v>
      </c>
      <c r="C15" s="37"/>
      <c r="E15" s="37"/>
      <c r="F15" s="37"/>
    </row>
    <row r="16" spans="1:6">
      <c r="A16" s="37" t="s">
        <v>110</v>
      </c>
      <c r="B16" s="37" t="s">
        <v>58</v>
      </c>
      <c r="C16" s="37"/>
      <c r="E16" s="37"/>
      <c r="F16" s="37"/>
    </row>
    <row r="17" spans="1:6">
      <c r="A17" s="37" t="s">
        <v>271</v>
      </c>
      <c r="B17" s="37" t="s">
        <v>58</v>
      </c>
      <c r="C17" s="37"/>
      <c r="E17" s="37"/>
      <c r="F17" s="37"/>
    </row>
    <row r="18" spans="1:6">
      <c r="A18" s="37" t="s">
        <v>343</v>
      </c>
      <c r="B18" s="37" t="s">
        <v>58</v>
      </c>
      <c r="C18" s="37"/>
      <c r="E18" s="37"/>
      <c r="F18" s="37"/>
    </row>
    <row r="19" spans="1:6">
      <c r="A19" s="37" t="s">
        <v>89</v>
      </c>
      <c r="B19" s="37" t="s">
        <v>87</v>
      </c>
      <c r="C19" s="37"/>
      <c r="E19" s="37"/>
      <c r="F19" s="37"/>
    </row>
    <row r="20" spans="1:6">
      <c r="A20" s="37" t="s">
        <v>155</v>
      </c>
      <c r="B20" s="37" t="s">
        <v>153</v>
      </c>
      <c r="C20" s="37"/>
      <c r="E20" s="37"/>
      <c r="F20" s="37"/>
    </row>
    <row r="21" spans="1:6">
      <c r="A21" s="37" t="s">
        <v>75</v>
      </c>
      <c r="B21" s="37" t="s">
        <v>21303</v>
      </c>
      <c r="C21" s="37"/>
      <c r="E21" s="37"/>
      <c r="F21" s="37"/>
    </row>
    <row r="22" spans="1:6">
      <c r="A22" s="37" t="s">
        <v>68</v>
      </c>
      <c r="B22" s="37" t="s">
        <v>66</v>
      </c>
      <c r="C22" s="37"/>
      <c r="E22" s="37"/>
      <c r="F22" s="37"/>
    </row>
    <row r="23" spans="1:6">
      <c r="A23" s="37" t="s">
        <v>1436</v>
      </c>
      <c r="B23" s="37" t="s">
        <v>66</v>
      </c>
      <c r="C23" s="37"/>
      <c r="E23" s="37"/>
      <c r="F23" s="37"/>
    </row>
    <row r="24" spans="1:6">
      <c r="A24" s="37" t="s">
        <v>44</v>
      </c>
      <c r="B24" s="37" t="s">
        <v>21304</v>
      </c>
      <c r="C24" s="37"/>
      <c r="E24" s="37"/>
      <c r="F24" s="37"/>
    </row>
    <row r="25" spans="1:6">
      <c r="A25" s="37" t="s">
        <v>187</v>
      </c>
      <c r="B25" s="37" t="s">
        <v>73</v>
      </c>
      <c r="C25" s="37"/>
      <c r="E25" s="37"/>
      <c r="F25" s="37"/>
    </row>
    <row r="26" spans="1:6">
      <c r="A26" s="37" t="s">
        <v>37</v>
      </c>
      <c r="B26" s="37" t="s">
        <v>35</v>
      </c>
      <c r="C26" s="37"/>
      <c r="E26" s="37"/>
      <c r="F26" s="37"/>
    </row>
    <row r="27" spans="1:6">
      <c r="A27" s="37" t="s">
        <v>125</v>
      </c>
      <c r="B27" s="37" t="s">
        <v>21305</v>
      </c>
      <c r="C27" s="37"/>
      <c r="E27" s="37"/>
      <c r="F27" s="37"/>
    </row>
    <row r="28" spans="1:6">
      <c r="A28" s="37" t="s">
        <v>143</v>
      </c>
      <c r="B28" s="37" t="s">
        <v>21306</v>
      </c>
      <c r="C28" s="37"/>
      <c r="E28" s="37"/>
      <c r="F28" s="37"/>
    </row>
    <row r="29" spans="1:6">
      <c r="A29" s="37" t="s">
        <v>356</v>
      </c>
      <c r="B29" s="37" t="s">
        <v>18420</v>
      </c>
      <c r="C29" s="37"/>
      <c r="E29" s="37"/>
      <c r="F29" s="37"/>
    </row>
    <row r="30" spans="1:6">
      <c r="A30" s="37" t="s">
        <v>149</v>
      </c>
      <c r="B30" s="37" t="s">
        <v>18420</v>
      </c>
      <c r="C30" s="37"/>
      <c r="E30" s="37"/>
      <c r="F30" s="37"/>
    </row>
    <row r="31" spans="1:6">
      <c r="A31" s="37" t="s">
        <v>1170</v>
      </c>
      <c r="B31" s="37" t="s">
        <v>18420</v>
      </c>
      <c r="C31" s="37"/>
      <c r="E31" s="37"/>
      <c r="F31" s="37"/>
    </row>
    <row r="32" spans="1:6">
      <c r="A32" s="37" t="s">
        <v>518</v>
      </c>
      <c r="B32" s="37" t="s">
        <v>281</v>
      </c>
      <c r="C32" s="37"/>
      <c r="E32" s="37"/>
      <c r="F32" s="37"/>
    </row>
    <row r="33" spans="1:6">
      <c r="A33" s="37" t="s">
        <v>49</v>
      </c>
      <c r="B33" s="37" t="s">
        <v>21307</v>
      </c>
      <c r="C33" s="37"/>
      <c r="E33" s="37"/>
      <c r="F33" s="37"/>
    </row>
    <row r="34" spans="1:6">
      <c r="A34" s="37" t="s">
        <v>361</v>
      </c>
      <c r="B34" s="37" t="s">
        <v>21308</v>
      </c>
      <c r="C34" s="37"/>
      <c r="E34" s="37"/>
      <c r="F34" s="37"/>
    </row>
    <row r="35" spans="1:6">
      <c r="A35" s="37" t="s">
        <v>5337</v>
      </c>
      <c r="B35" s="37" t="s">
        <v>5336</v>
      </c>
      <c r="C35" s="37"/>
      <c r="E35" s="37"/>
      <c r="F35" s="37"/>
    </row>
    <row r="36" spans="1:6">
      <c r="A36" s="37" t="s">
        <v>717</v>
      </c>
      <c r="B36" s="37"/>
      <c r="C36" s="37"/>
      <c r="E36" s="37"/>
      <c r="F36" s="37"/>
    </row>
    <row r="37" spans="1:6">
      <c r="A37" s="37" t="s">
        <v>3965</v>
      </c>
      <c r="B37" s="37" t="s">
        <v>21307</v>
      </c>
      <c r="C37" s="37"/>
      <c r="E37" s="37"/>
      <c r="F37" s="37"/>
    </row>
    <row r="38" spans="1:6">
      <c r="A38" s="37" t="s">
        <v>115</v>
      </c>
      <c r="B38" s="37" t="s">
        <v>21307</v>
      </c>
      <c r="C38" s="37"/>
      <c r="E38" s="37"/>
      <c r="F38" s="37"/>
    </row>
    <row r="39" spans="1:6">
      <c r="A39" t="s">
        <v>5695</v>
      </c>
      <c r="B39" s="37" t="s">
        <v>21309</v>
      </c>
      <c r="C39" s="37"/>
      <c r="E39" s="37"/>
      <c r="F39" s="37"/>
    </row>
    <row r="40" spans="1:6">
      <c r="A40" s="37" t="s">
        <v>21268</v>
      </c>
      <c r="B40" s="37" t="s">
        <v>243</v>
      </c>
      <c r="C40" s="37"/>
      <c r="E40" s="37"/>
      <c r="F40" s="37"/>
    </row>
    <row r="41" spans="1:6">
      <c r="A41" s="37" t="s">
        <v>443</v>
      </c>
      <c r="B41" s="37" t="s">
        <v>21302</v>
      </c>
      <c r="C41" s="37"/>
      <c r="E41" s="37"/>
      <c r="F41" s="37"/>
    </row>
    <row r="42" spans="1:2">
      <c r="A42" t="s">
        <v>5336</v>
      </c>
      <c r="B42" t="s">
        <v>5336</v>
      </c>
    </row>
    <row r="43" spans="1:2">
      <c r="A43" s="37" t="s">
        <v>6313</v>
      </c>
      <c r="B43" s="37" t="s">
        <v>6313</v>
      </c>
    </row>
    <row r="44" spans="1:2">
      <c r="A44" t="s">
        <v>954</v>
      </c>
      <c r="B44" t="s">
        <v>31</v>
      </c>
    </row>
    <row r="45" spans="1:2">
      <c r="A45" s="37" t="s">
        <v>9944</v>
      </c>
      <c r="B45" t="s">
        <v>5336</v>
      </c>
    </row>
    <row r="46" spans="1:2">
      <c r="A46" t="s">
        <v>2381</v>
      </c>
      <c r="B46" t="s">
        <v>21302</v>
      </c>
    </row>
    <row r="47" spans="1:2">
      <c r="A47" t="s">
        <v>8334</v>
      </c>
      <c r="B47" t="s">
        <v>5336</v>
      </c>
    </row>
    <row r="48" spans="1:2">
      <c r="A48" s="37" t="s">
        <v>10001</v>
      </c>
      <c r="B48" t="s">
        <v>5336</v>
      </c>
    </row>
    <row r="49" spans="1:2">
      <c r="A49" s="37" t="s">
        <v>9944</v>
      </c>
      <c r="B49" t="s">
        <v>5336</v>
      </c>
    </row>
    <row r="50" spans="1:2">
      <c r="A50" s="37" t="s">
        <v>237</v>
      </c>
      <c r="B50" t="s">
        <v>18420</v>
      </c>
    </row>
    <row r="51" spans="1:2">
      <c r="A51" t="s">
        <v>2302</v>
      </c>
      <c r="B51" t="s">
        <v>66</v>
      </c>
    </row>
    <row r="52" spans="1:2">
      <c r="A52" s="37" t="s">
        <v>10268</v>
      </c>
      <c r="B52" t="s">
        <v>5336</v>
      </c>
    </row>
    <row r="53" spans="1:2">
      <c r="A53" t="s">
        <v>1422</v>
      </c>
      <c r="B53" t="s">
        <v>243</v>
      </c>
    </row>
    <row r="54" ht="16.5" spans="1:2">
      <c r="A54" s="36" t="s">
        <v>7871</v>
      </c>
      <c r="B54" t="s">
        <v>21310</v>
      </c>
    </row>
    <row r="55" spans="1:2">
      <c r="A55" t="s">
        <v>207</v>
      </c>
      <c r="B55" t="s">
        <v>18420</v>
      </c>
    </row>
    <row r="56" ht="16.5" spans="1:2">
      <c r="A56" s="38" t="s">
        <v>9287</v>
      </c>
      <c r="B56" t="s">
        <v>31</v>
      </c>
    </row>
    <row r="57" ht="16.5" spans="1:2">
      <c r="A57" s="39" t="s">
        <v>19871</v>
      </c>
      <c r="B57" t="s">
        <v>21311</v>
      </c>
    </row>
    <row r="58" ht="15" spans="1:2">
      <c r="A58" s="40" t="s">
        <v>21245</v>
      </c>
      <c r="B58" t="s">
        <v>66</v>
      </c>
    </row>
    <row r="59" spans="1:2">
      <c r="A59" t="s">
        <v>9287</v>
      </c>
      <c r="B59" t="s">
        <v>31</v>
      </c>
    </row>
    <row r="60" ht="15" spans="1:2">
      <c r="A60" s="41" t="s">
        <v>21248</v>
      </c>
      <c r="B60" t="s">
        <v>21302</v>
      </c>
    </row>
  </sheetData>
  <pageMargins left="0.75" right="0.75" top="1" bottom="1" header="0.5" footer="0.5"/>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9"/>
  <sheetViews>
    <sheetView workbookViewId="0">
      <selection activeCell="J10" sqref="J10"/>
    </sheetView>
  </sheetViews>
  <sheetFormatPr defaultColWidth="9" defaultRowHeight="16.5" outlineLevelCol="7"/>
  <cols>
    <col min="1" max="1" width="13.75" style="34" customWidth="1"/>
    <col min="2" max="2" width="9" style="34"/>
    <col min="3" max="3" width="13.75" style="34" customWidth="1"/>
    <col min="4" max="16384" width="9" style="34"/>
  </cols>
  <sheetData>
    <row r="1" spans="1:8">
      <c r="A1" s="35" t="s">
        <v>21286</v>
      </c>
      <c r="B1" s="35" t="s">
        <v>1</v>
      </c>
      <c r="C1" s="35" t="s">
        <v>30</v>
      </c>
      <c r="F1" s="34" t="s">
        <v>21286</v>
      </c>
      <c r="G1" s="34" t="s">
        <v>1</v>
      </c>
      <c r="H1" s="34" t="s">
        <v>30</v>
      </c>
    </row>
    <row r="2" spans="1:7">
      <c r="A2" s="34" t="s">
        <v>315</v>
      </c>
      <c r="B2" s="34" t="s">
        <v>230</v>
      </c>
      <c r="C2" s="34" t="s">
        <v>182</v>
      </c>
      <c r="F2" s="34" t="s">
        <v>805</v>
      </c>
      <c r="G2" s="34" t="s">
        <v>806</v>
      </c>
    </row>
    <row r="3" spans="2:7">
      <c r="B3" s="34" t="s">
        <v>161</v>
      </c>
      <c r="C3" s="34" t="s">
        <v>1431</v>
      </c>
      <c r="G3" s="34" t="s">
        <v>4935</v>
      </c>
    </row>
    <row r="4" spans="2:7">
      <c r="B4" s="34" t="s">
        <v>275</v>
      </c>
      <c r="C4" s="34" t="s">
        <v>132</v>
      </c>
      <c r="F4" s="34" t="s">
        <v>2625</v>
      </c>
      <c r="G4" s="34" t="s">
        <v>9481</v>
      </c>
    </row>
    <row r="5" spans="2:8">
      <c r="B5" s="34" t="s">
        <v>181</v>
      </c>
      <c r="C5" s="34" t="s">
        <v>162</v>
      </c>
      <c r="F5" s="34" t="s">
        <v>243</v>
      </c>
      <c r="G5" s="34" t="s">
        <v>304</v>
      </c>
      <c r="H5" s="34" t="s">
        <v>1422</v>
      </c>
    </row>
    <row r="6" spans="2:7">
      <c r="B6" s="34" t="s">
        <v>722</v>
      </c>
      <c r="C6" s="34" t="s">
        <v>237</v>
      </c>
      <c r="G6" s="34" t="s">
        <v>309</v>
      </c>
    </row>
    <row r="7" spans="2:7">
      <c r="B7" s="34" t="s">
        <v>366</v>
      </c>
      <c r="C7" s="34" t="s">
        <v>207</v>
      </c>
      <c r="G7" s="34" t="s">
        <v>244</v>
      </c>
    </row>
    <row r="8" spans="6:8">
      <c r="F8" s="34" t="s">
        <v>94</v>
      </c>
      <c r="G8" s="34" t="s">
        <v>3973</v>
      </c>
      <c r="H8" s="34" t="s">
        <v>21312</v>
      </c>
    </row>
    <row r="9" spans="1:7">
      <c r="A9" s="34" t="s">
        <v>31</v>
      </c>
      <c r="B9" s="34" t="s">
        <v>220</v>
      </c>
      <c r="C9" s="34" t="s">
        <v>33</v>
      </c>
      <c r="G9" s="34" t="s">
        <v>101</v>
      </c>
    </row>
    <row r="10" spans="2:7">
      <c r="B10" s="34" t="s">
        <v>251</v>
      </c>
      <c r="C10" s="34" t="s">
        <v>221</v>
      </c>
      <c r="G10" s="34" t="s">
        <v>95</v>
      </c>
    </row>
    <row r="11" spans="2:7">
      <c r="B11" s="34" t="s">
        <v>419</v>
      </c>
      <c r="C11" s="34" t="s">
        <v>21313</v>
      </c>
      <c r="G11" s="34" t="s">
        <v>3196</v>
      </c>
    </row>
    <row r="12" spans="2:8">
      <c r="B12" s="34" t="s">
        <v>377</v>
      </c>
      <c r="F12" s="34" t="s">
        <v>47</v>
      </c>
      <c r="G12" s="34" t="s">
        <v>53</v>
      </c>
      <c r="H12" s="34" t="s">
        <v>3965</v>
      </c>
    </row>
    <row r="13" spans="2:7">
      <c r="B13" s="34" t="s">
        <v>2716</v>
      </c>
      <c r="G13" s="34" t="s">
        <v>2399</v>
      </c>
    </row>
    <row r="14" spans="2:7">
      <c r="B14" s="34" t="s">
        <v>3186</v>
      </c>
      <c r="G14" s="34" t="s">
        <v>80</v>
      </c>
    </row>
    <row r="15" spans="6:8">
      <c r="F15" s="34" t="s">
        <v>359</v>
      </c>
      <c r="G15" s="36" t="s">
        <v>5184</v>
      </c>
      <c r="H15" s="34" t="s">
        <v>21314</v>
      </c>
    </row>
    <row r="16" spans="1:7">
      <c r="A16" s="34" t="s">
        <v>35</v>
      </c>
      <c r="B16" s="34" t="s">
        <v>36</v>
      </c>
      <c r="C16" s="34" t="s">
        <v>37</v>
      </c>
      <c r="G16" s="36" t="s">
        <v>3018</v>
      </c>
    </row>
    <row r="17" spans="2:7">
      <c r="B17" s="34" t="s">
        <v>328</v>
      </c>
      <c r="G17" s="36" t="s">
        <v>21314</v>
      </c>
    </row>
    <row r="18" spans="2:7">
      <c r="B18" s="34" t="s">
        <v>392</v>
      </c>
      <c r="G18" s="36" t="s">
        <v>21315</v>
      </c>
    </row>
    <row r="19" spans="1:7">
      <c r="A19" s="34" t="s">
        <v>123</v>
      </c>
      <c r="B19" s="34" t="s">
        <v>902</v>
      </c>
      <c r="C19" s="34" t="s">
        <v>125</v>
      </c>
      <c r="F19" s="34" t="s">
        <v>281</v>
      </c>
      <c r="G19" s="34" t="s">
        <v>491</v>
      </c>
    </row>
    <row r="20" spans="2:7">
      <c r="B20" s="34" t="s">
        <v>2301</v>
      </c>
      <c r="G20" s="34" t="s">
        <v>517</v>
      </c>
    </row>
    <row r="21" spans="2:7">
      <c r="B21" s="34" t="s">
        <v>32</v>
      </c>
      <c r="G21" s="34" t="s">
        <v>587</v>
      </c>
    </row>
    <row r="22" spans="1:3">
      <c r="A22" s="34" t="s">
        <v>153</v>
      </c>
      <c r="B22" s="34" t="s">
        <v>154</v>
      </c>
      <c r="C22" s="34" t="s">
        <v>155</v>
      </c>
    </row>
    <row r="23" spans="2:2">
      <c r="B23" s="34" t="s">
        <v>302</v>
      </c>
    </row>
    <row r="24" spans="1:3">
      <c r="A24" s="34" t="s">
        <v>335</v>
      </c>
      <c r="B24" s="34" t="s">
        <v>399</v>
      </c>
      <c r="C24" s="34" t="s">
        <v>337</v>
      </c>
    </row>
    <row r="25" spans="2:2">
      <c r="B25" s="34" t="s">
        <v>615</v>
      </c>
    </row>
    <row r="26" spans="1:3">
      <c r="A26" s="34" t="s">
        <v>236</v>
      </c>
      <c r="B26" s="34" t="s">
        <v>703</v>
      </c>
      <c r="C26" s="34" t="s">
        <v>149</v>
      </c>
    </row>
    <row r="27" spans="2:3">
      <c r="B27" s="34" t="s">
        <v>195</v>
      </c>
      <c r="C27" s="34" t="s">
        <v>1170</v>
      </c>
    </row>
    <row r="28" spans="1:2">
      <c r="A28" s="34" t="s">
        <v>42</v>
      </c>
      <c r="B28" s="34" t="s">
        <v>43</v>
      </c>
    </row>
    <row r="29" spans="1:2">
      <c r="A29" s="34" t="s">
        <v>5435</v>
      </c>
      <c r="B29" s="34" t="s">
        <v>1728</v>
      </c>
    </row>
    <row r="30" spans="1:2">
      <c r="A30" s="34" t="s">
        <v>147</v>
      </c>
      <c r="B30" s="34" t="s">
        <v>148</v>
      </c>
    </row>
    <row r="31" spans="1:2">
      <c r="A31" s="34" t="s">
        <v>726</v>
      </c>
      <c r="B31" s="34" t="s">
        <v>727</v>
      </c>
    </row>
    <row r="32" spans="1:2">
      <c r="A32" s="34" t="s">
        <v>354</v>
      </c>
      <c r="B32" s="34" t="s">
        <v>355</v>
      </c>
    </row>
    <row r="33" spans="1:2">
      <c r="A33" s="34" t="s">
        <v>205</v>
      </c>
      <c r="B33" s="34" t="s">
        <v>1467</v>
      </c>
    </row>
    <row r="34" spans="1:2">
      <c r="A34" s="34" t="s">
        <v>4009</v>
      </c>
      <c r="B34" s="34" t="s">
        <v>6401</v>
      </c>
    </row>
    <row r="35" spans="1:3">
      <c r="A35" s="34" t="s">
        <v>73</v>
      </c>
      <c r="B35" s="34" t="s">
        <v>74</v>
      </c>
      <c r="C35" s="34" t="s">
        <v>717</v>
      </c>
    </row>
    <row r="36" spans="2:3">
      <c r="B36" s="34" t="s">
        <v>178</v>
      </c>
      <c r="C36" s="34" t="s">
        <v>143</v>
      </c>
    </row>
    <row r="37" spans="3:3">
      <c r="C37" s="34" t="s">
        <v>75</v>
      </c>
    </row>
    <row r="38" spans="1:3">
      <c r="A38" s="34" t="s">
        <v>405</v>
      </c>
      <c r="B38" s="34" t="s">
        <v>1234</v>
      </c>
      <c r="C38" s="34" t="s">
        <v>407</v>
      </c>
    </row>
    <row r="39" spans="2:2">
      <c r="B39" s="34" t="s">
        <v>8323</v>
      </c>
    </row>
    <row r="40" spans="2:2">
      <c r="B40" s="34" t="s">
        <v>21316</v>
      </c>
    </row>
    <row r="42" spans="1:3">
      <c r="A42" s="34" t="s">
        <v>58</v>
      </c>
      <c r="B42" s="34" t="s">
        <v>109</v>
      </c>
      <c r="C42" s="34" t="s">
        <v>271</v>
      </c>
    </row>
    <row r="43" spans="2:3">
      <c r="B43" s="34" t="s">
        <v>342</v>
      </c>
      <c r="C43" s="34" t="s">
        <v>110</v>
      </c>
    </row>
    <row r="44" spans="2:3">
      <c r="B44" s="34" t="s">
        <v>347</v>
      </c>
      <c r="C44" s="34" t="s">
        <v>343</v>
      </c>
    </row>
    <row r="45" spans="2:2">
      <c r="B45" s="34" t="s">
        <v>794</v>
      </c>
    </row>
    <row r="46" spans="2:2">
      <c r="B46" s="34" t="s">
        <v>59</v>
      </c>
    </row>
    <row r="47" spans="1:3">
      <c r="A47" s="34" t="s">
        <v>169</v>
      </c>
      <c r="B47" s="34" t="s">
        <v>634</v>
      </c>
      <c r="C47" s="34" t="s">
        <v>171</v>
      </c>
    </row>
    <row r="48" spans="2:3">
      <c r="B48" s="34" t="s">
        <v>542</v>
      </c>
      <c r="C48" s="34" t="s">
        <v>635</v>
      </c>
    </row>
    <row r="49" spans="1:3">
      <c r="A49" s="34" t="s">
        <v>185</v>
      </c>
      <c r="B49" s="34" t="s">
        <v>1204</v>
      </c>
      <c r="C49" s="34" t="s">
        <v>44</v>
      </c>
    </row>
    <row r="50" spans="2:3">
      <c r="B50" s="34" t="s">
        <v>886</v>
      </c>
      <c r="C50" s="34" t="s">
        <v>187</v>
      </c>
    </row>
    <row r="51" spans="2:2">
      <c r="B51" s="34" t="s">
        <v>4146</v>
      </c>
    </row>
    <row r="52" spans="2:2">
      <c r="B52" s="34" t="s">
        <v>186</v>
      </c>
    </row>
    <row r="53" spans="2:2">
      <c r="B53" s="34" t="s">
        <v>1620</v>
      </c>
    </row>
    <row r="54" spans="2:2">
      <c r="B54" s="34" t="s">
        <v>1133</v>
      </c>
    </row>
    <row r="55" spans="1:3">
      <c r="A55" s="34" t="s">
        <v>137</v>
      </c>
      <c r="B55" s="34" t="s">
        <v>411</v>
      </c>
      <c r="C55" s="34" t="s">
        <v>427</v>
      </c>
    </row>
    <row r="56" spans="2:3">
      <c r="B56" s="34" t="s">
        <v>861</v>
      </c>
      <c r="C56" s="34" t="s">
        <v>139</v>
      </c>
    </row>
    <row r="57" spans="2:3">
      <c r="B57" s="34" t="s">
        <v>138</v>
      </c>
      <c r="C57" s="36" t="s">
        <v>60</v>
      </c>
    </row>
    <row r="58" spans="2:3">
      <c r="B58" s="34" t="s">
        <v>480</v>
      </c>
      <c r="C58" s="34" t="s">
        <v>191</v>
      </c>
    </row>
    <row r="59" spans="2:2">
      <c r="B59" s="34" t="s">
        <v>426</v>
      </c>
    </row>
    <row r="60" spans="2:2">
      <c r="B60" s="34" t="s">
        <v>406</v>
      </c>
    </row>
    <row r="61" spans="2:2">
      <c r="B61" s="34" t="s">
        <v>2705</v>
      </c>
    </row>
    <row r="62" spans="1:3">
      <c r="A62" s="34" t="s">
        <v>66</v>
      </c>
      <c r="B62" s="34" t="s">
        <v>119</v>
      </c>
      <c r="C62" s="34" t="s">
        <v>68</v>
      </c>
    </row>
    <row r="63" spans="2:3">
      <c r="B63" s="34" t="s">
        <v>1749</v>
      </c>
      <c r="C63" s="34" t="s">
        <v>21317</v>
      </c>
    </row>
    <row r="64" spans="2:2">
      <c r="B64" s="34" t="s">
        <v>951</v>
      </c>
    </row>
    <row r="65" spans="2:2">
      <c r="B65" s="34" t="s">
        <v>505</v>
      </c>
    </row>
    <row r="66" spans="2:2">
      <c r="B66" s="34" t="s">
        <v>3954</v>
      </c>
    </row>
    <row r="67" spans="2:2">
      <c r="B67" s="34" t="s">
        <v>67</v>
      </c>
    </row>
    <row r="68" spans="1:3">
      <c r="A68" s="34" t="s">
        <v>21318</v>
      </c>
      <c r="B68" s="34" t="s">
        <v>199</v>
      </c>
      <c r="C68" s="34" t="s">
        <v>89</v>
      </c>
    </row>
    <row r="69" spans="2:2">
      <c r="B69" s="34" t="s">
        <v>466</v>
      </c>
    </row>
  </sheetData>
  <pageMargins left="0.751388888888889" right="0.751388888888889" top="0.60625" bottom="0.590277777777778" header="0.5" footer="0.5"/>
  <pageSetup paperSize="9" scale="96" orientation="portrait" horizontalDpi="6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
  <sheetViews>
    <sheetView workbookViewId="0">
      <selection activeCell="B28" sqref="B28"/>
    </sheetView>
  </sheetViews>
  <sheetFormatPr defaultColWidth="9" defaultRowHeight="13.5"/>
  <cols>
    <col min="2" max="2" width="20.75" customWidth="1"/>
    <col min="3" max="3" width="11.625"/>
    <col min="4" max="4" width="11.375" customWidth="1"/>
    <col min="5" max="5" width="12.375" customWidth="1"/>
    <col min="6" max="6" width="12.75" customWidth="1"/>
    <col min="7" max="7" width="10.375" customWidth="1"/>
    <col min="9" max="9" width="12.25" customWidth="1"/>
  </cols>
  <sheetData>
    <row r="1" spans="1:9">
      <c r="A1" s="1" t="s">
        <v>30</v>
      </c>
      <c r="B1" s="2" t="s">
        <v>21274</v>
      </c>
      <c r="C1" s="2" t="s">
        <v>21278</v>
      </c>
      <c r="D1" s="3" t="s">
        <v>21279</v>
      </c>
      <c r="E1" s="3" t="s">
        <v>21280</v>
      </c>
      <c r="F1" s="3" t="s">
        <v>21281</v>
      </c>
      <c r="G1" s="3" t="s">
        <v>21282</v>
      </c>
      <c r="H1" s="3" t="s">
        <v>21283</v>
      </c>
      <c r="I1" s="28" t="s">
        <v>21284</v>
      </c>
    </row>
    <row r="2" ht="21" customHeight="1" spans="1:9">
      <c r="A2" s="4"/>
      <c r="B2" s="5"/>
      <c r="C2" s="5"/>
      <c r="D2" s="6"/>
      <c r="E2" s="6"/>
      <c r="F2" s="6"/>
      <c r="G2" s="6"/>
      <c r="H2" s="6"/>
      <c r="I2" s="29"/>
    </row>
    <row r="3" ht="16.5" spans="1:9">
      <c r="A3" s="7" t="s">
        <v>182</v>
      </c>
      <c r="B3" s="8" t="str">
        <f>VLOOKUP(A3,设计师对应店铺!A:B,COLUMN(设计师对应店铺!B:B)-COLUMN(设计师对应店铺!A:B)+1,0)</f>
        <v>真北店</v>
      </c>
      <c r="C3" s="9">
        <v>427548</v>
      </c>
      <c r="D3" s="9">
        <v>19</v>
      </c>
      <c r="E3" s="9">
        <v>427811</v>
      </c>
      <c r="F3" s="10">
        <v>22516.3684210526</v>
      </c>
      <c r="G3" s="11">
        <v>1.0006151356105</v>
      </c>
      <c r="H3" s="9">
        <v>0</v>
      </c>
      <c r="I3" s="30">
        <v>-263</v>
      </c>
    </row>
    <row r="4" ht="16.5" spans="1:9">
      <c r="A4" s="12" t="s">
        <v>237</v>
      </c>
      <c r="B4" s="13" t="str">
        <f>VLOOKUP(A4,设计师对应店铺!A:B,COLUMN(设计师对应店铺!B:B)-COLUMN(设计师对应店铺!A:B)+1,0)</f>
        <v>百安居</v>
      </c>
      <c r="C4" s="14">
        <v>237077.5</v>
      </c>
      <c r="D4" s="14">
        <v>23</v>
      </c>
      <c r="E4" s="14">
        <v>237077.5</v>
      </c>
      <c r="F4" s="15">
        <v>10307.7173913043</v>
      </c>
      <c r="G4" s="16">
        <v>1</v>
      </c>
      <c r="H4" s="14">
        <v>0</v>
      </c>
      <c r="I4" s="31">
        <v>0</v>
      </c>
    </row>
    <row r="5" ht="16.5" spans="1:9">
      <c r="A5" s="12" t="s">
        <v>443</v>
      </c>
      <c r="B5" s="13" t="str">
        <f>VLOOKUP(A5,设计师对应店铺!A:B,COLUMN(设计师对应店铺!B:B)-COLUMN(设计师对应店铺!A:B)+1,0)</f>
        <v>家饰佳</v>
      </c>
      <c r="C5" s="14">
        <v>549205</v>
      </c>
      <c r="D5" s="14">
        <v>39</v>
      </c>
      <c r="E5" s="14">
        <v>549205</v>
      </c>
      <c r="F5" s="15">
        <v>14082.1794871795</v>
      </c>
      <c r="G5" s="16">
        <v>1</v>
      </c>
      <c r="H5" s="14">
        <v>0</v>
      </c>
      <c r="I5" s="31">
        <v>0</v>
      </c>
    </row>
    <row r="6" ht="16.5" spans="1:9">
      <c r="A6" s="12" t="s">
        <v>1431</v>
      </c>
      <c r="B6" s="13" t="str">
        <f>VLOOKUP(A6,设计师对应店铺!A:B,COLUMN(设计师对应店铺!B:B)-COLUMN(设计师对应店铺!A:B)+1,0)</f>
        <v>真北店</v>
      </c>
      <c r="C6" s="14">
        <v>173365</v>
      </c>
      <c r="D6" s="14">
        <v>20</v>
      </c>
      <c r="E6" s="14">
        <v>173365</v>
      </c>
      <c r="F6" s="15">
        <v>8668.25</v>
      </c>
      <c r="G6" s="16">
        <v>1</v>
      </c>
      <c r="H6" s="14">
        <v>0</v>
      </c>
      <c r="I6" s="31">
        <v>0</v>
      </c>
    </row>
    <row r="7" ht="16.5" spans="1:9">
      <c r="A7" s="12" t="s">
        <v>954</v>
      </c>
      <c r="B7" s="13" t="str">
        <f>VLOOKUP(A7,设计师对应店铺!A:B,COLUMN(设计师对应店铺!B:B)-COLUMN(设计师对应店铺!A:B)+1,0)</f>
        <v>汶水店</v>
      </c>
      <c r="C7" s="14">
        <v>484264</v>
      </c>
      <c r="D7" s="14">
        <v>41</v>
      </c>
      <c r="E7" s="14">
        <v>484264</v>
      </c>
      <c r="F7" s="15">
        <v>11811.3170731707</v>
      </c>
      <c r="G7" s="16">
        <v>1</v>
      </c>
      <c r="H7" s="14">
        <v>0</v>
      </c>
      <c r="I7" s="31">
        <v>0</v>
      </c>
    </row>
    <row r="8" ht="16.5" spans="1:9">
      <c r="A8" s="12" t="s">
        <v>155</v>
      </c>
      <c r="B8" s="13" t="str">
        <f>VLOOKUP(A8,设计师对应店铺!A:B,COLUMN(设计师对应店铺!B:B)-COLUMN(设计师对应店铺!A:B)+1,0)</f>
        <v>好饰家</v>
      </c>
      <c r="C8" s="14">
        <v>461486</v>
      </c>
      <c r="D8" s="14">
        <v>36</v>
      </c>
      <c r="E8" s="14">
        <v>461486</v>
      </c>
      <c r="F8" s="15">
        <v>12819.0555555556</v>
      </c>
      <c r="G8" s="16">
        <v>1</v>
      </c>
      <c r="H8" s="14">
        <v>0</v>
      </c>
      <c r="I8" s="31">
        <v>0</v>
      </c>
    </row>
    <row r="9" ht="17.25" spans="1:9">
      <c r="A9" s="17" t="s">
        <v>1436</v>
      </c>
      <c r="B9" s="18" t="str">
        <f>VLOOKUP(A9,设计师对应店铺!A:B,COLUMN(设计师对应店铺!B:B)-COLUMN(设计师对应店铺!A:B)+1,0)</f>
        <v>沪南店</v>
      </c>
      <c r="C9" s="19">
        <v>173010</v>
      </c>
      <c r="D9" s="19">
        <v>14</v>
      </c>
      <c r="E9" s="19">
        <v>173010</v>
      </c>
      <c r="F9" s="20">
        <v>12357.8571428571</v>
      </c>
      <c r="G9" s="21">
        <v>1</v>
      </c>
      <c r="H9" s="19">
        <v>0</v>
      </c>
      <c r="I9" s="32">
        <v>0</v>
      </c>
    </row>
    <row r="10" ht="16.5" spans="1:9">
      <c r="A10" s="7" t="s">
        <v>221</v>
      </c>
      <c r="B10" s="8" t="str">
        <f>VLOOKUP(A10,设计师对应店铺!A:B,COLUMN(设计师对应店铺!B:B)-COLUMN(设计师对应店铺!A:B)+1,0)</f>
        <v>汶水店</v>
      </c>
      <c r="C10" s="9">
        <v>499740</v>
      </c>
      <c r="D10" s="9">
        <v>27</v>
      </c>
      <c r="E10" s="9">
        <v>497586</v>
      </c>
      <c r="F10" s="10">
        <v>18429.1111111111</v>
      </c>
      <c r="G10" s="11">
        <v>0.995689758674511</v>
      </c>
      <c r="H10" s="9">
        <v>1</v>
      </c>
      <c r="I10" s="30">
        <v>2154</v>
      </c>
    </row>
    <row r="11" ht="16.5" spans="1:9">
      <c r="A11" s="12" t="s">
        <v>2302</v>
      </c>
      <c r="B11" s="13" t="str">
        <f>VLOOKUP(A11,设计师对应店铺!A:B,COLUMN(设计师对应店铺!B:B)-COLUMN(设计师对应店铺!A:B)+1,0)</f>
        <v>沪南店</v>
      </c>
      <c r="C11" s="14">
        <v>563012.48</v>
      </c>
      <c r="D11" s="14">
        <v>37</v>
      </c>
      <c r="E11" s="14">
        <v>559288.48</v>
      </c>
      <c r="F11" s="15">
        <v>15115.9048648649</v>
      </c>
      <c r="G11" s="16">
        <v>0.993385581790301</v>
      </c>
      <c r="H11" s="14">
        <v>1</v>
      </c>
      <c r="I11" s="31">
        <v>3724</v>
      </c>
    </row>
    <row r="12" ht="16.5" spans="1:9">
      <c r="A12" s="12" t="s">
        <v>110</v>
      </c>
      <c r="B12" s="13" t="str">
        <f>VLOOKUP(A12,设计师对应店铺!A:B,COLUMN(设计师对应店铺!B:B)-COLUMN(设计师对应店铺!A:B)+1,0)</f>
        <v>喜盈门</v>
      </c>
      <c r="C12" s="14">
        <v>654315</v>
      </c>
      <c r="D12" s="14">
        <v>33</v>
      </c>
      <c r="E12" s="14">
        <v>646063</v>
      </c>
      <c r="F12" s="15">
        <v>19577.6666666667</v>
      </c>
      <c r="G12" s="16">
        <v>0.987388337421578</v>
      </c>
      <c r="H12" s="14">
        <v>2</v>
      </c>
      <c r="I12" s="31">
        <v>8252</v>
      </c>
    </row>
    <row r="13" ht="16.5" spans="1:9">
      <c r="A13" s="12" t="s">
        <v>68</v>
      </c>
      <c r="B13" s="13" t="str">
        <f>VLOOKUP(A13,设计师对应店铺!A:B,COLUMN(设计师对应店铺!B:B)-COLUMN(设计师对应店铺!A:B)+1,0)</f>
        <v>沪南店</v>
      </c>
      <c r="C13" s="14">
        <v>533432.6</v>
      </c>
      <c r="D13" s="14">
        <v>29</v>
      </c>
      <c r="E13" s="14">
        <v>523455.6</v>
      </c>
      <c r="F13" s="15">
        <v>18050.1931034483</v>
      </c>
      <c r="G13" s="16">
        <v>0.981296606169177</v>
      </c>
      <c r="H13" s="14">
        <v>1</v>
      </c>
      <c r="I13" s="31">
        <v>9977</v>
      </c>
    </row>
    <row r="14" ht="16.5" spans="1:9">
      <c r="A14" s="12" t="s">
        <v>37</v>
      </c>
      <c r="B14" s="13" t="str">
        <f>VLOOKUP(A14,设计师对应店铺!A:B,COLUMN(设计师对应店铺!B:B)-COLUMN(设计师对应店铺!A:B)+1,0)</f>
        <v>浦江店</v>
      </c>
      <c r="C14" s="14">
        <v>586698.65</v>
      </c>
      <c r="D14" s="14">
        <v>39</v>
      </c>
      <c r="E14" s="14">
        <v>573352.65</v>
      </c>
      <c r="F14" s="15">
        <v>14701.35</v>
      </c>
      <c r="G14" s="16">
        <v>0.977252376496861</v>
      </c>
      <c r="H14" s="14">
        <v>1</v>
      </c>
      <c r="I14" s="31">
        <v>13346</v>
      </c>
    </row>
    <row r="15" ht="16.5" spans="1:9">
      <c r="A15" s="12" t="s">
        <v>2381</v>
      </c>
      <c r="B15" s="13" t="str">
        <f>VLOOKUP(A15,设计师对应店铺!A:B,COLUMN(设计师对应店铺!B:B)-COLUMN(设计师对应店铺!A:B)+1,0)</f>
        <v>家饰佳</v>
      </c>
      <c r="C15" s="14">
        <v>348903</v>
      </c>
      <c r="D15" s="14">
        <v>30</v>
      </c>
      <c r="E15" s="14">
        <v>339513</v>
      </c>
      <c r="F15" s="15">
        <v>11317.1</v>
      </c>
      <c r="G15" s="16">
        <v>0.973087075777508</v>
      </c>
      <c r="H15" s="14">
        <v>1</v>
      </c>
      <c r="I15" s="31">
        <v>9390</v>
      </c>
    </row>
    <row r="16" ht="16.5" spans="1:9">
      <c r="A16" s="12" t="s">
        <v>33</v>
      </c>
      <c r="B16" s="13" t="str">
        <f>VLOOKUP(A16,设计师对应店铺!A:B,COLUMN(设计师对应店铺!B:B)-COLUMN(设计师对应店铺!A:B)+1,0)</f>
        <v>汶水店</v>
      </c>
      <c r="C16" s="14">
        <v>498307</v>
      </c>
      <c r="D16" s="14">
        <v>39</v>
      </c>
      <c r="E16" s="14">
        <v>475125</v>
      </c>
      <c r="F16" s="15">
        <v>12182.6923076923</v>
      </c>
      <c r="G16" s="16">
        <v>0.953478478126938</v>
      </c>
      <c r="H16" s="14">
        <v>2</v>
      </c>
      <c r="I16" s="31">
        <v>23182</v>
      </c>
    </row>
    <row r="17" ht="16.5" spans="1:9">
      <c r="A17" s="12" t="s">
        <v>89</v>
      </c>
      <c r="B17" s="13" t="str">
        <f>VLOOKUP(A17,设计师对应店铺!A:B,COLUMN(设计师对应店铺!B:B)-COLUMN(设计师对应店铺!A:B)+1,0)</f>
        <v>吉盛伟邦</v>
      </c>
      <c r="C17" s="14">
        <v>590979.63</v>
      </c>
      <c r="D17" s="14">
        <v>29</v>
      </c>
      <c r="E17" s="14">
        <v>563080.63</v>
      </c>
      <c r="F17" s="15">
        <v>19416.5734482759</v>
      </c>
      <c r="G17" s="16">
        <v>0.952791943099629</v>
      </c>
      <c r="H17" s="14">
        <v>0</v>
      </c>
      <c r="I17" s="31">
        <v>27899</v>
      </c>
    </row>
    <row r="18" ht="16.5" spans="1:9">
      <c r="A18" s="12" t="s">
        <v>207</v>
      </c>
      <c r="B18" s="13" t="str">
        <f>VLOOKUP(A18,设计师对应店铺!A:B,COLUMN(设计师对应店铺!B:B)-COLUMN(设计师对应店铺!A:B)+1,0)</f>
        <v>百安居</v>
      </c>
      <c r="C18" s="14">
        <v>603599</v>
      </c>
      <c r="D18" s="14">
        <v>47</v>
      </c>
      <c r="E18" s="14">
        <v>573645</v>
      </c>
      <c r="F18" s="15">
        <v>12205.2127659574</v>
      </c>
      <c r="G18" s="16">
        <v>0.950374337929652</v>
      </c>
      <c r="H18" s="14">
        <v>3</v>
      </c>
      <c r="I18" s="31">
        <v>29954</v>
      </c>
    </row>
    <row r="19" ht="17.25" spans="1:9">
      <c r="A19" s="17" t="s">
        <v>171</v>
      </c>
      <c r="B19" s="18" t="str">
        <f>VLOOKUP(A19,设计师对应店铺!A:B,COLUMN(设计师对应店铺!B:B)-COLUMN(设计师对应店铺!A:B)+1,0)</f>
        <v>家饰佳、兴力达</v>
      </c>
      <c r="C19" s="19">
        <v>488146</v>
      </c>
      <c r="D19" s="19">
        <v>31</v>
      </c>
      <c r="E19" s="19">
        <v>460291</v>
      </c>
      <c r="F19" s="20">
        <v>14848.0967741935</v>
      </c>
      <c r="G19" s="21">
        <v>0.942937154048174</v>
      </c>
      <c r="H19" s="19">
        <v>1</v>
      </c>
      <c r="I19" s="32">
        <v>27855</v>
      </c>
    </row>
    <row r="20" ht="16.5" spans="1:9">
      <c r="A20" s="7" t="s">
        <v>635</v>
      </c>
      <c r="B20" s="8" t="str">
        <f>VLOOKUP(A20,设计师对应店铺!A:B,COLUMN(设计师对应店铺!B:B)-COLUMN(设计师对应店铺!A:B)+1,0)</f>
        <v>家饰佳、兴力达</v>
      </c>
      <c r="C20" s="9">
        <v>366399</v>
      </c>
      <c r="D20" s="9">
        <v>27</v>
      </c>
      <c r="E20" s="9">
        <v>324202</v>
      </c>
      <c r="F20" s="10">
        <v>12007.4814814815</v>
      </c>
      <c r="G20" s="11">
        <v>0.884833200963976</v>
      </c>
      <c r="H20" s="9">
        <v>2</v>
      </c>
      <c r="I20" s="30">
        <v>42197</v>
      </c>
    </row>
    <row r="21" ht="16.5" spans="1:9">
      <c r="A21" s="12" t="s">
        <v>139</v>
      </c>
      <c r="B21" s="13" t="str">
        <f>VLOOKUP(A21,设计师对应店铺!A:B,COLUMN(设计师对应店铺!B:B)-COLUMN(设计师对应店铺!A:B)+1,0)</f>
        <v>家饰佳</v>
      </c>
      <c r="C21" s="14">
        <v>743090</v>
      </c>
      <c r="D21" s="14">
        <v>38</v>
      </c>
      <c r="E21" s="14">
        <v>628967</v>
      </c>
      <c r="F21" s="15">
        <v>16551.7631578947</v>
      </c>
      <c r="G21" s="16">
        <v>0.846421025716939</v>
      </c>
      <c r="H21" s="14">
        <v>5</v>
      </c>
      <c r="I21" s="31">
        <v>114123</v>
      </c>
    </row>
    <row r="22" ht="16.5" spans="1:9">
      <c r="A22" s="12" t="s">
        <v>8334</v>
      </c>
      <c r="B22" s="13" t="str">
        <f>VLOOKUP(A22,设计师对应店铺!A:B,COLUMN(设计师对应店铺!B:B)-COLUMN(设计师对应店铺!A:B)+1,0)</f>
        <v>尚品宅配</v>
      </c>
      <c r="C22" s="14">
        <v>455143</v>
      </c>
      <c r="D22" s="14">
        <v>30</v>
      </c>
      <c r="E22" s="14">
        <v>376265</v>
      </c>
      <c r="F22" s="15">
        <v>12542.1666666667</v>
      </c>
      <c r="G22" s="16">
        <v>0.826696225142428</v>
      </c>
      <c r="H22" s="14">
        <v>9</v>
      </c>
      <c r="I22" s="31">
        <v>78878</v>
      </c>
    </row>
    <row r="23" ht="16.5" spans="1:9">
      <c r="A23" s="12" t="s">
        <v>162</v>
      </c>
      <c r="B23" s="13" t="str">
        <f>VLOOKUP(A23,设计师对应店铺!A:B,COLUMN(设计师对应店铺!B:B)-COLUMN(设计师对应店铺!A:B)+1,0)</f>
        <v>真北店</v>
      </c>
      <c r="C23" s="14">
        <v>684100</v>
      </c>
      <c r="D23" s="14">
        <v>31</v>
      </c>
      <c r="E23" s="14">
        <v>524530</v>
      </c>
      <c r="F23" s="15">
        <v>16920.3225806452</v>
      </c>
      <c r="G23" s="16">
        <v>0.766744627978366</v>
      </c>
      <c r="H23" s="14">
        <v>6</v>
      </c>
      <c r="I23" s="31">
        <v>159570</v>
      </c>
    </row>
    <row r="24" ht="16.5" spans="1:9">
      <c r="A24" s="12" t="s">
        <v>407</v>
      </c>
      <c r="B24" s="13" t="str">
        <f>VLOOKUP(A24,设计师对应店铺!A:B,COLUMN(设计师对应店铺!B:B)-COLUMN(设计师对应店铺!A:B)+1,0)</f>
        <v>嘉定店</v>
      </c>
      <c r="C24" s="14">
        <v>837054</v>
      </c>
      <c r="D24" s="14">
        <v>33</v>
      </c>
      <c r="E24" s="14">
        <v>602218</v>
      </c>
      <c r="F24" s="15">
        <v>18249.0303030303</v>
      </c>
      <c r="G24" s="16">
        <v>0.719449402308573</v>
      </c>
      <c r="H24" s="14">
        <v>3</v>
      </c>
      <c r="I24" s="31">
        <v>234836</v>
      </c>
    </row>
    <row r="25" ht="16.5" spans="1:9">
      <c r="A25" s="12" t="s">
        <v>337</v>
      </c>
      <c r="B25" s="13" t="str">
        <f>VLOOKUP(A25,设计师对应店铺!A:B,COLUMN(设计师对应店铺!B:B)-COLUMN(设计师对应店铺!A:B)+1,0)</f>
        <v>建配龙</v>
      </c>
      <c r="C25" s="14">
        <v>434192</v>
      </c>
      <c r="D25" s="14">
        <v>17</v>
      </c>
      <c r="E25" s="14">
        <v>303904</v>
      </c>
      <c r="F25" s="15">
        <v>17876.7058823529</v>
      </c>
      <c r="G25" s="16">
        <v>0.699929984891477</v>
      </c>
      <c r="H25" s="14">
        <v>14</v>
      </c>
      <c r="I25" s="31">
        <v>130288</v>
      </c>
    </row>
    <row r="26" ht="17.25" spans="1:9">
      <c r="A26" s="12" t="s">
        <v>187</v>
      </c>
      <c r="B26" s="13" t="str">
        <f>VLOOKUP(A26,设计师对应店铺!A:B,COLUMN(设计师对应店铺!B:B)-COLUMN(设计师对应店铺!A:B)+1,0)</f>
        <v>百家宜</v>
      </c>
      <c r="C26" s="14">
        <v>669143</v>
      </c>
      <c r="D26" s="14">
        <v>29</v>
      </c>
      <c r="E26" s="14">
        <v>413663</v>
      </c>
      <c r="F26" s="15">
        <v>14264.2413793103</v>
      </c>
      <c r="G26" s="16">
        <v>0.618198202775789</v>
      </c>
      <c r="H26" s="14">
        <v>12</v>
      </c>
      <c r="I26" s="31">
        <v>255480</v>
      </c>
    </row>
    <row r="27" ht="16.5" spans="1:9">
      <c r="A27" s="7" t="s">
        <v>149</v>
      </c>
      <c r="B27" s="8" t="str">
        <f>VLOOKUP(A27,设计师对应店铺!A:B,COLUMN(设计师对应店铺!B:B)-COLUMN(设计师对应店铺!A:B)+1,0)</f>
        <v>百安居</v>
      </c>
      <c r="C27" s="9">
        <v>202342</v>
      </c>
      <c r="D27" s="9">
        <v>8</v>
      </c>
      <c r="E27" s="9">
        <v>99872</v>
      </c>
      <c r="F27" s="10">
        <v>12484</v>
      </c>
      <c r="G27" s="11">
        <v>0.493580176137431</v>
      </c>
      <c r="H27" s="9">
        <v>14</v>
      </c>
      <c r="I27" s="30">
        <v>102470</v>
      </c>
    </row>
    <row r="28" ht="16.5" spans="1:9">
      <c r="A28" s="22" t="s">
        <v>44</v>
      </c>
      <c r="B28" s="13" t="str">
        <f>VLOOKUP(A28,设计师对应店铺!A:B,COLUMN(设计师对应店铺!B:B)-COLUMN(设计师对应店铺!A:B)+1,0)</f>
        <v>金桥店、百安居</v>
      </c>
      <c r="C28" s="14">
        <v>958803</v>
      </c>
      <c r="D28" s="14">
        <v>35</v>
      </c>
      <c r="E28" s="14">
        <v>457645</v>
      </c>
      <c r="F28" s="15">
        <v>13075.5714285714</v>
      </c>
      <c r="G28" s="16">
        <v>0.477308685934441</v>
      </c>
      <c r="H28" s="14">
        <v>34</v>
      </c>
      <c r="I28" s="31">
        <v>501158</v>
      </c>
    </row>
    <row r="29" ht="16.5" spans="1:9">
      <c r="A29" s="12" t="s">
        <v>132</v>
      </c>
      <c r="B29" s="13" t="str">
        <f>VLOOKUP(A29,设计师对应店铺!A:B,COLUMN(设计师对应店铺!B:B)-COLUMN(设计师对应店铺!A:B)+1,0)</f>
        <v>真北店</v>
      </c>
      <c r="C29" s="14">
        <v>386898</v>
      </c>
      <c r="D29" s="14">
        <v>12</v>
      </c>
      <c r="E29" s="14">
        <v>160884</v>
      </c>
      <c r="F29" s="15">
        <v>13407</v>
      </c>
      <c r="G29" s="16">
        <v>0.415830528976629</v>
      </c>
      <c r="H29" s="14">
        <v>11</v>
      </c>
      <c r="I29" s="31">
        <v>226014</v>
      </c>
    </row>
    <row r="30" ht="16.5" spans="1:9">
      <c r="A30" s="12" t="s">
        <v>271</v>
      </c>
      <c r="B30" s="13" t="str">
        <f>VLOOKUP(A30,设计师对应店铺!A:B,COLUMN(设计师对应店铺!B:B)-COLUMN(设计师对应店铺!A:B)+1,0)</f>
        <v>喜盈门</v>
      </c>
      <c r="C30" s="14">
        <v>703745</v>
      </c>
      <c r="D30" s="14">
        <v>15</v>
      </c>
      <c r="E30" s="14">
        <v>270361</v>
      </c>
      <c r="F30" s="15">
        <v>18024.0666666667</v>
      </c>
      <c r="G30" s="16">
        <v>0.384174665539364</v>
      </c>
      <c r="H30" s="14">
        <v>25</v>
      </c>
      <c r="I30" s="31">
        <v>433384</v>
      </c>
    </row>
    <row r="31" ht="17.25" spans="1:9">
      <c r="A31" s="17" t="s">
        <v>125</v>
      </c>
      <c r="B31" s="18" t="str">
        <f>VLOOKUP(A31,设计师对应店铺!A:B,COLUMN(设计师对应店铺!B:B)-COLUMN(设计师对应店铺!A:B)+1,0)</f>
        <v>同福店店长</v>
      </c>
      <c r="C31" s="19">
        <v>457937</v>
      </c>
      <c r="D31" s="19">
        <v>16</v>
      </c>
      <c r="E31" s="19">
        <v>161077</v>
      </c>
      <c r="F31" s="20">
        <v>10067.3125</v>
      </c>
      <c r="G31" s="21">
        <v>0.351744890672734</v>
      </c>
      <c r="H31" s="19">
        <v>20</v>
      </c>
      <c r="I31" s="32">
        <v>296860</v>
      </c>
    </row>
    <row r="32" ht="17.25" spans="1:9">
      <c r="A32" s="23" t="s">
        <v>427</v>
      </c>
      <c r="B32" s="24" t="str">
        <f>VLOOKUP(A32,设计师对应店铺!A:B,COLUMN(设计师对应店铺!B:B)-COLUMN(设计师对应店铺!A:B)+1,0)</f>
        <v>百家宜</v>
      </c>
      <c r="C32" s="25">
        <v>999596</v>
      </c>
      <c r="D32" s="25">
        <v>6</v>
      </c>
      <c r="E32" s="25">
        <v>171091</v>
      </c>
      <c r="F32" s="26">
        <v>28515.1666666667</v>
      </c>
      <c r="G32" s="27">
        <v>0.171160148700075</v>
      </c>
      <c r="H32" s="25">
        <v>25</v>
      </c>
      <c r="I32" s="33">
        <v>828505</v>
      </c>
    </row>
  </sheetData>
  <mergeCells count="9">
    <mergeCell ref="A1:A2"/>
    <mergeCell ref="B1:B2"/>
    <mergeCell ref="C1:C2"/>
    <mergeCell ref="D1:D2"/>
    <mergeCell ref="E1:E2"/>
    <mergeCell ref="F1:F2"/>
    <mergeCell ref="G1:G2"/>
    <mergeCell ref="H1:H2"/>
    <mergeCell ref="I1:I2"/>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workbookViewId="0">
      <selection activeCell="F19" sqref="F19"/>
    </sheetView>
  </sheetViews>
  <sheetFormatPr defaultColWidth="9" defaultRowHeight="16.5"/>
  <cols>
    <col min="1" max="1" width="10.875" style="268" customWidth="1"/>
    <col min="2" max="3" width="8.875" style="268" hidden="1" customWidth="1"/>
    <col min="4" max="4" width="8.875" style="268" customWidth="1"/>
    <col min="5" max="11" width="9" style="268"/>
    <col min="12" max="12" width="10.375" style="268" customWidth="1"/>
    <col min="13" max="16384" width="9" style="268"/>
  </cols>
  <sheetData>
    <row r="1" ht="15" spans="1:15">
      <c r="A1" s="301" t="s">
        <v>21222</v>
      </c>
      <c r="B1" s="302" t="s">
        <v>21223</v>
      </c>
      <c r="C1" s="302" t="s">
        <v>21224</v>
      </c>
      <c r="D1" s="303" t="s">
        <v>21225</v>
      </c>
      <c r="E1" s="304" t="s">
        <v>21226</v>
      </c>
      <c r="F1" s="305"/>
      <c r="G1" s="305"/>
      <c r="H1" s="305"/>
      <c r="I1" s="305"/>
      <c r="J1" s="305"/>
      <c r="K1" s="305"/>
      <c r="L1" s="317" t="s">
        <v>21227</v>
      </c>
      <c r="M1" s="318" t="s">
        <v>21228</v>
      </c>
      <c r="N1" s="318" t="s">
        <v>21229</v>
      </c>
      <c r="O1" s="319" t="s">
        <v>21230</v>
      </c>
    </row>
    <row r="2" ht="15" spans="1:15">
      <c r="A2" s="301"/>
      <c r="B2" s="302"/>
      <c r="C2" s="302"/>
      <c r="D2" s="303"/>
      <c r="E2" s="306" t="s">
        <v>19</v>
      </c>
      <c r="F2" s="307" t="s">
        <v>20</v>
      </c>
      <c r="G2" s="307" t="s">
        <v>21</v>
      </c>
      <c r="H2" s="307" t="s">
        <v>22</v>
      </c>
      <c r="I2" s="307" t="s">
        <v>23</v>
      </c>
      <c r="J2" s="320" t="s">
        <v>24</v>
      </c>
      <c r="K2" s="320" t="s">
        <v>21231</v>
      </c>
      <c r="L2" s="321"/>
      <c r="M2" s="318"/>
      <c r="N2" s="318"/>
      <c r="O2" s="319"/>
    </row>
    <row r="3" spans="1:15">
      <c r="A3" s="308" t="s">
        <v>21232</v>
      </c>
      <c r="B3" s="309">
        <f>COUNTIFS(总表!B:B,A3,总表!G:G,"&lt;&gt;",总表!F:F,"&lt;&gt;加项",总表!G:G,"&lt;&gt;已退单")</f>
        <v>939</v>
      </c>
      <c r="C3" s="309">
        <f>COUNTIFS(总表!B:B,A3,总表!U:U,"&lt;&gt;")</f>
        <v>77</v>
      </c>
      <c r="D3" s="310">
        <f>COUNTIFS(总表!B:B,A3,总表!U:U,"",总表!G:G,"")</f>
        <v>105</v>
      </c>
      <c r="E3" s="311">
        <f>COUNTIFS(总表!B:B,A3,总表!O:O,"&lt;&gt;",总表!L:L,"",总表!M:M,"",总表!U:U,"",总表!G:G,"")</f>
        <v>33</v>
      </c>
      <c r="F3" s="312">
        <f>COUNTIFS(总表!B:B,A3,总表!U:U,"",总表!L:L,"",总表!M:M,"",总表!P:P,"&lt;&gt;",总表!G:G,"")</f>
        <v>10</v>
      </c>
      <c r="G3" s="312">
        <f>COUNTIFS(总表!B:B,A3,总表!L:L,"",总表!M:M,"",总表!U:U,"",总表!Q:Q,"&lt;&gt;",总表!G:G,"")</f>
        <v>4</v>
      </c>
      <c r="H3" s="312">
        <f>COUNTIFS(总表!B:B,A3,总表!L:L,"",总表!M:M,"",总表!U:U,"",总表!R:R,"&lt;&gt;",总表!G:G,"")</f>
        <v>1</v>
      </c>
      <c r="I3" s="312">
        <f>COUNTIFS(总表!B:B,A3,总表!L:L,"",总表!M:M,"",总表!U:U,"",总表!S:S,"&lt;&gt;",总表!G:G,"")</f>
        <v>11</v>
      </c>
      <c r="J3" s="322">
        <f>COUNTIFS(总表!B:B,A3,总表!L:L,"",总表!M:M,"",总表!U:U,"",总表!T:T,"&lt;&gt;",总表!G:G,"")</f>
        <v>0</v>
      </c>
      <c r="K3" s="312">
        <f>D3-E3-F3-G3-H3-I3-J3</f>
        <v>46</v>
      </c>
      <c r="L3" s="323">
        <f>(D3-K3)/D3</f>
        <v>0.561904761904762</v>
      </c>
      <c r="M3" s="309">
        <f>COUNTIFS(总表!B:B,A3,总表!L:L,"",总表!M:M,"",总表!W:W,"",总表!V:V,"&lt;&gt;",总表!U:U,"",总表!G:G,"")</f>
        <v>9</v>
      </c>
      <c r="N3" s="309">
        <f>COUNTIFS(总表!B:B,A3,总表!L:L,"",总表!M:M,"",总表!W:W,"&lt;&gt;",总表!V:V,"",总表!U:U,"",总表!G:G,"")</f>
        <v>0</v>
      </c>
      <c r="O3" s="324">
        <f t="shared" ref="O3:O8" si="0">D3-M3-N3</f>
        <v>96</v>
      </c>
    </row>
    <row r="4" spans="1:15">
      <c r="A4" s="308" t="s">
        <v>73</v>
      </c>
      <c r="B4" s="309">
        <f>COUNTIFS(总表!B:B,A4,总表!G:G,"&lt;&gt;",总表!F:F,"&lt;&gt;加项",总表!G:G,"&lt;&gt;已退单")</f>
        <v>476</v>
      </c>
      <c r="C4" s="309">
        <f>COUNTIFS(总表!B:B,A4,总表!U:U,"&lt;&gt;")</f>
        <v>35</v>
      </c>
      <c r="D4" s="310">
        <f>COUNTIFS(总表!B:B,A4,总表!U:U,"",总表!G:G,"")</f>
        <v>94</v>
      </c>
      <c r="E4" s="311">
        <f>COUNTIFS(总表!B:B,A4,总表!O:O,"&lt;&gt;",总表!L:L,"",总表!M:M,"",总表!U:U,"",总表!G:G,"")</f>
        <v>51</v>
      </c>
      <c r="F4" s="312">
        <f>COUNTIFS(总表!B:B,A4,总表!U:U,"",总表!L:L,"",总表!M:M,"",总表!P:P,"&lt;&gt;",总表!G:G,"")</f>
        <v>14</v>
      </c>
      <c r="G4" s="312">
        <f>COUNTIFS(总表!B:B,A4,总表!L:L,"",总表!M:M,"",总表!U:U,"",总表!Q:Q,"&lt;&gt;",总表!G:G,"")</f>
        <v>19</v>
      </c>
      <c r="H4" s="312">
        <f>COUNTIFS(总表!B:B,A4,总表!L:L,"",总表!M:M,"",总表!U:U,"",总表!R:R,"&lt;&gt;",总表!G:G,"")</f>
        <v>7</v>
      </c>
      <c r="I4" s="312">
        <f>COUNTIFS(总表!B:B,A4,总表!L:L,"",总表!M:M,"",总表!U:U,"",总表!S:S,"&lt;&gt;",总表!G:G,"")</f>
        <v>0</v>
      </c>
      <c r="J4" s="322">
        <f>COUNTIFS(总表!B:B,A4,总表!L:L,"",总表!M:M,"",总表!U:U,"",总表!T:T,"&lt;&gt;",总表!G:G,"")</f>
        <v>0</v>
      </c>
      <c r="K4" s="312">
        <f t="shared" ref="K4:K28" si="1">D4-E4-F4-G4-H4-I4-J4</f>
        <v>3</v>
      </c>
      <c r="L4" s="323">
        <f t="shared" ref="L4:L26" si="2">(D4-K4)/D4</f>
        <v>0.968085106382979</v>
      </c>
      <c r="M4" s="309">
        <f>COUNTIFS(总表!B:B,A4,总表!L:L,"",总表!M:M,"",总表!W:W,"",总表!V:V,"&lt;&gt;",总表!U:U,"",总表!G:G,"")</f>
        <v>0</v>
      </c>
      <c r="N4" s="309">
        <f>COUNTIFS(总表!B:B,A4,总表!L:L,"",总表!M:M,"",总表!W:W,"&lt;&gt;",总表!V:V,"",总表!U:U,"",总表!G:G,"")</f>
        <v>0</v>
      </c>
      <c r="O4" s="324">
        <f t="shared" si="0"/>
        <v>94</v>
      </c>
    </row>
    <row r="5" spans="1:15">
      <c r="A5" s="308" t="s">
        <v>2625</v>
      </c>
      <c r="B5" s="309">
        <f>COUNTIFS(总表!B:B,A5,总表!G:G,"&lt;&gt;",总表!F:F,"&lt;&gt;加项",总表!G:G,"&lt;&gt;已退单")</f>
        <v>113</v>
      </c>
      <c r="C5" s="309">
        <f>COUNTIFS(总表!B:B,A5,总表!U:U,"&lt;&gt;")</f>
        <v>8</v>
      </c>
      <c r="D5" s="310">
        <f>COUNTIFS(总表!B:B,A5,总表!U:U,"",总表!G:G,"")</f>
        <v>4</v>
      </c>
      <c r="E5" s="311">
        <f>COUNTIFS(总表!B:B,A5,总表!O:O,"&lt;&gt;",总表!L:L,"",总表!M:M,"",总表!U:U,"",总表!G:G,"")</f>
        <v>2</v>
      </c>
      <c r="F5" s="312">
        <f>COUNTIFS(总表!B:B,A5,总表!U:U,"",总表!L:L,"",总表!M:M,"",总表!P:P,"&lt;&gt;",总表!G:G,"")</f>
        <v>0</v>
      </c>
      <c r="G5" s="312">
        <f>COUNTIFS(总表!B:B,A5,总表!L:L,"",总表!M:M,"",总表!U:U,"",总表!Q:Q,"&lt;&gt;",总表!G:G,"")</f>
        <v>1</v>
      </c>
      <c r="H5" s="312">
        <f>COUNTIFS(总表!B:B,A5,总表!L:L,"",总表!M:M,"",总表!U:U,"",总表!R:R,"&lt;&gt;",总表!G:G,"")</f>
        <v>1</v>
      </c>
      <c r="I5" s="312">
        <f>COUNTIFS(总表!B:B,A5,总表!L:L,"",总表!M:M,"",总表!U:U,"",总表!S:S,"&lt;&gt;",总表!G:G,"")</f>
        <v>0</v>
      </c>
      <c r="J5" s="322">
        <f>COUNTIFS(总表!B:B,A5,总表!L:L,"",总表!M:M,"",总表!U:U,"",总表!T:T,"&lt;&gt;",总表!G:G,"")</f>
        <v>0</v>
      </c>
      <c r="K5" s="312">
        <f t="shared" si="1"/>
        <v>0</v>
      </c>
      <c r="L5" s="323">
        <f t="shared" si="2"/>
        <v>1</v>
      </c>
      <c r="M5" s="309">
        <f>COUNTIFS(总表!B:B,A5,总表!L:L,"",总表!M:M,"",总表!W:W,"",总表!V:V,"&lt;&gt;",总表!U:U,"",总表!G:G,"")</f>
        <v>0</v>
      </c>
      <c r="N5" s="309">
        <f>COUNTIFS(总表!B:B,A5,总表!L:L,"",总表!M:M,"",总表!W:W,"&lt;&gt;",总表!V:V,"",总表!U:U,"",总表!G:G,"")</f>
        <v>0</v>
      </c>
      <c r="O5" s="324">
        <f t="shared" si="0"/>
        <v>4</v>
      </c>
    </row>
    <row r="6" spans="1:15">
      <c r="A6" s="308" t="s">
        <v>281</v>
      </c>
      <c r="B6" s="309">
        <f>COUNTIFS(总表!B:B,A6,总表!G:G,"&lt;&gt;",总表!F:F,"&lt;&gt;加项",总表!G:G,"&lt;&gt;已退单")</f>
        <v>135</v>
      </c>
      <c r="C6" s="309">
        <f>COUNTIFS(总表!B:B,A6,总表!U:U,"&lt;&gt;")</f>
        <v>28</v>
      </c>
      <c r="D6" s="310">
        <f>COUNTIFS(总表!B:B,A6,总表!U:U,"",总表!G:G,"")</f>
        <v>44</v>
      </c>
      <c r="E6" s="311">
        <f>COUNTIFS(总表!B:B,A6,总表!O:O,"&lt;&gt;",总表!L:L,"",总表!M:M,"",总表!U:U,"",总表!G:G,"")</f>
        <v>12</v>
      </c>
      <c r="F6" s="312">
        <f>COUNTIFS(总表!B:B,A6,总表!U:U,"",总表!L:L,"",总表!M:M,"",总表!P:P,"&lt;&gt;",总表!G:G,"")</f>
        <v>3</v>
      </c>
      <c r="G6" s="312">
        <f>COUNTIFS(总表!B:B,A6,总表!L:L,"",总表!M:M,"",总表!U:U,"",总表!Q:Q,"&lt;&gt;",总表!G:G,"")</f>
        <v>11</v>
      </c>
      <c r="H6" s="312">
        <f>COUNTIFS(总表!B:B,A6,总表!L:L,"",总表!M:M,"",总表!U:U,"",总表!R:R,"&lt;&gt;",总表!G:G,"")</f>
        <v>9</v>
      </c>
      <c r="I6" s="312">
        <f>COUNTIFS(总表!B:B,A6,总表!L:L,"",总表!M:M,"",总表!U:U,"",总表!S:S,"&lt;&gt;",总表!G:G,"")</f>
        <v>1</v>
      </c>
      <c r="J6" s="322">
        <f>COUNTIFS(总表!B:B,A6,总表!L:L,"",总表!M:M,"",总表!U:U,"",总表!T:T,"&lt;&gt;",总表!G:G,"")</f>
        <v>0</v>
      </c>
      <c r="K6" s="312">
        <f t="shared" si="1"/>
        <v>8</v>
      </c>
      <c r="L6" s="323">
        <f t="shared" si="2"/>
        <v>0.818181818181818</v>
      </c>
      <c r="M6" s="309">
        <f>COUNTIFS(总表!B:B,A6,总表!L:L,"",总表!M:M,"",总表!W:W,"",总表!V:V,"&lt;&gt;",总表!U:U,"",总表!G:G,"")</f>
        <v>1</v>
      </c>
      <c r="N6" s="309">
        <f>COUNTIFS(总表!B:B,A6,总表!L:L,"",总表!M:M,"",总表!W:W,"&lt;&gt;",总表!V:V,"",总表!U:U,"",总表!G:G,"")</f>
        <v>0</v>
      </c>
      <c r="O6" s="324">
        <f t="shared" si="0"/>
        <v>43</v>
      </c>
    </row>
    <row r="7" spans="1:15">
      <c r="A7" s="308" t="s">
        <v>153</v>
      </c>
      <c r="B7" s="309">
        <f>COUNTIFS(总表!B:B,A7,总表!G:G,"&lt;&gt;",总表!F:F,"&lt;&gt;加项",总表!G:G,"&lt;&gt;已退单")</f>
        <v>211</v>
      </c>
      <c r="C7" s="309">
        <f>COUNTIFS(总表!B:B,A7,总表!U:U,"&lt;&gt;")</f>
        <v>37</v>
      </c>
      <c r="D7" s="310">
        <f>COUNTIFS(总表!B:B,A7,总表!U:U,"",总表!G:G,"")</f>
        <v>19</v>
      </c>
      <c r="E7" s="311">
        <f>COUNTIFS(总表!B:B,A7,总表!O:O,"&lt;&gt;",总表!L:L,"",总表!M:M,"",总表!U:U,"",总表!G:G,"")</f>
        <v>7</v>
      </c>
      <c r="F7" s="312">
        <f>COUNTIFS(总表!B:B,A7,总表!U:U,"",总表!L:L,"",总表!M:M,"",总表!P:P,"&lt;&gt;",总表!G:G,"")</f>
        <v>2</v>
      </c>
      <c r="G7" s="312">
        <f>COUNTIFS(总表!B:B,A7,总表!L:L,"",总表!M:M,"",总表!U:U,"",总表!Q:Q,"&lt;&gt;",总表!G:G,"")</f>
        <v>4</v>
      </c>
      <c r="H7" s="312">
        <f>COUNTIFS(总表!B:B,A7,总表!L:L,"",总表!M:M,"",总表!U:U,"",总表!R:R,"&lt;&gt;",总表!G:G,"")</f>
        <v>3</v>
      </c>
      <c r="I7" s="312">
        <f>COUNTIFS(总表!B:B,A7,总表!L:L,"",总表!M:M,"",总表!U:U,"",总表!S:S,"&lt;&gt;",总表!G:G,"")</f>
        <v>1</v>
      </c>
      <c r="J7" s="322">
        <f>COUNTIFS(总表!B:B,A7,总表!L:L,"",总表!M:M,"",总表!U:U,"",总表!T:T,"&lt;&gt;",总表!G:G,"")</f>
        <v>0</v>
      </c>
      <c r="K7" s="312">
        <f t="shared" si="1"/>
        <v>2</v>
      </c>
      <c r="L7" s="323">
        <f t="shared" si="2"/>
        <v>0.894736842105263</v>
      </c>
      <c r="M7" s="309">
        <f>COUNTIFS(总表!B:B,A7,总表!L:L,"",总表!M:M,"",总表!W:W,"",总表!V:V,"&lt;&gt;",总表!U:U,"",总表!G:G,"")</f>
        <v>1</v>
      </c>
      <c r="N7" s="309">
        <f>COUNTIFS(总表!B:B,A7,总表!L:L,"",总表!M:M,"",总表!W:W,"&lt;&gt;",总表!V:V,"",总表!U:U,"",总表!G:G,"")</f>
        <v>0</v>
      </c>
      <c r="O7" s="324">
        <f t="shared" si="0"/>
        <v>18</v>
      </c>
    </row>
    <row r="8" spans="1:15">
      <c r="A8" s="308" t="s">
        <v>66</v>
      </c>
      <c r="B8" s="309">
        <f>COUNTIFS(总表!B:B,A8,总表!G:G,"&lt;&gt;",总表!F:F,"&lt;&gt;加项",总表!G:G,"&lt;&gt;已退单")</f>
        <v>528</v>
      </c>
      <c r="C8" s="309">
        <f>COUNTIFS(总表!B:B,A8,总表!U:U,"&lt;&gt;")</f>
        <v>68</v>
      </c>
      <c r="D8" s="310">
        <f>COUNTIFS(总表!B:B,A8,总表!U:U,"",总表!G:G,"")</f>
        <v>64</v>
      </c>
      <c r="E8" s="311">
        <f>COUNTIFS(总表!B:B,A8,总表!O:O,"&lt;&gt;",总表!L:L,"",总表!M:M,"",总表!U:U,"",总表!G:G,"")</f>
        <v>11</v>
      </c>
      <c r="F8" s="312">
        <f>COUNTIFS(总表!B:B,A8,总表!U:U,"",总表!L:L,"",总表!M:M,"",总表!P:P,"&lt;&gt;",总表!G:G,"")</f>
        <v>5</v>
      </c>
      <c r="G8" s="312">
        <f>COUNTIFS(总表!B:B,A8,总表!L:L,"",总表!M:M,"",总表!U:U,"",总表!Q:Q,"&lt;&gt;",总表!G:G,"")</f>
        <v>8</v>
      </c>
      <c r="H8" s="312">
        <f>COUNTIFS(总表!B:B,A8,总表!L:L,"",总表!M:M,"",总表!U:U,"",总表!R:R,"&lt;&gt;",总表!G:G,"")</f>
        <v>2</v>
      </c>
      <c r="I8" s="312">
        <f>COUNTIFS(总表!B:B,A8,总表!L:L,"",总表!M:M,"",总表!U:U,"",总表!S:S,"&lt;&gt;",总表!G:G,"")</f>
        <v>0</v>
      </c>
      <c r="J8" s="322">
        <f>COUNTIFS(总表!B:B,A8,总表!L:L,"",总表!M:M,"",总表!U:U,"",总表!T:T,"&lt;&gt;",总表!G:G,"")</f>
        <v>1</v>
      </c>
      <c r="K8" s="312">
        <f t="shared" si="1"/>
        <v>37</v>
      </c>
      <c r="L8" s="323">
        <f t="shared" si="2"/>
        <v>0.421875</v>
      </c>
      <c r="M8" s="309">
        <f>COUNTIFS(总表!B:B,A8,总表!L:L,"",总表!M:M,"",总表!W:W,"",总表!V:V,"&lt;&gt;",总表!U:U,"",总表!G:G,"")</f>
        <v>0</v>
      </c>
      <c r="N8" s="309">
        <f>COUNTIFS(总表!B:B,A8,总表!L:L,"",总表!M:M,"",总表!W:W,"&lt;&gt;",总表!V:V,"",总表!U:U,"",总表!G:G,"")</f>
        <v>1</v>
      </c>
      <c r="O8" s="324">
        <f t="shared" si="0"/>
        <v>63</v>
      </c>
    </row>
    <row r="9" spans="1:15">
      <c r="A9" s="308" t="s">
        <v>87</v>
      </c>
      <c r="B9" s="309">
        <f>COUNTIFS(总表!B:B,A9,总表!G:G,"&lt;&gt;",总表!F:F,"&lt;&gt;加项",总表!G:G,"&lt;&gt;已退单")</f>
        <v>235</v>
      </c>
      <c r="C9" s="309">
        <f>COUNTIFS(总表!B:B,A9,总表!U:U,"&lt;&gt;")</f>
        <v>52</v>
      </c>
      <c r="D9" s="310">
        <f>COUNTIFS(总表!B:B,A9,总表!U:U,"",总表!G:G,"")</f>
        <v>38</v>
      </c>
      <c r="E9" s="311">
        <f>COUNTIFS(总表!B:B,A9,总表!O:O,"&lt;&gt;",总表!L:L,"",总表!M:M,"",总表!U:U,"",总表!G:G,"")</f>
        <v>18</v>
      </c>
      <c r="F9" s="312">
        <f>COUNTIFS(总表!B:B,A9,总表!U:U,"",总表!L:L,"",总表!M:M,"",总表!P:P,"&lt;&gt;",总表!G:G,"")</f>
        <v>4</v>
      </c>
      <c r="G9" s="312">
        <f>COUNTIFS(总表!B:B,A9,总表!L:L,"",总表!M:M,"",总表!U:U,"",总表!Q:Q,"&lt;&gt;",总表!G:G,"")</f>
        <v>2</v>
      </c>
      <c r="H9" s="312">
        <f>COUNTIFS(总表!B:B,A9,总表!L:L,"",总表!M:M,"",总表!U:U,"",总表!R:R,"&lt;&gt;",总表!G:G,"")</f>
        <v>0</v>
      </c>
      <c r="I9" s="312">
        <f>COUNTIFS(总表!B:B,A9,总表!L:L,"",总表!M:M,"",总表!U:U,"",总表!S:S,"&lt;&gt;",总表!G:G,"")</f>
        <v>0</v>
      </c>
      <c r="J9" s="322">
        <f>COUNTIFS(总表!B:B,A9,总表!L:L,"",总表!M:M,"",总表!U:U,"",总表!T:T,"&lt;&gt;",总表!G:G,"")</f>
        <v>1</v>
      </c>
      <c r="K9" s="312">
        <f t="shared" si="1"/>
        <v>13</v>
      </c>
      <c r="L9" s="323">
        <f t="shared" si="2"/>
        <v>0.657894736842105</v>
      </c>
      <c r="M9" s="309">
        <f>COUNTIFS(总表!B:B,A9,总表!L:L,"",总表!M:M,"",总表!W:W,"",总表!V:V,"&lt;&gt;",总表!U:U,"",总表!G:G,"")</f>
        <v>1</v>
      </c>
      <c r="N9" s="309">
        <f>COUNTIFS(总表!B:B,A9,总表!L:L,"",总表!M:M,"",总表!W:W,"&lt;&gt;",总表!V:V,"",总表!U:U,"",总表!G:G,"")</f>
        <v>0</v>
      </c>
      <c r="O9" s="324">
        <f t="shared" ref="O9:O28" si="3">D9-M9-N9</f>
        <v>37</v>
      </c>
    </row>
    <row r="10" spans="1:15">
      <c r="A10" s="308" t="s">
        <v>137</v>
      </c>
      <c r="B10" s="309">
        <f>COUNTIFS(总表!B:B,A10,总表!G:G,"&lt;&gt;",总表!F:F,"&lt;&gt;加项",总表!G:G,"&lt;&gt;已退单")</f>
        <v>659</v>
      </c>
      <c r="C10" s="309">
        <f>COUNTIFS(总表!B:B,A10,总表!U:U,"&lt;&gt;")</f>
        <v>89</v>
      </c>
      <c r="D10" s="310">
        <f>COUNTIFS(总表!B:B,A10,总表!U:U,"",总表!G:G,"")</f>
        <v>58</v>
      </c>
      <c r="E10" s="311">
        <f>COUNTIFS(总表!B:B,A10,总表!O:O,"&lt;&gt;",总表!L:L,"",总表!M:M,"",总表!U:U,"",总表!G:G,"")</f>
        <v>13</v>
      </c>
      <c r="F10" s="312">
        <f>COUNTIFS(总表!B:B,A10,总表!U:U,"",总表!L:L,"",总表!M:M,"",总表!P:P,"&lt;&gt;",总表!G:G,"")</f>
        <v>7</v>
      </c>
      <c r="G10" s="312">
        <f>COUNTIFS(总表!B:B,A10,总表!L:L,"",总表!M:M,"",总表!U:U,"",总表!Q:Q,"&lt;&gt;",总表!G:G,"")</f>
        <v>18</v>
      </c>
      <c r="H10" s="312">
        <f>COUNTIFS(总表!B:B,A10,总表!L:L,"",总表!M:M,"",总表!U:U,"",总表!R:R,"&lt;&gt;",总表!G:G,"")</f>
        <v>8</v>
      </c>
      <c r="I10" s="312">
        <f>COUNTIFS(总表!B:B,A10,总表!L:L,"",总表!M:M,"",总表!U:U,"",总表!S:S,"&lt;&gt;",总表!G:G,"")</f>
        <v>3</v>
      </c>
      <c r="J10" s="322">
        <f>COUNTIFS(总表!B:B,A10,总表!L:L,"",总表!M:M,"",总表!U:U,"",总表!T:T,"&lt;&gt;",总表!G:G,"")</f>
        <v>0</v>
      </c>
      <c r="K10" s="312">
        <f t="shared" si="1"/>
        <v>9</v>
      </c>
      <c r="L10" s="323">
        <f t="shared" si="2"/>
        <v>0.844827586206897</v>
      </c>
      <c r="M10" s="309">
        <f>COUNTIFS(总表!B:B,A10,总表!L:L,"",总表!M:M,"",总表!W:W,"",总表!V:V,"&lt;&gt;",总表!U:U,"",总表!G:G,"")</f>
        <v>1</v>
      </c>
      <c r="N10" s="309">
        <f>COUNTIFS(总表!B:B,A10,总表!L:L,"",总表!M:M,"",总表!W:W,"&lt;&gt;",总表!V:V,"",总表!U:U,"",总表!G:G,"")</f>
        <v>1</v>
      </c>
      <c r="O10" s="324">
        <f t="shared" si="3"/>
        <v>56</v>
      </c>
    </row>
    <row r="11" spans="1:15">
      <c r="A11" s="308" t="s">
        <v>169</v>
      </c>
      <c r="B11" s="309">
        <f>COUNTIFS(总表!B:B,A11,总表!G:G,"&lt;&gt;",总表!F:F,"&lt;&gt;加项",总表!G:G,"&lt;&gt;已退单")</f>
        <v>262</v>
      </c>
      <c r="C11" s="309">
        <f>COUNTIFS(总表!B:B,A11,总表!U:U,"&lt;&gt;")</f>
        <v>37</v>
      </c>
      <c r="D11" s="310">
        <f>COUNTIFS(总表!B:B,A11,总表!U:U,"",总表!G:G,"")</f>
        <v>19</v>
      </c>
      <c r="E11" s="311">
        <f>COUNTIFS(总表!B:B,A11,总表!O:O,"&lt;&gt;",总表!L:L,"",总表!M:M,"",总表!U:U,"",总表!G:G,"")</f>
        <v>5</v>
      </c>
      <c r="F11" s="312">
        <f>COUNTIFS(总表!B:B,A11,总表!U:U,"",总表!L:L,"",总表!M:M,"",总表!P:P,"&lt;&gt;",总表!G:G,"")</f>
        <v>6</v>
      </c>
      <c r="G11" s="312">
        <f>COUNTIFS(总表!B:B,A11,总表!L:L,"",总表!M:M,"",总表!U:U,"",总表!Q:Q,"&lt;&gt;",总表!G:G,"")</f>
        <v>0</v>
      </c>
      <c r="H11" s="312">
        <f>COUNTIFS(总表!B:B,A11,总表!L:L,"",总表!M:M,"",总表!U:U,"",总表!R:R,"&lt;&gt;",总表!G:G,"")</f>
        <v>0</v>
      </c>
      <c r="I11" s="312">
        <f>COUNTIFS(总表!B:B,A11,总表!L:L,"",总表!M:M,"",总表!U:U,"",总表!S:S,"&lt;&gt;",总表!G:G,"")</f>
        <v>0</v>
      </c>
      <c r="J11" s="322">
        <f>COUNTIFS(总表!B:B,A11,总表!L:L,"",总表!M:M,"",总表!U:U,"",总表!T:T,"&lt;&gt;",总表!G:G,"")</f>
        <v>0</v>
      </c>
      <c r="K11" s="312">
        <f t="shared" si="1"/>
        <v>8</v>
      </c>
      <c r="L11" s="323">
        <f t="shared" si="2"/>
        <v>0.578947368421053</v>
      </c>
      <c r="M11" s="309">
        <f>COUNTIFS(总表!B:B,A11,总表!L:L,"",总表!M:M,"",总表!W:W,"",总表!V:V,"&lt;&gt;",总表!U:U,"",总表!G:G,"")</f>
        <v>7</v>
      </c>
      <c r="N11" s="309">
        <f>COUNTIFS(总表!B:B,A11,总表!L:L,"",总表!M:M,"",总表!W:W,"&lt;&gt;",总表!V:V,"",总表!U:U,"",总表!G:G,"")</f>
        <v>0</v>
      </c>
      <c r="O11" s="324">
        <f t="shared" si="3"/>
        <v>12</v>
      </c>
    </row>
    <row r="12" spans="1:15">
      <c r="A12" s="308" t="s">
        <v>405</v>
      </c>
      <c r="B12" s="309">
        <f>COUNTIFS(总表!B:B,A12,总表!G:G,"&lt;&gt;",总表!F:F,"&lt;&gt;加项",总表!G:G,"&lt;&gt;已退单")</f>
        <v>136</v>
      </c>
      <c r="C12" s="309">
        <f>COUNTIFS(总表!B:B,A12,总表!U:U,"&lt;&gt;")</f>
        <v>22</v>
      </c>
      <c r="D12" s="310">
        <f>COUNTIFS(总表!B:B,A12,总表!U:U,"",总表!G:G,"")</f>
        <v>46</v>
      </c>
      <c r="E12" s="311">
        <f>COUNTIFS(总表!B:B,A12,总表!O:O,"&lt;&gt;",总表!L:L,"",总表!M:M,"",总表!U:U,"",总表!G:G,"")</f>
        <v>10</v>
      </c>
      <c r="F12" s="312">
        <f>COUNTIFS(总表!B:B,A12,总表!U:U,"",总表!L:L,"",总表!M:M,"",总表!P:P,"&lt;&gt;",总表!G:G,"")</f>
        <v>9</v>
      </c>
      <c r="G12" s="312">
        <f>COUNTIFS(总表!B:B,A12,总表!L:L,"",总表!M:M,"",总表!U:U,"",总表!Q:Q,"&lt;&gt;",总表!G:G,"")</f>
        <v>12</v>
      </c>
      <c r="H12" s="312">
        <f>COUNTIFS(总表!B:B,A12,总表!L:L,"",总表!M:M,"",总表!U:U,"",总表!R:R,"&lt;&gt;",总表!G:G,"")</f>
        <v>8</v>
      </c>
      <c r="I12" s="312">
        <f>COUNTIFS(总表!B:B,A12,总表!L:L,"",总表!M:M,"",总表!U:U,"",总表!S:S,"&lt;&gt;",总表!G:G,"")</f>
        <v>1</v>
      </c>
      <c r="J12" s="322">
        <f>COUNTIFS(总表!B:B,A12,总表!L:L,"",总表!M:M,"",总表!U:U,"",总表!T:T,"&lt;&gt;",总表!G:G,"")</f>
        <v>1</v>
      </c>
      <c r="K12" s="312">
        <f t="shared" si="1"/>
        <v>5</v>
      </c>
      <c r="L12" s="323">
        <f t="shared" si="2"/>
        <v>0.891304347826087</v>
      </c>
      <c r="M12" s="309">
        <f>COUNTIFS(总表!B:B,A12,总表!L:L,"",总表!M:M,"",总表!W:W,"",总表!V:V,"&lt;&gt;",总表!U:U,"",总表!G:G,"")</f>
        <v>0</v>
      </c>
      <c r="N12" s="309">
        <f>COUNTIFS(总表!B:B,A12,总表!L:L,"",总表!M:M,"",总表!W:W,"&lt;&gt;",总表!V:V,"",总表!U:U,"",总表!G:G,"")</f>
        <v>3</v>
      </c>
      <c r="O12" s="324">
        <f t="shared" si="3"/>
        <v>43</v>
      </c>
    </row>
    <row r="13" spans="1:15">
      <c r="A13" s="308" t="s">
        <v>335</v>
      </c>
      <c r="B13" s="309">
        <f>COUNTIFS(总表!B:B,A13,总表!G:G,"&lt;&gt;",总表!F:F,"&lt;&gt;加项",总表!G:G,"&lt;&gt;已退单")</f>
        <v>189</v>
      </c>
      <c r="C13" s="309">
        <f>COUNTIFS(总表!B:B,A13,总表!U:U,"&lt;&gt;")</f>
        <v>15</v>
      </c>
      <c r="D13" s="310">
        <f>COUNTIFS(总表!B:B,A13,总表!U:U,"",总表!G:G,"")</f>
        <v>52</v>
      </c>
      <c r="E13" s="311">
        <f>COUNTIFS(总表!B:B,A13,总表!O:O,"&lt;&gt;",总表!L:L,"",总表!M:M,"",总表!U:U,"",总表!G:G,"")</f>
        <v>38</v>
      </c>
      <c r="F13" s="312">
        <f>COUNTIFS(总表!B:B,A13,总表!U:U,"",总表!L:L,"",总表!M:M,"",总表!P:P,"&lt;&gt;",总表!G:G,"")</f>
        <v>0</v>
      </c>
      <c r="G13" s="312">
        <f>COUNTIFS(总表!B:B,A13,总表!L:L,"",总表!M:M,"",总表!U:U,"",总表!Q:Q,"&lt;&gt;",总表!G:G,"")</f>
        <v>0</v>
      </c>
      <c r="H13" s="312">
        <f>COUNTIFS(总表!B:B,A13,总表!L:L,"",总表!M:M,"",总表!U:U,"",总表!R:R,"&lt;&gt;",总表!G:G,"")</f>
        <v>5</v>
      </c>
      <c r="I13" s="312">
        <f>COUNTIFS(总表!B:B,A13,总表!L:L,"",总表!M:M,"",总表!U:U,"",总表!S:S,"&lt;&gt;",总表!G:G,"")</f>
        <v>0</v>
      </c>
      <c r="J13" s="322">
        <f>COUNTIFS(总表!B:B,A13,总表!L:L,"",总表!M:M,"",总表!U:U,"",总表!T:T,"&lt;&gt;",总表!G:G,"")</f>
        <v>0</v>
      </c>
      <c r="K13" s="312">
        <f t="shared" si="1"/>
        <v>9</v>
      </c>
      <c r="L13" s="323">
        <f t="shared" si="2"/>
        <v>0.826923076923077</v>
      </c>
      <c r="M13" s="309">
        <f>COUNTIFS(总表!B:B,A13,总表!L:L,"",总表!M:M,"",总表!W:W,"",总表!V:V,"&lt;&gt;",总表!U:U,"",总表!G:G,"")</f>
        <v>0</v>
      </c>
      <c r="N13" s="309">
        <f>COUNTIFS(总表!B:B,A13,总表!L:L,"",总表!M:M,"",总表!W:W,"&lt;&gt;",总表!V:V,"",总表!U:U,"",总表!G:G,"")</f>
        <v>0</v>
      </c>
      <c r="O13" s="324">
        <f t="shared" si="3"/>
        <v>52</v>
      </c>
    </row>
    <row r="14" spans="1:15">
      <c r="A14" s="308" t="s">
        <v>185</v>
      </c>
      <c r="B14" s="309">
        <f>COUNTIFS(总表!B:B,A14,总表!G:G,"&lt;&gt;",总表!F:F,"&lt;&gt;加项",总表!G:G,"&lt;&gt;已退单")</f>
        <v>351</v>
      </c>
      <c r="C14" s="309">
        <f>COUNTIFS(总表!B:B,A14,总表!U:U,"&lt;&gt;")</f>
        <v>61</v>
      </c>
      <c r="D14" s="310">
        <f>COUNTIFS(总表!B:B,A14,总表!U:U,"",总表!G:G,"")</f>
        <v>74</v>
      </c>
      <c r="E14" s="311">
        <f>COUNTIFS(总表!B:B,A14,总表!O:O,"&lt;&gt;",总表!L:L,"",总表!M:M,"",总表!U:U,"",总表!G:G,"")</f>
        <v>42</v>
      </c>
      <c r="F14" s="312">
        <f>COUNTIFS(总表!B:B,A14,总表!U:U,"",总表!L:L,"",总表!M:M,"",总表!P:P,"&lt;&gt;",总表!G:G,"")</f>
        <v>8</v>
      </c>
      <c r="G14" s="312">
        <f>COUNTIFS(总表!B:B,A14,总表!L:L,"",总表!M:M,"",总表!U:U,"",总表!Q:Q,"&lt;&gt;",总表!G:G,"")</f>
        <v>17</v>
      </c>
      <c r="H14" s="312">
        <f>COUNTIFS(总表!B:B,A14,总表!L:L,"",总表!M:M,"",总表!U:U,"",总表!R:R,"&lt;&gt;",总表!G:G,"")</f>
        <v>3</v>
      </c>
      <c r="I14" s="312">
        <f>COUNTIFS(总表!B:B,A14,总表!L:L,"",总表!M:M,"",总表!U:U,"",总表!S:S,"&lt;&gt;",总表!G:G,"")</f>
        <v>0</v>
      </c>
      <c r="J14" s="322">
        <f>COUNTIFS(总表!B:B,A14,总表!L:L,"",总表!M:M,"",总表!U:U,"",总表!T:T,"&lt;&gt;",总表!G:G,"")</f>
        <v>0</v>
      </c>
      <c r="K14" s="312">
        <f t="shared" si="1"/>
        <v>4</v>
      </c>
      <c r="L14" s="323">
        <f t="shared" si="2"/>
        <v>0.945945945945946</v>
      </c>
      <c r="M14" s="309">
        <f>COUNTIFS(总表!B:B,A14,总表!L:L,"",总表!M:M,"",总表!W:W,"",总表!V:V,"&lt;&gt;",总表!U:U,"",总表!G:G,"")</f>
        <v>1</v>
      </c>
      <c r="N14" s="309">
        <f>COUNTIFS(总表!B:B,A14,总表!L:L,"",总表!M:M,"",总表!W:W,"&lt;&gt;",总表!V:V,"",总表!U:U,"",总表!G:G,"")</f>
        <v>5</v>
      </c>
      <c r="O14" s="324">
        <f t="shared" si="3"/>
        <v>68</v>
      </c>
    </row>
    <row r="15" spans="1:15">
      <c r="A15" s="308" t="s">
        <v>243</v>
      </c>
      <c r="B15" s="309">
        <f>COUNTIFS(总表!B:B,A15,总表!G:G,"&lt;&gt;",总表!F:F,"&lt;&gt;加项",总表!G:G,"&lt;&gt;已退单")</f>
        <v>111</v>
      </c>
      <c r="C15" s="309">
        <f>COUNTIFS(总表!B:B,A15,总表!U:U,"&lt;&gt;")</f>
        <v>17</v>
      </c>
      <c r="D15" s="310">
        <f>COUNTIFS(总表!B:B,A15,总表!U:U,"",总表!G:G,"")</f>
        <v>21</v>
      </c>
      <c r="E15" s="311">
        <f>COUNTIFS(总表!B:B,A15,总表!O:O,"&lt;&gt;",总表!L:L,"",总表!M:M,"",总表!U:U,"",总表!G:G,"")</f>
        <v>5</v>
      </c>
      <c r="F15" s="312">
        <f>COUNTIFS(总表!B:B,A15,总表!U:U,"",总表!L:L,"",总表!M:M,"",总表!P:P,"&lt;&gt;",总表!G:G,"")</f>
        <v>7</v>
      </c>
      <c r="G15" s="312">
        <f>COUNTIFS(总表!B:B,A15,总表!L:L,"",总表!M:M,"",总表!U:U,"",总表!Q:Q,"&lt;&gt;",总表!G:G,"")</f>
        <v>4</v>
      </c>
      <c r="H15" s="312">
        <f>COUNTIFS(总表!B:B,A15,总表!L:L,"",总表!M:M,"",总表!U:U,"",总表!R:R,"&lt;&gt;",总表!G:G,"")</f>
        <v>3</v>
      </c>
      <c r="I15" s="312">
        <f>COUNTIFS(总表!B:B,A15,总表!L:L,"",总表!M:M,"",总表!U:U,"",总表!S:S,"&lt;&gt;",总表!G:G,"")</f>
        <v>0</v>
      </c>
      <c r="J15" s="322">
        <f>COUNTIFS(总表!B:B,A15,总表!L:L,"",总表!M:M,"",总表!U:U,"",总表!T:T,"&lt;&gt;",总表!G:G,"")</f>
        <v>0</v>
      </c>
      <c r="K15" s="312">
        <f t="shared" si="1"/>
        <v>2</v>
      </c>
      <c r="L15" s="323">
        <f t="shared" si="2"/>
        <v>0.904761904761905</v>
      </c>
      <c r="M15" s="309">
        <f>COUNTIFS(总表!B:B,A15,总表!L:L,"",总表!M:M,"",总表!W:W,"",总表!V:V,"&lt;&gt;",总表!U:U,"",总表!G:G,"")</f>
        <v>0</v>
      </c>
      <c r="N15" s="309">
        <f>COUNTIFS(总表!B:B,A15,总表!L:L,"",总表!M:M,"",总表!W:W,"&lt;&gt;",总表!V:V,"",总表!U:U,"",总表!G:G,"")</f>
        <v>1</v>
      </c>
      <c r="O15" s="324">
        <f t="shared" si="3"/>
        <v>20</v>
      </c>
    </row>
    <row r="16" spans="1:15">
      <c r="A16" s="308" t="s">
        <v>359</v>
      </c>
      <c r="B16" s="309">
        <f>COUNTIFS(总表!B:B,A16,总表!G:G,"&lt;&gt;",总表!F:F,"&lt;&gt;加项",总表!G:G,"&lt;&gt;已退单")</f>
        <v>33</v>
      </c>
      <c r="C16" s="309">
        <f>COUNTIFS(总表!B:B,A16,总表!U:U,"&lt;&gt;")</f>
        <v>6</v>
      </c>
      <c r="D16" s="310">
        <f>COUNTIFS(总表!B:B,A16,总表!U:U,"",总表!G:G,"")</f>
        <v>5</v>
      </c>
      <c r="E16" s="311">
        <f>COUNTIFS(总表!B:B,A16,总表!O:O,"&lt;&gt;",总表!L:L,"",总表!M:M,"",总表!U:U,"",总表!G:G,"")</f>
        <v>1</v>
      </c>
      <c r="F16" s="312">
        <f>COUNTIFS(总表!B:B,A16,总表!U:U,"",总表!L:L,"",总表!M:M,"",总表!P:P,"&lt;&gt;",总表!G:G,"")</f>
        <v>1</v>
      </c>
      <c r="G16" s="312">
        <f>COUNTIFS(总表!B:B,A16,总表!L:L,"",总表!M:M,"",总表!U:U,"",总表!Q:Q,"&lt;&gt;",总表!G:G,"")</f>
        <v>3</v>
      </c>
      <c r="H16" s="312">
        <f>COUNTIFS(总表!B:B,A16,总表!L:L,"",总表!M:M,"",总表!U:U,"",总表!R:R,"&lt;&gt;",总表!G:G,"")</f>
        <v>0</v>
      </c>
      <c r="I16" s="312">
        <f>COUNTIFS(总表!B:B,A16,总表!L:L,"",总表!M:M,"",总表!U:U,"",总表!S:S,"&lt;&gt;",总表!G:G,"")</f>
        <v>0</v>
      </c>
      <c r="J16" s="322">
        <f>COUNTIFS(总表!B:B,A16,总表!L:L,"",总表!M:M,"",总表!U:U,"",总表!T:T,"&lt;&gt;",总表!G:G,"")</f>
        <v>0</v>
      </c>
      <c r="K16" s="312">
        <f t="shared" si="1"/>
        <v>0</v>
      </c>
      <c r="L16" s="323">
        <f t="shared" si="2"/>
        <v>1</v>
      </c>
      <c r="M16" s="309">
        <f>COUNTIFS(总表!B:B,A16,总表!L:L,"",总表!M:M,"",总表!W:W,"",总表!V:V,"&lt;&gt;",总表!U:U,"",总表!G:G,"")</f>
        <v>0</v>
      </c>
      <c r="N16" s="309">
        <f>COUNTIFS(总表!B:B,A16,总表!L:L,"",总表!M:M,"",总表!W:W,"&lt;&gt;",总表!V:V,"",总表!U:U,"",总表!G:G,"")</f>
        <v>0</v>
      </c>
      <c r="O16" s="324">
        <f t="shared" si="3"/>
        <v>5</v>
      </c>
    </row>
    <row r="17" spans="1:15">
      <c r="A17" s="308" t="s">
        <v>94</v>
      </c>
      <c r="B17" s="309">
        <f>COUNTIFS(总表!B:B,A17,总表!G:G,"&lt;&gt;",总表!F:F,"&lt;&gt;加项",总表!G:G,"&lt;&gt;已退单")</f>
        <v>134</v>
      </c>
      <c r="C17" s="309">
        <f>COUNTIFS(总表!B:B,A17,总表!U:U,"&lt;&gt;")</f>
        <v>9</v>
      </c>
      <c r="D17" s="310">
        <f>COUNTIFS(总表!B:B,A17,总表!U:U,"",总表!G:G,"")</f>
        <v>73</v>
      </c>
      <c r="E17" s="311">
        <f>COUNTIFS(总表!B:B,A17,总表!O:O,"&lt;&gt;",总表!L:L,"",总表!M:M,"",总表!U:U,"",总表!G:G,"")</f>
        <v>41</v>
      </c>
      <c r="F17" s="312">
        <f>COUNTIFS(总表!B:B,A17,总表!U:U,"",总表!L:L,"",总表!M:M,"",总表!P:P,"&lt;&gt;",总表!G:G,"")</f>
        <v>7</v>
      </c>
      <c r="G17" s="312">
        <f>COUNTIFS(总表!B:B,A17,总表!L:L,"",总表!M:M,"",总表!U:U,"",总表!Q:Q,"&lt;&gt;",总表!G:G,"")</f>
        <v>3</v>
      </c>
      <c r="H17" s="312">
        <f>COUNTIFS(总表!B:B,A17,总表!L:L,"",总表!M:M,"",总表!U:U,"",总表!R:R,"&lt;&gt;",总表!G:G,"")</f>
        <v>8</v>
      </c>
      <c r="I17" s="312">
        <f>COUNTIFS(总表!B:B,A17,总表!L:L,"",总表!M:M,"",总表!U:U,"",总表!S:S,"&lt;&gt;",总表!G:G,"")</f>
        <v>7</v>
      </c>
      <c r="J17" s="322">
        <f>COUNTIFS(总表!B:B,A17,总表!L:L,"",总表!M:M,"",总表!U:U,"",总表!T:T,"&lt;&gt;",总表!G:G,"")</f>
        <v>0</v>
      </c>
      <c r="K17" s="312">
        <f t="shared" si="1"/>
        <v>7</v>
      </c>
      <c r="L17" s="323">
        <f t="shared" si="2"/>
        <v>0.904109589041096</v>
      </c>
      <c r="M17" s="309">
        <f>COUNTIFS(总表!B:B,A17,总表!L:L,"",总表!M:M,"",总表!W:W,"",总表!V:V,"&lt;&gt;",总表!U:U,"",总表!G:G,"")</f>
        <v>3</v>
      </c>
      <c r="N17" s="309">
        <f>COUNTIFS(总表!B:B,A17,总表!L:L,"",总表!M:M,"",总表!W:W,"&lt;&gt;",总表!V:V,"",总表!U:U,"",总表!G:G,"")</f>
        <v>2</v>
      </c>
      <c r="O17" s="324">
        <f t="shared" si="3"/>
        <v>68</v>
      </c>
    </row>
    <row r="18" spans="1:15">
      <c r="A18" s="308" t="s">
        <v>35</v>
      </c>
      <c r="B18" s="309">
        <f>COUNTIFS(总表!B:B,A18,总表!G:G,"&lt;&gt;",总表!F:F,"&lt;&gt;加项",总表!G:G,"&lt;&gt;已退单")</f>
        <v>268</v>
      </c>
      <c r="C18" s="309">
        <f>COUNTIFS(总表!B:B,A18,总表!U:U,"&lt;&gt;")</f>
        <v>47</v>
      </c>
      <c r="D18" s="310">
        <f>COUNTIFS(总表!B:B,A18,总表!U:U,"",总表!G:G,"")</f>
        <v>23</v>
      </c>
      <c r="E18" s="311">
        <f>COUNTIFS(总表!B:B,A18,总表!O:O,"&lt;&gt;",总表!L:L,"",总表!M:M,"",总表!U:U,"",总表!G:G,"")</f>
        <v>13</v>
      </c>
      <c r="F18" s="312">
        <f>COUNTIFS(总表!B:B,A18,总表!U:U,"",总表!L:L,"",总表!M:M,"",总表!P:P,"&lt;&gt;",总表!G:G,"")</f>
        <v>3</v>
      </c>
      <c r="G18" s="312">
        <f>COUNTIFS(总表!B:B,A18,总表!L:L,"",总表!M:M,"",总表!U:U,"",总表!Q:Q,"&lt;&gt;",总表!G:G,"")</f>
        <v>2</v>
      </c>
      <c r="H18" s="312">
        <f>COUNTIFS(总表!B:B,A18,总表!L:L,"",总表!M:M,"",总表!U:U,"",总表!R:R,"&lt;&gt;",总表!G:G,"")</f>
        <v>2</v>
      </c>
      <c r="I18" s="312">
        <f>COUNTIFS(总表!B:B,A18,总表!L:L,"",总表!M:M,"",总表!U:U,"",总表!S:S,"&lt;&gt;",总表!G:G,"")</f>
        <v>1</v>
      </c>
      <c r="J18" s="322">
        <f>COUNTIFS(总表!B:B,A18,总表!L:L,"",总表!M:M,"",总表!U:U,"",总表!T:T,"&lt;&gt;",总表!G:G,"")</f>
        <v>0</v>
      </c>
      <c r="K18" s="312">
        <f t="shared" si="1"/>
        <v>2</v>
      </c>
      <c r="L18" s="323">
        <f t="shared" si="2"/>
        <v>0.91304347826087</v>
      </c>
      <c r="M18" s="309">
        <f>COUNTIFS(总表!B:B,A18,总表!L:L,"",总表!M:M,"",总表!W:W,"",总表!V:V,"&lt;&gt;",总表!U:U,"",总表!G:G,"")</f>
        <v>1</v>
      </c>
      <c r="N18" s="309">
        <f>COUNTIFS(总表!B:B,A18,总表!L:L,"",总表!M:M,"",总表!W:W,"&lt;&gt;",总表!V:V,"",总表!U:U,"",总表!G:G,"")</f>
        <v>0</v>
      </c>
      <c r="O18" s="324">
        <f t="shared" si="3"/>
        <v>22</v>
      </c>
    </row>
    <row r="19" spans="1:15">
      <c r="A19" s="308" t="s">
        <v>47</v>
      </c>
      <c r="B19" s="309">
        <f>COUNTIFS(总表!B:B,A19,总表!G:G,"&lt;&gt;",总表!F:F,"&lt;&gt;加项",总表!G:G,"&lt;&gt;已退单")</f>
        <v>98</v>
      </c>
      <c r="C19" s="309">
        <f>COUNTIFS(总表!B:B,A19,总表!U:U,"&lt;&gt;")</f>
        <v>10</v>
      </c>
      <c r="D19" s="310">
        <f>COUNTIFS(总表!B:B,A19,总表!U:U,"",总表!G:G,"")</f>
        <v>17</v>
      </c>
      <c r="E19" s="311">
        <f>COUNTIFS(总表!B:B,A19,总表!O:O,"&lt;&gt;",总表!L:L,"",总表!M:M,"",总表!U:U,"",总表!G:G,"")</f>
        <v>4</v>
      </c>
      <c r="F19" s="312">
        <f>COUNTIFS(总表!B:B,A19,总表!U:U,"",总表!L:L,"",总表!M:M,"",总表!P:P,"&lt;&gt;",总表!G:G,"")</f>
        <v>3</v>
      </c>
      <c r="G19" s="312">
        <f>COUNTIFS(总表!B:B,A19,总表!L:L,"",总表!M:M,"",总表!U:U,"",总表!Q:Q,"&lt;&gt;",总表!G:G,"")</f>
        <v>4</v>
      </c>
      <c r="H19" s="312">
        <f>COUNTIFS(总表!B:B,A19,总表!L:L,"",总表!M:M,"",总表!U:U,"",总表!R:R,"&lt;&gt;",总表!G:G,"")</f>
        <v>4</v>
      </c>
      <c r="I19" s="312">
        <f>COUNTIFS(总表!B:B,A19,总表!L:L,"",总表!M:M,"",总表!U:U,"",总表!S:S,"&lt;&gt;",总表!G:G,"")</f>
        <v>2</v>
      </c>
      <c r="J19" s="322">
        <f>COUNTIFS(总表!B:B,A19,总表!L:L,"",总表!M:M,"",总表!U:U,"",总表!T:T,"&lt;&gt;",总表!G:G,"")</f>
        <v>0</v>
      </c>
      <c r="K19" s="312">
        <f t="shared" si="1"/>
        <v>0</v>
      </c>
      <c r="L19" s="323">
        <f t="shared" si="2"/>
        <v>1</v>
      </c>
      <c r="M19" s="309">
        <f>COUNTIFS(总表!B:B,A19,总表!L:L,"",总表!M:M,"",总表!W:W,"",总表!V:V,"&lt;&gt;",总表!U:U,"",总表!G:G,"")</f>
        <v>0</v>
      </c>
      <c r="N19" s="309">
        <f>COUNTIFS(总表!B:B,A19,总表!L:L,"",总表!M:M,"",总表!W:W,"&lt;&gt;",总表!V:V,"",总表!U:U,"",总表!G:G,"")</f>
        <v>0</v>
      </c>
      <c r="O19" s="324">
        <f t="shared" si="3"/>
        <v>17</v>
      </c>
    </row>
    <row r="20" spans="1:15">
      <c r="A20" s="308" t="s">
        <v>123</v>
      </c>
      <c r="B20" s="309">
        <f>COUNTIFS(总表!B:B,A20,总表!G:G,"&lt;&gt;",总表!F:F,"&lt;&gt;加项",总表!G:G,"&lt;&gt;已退单")</f>
        <v>134</v>
      </c>
      <c r="C20" s="309">
        <f>COUNTIFS(总表!B:B,A20,总表!U:U,"&lt;&gt;")</f>
        <v>31</v>
      </c>
      <c r="D20" s="310">
        <f>COUNTIFS(总表!B:B,A20,总表!U:U,"",总表!G:G,"")</f>
        <v>21</v>
      </c>
      <c r="E20" s="311">
        <f>COUNTIFS(总表!B:B,A20,总表!O:O,"&lt;&gt;",总表!L:L,"",总表!M:M,"",总表!U:U,"",总表!G:G,"")</f>
        <v>6</v>
      </c>
      <c r="F20" s="312">
        <f>COUNTIFS(总表!B:B,A20,总表!U:U,"",总表!L:L,"",总表!M:M,"",总表!P:P,"&lt;&gt;",总表!G:G,"")</f>
        <v>0</v>
      </c>
      <c r="G20" s="312">
        <f>COUNTIFS(总表!B:B,A20,总表!L:L,"",总表!M:M,"",总表!U:U,"",总表!Q:Q,"&lt;&gt;",总表!G:G,"")</f>
        <v>4</v>
      </c>
      <c r="H20" s="312">
        <f>COUNTIFS(总表!B:B,A20,总表!L:L,"",总表!M:M,"",总表!U:U,"",总表!R:R,"&lt;&gt;",总表!G:G,"")</f>
        <v>1</v>
      </c>
      <c r="I20" s="312">
        <f>COUNTIFS(总表!B:B,A20,总表!L:L,"",总表!M:M,"",总表!U:U,"",总表!S:S,"&lt;&gt;",总表!G:G,"")</f>
        <v>0</v>
      </c>
      <c r="J20" s="322">
        <f>COUNTIFS(总表!B:B,A20,总表!L:L,"",总表!M:M,"",总表!U:U,"",总表!T:T,"&lt;&gt;",总表!G:G,"")</f>
        <v>0</v>
      </c>
      <c r="K20" s="312">
        <f t="shared" si="1"/>
        <v>10</v>
      </c>
      <c r="L20" s="323">
        <f t="shared" si="2"/>
        <v>0.523809523809524</v>
      </c>
      <c r="M20" s="309">
        <f>COUNTIFS(总表!B:B,A20,总表!L:L,"",总表!M:M,"",总表!W:W,"",总表!V:V,"&lt;&gt;",总表!U:U,"",总表!G:G,"")</f>
        <v>1</v>
      </c>
      <c r="N20" s="309">
        <f>COUNTIFS(总表!B:B,A20,总表!L:L,"",总表!M:M,"",总表!W:W,"&lt;&gt;",总表!V:V,"",总表!U:U,"",总表!G:G,"")</f>
        <v>0</v>
      </c>
      <c r="O20" s="324">
        <f t="shared" si="3"/>
        <v>20</v>
      </c>
    </row>
    <row r="21" spans="1:15">
      <c r="A21" s="308" t="s">
        <v>31</v>
      </c>
      <c r="B21" s="309">
        <f>COUNTIFS(总表!B:B,A21,总表!G:G,"&lt;&gt;",总表!F:F,"&lt;&gt;加项",总表!G:G,"&lt;&gt;已退单")</f>
        <v>655</v>
      </c>
      <c r="C21" s="309">
        <f>COUNTIFS(总表!B:B,A21,总表!U:U,"&lt;&gt;")</f>
        <v>95</v>
      </c>
      <c r="D21" s="310">
        <f>COUNTIFS(总表!B:B,A21,总表!U:U,"",总表!G:G,"")</f>
        <v>136</v>
      </c>
      <c r="E21" s="311">
        <f>COUNTIFS(总表!B:B,A21,总表!O:O,"&lt;&gt;",总表!L:L,"",总表!M:M,"",总表!U:U,"",总表!G:G,"")</f>
        <v>36</v>
      </c>
      <c r="F21" s="312">
        <f>COUNTIFS(总表!B:B,A21,总表!U:U,"",总表!L:L,"",总表!M:M,"",总表!P:P,"&lt;&gt;",总表!G:G,"")</f>
        <v>21</v>
      </c>
      <c r="G21" s="312">
        <f>COUNTIFS(总表!B:B,A21,总表!L:L,"",总表!M:M,"",总表!U:U,"",总表!Q:Q,"&lt;&gt;",总表!G:G,"")</f>
        <v>21</v>
      </c>
      <c r="H21" s="312">
        <f>COUNTIFS(总表!B:B,A21,总表!L:L,"",总表!M:M,"",总表!U:U,"",总表!R:R,"&lt;&gt;",总表!G:G,"")</f>
        <v>5</v>
      </c>
      <c r="I21" s="312">
        <f>COUNTIFS(总表!B:B,A21,总表!L:L,"",总表!M:M,"",总表!U:U,"",总表!S:S,"&lt;&gt;",总表!G:G,"")</f>
        <v>4</v>
      </c>
      <c r="J21" s="322">
        <f>COUNTIFS(总表!B:B,A21,总表!L:L,"",总表!M:M,"",总表!U:U,"",总表!T:T,"&lt;&gt;",总表!G:G,"")</f>
        <v>1</v>
      </c>
      <c r="K21" s="312">
        <f t="shared" si="1"/>
        <v>48</v>
      </c>
      <c r="L21" s="323">
        <f t="shared" si="2"/>
        <v>0.647058823529412</v>
      </c>
      <c r="M21" s="309">
        <f>COUNTIFS(总表!B:B,A21,总表!L:L,"",总表!M:M,"",总表!W:W,"",总表!V:V,"&lt;&gt;",总表!U:U,"",总表!G:G,"")</f>
        <v>1</v>
      </c>
      <c r="N21" s="309">
        <f>COUNTIFS(总表!B:B,A21,总表!L:L,"",总表!M:M,"",总表!W:W,"&lt;&gt;",总表!V:V,"",总表!U:U,"",总表!G:G,"")</f>
        <v>0</v>
      </c>
      <c r="O21" s="324">
        <f t="shared" si="3"/>
        <v>135</v>
      </c>
    </row>
    <row r="22" spans="1:15">
      <c r="A22" s="308" t="s">
        <v>58</v>
      </c>
      <c r="B22" s="309">
        <f>COUNTIFS(总表!B:B,A22,总表!G:G,"&lt;&gt;",总表!F:F,"&lt;&gt;加项",总表!G:G,"&lt;&gt;已退单")</f>
        <v>574</v>
      </c>
      <c r="C22" s="309">
        <f>COUNTIFS(总表!B:B,A22,总表!U:U,"&lt;&gt;")</f>
        <v>64</v>
      </c>
      <c r="D22" s="310">
        <f>COUNTIFS(总表!B:B,A22,总表!U:U,"",总表!G:G,"")</f>
        <v>137</v>
      </c>
      <c r="E22" s="311">
        <f>COUNTIFS(总表!B:B,A22,总表!O:O,"&lt;&gt;",总表!L:L,"",总表!M:M,"",总表!U:U,"",总表!G:G,"")</f>
        <v>88</v>
      </c>
      <c r="F22" s="312">
        <f>COUNTIFS(总表!B:B,A22,总表!U:U,"",总表!L:L,"",总表!M:M,"",总表!P:P,"&lt;&gt;",总表!G:G,"")</f>
        <v>16</v>
      </c>
      <c r="G22" s="312">
        <f>COUNTIFS(总表!B:B,A22,总表!L:L,"",总表!M:M,"",总表!U:U,"",总表!Q:Q,"&lt;&gt;",总表!G:G,"")</f>
        <v>17</v>
      </c>
      <c r="H22" s="312">
        <f>COUNTIFS(总表!B:B,A22,总表!L:L,"",总表!M:M,"",总表!U:U,"",总表!R:R,"&lt;&gt;",总表!G:G,"")</f>
        <v>2</v>
      </c>
      <c r="I22" s="312">
        <f>COUNTIFS(总表!B:B,A22,总表!L:L,"",总表!M:M,"",总表!U:U,"",总表!S:S,"&lt;&gt;",总表!G:G,"")</f>
        <v>2</v>
      </c>
      <c r="J22" s="322">
        <f>COUNTIFS(总表!B:B,A22,总表!L:L,"",总表!M:M,"",总表!U:U,"",总表!T:T,"&lt;&gt;",总表!G:G,"")</f>
        <v>1</v>
      </c>
      <c r="K22" s="312">
        <f t="shared" si="1"/>
        <v>11</v>
      </c>
      <c r="L22" s="323">
        <f t="shared" si="2"/>
        <v>0.91970802919708</v>
      </c>
      <c r="M22" s="309">
        <f>COUNTIFS(总表!B:B,A22,总表!L:L,"",总表!M:M,"",总表!W:W,"",总表!V:V,"&lt;&gt;",总表!U:U,"",总表!G:G,"")</f>
        <v>1</v>
      </c>
      <c r="N22" s="309">
        <f>COUNTIFS(总表!B:B,A22,总表!L:L,"",总表!M:M,"",总表!W:W,"&lt;&gt;",总表!V:V,"",总表!U:U,"",总表!G:G,"")</f>
        <v>2</v>
      </c>
      <c r="O22" s="324">
        <f t="shared" si="3"/>
        <v>134</v>
      </c>
    </row>
    <row r="23" spans="1:15">
      <c r="A23" s="308" t="s">
        <v>805</v>
      </c>
      <c r="B23" s="309">
        <f>COUNTIFS(总表!B:B,A23,总表!G:G,"&lt;&gt;",总表!F:F,"&lt;&gt;加项",总表!G:G,"&lt;&gt;已退单")</f>
        <v>116</v>
      </c>
      <c r="C23" s="309">
        <f>COUNTIFS(总表!B:B,A23,总表!U:U,"&lt;&gt;")</f>
        <v>12</v>
      </c>
      <c r="D23" s="310">
        <f>COUNTIFS(总表!B:B,A23,总表!U:U,"",总表!G:G,"")</f>
        <v>36</v>
      </c>
      <c r="E23" s="311">
        <f>COUNTIFS(总表!B:B,A23,总表!O:O,"&lt;&gt;",总表!L:L,"",总表!M:M,"",总表!U:U,"",总表!G:G,"")</f>
        <v>14</v>
      </c>
      <c r="F23" s="312">
        <f>COUNTIFS(总表!B:B,A23,总表!U:U,"",总表!L:L,"",总表!M:M,"",总表!P:P,"&lt;&gt;",总表!G:G,"")</f>
        <v>7</v>
      </c>
      <c r="G23" s="312">
        <f>COUNTIFS(总表!B:B,A23,总表!L:L,"",总表!M:M,"",总表!U:U,"",总表!Q:Q,"&lt;&gt;",总表!G:G,"")</f>
        <v>4</v>
      </c>
      <c r="H23" s="312">
        <f>COUNTIFS(总表!B:B,A23,总表!L:L,"",总表!M:M,"",总表!U:U,"",总表!R:R,"&lt;&gt;",总表!G:G,"")</f>
        <v>3</v>
      </c>
      <c r="I23" s="312">
        <f>COUNTIFS(总表!B:B,A23,总表!L:L,"",总表!M:M,"",总表!U:U,"",总表!S:S,"&lt;&gt;",总表!G:G,"")</f>
        <v>1</v>
      </c>
      <c r="J23" s="322">
        <f>COUNTIFS(总表!B:B,A23,总表!L:L,"",总表!M:M,"",总表!U:U,"",总表!T:T,"&lt;&gt;",总表!G:G,"")</f>
        <v>0</v>
      </c>
      <c r="K23" s="312">
        <f t="shared" si="1"/>
        <v>7</v>
      </c>
      <c r="L23" s="323">
        <f t="shared" si="2"/>
        <v>0.805555555555556</v>
      </c>
      <c r="M23" s="309">
        <f>COUNTIFS(总表!B:B,A23,总表!L:L,"",总表!M:M,"",总表!W:W,"",总表!V:V,"&lt;&gt;",总表!U:U,"",总表!G:G,"")</f>
        <v>1</v>
      </c>
      <c r="N23" s="309">
        <f>COUNTIFS(总表!B:B,A23,总表!L:L,"",总表!M:M,"",总表!W:W,"&lt;&gt;",总表!V:V,"",总表!U:U,"",总表!G:G,"")</f>
        <v>2</v>
      </c>
      <c r="O23" s="324">
        <f t="shared" si="3"/>
        <v>33</v>
      </c>
    </row>
    <row r="24" spans="1:15">
      <c r="A24" s="308" t="s">
        <v>21233</v>
      </c>
      <c r="B24" s="309">
        <f>COUNTIFS(总表!B:B,A24,总表!G:G,"&lt;&gt;",总表!F:F,"&lt;&gt;加项",总表!G:G,"&lt;&gt;已退单")</f>
        <v>595</v>
      </c>
      <c r="C24" s="309">
        <f>COUNTIFS(总表!B:B,A24,总表!U:U,"&lt;&gt;")</f>
        <v>92</v>
      </c>
      <c r="D24" s="310">
        <f>COUNTIFS(总表!B:B,A24,总表!U:U,"",总表!G:G,"")</f>
        <v>63</v>
      </c>
      <c r="E24" s="311">
        <f>COUNTIFS(总表!B:B,A24,总表!O:O,"&lt;&gt;",总表!L:L,"",总表!M:M,"",总表!U:U,"",总表!G:G,"")</f>
        <v>32</v>
      </c>
      <c r="F24" s="312">
        <f>COUNTIFS(总表!B:B,A24,总表!U:U,"",总表!L:L,"",总表!M:M,"",总表!P:P,"&lt;&gt;",总表!G:G,"")</f>
        <v>8</v>
      </c>
      <c r="G24" s="312">
        <f>COUNTIFS(总表!B:B,A24,总表!L:L,"",总表!M:M,"",总表!U:U,"",总表!Q:Q,"&lt;&gt;",总表!G:G,"")</f>
        <v>3</v>
      </c>
      <c r="H24" s="312">
        <f>COUNTIFS(总表!B:B,A24,总表!L:L,"",总表!M:M,"",总表!U:U,"",总表!R:R,"&lt;&gt;",总表!G:G,"")</f>
        <v>2</v>
      </c>
      <c r="I24" s="312">
        <f>COUNTIFS(总表!B:B,A24,总表!L:L,"",总表!M:M,"",总表!U:U,"",总表!S:S,"&lt;&gt;",总表!G:G,"")</f>
        <v>1</v>
      </c>
      <c r="J24" s="322">
        <f>COUNTIFS(总表!B:B,A24,总表!L:L,"",总表!M:M,"",总表!U:U,"",总表!T:T,"&lt;&gt;",总表!G:G,"")</f>
        <v>2</v>
      </c>
      <c r="K24" s="312">
        <f t="shared" si="1"/>
        <v>15</v>
      </c>
      <c r="L24" s="323">
        <f t="shared" si="2"/>
        <v>0.761904761904762</v>
      </c>
      <c r="M24" s="309">
        <f>COUNTIFS(总表!B:B,A24,总表!L:L,"",总表!M:M,"",总表!W:W,"",总表!V:V,"&lt;&gt;",总表!U:U,"",总表!G:G,"")</f>
        <v>0</v>
      </c>
      <c r="N24" s="309">
        <f>COUNTIFS(总表!B:B,A24,总表!L:L,"",总表!M:M,"",总表!W:W,"&lt;&gt;",总表!V:V,"",总表!U:U,"",总表!G:G,"")</f>
        <v>0</v>
      </c>
      <c r="O24" s="324">
        <f t="shared" si="3"/>
        <v>63</v>
      </c>
    </row>
    <row r="25" spans="1:15">
      <c r="A25" s="308" t="s">
        <v>5336</v>
      </c>
      <c r="B25" s="309">
        <f>COUNTIFS(总表!B:B,A25,总表!G:G,"&lt;&gt;",总表!F:F,"&lt;&gt;加项",总表!G:G,"&lt;&gt;已退单")</f>
        <v>123</v>
      </c>
      <c r="C25" s="309">
        <f>COUNTIFS(总表!B:B,A25,总表!U:U,"&lt;&gt;")</f>
        <v>9</v>
      </c>
      <c r="D25" s="310">
        <f>COUNTIFS(总表!B:B,A25,总表!U:U,"",总表!G:G,"")</f>
        <v>23</v>
      </c>
      <c r="E25" s="311">
        <f>COUNTIFS(总表!B:B,A25,总表!O:O,"&lt;&gt;",总表!L:L,"",总表!M:M,"",总表!U:U,"",总表!G:G,"")</f>
        <v>18</v>
      </c>
      <c r="F25" s="312">
        <f>COUNTIFS(总表!B:B,A25,总表!U:U,"",总表!L:L,"",总表!M:M,"",总表!P:P,"&lt;&gt;",总表!G:G,"")</f>
        <v>0</v>
      </c>
      <c r="G25" s="312">
        <f>COUNTIFS(总表!B:B,A25,总表!L:L,"",总表!M:M,"",总表!U:U,"",总表!Q:Q,"&lt;&gt;",总表!G:G,"")</f>
        <v>0</v>
      </c>
      <c r="H25" s="312">
        <f>COUNTIFS(总表!B:B,A25,总表!L:L,"",总表!M:M,"",总表!U:U,"",总表!R:R,"&lt;&gt;",总表!G:G,"")</f>
        <v>0</v>
      </c>
      <c r="I25" s="312">
        <f>COUNTIFS(总表!B:B,A25,总表!L:L,"",总表!M:M,"",总表!U:U,"",总表!S:S,"&lt;&gt;",总表!G:G,"")</f>
        <v>0</v>
      </c>
      <c r="J25" s="322">
        <f>COUNTIFS(总表!B:B,A25,总表!L:L,"",总表!M:M,"",总表!U:U,"",总表!T:T,"&lt;&gt;",总表!G:G,"")</f>
        <v>0</v>
      </c>
      <c r="K25" s="312">
        <f t="shared" si="1"/>
        <v>5</v>
      </c>
      <c r="L25" s="323">
        <f t="shared" si="2"/>
        <v>0.782608695652174</v>
      </c>
      <c r="M25" s="309">
        <f>COUNTIFS(总表!B:B,A25,总表!L:L,"",总表!M:M,"",总表!W:W,"",总表!V:V,"&lt;&gt;",总表!U:U,"",总表!G:G,"")</f>
        <v>4</v>
      </c>
      <c r="N25" s="309">
        <f>COUNTIFS(总表!B:B,A25,总表!L:L,"",总表!M:M,"",总表!W:W,"&lt;&gt;",总表!V:V,"",总表!U:U,"",总表!G:G,"")</f>
        <v>0</v>
      </c>
      <c r="O25" s="324">
        <f t="shared" si="3"/>
        <v>19</v>
      </c>
    </row>
    <row r="26" spans="1:15">
      <c r="A26" s="308" t="s">
        <v>21072</v>
      </c>
      <c r="B26" s="309"/>
      <c r="C26" s="309"/>
      <c r="D26" s="310">
        <f>COUNTIFS(总表!B:B,A26,总表!U:U,"",总表!G:G,"")</f>
        <v>1</v>
      </c>
      <c r="E26" s="311">
        <f>COUNTIFS(总表!B:B,A26,总表!O:O,"&lt;&gt;",总表!L:L,"",总表!M:M,"",总表!U:U,"",总表!G:G,"")</f>
        <v>0</v>
      </c>
      <c r="F26" s="312">
        <f>COUNTIFS(总表!B:B,A26,总表!U:U,"",总表!L:L,"",总表!M:M,"",总表!P:P,"&lt;&gt;",总表!G:G,"")</f>
        <v>0</v>
      </c>
      <c r="G26" s="312">
        <f>COUNTIFS(总表!B:B,A26,总表!L:L,"",总表!M:M,"",总表!U:U,"",总表!Q:Q,"&lt;&gt;",总表!G:G,"")</f>
        <v>0</v>
      </c>
      <c r="H26" s="312">
        <f>COUNTIFS(总表!B:B,A26,总表!L:L,"",总表!M:M,"",总表!U:U,"",总表!R:R,"&lt;&gt;",总表!G:G,"")</f>
        <v>0</v>
      </c>
      <c r="I26" s="312">
        <f>COUNTIFS(总表!B:B,A26,总表!L:L,"",总表!M:M,"",总表!U:U,"",总表!S:S,"&lt;&gt;",总表!G:G,"")</f>
        <v>0</v>
      </c>
      <c r="J26" s="322">
        <f>COUNTIFS(总表!B:B,A26,总表!L:L,"",总表!M:M,"",总表!U:U,"",总表!T:T,"&lt;&gt;",总表!G:G,"")</f>
        <v>0</v>
      </c>
      <c r="K26" s="312">
        <f t="shared" si="1"/>
        <v>1</v>
      </c>
      <c r="L26" s="323">
        <f t="shared" si="2"/>
        <v>0</v>
      </c>
      <c r="M26" s="309">
        <f>COUNTIFS(总表!B:B,A26,总表!L:L,"",总表!M:M,"",总表!W:W,"",总表!V:V,"&lt;&gt;",总表!U:U,"",总表!G:G,"")</f>
        <v>0</v>
      </c>
      <c r="N26" s="309">
        <f>COUNTIFS(总表!B:B,A26,总表!L:L,"",总表!M:M,"",总表!W:W,"&lt;&gt;",总表!V:V,"",总表!U:U,"",总表!G:G,"")</f>
        <v>0</v>
      </c>
      <c r="O26" s="324">
        <f t="shared" si="3"/>
        <v>1</v>
      </c>
    </row>
    <row r="27" ht="17.25" spans="1:15">
      <c r="A27" s="308" t="s">
        <v>6313</v>
      </c>
      <c r="B27" s="309">
        <f>COUNTIFS(总表!B:B,A27,总表!G:G,"&lt;&gt;",总表!F:F,"&lt;&gt;加项",总表!G:G,"&lt;&gt;已退单")</f>
        <v>39</v>
      </c>
      <c r="C27" s="309">
        <f>COUNTIFS(总表!B:B,A27,总表!U:U,"&lt;&gt;")</f>
        <v>0</v>
      </c>
      <c r="D27" s="310">
        <f>COUNTIFS(总表!B:B,A27,总表!U:U,"",总表!G:G,"")</f>
        <v>1</v>
      </c>
      <c r="E27" s="313">
        <f>COUNTIFS(总表!B:B,A27,总表!O:O,"&lt;&gt;",总表!L:L,"",总表!M:M,"",总表!U:U,"",总表!G:G,"")</f>
        <v>0</v>
      </c>
      <c r="F27" s="314">
        <f>COUNTIFS(总表!B:B,A27,总表!U:U,"",总表!L:L,"",总表!M:M,"",总表!P:P,"&lt;&gt;",总表!G:G,"")</f>
        <v>0</v>
      </c>
      <c r="G27" s="314">
        <f>COUNTIFS(总表!B:B,A27,总表!L:L,"",总表!M:M,"",总表!U:U,"",总表!Q:Q,"&lt;&gt;",总表!G:G,"")</f>
        <v>0</v>
      </c>
      <c r="H27" s="314">
        <f>COUNTIFS(总表!B:B,A27,总表!L:L,"",总表!M:M,"",总表!U:U,"",总表!R:R,"&lt;&gt;",总表!G:G,"")</f>
        <v>0</v>
      </c>
      <c r="I27" s="314">
        <f>COUNTIFS(总表!B:B,A27,总表!L:L,"",总表!M:M,"",总表!U:U,"",总表!S:S,"&lt;&gt;",总表!G:G,"")</f>
        <v>0</v>
      </c>
      <c r="J27" s="325">
        <f>COUNTIFS(总表!B:B,A27,总表!L:L,"",总表!M:M,"",总表!U:U,"",总表!T:T,"&lt;&gt;",总表!G:G,"")</f>
        <v>0</v>
      </c>
      <c r="K27" s="314">
        <f t="shared" si="1"/>
        <v>1</v>
      </c>
      <c r="L27" s="326">
        <v>0</v>
      </c>
      <c r="M27" s="309">
        <f>COUNTIFS(总表!B:B,A27,总表!L:L,"",总表!M:M,"",总表!W:W,"",总表!V:V,"&lt;&gt;",总表!U:U,"",总表!G:G,"")</f>
        <v>1</v>
      </c>
      <c r="N27" s="309">
        <f>COUNTIFS(总表!B:B,A27,总表!L:L,"",总表!M:M,"",总表!W:W,"&lt;&gt;",总表!V:V,"",总表!U:U,"",总表!G:G,"")</f>
        <v>0</v>
      </c>
      <c r="O27" s="324">
        <f t="shared" si="3"/>
        <v>0</v>
      </c>
    </row>
    <row r="28" ht="15.75" spans="1:15">
      <c r="A28" s="315" t="s">
        <v>21234</v>
      </c>
      <c r="B28" s="315">
        <f>SUM(B3:B27)</f>
        <v>7114</v>
      </c>
      <c r="C28" s="315">
        <f>SUM(C3:C27)</f>
        <v>921</v>
      </c>
      <c r="D28" s="310">
        <f>SUM(D3:D27)</f>
        <v>1174</v>
      </c>
      <c r="E28" s="316">
        <f>SUM(E3:E27)</f>
        <v>500</v>
      </c>
      <c r="F28" s="316">
        <f>SUM(F3:F27)</f>
        <v>141</v>
      </c>
      <c r="G28" s="316">
        <f>SUM(G3:G24)</f>
        <v>161</v>
      </c>
      <c r="H28" s="316">
        <f>SUM(H3:H24)</f>
        <v>77</v>
      </c>
      <c r="I28" s="316">
        <f>SUM(I3:I24)</f>
        <v>35</v>
      </c>
      <c r="J28" s="316">
        <f>SUM(J3:J24)</f>
        <v>7</v>
      </c>
      <c r="K28" s="327">
        <f t="shared" si="1"/>
        <v>253</v>
      </c>
      <c r="L28" s="328">
        <f>(D28-K28)/D28</f>
        <v>0.784497444633731</v>
      </c>
      <c r="M28" s="329">
        <f>SUM(M3:M24)</f>
        <v>29</v>
      </c>
      <c r="N28" s="315">
        <f>SUM(N3:N24)</f>
        <v>17</v>
      </c>
      <c r="O28" s="315">
        <f t="shared" si="3"/>
        <v>1128</v>
      </c>
    </row>
  </sheetData>
  <mergeCells count="9">
    <mergeCell ref="E1:K1"/>
    <mergeCell ref="A1:A2"/>
    <mergeCell ref="B1:B2"/>
    <mergeCell ref="C1:C2"/>
    <mergeCell ref="D1:D2"/>
    <mergeCell ref="L1:L2"/>
    <mergeCell ref="M1:M2"/>
    <mergeCell ref="N1:N2"/>
    <mergeCell ref="O1:O2"/>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zoomScale="85" zoomScaleNormal="85" workbookViewId="0">
      <selection activeCell="H47" sqref="H47"/>
    </sheetView>
  </sheetViews>
  <sheetFormatPr defaultColWidth="9" defaultRowHeight="16.5" outlineLevelCol="7"/>
  <cols>
    <col min="1" max="1" width="14.25" style="271" customWidth="1"/>
    <col min="2" max="2" width="9" style="34"/>
    <col min="3" max="3" width="15.5333333333333" style="34" customWidth="1"/>
    <col min="4" max="4" width="14.1083333333333" style="34" customWidth="1"/>
    <col min="5" max="5" width="13.125" style="246" customWidth="1"/>
    <col min="6" max="6" width="13.5" style="34" customWidth="1"/>
    <col min="7" max="7" width="21.875" style="34" customWidth="1"/>
    <col min="8" max="8" width="15.75" style="34" customWidth="1"/>
    <col min="9" max="9" width="14.5" style="34" customWidth="1"/>
    <col min="10" max="10" width="9" style="34"/>
    <col min="11" max="11" width="12" style="34" customWidth="1"/>
    <col min="12" max="12" width="13.25" style="34" customWidth="1"/>
    <col min="13" max="13" width="12.125" style="34" customWidth="1"/>
    <col min="14" max="14" width="12.5" style="34" customWidth="1"/>
    <col min="15" max="15" width="19.625" style="34" customWidth="1"/>
    <col min="16" max="16383" width="9" style="34"/>
    <col min="16384" max="16384" width="9" style="268"/>
  </cols>
  <sheetData>
    <row r="1" spans="1:8">
      <c r="A1" s="247" t="s">
        <v>21235</v>
      </c>
      <c r="B1" s="248"/>
      <c r="C1" s="248"/>
      <c r="D1" s="248"/>
      <c r="E1" s="249"/>
      <c r="F1" s="248"/>
      <c r="G1" s="250"/>
      <c r="H1" s="34" t="s">
        <v>21236</v>
      </c>
    </row>
    <row r="2" ht="28" customHeight="1" spans="1:8">
      <c r="A2" s="272" t="s">
        <v>21237</v>
      </c>
      <c r="B2" s="273"/>
      <c r="C2" s="273"/>
      <c r="D2" s="273"/>
      <c r="E2" s="273"/>
      <c r="F2" s="273"/>
      <c r="G2" s="274"/>
      <c r="H2" s="34" t="s">
        <v>21238</v>
      </c>
    </row>
    <row r="3" spans="1:8">
      <c r="A3" s="275" t="s">
        <v>30</v>
      </c>
      <c r="B3" s="253" t="s">
        <v>21239</v>
      </c>
      <c r="C3" s="253" t="s">
        <v>21240</v>
      </c>
      <c r="D3" s="253" t="s">
        <v>21241</v>
      </c>
      <c r="E3" s="253" t="s">
        <v>10</v>
      </c>
      <c r="F3" s="254" t="s">
        <v>21242</v>
      </c>
      <c r="G3" s="255" t="s">
        <v>21243</v>
      </c>
      <c r="H3" s="34" t="s">
        <v>21244</v>
      </c>
    </row>
    <row r="4" spans="1:7">
      <c r="A4" s="40" t="s">
        <v>2302</v>
      </c>
      <c r="B4" s="256">
        <f>COUNTIFS(总表!D:D,A4,总表!L:L,"&lt;&gt;",总表!U:U,"",总表!E:E,$H$2,总表!E:E,$H$3)</f>
        <v>4</v>
      </c>
      <c r="C4" s="256">
        <f>SUMIFS(总表!L:L,总表!D:D,A4,总表!E:E,$H$2,总表!E:E,$H$3)</f>
        <v>95743</v>
      </c>
      <c r="D4" s="256">
        <f>SUMIFS(总表!M:M,总表!D:D,A4,总表!E:E,$H$2,总表!E:E,$H$3)</f>
        <v>9560</v>
      </c>
      <c r="E4" s="256">
        <f t="shared" ref="E4:E13" si="0">C4+D4</f>
        <v>105303</v>
      </c>
      <c r="F4" s="257">
        <f t="shared" ref="F4:F13" si="1">E4/B4</f>
        <v>26325.75</v>
      </c>
      <c r="G4" s="258" t="str">
        <f>VLOOKUP(A4,设计师对应店铺!A:B,COLUMN(设计师对应店铺!B:B)-COLUMN(设计师对应店铺!A:B)+1,0)</f>
        <v>沪南店</v>
      </c>
    </row>
    <row r="5" spans="1:7">
      <c r="A5" s="40" t="s">
        <v>1436</v>
      </c>
      <c r="B5" s="256">
        <f>COUNTIFS(总表!D:D,A5,总表!L:L,"&lt;&gt;",总表!U:U,"",总表!E:E,$H$2,总表!E:E,$H$3)</f>
        <v>2</v>
      </c>
      <c r="C5" s="256">
        <f>SUMIFS(总表!L:L,总表!D:D,A5,总表!E:E,$H$2,总表!E:E,$H$3)</f>
        <v>24847</v>
      </c>
      <c r="D5" s="256">
        <f>SUMIFS(总表!M:M,总表!D:D,A5,总表!E:E,$H$2,总表!E:E,$H$3)</f>
        <v>44520</v>
      </c>
      <c r="E5" s="256">
        <f t="shared" si="0"/>
        <v>69367</v>
      </c>
      <c r="F5" s="257">
        <f t="shared" si="1"/>
        <v>34683.5</v>
      </c>
      <c r="G5" s="258" t="str">
        <f>VLOOKUP(A5,设计师对应店铺!A:B,COLUMN(设计师对应店铺!B:B)-COLUMN(设计师对应店铺!A:B)+1,0)</f>
        <v>沪南店</v>
      </c>
    </row>
    <row r="6" spans="1:7">
      <c r="A6" s="40" t="s">
        <v>337</v>
      </c>
      <c r="B6" s="256">
        <f>COUNTIFS(总表!D:D,A6,总表!L:L,"&lt;&gt;",总表!U:U,"",总表!E:E,$H$2,总表!E:E,$H$3)</f>
        <v>3</v>
      </c>
      <c r="C6" s="256">
        <f>SUMIFS(总表!L:L,总表!D:D,A6,总表!E:E,$H$2,总表!E:E,$H$3)</f>
        <v>41501</v>
      </c>
      <c r="D6" s="256">
        <f>SUMIFS(总表!M:M,总表!D:D,A6,总表!E:E,$H$2,总表!E:E,$H$3)</f>
        <v>7310</v>
      </c>
      <c r="E6" s="256">
        <f t="shared" si="0"/>
        <v>48811</v>
      </c>
      <c r="F6" s="257">
        <f t="shared" si="1"/>
        <v>16270.3333333333</v>
      </c>
      <c r="G6" s="258" t="str">
        <f>VLOOKUP(A6,设计师对应店铺!A:B,COLUMN(设计师对应店铺!B:B)-COLUMN(设计师对应店铺!A:B)+1,0)</f>
        <v>建配龙</v>
      </c>
    </row>
    <row r="7" spans="1:7">
      <c r="A7" s="40" t="s">
        <v>125</v>
      </c>
      <c r="B7" s="256">
        <f>COUNTIFS(总表!D:D,A7,总表!L:L,"&lt;&gt;",总表!U:U,"",总表!E:E,$H$2,总表!E:E,$H$3)</f>
        <v>4</v>
      </c>
      <c r="C7" s="256">
        <f>SUMIFS(总表!L:L,总表!D:D,A7,总表!E:E,$H$2,总表!E:E,$H$3)</f>
        <v>38643</v>
      </c>
      <c r="D7" s="256">
        <f>SUMIFS(总表!M:M,总表!D:D,A7,总表!E:E,$H$2,总表!E:E,$H$3)</f>
        <v>2616</v>
      </c>
      <c r="E7" s="256">
        <f t="shared" si="0"/>
        <v>41259</v>
      </c>
      <c r="F7" s="257">
        <f t="shared" si="1"/>
        <v>10314.75</v>
      </c>
      <c r="G7" s="258" t="str">
        <f>VLOOKUP(A7,设计师对应店铺!A:B,COLUMN(设计师对应店铺!B:B)-COLUMN(设计师对应店铺!A:B)+1,0)</f>
        <v>同福店店长</v>
      </c>
    </row>
    <row r="8" spans="1:7">
      <c r="A8" s="40" t="s">
        <v>44</v>
      </c>
      <c r="B8" s="256">
        <f>COUNTIFS(总表!D:D,A8,总表!L:L,"&lt;&gt;",总表!U:U,"",总表!E:E,$H$2,总表!E:E,$H$3)</f>
        <v>3</v>
      </c>
      <c r="C8" s="256">
        <f>SUMIFS(总表!L:L,总表!D:D,A8,总表!E:E,$H$2,总表!E:E,$H$3)</f>
        <v>20562</v>
      </c>
      <c r="D8" s="256">
        <f>SUMIFS(总表!M:M,总表!D:D,A8,总表!E:E,$H$2,总表!E:E,$H$3)</f>
        <v>7681</v>
      </c>
      <c r="E8" s="256">
        <f t="shared" si="0"/>
        <v>28243</v>
      </c>
      <c r="F8" s="257">
        <f t="shared" si="1"/>
        <v>9414.33333333333</v>
      </c>
      <c r="G8" s="258" t="str">
        <f>VLOOKUP(A8,设计师对应店铺!A:B,COLUMN(设计师对应店铺!B:B)-COLUMN(设计师对应店铺!A:B)+1,0)</f>
        <v>金桥店、百安居</v>
      </c>
    </row>
    <row r="9" spans="1:7">
      <c r="A9" s="40" t="s">
        <v>207</v>
      </c>
      <c r="B9" s="256">
        <f>COUNTIFS(总表!D:D,A9,总表!L:L,"&lt;&gt;",总表!U:U,"",总表!E:E,$H$2,总表!E:E,$H$3)</f>
        <v>1</v>
      </c>
      <c r="C9" s="256">
        <f>SUMIFS(总表!L:L,总表!D:D,A9,总表!E:E,$H$2,总表!E:E,$H$3)</f>
        <v>2716</v>
      </c>
      <c r="D9" s="256">
        <f>SUMIFS(总表!M:M,总表!D:D,A9,总表!E:E,$H$2,总表!E:E,$H$3)</f>
        <v>6276</v>
      </c>
      <c r="E9" s="256">
        <f t="shared" si="0"/>
        <v>8992</v>
      </c>
      <c r="F9" s="257">
        <f t="shared" si="1"/>
        <v>8992</v>
      </c>
      <c r="G9" s="258" t="str">
        <f>VLOOKUP(A9,设计师对应店铺!A:B,COLUMN(设计师对应店铺!B:B)-COLUMN(设计师对应店铺!A:B)+1,0)</f>
        <v>百安居</v>
      </c>
    </row>
    <row r="10" spans="1:7">
      <c r="A10" s="40" t="s">
        <v>37</v>
      </c>
      <c r="B10" s="256">
        <f>COUNTIFS(总表!D:D,A10,总表!L:L,"&lt;&gt;",总表!U:U,"",总表!E:E,$H$2,总表!E:E,$H$3)</f>
        <v>1</v>
      </c>
      <c r="C10" s="256">
        <f>SUMIFS(总表!L:L,总表!D:D,A10,总表!E:E,$H$2,总表!E:E,$H$3)</f>
        <v>7340</v>
      </c>
      <c r="D10" s="256">
        <f>SUMIFS(总表!M:M,总表!D:D,A10,总表!E:E,$H$2,总表!E:E,$H$3)</f>
        <v>1427</v>
      </c>
      <c r="E10" s="256">
        <f t="shared" si="0"/>
        <v>8767</v>
      </c>
      <c r="F10" s="257">
        <f t="shared" si="1"/>
        <v>8767</v>
      </c>
      <c r="G10" s="258" t="str">
        <f>VLOOKUP(A10,设计师对应店铺!A:B,COLUMN(设计师对应店铺!B:B)-COLUMN(设计师对应店铺!A:B)+1,0)</f>
        <v>浦江店</v>
      </c>
    </row>
    <row r="11" spans="1:7">
      <c r="A11" s="276" t="s">
        <v>68</v>
      </c>
      <c r="B11" s="277">
        <f>COUNTIFS(总表!D:D,A11,总表!L:L,"&lt;&gt;",总表!U:U,"",总表!E:E,$H$2,总表!E:E,$H$3)</f>
        <v>1</v>
      </c>
      <c r="C11" s="277">
        <f>SUMIFS(总表!L:L,总表!D:D,A11,总表!E:E,$H$2,总表!E:E,$H$3)</f>
        <v>5490</v>
      </c>
      <c r="D11" s="277">
        <f>SUMIFS(总表!M:M,总表!D:D,A11,总表!E:E,$H$2,总表!E:E,$H$3)</f>
        <v>-4665</v>
      </c>
      <c r="E11" s="277">
        <f>C11+D11</f>
        <v>825</v>
      </c>
      <c r="F11" s="278">
        <f>E11/B11</f>
        <v>825</v>
      </c>
      <c r="G11" s="279" t="str">
        <f>VLOOKUP(A11,设计师对应店铺!A:B,COLUMN(设计师对应店铺!B:B)-COLUMN(设计师对应店铺!A:B)+1,0)</f>
        <v>沪南店</v>
      </c>
    </row>
    <row r="12" spans="1:7">
      <c r="A12" s="276" t="s">
        <v>21245</v>
      </c>
      <c r="B12" s="277">
        <f>COUNTIFS(总表!D:D,A12,总表!L:L,"&lt;&gt;",总表!U:U,"",总表!E:E,$H$2,总表!E:E,$H$3)</f>
        <v>0</v>
      </c>
      <c r="C12" s="277">
        <f>SUMIFS(总表!L:L,总表!D:D,A12,总表!E:E,$H$2,总表!E:E,$H$3)</f>
        <v>0</v>
      </c>
      <c r="D12" s="277">
        <f>SUMIFS(总表!M:M,总表!D:D,A12,总表!E:E,$H$2,总表!E:E,$H$3)</f>
        <v>0</v>
      </c>
      <c r="E12" s="277">
        <f>C12+D12</f>
        <v>0</v>
      </c>
      <c r="F12" s="278" t="e">
        <f>E12/B12</f>
        <v>#DIV/0!</v>
      </c>
      <c r="G12" s="279" t="str">
        <f>VLOOKUP(A12,设计师对应店铺!A:B,COLUMN(设计师对应店铺!B:B)-COLUMN(设计师对应店铺!A:B)+1,0)</f>
        <v>沪南店</v>
      </c>
    </row>
    <row r="13" ht="21" customHeight="1" spans="1:7">
      <c r="A13" s="280" t="s">
        <v>21234</v>
      </c>
      <c r="B13" s="281">
        <f>SUM(B4:B12)</f>
        <v>19</v>
      </c>
      <c r="C13" s="281">
        <f>SUM(C4:C12)</f>
        <v>236842</v>
      </c>
      <c r="D13" s="281">
        <f>SUM(D4:D12)</f>
        <v>74725</v>
      </c>
      <c r="E13" s="281">
        <f t="shared" si="0"/>
        <v>311567</v>
      </c>
      <c r="F13" s="282">
        <f t="shared" si="1"/>
        <v>16398.2631578947</v>
      </c>
      <c r="G13" s="283"/>
    </row>
    <row r="14" ht="29" customHeight="1" spans="1:7">
      <c r="A14" s="284" t="s">
        <v>21246</v>
      </c>
      <c r="B14" s="285"/>
      <c r="C14" s="285"/>
      <c r="D14" s="285"/>
      <c r="E14" s="285"/>
      <c r="F14" s="285"/>
      <c r="G14" s="286"/>
    </row>
    <row r="15" ht="19" customHeight="1" spans="1:7">
      <c r="A15" s="275" t="s">
        <v>30</v>
      </c>
      <c r="B15" s="253" t="s">
        <v>21239</v>
      </c>
      <c r="C15" s="253" t="s">
        <v>21240</v>
      </c>
      <c r="D15" s="253" t="s">
        <v>21241</v>
      </c>
      <c r="E15" s="253" t="s">
        <v>10</v>
      </c>
      <c r="F15" s="254" t="s">
        <v>21242</v>
      </c>
      <c r="G15" s="255" t="s">
        <v>21243</v>
      </c>
    </row>
    <row r="16" spans="1:7">
      <c r="A16" s="40" t="s">
        <v>33</v>
      </c>
      <c r="B16" s="256">
        <f>COUNTIFS(总表!D:D,A16,总表!L:L,"&lt;&gt;",总表!U:U,"",总表!E:E,$H$2,总表!E:E,$H$3)</f>
        <v>5</v>
      </c>
      <c r="C16" s="256">
        <f>SUMIFS(总表!L:L,总表!D:D,A16,总表!E:E,$H$2,总表!E:E,$H$3)</f>
        <v>83375</v>
      </c>
      <c r="D16" s="256">
        <f>SUMIFS(总表!M:M,总表!D:D,A16,总表!E:E,$H$2,总表!E:E,$H$3)</f>
        <v>4540</v>
      </c>
      <c r="E16" s="256">
        <f t="shared" ref="E16:E21" si="2">C16+D16</f>
        <v>87915</v>
      </c>
      <c r="F16" s="257">
        <f t="shared" ref="F16:F21" si="3">E16/B16</f>
        <v>17583</v>
      </c>
      <c r="G16" s="258" t="str">
        <f>VLOOKUP(A16,设计师对应店铺!A:B,COLUMN(设计师对应店铺!B:B)-COLUMN(设计师对应店铺!A:B)+1,0)</f>
        <v>汶水店</v>
      </c>
    </row>
    <row r="17" spans="1:7">
      <c r="A17" s="276" t="s">
        <v>162</v>
      </c>
      <c r="B17" s="277">
        <f>COUNTIFS(总表!D:D,A17,总表!L:L,"&lt;&gt;",总表!U:U,"",总表!E:E,$H$2,总表!E:E,$H$3)</f>
        <v>3</v>
      </c>
      <c r="C17" s="277">
        <f>SUMIFS(总表!L:L,总表!D:D,A17,总表!E:E,$H$2,总表!E:E,$H$3)</f>
        <v>45760</v>
      </c>
      <c r="D17" s="277">
        <f>SUMIFS(总表!M:M,总表!D:D,A17,总表!E:E,$H$2,总表!E:E,$H$3)</f>
        <v>15654</v>
      </c>
      <c r="E17" s="277">
        <f>C17+D17</f>
        <v>61414</v>
      </c>
      <c r="F17" s="278">
        <f>E17/B17</f>
        <v>20471.3333333333</v>
      </c>
      <c r="G17" s="279" t="str">
        <f>VLOOKUP(A17,设计师对应店铺!A:B,COLUMN(设计师对应店铺!B:B)-COLUMN(设计师对应店铺!A:B)+1,0)</f>
        <v>真北店</v>
      </c>
    </row>
    <row r="18" spans="1:7">
      <c r="A18" s="276" t="s">
        <v>954</v>
      </c>
      <c r="B18" s="277">
        <f>COUNTIFS(总表!D:D,A18,总表!L:L,"&lt;&gt;",总表!U:U,"",总表!E:E,$H$2,总表!E:E,$H$3)</f>
        <v>2</v>
      </c>
      <c r="C18" s="277">
        <f>SUMIFS(总表!L:L,总表!D:D,A18,总表!E:E,$H$2,总表!E:E,$H$3)</f>
        <v>30820</v>
      </c>
      <c r="D18" s="277">
        <f>SUMIFS(总表!M:M,总表!D:D,A18,总表!E:E,$H$2,总表!E:E,$H$3)</f>
        <v>9800</v>
      </c>
      <c r="E18" s="277">
        <f>C18+D18</f>
        <v>40620</v>
      </c>
      <c r="F18" s="278">
        <f>E18/B18</f>
        <v>20310</v>
      </c>
      <c r="G18" s="279" t="str">
        <f>VLOOKUP(A18,设计师对应店铺!A:B,COLUMN(设计师对应店铺!B:B)-COLUMN(设计师对应店铺!A:B)+1,0)</f>
        <v>汶水店</v>
      </c>
    </row>
    <row r="19" spans="1:7">
      <c r="A19" s="40" t="s">
        <v>89</v>
      </c>
      <c r="B19" s="256">
        <f>COUNTIFS(总表!D:D,A19,总表!L:L,"&lt;&gt;",总表!U:U,"",总表!E:E,$H$2,总表!E:E,$H$3)</f>
        <v>2</v>
      </c>
      <c r="C19" s="256">
        <f>SUMIFS(总表!L:L,总表!D:D,A19,总表!E:E,$H$2,总表!E:E,$H$3)</f>
        <v>24868</v>
      </c>
      <c r="D19" s="256">
        <f>SUMIFS(总表!M:M,总表!D:D,A19,总表!E:E,$H$2,总表!E:E,$H$3)</f>
        <v>0</v>
      </c>
      <c r="E19" s="256">
        <f t="shared" si="2"/>
        <v>24868</v>
      </c>
      <c r="F19" s="257">
        <f t="shared" si="3"/>
        <v>12434</v>
      </c>
      <c r="G19" s="258" t="str">
        <f>VLOOKUP(A19,设计师对应店铺!A:B,COLUMN(设计师对应店铺!B:B)-COLUMN(设计师对应店铺!A:B)+1,0)</f>
        <v>吉盛伟邦</v>
      </c>
    </row>
    <row r="20" spans="1:7">
      <c r="A20" s="40" t="s">
        <v>8334</v>
      </c>
      <c r="B20" s="256">
        <f>COUNTIFS(总表!D:D,A20,总表!L:L,"&lt;&gt;",总表!U:U,"",总表!E:E,$H$2,总表!E:E,$H$3)</f>
        <v>2</v>
      </c>
      <c r="C20" s="256">
        <f>SUMIFS(总表!L:L,总表!D:D,A20,总表!E:E,$H$2,总表!E:E,$H$3)</f>
        <v>16306</v>
      </c>
      <c r="D20" s="256">
        <f>SUMIFS(总表!M:M,总表!D:D,A20,总表!E:E,$H$2,总表!E:E,$H$3)</f>
        <v>7494</v>
      </c>
      <c r="E20" s="256">
        <f t="shared" si="2"/>
        <v>23800</v>
      </c>
      <c r="F20" s="257">
        <f t="shared" si="3"/>
        <v>11900</v>
      </c>
      <c r="G20" s="258" t="str">
        <f>VLOOKUP(A20,设计师对应店铺!A:B,COLUMN(设计师对应店铺!B:B)-COLUMN(设计师对应店铺!A:B)+1,0)</f>
        <v>尚品宅配</v>
      </c>
    </row>
    <row r="21" spans="1:7">
      <c r="A21" s="40" t="s">
        <v>237</v>
      </c>
      <c r="B21" s="256">
        <f>COUNTIFS(总表!D:D,A21,总表!L:L,"&lt;&gt;",总表!U:U,"",总表!E:E,$H$2,总表!E:E,$H$3)</f>
        <v>0</v>
      </c>
      <c r="C21" s="256">
        <f>SUMIFS(总表!L:L,总表!D:D,A21,总表!E:E,$H$2,总表!E:E,$H$3)</f>
        <v>0</v>
      </c>
      <c r="D21" s="256">
        <f>SUMIFS(总表!M:M,总表!D:D,A21,总表!E:E,$H$2,总表!E:E,$H$3)</f>
        <v>17325</v>
      </c>
      <c r="E21" s="256">
        <f t="shared" si="2"/>
        <v>17325</v>
      </c>
      <c r="F21" s="257" t="e">
        <f t="shared" si="3"/>
        <v>#DIV/0!</v>
      </c>
      <c r="G21" s="258" t="str">
        <f>VLOOKUP(A21,设计师对应店铺!A:B,COLUMN(设计师对应店铺!B:B)-COLUMN(设计师对应店铺!A:B)+1,0)</f>
        <v>百安居</v>
      </c>
    </row>
    <row r="22" spans="1:7">
      <c r="A22" s="40" t="s">
        <v>407</v>
      </c>
      <c r="B22" s="256">
        <f>COUNTIFS(总表!D:D,A22,总表!L:L,"&lt;&gt;",总表!U:U,"",总表!E:E,$H$2,总表!E:E,$H$3)</f>
        <v>2</v>
      </c>
      <c r="C22" s="256">
        <f>SUMIFS(总表!L:L,总表!D:D,A22,总表!E:E,$H$2,总表!E:E,$H$3)</f>
        <v>6726</v>
      </c>
      <c r="D22" s="256">
        <f>SUMIFS(总表!M:M,总表!D:D,A22,总表!E:E,$H$2,总表!E:E,$H$3)</f>
        <v>4498</v>
      </c>
      <c r="E22" s="256">
        <f t="shared" ref="E16:E29" si="4">C22+D22</f>
        <v>11224</v>
      </c>
      <c r="F22" s="257">
        <f t="shared" ref="F16:F29" si="5">E22/B22</f>
        <v>5612</v>
      </c>
      <c r="G22" s="258" t="str">
        <f>VLOOKUP(A22,设计师对应店铺!A:B,COLUMN(设计师对应店铺!B:B)-COLUMN(设计师对应店铺!A:B)+1,0)</f>
        <v>嘉定店</v>
      </c>
    </row>
    <row r="23" spans="1:7">
      <c r="A23" s="40" t="s">
        <v>221</v>
      </c>
      <c r="B23" s="256">
        <f>COUNTIFS(总表!D:D,A23,总表!L:L,"&lt;&gt;",总表!U:U,"",总表!E:E,$H$2,总表!E:E,$H$3)</f>
        <v>0</v>
      </c>
      <c r="C23" s="256">
        <f>SUMIFS(总表!L:L,总表!D:D,A23,总表!E:E,$H$2,总表!E:E,$H$3)</f>
        <v>0</v>
      </c>
      <c r="D23" s="256">
        <f>SUMIFS(总表!M:M,总表!D:D,A23,总表!E:E,$H$2,总表!E:E,$H$3)</f>
        <v>9242</v>
      </c>
      <c r="E23" s="256">
        <f t="shared" si="4"/>
        <v>9242</v>
      </c>
      <c r="F23" s="257" t="e">
        <f t="shared" si="5"/>
        <v>#DIV/0!</v>
      </c>
      <c r="G23" s="258" t="str">
        <f>VLOOKUP(A23,设计师对应店铺!A:B,COLUMN(设计师对应店铺!B:B)-COLUMN(设计师对应店铺!A:B)+1,0)</f>
        <v>汶水店</v>
      </c>
    </row>
    <row r="24" spans="1:7">
      <c r="A24" s="40" t="s">
        <v>149</v>
      </c>
      <c r="B24" s="256">
        <f>COUNTIFS(总表!D:D,A24,总表!L:L,"&lt;&gt;",总表!U:U,"",总表!E:E,$H$2,总表!E:E,$H$3)</f>
        <v>1</v>
      </c>
      <c r="C24" s="256">
        <f>SUMIFS(总表!L:L,总表!D:D,A24,总表!E:E,$H$2,总表!E:E,$H$3)</f>
        <v>3536</v>
      </c>
      <c r="D24" s="256">
        <f>SUMIFS(总表!M:M,总表!D:D,A24,总表!E:E,$H$2,总表!E:E,$H$3)</f>
        <v>0</v>
      </c>
      <c r="E24" s="256">
        <f t="shared" si="4"/>
        <v>3536</v>
      </c>
      <c r="F24" s="257">
        <f t="shared" si="5"/>
        <v>3536</v>
      </c>
      <c r="G24" s="258" t="str">
        <f>VLOOKUP(A24,设计师对应店铺!A:B,COLUMN(设计师对应店铺!B:B)-COLUMN(设计师对应店铺!A:B)+1,0)</f>
        <v>百安居</v>
      </c>
    </row>
    <row r="25" spans="1:7">
      <c r="A25" s="40" t="s">
        <v>9287</v>
      </c>
      <c r="B25" s="256">
        <f>COUNTIFS(总表!D:D,A25,总表!L:L,"&lt;&gt;",总表!U:U,"",总表!E:E,$H$2,总表!E:E,$H$3)</f>
        <v>0</v>
      </c>
      <c r="C25" s="256">
        <f>SUMIFS(总表!L:L,总表!D:D,A25,总表!E:E,$H$2,总表!E:E,$H$3)</f>
        <v>0</v>
      </c>
      <c r="D25" s="256">
        <f>SUMIFS(总表!M:M,总表!D:D,A25,总表!E:E,$H$2,总表!E:E,$H$3)</f>
        <v>0</v>
      </c>
      <c r="E25" s="256">
        <f t="shared" si="4"/>
        <v>0</v>
      </c>
      <c r="F25" s="257" t="e">
        <f t="shared" si="5"/>
        <v>#DIV/0!</v>
      </c>
      <c r="G25" s="258" t="str">
        <f>VLOOKUP(A25,设计师对应店铺!A:B,COLUMN(设计师对应店铺!B:B)-COLUMN(设计师对应店铺!A:B)+1,0)</f>
        <v>汶水店</v>
      </c>
    </row>
    <row r="26" spans="1:7">
      <c r="A26" s="40" t="s">
        <v>132</v>
      </c>
      <c r="B26" s="256">
        <f>COUNTIFS(总表!D:D,A26,总表!L:L,"&lt;&gt;",总表!U:U,"",总表!E:E,$H$2,总表!E:E,$H$3)</f>
        <v>0</v>
      </c>
      <c r="C26" s="256">
        <f>SUMIFS(总表!L:L,总表!D:D,A26,总表!E:E,$H$2,总表!E:E,$H$3)</f>
        <v>0</v>
      </c>
      <c r="D26" s="256">
        <f>SUMIFS(总表!M:M,总表!D:D,A26,总表!E:E,$H$2,总表!E:E,$H$3)</f>
        <v>0</v>
      </c>
      <c r="E26" s="256">
        <f t="shared" si="4"/>
        <v>0</v>
      </c>
      <c r="F26" s="257" t="e">
        <f t="shared" si="5"/>
        <v>#DIV/0!</v>
      </c>
      <c r="G26" s="258" t="str">
        <f>VLOOKUP(A26,设计师对应店铺!A:B,COLUMN(设计师对应店铺!B:B)-COLUMN(设计师对应店铺!A:B)+1,0)</f>
        <v>真北店</v>
      </c>
    </row>
    <row r="27" spans="1:7">
      <c r="A27" s="40" t="s">
        <v>182</v>
      </c>
      <c r="B27" s="256">
        <f>COUNTIFS(总表!D:D,A27,总表!L:L,"&lt;&gt;",总表!U:U,"",总表!E:E,$H$2,总表!E:E,$H$3)</f>
        <v>0</v>
      </c>
      <c r="C27" s="256">
        <f>SUMIFS(总表!L:L,总表!D:D,A27,总表!E:E,$H$2,总表!E:E,$H$3)</f>
        <v>0</v>
      </c>
      <c r="D27" s="256">
        <f>SUMIFS(总表!M:M,总表!D:D,A27,总表!E:E,$H$2,总表!E:E,$H$3)</f>
        <v>0</v>
      </c>
      <c r="E27" s="256">
        <f t="shared" si="4"/>
        <v>0</v>
      </c>
      <c r="F27" s="257" t="e">
        <f t="shared" si="5"/>
        <v>#DIV/0!</v>
      </c>
      <c r="G27" s="258" t="str">
        <f>VLOOKUP(A27,设计师对应店铺!A:B,COLUMN(设计师对应店铺!B:B)-COLUMN(设计师对应店铺!A:B)+1,0)</f>
        <v>真北店</v>
      </c>
    </row>
    <row r="28" spans="1:7">
      <c r="A28" s="40" t="s">
        <v>1431</v>
      </c>
      <c r="B28" s="256">
        <f>COUNTIFS(总表!D:D,A28,总表!L:L,"&lt;&gt;",总表!U:U,"",总表!E:E,$H$2,总表!E:E,$H$3)</f>
        <v>0</v>
      </c>
      <c r="C28" s="256">
        <f>SUMIFS(总表!L:L,总表!D:D,A28,总表!E:E,$H$2,总表!E:E,$H$3)</f>
        <v>0</v>
      </c>
      <c r="D28" s="256">
        <f>SUMIFS(总表!M:M,总表!D:D,A28,总表!E:E,$H$2,总表!E:E,$H$3)</f>
        <v>-95</v>
      </c>
      <c r="E28" s="256">
        <f t="shared" si="4"/>
        <v>-95</v>
      </c>
      <c r="F28" s="257" t="e">
        <f t="shared" si="5"/>
        <v>#DIV/0!</v>
      </c>
      <c r="G28" s="258" t="str">
        <f>VLOOKUP(A28,设计师对应店铺!A:B,COLUMN(设计师对应店铺!B:B)-COLUMN(设计师对应店铺!A:B)+1,0)</f>
        <v>真北店</v>
      </c>
    </row>
    <row r="29" ht="20" customHeight="1" spans="1:7">
      <c r="A29" s="287" t="s">
        <v>21234</v>
      </c>
      <c r="B29" s="288">
        <f>SUM(B16:B28)</f>
        <v>17</v>
      </c>
      <c r="C29" s="288">
        <f>SUM(C16:C28)</f>
        <v>211391</v>
      </c>
      <c r="D29" s="288">
        <f>SUM(D16:D28)</f>
        <v>68458</v>
      </c>
      <c r="E29" s="288">
        <f t="shared" si="4"/>
        <v>279849</v>
      </c>
      <c r="F29" s="289">
        <f t="shared" si="5"/>
        <v>16461.7058823529</v>
      </c>
      <c r="G29" s="290"/>
    </row>
    <row r="30" ht="29" customHeight="1" spans="1:7">
      <c r="A30" s="291" t="s">
        <v>21247</v>
      </c>
      <c r="B30" s="292"/>
      <c r="C30" s="292"/>
      <c r="D30" s="292"/>
      <c r="E30" s="292"/>
      <c r="F30" s="292"/>
      <c r="G30" s="293"/>
    </row>
    <row r="31" ht="19" customHeight="1" spans="1:7">
      <c r="A31" s="275" t="s">
        <v>30</v>
      </c>
      <c r="B31" s="253" t="s">
        <v>21239</v>
      </c>
      <c r="C31" s="253" t="s">
        <v>21240</v>
      </c>
      <c r="D31" s="253" t="s">
        <v>21241</v>
      </c>
      <c r="E31" s="253" t="s">
        <v>10</v>
      </c>
      <c r="F31" s="254" t="s">
        <v>21242</v>
      </c>
      <c r="G31" s="255" t="s">
        <v>21243</v>
      </c>
    </row>
    <row r="32" spans="1:7">
      <c r="A32" s="41" t="s">
        <v>271</v>
      </c>
      <c r="B32" s="256">
        <f>COUNTIFS(总表!D:D,A32,总表!L:L,"&lt;&gt;",总表!U:U,"",总表!E:E,$H$2,总表!E:E,$H$3)</f>
        <v>6</v>
      </c>
      <c r="C32" s="256">
        <f>SUMIFS(总表!L:L,总表!D:D,A32,总表!E:E,$H$2,总表!E:E,$H$3)</f>
        <v>97312</v>
      </c>
      <c r="D32" s="256">
        <f>SUMIFS(总表!M:M,总表!D:D,A32,总表!E:E,$H$2,总表!E:E,$H$3)</f>
        <v>38377</v>
      </c>
      <c r="E32" s="256">
        <f t="shared" ref="E32:E46" si="6">C32+D32</f>
        <v>135689</v>
      </c>
      <c r="F32" s="257">
        <f t="shared" ref="F32:F46" si="7">E32/B32</f>
        <v>22614.8333333333</v>
      </c>
      <c r="G32" s="258" t="str">
        <f>VLOOKUP(A32,设计师对应店铺!A:B,COLUMN(设计师对应店铺!B:B)-COLUMN(设计师对应店铺!A:B)+1,0)</f>
        <v>喜盈门</v>
      </c>
    </row>
    <row r="33" spans="1:7">
      <c r="A33" s="41" t="s">
        <v>187</v>
      </c>
      <c r="B33" s="256">
        <f>COUNTIFS(总表!D:D,A33,总表!L:L,"&lt;&gt;",总表!U:U,"",总表!E:E,$H$2,总表!E:E,$H$3)</f>
        <v>7</v>
      </c>
      <c r="C33" s="256">
        <f>SUMIFS(总表!L:L,总表!D:D,A33,总表!E:E,$H$2,总表!E:E,$H$3)</f>
        <v>91780</v>
      </c>
      <c r="D33" s="256">
        <f>SUMIFS(总表!M:M,总表!D:D,A33,总表!E:E,$H$2,总表!E:E,$H$3)</f>
        <v>9194</v>
      </c>
      <c r="E33" s="256">
        <f t="shared" si="6"/>
        <v>100974</v>
      </c>
      <c r="F33" s="257">
        <f t="shared" si="7"/>
        <v>14424.8571428571</v>
      </c>
      <c r="G33" s="258" t="str">
        <f>VLOOKUP(A33,设计师对应店铺!A:B,COLUMN(设计师对应店铺!B:B)-COLUMN(设计师对应店铺!A:B)+1,0)</f>
        <v>百家宜</v>
      </c>
    </row>
    <row r="34" spans="1:7">
      <c r="A34" s="41" t="s">
        <v>443</v>
      </c>
      <c r="B34" s="256">
        <f>COUNTIFS(总表!D:D,A34,总表!L:L,"&lt;&gt;",总表!U:U,"",总表!E:E,$H$2,总表!E:E,$H$3)</f>
        <v>3</v>
      </c>
      <c r="C34" s="256">
        <f>SUMIFS(总表!L:L,总表!D:D,A34,总表!E:E,$H$2,总表!E:E,$H$3)</f>
        <v>24205</v>
      </c>
      <c r="D34" s="256">
        <f>SUMIFS(总表!M:M,总表!D:D,A34,总表!E:E,$H$2,总表!E:E,$H$3)</f>
        <v>45353</v>
      </c>
      <c r="E34" s="256">
        <f t="shared" si="6"/>
        <v>69558</v>
      </c>
      <c r="F34" s="257">
        <f t="shared" si="7"/>
        <v>23186</v>
      </c>
      <c r="G34" s="258" t="str">
        <f>VLOOKUP(A34,设计师对应店铺!A:B,COLUMN(设计师对应店铺!B:B)-COLUMN(设计师对应店铺!A:B)+1,0)</f>
        <v>家饰佳</v>
      </c>
    </row>
    <row r="35" spans="1:7">
      <c r="A35" s="41" t="s">
        <v>343</v>
      </c>
      <c r="B35" s="256">
        <f>COUNTIFS(总表!D:D,A35,总表!L:L,"&lt;&gt;",总表!U:U,"",总表!E:E,$H$2,总表!E:E,$H$3)</f>
        <v>4</v>
      </c>
      <c r="C35" s="256">
        <f>SUMIFS(总表!L:L,总表!D:D,A35,总表!E:E,$H$2,总表!E:E,$H$3)</f>
        <v>43371</v>
      </c>
      <c r="D35" s="256">
        <f>SUMIFS(总表!M:M,总表!D:D,A35,总表!E:E,$H$2,总表!E:E,$H$3)</f>
        <v>22022</v>
      </c>
      <c r="E35" s="256">
        <f t="shared" si="6"/>
        <v>65393</v>
      </c>
      <c r="F35" s="257">
        <f t="shared" si="7"/>
        <v>16348.25</v>
      </c>
      <c r="G35" s="258" t="str">
        <f>VLOOKUP(A35,设计师对应店铺!A:B,COLUMN(设计师对应店铺!B:B)-COLUMN(设计师对应店铺!A:B)+1,0)</f>
        <v>喜盈门</v>
      </c>
    </row>
    <row r="36" spans="1:7">
      <c r="A36" s="41" t="s">
        <v>110</v>
      </c>
      <c r="B36" s="256">
        <f>COUNTIFS(总表!D:D,A36,总表!L:L,"&lt;&gt;",总表!U:U,"",总表!E:E,$H$2,总表!E:E,$H$3)</f>
        <v>3</v>
      </c>
      <c r="C36" s="256">
        <f>SUMIFS(总表!L:L,总表!D:D,A36,总表!E:E,$H$2,总表!E:E,$H$3)</f>
        <v>37259</v>
      </c>
      <c r="D36" s="256">
        <f>SUMIFS(总表!M:M,总表!D:D,A36,总表!E:E,$H$2,总表!E:E,$H$3)</f>
        <v>5168</v>
      </c>
      <c r="E36" s="256">
        <f t="shared" si="6"/>
        <v>42427</v>
      </c>
      <c r="F36" s="257">
        <f t="shared" si="7"/>
        <v>14142.3333333333</v>
      </c>
      <c r="G36" s="258" t="str">
        <f>VLOOKUP(A36,设计师对应店铺!A:B,COLUMN(设计师对应店铺!B:B)-COLUMN(设计师对应店铺!A:B)+1,0)</f>
        <v>喜盈门</v>
      </c>
    </row>
    <row r="37" spans="1:7">
      <c r="A37" s="41" t="s">
        <v>427</v>
      </c>
      <c r="B37" s="256">
        <f>COUNTIFS(总表!D:D,A37,总表!L:L,"&lt;&gt;",总表!U:U,"",总表!E:E,$H$2,总表!E:E,$H$3)</f>
        <v>3</v>
      </c>
      <c r="C37" s="256">
        <f>SUMIFS(总表!L:L,总表!D:D,A37,总表!E:E,$H$2,总表!E:E,$H$3)</f>
        <v>43313</v>
      </c>
      <c r="D37" s="256">
        <f>SUMIFS(总表!M:M,总表!D:D,A37,总表!E:E,$H$2,总表!E:E,$H$3)</f>
        <v>-3761</v>
      </c>
      <c r="E37" s="256">
        <f t="shared" si="6"/>
        <v>39552</v>
      </c>
      <c r="F37" s="257">
        <f t="shared" si="7"/>
        <v>13184</v>
      </c>
      <c r="G37" s="258" t="str">
        <f>VLOOKUP(A37,设计师对应店铺!A:B,COLUMN(设计师对应店铺!B:B)-COLUMN(设计师对应店铺!A:B)+1,0)</f>
        <v>百家宜</v>
      </c>
    </row>
    <row r="38" spans="1:7">
      <c r="A38" s="41" t="s">
        <v>155</v>
      </c>
      <c r="B38" s="256">
        <f>COUNTIFS(总表!D:D,A38,总表!L:L,"&lt;&gt;",总表!U:U,"",总表!E:E,$H$2,总表!E:E,$H$3)</f>
        <v>1</v>
      </c>
      <c r="C38" s="256">
        <f>SUMIFS(总表!L:L,总表!D:D,A38,总表!E:E,$H$2,总表!E:E,$H$3)</f>
        <v>3207</v>
      </c>
      <c r="D38" s="256">
        <f>SUMIFS(总表!M:M,总表!D:D,A38,总表!E:E,$H$2,总表!E:E,$H$3)</f>
        <v>26673</v>
      </c>
      <c r="E38" s="256">
        <f t="shared" si="6"/>
        <v>29880</v>
      </c>
      <c r="F38" s="257">
        <f t="shared" si="7"/>
        <v>29880</v>
      </c>
      <c r="G38" s="258" t="str">
        <f>VLOOKUP(A38,设计师对应店铺!A:B,COLUMN(设计师对应店铺!B:B)-COLUMN(设计师对应店铺!A:B)+1,0)</f>
        <v>好饰家</v>
      </c>
    </row>
    <row r="39" spans="1:7">
      <c r="A39" s="41" t="s">
        <v>171</v>
      </c>
      <c r="B39" s="256">
        <f>COUNTIFS(总表!D:D,A39,总表!L:L,"&lt;&gt;",总表!U:U,"",总表!E:E,$H$2,总表!E:E,$H$3)</f>
        <v>2</v>
      </c>
      <c r="C39" s="256">
        <f>SUMIFS(总表!L:L,总表!D:D,A39,总表!E:E,$H$2,总表!E:E,$H$3)</f>
        <v>23505</v>
      </c>
      <c r="D39" s="256">
        <f>SUMIFS(总表!M:M,总表!D:D,A39,总表!E:E,$H$2,总表!E:E,$H$3)</f>
        <v>1253</v>
      </c>
      <c r="E39" s="256">
        <f t="shared" si="6"/>
        <v>24758</v>
      </c>
      <c r="F39" s="257">
        <f t="shared" si="7"/>
        <v>12379</v>
      </c>
      <c r="G39" s="258" t="str">
        <f>VLOOKUP(A39,设计师对应店铺!A:B,COLUMN(设计师对应店铺!B:B)-COLUMN(设计师对应店铺!A:B)+1,0)</f>
        <v>家饰佳、兴力达</v>
      </c>
    </row>
    <row r="40" spans="1:7">
      <c r="A40" s="294" t="s">
        <v>2381</v>
      </c>
      <c r="B40" s="277">
        <f>COUNTIFS(总表!D:D,A40,总表!L:L,"&lt;&gt;",总表!U:U,"",总表!E:E,$H$2,总表!E:E,$H$3)</f>
        <v>1</v>
      </c>
      <c r="C40" s="277">
        <f>SUMIFS(总表!L:L,总表!D:D,A40,总表!E:E,$H$2,总表!E:E,$H$3)</f>
        <v>15711</v>
      </c>
      <c r="D40" s="277">
        <f>SUMIFS(总表!M:M,总表!D:D,A40,总表!E:E,$H$2,总表!E:E,$H$3)</f>
        <v>6688</v>
      </c>
      <c r="E40" s="277">
        <f>C40+D40</f>
        <v>22399</v>
      </c>
      <c r="F40" s="278">
        <f>E40/B40</f>
        <v>22399</v>
      </c>
      <c r="G40" s="279" t="str">
        <f>VLOOKUP(A40,设计师对应店铺!A:B,COLUMN(设计师对应店铺!B:B)-COLUMN(设计师对应店铺!A:B)+1,0)</f>
        <v>家饰佳</v>
      </c>
    </row>
    <row r="41" spans="1:7">
      <c r="A41" s="294" t="s">
        <v>139</v>
      </c>
      <c r="B41" s="277">
        <f>COUNTIFS(总表!D:D,A41,总表!L:L,"&lt;&gt;",总表!U:U,"",总表!E:E,$H$2,总表!E:E,$H$3)</f>
        <v>1</v>
      </c>
      <c r="C41" s="277">
        <f>SUMIFS(总表!L:L,总表!D:D,A41,总表!E:E,$H$2,总表!E:E,$H$3)</f>
        <v>10475</v>
      </c>
      <c r="D41" s="277">
        <f>SUMIFS(总表!M:M,总表!D:D,A41,总表!E:E,$H$2,总表!E:E,$H$3)</f>
        <v>9462</v>
      </c>
      <c r="E41" s="277">
        <f>C41+D41</f>
        <v>19937</v>
      </c>
      <c r="F41" s="278">
        <f>E41/B41</f>
        <v>19937</v>
      </c>
      <c r="G41" s="279" t="str">
        <f>VLOOKUP(A41,设计师对应店铺!A:B,COLUMN(设计师对应店铺!B:B)-COLUMN(设计师对应店铺!A:B)+1,0)</f>
        <v>家饰佳</v>
      </c>
    </row>
    <row r="42" spans="1:7">
      <c r="A42" s="41" t="s">
        <v>75</v>
      </c>
      <c r="B42" s="256">
        <f>COUNTIFS(总表!D:D,A42,总表!L:L,"&lt;&gt;",总表!U:U,"",总表!E:E,$H$2,总表!E:E,$H$3)</f>
        <v>1</v>
      </c>
      <c r="C42" s="256">
        <f>SUMIFS(总表!L:L,总表!D:D,A42,总表!E:E,$H$2,总表!E:E,$H$3)</f>
        <v>10798</v>
      </c>
      <c r="D42" s="256">
        <f>SUMIFS(总表!M:M,总表!D:D,A42,总表!E:E,$H$2,总表!E:E,$H$3)</f>
        <v>0</v>
      </c>
      <c r="E42" s="256">
        <f t="shared" si="6"/>
        <v>10798</v>
      </c>
      <c r="F42" s="257">
        <f t="shared" si="7"/>
        <v>10798</v>
      </c>
      <c r="G42" s="258" t="str">
        <f>VLOOKUP(A42,设计师对应店铺!A:B,COLUMN(设计师对应店铺!B:B)-COLUMN(设计师对应店铺!A:B)+1,0)</f>
        <v>宜山经理</v>
      </c>
    </row>
    <row r="43" spans="1:7">
      <c r="A43" s="41" t="s">
        <v>635</v>
      </c>
      <c r="B43" s="256">
        <f>COUNTIFS(总表!D:D,A43,总表!L:L,"&lt;&gt;",总表!U:U,"",总表!E:E,$H$2,总表!E:E,$H$3)</f>
        <v>1</v>
      </c>
      <c r="C43" s="256">
        <f>SUMIFS(总表!L:L,总表!D:D,A43,总表!E:E,$H$2,总表!E:E,$H$3)</f>
        <v>11678</v>
      </c>
      <c r="D43" s="256">
        <f>SUMIFS(总表!M:M,总表!D:D,A43,总表!E:E,$H$2,总表!E:E,$H$3)</f>
        <v>-4021</v>
      </c>
      <c r="E43" s="256">
        <f t="shared" si="6"/>
        <v>7657</v>
      </c>
      <c r="F43" s="257">
        <f t="shared" si="7"/>
        <v>7657</v>
      </c>
      <c r="G43" s="258" t="str">
        <f>VLOOKUP(A43,设计师对应店铺!A:B,COLUMN(设计师对应店铺!B:B)-COLUMN(设计师对应店铺!A:B)+1,0)</f>
        <v>家饰佳、兴力达</v>
      </c>
    </row>
    <row r="44" spans="1:7">
      <c r="A44" s="41" t="s">
        <v>21248</v>
      </c>
      <c r="B44" s="256">
        <f>COUNTIFS(总表!D:D,A44,总表!L:L,"&lt;&gt;",总表!U:U,"",总表!E:E,$H$2,总表!E:E,$H$3)</f>
        <v>0</v>
      </c>
      <c r="C44" s="256">
        <f>SUMIFS(总表!L:L,总表!D:D,A44,总表!E:E,$H$2,总表!E:E,$H$3)</f>
        <v>0</v>
      </c>
      <c r="D44" s="256">
        <f>SUMIFS(总表!M:M,总表!D:D,A44,总表!E:E,$H$2,总表!E:E,$H$3)</f>
        <v>0</v>
      </c>
      <c r="E44" s="256">
        <f t="shared" si="6"/>
        <v>0</v>
      </c>
      <c r="F44" s="257" t="e">
        <f t="shared" si="7"/>
        <v>#DIV/0!</v>
      </c>
      <c r="G44" s="258" t="str">
        <f>VLOOKUP(A44,设计师对应店铺!A:B,COLUMN(设计师对应店铺!B:B)-COLUMN(设计师对应店铺!A:B)+1,0)</f>
        <v>家饰佳</v>
      </c>
    </row>
    <row r="45" ht="21" customHeight="1" spans="1:7">
      <c r="A45" s="295" t="s">
        <v>21234</v>
      </c>
      <c r="B45" s="296">
        <f>SUM(B32:B44)</f>
        <v>33</v>
      </c>
      <c r="C45" s="296">
        <f>SUM(C32:C44)</f>
        <v>412614</v>
      </c>
      <c r="D45" s="296">
        <f>SUM(D32:D44)</f>
        <v>156408</v>
      </c>
      <c r="E45" s="296">
        <f t="shared" si="6"/>
        <v>569022</v>
      </c>
      <c r="F45" s="297">
        <f t="shared" si="7"/>
        <v>17243.0909090909</v>
      </c>
      <c r="G45" s="298"/>
    </row>
    <row r="46" ht="28" customHeight="1" spans="1:7">
      <c r="A46" s="299" t="s">
        <v>21234</v>
      </c>
      <c r="B46" s="299">
        <f>SUM(B13+B29+B45)</f>
        <v>69</v>
      </c>
      <c r="C46" s="299">
        <f>SUM(C13+C29+C45)</f>
        <v>860847</v>
      </c>
      <c r="D46" s="299">
        <f>SUM(D13+D29+D45)</f>
        <v>299591</v>
      </c>
      <c r="E46" s="299">
        <f t="shared" si="6"/>
        <v>1160438</v>
      </c>
      <c r="F46" s="300">
        <f t="shared" si="7"/>
        <v>16817.9420289855</v>
      </c>
      <c r="G46" s="299"/>
    </row>
  </sheetData>
  <sortState ref="A32:G44">
    <sortCondition ref="E32:E44" descending="1"/>
  </sortState>
  <mergeCells count="4">
    <mergeCell ref="A1:G1"/>
    <mergeCell ref="A2:G2"/>
    <mergeCell ref="A14:G14"/>
    <mergeCell ref="A30:G30"/>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4"/>
  <sheetViews>
    <sheetView zoomScale="85" zoomScaleNormal="85" topLeftCell="A13" workbookViewId="0">
      <selection activeCell="M37" sqref="M37"/>
    </sheetView>
  </sheetViews>
  <sheetFormatPr defaultColWidth="9" defaultRowHeight="16.5"/>
  <cols>
    <col min="1" max="1" width="14.25" style="34" customWidth="1"/>
    <col min="2" max="2" width="9" style="34"/>
    <col min="3" max="3" width="15.5333333333333" style="34" customWidth="1"/>
    <col min="4" max="4" width="14.1083333333333" style="34" customWidth="1"/>
    <col min="5" max="5" width="13.125" style="246" customWidth="1"/>
    <col min="6" max="6" width="13.5" style="34" customWidth="1"/>
    <col min="7" max="7" width="21.875" style="34" customWidth="1"/>
    <col min="8" max="8" width="15.75" style="34" customWidth="1"/>
    <col min="9" max="9" width="14.5" style="34" customWidth="1"/>
    <col min="10" max="10" width="9" style="34"/>
    <col min="11" max="11" width="12" style="34" customWidth="1"/>
    <col min="12" max="12" width="13.25" style="34" customWidth="1"/>
    <col min="13" max="13" width="12.125" style="34" customWidth="1"/>
    <col min="14" max="14" width="12.5" style="34" customWidth="1"/>
    <col min="15" max="15" width="19.625" style="34" customWidth="1"/>
    <col min="16" max="16383" width="9" style="34"/>
    <col min="16384" max="16384" width="9" style="268"/>
  </cols>
  <sheetData>
    <row r="1" spans="1:15">
      <c r="A1" s="247" t="s">
        <v>21249</v>
      </c>
      <c r="B1" s="248"/>
      <c r="C1" s="248"/>
      <c r="D1" s="248"/>
      <c r="E1" s="249"/>
      <c r="F1" s="248"/>
      <c r="G1" s="250"/>
      <c r="H1" s="34" t="s">
        <v>21236</v>
      </c>
      <c r="I1" s="259" t="s">
        <v>21250</v>
      </c>
      <c r="J1" s="259"/>
      <c r="K1" s="259"/>
      <c r="L1" s="259"/>
      <c r="M1" s="259"/>
      <c r="N1" s="259"/>
      <c r="O1" s="259"/>
    </row>
    <row r="2" spans="1:15">
      <c r="A2" s="251" t="s">
        <v>21234</v>
      </c>
      <c r="B2" s="251">
        <f>SUM(B4:B43)</f>
        <v>77</v>
      </c>
      <c r="C2" s="251">
        <f>SUM(C4:C43)</f>
        <v>984042</v>
      </c>
      <c r="D2" s="251">
        <f>SUM(D4:D43)</f>
        <v>316644</v>
      </c>
      <c r="E2" s="251">
        <f>SUM(E4:E43)</f>
        <v>1300686</v>
      </c>
      <c r="F2" s="251">
        <f>E2/B2</f>
        <v>16892.025974026</v>
      </c>
      <c r="G2" s="251"/>
      <c r="H2" s="34" t="s">
        <v>21238</v>
      </c>
      <c r="I2" s="260" t="s">
        <v>30</v>
      </c>
      <c r="J2" s="256" t="s">
        <v>21239</v>
      </c>
      <c r="K2" s="256" t="s">
        <v>21240</v>
      </c>
      <c r="L2" s="256" t="s">
        <v>21241</v>
      </c>
      <c r="M2" s="256" t="s">
        <v>10</v>
      </c>
      <c r="N2" s="257" t="s">
        <v>21242</v>
      </c>
      <c r="O2" s="258" t="s">
        <v>21243</v>
      </c>
    </row>
    <row r="3" spans="1:15">
      <c r="A3" s="252" t="s">
        <v>30</v>
      </c>
      <c r="B3" s="253" t="s">
        <v>21239</v>
      </c>
      <c r="C3" s="253" t="s">
        <v>21240</v>
      </c>
      <c r="D3" s="253" t="s">
        <v>21241</v>
      </c>
      <c r="E3" s="253" t="s">
        <v>10</v>
      </c>
      <c r="F3" s="254" t="s">
        <v>21242</v>
      </c>
      <c r="G3" s="255" t="s">
        <v>21243</v>
      </c>
      <c r="H3" s="34" t="s">
        <v>21244</v>
      </c>
      <c r="I3" s="38" t="s">
        <v>271</v>
      </c>
      <c r="J3" s="253">
        <f>COUNTIFS(总表!D:D,I3,总表!L:L,"&lt;&gt;",总表!U:U,"",总表!E:E,$H$2,总表!E:E,$H$3)</f>
        <v>6</v>
      </c>
      <c r="K3" s="253">
        <f>SUMIFS(总表!L:L,总表!D:D,I3,总表!E:E,$H$2,总表!E:E,$H$3)</f>
        <v>97312</v>
      </c>
      <c r="L3" s="253">
        <f>SUMIFS(总表!M:M,总表!D:D,I3,总表!E:E,$H$2,总表!E:E,$H$3)</f>
        <v>38377</v>
      </c>
      <c r="M3" s="253">
        <f t="shared" ref="M3:M37" si="0">K3+L3</f>
        <v>135689</v>
      </c>
      <c r="N3" s="254">
        <f t="shared" ref="N3:N37" si="1">M3/J3</f>
        <v>22614.8333333333</v>
      </c>
      <c r="O3" s="255" t="str">
        <f>VLOOKUP(I3,设计师对应店铺!A:B,COLUMN(设计师对应店铺!B:B)-COLUMN(设计师对应店铺!A:B)+1,0)</f>
        <v>喜盈门</v>
      </c>
    </row>
    <row r="4" spans="1:15">
      <c r="A4" s="39" t="s">
        <v>271</v>
      </c>
      <c r="B4" s="256">
        <f>COUNTIFS(总表!D:D,A4,总表!L:L,"&lt;&gt;",总表!U:U,"",总表!E:E,$H$2,总表!E:E,$H$3)</f>
        <v>6</v>
      </c>
      <c r="C4" s="256">
        <f>SUMIFS(总表!L:L,总表!D:D,A4,总表!E:E,$H$2,总表!E:E,$H$3)</f>
        <v>97312</v>
      </c>
      <c r="D4" s="256">
        <f>SUMIFS(总表!M:M,总表!D:D,A4,总表!E:E,$H$2,总表!E:E,$H$3)</f>
        <v>38377</v>
      </c>
      <c r="E4" s="256">
        <f t="shared" ref="E4:E43" si="2">C4+D4</f>
        <v>135689</v>
      </c>
      <c r="F4" s="257">
        <f t="shared" ref="F4:F43" si="3">E4/B4</f>
        <v>22614.8333333333</v>
      </c>
      <c r="G4" s="258" t="str">
        <f>VLOOKUP(A4,设计师对应店铺!A:B,COLUMN(设计师对应店铺!B:B)-COLUMN(设计师对应店铺!A:B)+1,0)</f>
        <v>喜盈门</v>
      </c>
      <c r="H4" s="269"/>
      <c r="I4" s="39" t="s">
        <v>2302</v>
      </c>
      <c r="J4" s="256">
        <f>COUNTIFS(总表!D:D,I4,总表!L:L,"&lt;&gt;",总表!U:U,"",总表!E:E,$H$2,总表!E:E,$H$3)</f>
        <v>4</v>
      </c>
      <c r="K4" s="256">
        <f>SUMIFS(总表!L:L,总表!D:D,I4,总表!E:E,$H$2,总表!E:E,$H$3)</f>
        <v>95743</v>
      </c>
      <c r="L4" s="256">
        <f>SUMIFS(总表!M:M,总表!D:D,I4,总表!E:E,$H$2,总表!E:E,$H$3)</f>
        <v>9560</v>
      </c>
      <c r="M4" s="256">
        <f t="shared" si="0"/>
        <v>105303</v>
      </c>
      <c r="N4" s="257">
        <f t="shared" si="1"/>
        <v>26325.75</v>
      </c>
      <c r="O4" s="258" t="str">
        <f>VLOOKUP(I4,设计师对应店铺!A:B,COLUMN(设计师对应店铺!B:B)-COLUMN(设计师对应店铺!A:B)+1,0)</f>
        <v>沪南店</v>
      </c>
    </row>
    <row r="5" spans="1:15">
      <c r="A5" s="38" t="s">
        <v>2302</v>
      </c>
      <c r="B5" s="253">
        <f>COUNTIFS(总表!D:D,A5,总表!L:L,"&lt;&gt;",总表!U:U,"",总表!E:E,$H$2,总表!E:E,$H$3)</f>
        <v>4</v>
      </c>
      <c r="C5" s="253">
        <f>SUMIFS(总表!L:L,总表!D:D,A5,总表!E:E,$H$2,总表!E:E,$H$3)</f>
        <v>95743</v>
      </c>
      <c r="D5" s="253">
        <f>SUMIFS(总表!M:M,总表!D:D,A5,总表!E:E,$H$2,总表!E:E,$H$3)</f>
        <v>9560</v>
      </c>
      <c r="E5" s="253">
        <f t="shared" si="2"/>
        <v>105303</v>
      </c>
      <c r="F5" s="254">
        <f t="shared" si="3"/>
        <v>26325.75</v>
      </c>
      <c r="G5" s="255" t="str">
        <f>VLOOKUP(A5,设计师对应店铺!A:B,COLUMN(设计师对应店铺!B:B)-COLUMN(设计师对应店铺!A:B)+1,0)</f>
        <v>沪南店</v>
      </c>
      <c r="I5" s="38" t="s">
        <v>187</v>
      </c>
      <c r="J5" s="253">
        <f>COUNTIFS(总表!D:D,I5,总表!L:L,"&lt;&gt;",总表!U:U,"",总表!E:E,$H$2,总表!E:E,$H$3)</f>
        <v>7</v>
      </c>
      <c r="K5" s="253">
        <f>SUMIFS(总表!L:L,总表!D:D,I5,总表!E:E,$H$2,总表!E:E,$H$3)</f>
        <v>91780</v>
      </c>
      <c r="L5" s="253">
        <f>SUMIFS(总表!M:M,总表!D:D,I5,总表!E:E,$H$2,总表!E:E,$H$3)</f>
        <v>9194</v>
      </c>
      <c r="M5" s="253">
        <f t="shared" si="0"/>
        <v>100974</v>
      </c>
      <c r="N5" s="254">
        <f t="shared" si="1"/>
        <v>14424.8571428571</v>
      </c>
      <c r="O5" s="255" t="str">
        <f>VLOOKUP(I5,设计师对应店铺!A:B,COLUMN(设计师对应店铺!B:B)-COLUMN(设计师对应店铺!A:B)+1,0)</f>
        <v>百家宜</v>
      </c>
    </row>
    <row r="6" spans="1:15">
      <c r="A6" s="39" t="s">
        <v>187</v>
      </c>
      <c r="B6" s="256">
        <f>COUNTIFS(总表!D:D,A6,总表!L:L,"&lt;&gt;",总表!U:U,"",总表!E:E,$H$2,总表!E:E,$H$3)</f>
        <v>7</v>
      </c>
      <c r="C6" s="256">
        <f>SUMIFS(总表!L:L,总表!D:D,A6,总表!E:E,$H$2,总表!E:E,$H$3)</f>
        <v>91780</v>
      </c>
      <c r="D6" s="256">
        <f>SUMIFS(总表!M:M,总表!D:D,A6,总表!E:E,$H$2,总表!E:E,$H$3)</f>
        <v>9194</v>
      </c>
      <c r="E6" s="256">
        <f t="shared" si="2"/>
        <v>100974</v>
      </c>
      <c r="F6" s="257">
        <f t="shared" si="3"/>
        <v>14424.8571428571</v>
      </c>
      <c r="G6" s="258" t="str">
        <f>VLOOKUP(A6,设计师对应店铺!A:B,COLUMN(设计师对应店铺!B:B)-COLUMN(设计师对应店铺!A:B)+1,0)</f>
        <v>百家宜</v>
      </c>
      <c r="I6" s="39" t="s">
        <v>443</v>
      </c>
      <c r="J6" s="256">
        <f>COUNTIFS(总表!D:D,I6,总表!L:L,"&lt;&gt;",总表!U:U,"",总表!E:E,$H$2,总表!E:E,$H$3)</f>
        <v>3</v>
      </c>
      <c r="K6" s="256">
        <f>SUMIFS(总表!L:L,总表!D:D,I6,总表!E:E,$H$2,总表!E:E,$H$3)</f>
        <v>24205</v>
      </c>
      <c r="L6" s="256">
        <f>SUMIFS(总表!M:M,总表!D:D,I6,总表!E:E,$H$2,总表!E:E,$H$3)</f>
        <v>45353</v>
      </c>
      <c r="M6" s="256">
        <f t="shared" si="0"/>
        <v>69558</v>
      </c>
      <c r="N6" s="257">
        <f t="shared" si="1"/>
        <v>23186</v>
      </c>
      <c r="O6" s="258" t="str">
        <f>VLOOKUP(I6,设计师对应店铺!A:B,COLUMN(设计师对应店铺!B:B)-COLUMN(设计师对应店铺!A:B)+1,0)</f>
        <v>家饰佳</v>
      </c>
    </row>
    <row r="7" spans="1:15">
      <c r="A7" s="38" t="s">
        <v>1436</v>
      </c>
      <c r="B7" s="253">
        <f>COUNTIFS(总表!D:D,A7,总表!L:L,"&lt;&gt;",总表!U:U,"",总表!E:E,$H$2,总表!E:E,$H$3)</f>
        <v>2</v>
      </c>
      <c r="C7" s="253">
        <f>SUMIFS(总表!L:L,总表!D:D,A7,总表!E:E,$H$2,总表!E:E,$H$3)</f>
        <v>24847</v>
      </c>
      <c r="D7" s="253">
        <f>SUMIFS(总表!M:M,总表!D:D,A7,总表!E:E,$H$2,总表!E:E,$H$3)</f>
        <v>44520</v>
      </c>
      <c r="E7" s="253">
        <f t="shared" si="2"/>
        <v>69367</v>
      </c>
      <c r="F7" s="254">
        <f t="shared" si="3"/>
        <v>34683.5</v>
      </c>
      <c r="G7" s="255" t="str">
        <f>VLOOKUP(A7,设计师对应店铺!A:B,COLUMN(设计师对应店铺!B:B)-COLUMN(设计师对应店铺!A:B)+1,0)</f>
        <v>沪南店</v>
      </c>
      <c r="I7" s="38" t="s">
        <v>343</v>
      </c>
      <c r="J7" s="253">
        <f>COUNTIFS(总表!D:D,I7,总表!L:L,"&lt;&gt;",总表!U:U,"",总表!E:E,$H$2,总表!E:E,$H$3)</f>
        <v>4</v>
      </c>
      <c r="K7" s="253">
        <f>SUMIFS(总表!L:L,总表!D:D,I7,总表!E:E,$H$2,总表!E:E,$H$3)</f>
        <v>43371</v>
      </c>
      <c r="L7" s="253">
        <f>SUMIFS(总表!M:M,总表!D:D,I7,总表!E:E,$H$2,总表!E:E,$H$3)</f>
        <v>22022</v>
      </c>
      <c r="M7" s="253">
        <f t="shared" si="0"/>
        <v>65393</v>
      </c>
      <c r="N7" s="254">
        <f t="shared" si="1"/>
        <v>16348.25</v>
      </c>
      <c r="O7" s="255" t="str">
        <f>VLOOKUP(I7,设计师对应店铺!A:B,COLUMN(设计师对应店铺!B:B)-COLUMN(设计师对应店铺!A:B)+1,0)</f>
        <v>喜盈门</v>
      </c>
    </row>
    <row r="8" spans="1:15">
      <c r="A8" s="39" t="s">
        <v>443</v>
      </c>
      <c r="B8" s="256">
        <f>COUNTIFS(总表!D:D,A8,总表!L:L,"&lt;&gt;",总表!U:U,"",总表!E:E,$H$2,总表!E:E,$H$3)</f>
        <v>3</v>
      </c>
      <c r="C8" s="256">
        <f>SUMIFS(总表!L:L,总表!D:D,A8,总表!E:E,$H$2,总表!E:E,$H$3)</f>
        <v>24205</v>
      </c>
      <c r="D8" s="256">
        <f>SUMIFS(总表!M:M,总表!D:D,A8,总表!E:E,$H$2,总表!E:E,$H$3)</f>
        <v>45353</v>
      </c>
      <c r="E8" s="256">
        <f t="shared" si="2"/>
        <v>69558</v>
      </c>
      <c r="F8" s="257">
        <f t="shared" si="3"/>
        <v>23186</v>
      </c>
      <c r="G8" s="258" t="str">
        <f>VLOOKUP(A8,设计师对应店铺!A:B,COLUMN(设计师对应店铺!B:B)-COLUMN(设计师对应店铺!A:B)+1,0)</f>
        <v>家饰佳</v>
      </c>
      <c r="I8" s="39" t="s">
        <v>337</v>
      </c>
      <c r="J8" s="256">
        <f>COUNTIFS(总表!D:D,I8,总表!L:L,"&lt;&gt;",总表!U:U,"",总表!E:E,$H$2,总表!E:E,$H$3)</f>
        <v>3</v>
      </c>
      <c r="K8" s="256">
        <f>SUMIFS(总表!L:L,总表!D:D,I8,总表!E:E,$H$2,总表!E:E,$H$3)</f>
        <v>41501</v>
      </c>
      <c r="L8" s="256">
        <f>SUMIFS(总表!M:M,总表!D:D,I8,总表!E:E,$H$2,总表!E:E,$H$3)</f>
        <v>7310</v>
      </c>
      <c r="M8" s="256">
        <f t="shared" si="0"/>
        <v>48811</v>
      </c>
      <c r="N8" s="257">
        <f t="shared" si="1"/>
        <v>16270.3333333333</v>
      </c>
      <c r="O8" s="258" t="str">
        <f>VLOOKUP(I8,设计师对应店铺!A:B,COLUMN(设计师对应店铺!B:B)-COLUMN(设计师对应店铺!A:B)+1,0)</f>
        <v>建配龙</v>
      </c>
    </row>
    <row r="9" spans="1:15">
      <c r="A9" s="38" t="s">
        <v>343</v>
      </c>
      <c r="B9" s="253">
        <f>COUNTIFS(总表!D:D,A9,总表!L:L,"&lt;&gt;",总表!U:U,"",总表!E:E,$H$2,总表!E:E,$H$3)</f>
        <v>4</v>
      </c>
      <c r="C9" s="253">
        <f>SUMIFS(总表!L:L,总表!D:D,A9,总表!E:E,$H$2,总表!E:E,$H$3)</f>
        <v>43371</v>
      </c>
      <c r="D9" s="253">
        <f>SUMIFS(总表!M:M,总表!D:D,A9,总表!E:E,$H$2,总表!E:E,$H$3)</f>
        <v>22022</v>
      </c>
      <c r="E9" s="253">
        <f t="shared" si="2"/>
        <v>65393</v>
      </c>
      <c r="F9" s="254">
        <f t="shared" si="3"/>
        <v>16348.25</v>
      </c>
      <c r="G9" s="255" t="str">
        <f>VLOOKUP(A9,设计师对应店铺!A:B,COLUMN(设计师对应店铺!B:B)-COLUMN(设计师对应店铺!A:B)+1,0)</f>
        <v>喜盈门</v>
      </c>
      <c r="I9" s="38" t="s">
        <v>1436</v>
      </c>
      <c r="J9" s="253">
        <f>COUNTIFS(总表!D:D,I9,总表!L:L,"&lt;&gt;",总表!U:U,"",总表!E:E,$H$2,总表!E:E,$H$3)</f>
        <v>2</v>
      </c>
      <c r="K9" s="253">
        <f>SUMIFS(总表!L:L,总表!D:D,I9,总表!E:E,$H$2,总表!E:E,$H$3)</f>
        <v>24847</v>
      </c>
      <c r="L9" s="253">
        <f>SUMIFS(总表!M:M,总表!D:D,I9,总表!E:E,$H$2,总表!E:E,$H$3)</f>
        <v>44520</v>
      </c>
      <c r="M9" s="253">
        <f t="shared" si="0"/>
        <v>69367</v>
      </c>
      <c r="N9" s="254">
        <f t="shared" si="1"/>
        <v>34683.5</v>
      </c>
      <c r="O9" s="255" t="str">
        <f>VLOOKUP(I9,设计师对应店铺!A:B,COLUMN(设计师对应店铺!B:B)-COLUMN(设计师对应店铺!A:B)+1,0)</f>
        <v>沪南店</v>
      </c>
    </row>
    <row r="10" spans="1:15">
      <c r="A10" s="39" t="s">
        <v>33</v>
      </c>
      <c r="B10" s="256">
        <f>COUNTIFS(总表!D:D,A10,总表!L:L,"&lt;&gt;",总表!U:U,"",总表!E:E,$H$2,总表!E:E,$H$3)</f>
        <v>5</v>
      </c>
      <c r="C10" s="256">
        <f>SUMIFS(总表!L:L,总表!D:D,A10,总表!E:E,$H$2,总表!E:E,$H$3)</f>
        <v>83375</v>
      </c>
      <c r="D10" s="256">
        <f>SUMIFS(总表!M:M,总表!D:D,A10,总表!E:E,$H$2,总表!E:E,$H$3)</f>
        <v>4540</v>
      </c>
      <c r="E10" s="256">
        <f t="shared" si="2"/>
        <v>87915</v>
      </c>
      <c r="F10" s="257">
        <f t="shared" si="3"/>
        <v>17583</v>
      </c>
      <c r="G10" s="258" t="str">
        <f>VLOOKUP(A10,设计师对应店铺!A:B,COLUMN(设计师对应店铺!B:B)-COLUMN(设计师对应店铺!A:B)+1,0)</f>
        <v>汶水店</v>
      </c>
      <c r="I10" s="39" t="s">
        <v>125</v>
      </c>
      <c r="J10" s="256">
        <f>COUNTIFS(总表!D:D,I10,总表!L:L,"&lt;&gt;",总表!U:U,"",总表!E:E,$H$2,总表!E:E,$H$3)</f>
        <v>4</v>
      </c>
      <c r="K10" s="256">
        <f>SUMIFS(总表!L:L,总表!D:D,I10,总表!E:E,$H$2,总表!E:E,$H$3)</f>
        <v>38643</v>
      </c>
      <c r="L10" s="256">
        <f>SUMIFS(总表!M:M,总表!D:D,I10,总表!E:E,$H$2,总表!E:E,$H$3)</f>
        <v>2616</v>
      </c>
      <c r="M10" s="256">
        <f t="shared" si="0"/>
        <v>41259</v>
      </c>
      <c r="N10" s="257">
        <f t="shared" si="1"/>
        <v>10314.75</v>
      </c>
      <c r="O10" s="258" t="str">
        <f>VLOOKUP(I10,设计师对应店铺!A:B,COLUMN(设计师对应店铺!B:B)-COLUMN(设计师对应店铺!A:B)+1,0)</f>
        <v>同福店店长</v>
      </c>
    </row>
    <row r="11" spans="1:15">
      <c r="A11" s="38" t="s">
        <v>518</v>
      </c>
      <c r="B11" s="253">
        <f>COUNTIFS(总表!D:D,A11,总表!L:L,"&lt;&gt;",总表!U:U,"",总表!E:E,$H$2,总表!E:E,$H$3)</f>
        <v>3</v>
      </c>
      <c r="C11" s="253">
        <f>SUMIFS(总表!L:L,总表!D:D,A11,总表!E:E,$H$2,总表!E:E,$H$3)</f>
        <v>52499</v>
      </c>
      <c r="D11" s="253">
        <f>SUMIFS(总表!M:M,总表!D:D,A11,总表!E:E,$H$2,总表!E:E,$H$3)</f>
        <v>3183</v>
      </c>
      <c r="E11" s="253">
        <f t="shared" si="2"/>
        <v>55682</v>
      </c>
      <c r="F11" s="254">
        <f t="shared" si="3"/>
        <v>18560.6666666667</v>
      </c>
      <c r="G11" s="255" t="str">
        <f>VLOOKUP(A11,设计师对应店铺!A:B,COLUMN(设计师对应店铺!B:B)-COLUMN(设计师对应店铺!A:B)+1,0)</f>
        <v>奉贤店</v>
      </c>
      <c r="I11" s="38" t="s">
        <v>954</v>
      </c>
      <c r="J11" s="253">
        <f>COUNTIFS(总表!D:D,I11,总表!L:L,"&lt;&gt;",总表!U:U,"",总表!E:E,$H$2,总表!E:E,$H$3)</f>
        <v>2</v>
      </c>
      <c r="K11" s="253">
        <f>SUMIFS(总表!L:L,总表!D:D,I11,总表!E:E,$H$2,总表!E:E,$H$3)</f>
        <v>30820</v>
      </c>
      <c r="L11" s="253">
        <f>SUMIFS(总表!M:M,总表!D:D,I11,总表!E:E,$H$2,总表!E:E,$H$3)</f>
        <v>9800</v>
      </c>
      <c r="M11" s="253">
        <f t="shared" si="0"/>
        <v>40620</v>
      </c>
      <c r="N11" s="254">
        <f t="shared" si="1"/>
        <v>20310</v>
      </c>
      <c r="O11" s="255" t="str">
        <f>VLOOKUP(I11,设计师对应店铺!A:B,COLUMN(设计师对应店铺!B:B)-COLUMN(设计师对应店铺!A:B)+1,0)</f>
        <v>汶水店</v>
      </c>
    </row>
    <row r="12" spans="1:15">
      <c r="A12" s="39" t="s">
        <v>337</v>
      </c>
      <c r="B12" s="256">
        <f>COUNTIFS(总表!D:D,A12,总表!L:L,"&lt;&gt;",总表!U:U,"",总表!E:E,$H$2,总表!E:E,$H$3)</f>
        <v>3</v>
      </c>
      <c r="C12" s="256">
        <f>SUMIFS(总表!L:L,总表!D:D,A12,总表!E:E,$H$2,总表!E:E,$H$3)</f>
        <v>41501</v>
      </c>
      <c r="D12" s="256">
        <f>SUMIFS(总表!M:M,总表!D:D,A12,总表!E:E,$H$2,总表!E:E,$H$3)</f>
        <v>7310</v>
      </c>
      <c r="E12" s="256">
        <f t="shared" si="2"/>
        <v>48811</v>
      </c>
      <c r="F12" s="257">
        <f t="shared" si="3"/>
        <v>16270.3333333333</v>
      </c>
      <c r="G12" s="258" t="str">
        <f>VLOOKUP(A12,设计师对应店铺!A:B,COLUMN(设计师对应店铺!B:B)-COLUMN(设计师对应店铺!A:B)+1,0)</f>
        <v>建配龙</v>
      </c>
      <c r="I12" s="39" t="s">
        <v>155</v>
      </c>
      <c r="J12" s="256">
        <f>COUNTIFS(总表!D:D,I12,总表!L:L,"&lt;&gt;",总表!U:U,"",总表!E:E,$H$2,总表!E:E,$H$3)</f>
        <v>1</v>
      </c>
      <c r="K12" s="256">
        <f>SUMIFS(总表!L:L,总表!D:D,I12,总表!E:E,$H$2,总表!E:E,$H$3)</f>
        <v>3207</v>
      </c>
      <c r="L12" s="256">
        <f>SUMIFS(总表!M:M,总表!D:D,I12,总表!E:E,$H$2,总表!E:E,$H$3)</f>
        <v>26673</v>
      </c>
      <c r="M12" s="256">
        <f t="shared" si="0"/>
        <v>29880</v>
      </c>
      <c r="N12" s="256">
        <f t="shared" si="1"/>
        <v>29880</v>
      </c>
      <c r="O12" s="258" t="str">
        <f>VLOOKUP(I12,设计师对应店铺!A:B,COLUMN(设计师对应店铺!B:B)-COLUMN(设计师对应店铺!A:B)+1,0)</f>
        <v>好饰家</v>
      </c>
    </row>
    <row r="13" spans="1:15">
      <c r="A13" s="38" t="s">
        <v>517</v>
      </c>
      <c r="B13" s="253">
        <f>COUNTIFS(总表!D:D,A13,总表!L:L,"&lt;&gt;",总表!U:U,"",总表!E:E,$H$2,总表!E:E,$H$3)</f>
        <v>1</v>
      </c>
      <c r="C13" s="253">
        <f>SUMIFS(总表!L:L,总表!D:D,A13,总表!E:E,$H$2,总表!E:E,$H$3)</f>
        <v>33563</v>
      </c>
      <c r="D13" s="253">
        <f>SUMIFS(总表!M:M,总表!D:D,A13,总表!E:E,$H$2,总表!E:E,$H$3)</f>
        <v>12869</v>
      </c>
      <c r="E13" s="253">
        <f t="shared" si="2"/>
        <v>46432</v>
      </c>
      <c r="F13" s="254">
        <f t="shared" si="3"/>
        <v>46432</v>
      </c>
      <c r="G13" s="255" t="e">
        <f>VLOOKUP(A13,设计师对应店铺!A:B,COLUMN(设计师对应店铺!B:B)-COLUMN(设计师对应店铺!A:B)+1,0)</f>
        <v>#N/A</v>
      </c>
      <c r="I13" s="38" t="s">
        <v>427</v>
      </c>
      <c r="J13" s="253">
        <f>COUNTIFS(总表!D:D,I13,总表!L:L,"&lt;&gt;",总表!U:U,"",总表!E:E,$H$2,总表!E:E,$H$3)</f>
        <v>3</v>
      </c>
      <c r="K13" s="253">
        <f>SUMIFS(总表!L:L,总表!D:D,I13,总表!E:E,$H$2,总表!E:E,$H$3)</f>
        <v>43313</v>
      </c>
      <c r="L13" s="253">
        <f>SUMIFS(总表!M:M,总表!D:D,I13,总表!E:E,$H$2,总表!E:E,$H$3)</f>
        <v>-3761</v>
      </c>
      <c r="M13" s="253">
        <f t="shared" si="0"/>
        <v>39552</v>
      </c>
      <c r="N13" s="254">
        <f t="shared" si="1"/>
        <v>13184</v>
      </c>
      <c r="O13" s="255" t="str">
        <f>VLOOKUP(I13,设计师对应店铺!A:B,COLUMN(设计师对应店铺!B:B)-COLUMN(设计师对应店铺!A:B)+1,0)</f>
        <v>百家宜</v>
      </c>
    </row>
    <row r="14" spans="1:15">
      <c r="A14" s="39" t="s">
        <v>110</v>
      </c>
      <c r="B14" s="256">
        <f>COUNTIFS(总表!D:D,A14,总表!L:L,"&lt;&gt;",总表!U:U,"",总表!E:E,$H$2,总表!E:E,$H$3)</f>
        <v>3</v>
      </c>
      <c r="C14" s="256">
        <f>SUMIFS(总表!L:L,总表!D:D,A14,总表!E:E,$H$2,总表!E:E,$H$3)</f>
        <v>37259</v>
      </c>
      <c r="D14" s="256">
        <f>SUMIFS(总表!M:M,总表!D:D,A14,总表!E:E,$H$2,总表!E:E,$H$3)</f>
        <v>5168</v>
      </c>
      <c r="E14" s="256">
        <f t="shared" si="2"/>
        <v>42427</v>
      </c>
      <c r="F14" s="257">
        <f t="shared" si="3"/>
        <v>14142.3333333333</v>
      </c>
      <c r="G14" s="258" t="str">
        <f>VLOOKUP(A14,设计师对应店铺!A:B,COLUMN(设计师对应店铺!B:B)-COLUMN(设计师对应店铺!A:B)+1,0)</f>
        <v>喜盈门</v>
      </c>
      <c r="I14" s="39" t="s">
        <v>89</v>
      </c>
      <c r="J14" s="256">
        <f>COUNTIFS(总表!D:D,I14,总表!L:L,"&lt;&gt;",总表!U:U,"",总表!E:E,$H$2,总表!E:E,$H$3)</f>
        <v>2</v>
      </c>
      <c r="K14" s="256">
        <f>SUMIFS(总表!L:L,总表!D:D,I14,总表!E:E,$H$2,总表!E:E,$H$3)</f>
        <v>24868</v>
      </c>
      <c r="L14" s="256">
        <f>SUMIFS(总表!M:M,总表!D:D,I14,总表!E:E,$H$2,总表!E:E,$H$3)</f>
        <v>0</v>
      </c>
      <c r="M14" s="256">
        <f t="shared" si="0"/>
        <v>24868</v>
      </c>
      <c r="N14" s="257">
        <f t="shared" si="1"/>
        <v>12434</v>
      </c>
      <c r="O14" s="258" t="str">
        <f>VLOOKUP(I14,设计师对应店铺!A:B,COLUMN(设计师对应店铺!B:B)-COLUMN(设计师对应店铺!A:B)+1,0)</f>
        <v>吉盛伟邦</v>
      </c>
    </row>
    <row r="15" spans="1:15">
      <c r="A15" s="38" t="s">
        <v>125</v>
      </c>
      <c r="B15" s="253">
        <f>COUNTIFS(总表!D:D,A15,总表!L:L,"&lt;&gt;",总表!U:U,"",总表!E:E,$H$2,总表!E:E,$H$3)</f>
        <v>4</v>
      </c>
      <c r="C15" s="253">
        <f>SUMIFS(总表!L:L,总表!D:D,A15,总表!E:E,$H$2,总表!E:E,$H$3)</f>
        <v>38643</v>
      </c>
      <c r="D15" s="253">
        <f>SUMIFS(总表!M:M,总表!D:D,A15,总表!E:E,$H$2,总表!E:E,$H$3)</f>
        <v>2616</v>
      </c>
      <c r="E15" s="253">
        <f t="shared" si="2"/>
        <v>41259</v>
      </c>
      <c r="F15" s="254">
        <f t="shared" si="3"/>
        <v>10314.75</v>
      </c>
      <c r="G15" s="255" t="str">
        <f>VLOOKUP(A15,设计师对应店铺!A:B,COLUMN(设计师对应店铺!B:B)-COLUMN(设计师对应店铺!A:B)+1,0)</f>
        <v>同福店店长</v>
      </c>
      <c r="I15" s="38" t="s">
        <v>33</v>
      </c>
      <c r="J15" s="253">
        <f>COUNTIFS(总表!D:D,I15,总表!L:L,"&lt;&gt;",总表!U:U,"",总表!E:E,$H$2,总表!E:E,$H$3)</f>
        <v>5</v>
      </c>
      <c r="K15" s="253">
        <f>SUMIFS(总表!L:L,总表!D:D,I15,总表!E:E,$H$2,总表!E:E,$H$3)</f>
        <v>83375</v>
      </c>
      <c r="L15" s="253">
        <f>SUMIFS(总表!M:M,总表!D:D,I15,总表!E:E,$H$2,总表!E:E,$H$3)</f>
        <v>4540</v>
      </c>
      <c r="M15" s="253">
        <f t="shared" si="0"/>
        <v>87915</v>
      </c>
      <c r="N15" s="254">
        <f t="shared" si="1"/>
        <v>17583</v>
      </c>
      <c r="O15" s="255" t="str">
        <f>VLOOKUP(I15,设计师对应店铺!A:B,COLUMN(设计师对应店铺!B:B)-COLUMN(设计师对应店铺!A:B)+1,0)</f>
        <v>汶水店</v>
      </c>
    </row>
    <row r="16" spans="1:15">
      <c r="A16" s="39" t="s">
        <v>954</v>
      </c>
      <c r="B16" s="256">
        <f>COUNTIFS(总表!D:D,A16,总表!L:L,"&lt;&gt;",总表!U:U,"",总表!E:E,$H$2,总表!E:E,$H$3)</f>
        <v>2</v>
      </c>
      <c r="C16" s="256">
        <f>SUMIFS(总表!L:L,总表!D:D,A16,总表!E:E,$H$2,总表!E:E,$H$3)</f>
        <v>30820</v>
      </c>
      <c r="D16" s="256">
        <f>SUMIFS(总表!M:M,总表!D:D,A16,总表!E:E,$H$2,总表!E:E,$H$3)</f>
        <v>9800</v>
      </c>
      <c r="E16" s="256">
        <f t="shared" si="2"/>
        <v>40620</v>
      </c>
      <c r="F16" s="257">
        <f t="shared" si="3"/>
        <v>20310</v>
      </c>
      <c r="G16" s="258" t="str">
        <f>VLOOKUP(A16,设计师对应店铺!A:B,COLUMN(设计师对应店铺!B:B)-COLUMN(设计师对应店铺!A:B)+1,0)</f>
        <v>汶水店</v>
      </c>
      <c r="I16" s="39" t="s">
        <v>8334</v>
      </c>
      <c r="J16" s="256">
        <f>COUNTIFS(总表!D:D,I16,总表!L:L,"&lt;&gt;",总表!U:U,"",总表!E:E,$H$2,总表!E:E,$H$3)</f>
        <v>2</v>
      </c>
      <c r="K16" s="256">
        <f>SUMIFS(总表!L:L,总表!D:D,I16,总表!E:E,$H$2,总表!E:E,$H$3)</f>
        <v>16306</v>
      </c>
      <c r="L16" s="256">
        <f>SUMIFS(总表!M:M,总表!D:D,I16,总表!E:E,$H$2,总表!E:E,$H$3)</f>
        <v>7494</v>
      </c>
      <c r="M16" s="256">
        <f t="shared" si="0"/>
        <v>23800</v>
      </c>
      <c r="N16" s="257">
        <f t="shared" si="1"/>
        <v>11900</v>
      </c>
      <c r="O16" s="258" t="str">
        <f>VLOOKUP(I16,设计师对应店铺!A:B,COLUMN(设计师对应店铺!B:B)-COLUMN(设计师对应店铺!A:B)+1,0)</f>
        <v>尚品宅配</v>
      </c>
    </row>
    <row r="17" spans="1:15">
      <c r="A17" s="38" t="s">
        <v>427</v>
      </c>
      <c r="B17" s="253">
        <f>COUNTIFS(总表!D:D,A17,总表!L:L,"&lt;&gt;",总表!U:U,"",总表!E:E,$H$2,总表!E:E,$H$3)</f>
        <v>3</v>
      </c>
      <c r="C17" s="253">
        <f>SUMIFS(总表!L:L,总表!D:D,A17,总表!E:E,$H$2,总表!E:E,$H$3)</f>
        <v>43313</v>
      </c>
      <c r="D17" s="253">
        <f>SUMIFS(总表!M:M,总表!D:D,A17,总表!E:E,$H$2,总表!E:E,$H$3)</f>
        <v>-3761</v>
      </c>
      <c r="E17" s="253">
        <f t="shared" si="2"/>
        <v>39552</v>
      </c>
      <c r="F17" s="254">
        <f t="shared" si="3"/>
        <v>13184</v>
      </c>
      <c r="G17" s="255" t="str">
        <f>VLOOKUP(A17,设计师对应店铺!A:B,COLUMN(设计师对应店铺!B:B)-COLUMN(设计师对应店铺!A:B)+1,0)</f>
        <v>百家宜</v>
      </c>
      <c r="I17" s="38" t="s">
        <v>139</v>
      </c>
      <c r="J17" s="253">
        <f>COUNTIFS(总表!D:D,I17,总表!L:L,"&lt;&gt;",总表!U:U,"",总表!E:E,$H$2,总表!E:E,$H$3)</f>
        <v>1</v>
      </c>
      <c r="K17" s="253">
        <f>SUMIFS(总表!L:L,总表!D:D,I17,总表!E:E,$H$2,总表!E:E,$H$3)</f>
        <v>10475</v>
      </c>
      <c r="L17" s="253">
        <f>SUMIFS(总表!M:M,总表!D:D,I17,总表!E:E,$H$2,总表!E:E,$H$3)</f>
        <v>9462</v>
      </c>
      <c r="M17" s="253">
        <f t="shared" si="0"/>
        <v>19937</v>
      </c>
      <c r="N17" s="254">
        <f t="shared" si="1"/>
        <v>19937</v>
      </c>
      <c r="O17" s="255" t="str">
        <f>VLOOKUP(I17,设计师对应店铺!A:B,COLUMN(设计师对应店铺!B:B)-COLUMN(设计师对应店铺!A:B)+1,0)</f>
        <v>家饰佳</v>
      </c>
    </row>
    <row r="18" spans="1:15">
      <c r="A18" s="39" t="s">
        <v>162</v>
      </c>
      <c r="B18" s="256">
        <f>COUNTIFS(总表!D:D,A18,总表!L:L,"&lt;&gt;",总表!U:U,"",总表!E:E,$H$2,总表!E:E,$H$3)</f>
        <v>3</v>
      </c>
      <c r="C18" s="256">
        <f>SUMIFS(总表!L:L,总表!D:D,A18,总表!E:E,$H$2,总表!E:E,$H$3)</f>
        <v>45760</v>
      </c>
      <c r="D18" s="256">
        <f>SUMIFS(总表!M:M,总表!D:D,A18,总表!E:E,$H$2,总表!E:E,$H$3)</f>
        <v>15654</v>
      </c>
      <c r="E18" s="256">
        <f t="shared" si="2"/>
        <v>61414</v>
      </c>
      <c r="F18" s="257">
        <f t="shared" si="3"/>
        <v>20471.3333333333</v>
      </c>
      <c r="G18" s="258" t="str">
        <f>VLOOKUP(A18,设计师对应店铺!A:B,COLUMN(设计师对应店铺!B:B)-COLUMN(设计师对应店铺!A:B)+1,0)</f>
        <v>真北店</v>
      </c>
      <c r="I18" s="39" t="s">
        <v>237</v>
      </c>
      <c r="J18" s="256">
        <f>COUNTIFS(总表!D:D,I18,总表!L:L,"&lt;&gt;",总表!U:U,"",总表!E:E,$H$2,总表!E:E,$H$3)</f>
        <v>0</v>
      </c>
      <c r="K18" s="256">
        <f>SUMIFS(总表!L:L,总表!D:D,I18,总表!E:E,$H$2,总表!E:E,$H$3)</f>
        <v>0</v>
      </c>
      <c r="L18" s="256">
        <f>SUMIFS(总表!M:M,总表!D:D,I18,总表!E:E,$H$2,总表!E:E,$H$3)</f>
        <v>17325</v>
      </c>
      <c r="M18" s="256">
        <f t="shared" si="0"/>
        <v>17325</v>
      </c>
      <c r="N18" s="257" t="e">
        <f t="shared" si="1"/>
        <v>#DIV/0!</v>
      </c>
      <c r="O18" s="258" t="str">
        <f>VLOOKUP(I18,设计师对应店铺!A:B,COLUMN(设计师对应店铺!B:B)-COLUMN(设计师对应店铺!A:B)+1,0)</f>
        <v>百安居</v>
      </c>
    </row>
    <row r="19" spans="1:15">
      <c r="A19" s="38" t="s">
        <v>49</v>
      </c>
      <c r="B19" s="253">
        <f>COUNTIFS(总表!D:D,A19,总表!L:L,"&lt;&gt;",总表!U:U,"",总表!E:E,$H$2,总表!E:E,$H$3)</f>
        <v>4</v>
      </c>
      <c r="C19" s="253">
        <f>SUMIFS(总表!L:L,总表!D:D,A19,总表!E:E,$H$2,总表!E:E,$H$3)</f>
        <v>37133</v>
      </c>
      <c r="D19" s="253">
        <f>SUMIFS(总表!M:M,总表!D:D,A19,总表!E:E,$H$2,总表!E:E,$H$3)</f>
        <v>901</v>
      </c>
      <c r="E19" s="253">
        <f t="shared" si="2"/>
        <v>38034</v>
      </c>
      <c r="F19" s="254">
        <f t="shared" si="3"/>
        <v>9508.5</v>
      </c>
      <c r="G19" s="255" t="str">
        <f>VLOOKUP(A19,设计师对应店铺!A:B,COLUMN(设计师对应店铺!B:B)-COLUMN(设计师对应店铺!A:B)+1,0)</f>
        <v>奉贤、金山、南汇、松江</v>
      </c>
      <c r="I19" s="38" t="s">
        <v>2381</v>
      </c>
      <c r="J19" s="253">
        <f>COUNTIFS(总表!D:D,I19,总表!L:L,"&lt;&gt;",总表!U:U,"",总表!E:E,$H$2,总表!E:E,$H$3)</f>
        <v>1</v>
      </c>
      <c r="K19" s="253">
        <f>SUMIFS(总表!L:L,总表!D:D,I19,总表!E:E,$H$2,总表!E:E,$H$3)</f>
        <v>15711</v>
      </c>
      <c r="L19" s="253">
        <f>SUMIFS(总表!M:M,总表!D:D,I19,总表!E:E,$H$2,总表!E:E,$H$3)</f>
        <v>6688</v>
      </c>
      <c r="M19" s="253">
        <f t="shared" si="0"/>
        <v>22399</v>
      </c>
      <c r="N19" s="254">
        <f t="shared" si="1"/>
        <v>22399</v>
      </c>
      <c r="O19" s="255" t="str">
        <f>VLOOKUP(I19,设计师对应店铺!A:B,COLUMN(设计师对应店铺!B:B)-COLUMN(设计师对应店铺!A:B)+1,0)</f>
        <v>家饰佳</v>
      </c>
    </row>
    <row r="20" spans="1:15">
      <c r="A20" s="39" t="s">
        <v>155</v>
      </c>
      <c r="B20" s="256">
        <f>COUNTIFS(总表!D:D,A20,总表!L:L,"&lt;&gt;",总表!U:U,"",总表!E:E,$H$2,总表!E:E,$H$3)</f>
        <v>1</v>
      </c>
      <c r="C20" s="256">
        <f>SUMIFS(总表!L:L,总表!D:D,A20,总表!E:E,$H$2,总表!E:E,$H$3)</f>
        <v>3207</v>
      </c>
      <c r="D20" s="256">
        <f>SUMIFS(总表!M:M,总表!D:D,A20,总表!E:E,$H$2,总表!E:E,$H$3)</f>
        <v>26673</v>
      </c>
      <c r="E20" s="256">
        <f t="shared" si="2"/>
        <v>29880</v>
      </c>
      <c r="F20" s="257">
        <f t="shared" si="3"/>
        <v>29880</v>
      </c>
      <c r="G20" s="258" t="str">
        <f>VLOOKUP(A20,设计师对应店铺!A:B,COLUMN(设计师对应店铺!B:B)-COLUMN(设计师对应店铺!A:B)+1,0)</f>
        <v>好饰家</v>
      </c>
      <c r="I20" s="39" t="s">
        <v>162</v>
      </c>
      <c r="J20" s="256">
        <f>COUNTIFS(总表!D:D,I20,总表!L:L,"&lt;&gt;",总表!U:U,"",总表!E:E,$H$2,总表!E:E,$H$3)</f>
        <v>3</v>
      </c>
      <c r="K20" s="256">
        <f>SUMIFS(总表!L:L,总表!D:D,I20,总表!E:E,$H$2,总表!E:E,$H$3)</f>
        <v>45760</v>
      </c>
      <c r="L20" s="256">
        <f>SUMIFS(总表!M:M,总表!D:D,I20,总表!E:E,$H$2,总表!E:E,$H$3)</f>
        <v>15654</v>
      </c>
      <c r="M20" s="256">
        <f t="shared" si="0"/>
        <v>61414</v>
      </c>
      <c r="N20" s="257">
        <f t="shared" si="1"/>
        <v>20471.3333333333</v>
      </c>
      <c r="O20" s="258" t="str">
        <f>VLOOKUP(I20,设计师对应店铺!A:B,COLUMN(设计师对应店铺!B:B)-COLUMN(设计师对应店铺!A:B)+1,0)</f>
        <v>真北店</v>
      </c>
    </row>
    <row r="21" spans="1:15">
      <c r="A21" s="38" t="s">
        <v>44</v>
      </c>
      <c r="B21" s="253">
        <f>COUNTIFS(总表!D:D,A21,总表!L:L,"&lt;&gt;",总表!U:U,"",总表!E:E,$H$2,总表!E:E,$H$3)</f>
        <v>3</v>
      </c>
      <c r="C21" s="253">
        <f>SUMIFS(总表!L:L,总表!D:D,A21,总表!E:E,$H$2,总表!E:E,$H$3)</f>
        <v>20562</v>
      </c>
      <c r="D21" s="253">
        <f>SUMIFS(总表!M:M,总表!D:D,A21,总表!E:E,$H$2,总表!E:E,$H$3)</f>
        <v>7681</v>
      </c>
      <c r="E21" s="253">
        <f t="shared" si="2"/>
        <v>28243</v>
      </c>
      <c r="F21" s="254">
        <f t="shared" si="3"/>
        <v>9414.33333333333</v>
      </c>
      <c r="G21" s="255" t="str">
        <f>VLOOKUP(A21,设计师对应店铺!A:B,COLUMN(设计师对应店铺!B:B)-COLUMN(设计师对应店铺!A:B)+1,0)</f>
        <v>金桥店、百安居</v>
      </c>
      <c r="I21" s="38" t="s">
        <v>110</v>
      </c>
      <c r="J21" s="253">
        <f>COUNTIFS(总表!D:D,I21,总表!L:L,"&lt;&gt;",总表!U:U,"",总表!E:E,$H$2,总表!E:E,$H$3)</f>
        <v>3</v>
      </c>
      <c r="K21" s="253">
        <f>SUMIFS(总表!L:L,总表!D:D,I21,总表!E:E,$H$2,总表!E:E,$H$3)</f>
        <v>37259</v>
      </c>
      <c r="L21" s="253">
        <f>SUMIFS(总表!M:M,总表!D:D,I21,总表!E:E,$H$2,总表!E:E,$H$3)</f>
        <v>5168</v>
      </c>
      <c r="M21" s="253">
        <f t="shared" si="0"/>
        <v>42427</v>
      </c>
      <c r="N21" s="254">
        <f t="shared" si="1"/>
        <v>14142.3333333333</v>
      </c>
      <c r="O21" s="255" t="str">
        <f>VLOOKUP(I21,设计师对应店铺!A:B,COLUMN(设计师对应店铺!B:B)-COLUMN(设计师对应店铺!A:B)+1,0)</f>
        <v>喜盈门</v>
      </c>
    </row>
    <row r="22" spans="1:15">
      <c r="A22" s="39" t="s">
        <v>89</v>
      </c>
      <c r="B22" s="256">
        <f>COUNTIFS(总表!D:D,A22,总表!L:L,"&lt;&gt;",总表!U:U,"",总表!E:E,$H$2,总表!E:E,$H$3)</f>
        <v>2</v>
      </c>
      <c r="C22" s="256">
        <f>SUMIFS(总表!L:L,总表!D:D,A22,总表!E:E,$H$2,总表!E:E,$H$3)</f>
        <v>24868</v>
      </c>
      <c r="D22" s="256">
        <f>SUMIFS(总表!M:M,总表!D:D,A22,总表!E:E,$H$2,总表!E:E,$H$3)</f>
        <v>0</v>
      </c>
      <c r="E22" s="256">
        <f t="shared" si="2"/>
        <v>24868</v>
      </c>
      <c r="F22" s="257">
        <f t="shared" si="3"/>
        <v>12434</v>
      </c>
      <c r="G22" s="258" t="str">
        <f>VLOOKUP(A22,设计师对应店铺!A:B,COLUMN(设计师对应店铺!B:B)-COLUMN(设计师对应店铺!A:B)+1,0)</f>
        <v>吉盛伟邦</v>
      </c>
      <c r="I22" s="39" t="s">
        <v>37</v>
      </c>
      <c r="J22" s="256">
        <f>COUNTIFS(总表!D:D,I22,总表!L:L,"&lt;&gt;",总表!U:U,"",总表!E:E,$H$2,总表!E:E,$H$3)</f>
        <v>1</v>
      </c>
      <c r="K22" s="256">
        <f>SUMIFS(总表!L:L,总表!D:D,I22,总表!E:E,$H$2,总表!E:E,$H$3)</f>
        <v>7340</v>
      </c>
      <c r="L22" s="256">
        <f>SUMIFS(总表!M:M,总表!D:D,I22,总表!E:E,$H$2,总表!E:E,$H$3)</f>
        <v>1427</v>
      </c>
      <c r="M22" s="256">
        <f t="shared" si="0"/>
        <v>8767</v>
      </c>
      <c r="N22" s="257">
        <f t="shared" si="1"/>
        <v>8767</v>
      </c>
      <c r="O22" s="258" t="str">
        <f>VLOOKUP(I22,设计师对应店铺!A:B,COLUMN(设计师对应店铺!B:B)-COLUMN(设计师对应店铺!A:B)+1,0)</f>
        <v>浦江店</v>
      </c>
    </row>
    <row r="23" spans="1:15">
      <c r="A23" s="38" t="s">
        <v>8334</v>
      </c>
      <c r="B23" s="253">
        <f>COUNTIFS(总表!D:D,A23,总表!L:L,"&lt;&gt;",总表!U:U,"",总表!E:E,$H$2,总表!E:E,$H$3)</f>
        <v>2</v>
      </c>
      <c r="C23" s="253">
        <f>SUMIFS(总表!L:L,总表!D:D,A23,总表!E:E,$H$2,总表!E:E,$H$3)</f>
        <v>16306</v>
      </c>
      <c r="D23" s="253">
        <f>SUMIFS(总表!M:M,总表!D:D,A23,总表!E:E,$H$2,总表!E:E,$H$3)</f>
        <v>7494</v>
      </c>
      <c r="E23" s="253">
        <f t="shared" si="2"/>
        <v>23800</v>
      </c>
      <c r="F23" s="254">
        <f t="shared" si="3"/>
        <v>11900</v>
      </c>
      <c r="G23" s="255" t="str">
        <f>VLOOKUP(A23,设计师对应店铺!A:B,COLUMN(设计师对应店铺!B:B)-COLUMN(设计师对应店铺!A:B)+1,0)</f>
        <v>尚品宅配</v>
      </c>
      <c r="I23" s="38" t="s">
        <v>407</v>
      </c>
      <c r="J23" s="253">
        <f>COUNTIFS(总表!D:D,I23,总表!L:L,"&lt;&gt;",总表!U:U,"",总表!E:E,$H$2,总表!E:E,$H$3)</f>
        <v>2</v>
      </c>
      <c r="K23" s="253">
        <f>SUMIFS(总表!L:L,总表!D:D,I23,总表!E:E,$H$2,总表!E:E,$H$3)</f>
        <v>6726</v>
      </c>
      <c r="L23" s="253">
        <f>SUMIFS(总表!M:M,总表!D:D,I23,总表!E:E,$H$2,总表!E:E,$H$3)</f>
        <v>4498</v>
      </c>
      <c r="M23" s="253">
        <f t="shared" si="0"/>
        <v>11224</v>
      </c>
      <c r="N23" s="254">
        <f t="shared" si="1"/>
        <v>5612</v>
      </c>
      <c r="O23" s="255" t="str">
        <f>VLOOKUP(I23,设计师对应店铺!A:B,COLUMN(设计师对应店铺!B:B)-COLUMN(设计师对应店铺!A:B)+1,0)</f>
        <v>嘉定店</v>
      </c>
    </row>
    <row r="24" spans="1:15">
      <c r="A24" s="39" t="s">
        <v>171</v>
      </c>
      <c r="B24" s="256">
        <f>COUNTIFS(总表!D:D,A24,总表!L:L,"&lt;&gt;",总表!U:U,"",总表!E:E,$H$2,总表!E:E,$H$3)</f>
        <v>2</v>
      </c>
      <c r="C24" s="256">
        <f>SUMIFS(总表!L:L,总表!D:D,A24,总表!E:E,$H$2,总表!E:E,$H$3)</f>
        <v>23505</v>
      </c>
      <c r="D24" s="256">
        <f>SUMIFS(总表!M:M,总表!D:D,A24,总表!E:E,$H$2,总表!E:E,$H$3)</f>
        <v>1253</v>
      </c>
      <c r="E24" s="256">
        <f t="shared" si="2"/>
        <v>24758</v>
      </c>
      <c r="F24" s="257">
        <f t="shared" si="3"/>
        <v>12379</v>
      </c>
      <c r="G24" s="258" t="str">
        <f>VLOOKUP(A24,设计师对应店铺!A:B,COLUMN(设计师对应店铺!B:B)-COLUMN(设计师对应店铺!A:B)+1,0)</f>
        <v>家饰佳、兴力达</v>
      </c>
      <c r="I24" s="39" t="s">
        <v>44</v>
      </c>
      <c r="J24" s="256">
        <f>COUNTIFS(总表!D:D,I24,总表!L:L,"&lt;&gt;",总表!U:U,"",总表!E:E,$H$2,总表!E:E,$H$3)</f>
        <v>3</v>
      </c>
      <c r="K24" s="256">
        <f>SUMIFS(总表!L:L,总表!D:D,I24,总表!E:E,$H$2,总表!E:E,$H$3)</f>
        <v>20562</v>
      </c>
      <c r="L24" s="256">
        <f>SUMIFS(总表!M:M,总表!D:D,I24,总表!E:E,$H$2,总表!E:E,$H$3)</f>
        <v>7681</v>
      </c>
      <c r="M24" s="256">
        <f t="shared" si="0"/>
        <v>28243</v>
      </c>
      <c r="N24" s="257">
        <f t="shared" si="1"/>
        <v>9414.33333333333</v>
      </c>
      <c r="O24" s="258" t="str">
        <f>VLOOKUP(I24,设计师对应店铺!A:B,COLUMN(设计师对应店铺!B:B)-COLUMN(设计师对应店铺!A:B)+1,0)</f>
        <v>金桥店、百安居</v>
      </c>
    </row>
    <row r="25" spans="1:15">
      <c r="A25" s="38" t="s">
        <v>139</v>
      </c>
      <c r="B25" s="253">
        <f>COUNTIFS(总表!D:D,A25,总表!L:L,"&lt;&gt;",总表!U:U,"",总表!E:E,$H$2,总表!E:E,$H$3)</f>
        <v>1</v>
      </c>
      <c r="C25" s="253">
        <f>SUMIFS(总表!L:L,总表!D:D,A25,总表!E:E,$H$2,总表!E:E,$H$3)</f>
        <v>10475</v>
      </c>
      <c r="D25" s="253">
        <f>SUMIFS(总表!M:M,总表!D:D,A25,总表!E:E,$H$2,总表!E:E,$H$3)</f>
        <v>9462</v>
      </c>
      <c r="E25" s="253">
        <f t="shared" si="2"/>
        <v>19937</v>
      </c>
      <c r="F25" s="254">
        <f t="shared" si="3"/>
        <v>19937</v>
      </c>
      <c r="G25" s="255" t="str">
        <f>VLOOKUP(A25,设计师对应店铺!A:B,COLUMN(设计师对应店铺!B:B)-COLUMN(设计师对应店铺!A:B)+1,0)</f>
        <v>家饰佳</v>
      </c>
      <c r="I25" s="38" t="s">
        <v>171</v>
      </c>
      <c r="J25" s="253">
        <f>COUNTIFS(总表!D:D,I25,总表!L:L,"&lt;&gt;",总表!U:U,"",总表!E:E,$H$2,总表!E:E,$H$3)</f>
        <v>2</v>
      </c>
      <c r="K25" s="253">
        <f>SUMIFS(总表!L:L,总表!D:D,I25,总表!E:E,$H$2,总表!E:E,$H$3)</f>
        <v>23505</v>
      </c>
      <c r="L25" s="253">
        <f>SUMIFS(总表!M:M,总表!D:D,I25,总表!E:E,$H$2,总表!E:E,$H$3)</f>
        <v>1253</v>
      </c>
      <c r="M25" s="253">
        <f t="shared" si="0"/>
        <v>24758</v>
      </c>
      <c r="N25" s="254">
        <f t="shared" si="1"/>
        <v>12379</v>
      </c>
      <c r="O25" s="255" t="str">
        <f>VLOOKUP(I25,设计师对应店铺!A:B,COLUMN(设计师对应店铺!B:B)-COLUMN(设计师对应店铺!A:B)+1,0)</f>
        <v>家饰佳、兴力达</v>
      </c>
    </row>
    <row r="26" spans="1:15">
      <c r="A26" s="39" t="s">
        <v>237</v>
      </c>
      <c r="B26" s="256">
        <f>COUNTIFS(总表!D:D,A26,总表!L:L,"&lt;&gt;",总表!U:U,"",总表!E:E,$H$2,总表!E:E,$H$3)</f>
        <v>0</v>
      </c>
      <c r="C26" s="256">
        <f>SUMIFS(总表!L:L,总表!D:D,A26,总表!E:E,$H$2,总表!E:E,$H$3)</f>
        <v>0</v>
      </c>
      <c r="D26" s="256">
        <f>SUMIFS(总表!M:M,总表!D:D,A26,总表!E:E,$H$2,总表!E:E,$H$3)</f>
        <v>17325</v>
      </c>
      <c r="E26" s="256">
        <f t="shared" si="2"/>
        <v>17325</v>
      </c>
      <c r="F26" s="257" t="e">
        <f t="shared" si="3"/>
        <v>#DIV/0!</v>
      </c>
      <c r="G26" s="258" t="str">
        <f>VLOOKUP(A26,设计师对应店铺!A:B,COLUMN(设计师对应店铺!B:B)-COLUMN(设计师对应店铺!A:B)+1,0)</f>
        <v>百安居</v>
      </c>
      <c r="I26" s="260" t="s">
        <v>207</v>
      </c>
      <c r="J26" s="256">
        <f>COUNTIFS(总表!D:D,I26,总表!L:L,"&lt;&gt;",总表!U:U,"",总表!E:E,$H$2,总表!E:E,$H$3)</f>
        <v>1</v>
      </c>
      <c r="K26" s="256">
        <f>SUMIFS(总表!L:L,总表!D:D,I26,总表!E:E,$H$2,总表!E:E,$H$3)</f>
        <v>2716</v>
      </c>
      <c r="L26" s="256">
        <f>SUMIFS(总表!M:M,总表!D:D,I26,总表!E:E,$H$2,总表!E:E,$H$3)</f>
        <v>6276</v>
      </c>
      <c r="M26" s="256">
        <f t="shared" si="0"/>
        <v>8992</v>
      </c>
      <c r="N26" s="257">
        <f t="shared" si="1"/>
        <v>8992</v>
      </c>
      <c r="O26" s="258" t="str">
        <f>VLOOKUP(I26,设计师对应店铺!A:B,COLUMN(设计师对应店铺!B:B)-COLUMN(设计师对应店铺!A:B)+1,0)</f>
        <v>百安居</v>
      </c>
    </row>
    <row r="27" spans="1:15">
      <c r="A27" s="38" t="s">
        <v>2381</v>
      </c>
      <c r="B27" s="253">
        <f>COUNTIFS(总表!D:D,A27,总表!L:L,"&lt;&gt;",总表!U:U,"",总表!E:E,$H$2,总表!E:E,$H$3)</f>
        <v>1</v>
      </c>
      <c r="C27" s="253">
        <f>SUMIFS(总表!L:L,总表!D:D,A27,总表!E:E,$H$2,总表!E:E,$H$3)</f>
        <v>15711</v>
      </c>
      <c r="D27" s="253">
        <f>SUMIFS(总表!M:M,总表!D:D,A27,总表!E:E,$H$2,总表!E:E,$H$3)</f>
        <v>6688</v>
      </c>
      <c r="E27" s="253">
        <f t="shared" si="2"/>
        <v>22399</v>
      </c>
      <c r="F27" s="254">
        <f t="shared" si="3"/>
        <v>22399</v>
      </c>
      <c r="G27" s="255" t="str">
        <f>VLOOKUP(A27,设计师对应店铺!A:B,COLUMN(设计师对应店铺!B:B)-COLUMN(设计师对应店铺!A:B)+1,0)</f>
        <v>家饰佳</v>
      </c>
      <c r="I27" s="38" t="s">
        <v>221</v>
      </c>
      <c r="J27" s="253">
        <f>COUNTIFS(总表!D:D,I27,总表!L:L,"&lt;&gt;",总表!U:U,"",总表!E:E,$H$2,总表!E:E,$H$3)</f>
        <v>0</v>
      </c>
      <c r="K27" s="253">
        <f>SUMIFS(总表!L:L,总表!D:D,I27,总表!E:E,$H$2,总表!E:E,$H$3)</f>
        <v>0</v>
      </c>
      <c r="L27" s="253">
        <f>SUMIFS(总表!M:M,总表!D:D,I27,总表!E:E,$H$2,总表!E:E,$H$3)</f>
        <v>9242</v>
      </c>
      <c r="M27" s="253">
        <f t="shared" si="0"/>
        <v>9242</v>
      </c>
      <c r="N27" s="254" t="e">
        <f t="shared" si="1"/>
        <v>#DIV/0!</v>
      </c>
      <c r="O27" s="255" t="str">
        <f>VLOOKUP(I27,设计师对应店铺!A:B,COLUMN(设计师对应店铺!B:B)-COLUMN(设计师对应店铺!A:B)+1,0)</f>
        <v>汶水店</v>
      </c>
    </row>
    <row r="28" spans="1:15">
      <c r="A28" s="39" t="s">
        <v>75</v>
      </c>
      <c r="B28" s="256">
        <f>COUNTIFS(总表!D:D,A28,总表!L:L,"&lt;&gt;",总表!U:U,"",总表!E:E,$H$2,总表!E:E,$H$3)</f>
        <v>1</v>
      </c>
      <c r="C28" s="256">
        <f>SUMIFS(总表!L:L,总表!D:D,A28,总表!E:E,$H$2,总表!E:E,$H$3)</f>
        <v>10798</v>
      </c>
      <c r="D28" s="256">
        <f>SUMIFS(总表!M:M,总表!D:D,A28,总表!E:E,$H$2,总表!E:E,$H$3)</f>
        <v>0</v>
      </c>
      <c r="E28" s="256">
        <f t="shared" si="2"/>
        <v>10798</v>
      </c>
      <c r="F28" s="257">
        <f t="shared" si="3"/>
        <v>10798</v>
      </c>
      <c r="G28" s="258" t="str">
        <f>VLOOKUP(A28,设计师对应店铺!A:B,COLUMN(设计师对应店铺!B:B)-COLUMN(设计师对应店铺!A:B)+1,0)</f>
        <v>宜山经理</v>
      </c>
      <c r="I28" s="39" t="s">
        <v>132</v>
      </c>
      <c r="J28" s="256">
        <f>COUNTIFS(总表!D:D,I28,总表!L:L,"&lt;&gt;",总表!U:U,"",总表!E:E,$H$2,总表!E:E,$H$3)</f>
        <v>0</v>
      </c>
      <c r="K28" s="256">
        <f>SUMIFS(总表!L:L,总表!D:D,I28,总表!E:E,$H$2,总表!E:E,$H$3)</f>
        <v>0</v>
      </c>
      <c r="L28" s="256">
        <f>SUMIFS(总表!M:M,总表!D:D,I28,总表!E:E,$H$2,总表!E:E,$H$3)</f>
        <v>0</v>
      </c>
      <c r="M28" s="256">
        <f t="shared" si="0"/>
        <v>0</v>
      </c>
      <c r="N28" s="257" t="e">
        <f t="shared" si="1"/>
        <v>#DIV/0!</v>
      </c>
      <c r="O28" s="258" t="str">
        <f>VLOOKUP(I28,设计师对应店铺!A:B,COLUMN(设计师对应店铺!B:B)-COLUMN(设计师对应店铺!A:B)+1,0)</f>
        <v>真北店</v>
      </c>
    </row>
    <row r="29" spans="1:15">
      <c r="A29" s="38" t="s">
        <v>207</v>
      </c>
      <c r="B29" s="253">
        <f>COUNTIFS(总表!D:D,A29,总表!L:L,"&lt;&gt;",总表!U:U,"",总表!E:E,$H$2,总表!E:E,$H$3)</f>
        <v>1</v>
      </c>
      <c r="C29" s="253">
        <f>SUMIFS(总表!L:L,总表!D:D,A29,总表!E:E,$H$2,总表!E:E,$H$3)</f>
        <v>2716</v>
      </c>
      <c r="D29" s="253">
        <f>SUMIFS(总表!M:M,总表!D:D,A29,总表!E:E,$H$2,总表!E:E,$H$3)</f>
        <v>6276</v>
      </c>
      <c r="E29" s="253">
        <f t="shared" si="2"/>
        <v>8992</v>
      </c>
      <c r="F29" s="254">
        <f t="shared" si="3"/>
        <v>8992</v>
      </c>
      <c r="G29" s="255" t="str">
        <f>VLOOKUP(A29,设计师对应店铺!A:B,COLUMN(设计师对应店铺!B:B)-COLUMN(设计师对应店铺!A:B)+1,0)</f>
        <v>百安居</v>
      </c>
      <c r="I29" s="38" t="s">
        <v>75</v>
      </c>
      <c r="J29" s="253">
        <f>COUNTIFS(总表!D:D,I29,总表!L:L,"&lt;&gt;",总表!U:U,"",总表!E:E,$H$2,总表!E:E,$H$3)</f>
        <v>1</v>
      </c>
      <c r="K29" s="253">
        <f>SUMIFS(总表!L:L,总表!D:D,I29,总表!E:E,$H$2,总表!E:E,$H$3)</f>
        <v>10798</v>
      </c>
      <c r="L29" s="253">
        <f>SUMIFS(总表!M:M,总表!D:D,I29,总表!E:E,$H$2,总表!E:E,$H$3)</f>
        <v>0</v>
      </c>
      <c r="M29" s="253">
        <f t="shared" si="0"/>
        <v>10798</v>
      </c>
      <c r="N29" s="254">
        <f t="shared" si="1"/>
        <v>10798</v>
      </c>
      <c r="O29" s="255" t="str">
        <f>VLOOKUP(I29,设计师对应店铺!A:B,COLUMN(设计师对应店铺!B:B)-COLUMN(设计师对应店铺!A:B)+1,0)</f>
        <v>宜山经理</v>
      </c>
    </row>
    <row r="30" spans="1:15">
      <c r="A30" s="39" t="s">
        <v>37</v>
      </c>
      <c r="B30" s="256">
        <f>COUNTIFS(总表!D:D,A30,总表!L:L,"&lt;&gt;",总表!U:U,"",总表!E:E,$H$2,总表!E:E,$H$3)</f>
        <v>1</v>
      </c>
      <c r="C30" s="256">
        <f>SUMIFS(总表!L:L,总表!D:D,A30,总表!E:E,$H$2,总表!E:E,$H$3)</f>
        <v>7340</v>
      </c>
      <c r="D30" s="256">
        <f>SUMIFS(总表!M:M,总表!D:D,A30,总表!E:E,$H$2,总表!E:E,$H$3)</f>
        <v>1427</v>
      </c>
      <c r="E30" s="256">
        <f t="shared" si="2"/>
        <v>8767</v>
      </c>
      <c r="F30" s="257">
        <f t="shared" si="3"/>
        <v>8767</v>
      </c>
      <c r="G30" s="258" t="str">
        <f>VLOOKUP(A30,设计师对应店铺!A:B,COLUMN(设计师对应店铺!B:B)-COLUMN(设计师对应店铺!A:B)+1,0)</f>
        <v>浦江店</v>
      </c>
      <c r="I30" s="39" t="s">
        <v>149</v>
      </c>
      <c r="J30" s="256">
        <f>COUNTIFS(总表!D:D,I30,总表!L:L,"&lt;&gt;",总表!U:U,"",总表!E:E,$H$2,总表!E:E,$H$3)</f>
        <v>1</v>
      </c>
      <c r="K30" s="256">
        <f>SUMIFS(总表!L:L,总表!D:D,I30,总表!E:E,$H$2,总表!E:E,$H$3)</f>
        <v>3536</v>
      </c>
      <c r="L30" s="256">
        <f>SUMIFS(总表!M:M,总表!D:D,I30,总表!E:E,$H$2,总表!E:E,$H$3)</f>
        <v>0</v>
      </c>
      <c r="M30" s="256">
        <f t="shared" si="0"/>
        <v>3536</v>
      </c>
      <c r="N30" s="257">
        <f t="shared" si="1"/>
        <v>3536</v>
      </c>
      <c r="O30" s="258" t="str">
        <f>VLOOKUP(I30,设计师对应店铺!A:B,COLUMN(设计师对应店铺!B:B)-COLUMN(设计师对应店铺!A:B)+1,0)</f>
        <v>百安居</v>
      </c>
    </row>
    <row r="31" spans="1:15">
      <c r="A31" s="38" t="s">
        <v>407</v>
      </c>
      <c r="B31" s="253">
        <f>COUNTIFS(总表!D:D,A31,总表!L:L,"&lt;&gt;",总表!U:U,"",总表!E:E,$H$2,总表!E:E,$H$3)</f>
        <v>2</v>
      </c>
      <c r="C31" s="253">
        <f>SUMIFS(总表!L:L,总表!D:D,A31,总表!E:E,$H$2,总表!E:E,$H$3)</f>
        <v>6726</v>
      </c>
      <c r="D31" s="253">
        <f>SUMIFS(总表!M:M,总表!D:D,A31,总表!E:E,$H$2,总表!E:E,$H$3)</f>
        <v>4498</v>
      </c>
      <c r="E31" s="253">
        <f t="shared" si="2"/>
        <v>11224</v>
      </c>
      <c r="F31" s="254">
        <f t="shared" si="3"/>
        <v>5612</v>
      </c>
      <c r="G31" s="255" t="str">
        <f>VLOOKUP(A31,设计师对应店铺!A:B,COLUMN(设计师对应店铺!B:B)-COLUMN(设计师对应店铺!A:B)+1,0)</f>
        <v>嘉定店</v>
      </c>
      <c r="I31" s="38" t="s">
        <v>182</v>
      </c>
      <c r="J31" s="253">
        <f>COUNTIFS(总表!D:D,I31,总表!L:L,"&lt;&gt;",总表!U:U,"",总表!E:E,$H$2,总表!E:E,$H$3)</f>
        <v>0</v>
      </c>
      <c r="K31" s="253">
        <f>SUMIFS(总表!L:L,总表!D:D,I31,总表!E:E,$H$2,总表!E:E,$H$3)</f>
        <v>0</v>
      </c>
      <c r="L31" s="253">
        <f>SUMIFS(总表!M:M,总表!D:D,I31,总表!E:E,$H$2,总表!E:E,$H$3)</f>
        <v>0</v>
      </c>
      <c r="M31" s="253">
        <f t="shared" si="0"/>
        <v>0</v>
      </c>
      <c r="N31" s="254" t="e">
        <f t="shared" si="1"/>
        <v>#DIV/0!</v>
      </c>
      <c r="O31" s="255" t="str">
        <f>VLOOKUP(I31,设计师对应店铺!A:B,COLUMN(设计师对应店铺!B:B)-COLUMN(设计师对应店铺!A:B)+1,0)</f>
        <v>真北店</v>
      </c>
    </row>
    <row r="32" spans="1:15">
      <c r="A32" s="39" t="s">
        <v>221</v>
      </c>
      <c r="B32" s="256">
        <f>COUNTIFS(总表!D:D,A32,总表!L:L,"&lt;&gt;",总表!U:U,"",总表!E:E,$H$2,总表!E:E,$H$3)</f>
        <v>0</v>
      </c>
      <c r="C32" s="256">
        <f>SUMIFS(总表!L:L,总表!D:D,A32,总表!E:E,$H$2,总表!E:E,$H$3)</f>
        <v>0</v>
      </c>
      <c r="D32" s="256">
        <f>SUMIFS(总表!M:M,总表!D:D,A32,总表!E:E,$H$2,总表!E:E,$H$3)</f>
        <v>9242</v>
      </c>
      <c r="E32" s="256">
        <f t="shared" si="2"/>
        <v>9242</v>
      </c>
      <c r="F32" s="257" t="e">
        <f t="shared" si="3"/>
        <v>#DIV/0!</v>
      </c>
      <c r="G32" s="258" t="str">
        <f>VLOOKUP(A32,设计师对应店铺!A:B,COLUMN(设计师对应店铺!B:B)-COLUMN(设计师对应店铺!A:B)+1,0)</f>
        <v>汶水店</v>
      </c>
      <c r="I32" s="39" t="s">
        <v>717</v>
      </c>
      <c r="J32" s="256">
        <f>COUNTIFS(总表!D:D,I32,总表!L:L,"&lt;&gt;",总表!U:U,"",总表!E:E,$H$2,总表!E:E,$H$3)</f>
        <v>0</v>
      </c>
      <c r="K32" s="256">
        <f>SUMIFS(总表!L:L,总表!D:D,I32,总表!E:E,$H$2,总表!E:E,$H$3)</f>
        <v>0</v>
      </c>
      <c r="L32" s="256">
        <f>SUMIFS(总表!M:M,总表!D:D,I32,总表!E:E,$H$2,总表!E:E,$H$3)</f>
        <v>0</v>
      </c>
      <c r="M32" s="256">
        <f t="shared" si="0"/>
        <v>0</v>
      </c>
      <c r="N32" s="257" t="e">
        <f t="shared" si="1"/>
        <v>#DIV/0!</v>
      </c>
      <c r="O32" s="258">
        <f>VLOOKUP(I32,设计师对应店铺!A:B,COLUMN(设计师对应店铺!B:B)-COLUMN(设计师对应店铺!A:B)+1,0)</f>
        <v>0</v>
      </c>
    </row>
    <row r="33" spans="1:15">
      <c r="A33" s="38" t="s">
        <v>635</v>
      </c>
      <c r="B33" s="253">
        <f>COUNTIFS(总表!D:D,A33,总表!L:L,"&lt;&gt;",总表!U:U,"",总表!E:E,$H$2,总表!E:E,$H$3)</f>
        <v>1</v>
      </c>
      <c r="C33" s="253">
        <f>SUMIFS(总表!L:L,总表!D:D,A33,总表!E:E,$H$2,总表!E:E,$H$3)</f>
        <v>11678</v>
      </c>
      <c r="D33" s="253">
        <f>SUMIFS(总表!M:M,总表!D:D,A33,总表!E:E,$H$2,总表!E:E,$H$3)</f>
        <v>-4021</v>
      </c>
      <c r="E33" s="253">
        <f t="shared" si="2"/>
        <v>7657</v>
      </c>
      <c r="F33" s="254">
        <f t="shared" si="3"/>
        <v>7657</v>
      </c>
      <c r="G33" s="255" t="str">
        <f>VLOOKUP(A33,设计师对应店铺!A:B,COLUMN(设计师对应店铺!B:B)-COLUMN(设计师对应店铺!A:B)+1,0)</f>
        <v>家饰佳、兴力达</v>
      </c>
      <c r="I33" s="38" t="s">
        <v>143</v>
      </c>
      <c r="J33" s="253">
        <f>COUNTIFS(总表!D:D,I33,总表!L:L,"&lt;&gt;",总表!U:U,"",总表!E:E,$H$2,总表!E:E,$H$3)</f>
        <v>0</v>
      </c>
      <c r="K33" s="253">
        <f>SUMIFS(总表!L:L,总表!D:D,I33,总表!E:E,$H$2,总表!E:E,$H$3)</f>
        <v>0</v>
      </c>
      <c r="L33" s="253">
        <f>SUMIFS(总表!M:M,总表!D:D,I33,总表!E:E,$H$2,总表!E:E,$H$3)</f>
        <v>0</v>
      </c>
      <c r="M33" s="253">
        <f t="shared" si="0"/>
        <v>0</v>
      </c>
      <c r="N33" s="254" t="e">
        <f t="shared" si="1"/>
        <v>#DIV/0!</v>
      </c>
      <c r="O33" s="255" t="str">
        <f>VLOOKUP(I33,设计师对应店铺!A:B,COLUMN(设计师对应店铺!B:B)-COLUMN(设计师对应店铺!A:B)+1,0)</f>
        <v>沪南店店长</v>
      </c>
    </row>
    <row r="34" spans="1:15">
      <c r="A34" s="39" t="s">
        <v>19871</v>
      </c>
      <c r="B34" s="256">
        <f>COUNTIFS(总表!D:D,A34,总表!L:L,"&lt;&gt;",总表!U:U,"",总表!E:E,$H$2,总表!E:E,$H$3)</f>
        <v>0</v>
      </c>
      <c r="C34" s="256">
        <f>SUMIFS(总表!L:L,总表!D:D,A34,总表!E:E,$H$2,总表!E:E,$H$3)</f>
        <v>0</v>
      </c>
      <c r="D34" s="256">
        <f>SUMIFS(总表!M:M,总表!D:D,A34,总表!E:E,$H$2,总表!E:E,$H$3)</f>
        <v>100</v>
      </c>
      <c r="E34" s="256">
        <f t="shared" si="2"/>
        <v>100</v>
      </c>
      <c r="F34" s="257" t="e">
        <f t="shared" si="3"/>
        <v>#DIV/0!</v>
      </c>
      <c r="G34" s="258" t="str">
        <f>VLOOKUP(A34,设计师对应店铺!A:B,COLUMN(设计师对应店铺!B:B)-COLUMN(设计师对应店铺!A:B)+1,0)</f>
        <v>松江店自配</v>
      </c>
      <c r="I34" s="39" t="s">
        <v>1431</v>
      </c>
      <c r="J34" s="256">
        <f>COUNTIFS(总表!D:D,I34,总表!L:L,"&lt;&gt;",总表!U:U,"",总表!E:E,$H$2,总表!E:E,$H$3)</f>
        <v>0</v>
      </c>
      <c r="K34" s="256">
        <f>SUMIFS(总表!L:L,总表!D:D,I34,总表!E:E,$H$2,总表!E:E,$H$3)</f>
        <v>0</v>
      </c>
      <c r="L34" s="256">
        <f>SUMIFS(总表!M:M,总表!D:D,I34,总表!E:E,$H$2,总表!E:E,$H$3)</f>
        <v>-95</v>
      </c>
      <c r="M34" s="256">
        <f t="shared" si="0"/>
        <v>-95</v>
      </c>
      <c r="N34" s="257" t="e">
        <f t="shared" si="1"/>
        <v>#DIV/0!</v>
      </c>
      <c r="O34" s="258" t="str">
        <f>VLOOKUP(I34,设计师对应店铺!A:B,COLUMN(设计师对应店铺!B:B)-COLUMN(设计师对应店铺!A:B)+1,0)</f>
        <v>真北店</v>
      </c>
    </row>
    <row r="35" spans="1:15">
      <c r="A35" s="38" t="s">
        <v>132</v>
      </c>
      <c r="B35" s="253">
        <f>COUNTIFS(总表!D:D,A35,总表!L:L,"&lt;&gt;",总表!U:U,"",总表!E:E,$H$2,总表!E:E,$H$3)</f>
        <v>0</v>
      </c>
      <c r="C35" s="253">
        <f>SUMIFS(总表!L:L,总表!D:D,A35,总表!E:E,$H$2,总表!E:E,$H$3)</f>
        <v>0</v>
      </c>
      <c r="D35" s="253">
        <f>SUMIFS(总表!M:M,总表!D:D,A35,总表!E:E,$H$2,总表!E:E,$H$3)</f>
        <v>0</v>
      </c>
      <c r="E35" s="253">
        <f t="shared" si="2"/>
        <v>0</v>
      </c>
      <c r="F35" s="254" t="e">
        <f t="shared" si="3"/>
        <v>#DIV/0!</v>
      </c>
      <c r="G35" s="255" t="str">
        <f>VLOOKUP(A35,设计师对应店铺!A:B,COLUMN(设计师对应店铺!B:B)-COLUMN(设计师对应店铺!A:B)+1,0)</f>
        <v>真北店</v>
      </c>
      <c r="I35" s="38" t="s">
        <v>635</v>
      </c>
      <c r="J35" s="253">
        <f>COUNTIFS(总表!D:D,I35,总表!L:L,"&lt;&gt;",总表!U:U,"",总表!E:E,$H$2,总表!E:E,$H$3)</f>
        <v>1</v>
      </c>
      <c r="K35" s="253">
        <f>SUMIFS(总表!L:L,总表!D:D,I35,总表!E:E,$H$2,总表!E:E,$H$3)</f>
        <v>11678</v>
      </c>
      <c r="L35" s="253">
        <f>SUMIFS(总表!M:M,总表!D:D,I35,总表!E:E,$H$2,总表!E:E,$H$3)</f>
        <v>-4021</v>
      </c>
      <c r="M35" s="253">
        <f t="shared" si="0"/>
        <v>7657</v>
      </c>
      <c r="N35" s="254">
        <f t="shared" si="1"/>
        <v>7657</v>
      </c>
      <c r="O35" s="255" t="str">
        <f>VLOOKUP(I35,设计师对应店铺!A:B,COLUMN(设计师对应店铺!B:B)-COLUMN(设计师对应店铺!A:B)+1,0)</f>
        <v>家饰佳、兴力达</v>
      </c>
    </row>
    <row r="36" spans="1:15">
      <c r="A36" s="39" t="s">
        <v>149</v>
      </c>
      <c r="B36" s="256">
        <f>COUNTIFS(总表!D:D,A36,总表!L:L,"&lt;&gt;",总表!U:U,"",总表!E:E,$H$2,总表!E:E,$H$3)</f>
        <v>1</v>
      </c>
      <c r="C36" s="256">
        <f>SUMIFS(总表!L:L,总表!D:D,A36,总表!E:E,$H$2,总表!E:E,$H$3)</f>
        <v>3536</v>
      </c>
      <c r="D36" s="256">
        <f>SUMIFS(总表!M:M,总表!D:D,A36,总表!E:E,$H$2,总表!E:E,$H$3)</f>
        <v>0</v>
      </c>
      <c r="E36" s="256">
        <f t="shared" si="2"/>
        <v>3536</v>
      </c>
      <c r="F36" s="257">
        <f t="shared" si="3"/>
        <v>3536</v>
      </c>
      <c r="G36" s="258" t="str">
        <f>VLOOKUP(A36,设计师对应店铺!A:B,COLUMN(设计师对应店铺!B:B)-COLUMN(设计师对应店铺!A:B)+1,0)</f>
        <v>百安居</v>
      </c>
      <c r="I36" s="39" t="s">
        <v>68</v>
      </c>
      <c r="J36" s="256">
        <f>COUNTIFS(总表!D:D,I36,总表!L:L,"&lt;&gt;",总表!U:U,"",总表!E:E,$H$2,总表!E:E,$H$3)</f>
        <v>1</v>
      </c>
      <c r="K36" s="256">
        <f>SUMIFS(总表!L:L,总表!D:D,I36,总表!E:E,$H$2,总表!E:E,$H$3)</f>
        <v>5490</v>
      </c>
      <c r="L36" s="256">
        <f>SUMIFS(总表!M:M,总表!D:D,I36,总表!E:E,$H$2,总表!E:E,$H$3)</f>
        <v>-4665</v>
      </c>
      <c r="M36" s="256">
        <f t="shared" si="0"/>
        <v>825</v>
      </c>
      <c r="N36" s="257">
        <f t="shared" si="1"/>
        <v>825</v>
      </c>
      <c r="O36" s="258" t="str">
        <f>VLOOKUP(I36,设计师对应店铺!A:B,COLUMN(设计师对应店铺!B:B)-COLUMN(设计师对应店铺!A:B)+1,0)</f>
        <v>沪南店</v>
      </c>
    </row>
    <row r="37" spans="1:15">
      <c r="A37" s="38" t="s">
        <v>361</v>
      </c>
      <c r="B37" s="253">
        <f>COUNTIFS(总表!D:D,A37,总表!L:L,"&lt;&gt;",总表!U:U,"",总表!E:E,$H$2,总表!E:E,$H$3)</f>
        <v>0</v>
      </c>
      <c r="C37" s="253">
        <f>SUMIFS(总表!L:L,总表!D:D,A37,总表!E:E,$H$2,总表!E:E,$H$3)</f>
        <v>0</v>
      </c>
      <c r="D37" s="253">
        <f>SUMIFS(总表!M:M,总表!D:D,A37,总表!E:E,$H$2,总表!E:E,$H$3)</f>
        <v>0</v>
      </c>
      <c r="E37" s="253">
        <f t="shared" si="2"/>
        <v>0</v>
      </c>
      <c r="F37" s="254" t="e">
        <f t="shared" si="3"/>
        <v>#DIV/0!</v>
      </c>
      <c r="G37" s="255" t="str">
        <f>VLOOKUP(A37,设计师对应店铺!A:B,COLUMN(设计师对应店铺!B:B)-COLUMN(设计师对应店铺!A:B)+1,0)</f>
        <v>美美家自配</v>
      </c>
      <c r="I37" s="243" t="s">
        <v>21234</v>
      </c>
      <c r="J37" s="243">
        <f>SUM(J3:J36)</f>
        <v>69</v>
      </c>
      <c r="K37" s="243">
        <f>SUM(K3:K36)</f>
        <v>860847</v>
      </c>
      <c r="L37" s="243">
        <f>SUM(L3:L36)</f>
        <v>299591</v>
      </c>
      <c r="M37" s="243">
        <f t="shared" si="0"/>
        <v>1160438</v>
      </c>
      <c r="N37" s="270">
        <f t="shared" si="1"/>
        <v>16817.9420289855</v>
      </c>
      <c r="O37" s="243"/>
    </row>
    <row r="38" spans="1:7">
      <c r="A38" s="39" t="s">
        <v>182</v>
      </c>
      <c r="B38" s="256">
        <f>COUNTIFS(总表!D:D,A38,总表!L:L,"&lt;&gt;",总表!U:U,"",总表!E:E,$H$2,总表!E:E,$H$3)</f>
        <v>0</v>
      </c>
      <c r="C38" s="256">
        <f>SUMIFS(总表!L:L,总表!D:D,A38,总表!E:E,$H$2,总表!E:E,$H$3)</f>
        <v>0</v>
      </c>
      <c r="D38" s="256">
        <f>SUMIFS(总表!M:M,总表!D:D,A38,总表!E:E,$H$2,总表!E:E,$H$3)</f>
        <v>0</v>
      </c>
      <c r="E38" s="256">
        <f t="shared" si="2"/>
        <v>0</v>
      </c>
      <c r="F38" s="257" t="e">
        <f t="shared" si="3"/>
        <v>#DIV/0!</v>
      </c>
      <c r="G38" s="258" t="str">
        <f>VLOOKUP(A38,设计师对应店铺!A:B,COLUMN(设计师对应店铺!B:B)-COLUMN(设计师对应店铺!A:B)+1,0)</f>
        <v>真北店</v>
      </c>
    </row>
    <row r="39" spans="1:7">
      <c r="A39" s="38" t="s">
        <v>7871</v>
      </c>
      <c r="B39" s="253">
        <f>COUNTIFS(总表!D:D,A39,总表!L:L,"&lt;&gt;",总表!U:U,"",总表!E:E,$H$2,总表!E:E,$H$3)</f>
        <v>0</v>
      </c>
      <c r="C39" s="253">
        <f>SUMIFS(总表!L:L,总表!D:D,A39,总表!E:E,$H$2,总表!E:E,$H$3)</f>
        <v>0</v>
      </c>
      <c r="D39" s="253">
        <f>SUMIFS(总表!M:M,总表!D:D,A39,总表!E:E,$H$2,总表!E:E,$H$3)</f>
        <v>0</v>
      </c>
      <c r="E39" s="253">
        <f t="shared" si="2"/>
        <v>0</v>
      </c>
      <c r="F39" s="254" t="e">
        <f t="shared" si="3"/>
        <v>#DIV/0!</v>
      </c>
      <c r="G39" s="255" t="str">
        <f>VLOOKUP(A39,设计师对应店铺!A:B,COLUMN(设计师对应店铺!B:B)-COLUMN(设计师对应店铺!A:B)+1,0)</f>
        <v>兴明店自配</v>
      </c>
    </row>
    <row r="40" spans="1:7">
      <c r="A40" s="39" t="s">
        <v>143</v>
      </c>
      <c r="B40" s="256">
        <f>COUNTIFS(总表!D:D,A40,总表!L:L,"&lt;&gt;",总表!U:U,"",总表!E:E,$H$2,总表!E:E,$H$3)</f>
        <v>0</v>
      </c>
      <c r="C40" s="256">
        <f>SUMIFS(总表!L:L,总表!D:D,A40,总表!E:E,$H$2,总表!E:E,$H$3)</f>
        <v>0</v>
      </c>
      <c r="D40" s="256">
        <f>SUMIFS(总表!M:M,总表!D:D,A40,总表!E:E,$H$2,总表!E:E,$H$3)</f>
        <v>0</v>
      </c>
      <c r="E40" s="256">
        <f t="shared" si="2"/>
        <v>0</v>
      </c>
      <c r="F40" s="257" t="e">
        <f t="shared" si="3"/>
        <v>#DIV/0!</v>
      </c>
      <c r="G40" s="258" t="str">
        <f>VLOOKUP(A40,设计师对应店铺!A:B,COLUMN(设计师对应店铺!B:B)-COLUMN(设计师对应店铺!A:B)+1,0)</f>
        <v>沪南店店长</v>
      </c>
    </row>
    <row r="41" spans="1:7">
      <c r="A41" s="38" t="s">
        <v>5695</v>
      </c>
      <c r="B41" s="253">
        <f>COUNTIFS(总表!D:D,A41,总表!L:L,"&lt;&gt;",总表!U:U,"",总表!E:E,$H$2,总表!E:E,$H$3)</f>
        <v>0</v>
      </c>
      <c r="C41" s="253">
        <f>SUMIFS(总表!L:L,总表!D:D,A41,总表!E:E,$H$2,总表!E:E,$H$3)</f>
        <v>0</v>
      </c>
      <c r="D41" s="253">
        <f>SUMIFS(总表!M:M,总表!D:D,A41,总表!E:E,$H$2,总表!E:E,$H$3)</f>
        <v>0</v>
      </c>
      <c r="E41" s="253">
        <f t="shared" si="2"/>
        <v>0</v>
      </c>
      <c r="F41" s="254" t="e">
        <f t="shared" si="3"/>
        <v>#DIV/0!</v>
      </c>
      <c r="G41" s="255" t="str">
        <f>VLOOKUP(A41,设计师对应店铺!A:B,COLUMN(设计师对应店铺!B:B)-COLUMN(设计师对应店铺!A:B)+1,0)</f>
        <v>设计总监</v>
      </c>
    </row>
    <row r="42" spans="1:7">
      <c r="A42" s="39" t="s">
        <v>1431</v>
      </c>
      <c r="B42" s="256">
        <f>COUNTIFS(总表!D:D,A42,总表!L:L,"&lt;&gt;",总表!U:U,"",总表!E:E,$H$2,总表!E:E,$H$3)</f>
        <v>0</v>
      </c>
      <c r="C42" s="256">
        <f>SUMIFS(总表!L:L,总表!D:D,A42,总表!E:E,$H$2,总表!E:E,$H$3)</f>
        <v>0</v>
      </c>
      <c r="D42" s="256">
        <f>SUMIFS(总表!M:M,总表!D:D,A42,总表!E:E,$H$2,总表!E:E,$H$3)</f>
        <v>-95</v>
      </c>
      <c r="E42" s="256">
        <f t="shared" si="2"/>
        <v>-95</v>
      </c>
      <c r="F42" s="257" t="e">
        <f t="shared" si="3"/>
        <v>#DIV/0!</v>
      </c>
      <c r="G42" s="258" t="str">
        <f>VLOOKUP(A42,设计师对应店铺!A:B,COLUMN(设计师对应店铺!B:B)-COLUMN(设计师对应店铺!A:B)+1,0)</f>
        <v>真北店</v>
      </c>
    </row>
    <row r="43" spans="1:7">
      <c r="A43" s="38" t="s">
        <v>68</v>
      </c>
      <c r="B43" s="253">
        <f>COUNTIFS(总表!D:D,A43,总表!L:L,"&lt;&gt;",总表!U:U,"",总表!E:E,$H$2,总表!E:E,$H$3)</f>
        <v>1</v>
      </c>
      <c r="C43" s="253">
        <f>SUMIFS(总表!L:L,总表!D:D,A43,总表!E:E,$H$2,总表!E:E,$H$3)</f>
        <v>5490</v>
      </c>
      <c r="D43" s="253">
        <f>SUMIFS(总表!M:M,总表!D:D,A43,总表!E:E,$H$2,总表!E:E,$H$3)</f>
        <v>-4665</v>
      </c>
      <c r="E43" s="253">
        <f t="shared" si="2"/>
        <v>825</v>
      </c>
      <c r="F43" s="254">
        <f t="shared" si="3"/>
        <v>825</v>
      </c>
      <c r="G43" s="255" t="str">
        <f>VLOOKUP(A43,设计师对应店铺!A:B,COLUMN(设计师对应店铺!B:B)-COLUMN(设计师对应店铺!A:B)+1,0)</f>
        <v>沪南店</v>
      </c>
    </row>
    <row r="44" spans="1:7">
      <c r="A44" s="252"/>
      <c r="B44" s="253"/>
      <c r="C44" s="253"/>
      <c r="D44" s="253"/>
      <c r="E44" s="253"/>
      <c r="F44" s="253"/>
      <c r="G44" s="255"/>
    </row>
  </sheetData>
  <autoFilter ref="A3:G43">
    <sortState ref="A3:G43">
      <sortCondition ref="E3" descending="1"/>
    </sortState>
    <extLst/>
  </autoFilter>
  <mergeCells count="2">
    <mergeCell ref="A1:G1"/>
    <mergeCell ref="I1:O1"/>
  </mergeCells>
  <dataValidations count="1">
    <dataValidation allowBlank="1" showInputMessage="1" showErrorMessage="1" sqref="I36 A37"/>
  </dataValidation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73"/>
  <sheetViews>
    <sheetView zoomScale="55" zoomScaleNormal="55" workbookViewId="0">
      <selection activeCell="K75" sqref="K75"/>
    </sheetView>
  </sheetViews>
  <sheetFormatPr defaultColWidth="9" defaultRowHeight="16.5"/>
  <cols>
    <col min="1" max="1" width="10.125" style="34" customWidth="1"/>
    <col min="2" max="2" width="9.5" style="34" customWidth="1"/>
    <col min="3" max="3" width="14.625" style="34" customWidth="1"/>
    <col min="4" max="4" width="14.125" style="34" customWidth="1"/>
    <col min="5" max="5" width="21.5" style="34" customWidth="1"/>
    <col min="6" max="6" width="15.375" style="34" customWidth="1"/>
    <col min="7" max="7" width="9" style="34"/>
    <col min="8" max="8" width="9.875" style="34" customWidth="1"/>
    <col min="9" max="9" width="9" style="34"/>
    <col min="10" max="10" width="13.375" style="34" customWidth="1"/>
    <col min="11" max="11" width="17" style="34" customWidth="1"/>
    <col min="12" max="12" width="21.75" style="34" customWidth="1"/>
    <col min="13" max="13" width="12.875" style="34" customWidth="1"/>
    <col min="14" max="14" width="7.25" style="34" customWidth="1"/>
    <col min="15" max="15" width="13.625" style="34" customWidth="1"/>
    <col min="16" max="16" width="9.375" style="34" customWidth="1"/>
    <col min="17" max="17" width="12.625" style="34" customWidth="1"/>
    <col min="18" max="18" width="14.875" style="34" customWidth="1"/>
    <col min="19" max="19" width="21.375" style="34" customWidth="1"/>
    <col min="20" max="20" width="14.5" style="34" customWidth="1"/>
    <col min="21" max="16384" width="9" style="34"/>
  </cols>
  <sheetData>
    <row r="1" s="34" customFormat="1" spans="1:20">
      <c r="A1" s="247" t="s">
        <v>21251</v>
      </c>
      <c r="B1" s="248"/>
      <c r="C1" s="248"/>
      <c r="D1" s="248"/>
      <c r="E1" s="250"/>
      <c r="F1" s="34" t="s">
        <v>21252</v>
      </c>
      <c r="H1" s="247" t="s">
        <v>21253</v>
      </c>
      <c r="I1" s="248"/>
      <c r="J1" s="248"/>
      <c r="K1" s="248"/>
      <c r="L1" s="250"/>
      <c r="M1" s="34" t="s">
        <v>21252</v>
      </c>
      <c r="O1" s="247" t="s">
        <v>21254</v>
      </c>
      <c r="P1" s="248"/>
      <c r="Q1" s="248"/>
      <c r="R1" s="248"/>
      <c r="S1" s="250"/>
      <c r="T1" s="34" t="s">
        <v>21252</v>
      </c>
    </row>
    <row r="2" s="34" customFormat="1" spans="1:20">
      <c r="A2" s="261" t="s">
        <v>21234</v>
      </c>
      <c r="B2" s="261">
        <f>SUM(B4:B55)</f>
        <v>124</v>
      </c>
      <c r="C2" s="261">
        <f>SUM(C4:C55)</f>
        <v>1742196</v>
      </c>
      <c r="D2" s="262">
        <f>C2/B2</f>
        <v>14049.9677419355</v>
      </c>
      <c r="E2" s="262"/>
      <c r="F2" s="34" t="s">
        <v>21255</v>
      </c>
      <c r="H2" s="261" t="s">
        <v>21234</v>
      </c>
      <c r="I2" s="261">
        <f>SUM(I4:I56)</f>
        <v>156</v>
      </c>
      <c r="J2" s="261">
        <f>SUM(J4:J56)</f>
        <v>2142184</v>
      </c>
      <c r="K2" s="262">
        <f>J2/I2</f>
        <v>13731.9487179487</v>
      </c>
      <c r="L2" s="262"/>
      <c r="M2" s="34" t="s">
        <v>21256</v>
      </c>
      <c r="O2" s="261" t="s">
        <v>21234</v>
      </c>
      <c r="P2" s="261">
        <f>SUM(P4:P56)</f>
        <v>121</v>
      </c>
      <c r="Q2" s="261">
        <f>SUM(Q4:Q56)</f>
        <v>2077547.52</v>
      </c>
      <c r="R2" s="262">
        <f>Q2/P2</f>
        <v>17169.814214876</v>
      </c>
      <c r="S2" s="262"/>
      <c r="T2" s="34" t="s">
        <v>21257</v>
      </c>
    </row>
    <row r="3" s="34" customFormat="1" spans="1:20">
      <c r="A3" s="252" t="s">
        <v>30</v>
      </c>
      <c r="B3" s="253" t="s">
        <v>21258</v>
      </c>
      <c r="C3" s="253" t="s">
        <v>10</v>
      </c>
      <c r="D3" s="253" t="s">
        <v>21242</v>
      </c>
      <c r="E3" s="255" t="s">
        <v>21243</v>
      </c>
      <c r="F3" s="34" t="s">
        <v>21259</v>
      </c>
      <c r="H3" s="252" t="s">
        <v>30</v>
      </c>
      <c r="I3" s="253" t="s">
        <v>21258</v>
      </c>
      <c r="J3" s="253" t="s">
        <v>10</v>
      </c>
      <c r="K3" s="253" t="s">
        <v>21242</v>
      </c>
      <c r="L3" s="255" t="s">
        <v>21243</v>
      </c>
      <c r="M3" s="34" t="s">
        <v>21260</v>
      </c>
      <c r="O3" s="252" t="s">
        <v>30</v>
      </c>
      <c r="P3" s="253" t="s">
        <v>21258</v>
      </c>
      <c r="Q3" s="253" t="s">
        <v>10</v>
      </c>
      <c r="R3" s="253" t="s">
        <v>21242</v>
      </c>
      <c r="S3" s="255" t="s">
        <v>21243</v>
      </c>
      <c r="T3" s="34" t="s">
        <v>21261</v>
      </c>
    </row>
    <row r="4" s="34" customFormat="1" spans="1:19">
      <c r="A4" s="39" t="s">
        <v>132</v>
      </c>
      <c r="B4" s="256">
        <f>COUNTIFS(总表!D:D,A4,总表!L:L,"&lt;&gt;",总表!E:E,$F$2,总表!E:E,$F$3)</f>
        <v>3</v>
      </c>
      <c r="C4" s="256">
        <f>SUMIFS(总表!N:N,总表!D:D,A4,总表!E:E,$F$2,总表!E:E,$F$3)</f>
        <v>139532</v>
      </c>
      <c r="D4" s="257">
        <f t="shared" ref="D4:D46" si="0">C4/B4</f>
        <v>46510.6666666667</v>
      </c>
      <c r="E4" s="263" t="str">
        <f>VLOOKUP(A4,设计师对应店铺!A:B,COLUMN(设计师对应店铺!B:B)-COLUMN(设计师对应店铺!A:B)+1,0)</f>
        <v>真北店</v>
      </c>
      <c r="H4" s="39" t="s">
        <v>407</v>
      </c>
      <c r="I4" s="256">
        <f>COUNTIFS(总表!D:D,H4,总表!L:L,"&lt;&gt;",总表!E:E,$M$2,总表!E:E,$M$3)</f>
        <v>6</v>
      </c>
      <c r="J4" s="256">
        <f>SUMIFS(总表!N:N,总表!D:D,H4,总表!E:E,$M$2,总表!E:E,$M$3)</f>
        <v>261747</v>
      </c>
      <c r="K4" s="257">
        <f t="shared" ref="K4:K46" si="1">J4/I4</f>
        <v>43624.5</v>
      </c>
      <c r="L4" s="263" t="str">
        <f>VLOOKUP(H4,设计师对应店铺!A:B,COLUMN(设计师对应店铺!B:B)-COLUMN(设计师对应店铺!A:B)+1,0)</f>
        <v>嘉定店</v>
      </c>
      <c r="O4" s="39" t="s">
        <v>343</v>
      </c>
      <c r="P4" s="256">
        <f>COUNTIFS(总表!D:D,O4,总表!L:L,"&lt;&gt;",总表!E:E,$T$2,总表!E:E,$T$3)</f>
        <v>12</v>
      </c>
      <c r="Q4" s="256">
        <f>SUMIFS(总表!N:N,总表!D:D,O4,总表!E:E,$T$2,总表!E:E,$T$3)</f>
        <v>269596</v>
      </c>
      <c r="R4" s="257">
        <f>Q4/P4</f>
        <v>22466.3333333333</v>
      </c>
      <c r="S4" s="263"/>
    </row>
    <row r="5" s="34" customFormat="1" spans="1:19">
      <c r="A5" s="38" t="s">
        <v>44</v>
      </c>
      <c r="B5" s="253">
        <f>COUNTIFS(总表!D:D,A5,总表!L:L,"&lt;&gt;",总表!E:E,$F$2,总表!E:E,$F$3)</f>
        <v>7</v>
      </c>
      <c r="C5" s="253">
        <f>SUMIFS(总表!N:N,总表!D:D,A5,总表!E:E,$F$2,总表!E:E,$F$3)</f>
        <v>125246</v>
      </c>
      <c r="D5" s="254">
        <f t="shared" si="0"/>
        <v>17892.2857142857</v>
      </c>
      <c r="E5" s="264" t="str">
        <f>VLOOKUP(A5,设计师对应店铺!A:B,COLUMN(设计师对应店铺!B:B)-COLUMN(设计师对应店铺!A:B)+1,0)</f>
        <v>金桥店、百安居</v>
      </c>
      <c r="H5" s="38" t="s">
        <v>37</v>
      </c>
      <c r="I5" s="253">
        <f>COUNTIFS(总表!D:D,H5,总表!L:L,"&lt;&gt;",总表!E:E,$M$2,总表!E:E,$M$3)</f>
        <v>8</v>
      </c>
      <c r="J5" s="253">
        <f>SUMIFS(总表!N:N,总表!D:D,H5,总表!E:E,$M$2,总表!E:E,$M$3)</f>
        <v>150127</v>
      </c>
      <c r="K5" s="254">
        <f t="shared" si="1"/>
        <v>18765.875</v>
      </c>
      <c r="L5" s="264" t="str">
        <f>VLOOKUP(H5,设计师对应店铺!A:B,COLUMN(设计师对应店铺!B:B)-COLUMN(设计师对应店铺!A:B)+1,0)</f>
        <v>浦江店</v>
      </c>
      <c r="O5" s="38" t="s">
        <v>20101</v>
      </c>
      <c r="P5" s="253">
        <f>COUNTIFS(总表!D:D,O5,总表!L:L,"&lt;&gt;",总表!E:E,$T$2,总表!E:E,$T$3)</f>
        <v>1</v>
      </c>
      <c r="Q5" s="253">
        <f>SUMIFS(总表!N:N,总表!D:D,O5,总表!E:E,$T$2,总表!E:E,$T$3)</f>
        <v>166438</v>
      </c>
      <c r="R5" s="254">
        <f>Q5/P5</f>
        <v>166438</v>
      </c>
      <c r="S5" s="264" t="e">
        <f>VLOOKUP(O5,设计师对应店铺!A:B,COLUMN(设计师对应店铺!B:B)-COLUMN(设计师对应店铺!A:B)+1,0)</f>
        <v>#N/A</v>
      </c>
    </row>
    <row r="6" s="34" customFormat="1" spans="1:19">
      <c r="A6" s="39" t="s">
        <v>37</v>
      </c>
      <c r="B6" s="256">
        <f>COUNTIFS(总表!D:D,A6,总表!L:L,"&lt;&gt;",总表!E:E,$F$2,总表!E:E,$F$3)</f>
        <v>6</v>
      </c>
      <c r="C6" s="256">
        <f>SUMIFS(总表!N:N,总表!D:D,A6,总表!E:E,$F$2,总表!E:E,$F$3)</f>
        <v>118160</v>
      </c>
      <c r="D6" s="257">
        <f t="shared" si="0"/>
        <v>19693.3333333333</v>
      </c>
      <c r="E6" s="263" t="str">
        <f>VLOOKUP(A6,设计师对应店铺!A:B,COLUMN(设计师对应店铺!B:B)-COLUMN(设计师对应店铺!A:B)+1,0)</f>
        <v>浦江店</v>
      </c>
      <c r="H6" s="39" t="s">
        <v>207</v>
      </c>
      <c r="I6" s="256">
        <f>COUNTIFS(总表!D:D,H6,总表!L:L,"&lt;&gt;",总表!E:E,$M$2,总表!E:E,$M$3)</f>
        <v>12</v>
      </c>
      <c r="J6" s="256">
        <f>SUMIFS(总表!N:N,总表!D:D,H6,总表!E:E,$M$2,总表!E:E,$M$3)</f>
        <v>149658</v>
      </c>
      <c r="K6" s="257">
        <f t="shared" si="1"/>
        <v>12471.5</v>
      </c>
      <c r="L6" s="263" t="str">
        <f>VLOOKUP(H6,设计师对应店铺!A:B,COLUMN(设计师对应店铺!B:B)-COLUMN(设计师对应店铺!A:B)+1,0)</f>
        <v>百安居</v>
      </c>
      <c r="O6" s="39" t="s">
        <v>443</v>
      </c>
      <c r="P6" s="256">
        <f>COUNTIFS(总表!D:D,O6,总表!L:L,"&lt;&gt;",总表!E:E,$T$2,总表!E:E,$T$3)</f>
        <v>8</v>
      </c>
      <c r="Q6" s="256">
        <f>SUMIFS(总表!N:N,总表!D:D,O6,总表!E:E,$T$2,总表!E:E,$T$3)</f>
        <v>146792</v>
      </c>
      <c r="R6" s="257">
        <f>Q6/P6</f>
        <v>18349</v>
      </c>
      <c r="S6" s="263" t="str">
        <f>VLOOKUP(O6,设计师对应店铺!A:B,COLUMN(设计师对应店铺!B:B)-COLUMN(设计师对应店铺!A:B)+1,0)</f>
        <v>家饰佳</v>
      </c>
    </row>
    <row r="7" s="34" customFormat="1" spans="1:19">
      <c r="A7" s="38" t="s">
        <v>49</v>
      </c>
      <c r="B7" s="253">
        <f>COUNTIFS(总表!D:D,A7,总表!L:L,"&lt;&gt;",总表!E:E,$F$2,总表!E:E,$F$3)</f>
        <v>6</v>
      </c>
      <c r="C7" s="253">
        <f>SUMIFS(总表!N:N,总表!D:D,A7,总表!E:E,$F$2,总表!E:E,$F$3)</f>
        <v>95487</v>
      </c>
      <c r="D7" s="254">
        <f t="shared" si="0"/>
        <v>15914.5</v>
      </c>
      <c r="E7" s="264" t="str">
        <f>VLOOKUP(A7,设计师对应店铺!A:B,COLUMN(设计师对应店铺!B:B)-COLUMN(设计师对应店铺!A:B)+1,0)</f>
        <v>奉贤、金山、南汇、松江</v>
      </c>
      <c r="H7" s="38" t="s">
        <v>337</v>
      </c>
      <c r="I7" s="253">
        <f>COUNTIFS(总表!D:D,H7,总表!L:L,"&lt;&gt;",总表!E:E,$M$2,总表!E:E,$M$3)</f>
        <v>9</v>
      </c>
      <c r="J7" s="253">
        <f>SUMIFS(总表!N:N,总表!D:D,H7,总表!E:E,$M$2,总表!E:E,$M$3)</f>
        <v>126557</v>
      </c>
      <c r="K7" s="254">
        <f t="shared" si="1"/>
        <v>14061.8888888889</v>
      </c>
      <c r="L7" s="264" t="str">
        <f>VLOOKUP(H7,设计师对应店铺!A:B,COLUMN(设计师对应店铺!B:B)-COLUMN(设计师对应店铺!A:B)+1,0)</f>
        <v>建配龙</v>
      </c>
      <c r="O7" s="38" t="s">
        <v>187</v>
      </c>
      <c r="P7" s="253">
        <f>COUNTIFS(总表!D:D,O7,总表!L:L,"&lt;&gt;",总表!E:E,$T$2,总表!E:E,$T$3)</f>
        <v>9</v>
      </c>
      <c r="Q7" s="253">
        <f>SUMIFS(总表!N:N,总表!D:D,O7,总表!E:E,$T$2,总表!E:E,$T$3)</f>
        <v>134565</v>
      </c>
      <c r="R7" s="254">
        <f>Q7/P7</f>
        <v>14951.6666666667</v>
      </c>
      <c r="S7" s="264" t="str">
        <f>VLOOKUP(O7,设计师对应店铺!A:B,COLUMN(设计师对应店铺!B:B)-COLUMN(设计师对应店铺!A:B)+1,0)</f>
        <v>百家宜</v>
      </c>
    </row>
    <row r="8" s="34" customFormat="1" spans="1:19">
      <c r="A8" s="39" t="s">
        <v>155</v>
      </c>
      <c r="B8" s="256">
        <f>COUNTIFS(总表!D:D,A8,总表!L:L,"&lt;&gt;",总表!E:E,$F$2,总表!E:E,$F$3)</f>
        <v>4</v>
      </c>
      <c r="C8" s="256">
        <f>SUMIFS(总表!N:N,总表!D:D,A8,总表!E:E,$F$2,总表!E:E,$F$3)</f>
        <v>93511</v>
      </c>
      <c r="D8" s="257">
        <f t="shared" si="0"/>
        <v>23377.75</v>
      </c>
      <c r="E8" s="263" t="str">
        <f>VLOOKUP(A8,设计师对应店铺!A:B,COLUMN(设计师对应店铺!B:B)-COLUMN(设计师对应店铺!A:B)+1,0)</f>
        <v>好饰家</v>
      </c>
      <c r="H8" s="39" t="s">
        <v>8334</v>
      </c>
      <c r="I8" s="256">
        <f>COUNTIFS(总表!D:D,H8,总表!L:L,"&lt;&gt;",总表!E:E,$M$2,总表!E:E,$M$3)</f>
        <v>9</v>
      </c>
      <c r="J8" s="256">
        <f>SUMIFS(总表!N:N,总表!D:D,H8,总表!E:E,$M$2,总表!E:E,$M$3)</f>
        <v>105107</v>
      </c>
      <c r="K8" s="257">
        <f t="shared" si="1"/>
        <v>11678.5555555556</v>
      </c>
      <c r="L8" s="263" t="str">
        <f>VLOOKUP(H8,设计师对应店铺!A:B,COLUMN(设计师对应店铺!B:B)-COLUMN(设计师对应店铺!A:B)+1,0)</f>
        <v>尚品宅配</v>
      </c>
      <c r="O8" s="39" t="s">
        <v>407</v>
      </c>
      <c r="P8" s="256">
        <f>COUNTIFS(总表!D:D,O8,总表!L:L,"&lt;&gt;",总表!E:E,$T$2,总表!E:E,$T$3)</f>
        <v>2</v>
      </c>
      <c r="Q8" s="256">
        <f>SUMIFS(总表!N:N,总表!D:D,O8,总表!E:E,$T$2,总表!E:E,$T$3)</f>
        <v>105028</v>
      </c>
      <c r="R8" s="257">
        <f>Q8/P8</f>
        <v>52514</v>
      </c>
      <c r="S8" s="263" t="str">
        <f>VLOOKUP(O8,设计师对应店铺!A:B,COLUMN(设计师对应店铺!B:B)-COLUMN(设计师对应店铺!A:B)+1,0)</f>
        <v>嘉定店</v>
      </c>
    </row>
    <row r="9" s="34" customFormat="1" spans="1:19">
      <c r="A9" s="38" t="s">
        <v>954</v>
      </c>
      <c r="B9" s="253">
        <f>COUNTIFS(总表!D:D,A9,总表!L:L,"&lt;&gt;",总表!E:E,$F$2,总表!E:E,$F$3)</f>
        <v>8</v>
      </c>
      <c r="C9" s="253">
        <f>SUMIFS(总表!N:N,总表!D:D,A9,总表!E:E,$F$2,总表!E:E,$F$3)</f>
        <v>92557</v>
      </c>
      <c r="D9" s="254">
        <f t="shared" si="0"/>
        <v>11569.625</v>
      </c>
      <c r="E9" s="264" t="str">
        <f>VLOOKUP(A9,设计师对应店铺!A:B,COLUMN(设计师对应店铺!B:B)-COLUMN(设计师对应店铺!A:B)+1,0)</f>
        <v>汶水店</v>
      </c>
      <c r="H9" s="38" t="s">
        <v>2381</v>
      </c>
      <c r="I9" s="253">
        <f>COUNTIFS(总表!D:D,H9,总表!L:L,"&lt;&gt;",总表!E:E,$M$2,总表!E:E,$M$3)</f>
        <v>10</v>
      </c>
      <c r="J9" s="253">
        <f>SUMIFS(总表!N:N,总表!D:D,H9,总表!E:E,$M$2,总表!E:E,$M$3)</f>
        <v>96422</v>
      </c>
      <c r="K9" s="254">
        <f t="shared" si="1"/>
        <v>9642.2</v>
      </c>
      <c r="L9" s="264" t="str">
        <f>VLOOKUP(H9,设计师对应店铺!A:B,COLUMN(设计师对应店铺!B:B)-COLUMN(设计师对应店铺!A:B)+1,0)</f>
        <v>家饰佳</v>
      </c>
      <c r="O9" s="38" t="s">
        <v>68</v>
      </c>
      <c r="P9" s="253">
        <f>COUNTIFS(总表!D:D,O9,总表!L:L,"&lt;&gt;",总表!E:E,$T$2,总表!E:E,$T$3)</f>
        <v>5</v>
      </c>
      <c r="Q9" s="253">
        <f>SUMIFS(总表!N:N,总表!D:D,O9,总表!E:E,$T$2,总表!E:E,$T$3)</f>
        <v>85487</v>
      </c>
      <c r="R9" s="254">
        <v>0</v>
      </c>
      <c r="S9" s="264" t="str">
        <f>VLOOKUP(O9,设计师对应店铺!A:B,COLUMN(设计师对应店铺!B:B)-COLUMN(设计师对应店铺!A:B)+1,0)</f>
        <v>沪南店</v>
      </c>
    </row>
    <row r="10" s="34" customFormat="1" spans="1:19">
      <c r="A10" s="39" t="s">
        <v>271</v>
      </c>
      <c r="B10" s="256">
        <f>COUNTIFS(总表!D:D,A10,总表!L:L,"&lt;&gt;",总表!E:E,$F$2,总表!E:E,$F$3)</f>
        <v>7</v>
      </c>
      <c r="C10" s="256">
        <f>SUMIFS(总表!N:N,总表!D:D,A10,总表!E:E,$F$2,总表!E:E,$F$3)</f>
        <v>80654</v>
      </c>
      <c r="D10" s="257">
        <f t="shared" si="0"/>
        <v>11522</v>
      </c>
      <c r="E10" s="263" t="str">
        <f>VLOOKUP(A10,设计师对应店铺!A:B,COLUMN(设计师对应店铺!B:B)-COLUMN(设计师对应店铺!A:B)+1,0)</f>
        <v>喜盈门</v>
      </c>
      <c r="H10" s="39" t="s">
        <v>155</v>
      </c>
      <c r="I10" s="256">
        <f>COUNTIFS(总表!D:D,H10,总表!L:L,"&lt;&gt;",总表!E:E,$M$2,总表!E:E,$M$3)</f>
        <v>6</v>
      </c>
      <c r="J10" s="256">
        <f>SUMIFS(总表!N:N,总表!D:D,H10,总表!E:E,$M$2,总表!E:E,$M$3)</f>
        <v>86510</v>
      </c>
      <c r="K10" s="257">
        <f t="shared" si="1"/>
        <v>14418.3333333333</v>
      </c>
      <c r="L10" s="263" t="str">
        <f>VLOOKUP(H10,设计师对应店铺!A:B,COLUMN(设计师对应店铺!B:B)-COLUMN(设计师对应店铺!A:B)+1,0)</f>
        <v>好饰家</v>
      </c>
      <c r="O10" s="39" t="s">
        <v>182</v>
      </c>
      <c r="P10" s="256">
        <f>COUNTIFS(总表!D:D,O10,总表!L:L,"&lt;&gt;",总表!E:E,$T$2,总表!E:E,$T$3)</f>
        <v>2</v>
      </c>
      <c r="Q10" s="256">
        <f>SUMIFS(总表!N:N,总表!D:D,O10,总表!E:E,$T$2,总表!E:E,$T$3)</f>
        <v>84830</v>
      </c>
      <c r="R10" s="257">
        <f t="shared" ref="R10:R46" si="2">Q10/P10</f>
        <v>42415</v>
      </c>
      <c r="S10" s="263" t="str">
        <f>VLOOKUP(O10,设计师对应店铺!A:B,COLUMN(设计师对应店铺!B:B)-COLUMN(设计师对应店铺!A:B)+1,0)</f>
        <v>真北店</v>
      </c>
    </row>
    <row r="11" s="34" customFormat="1" spans="1:19">
      <c r="A11" s="38" t="s">
        <v>343</v>
      </c>
      <c r="B11" s="253">
        <f>COUNTIFS(总表!D:D,A11,总表!L:L,"&lt;&gt;",总表!E:E,$F$2,总表!E:E,$F$3)</f>
        <v>3</v>
      </c>
      <c r="C11" s="253">
        <f>SUMIFS(总表!N:N,总表!D:D,A11,总表!E:E,$F$2,总表!E:E,$F$3)</f>
        <v>73317</v>
      </c>
      <c r="D11" s="254">
        <f t="shared" si="0"/>
        <v>24439</v>
      </c>
      <c r="E11" s="264" t="str">
        <f>VLOOKUP(A11,设计师对应店铺!A:B,COLUMN(设计师对应店铺!B:B)-COLUMN(设计师对应店铺!A:B)+1,0)</f>
        <v>喜盈门</v>
      </c>
      <c r="H11" s="38" t="s">
        <v>125</v>
      </c>
      <c r="I11" s="253">
        <f>COUNTIFS(总表!D:D,H11,总表!L:L,"&lt;&gt;",总表!E:E,$M$2,总表!E:E,$M$3)</f>
        <v>8</v>
      </c>
      <c r="J11" s="253">
        <f>SUMIFS(总表!N:N,总表!D:D,H11,总表!E:E,$M$2,总表!E:E,$M$3)</f>
        <v>84688</v>
      </c>
      <c r="K11" s="254">
        <f t="shared" si="1"/>
        <v>10586</v>
      </c>
      <c r="L11" s="264" t="str">
        <f>VLOOKUP(H11,设计师对应店铺!A:B,COLUMN(设计师对应店铺!B:B)-COLUMN(设计师对应店铺!A:B)+1,0)</f>
        <v>同福店店长</v>
      </c>
      <c r="O11" s="38" t="s">
        <v>89</v>
      </c>
      <c r="P11" s="253">
        <f>COUNTIFS(总表!D:D,O11,总表!L:L,"&lt;&gt;",总表!E:E,$T$2,总表!E:E,$T$3)</f>
        <v>4</v>
      </c>
      <c r="Q11" s="253">
        <f>SUMIFS(总表!N:N,总表!D:D,O11,总表!E:E,$T$2,总表!E:E,$T$3)</f>
        <v>82701</v>
      </c>
      <c r="R11" s="254">
        <f t="shared" si="2"/>
        <v>20675.25</v>
      </c>
      <c r="S11" s="264" t="str">
        <f>VLOOKUP(O11,设计师对应店铺!A:B,COLUMN(设计师对应店铺!B:B)-COLUMN(设计师对应店铺!A:B)+1,0)</f>
        <v>吉盛伟邦</v>
      </c>
    </row>
    <row r="12" s="34" customFormat="1" spans="1:19">
      <c r="A12" s="39" t="s">
        <v>89</v>
      </c>
      <c r="B12" s="256">
        <f>COUNTIFS(总表!D:D,A12,总表!L:L,"&lt;&gt;",总表!E:E,$F$2,总表!E:E,$F$3)</f>
        <v>5</v>
      </c>
      <c r="C12" s="256">
        <f>SUMIFS(总表!N:N,总表!D:D,A12,总表!E:E,$F$2,总表!E:E,$F$3)</f>
        <v>73270</v>
      </c>
      <c r="D12" s="257">
        <f t="shared" si="0"/>
        <v>14654</v>
      </c>
      <c r="E12" s="263" t="str">
        <f>VLOOKUP(A12,设计师对应店铺!A:B,COLUMN(设计师对应店铺!B:B)-COLUMN(设计师对应店铺!A:B)+1,0)</f>
        <v>吉盛伟邦</v>
      </c>
      <c r="H12" s="39" t="s">
        <v>33</v>
      </c>
      <c r="I12" s="256">
        <f>COUNTIFS(总表!D:D,H12,总表!L:L,"&lt;&gt;",总表!E:E,$M$2,总表!E:E,$M$3)</f>
        <v>10</v>
      </c>
      <c r="J12" s="256">
        <f>SUMIFS(总表!N:N,总表!D:D,H12,总表!E:E,$M$2,总表!E:E,$M$3)</f>
        <v>79386</v>
      </c>
      <c r="K12" s="257">
        <f t="shared" si="1"/>
        <v>7938.6</v>
      </c>
      <c r="L12" s="263" t="str">
        <f>VLOOKUP(H12,设计师对应店铺!A:B,COLUMN(设计师对应店铺!B:B)-COLUMN(设计师对应店铺!A:B)+1,0)</f>
        <v>汶水店</v>
      </c>
      <c r="O12" s="39" t="s">
        <v>2302</v>
      </c>
      <c r="P12" s="256">
        <f>COUNTIFS(总表!D:D,O12,总表!L:L,"&lt;&gt;",总表!E:E,$T$2,总表!E:E,$T$3)</f>
        <v>3</v>
      </c>
      <c r="Q12" s="256">
        <f>SUMIFS(总表!N:N,总表!D:D,O12,总表!E:E,$T$2,总表!E:E,$T$3)</f>
        <v>67513</v>
      </c>
      <c r="R12" s="257">
        <f t="shared" si="2"/>
        <v>22504.3333333333</v>
      </c>
      <c r="S12" s="263" t="str">
        <f>VLOOKUP(O12,设计师对应店铺!A:B,COLUMN(设计师对应店铺!B:B)-COLUMN(设计师对应店铺!A:B)+1,0)</f>
        <v>沪南店</v>
      </c>
    </row>
    <row r="13" s="34" customFormat="1" spans="1:19">
      <c r="A13" s="38" t="s">
        <v>8334</v>
      </c>
      <c r="B13" s="253">
        <f>COUNTIFS(总表!D:D,A13,总表!L:L,"&lt;&gt;",总表!E:E,$F$2,总表!E:E,$F$3)</f>
        <v>9</v>
      </c>
      <c r="C13" s="253">
        <f>SUMIFS(总表!N:N,总表!D:D,A13,总表!E:E,$F$2,总表!E:E,$F$3)</f>
        <v>66117</v>
      </c>
      <c r="D13" s="254">
        <f t="shared" si="0"/>
        <v>7346.33333333333</v>
      </c>
      <c r="E13" s="264" t="str">
        <f>VLOOKUP(A13,设计师对应店铺!A:B,COLUMN(设计师对应店铺!B:B)-COLUMN(设计师对应店铺!A:B)+1,0)</f>
        <v>尚品宅配</v>
      </c>
      <c r="H13" s="38" t="s">
        <v>49</v>
      </c>
      <c r="I13" s="253">
        <f>COUNTIFS(总表!D:D,H13,总表!L:L,"&lt;&gt;",总表!E:E,$M$2,总表!E:E,$M$3)</f>
        <v>5</v>
      </c>
      <c r="J13" s="253">
        <f>SUMIFS(总表!N:N,总表!D:D,H13,总表!E:E,$M$2,总表!E:E,$M$3)</f>
        <v>74278</v>
      </c>
      <c r="K13" s="254">
        <f t="shared" si="1"/>
        <v>14855.6</v>
      </c>
      <c r="L13" s="264" t="str">
        <f>VLOOKUP(H13,设计师对应店铺!A:B,COLUMN(设计师对应店铺!B:B)-COLUMN(设计师对应店铺!A:B)+1,0)</f>
        <v>奉贤、金山、南汇、松江</v>
      </c>
      <c r="O13" s="38" t="s">
        <v>207</v>
      </c>
      <c r="P13" s="253">
        <f>COUNTIFS(总表!D:D,O13,总表!L:L,"&lt;&gt;",总表!E:E,$T$2,总表!E:E,$T$3)</f>
        <v>9</v>
      </c>
      <c r="Q13" s="253">
        <f>SUMIFS(总表!N:N,总表!D:D,O13,总表!E:E,$T$2,总表!E:E,$T$3)</f>
        <v>61805</v>
      </c>
      <c r="R13" s="254">
        <f t="shared" si="2"/>
        <v>6867.22222222222</v>
      </c>
      <c r="S13" s="264" t="str">
        <f>VLOOKUP(O13,设计师对应店铺!A:B,COLUMN(设计师对应店铺!B:B)-COLUMN(设计师对应店铺!A:B)+1,0)</f>
        <v>百安居</v>
      </c>
    </row>
    <row r="14" s="34" customFormat="1" spans="1:19">
      <c r="A14" s="39" t="s">
        <v>125</v>
      </c>
      <c r="B14" s="256">
        <f>COUNTIFS(总表!D:D,A14,总表!L:L,"&lt;&gt;",总表!E:E,$F$2,总表!E:E,$F$3)</f>
        <v>4</v>
      </c>
      <c r="C14" s="256">
        <f>SUMIFS(总表!N:N,总表!D:D,A14,总表!E:E,$F$2,总表!E:E,$F$3)</f>
        <v>64139</v>
      </c>
      <c r="D14" s="257">
        <f t="shared" si="0"/>
        <v>16034.75</v>
      </c>
      <c r="E14" s="263" t="str">
        <f>VLOOKUP(A14,设计师对应店铺!A:B,COLUMN(设计师对应店铺!B:B)-COLUMN(设计师对应店铺!A:B)+1,0)</f>
        <v>同福店店长</v>
      </c>
      <c r="H14" s="39" t="s">
        <v>2302</v>
      </c>
      <c r="I14" s="256">
        <f>COUNTIFS(总表!D:D,H14,总表!L:L,"&lt;&gt;",总表!E:E,$M$2,总表!E:E,$M$3)</f>
        <v>4</v>
      </c>
      <c r="J14" s="256">
        <f>SUMIFS(总表!N:N,总表!D:D,H14,总表!E:E,$M$2,总表!E:E,$M$3)</f>
        <v>72164</v>
      </c>
      <c r="K14" s="257">
        <f t="shared" si="1"/>
        <v>18041</v>
      </c>
      <c r="L14" s="263" t="str">
        <f>VLOOKUP(H14,设计师对应店铺!A:B,COLUMN(设计师对应店铺!B:B)-COLUMN(设计师对应店铺!A:B)+1,0)</f>
        <v>沪南店</v>
      </c>
      <c r="O14" s="39" t="s">
        <v>139</v>
      </c>
      <c r="P14" s="256">
        <f>COUNTIFS(总表!D:D,O14,总表!L:L,"&lt;&gt;",总表!E:E,$T$2,总表!E:E,$T$3)</f>
        <v>4</v>
      </c>
      <c r="Q14" s="256">
        <f>SUMIFS(总表!N:N,总表!D:D,O14,总表!E:E,$T$2,总表!E:E,$T$3)</f>
        <v>60759</v>
      </c>
      <c r="R14" s="257">
        <f t="shared" si="2"/>
        <v>15189.75</v>
      </c>
      <c r="S14" s="263" t="str">
        <f>VLOOKUP(O14,设计师对应店铺!A:B,COLUMN(设计师对应店铺!B:B)-COLUMN(设计师对应店铺!A:B)+1,0)</f>
        <v>家饰佳</v>
      </c>
    </row>
    <row r="15" s="34" customFormat="1" spans="1:19">
      <c r="A15" s="38" t="s">
        <v>361</v>
      </c>
      <c r="B15" s="253">
        <f>COUNTIFS(总表!D:D,A15,总表!L:L,"&lt;&gt;",总表!E:E,$F$2,总表!E:E,$F$3)</f>
        <v>2</v>
      </c>
      <c r="C15" s="253">
        <f>SUMIFS(总表!N:N,总表!D:D,A15,总表!E:E,$F$2,总表!E:E,$F$3)</f>
        <v>61948</v>
      </c>
      <c r="D15" s="254">
        <f t="shared" si="0"/>
        <v>30974</v>
      </c>
      <c r="E15" s="264" t="str">
        <f>VLOOKUP(A15,设计师对应店铺!A:B,COLUMN(设计师对应店铺!B:B)-COLUMN(设计师对应店铺!A:B)+1,0)</f>
        <v>美美家自配</v>
      </c>
      <c r="H15" s="38" t="s">
        <v>1436</v>
      </c>
      <c r="I15" s="253">
        <f>COUNTIFS(总表!D:D,H15,总表!L:L,"&lt;&gt;",总表!E:E,$M$2,总表!E:E,$M$3)</f>
        <v>4</v>
      </c>
      <c r="J15" s="253">
        <f>SUMIFS(总表!N:N,总表!D:D,H15,总表!E:E,$M$2,总表!E:E,$M$3)</f>
        <v>65145</v>
      </c>
      <c r="K15" s="254">
        <f t="shared" si="1"/>
        <v>16286.25</v>
      </c>
      <c r="L15" s="264" t="str">
        <f>VLOOKUP(H15,设计师对应店铺!A:B,COLUMN(设计师对应店铺!B:B)-COLUMN(设计师对应店铺!A:B)+1,0)</f>
        <v>沪南店</v>
      </c>
      <c r="O15" s="38" t="s">
        <v>44</v>
      </c>
      <c r="P15" s="253">
        <f>COUNTIFS(总表!D:D,O15,总表!L:L,"&lt;&gt;",总表!E:E,$T$2,总表!E:E,$T$3)</f>
        <v>6</v>
      </c>
      <c r="Q15" s="253">
        <f>SUMIFS(总表!N:N,总表!D:D,O15,总表!E:E,$T$2,总表!E:E,$T$3)</f>
        <v>58770</v>
      </c>
      <c r="R15" s="254">
        <f t="shared" si="2"/>
        <v>9795</v>
      </c>
      <c r="S15" s="264" t="str">
        <f>VLOOKUP(O15,设计师对应店铺!A:B,COLUMN(设计师对应店铺!B:B)-COLUMN(设计师对应店铺!A:B)+1,0)</f>
        <v>金桥店、百安居</v>
      </c>
    </row>
    <row r="16" s="34" customFormat="1" spans="1:19">
      <c r="A16" s="39" t="s">
        <v>207</v>
      </c>
      <c r="B16" s="256">
        <f>COUNTIFS(总表!D:D,A16,总表!L:L,"&lt;&gt;",总表!E:E,$F$2,总表!E:E,$F$3)</f>
        <v>6</v>
      </c>
      <c r="C16" s="256">
        <f>SUMIFS(总表!N:N,总表!D:D,A16,总表!E:E,$F$2,总表!E:E,$F$3)</f>
        <v>48787</v>
      </c>
      <c r="D16" s="257">
        <f t="shared" si="0"/>
        <v>8131.16666666667</v>
      </c>
      <c r="E16" s="263" t="str">
        <f>VLOOKUP(A16,设计师对应店铺!A:B,COLUMN(设计师对应店铺!B:B)-COLUMN(设计师对应店铺!A:B)+1,0)</f>
        <v>百安居</v>
      </c>
      <c r="H16" s="39" t="s">
        <v>361</v>
      </c>
      <c r="I16" s="256">
        <f>COUNTIFS(总表!D:D,H16,总表!L:L,"&lt;&gt;",总表!E:E,$M$2,总表!E:E,$M$3)</f>
        <v>1</v>
      </c>
      <c r="J16" s="256">
        <f>SUMIFS(总表!N:N,总表!D:D,H16,总表!E:E,$M$2,总表!E:E,$M$3)</f>
        <v>59000</v>
      </c>
      <c r="K16" s="257">
        <f t="shared" si="1"/>
        <v>59000</v>
      </c>
      <c r="L16" s="263" t="str">
        <f>VLOOKUP(H16,设计师对应店铺!A:B,COLUMN(设计师对应店铺!B:B)-COLUMN(设计师对应店铺!A:B)+1,0)</f>
        <v>美美家自配</v>
      </c>
      <c r="O16" s="39" t="s">
        <v>19705</v>
      </c>
      <c r="P16" s="256">
        <f>COUNTIFS(总表!D:D,O16,总表!L:L,"&lt;&gt;",总表!E:E,$T$2,总表!E:E,$T$3)</f>
        <v>1</v>
      </c>
      <c r="Q16" s="256">
        <f>SUMIFS(总表!N:N,总表!D:D,O16,总表!E:E,$T$2,总表!E:E,$T$3)</f>
        <v>52600</v>
      </c>
      <c r="R16" s="257">
        <f t="shared" si="2"/>
        <v>52600</v>
      </c>
      <c r="S16" s="263" t="e">
        <f>VLOOKUP(O16,设计师对应店铺!A:B,COLUMN(设计师对应店铺!B:B)-COLUMN(设计师对应店铺!A:B)+1,0)</f>
        <v>#N/A</v>
      </c>
    </row>
    <row r="17" s="34" customFormat="1" spans="1:19">
      <c r="A17" s="38" t="s">
        <v>337</v>
      </c>
      <c r="B17" s="253">
        <f>COUNTIFS(总表!D:D,A17,总表!L:L,"&lt;&gt;",总表!E:E,$F$2,总表!E:E,$F$3)</f>
        <v>6</v>
      </c>
      <c r="C17" s="253">
        <f>SUMIFS(总表!N:N,总表!D:D,A17,总表!E:E,$F$2,总表!E:E,$F$3)</f>
        <v>45966</v>
      </c>
      <c r="D17" s="254">
        <f t="shared" si="0"/>
        <v>7661</v>
      </c>
      <c r="E17" s="264" t="str">
        <f>VLOOKUP(A17,设计师对应店铺!A:B,COLUMN(设计师对应店铺!B:B)-COLUMN(设计师对应店铺!A:B)+1,0)</f>
        <v>建配龙</v>
      </c>
      <c r="H17" s="38" t="s">
        <v>149</v>
      </c>
      <c r="I17" s="253">
        <f>COUNTIFS(总表!D:D,H17,总表!L:L,"&lt;&gt;",总表!E:E,$M$2,总表!E:E,$M$3)</f>
        <v>7</v>
      </c>
      <c r="J17" s="253">
        <f>SUMIFS(总表!N:N,总表!D:D,H17,总表!E:E,$M$2,总表!E:E,$M$3)</f>
        <v>58913</v>
      </c>
      <c r="K17" s="254">
        <f t="shared" si="1"/>
        <v>8416.14285714286</v>
      </c>
      <c r="L17" s="264" t="str">
        <f>VLOOKUP(H17,设计师对应店铺!A:B,COLUMN(设计师对应店铺!B:B)-COLUMN(设计师对应店铺!A:B)+1,0)</f>
        <v>百安居</v>
      </c>
      <c r="O17" s="38" t="s">
        <v>49</v>
      </c>
      <c r="P17" s="253">
        <f>COUNTIFS(总表!D:D,O17,总表!L:L,"&lt;&gt;",总表!E:E,$T$2,总表!E:E,$T$3)</f>
        <v>3</v>
      </c>
      <c r="Q17" s="253">
        <f>SUMIFS(总表!N:N,总表!D:D,O17,总表!E:E,$T$2,总表!E:E,$T$3)</f>
        <v>52413</v>
      </c>
      <c r="R17" s="254">
        <f t="shared" si="2"/>
        <v>17471</v>
      </c>
      <c r="S17" s="264" t="str">
        <f>VLOOKUP(O17,设计师对应店铺!A:B,COLUMN(设计师对应店铺!B:B)-COLUMN(设计师对应店铺!A:B)+1,0)</f>
        <v>奉贤、金山、南汇、松江</v>
      </c>
    </row>
    <row r="18" s="34" customFormat="1" spans="1:19">
      <c r="A18" s="39" t="s">
        <v>68</v>
      </c>
      <c r="B18" s="256">
        <f>COUNTIFS(总表!D:D,A18,总表!L:L,"&lt;&gt;",总表!E:E,$F$2,总表!E:E,$F$3)</f>
        <v>4</v>
      </c>
      <c r="C18" s="256">
        <f>SUMIFS(总表!N:N,总表!D:D,A18,总表!E:E,$F$2,总表!E:E,$F$3)</f>
        <v>42486</v>
      </c>
      <c r="D18" s="257">
        <f t="shared" si="0"/>
        <v>10621.5</v>
      </c>
      <c r="E18" s="263" t="str">
        <f>VLOOKUP(A18,设计师对应店铺!A:B,COLUMN(设计师对应店铺!B:B)-COLUMN(设计师对应店铺!A:B)+1,0)</f>
        <v>沪南店</v>
      </c>
      <c r="H18" s="39" t="s">
        <v>343</v>
      </c>
      <c r="I18" s="256">
        <f>COUNTIFS(总表!D:D,H18,总表!L:L,"&lt;&gt;",总表!E:E,$M$2,总表!E:E,$M$3)</f>
        <v>5</v>
      </c>
      <c r="J18" s="256">
        <f>SUMIFS(总表!N:N,总表!D:D,H18,总表!E:E,$M$2,总表!E:E,$M$3)</f>
        <v>58020</v>
      </c>
      <c r="K18" s="257">
        <f t="shared" si="1"/>
        <v>11604</v>
      </c>
      <c r="L18" s="263" t="str">
        <f>VLOOKUP(H18,设计师对应店铺!A:B,COLUMN(设计师对应店铺!B:B)-COLUMN(设计师对应店铺!A:B)+1,0)</f>
        <v>喜盈门</v>
      </c>
      <c r="O18" s="39" t="s">
        <v>271</v>
      </c>
      <c r="P18" s="256">
        <f>COUNTIFS(总表!D:D,O18,总表!L:L,"&lt;&gt;",总表!E:E,$T$2,总表!E:E,$T$3)</f>
        <v>3</v>
      </c>
      <c r="Q18" s="256">
        <f>SUMIFS(总表!N:N,总表!D:D,O18,总表!E:E,$T$2,总表!E:E,$T$3)</f>
        <v>52328</v>
      </c>
      <c r="R18" s="257">
        <f t="shared" si="2"/>
        <v>17442.6666666667</v>
      </c>
      <c r="S18" s="263" t="str">
        <f>VLOOKUP(O18,设计师对应店铺!A:B,COLUMN(设计师对应店铺!B:B)-COLUMN(设计师对应店铺!A:B)+1,0)</f>
        <v>喜盈门</v>
      </c>
    </row>
    <row r="19" s="34" customFormat="1" spans="1:19">
      <c r="A19" s="38" t="s">
        <v>171</v>
      </c>
      <c r="B19" s="253">
        <f>COUNTIFS(总表!D:D,A19,总表!L:L,"&lt;&gt;",总表!E:E,$F$2,总表!E:E,$F$3)</f>
        <v>3</v>
      </c>
      <c r="C19" s="253">
        <f>SUMIFS(总表!N:N,总表!D:D,A19,总表!E:E,$F$2,总表!E:E,$F$3)</f>
        <v>40971</v>
      </c>
      <c r="D19" s="254">
        <f t="shared" si="0"/>
        <v>13657</v>
      </c>
      <c r="E19" s="264" t="str">
        <f>VLOOKUP(A19,设计师对应店铺!A:B,COLUMN(设计师对应店铺!B:B)-COLUMN(设计师对应店铺!A:B)+1,0)</f>
        <v>家饰佳、兴力达</v>
      </c>
      <c r="H19" s="38" t="s">
        <v>1431</v>
      </c>
      <c r="I19" s="253">
        <f>COUNTIFS(总表!D:D,H19,总表!L:L,"&lt;&gt;",总表!E:E,$M$2,总表!E:E,$M$3)</f>
        <v>4</v>
      </c>
      <c r="J19" s="253">
        <f>SUMIFS(总表!N:N,总表!D:D,H19,总表!E:E,$M$2,总表!E:E,$M$3)</f>
        <v>55772</v>
      </c>
      <c r="K19" s="254">
        <f t="shared" si="1"/>
        <v>13943</v>
      </c>
      <c r="L19" s="264" t="str">
        <f>VLOOKUP(H19,设计师对应店铺!A:B,COLUMN(设计师对应店铺!B:B)-COLUMN(设计师对应店铺!A:B)+1,0)</f>
        <v>真北店</v>
      </c>
      <c r="O19" s="38" t="s">
        <v>110</v>
      </c>
      <c r="P19" s="253">
        <f>COUNTIFS(总表!D:D,O19,总表!L:L,"&lt;&gt;",总表!E:E,$T$2,总表!E:E,$T$3)</f>
        <v>3</v>
      </c>
      <c r="Q19" s="253">
        <f>SUMIFS(总表!N:N,总表!D:D,O19,总表!E:E,$T$2,总表!E:E,$T$3)</f>
        <v>50172</v>
      </c>
      <c r="R19" s="254">
        <f t="shared" si="2"/>
        <v>16724</v>
      </c>
      <c r="S19" s="264" t="str">
        <f>VLOOKUP(O19,设计师对应店铺!A:B,COLUMN(设计师对应店铺!B:B)-COLUMN(设计师对应店铺!A:B)+1,0)</f>
        <v>喜盈门</v>
      </c>
    </row>
    <row r="20" s="34" customFormat="1" spans="1:19">
      <c r="A20" s="39" t="s">
        <v>162</v>
      </c>
      <c r="B20" s="256">
        <f>COUNTIFS(总表!D:D,A20,总表!L:L,"&lt;&gt;",总表!E:E,$F$2,总表!E:E,$F$3)</f>
        <v>3</v>
      </c>
      <c r="C20" s="256">
        <f>SUMIFS(总表!N:N,总表!D:D,A20,总表!E:E,$F$2,总表!E:E,$F$3)</f>
        <v>37663</v>
      </c>
      <c r="D20" s="257">
        <f t="shared" si="0"/>
        <v>12554.3333333333</v>
      </c>
      <c r="E20" s="263" t="str">
        <f>VLOOKUP(A20,设计师对应店铺!A:B,COLUMN(设计师对应店铺!B:B)-COLUMN(设计师对应店铺!A:B)+1,0)</f>
        <v>真北店</v>
      </c>
      <c r="H20" s="39" t="s">
        <v>187</v>
      </c>
      <c r="I20" s="256">
        <f>COUNTIFS(总表!D:D,H20,总表!L:L,"&lt;&gt;",总表!E:E,$M$2,总表!E:E,$M$3)</f>
        <v>5</v>
      </c>
      <c r="J20" s="256">
        <f>SUMIFS(总表!N:N,总表!D:D,H20,总表!E:E,$M$2,总表!E:E,$M$3)</f>
        <v>53310</v>
      </c>
      <c r="K20" s="257">
        <f t="shared" si="1"/>
        <v>10662</v>
      </c>
      <c r="L20" s="263" t="str">
        <f>VLOOKUP(H20,设计师对应店铺!A:B,COLUMN(设计师对应店铺!B:B)-COLUMN(设计师对应店铺!A:B)+1,0)</f>
        <v>百家宜</v>
      </c>
      <c r="O20" s="39" t="s">
        <v>337</v>
      </c>
      <c r="P20" s="256">
        <f>COUNTIFS(总表!D:D,O20,总表!L:L,"&lt;&gt;",总表!E:E,$T$2,总表!E:E,$T$3)</f>
        <v>2</v>
      </c>
      <c r="Q20" s="256">
        <f>SUMIFS(总表!N:N,总表!D:D,O20,总表!E:E,$T$2,总表!E:E,$T$3)</f>
        <v>50062</v>
      </c>
      <c r="R20" s="257">
        <f t="shared" si="2"/>
        <v>25031</v>
      </c>
      <c r="S20" s="263" t="str">
        <f>VLOOKUP(O20,设计师对应店铺!A:B,COLUMN(设计师对应店铺!B:B)-COLUMN(设计师对应店铺!A:B)+1,0)</f>
        <v>建配龙</v>
      </c>
    </row>
    <row r="21" s="34" customFormat="1" spans="1:19">
      <c r="A21" s="38" t="s">
        <v>1431</v>
      </c>
      <c r="B21" s="253">
        <f>COUNTIFS(总表!D:D,A21,总表!L:L,"&lt;&gt;",总表!E:E,$F$2,总表!E:E,$F$3)</f>
        <v>3</v>
      </c>
      <c r="C21" s="253">
        <f>SUMIFS(总表!N:N,总表!D:D,A21,总表!E:E,$F$2,总表!E:E,$F$3)</f>
        <v>35331</v>
      </c>
      <c r="D21" s="254">
        <f t="shared" si="0"/>
        <v>11777</v>
      </c>
      <c r="E21" s="264" t="str">
        <f>VLOOKUP(A21,设计师对应店铺!A:B,COLUMN(设计师对应店铺!B:B)-COLUMN(设计师对应店铺!A:B)+1,0)</f>
        <v>真北店</v>
      </c>
      <c r="H21" s="38" t="s">
        <v>110</v>
      </c>
      <c r="I21" s="253">
        <f>COUNTIFS(总表!D:D,H21,总表!L:L,"&lt;&gt;",总表!E:E,$M$2,总表!E:E,$M$3)</f>
        <v>4</v>
      </c>
      <c r="J21" s="253">
        <f>SUMIFS(总表!N:N,总表!D:D,H21,总表!E:E,$M$2,总表!E:E,$M$3)</f>
        <v>48679</v>
      </c>
      <c r="K21" s="254">
        <f t="shared" si="1"/>
        <v>12169.75</v>
      </c>
      <c r="L21" s="264" t="str">
        <f>VLOOKUP(H21,设计师对应店铺!A:B,COLUMN(设计师对应店铺!B:B)-COLUMN(设计师对应店铺!A:B)+1,0)</f>
        <v>喜盈门</v>
      </c>
      <c r="O21" s="38" t="s">
        <v>162</v>
      </c>
      <c r="P21" s="253">
        <f>COUNTIFS(总表!D:D,O21,总表!L:L,"&lt;&gt;",总表!E:E,$T$2,总表!E:E,$T$3)</f>
        <v>3</v>
      </c>
      <c r="Q21" s="253">
        <f>SUMIFS(总表!N:N,总表!D:D,O21,总表!E:E,$T$2,总表!E:E,$T$3)</f>
        <v>49822</v>
      </c>
      <c r="R21" s="254">
        <f t="shared" si="2"/>
        <v>16607.3333333333</v>
      </c>
      <c r="S21" s="264" t="str">
        <f>VLOOKUP(O21,设计师对应店铺!A:B,COLUMN(设计师对应店铺!B:B)-COLUMN(设计师对应店铺!A:B)+1,0)</f>
        <v>真北店</v>
      </c>
    </row>
    <row r="22" s="34" customFormat="1" spans="1:19">
      <c r="A22" s="39" t="s">
        <v>518</v>
      </c>
      <c r="B22" s="256">
        <f>COUNTIFS(总表!D:D,A22,总表!L:L,"&lt;&gt;",总表!E:E,$F$2,总表!E:E,$F$3)</f>
        <v>2</v>
      </c>
      <c r="C22" s="256">
        <f>SUMIFS(总表!N:N,总表!D:D,A22,总表!E:E,$F$2,总表!E:E,$F$3)</f>
        <v>34401</v>
      </c>
      <c r="D22" s="257">
        <f t="shared" si="0"/>
        <v>17200.5</v>
      </c>
      <c r="E22" s="263" t="str">
        <f>VLOOKUP(A22,设计师对应店铺!A:B,COLUMN(设计师对应店铺!B:B)-COLUMN(设计师对应店铺!A:B)+1,0)</f>
        <v>奉贤店</v>
      </c>
      <c r="H22" s="39" t="s">
        <v>221</v>
      </c>
      <c r="I22" s="256">
        <f>COUNTIFS(总表!D:D,H22,总表!L:L,"&lt;&gt;",总表!E:E,$M$2,总表!E:E,$M$3)</f>
        <v>4</v>
      </c>
      <c r="J22" s="256">
        <f>SUMIFS(总表!N:N,总表!D:D,H22,总表!E:E,$M$2,总表!E:E,$M$3)</f>
        <v>41747</v>
      </c>
      <c r="K22" s="257">
        <f t="shared" si="1"/>
        <v>10436.75</v>
      </c>
      <c r="L22" s="263" t="str">
        <f>VLOOKUP(H22,设计师对应店铺!A:B,COLUMN(设计师对应店铺!B:B)-COLUMN(设计师对应店铺!A:B)+1,0)</f>
        <v>汶水店</v>
      </c>
      <c r="O22" s="39" t="s">
        <v>8334</v>
      </c>
      <c r="P22" s="256">
        <f>COUNTIFS(总表!D:D,O22,总表!L:L,"&lt;&gt;",总表!E:E,$T$2,总表!E:E,$T$3)</f>
        <v>6</v>
      </c>
      <c r="Q22" s="256">
        <f>SUMIFS(总表!N:N,总表!D:D,O22,总表!E:E,$T$2,总表!E:E,$T$3)</f>
        <v>48110</v>
      </c>
      <c r="R22" s="257">
        <f t="shared" si="2"/>
        <v>8018.33333333333</v>
      </c>
      <c r="S22" s="263" t="str">
        <f>VLOOKUP(O22,设计师对应店铺!A:B,COLUMN(设计师对应店铺!B:B)-COLUMN(设计师对应店铺!A:B)+1,0)</f>
        <v>尚品宅配</v>
      </c>
    </row>
    <row r="23" s="34" customFormat="1" spans="1:19">
      <c r="A23" s="38" t="s">
        <v>2381</v>
      </c>
      <c r="B23" s="253">
        <f>COUNTIFS(总表!D:D,A23,总表!L:L,"&lt;&gt;",总表!E:E,$F$2,总表!E:E,$F$3)</f>
        <v>5</v>
      </c>
      <c r="C23" s="253">
        <f>SUMIFS(总表!N:N,总表!D:D,A23,总表!E:E,$F$2,总表!E:E,$F$3)</f>
        <v>32381</v>
      </c>
      <c r="D23" s="254">
        <f t="shared" si="0"/>
        <v>6476.2</v>
      </c>
      <c r="E23" s="264" t="str">
        <f>VLOOKUP(A23,设计师对应店铺!A:B,COLUMN(设计师对应店铺!B:B)-COLUMN(设计师对应店铺!A:B)+1,0)</f>
        <v>家饰佳</v>
      </c>
      <c r="H23" s="38" t="s">
        <v>75</v>
      </c>
      <c r="I23" s="253">
        <f>COUNTIFS(总表!D:D,H23,总表!L:L,"&lt;&gt;",总表!E:E,$M$2,总表!E:E,$M$3)</f>
        <v>2</v>
      </c>
      <c r="J23" s="253">
        <f>SUMIFS(总表!N:N,总表!D:D,H23,总表!E:E,$M$2,总表!E:E,$M$3)</f>
        <v>40552</v>
      </c>
      <c r="K23" s="254">
        <f t="shared" si="1"/>
        <v>20276</v>
      </c>
      <c r="L23" s="264" t="str">
        <f>VLOOKUP(H23,设计师对应店铺!A:B,COLUMN(设计师对应店铺!B:B)-COLUMN(设计师对应店铺!A:B)+1,0)</f>
        <v>宜山经理</v>
      </c>
      <c r="O23" s="38" t="s">
        <v>37</v>
      </c>
      <c r="P23" s="253">
        <f>COUNTIFS(总表!D:D,O23,总表!L:L,"&lt;&gt;",总表!E:E,$T$2,总表!E:E,$T$3)</f>
        <v>2</v>
      </c>
      <c r="Q23" s="253">
        <f>SUMIFS(总表!N:N,总表!D:D,O23,总表!E:E,$T$2,总表!E:E,$T$3)</f>
        <v>46009</v>
      </c>
      <c r="R23" s="254">
        <f t="shared" si="2"/>
        <v>23004.5</v>
      </c>
      <c r="S23" s="264" t="str">
        <f>VLOOKUP(O23,设计师对应店铺!A:B,COLUMN(设计师对应店铺!B:B)-COLUMN(设计师对应店铺!A:B)+1,0)</f>
        <v>浦江店</v>
      </c>
    </row>
    <row r="24" s="34" customFormat="1" spans="1:19">
      <c r="A24" s="39" t="s">
        <v>110</v>
      </c>
      <c r="B24" s="256">
        <f>COUNTIFS(总表!D:D,A24,总表!L:L,"&lt;&gt;",总表!E:E,$F$2,总表!E:E,$F$3)</f>
        <v>4</v>
      </c>
      <c r="C24" s="256">
        <f>SUMIFS(总表!N:N,总表!D:D,A24,总表!E:E,$F$2,总表!E:E,$F$3)</f>
        <v>32210</v>
      </c>
      <c r="D24" s="257">
        <f t="shared" si="0"/>
        <v>8052.5</v>
      </c>
      <c r="E24" s="263" t="str">
        <f>VLOOKUP(A24,设计师对应店铺!A:B,COLUMN(设计师对应店铺!B:B)-COLUMN(设计师对应店铺!A:B)+1,0)</f>
        <v>喜盈门</v>
      </c>
      <c r="H24" s="39" t="s">
        <v>443</v>
      </c>
      <c r="I24" s="256">
        <f>COUNTIFS(总表!D:D,H24,总表!L:L,"&lt;&gt;",总表!E:E,$M$2,总表!E:E,$M$3)</f>
        <v>3</v>
      </c>
      <c r="J24" s="256">
        <f>SUMIFS(总表!N:N,总表!D:D,H24,总表!E:E,$M$2,总表!E:E,$M$3)</f>
        <v>35055</v>
      </c>
      <c r="K24" s="257">
        <f t="shared" si="1"/>
        <v>11685</v>
      </c>
      <c r="L24" s="263" t="str">
        <f>VLOOKUP(H24,设计师对应店铺!A:B,COLUMN(设计师对应店铺!B:B)-COLUMN(设计师对应店铺!A:B)+1,0)</f>
        <v>家饰佳</v>
      </c>
      <c r="O24" s="39" t="s">
        <v>518</v>
      </c>
      <c r="P24" s="256">
        <f>COUNTIFS(总表!D:D,O24,总表!L:L,"&lt;&gt;",总表!E:E,$T$2,总表!E:E,$T$3)</f>
        <v>1</v>
      </c>
      <c r="Q24" s="256">
        <f>SUMIFS(总表!N:N,总表!D:D,O24,总表!E:E,$T$2,总表!E:E,$T$3)</f>
        <v>41268</v>
      </c>
      <c r="R24" s="257">
        <f t="shared" si="2"/>
        <v>41268</v>
      </c>
      <c r="S24" s="263" t="str">
        <f>VLOOKUP(O24,设计师对应店铺!A:B,COLUMN(设计师对应店铺!B:B)-COLUMN(设计师对应店铺!A:B)+1,0)</f>
        <v>奉贤店</v>
      </c>
    </row>
    <row r="25" s="34" customFormat="1" spans="1:19">
      <c r="A25" s="38" t="s">
        <v>149</v>
      </c>
      <c r="B25" s="253">
        <f>COUNTIFS(总表!D:D,A25,总表!L:L,"&lt;&gt;",总表!E:E,$F$2,总表!E:E,$F$3)</f>
        <v>4</v>
      </c>
      <c r="C25" s="253">
        <f>SUMIFS(总表!N:N,总表!D:D,A25,总表!E:E,$F$2,总表!E:E,$F$3)</f>
        <v>32008</v>
      </c>
      <c r="D25" s="254">
        <f t="shared" si="0"/>
        <v>8002</v>
      </c>
      <c r="E25" s="264" t="str">
        <f>VLOOKUP(A25,设计师对应店铺!A:B,COLUMN(设计师对应店铺!B:B)-COLUMN(设计师对应店铺!A:B)+1,0)</f>
        <v>百安居</v>
      </c>
      <c r="H25" s="38" t="s">
        <v>139</v>
      </c>
      <c r="I25" s="253">
        <f>COUNTIFS(总表!D:D,H25,总表!L:L,"&lt;&gt;",总表!E:E,$M$2,总表!E:E,$M$3)</f>
        <v>2</v>
      </c>
      <c r="J25" s="253">
        <f>SUMIFS(总表!N:N,总表!D:D,H25,总表!E:E,$M$2,总表!E:E,$M$3)</f>
        <v>31529</v>
      </c>
      <c r="K25" s="254">
        <f t="shared" si="1"/>
        <v>15764.5</v>
      </c>
      <c r="L25" s="264" t="str">
        <f>VLOOKUP(H25,设计师对应店铺!A:B,COLUMN(设计师对应店铺!B:B)-COLUMN(设计师对应店铺!A:B)+1,0)</f>
        <v>家饰佳</v>
      </c>
      <c r="O25" s="38" t="s">
        <v>221</v>
      </c>
      <c r="P25" s="253">
        <f>COUNTIFS(总表!D:D,O25,总表!L:L,"&lt;&gt;",总表!E:E,$T$2,总表!E:E,$T$3)</f>
        <v>3</v>
      </c>
      <c r="Q25" s="253">
        <f>SUMIFS(总表!N:N,总表!D:D,O25,总表!E:E,$T$2,总表!E:E,$T$3)</f>
        <v>39701</v>
      </c>
      <c r="R25" s="254">
        <f t="shared" si="2"/>
        <v>13233.6666666667</v>
      </c>
      <c r="S25" s="264" t="str">
        <f>VLOOKUP(O25,设计师对应店铺!A:B,COLUMN(设计师对应店铺!B:B)-COLUMN(设计师对应店铺!A:B)+1,0)</f>
        <v>汶水店</v>
      </c>
    </row>
    <row r="26" s="34" customFormat="1" spans="1:19">
      <c r="A26" s="39" t="s">
        <v>635</v>
      </c>
      <c r="B26" s="256">
        <f>COUNTIFS(总表!D:D,A26,总表!L:L,"&lt;&gt;",总表!E:E,$F$2,总表!E:E,$F$3)</f>
        <v>3</v>
      </c>
      <c r="C26" s="256">
        <f>SUMIFS(总表!N:N,总表!D:D,A26,总表!E:E,$F$2,总表!E:E,$F$3)</f>
        <v>29595</v>
      </c>
      <c r="D26" s="257">
        <f t="shared" si="0"/>
        <v>9865</v>
      </c>
      <c r="E26" s="263" t="str">
        <f>VLOOKUP(A26,设计师对应店铺!A:B,COLUMN(设计师对应店铺!B:B)-COLUMN(设计师对应店铺!A:B)+1,0)</f>
        <v>家饰佳、兴力达</v>
      </c>
      <c r="H26" s="39" t="s">
        <v>89</v>
      </c>
      <c r="I26" s="256">
        <f>COUNTIFS(总表!D:D,H26,总表!L:L,"&lt;&gt;",总表!E:E,$M$2,总表!E:E,$M$3)</f>
        <v>1</v>
      </c>
      <c r="J26" s="256">
        <f>SUMIFS(总表!N:N,总表!D:D,H26,总表!E:E,$M$2,总表!E:E,$M$3)</f>
        <v>30371</v>
      </c>
      <c r="K26" s="257">
        <f t="shared" si="1"/>
        <v>30371</v>
      </c>
      <c r="L26" s="263" t="str">
        <f>VLOOKUP(H26,设计师对应店铺!A:B,COLUMN(设计师对应店铺!B:B)-COLUMN(设计师对应店铺!A:B)+1,0)</f>
        <v>吉盛伟邦</v>
      </c>
      <c r="O26" s="39" t="s">
        <v>171</v>
      </c>
      <c r="P26" s="256">
        <f>COUNTIFS(总表!D:D,O26,总表!L:L,"&lt;&gt;",总表!E:E,$T$2,总表!E:E,$T$3)</f>
        <v>3</v>
      </c>
      <c r="Q26" s="256">
        <f>SUMIFS(总表!N:N,总表!D:D,O26,总表!E:E,$T$2,总表!E:E,$T$3)</f>
        <v>39490</v>
      </c>
      <c r="R26" s="257">
        <f t="shared" si="2"/>
        <v>13163.3333333333</v>
      </c>
      <c r="S26" s="263" t="str">
        <f>VLOOKUP(O26,设计师对应店铺!A:B,COLUMN(设计师对应店铺!B:B)-COLUMN(设计师对应店铺!A:B)+1,0)</f>
        <v>家饰佳、兴力达</v>
      </c>
    </row>
    <row r="27" s="34" customFormat="1" spans="1:19">
      <c r="A27" s="38" t="s">
        <v>75</v>
      </c>
      <c r="B27" s="253">
        <f>COUNTIFS(总表!D:D,A27,总表!L:L,"&lt;&gt;",总表!E:E,$F$2,总表!E:E,$F$3)</f>
        <v>1</v>
      </c>
      <c r="C27" s="253">
        <f>SUMIFS(总表!N:N,总表!D:D,A27,总表!E:E,$F$2,总表!E:E,$F$3)</f>
        <v>29311</v>
      </c>
      <c r="D27" s="254">
        <f t="shared" si="0"/>
        <v>29311</v>
      </c>
      <c r="E27" s="264" t="str">
        <f>VLOOKUP(A27,设计师对应店铺!A:B,COLUMN(设计师对应店铺!B:B)-COLUMN(设计师对应店铺!A:B)+1,0)</f>
        <v>宜山经理</v>
      </c>
      <c r="H27" s="38" t="s">
        <v>44</v>
      </c>
      <c r="I27" s="253">
        <f>COUNTIFS(总表!D:D,H27,总表!L:L,"&lt;&gt;",总表!E:E,$M$2,总表!E:E,$M$3)</f>
        <v>1</v>
      </c>
      <c r="J27" s="253">
        <f>SUMIFS(总表!N:N,总表!D:D,H27,总表!E:E,$M$2,总表!E:E,$M$3)</f>
        <v>29580</v>
      </c>
      <c r="K27" s="254">
        <f t="shared" si="1"/>
        <v>29580</v>
      </c>
      <c r="L27" s="264" t="str">
        <f>VLOOKUP(H27,设计师对应店铺!A:B,COLUMN(设计师对应店铺!B:B)-COLUMN(设计师对应店铺!A:B)+1,0)</f>
        <v>金桥店、百安居</v>
      </c>
      <c r="O27" s="38" t="s">
        <v>1436</v>
      </c>
      <c r="P27" s="253">
        <f>COUNTIFS(总表!D:D,O27,总表!L:L,"&lt;&gt;",总表!E:E,$T$2,总表!E:E,$T$3)</f>
        <v>3</v>
      </c>
      <c r="Q27" s="253">
        <f>SUMIFS(总表!N:N,总表!D:D,O27,总表!E:E,$T$2,总表!E:E,$T$3)</f>
        <v>36516</v>
      </c>
      <c r="R27" s="254">
        <f t="shared" si="2"/>
        <v>12172</v>
      </c>
      <c r="S27" s="264" t="str">
        <f>VLOOKUP(O27,设计师对应店铺!A:B,COLUMN(设计师对应店铺!B:B)-COLUMN(设计师对应店铺!A:B)+1,0)</f>
        <v>沪南店</v>
      </c>
    </row>
    <row r="28" s="34" customFormat="1" spans="1:19">
      <c r="A28" s="39" t="s">
        <v>221</v>
      </c>
      <c r="B28" s="256">
        <f>COUNTIFS(总表!D:D,A28,总表!L:L,"&lt;&gt;",总表!E:E,$F$2,总表!E:E,$F$3)</f>
        <v>2</v>
      </c>
      <c r="C28" s="256">
        <f>SUMIFS(总表!N:N,总表!D:D,A28,总表!E:E,$F$2,总表!E:E,$F$3)</f>
        <v>27958</v>
      </c>
      <c r="D28" s="257">
        <f t="shared" si="0"/>
        <v>13979</v>
      </c>
      <c r="E28" s="263" t="str">
        <f>VLOOKUP(A28,设计师对应店铺!A:B,COLUMN(设计师对应店铺!B:B)-COLUMN(设计师对应店铺!A:B)+1,0)</f>
        <v>汶水店</v>
      </c>
      <c r="H28" s="39" t="s">
        <v>171</v>
      </c>
      <c r="I28" s="256">
        <f>COUNTIFS(总表!D:D,H28,总表!L:L,"&lt;&gt;",总表!E:E,$M$2,总表!E:E,$M$3)</f>
        <v>2</v>
      </c>
      <c r="J28" s="256">
        <f>SUMIFS(总表!N:N,总表!D:D,H28,总表!E:E,$M$2,总表!E:E,$M$3)</f>
        <v>28009</v>
      </c>
      <c r="K28" s="257">
        <f t="shared" si="1"/>
        <v>14004.5</v>
      </c>
      <c r="L28" s="263" t="str">
        <f>VLOOKUP(H28,设计师对应店铺!A:B,COLUMN(设计师对应店铺!B:B)-COLUMN(设计师对应店铺!A:B)+1,0)</f>
        <v>家饰佳、兴力达</v>
      </c>
      <c r="O28" s="39" t="s">
        <v>132</v>
      </c>
      <c r="P28" s="256">
        <f>COUNTIFS(总表!D:D,O28,总表!L:L,"&lt;&gt;",总表!E:E,$T$2,总表!E:E,$T$3)</f>
        <v>2</v>
      </c>
      <c r="Q28" s="256">
        <f>SUMIFS(总表!N:N,总表!D:D,O28,总表!E:E,$T$2,总表!E:E,$T$3)</f>
        <v>31409</v>
      </c>
      <c r="R28" s="257">
        <f t="shared" si="2"/>
        <v>15704.5</v>
      </c>
      <c r="S28" s="263" t="str">
        <f>VLOOKUP(O28,设计师对应店铺!A:B,COLUMN(设计师对应店铺!B:B)-COLUMN(设计师对应店铺!A:B)+1,0)</f>
        <v>真北店</v>
      </c>
    </row>
    <row r="29" s="34" customFormat="1" spans="1:19">
      <c r="A29" s="38" t="s">
        <v>187</v>
      </c>
      <c r="B29" s="253">
        <f>COUNTIFS(总表!D:D,A29,总表!L:L,"&lt;&gt;",总表!E:E,$F$2,总表!E:E,$F$3)</f>
        <v>2</v>
      </c>
      <c r="C29" s="253">
        <f>SUMIFS(总表!N:N,总表!D:D,A29,总表!E:E,$F$2,总表!E:E,$F$3)</f>
        <v>26628</v>
      </c>
      <c r="D29" s="254">
        <f t="shared" si="0"/>
        <v>13314</v>
      </c>
      <c r="E29" s="264" t="str">
        <f>VLOOKUP(A29,设计师对应店铺!A:B,COLUMN(设计师对应店铺!B:B)-COLUMN(设计师对应店铺!A:B)+1,0)</f>
        <v>百家宜</v>
      </c>
      <c r="H29" s="38" t="s">
        <v>954</v>
      </c>
      <c r="I29" s="253">
        <f>COUNTIFS(总表!D:D,H29,总表!L:L,"&lt;&gt;",总表!E:E,$M$2,总表!E:E,$M$3)</f>
        <v>4</v>
      </c>
      <c r="J29" s="253">
        <f>SUMIFS(总表!N:N,总表!D:D,H29,总表!E:E,$M$2,总表!E:E,$M$3)</f>
        <v>27586</v>
      </c>
      <c r="K29" s="254">
        <f t="shared" si="1"/>
        <v>6896.5</v>
      </c>
      <c r="L29" s="264" t="str">
        <f>VLOOKUP(H29,设计师对应店铺!A:B,COLUMN(设计师对应店铺!B:B)-COLUMN(设计师对应店铺!A:B)+1,0)</f>
        <v>汶水店</v>
      </c>
      <c r="O29" s="38" t="s">
        <v>635</v>
      </c>
      <c r="P29" s="253">
        <f>COUNTIFS(总表!D:D,O29,总表!L:L,"&lt;&gt;",总表!E:E,$T$2,总表!E:E,$T$3)</f>
        <v>3</v>
      </c>
      <c r="Q29" s="253">
        <f>SUMIFS(总表!N:N,总表!D:D,O29,总表!E:E,$T$2,总表!E:E,$T$3)</f>
        <v>30322</v>
      </c>
      <c r="R29" s="254">
        <f t="shared" si="2"/>
        <v>10107.3333333333</v>
      </c>
      <c r="S29" s="264" t="str">
        <f>VLOOKUP(O29,设计师对应店铺!A:B,COLUMN(设计师对应店铺!B:B)-COLUMN(设计师对应店铺!A:B)+1,0)</f>
        <v>家饰佳、兴力达</v>
      </c>
    </row>
    <row r="30" s="34" customFormat="1" spans="1:19">
      <c r="A30" s="39" t="s">
        <v>139</v>
      </c>
      <c r="B30" s="256">
        <f>COUNTIFS(总表!D:D,A30,总表!L:L,"&lt;&gt;",总表!E:E,$F$2,总表!E:E,$F$3)</f>
        <v>1</v>
      </c>
      <c r="C30" s="256">
        <f>SUMIFS(总表!N:N,总表!D:D,A30,总表!E:E,$F$2,总表!E:E,$F$3)</f>
        <v>26619</v>
      </c>
      <c r="D30" s="257">
        <f t="shared" si="0"/>
        <v>26619</v>
      </c>
      <c r="E30" s="263" t="str">
        <f>VLOOKUP(A30,设计师对应店铺!A:B,COLUMN(设计师对应店铺!B:B)-COLUMN(设计师对应店铺!A:B)+1,0)</f>
        <v>家饰佳</v>
      </c>
      <c r="H30" s="39" t="s">
        <v>162</v>
      </c>
      <c r="I30" s="256">
        <f>COUNTIFS(总表!D:D,H30,总表!L:L,"&lt;&gt;",总表!E:E,$M$2,总表!E:E,$M$3)</f>
        <v>3</v>
      </c>
      <c r="J30" s="256">
        <f>SUMIFS(总表!N:N,总表!D:D,H30,总表!E:E,$M$2,总表!E:E,$M$3)</f>
        <v>26731</v>
      </c>
      <c r="K30" s="257">
        <f t="shared" si="1"/>
        <v>8910.33333333333</v>
      </c>
      <c r="L30" s="263" t="str">
        <f>VLOOKUP(H30,设计师对应店铺!A:B,COLUMN(设计师对应店铺!B:B)-COLUMN(设计师对应店铺!A:B)+1,0)</f>
        <v>真北店</v>
      </c>
      <c r="O30" s="39" t="s">
        <v>33</v>
      </c>
      <c r="P30" s="256">
        <f>COUNTIFS(总表!D:D,O30,总表!L:L,"&lt;&gt;",总表!E:E,$T$2,总表!E:E,$T$3)</f>
        <v>3</v>
      </c>
      <c r="Q30" s="256">
        <f>SUMIFS(总表!N:N,总表!D:D,O30,总表!E:E,$T$2,总表!E:E,$T$3)</f>
        <v>27660</v>
      </c>
      <c r="R30" s="257">
        <f t="shared" si="2"/>
        <v>9220</v>
      </c>
      <c r="S30" s="263" t="str">
        <f>VLOOKUP(O30,设计师对应店铺!A:B,COLUMN(设计师对应店铺!B:B)-COLUMN(设计师对应店铺!A:B)+1,0)</f>
        <v>汶水店</v>
      </c>
    </row>
    <row r="31" s="34" customFormat="1" spans="1:19">
      <c r="A31" s="38" t="s">
        <v>443</v>
      </c>
      <c r="B31" s="253">
        <f>COUNTIFS(总表!D:D,A31,总表!L:L,"&lt;&gt;",总表!E:E,$F$2,总表!E:E,$F$3)</f>
        <v>3</v>
      </c>
      <c r="C31" s="253">
        <f>SUMIFS(总表!N:N,总表!D:D,A31,总表!E:E,$F$2,总表!E:E,$F$3)</f>
        <v>24334</v>
      </c>
      <c r="D31" s="254">
        <f t="shared" si="0"/>
        <v>8111.33333333333</v>
      </c>
      <c r="E31" s="264" t="str">
        <f>VLOOKUP(A31,设计师对应店铺!A:B,COLUMN(设计师对应店铺!B:B)-COLUMN(设计师对应店铺!A:B)+1,0)</f>
        <v>家饰佳</v>
      </c>
      <c r="H31" s="38" t="s">
        <v>518</v>
      </c>
      <c r="I31" s="253">
        <f>COUNTIFS(总表!D:D,H31,总表!L:L,"&lt;&gt;",总表!E:E,$M$2,总表!E:E,$M$3)</f>
        <v>1</v>
      </c>
      <c r="J31" s="253">
        <f>SUMIFS(总表!N:N,总表!D:D,H31,总表!E:E,$M$2,总表!E:E,$M$3)</f>
        <v>24859</v>
      </c>
      <c r="K31" s="254">
        <f t="shared" si="1"/>
        <v>24859</v>
      </c>
      <c r="L31" s="264" t="str">
        <f>VLOOKUP(H31,设计师对应店铺!A:B,COLUMN(设计师对应店铺!B:B)-COLUMN(设计师对应店铺!A:B)+1,0)</f>
        <v>奉贤店</v>
      </c>
      <c r="O31" s="38" t="s">
        <v>125</v>
      </c>
      <c r="P31" s="253">
        <f>COUNTIFS(总表!D:D,O31,总表!L:L,"&lt;&gt;",总表!E:E,$T$2,总表!E:E,$T$3)</f>
        <v>3</v>
      </c>
      <c r="Q31" s="253">
        <f>SUMIFS(总表!N:N,总表!D:D,O31,总表!E:E,$T$2,总表!E:E,$T$3)</f>
        <v>26404</v>
      </c>
      <c r="R31" s="254">
        <f t="shared" si="2"/>
        <v>8801.33333333333</v>
      </c>
      <c r="S31" s="264" t="str">
        <f>VLOOKUP(O31,设计师对应店铺!A:B,COLUMN(设计师对应店铺!B:B)-COLUMN(设计师对应店铺!A:B)+1,0)</f>
        <v>同福店店长</v>
      </c>
    </row>
    <row r="32" s="34" customFormat="1" spans="1:19">
      <c r="A32" s="39" t="s">
        <v>2302</v>
      </c>
      <c r="B32" s="256">
        <f>COUNTIFS(总表!D:D,A32,总表!L:L,"&lt;&gt;",总表!E:E,$F$2,总表!E:E,$F$3)</f>
        <v>2</v>
      </c>
      <c r="C32" s="256">
        <f>SUMIFS(总表!N:N,总表!D:D,A32,总表!E:E,$F$2,总表!E:E,$F$3)</f>
        <v>22468</v>
      </c>
      <c r="D32" s="257">
        <f t="shared" si="0"/>
        <v>11234</v>
      </c>
      <c r="E32" s="263" t="str">
        <f>VLOOKUP(A32,设计师对应店铺!A:B,COLUMN(设计师对应店铺!B:B)-COLUMN(设计师对应店铺!A:B)+1,0)</f>
        <v>沪南店</v>
      </c>
      <c r="H32" s="39" t="s">
        <v>68</v>
      </c>
      <c r="I32" s="256">
        <f>COUNTIFS(总表!D:D,H32,总表!L:L,"&lt;&gt;",总表!E:E,$M$2,总表!E:E,$M$3)</f>
        <v>2</v>
      </c>
      <c r="J32" s="256">
        <f>SUMIFS(总表!N:N,总表!D:D,H32,总表!E:E,$M$2,总表!E:E,$M$3)</f>
        <v>24665</v>
      </c>
      <c r="K32" s="257">
        <f t="shared" si="1"/>
        <v>12332.5</v>
      </c>
      <c r="L32" s="263" t="str">
        <f>VLOOKUP(H32,设计师对应店铺!A:B,COLUMN(设计师对应店铺!B:B)-COLUMN(设计师对应店铺!A:B)+1,0)</f>
        <v>沪南店</v>
      </c>
      <c r="O32" s="39" t="s">
        <v>2381</v>
      </c>
      <c r="P32" s="256">
        <f>COUNTIFS(总表!D:D,O32,总表!L:L,"&lt;&gt;",总表!E:E,$T$2,总表!E:E,$T$3)</f>
        <v>4</v>
      </c>
      <c r="Q32" s="256">
        <f>SUMIFS(总表!N:N,总表!D:D,O32,总表!E:E,$T$2,总表!E:E,$T$3)</f>
        <v>21675</v>
      </c>
      <c r="R32" s="257">
        <f t="shared" si="2"/>
        <v>5418.75</v>
      </c>
      <c r="S32" s="263" t="str">
        <f>VLOOKUP(O32,设计师对应店铺!A:B,COLUMN(设计师对应店铺!B:B)-COLUMN(设计师对应店铺!A:B)+1,0)</f>
        <v>家饰佳</v>
      </c>
    </row>
    <row r="33" s="34" customFormat="1" spans="1:19">
      <c r="A33" s="38" t="s">
        <v>182</v>
      </c>
      <c r="B33" s="253">
        <f>COUNTIFS(总表!D:D,A33,总表!L:L,"&lt;&gt;",总表!E:E,$F$2,总表!E:E,$F$3)</f>
        <v>1</v>
      </c>
      <c r="C33" s="253">
        <f>SUMIFS(总表!N:N,总表!D:D,A33,总表!E:E,$F$2,总表!E:E,$F$3)</f>
        <v>17118</v>
      </c>
      <c r="D33" s="254">
        <f t="shared" si="0"/>
        <v>17118</v>
      </c>
      <c r="E33" s="264" t="str">
        <f>VLOOKUP(A33,设计师对应店铺!A:B,COLUMN(设计师对应店铺!B:B)-COLUMN(设计师对应店铺!A:B)+1,0)</f>
        <v>真北店</v>
      </c>
      <c r="H33" s="38" t="s">
        <v>7871</v>
      </c>
      <c r="I33" s="253">
        <f>COUNTIFS(总表!D:D,H33,总表!L:L,"&lt;&gt;",总表!E:E,$M$2,总表!E:E,$M$3)</f>
        <v>2</v>
      </c>
      <c r="J33" s="253">
        <f>SUMIFS(总表!N:N,总表!D:D,H33,总表!E:E,$M$2,总表!E:E,$M$3)</f>
        <v>24450</v>
      </c>
      <c r="K33" s="254">
        <f t="shared" si="1"/>
        <v>12225</v>
      </c>
      <c r="L33" s="264" t="str">
        <f>VLOOKUP(H33,设计师对应店铺!A:B,COLUMN(设计师对应店铺!B:B)-COLUMN(设计师对应店铺!A:B)+1,0)</f>
        <v>兴明店自配</v>
      </c>
      <c r="O33" s="38" t="s">
        <v>361</v>
      </c>
      <c r="P33" s="253">
        <f>COUNTIFS(总表!D:D,O33,总表!L:L,"&lt;&gt;",总表!E:E,$T$2,总表!E:E,$T$3)</f>
        <v>1</v>
      </c>
      <c r="Q33" s="253">
        <f>SUMIFS(总表!N:N,总表!D:D,O33,总表!E:E,$T$2,总表!E:E,$T$3)</f>
        <v>19937</v>
      </c>
      <c r="R33" s="254">
        <f t="shared" si="2"/>
        <v>19937</v>
      </c>
      <c r="S33" s="264" t="str">
        <f>VLOOKUP(O33,设计师对应店铺!A:B,COLUMN(设计师对应店铺!B:B)-COLUMN(设计师对应店铺!A:B)+1,0)</f>
        <v>美美家自配</v>
      </c>
    </row>
    <row r="34" s="34" customFormat="1" spans="1:19">
      <c r="A34" s="39" t="s">
        <v>407</v>
      </c>
      <c r="B34" s="256">
        <f>COUNTIFS(总表!D:D,A34,总表!L:L,"&lt;&gt;",总表!E:E,$F$2,总表!E:E,$F$3)</f>
        <v>1</v>
      </c>
      <c r="C34" s="256">
        <f>SUMIFS(总表!N:N,总表!D:D,A34,总表!E:E,$F$2,总表!E:E,$F$3)</f>
        <v>16856</v>
      </c>
      <c r="D34" s="257">
        <f t="shared" si="0"/>
        <v>16856</v>
      </c>
      <c r="E34" s="263" t="str">
        <f>VLOOKUP(A34,设计师对应店铺!A:B,COLUMN(设计师对应店铺!B:B)-COLUMN(设计师对应店铺!A:B)+1,0)</f>
        <v>嘉定店</v>
      </c>
      <c r="H34" s="39" t="s">
        <v>237</v>
      </c>
      <c r="I34" s="256">
        <f>COUNTIFS(总表!D:D,H34,总表!L:L,"&lt;&gt;",总表!E:E,$M$2,总表!E:E,$M$3)</f>
        <v>2</v>
      </c>
      <c r="J34" s="256">
        <f>SUMIFS(总表!N:N,总表!D:D,H34,总表!E:E,$M$2,总表!E:E,$M$3)</f>
        <v>19143</v>
      </c>
      <c r="K34" s="257">
        <f t="shared" si="1"/>
        <v>9571.5</v>
      </c>
      <c r="L34" s="263" t="str">
        <f>VLOOKUP(H34,设计师对应店铺!A:B,COLUMN(设计师对应店铺!B:B)-COLUMN(设计师对应店铺!A:B)+1,0)</f>
        <v>百安居</v>
      </c>
      <c r="O34" s="39" t="s">
        <v>1431</v>
      </c>
      <c r="P34" s="256">
        <f>COUNTIFS(总表!D:D,O34,总表!L:L,"&lt;&gt;",总表!E:E,$T$2,总表!E:E,$T$3)</f>
        <v>3</v>
      </c>
      <c r="Q34" s="256">
        <f>SUMIFS(总表!N:N,总表!D:D,O34,总表!E:E,$T$2,总表!E:E,$T$3)</f>
        <v>18536</v>
      </c>
      <c r="R34" s="257">
        <f t="shared" si="2"/>
        <v>6178.66666666667</v>
      </c>
      <c r="S34" s="263" t="str">
        <f>VLOOKUP(O34,设计师对应店铺!A:B,COLUMN(设计师对应店铺!B:B)-COLUMN(设计师对应店铺!A:B)+1,0)</f>
        <v>真北店</v>
      </c>
    </row>
    <row r="35" s="34" customFormat="1" spans="1:19">
      <c r="A35" s="38" t="s">
        <v>1436</v>
      </c>
      <c r="B35" s="253">
        <f>COUNTIFS(总表!D:D,A35,总表!L:L,"&lt;&gt;",总表!E:E,$F$2,总表!E:E,$F$3)</f>
        <v>0</v>
      </c>
      <c r="C35" s="253">
        <f>SUMIFS(总表!N:N,总表!D:D,A35,总表!E:E,$F$2,总表!E:E,$F$3)</f>
        <v>16362</v>
      </c>
      <c r="D35" s="254" t="e">
        <f t="shared" si="0"/>
        <v>#DIV/0!</v>
      </c>
      <c r="E35" s="264" t="str">
        <f>VLOOKUP(A35,设计师对应店铺!A:B,COLUMN(设计师对应店铺!B:B)-COLUMN(设计师对应店铺!A:B)+1,0)</f>
        <v>沪南店</v>
      </c>
      <c r="H35" s="38" t="s">
        <v>271</v>
      </c>
      <c r="I35" s="253">
        <f>COUNTIFS(总表!D:D,H35,总表!L:L,"&lt;&gt;",总表!E:E,$M$2,总表!E:E,$M$3)</f>
        <v>1</v>
      </c>
      <c r="J35" s="253">
        <f>SUMIFS(总表!N:N,总表!D:D,H35,总表!E:E,$M$2,总表!E:E,$M$3)</f>
        <v>19000</v>
      </c>
      <c r="K35" s="254">
        <f t="shared" si="1"/>
        <v>19000</v>
      </c>
      <c r="L35" s="264" t="str">
        <f>VLOOKUP(H35,设计师对应店铺!A:B,COLUMN(设计师对应店铺!B:B)-COLUMN(设计师对应店铺!A:B)+1,0)</f>
        <v>喜盈门</v>
      </c>
      <c r="O35" s="38" t="s">
        <v>149</v>
      </c>
      <c r="P35" s="253">
        <f>COUNTIFS(总表!D:D,O35,总表!L:L,"&lt;&gt;",总表!E:E,$T$2,总表!E:E,$T$3)</f>
        <v>1</v>
      </c>
      <c r="Q35" s="253">
        <f>SUMIFS(总表!N:N,总表!D:D,O35,总表!E:E,$T$2,总表!E:E,$T$3)</f>
        <v>7963.52</v>
      </c>
      <c r="R35" s="254">
        <f t="shared" si="2"/>
        <v>7963.52</v>
      </c>
      <c r="S35" s="264" t="str">
        <f>VLOOKUP(O35,设计师对应店铺!A:B,COLUMN(设计师对应店铺!B:B)-COLUMN(设计师对应店铺!A:B)+1,0)</f>
        <v>百安居</v>
      </c>
    </row>
    <row r="36" s="34" customFormat="1" spans="1:19">
      <c r="A36" s="39" t="s">
        <v>427</v>
      </c>
      <c r="B36" s="256">
        <f>COUNTIFS(总表!D:D,A36,总表!L:L,"&lt;&gt;",总表!E:E,$F$2,总表!E:E,$F$3)</f>
        <v>1</v>
      </c>
      <c r="C36" s="256">
        <f>SUMIFS(总表!N:N,总表!D:D,A36,总表!E:E,$F$2,总表!E:E,$F$3)</f>
        <v>16327</v>
      </c>
      <c r="D36" s="257">
        <f t="shared" si="0"/>
        <v>16327</v>
      </c>
      <c r="E36" s="263" t="str">
        <f>VLOOKUP(A36,设计师对应店铺!A:B,COLUMN(设计师对应店铺!B:B)-COLUMN(设计师对应店铺!A:B)+1,0)</f>
        <v>百家宜</v>
      </c>
      <c r="H36" s="39" t="s">
        <v>635</v>
      </c>
      <c r="I36" s="256">
        <f>COUNTIFS(总表!D:D,H36,总表!L:L,"&lt;&gt;",总表!E:E,$M$2,总表!E:E,$M$3)</f>
        <v>2</v>
      </c>
      <c r="J36" s="256">
        <f>SUMIFS(总表!N:N,总表!D:D,H36,总表!E:E,$M$2,总表!E:E,$M$3)</f>
        <v>18182</v>
      </c>
      <c r="K36" s="257">
        <f t="shared" si="1"/>
        <v>9091</v>
      </c>
      <c r="L36" s="263" t="str">
        <f>VLOOKUP(H36,设计师对应店铺!A:B,COLUMN(设计师对应店铺!B:B)-COLUMN(设计师对应店铺!A:B)+1,0)</f>
        <v>家饰佳、兴力达</v>
      </c>
      <c r="O36" s="39" t="s">
        <v>954</v>
      </c>
      <c r="P36" s="256">
        <f>COUNTIFS(总表!D:D,O36,总表!L:L,"&lt;&gt;",总表!E:E,$T$2,总表!E:E,$T$3)</f>
        <v>1</v>
      </c>
      <c r="Q36" s="256">
        <f>SUMIFS(总表!N:N,总表!D:D,O36,总表!E:E,$T$2,总表!E:E,$T$3)</f>
        <v>7931</v>
      </c>
      <c r="R36" s="257">
        <f t="shared" si="2"/>
        <v>7931</v>
      </c>
      <c r="S36" s="263" t="str">
        <f>VLOOKUP(O36,设计师对应店铺!A:B,COLUMN(设计师对应店铺!B:B)-COLUMN(设计师对应店铺!A:B)+1,0)</f>
        <v>汶水店</v>
      </c>
    </row>
    <row r="37" s="34" customFormat="1" spans="1:19">
      <c r="A37" s="38" t="s">
        <v>33</v>
      </c>
      <c r="B37" s="253">
        <f>COUNTIFS(总表!D:D,A37,总表!L:L,"&lt;&gt;",总表!E:E,$F$2,总表!E:E,$F$3)</f>
        <v>1</v>
      </c>
      <c r="C37" s="253">
        <f>SUMIFS(总表!N:N,总表!D:D,A37,总表!E:E,$F$2,总表!E:E,$F$3)</f>
        <v>13010</v>
      </c>
      <c r="D37" s="254">
        <f t="shared" si="0"/>
        <v>13010</v>
      </c>
      <c r="E37" s="264" t="str">
        <f>VLOOKUP(A37,设计师对应店铺!A:B,COLUMN(设计师对应店铺!B:B)-COLUMN(设计师对应店铺!A:B)+1,0)</f>
        <v>汶水店</v>
      </c>
      <c r="H37" s="38" t="s">
        <v>19871</v>
      </c>
      <c r="I37" s="253">
        <f>COUNTIFS(总表!D:D,H37,总表!L:L,"&lt;&gt;",总表!E:E,$M$2,总表!E:E,$M$3)</f>
        <v>2</v>
      </c>
      <c r="J37" s="253">
        <f>SUMIFS(总表!N:N,总表!D:D,H37,总表!E:E,$M$2,总表!E:E,$M$3)</f>
        <v>15908</v>
      </c>
      <c r="K37" s="254">
        <f t="shared" si="1"/>
        <v>7954</v>
      </c>
      <c r="L37" s="264" t="str">
        <f>VLOOKUP(H37,设计师对应店铺!A:B,COLUMN(设计师对应店铺!B:B)-COLUMN(设计师对应店铺!A:B)+1,0)</f>
        <v>松江店自配</v>
      </c>
      <c r="O37" s="38" t="s">
        <v>7871</v>
      </c>
      <c r="P37" s="253">
        <f>COUNTIFS(总表!D:D,O37,总表!L:L,"&lt;&gt;",总表!E:E,$T$2,总表!E:E,$T$3)</f>
        <v>1</v>
      </c>
      <c r="Q37" s="253">
        <f>SUMIFS(总表!N:N,总表!D:D,O37,总表!E:E,$T$2,总表!E:E,$T$3)</f>
        <v>5393</v>
      </c>
      <c r="R37" s="254">
        <f t="shared" si="2"/>
        <v>5393</v>
      </c>
      <c r="S37" s="264" t="str">
        <f>VLOOKUP(O37,设计师对应店铺!A:B,COLUMN(设计师对应店铺!B:B)-COLUMN(设计师对应店铺!A:B)+1,0)</f>
        <v>兴明店自配</v>
      </c>
    </row>
    <row r="38" s="34" customFormat="1" spans="1:19">
      <c r="A38" s="39" t="s">
        <v>717</v>
      </c>
      <c r="B38" s="256">
        <f>COUNTIFS(总表!D:D,A38,总表!L:L,"&lt;&gt;",总表!E:E,$F$2,总表!E:E,$F$3)</f>
        <v>1</v>
      </c>
      <c r="C38" s="256">
        <f>SUMIFS(总表!N:N,总表!D:D,A38,总表!E:E,$F$2,总表!E:E,$F$3)</f>
        <v>7256</v>
      </c>
      <c r="D38" s="257">
        <f t="shared" si="0"/>
        <v>7256</v>
      </c>
      <c r="E38" s="263">
        <f>VLOOKUP(A38,设计师对应店铺!A:B,COLUMN(设计师对应店铺!B:B)-COLUMN(设计师对应店铺!A:B)+1,0)</f>
        <v>0</v>
      </c>
      <c r="H38" s="39" t="s">
        <v>1170</v>
      </c>
      <c r="I38" s="256">
        <f>COUNTIFS(总表!D:D,H38,总表!L:L,"&lt;&gt;",总表!E:E,$M$2,总表!E:E,$M$3)</f>
        <v>1</v>
      </c>
      <c r="J38" s="256">
        <f>SUMIFS(总表!N:N,总表!D:D,H38,总表!E:E,$M$2,总表!E:E,$M$3)</f>
        <v>9700</v>
      </c>
      <c r="K38" s="257">
        <f t="shared" si="1"/>
        <v>9700</v>
      </c>
      <c r="L38" s="263" t="str">
        <f>VLOOKUP(H38,设计师对应店铺!A:B,COLUMN(设计师对应店铺!B:B)-COLUMN(设计师对应店铺!A:B)+1,0)</f>
        <v>百安居</v>
      </c>
      <c r="O38" s="39" t="s">
        <v>237</v>
      </c>
      <c r="P38" s="256">
        <f>COUNTIFS(总表!D:D,O38,总表!L:L,"&lt;&gt;",总表!E:E,$T$2,总表!E:E,$T$3)</f>
        <v>1</v>
      </c>
      <c r="Q38" s="256">
        <f>SUMIFS(总表!N:N,总表!D:D,O38,总表!E:E,$T$2,总表!E:E,$T$3)</f>
        <v>1974</v>
      </c>
      <c r="R38" s="257">
        <f t="shared" si="2"/>
        <v>1974</v>
      </c>
      <c r="S38" s="263" t="str">
        <f>VLOOKUP(O38,设计师对应店铺!A:B,COLUMN(设计师对应店铺!B:B)-COLUMN(设计师对应店铺!A:B)+1,0)</f>
        <v>百安居</v>
      </c>
    </row>
    <row r="39" s="34" customFormat="1" spans="1:19">
      <c r="A39" s="38" t="s">
        <v>237</v>
      </c>
      <c r="B39" s="253">
        <f>COUNTIFS(总表!D:D,A39,总表!L:L,"&lt;&gt;",总表!E:E,$F$2,总表!E:E,$F$3)</f>
        <v>1</v>
      </c>
      <c r="C39" s="253">
        <f>SUMIFS(总表!N:N,总表!D:D,A39,总表!E:E,$F$2,总表!E:E,$F$3)</f>
        <v>1805</v>
      </c>
      <c r="D39" s="254">
        <f t="shared" si="0"/>
        <v>1805</v>
      </c>
      <c r="E39" s="264" t="str">
        <f>VLOOKUP(A39,设计师对应店铺!A:B,COLUMN(设计师对应店铺!B:B)-COLUMN(设计师对应店铺!A:B)+1,0)</f>
        <v>百安居</v>
      </c>
      <c r="H39" s="38" t="s">
        <v>427</v>
      </c>
      <c r="I39" s="253">
        <f>COUNTIFS(总表!D:D,H39,总表!L:L,"&lt;&gt;",总表!E:E,$M$2,总表!E:E,$M$3)</f>
        <v>4</v>
      </c>
      <c r="J39" s="253">
        <f>SUMIFS(总表!N:N,总表!D:D,H39,总表!E:E,$M$2,总表!E:E,$M$3)</f>
        <v>3899</v>
      </c>
      <c r="K39" s="254">
        <f t="shared" si="1"/>
        <v>974.75</v>
      </c>
      <c r="L39" s="264" t="str">
        <f>VLOOKUP(H39,设计师对应店铺!A:B,COLUMN(设计师对应店铺!B:B)-COLUMN(设计师对应店铺!A:B)+1,0)</f>
        <v>百家宜</v>
      </c>
      <c r="O39" s="38" t="s">
        <v>155</v>
      </c>
      <c r="P39" s="253">
        <f>COUNTIFS(总表!D:D,O39,总表!L:L,"&lt;&gt;",总表!E:E,$T$2,总表!E:E,$T$3)</f>
        <v>0</v>
      </c>
      <c r="Q39" s="253">
        <f>SUMIFS(总表!N:N,总表!D:D,O39,总表!E:E,$T$2,总表!E:E,$T$3)</f>
        <v>1650</v>
      </c>
      <c r="R39" s="254" t="e">
        <f t="shared" si="2"/>
        <v>#DIV/0!</v>
      </c>
      <c r="S39" s="264" t="str">
        <f>VLOOKUP(O39,设计师对应店铺!A:B,COLUMN(设计师对应店铺!B:B)-COLUMN(设计师对应店铺!A:B)+1,0)</f>
        <v>好饰家</v>
      </c>
    </row>
    <row r="40" s="34" customFormat="1" spans="1:19">
      <c r="A40" s="39" t="s">
        <v>143</v>
      </c>
      <c r="B40" s="256">
        <f>COUNTIFS(总表!D:D,A40,总表!L:L,"&lt;&gt;",总表!E:E,$F$2,总表!E:E,$F$3)</f>
        <v>0</v>
      </c>
      <c r="C40" s="256">
        <f>SUMIFS(总表!N:N,总表!D:D,A40,总表!E:E,$F$2,总表!E:E,$F$3)</f>
        <v>399</v>
      </c>
      <c r="D40" s="257" t="e">
        <f t="shared" si="0"/>
        <v>#DIV/0!</v>
      </c>
      <c r="E40" s="263" t="str">
        <f>VLOOKUP(A40,设计师对应店铺!A:B,COLUMN(设计师对应店铺!B:B)-COLUMN(设计师对应店铺!A:B)+1,0)</f>
        <v>沪南店店长</v>
      </c>
      <c r="H40" s="39" t="s">
        <v>132</v>
      </c>
      <c r="I40" s="256">
        <f>COUNTIFS(总表!D:D,H40,总表!L:L,"&lt;&gt;",总表!E:E,$M$2,总表!E:E,$M$3)</f>
        <v>0</v>
      </c>
      <c r="J40" s="256">
        <f>SUMIFS(总表!N:N,总表!D:D,H40,总表!E:E,$M$2,总表!E:E,$M$3)</f>
        <v>3376</v>
      </c>
      <c r="K40" s="257" t="e">
        <f t="shared" si="1"/>
        <v>#DIV/0!</v>
      </c>
      <c r="L40" s="263" t="str">
        <f>VLOOKUP(H40,设计师对应店铺!A:B,COLUMN(设计师对应店铺!B:B)-COLUMN(设计师对应店铺!A:B)+1,0)</f>
        <v>真北店</v>
      </c>
      <c r="O40" s="39" t="s">
        <v>427</v>
      </c>
      <c r="P40" s="256">
        <f>COUNTIFS(总表!D:D,O40,总表!L:L,"&lt;&gt;",总表!E:E,$T$2,总表!E:E,$T$3)</f>
        <v>0</v>
      </c>
      <c r="Q40" s="256">
        <f>SUMIFS(总表!N:N,总表!D:D,O40,总表!E:E,$T$2,总表!E:E,$T$3)</f>
        <v>1300</v>
      </c>
      <c r="R40" s="257" t="e">
        <f t="shared" si="2"/>
        <v>#DIV/0!</v>
      </c>
      <c r="S40" s="263" t="str">
        <f>VLOOKUP(O40,设计师对应店铺!A:B,COLUMN(设计师对应店铺!B:B)-COLUMN(设计师对应店铺!A:B)+1,0)</f>
        <v>百家宜</v>
      </c>
    </row>
    <row r="41" s="34" customFormat="1" spans="1:19">
      <c r="A41" s="38" t="s">
        <v>1170</v>
      </c>
      <c r="B41" s="253">
        <f>COUNTIFS(总表!D:D,A41,总表!L:L,"&lt;&gt;",总表!E:E,$F$2,总表!E:E,$F$3)</f>
        <v>0</v>
      </c>
      <c r="C41" s="253">
        <f>SUMIFS(总表!N:N,总表!D:D,A41,总表!E:E,$F$2,总表!E:E,$F$3)</f>
        <v>8</v>
      </c>
      <c r="D41" s="254" t="e">
        <f t="shared" si="0"/>
        <v>#DIV/0!</v>
      </c>
      <c r="E41" s="264" t="str">
        <f>VLOOKUP(A41,设计师对应店铺!A:B,COLUMN(设计师对应店铺!B:B)-COLUMN(设计师对应店铺!A:B)+1,0)</f>
        <v>百安居</v>
      </c>
      <c r="H41" s="38" t="s">
        <v>717</v>
      </c>
      <c r="I41" s="253">
        <f>COUNTIFS(总表!D:D,H41,总表!L:L,"&lt;&gt;",总表!E:E,$M$2,总表!E:E,$M$3)</f>
        <v>0</v>
      </c>
      <c r="J41" s="253">
        <f>SUMIFS(总表!N:N,总表!D:D,H41,总表!E:E,$M$2,总表!E:E,$M$3)</f>
        <v>1682</v>
      </c>
      <c r="K41" s="254" t="e">
        <f t="shared" si="1"/>
        <v>#DIV/0!</v>
      </c>
      <c r="L41" s="264">
        <f>VLOOKUP(H41,设计师对应店铺!A:B,COLUMN(设计师对应店铺!B:B)-COLUMN(设计师对应店铺!A:B)+1,0)</f>
        <v>0</v>
      </c>
      <c r="O41" s="38" t="s">
        <v>19871</v>
      </c>
      <c r="P41" s="253">
        <f>COUNTIFS(总表!D:D,O41,总表!L:L,"&lt;&gt;",总表!E:E,$T$2,总表!E:E,$T$3)</f>
        <v>0</v>
      </c>
      <c r="Q41" s="253">
        <f>SUMIFS(总表!N:N,总表!D:D,O41,总表!E:E,$T$2,总表!E:E,$T$3)</f>
        <v>0</v>
      </c>
      <c r="R41" s="254" t="e">
        <f t="shared" si="2"/>
        <v>#DIV/0!</v>
      </c>
      <c r="S41" s="264" t="str">
        <f>VLOOKUP(O41,设计师对应店铺!A:B,COLUMN(设计师对应店铺!B:B)-COLUMN(设计师对应店铺!A:B)+1,0)</f>
        <v>松江店自配</v>
      </c>
    </row>
    <row r="42" s="34" customFormat="1" spans="1:19">
      <c r="A42" s="39" t="s">
        <v>20101</v>
      </c>
      <c r="B42" s="256">
        <f>COUNTIFS(总表!D:D,A42,总表!L:L,"&lt;&gt;",总表!E:E,$F$2,总表!E:E,$F$3)</f>
        <v>0</v>
      </c>
      <c r="C42" s="256">
        <f>SUMIFS(总表!N:N,总表!D:D,A42,总表!E:E,$F$2,总表!E:E,$F$3)</f>
        <v>0</v>
      </c>
      <c r="D42" s="257" t="e">
        <f t="shared" si="0"/>
        <v>#DIV/0!</v>
      </c>
      <c r="E42" s="263" t="e">
        <f>VLOOKUP(A42,设计师对应店铺!A:B,COLUMN(设计师对应店铺!B:B)-COLUMN(设计师对应店铺!A:B)+1,0)</f>
        <v>#N/A</v>
      </c>
      <c r="H42" s="39" t="s">
        <v>143</v>
      </c>
      <c r="I42" s="256">
        <f>COUNTIFS(总表!D:D,H42,总表!L:L,"&lt;&gt;",总表!E:E,$M$2,总表!E:E,$M$3)</f>
        <v>0</v>
      </c>
      <c r="J42" s="256">
        <f>SUMIFS(总表!N:N,总表!D:D,H42,总表!E:E,$M$2,总表!E:E,$M$3)</f>
        <v>370</v>
      </c>
      <c r="K42" s="257" t="e">
        <f t="shared" si="1"/>
        <v>#DIV/0!</v>
      </c>
      <c r="L42" s="263" t="str">
        <f>VLOOKUP(H42,设计师对应店铺!A:B,COLUMN(设计师对应店铺!B:B)-COLUMN(设计师对应店铺!A:B)+1,0)</f>
        <v>沪南店店长</v>
      </c>
      <c r="O42" s="39" t="s">
        <v>1170</v>
      </c>
      <c r="P42" s="256">
        <f>COUNTIFS(总表!D:D,O42,总表!L:L,"&lt;&gt;",总表!E:E,$T$2,总表!E:E,$T$3)</f>
        <v>0</v>
      </c>
      <c r="Q42" s="256">
        <f>SUMIFS(总表!N:N,总表!D:D,O42,总表!E:E,$T$2,总表!E:E,$T$3)</f>
        <v>0</v>
      </c>
      <c r="R42" s="257" t="e">
        <f t="shared" si="2"/>
        <v>#DIV/0!</v>
      </c>
      <c r="S42" s="263" t="str">
        <f>VLOOKUP(O42,设计师对应店铺!A:B,COLUMN(设计师对应店铺!B:B)-COLUMN(设计师对应店铺!A:B)+1,0)</f>
        <v>百安居</v>
      </c>
    </row>
    <row r="43" s="34" customFormat="1" spans="1:19">
      <c r="A43" s="38" t="s">
        <v>7871</v>
      </c>
      <c r="B43" s="253">
        <f>COUNTIFS(总表!D:D,A43,总表!L:L,"&lt;&gt;",总表!E:E,$F$2,总表!E:E,$F$3)</f>
        <v>0</v>
      </c>
      <c r="C43" s="253">
        <f>SUMIFS(总表!N:N,总表!D:D,A43,总表!E:E,$F$2,总表!E:E,$F$3)</f>
        <v>0</v>
      </c>
      <c r="D43" s="254" t="e">
        <f t="shared" si="0"/>
        <v>#DIV/0!</v>
      </c>
      <c r="E43" s="264" t="str">
        <f>VLOOKUP(A43,设计师对应店铺!A:B,COLUMN(设计师对应店铺!B:B)-COLUMN(设计师对应店铺!A:B)+1,0)</f>
        <v>兴明店自配</v>
      </c>
      <c r="H43" s="38" t="s">
        <v>182</v>
      </c>
      <c r="I43" s="253">
        <f>COUNTIFS(总表!D:D,H43,总表!L:L,"&lt;&gt;",总表!E:E,$M$2,总表!E:E,$M$3)</f>
        <v>0</v>
      </c>
      <c r="J43" s="253">
        <f>SUMIFS(总表!N:N,总表!D:D,H43,总表!E:E,$M$2,总表!E:E,$M$3)</f>
        <v>307</v>
      </c>
      <c r="K43" s="254" t="e">
        <f t="shared" si="1"/>
        <v>#DIV/0!</v>
      </c>
      <c r="L43" s="264" t="str">
        <f>VLOOKUP(H43,设计师对应店铺!A:B,COLUMN(设计师对应店铺!B:B)-COLUMN(设计师对应店铺!A:B)+1,0)</f>
        <v>真北店</v>
      </c>
      <c r="O43" s="38" t="s">
        <v>717</v>
      </c>
      <c r="P43" s="253">
        <f>COUNTIFS(总表!D:D,O43,总表!L:L,"&lt;&gt;",总表!E:E,$T$2,总表!E:E,$T$3)</f>
        <v>0</v>
      </c>
      <c r="Q43" s="253">
        <f>SUMIFS(总表!N:N,总表!D:D,O43,总表!E:E,$T$2,总表!E:E,$T$3)</f>
        <v>0</v>
      </c>
      <c r="R43" s="254" t="e">
        <f t="shared" si="2"/>
        <v>#DIV/0!</v>
      </c>
      <c r="S43" s="264">
        <f>VLOOKUP(O43,设计师对应店铺!A:B,COLUMN(设计师对应店铺!B:B)-COLUMN(设计师对应店铺!A:B)+1,0)</f>
        <v>0</v>
      </c>
    </row>
    <row r="44" s="34" customFormat="1" spans="1:19">
      <c r="A44" s="39" t="s">
        <v>19705</v>
      </c>
      <c r="B44" s="256">
        <f>COUNTIFS(总表!D:D,A44,总表!L:L,"&lt;&gt;",总表!E:E,$F$2,总表!E:E,$F$3)</f>
        <v>0</v>
      </c>
      <c r="C44" s="256">
        <f>SUMIFS(总表!N:N,总表!D:D,A44,总表!E:E,$F$2,总表!E:E,$F$3)</f>
        <v>0</v>
      </c>
      <c r="D44" s="257" t="e">
        <f t="shared" si="0"/>
        <v>#DIV/0!</v>
      </c>
      <c r="E44" s="263" t="e">
        <f>VLOOKUP(A44,设计师对应店铺!A:B,COLUMN(设计师对应店铺!B:B)-COLUMN(设计师对应店铺!A:B)+1,0)</f>
        <v>#N/A</v>
      </c>
      <c r="H44" s="39" t="s">
        <v>20101</v>
      </c>
      <c r="I44" s="256">
        <f>COUNTIFS(总表!D:D,H44,总表!L:L,"&lt;&gt;",总表!E:E,$M$2,总表!E:E,$M$3)</f>
        <v>0</v>
      </c>
      <c r="J44" s="256">
        <f>SUMIFS(总表!N:N,总表!D:D,H44,总表!E:E,$M$2,总表!E:E,$M$3)</f>
        <v>0</v>
      </c>
      <c r="K44" s="257" t="e">
        <f t="shared" si="1"/>
        <v>#DIV/0!</v>
      </c>
      <c r="L44" s="263" t="e">
        <f>VLOOKUP(H44,设计师对应店铺!A:B,COLUMN(设计师对应店铺!B:B)-COLUMN(设计师对应店铺!A:B)+1,0)</f>
        <v>#N/A</v>
      </c>
      <c r="O44" s="39" t="s">
        <v>143</v>
      </c>
      <c r="P44" s="256">
        <f>COUNTIFS(总表!D:D,O44,总表!L:L,"&lt;&gt;",总表!E:E,$T$2,总表!E:E,$T$3)</f>
        <v>0</v>
      </c>
      <c r="Q44" s="256">
        <f>SUMIFS(总表!N:N,总表!D:D,O44,总表!E:E,$T$2,总表!E:E,$T$3)</f>
        <v>0</v>
      </c>
      <c r="R44" s="257" t="e">
        <f t="shared" si="2"/>
        <v>#DIV/0!</v>
      </c>
      <c r="S44" s="263" t="str">
        <f>VLOOKUP(O44,设计师对应店铺!A:B,COLUMN(设计师对应店铺!B:B)-COLUMN(设计师对应店铺!A:B)+1,0)</f>
        <v>沪南店店长</v>
      </c>
    </row>
    <row r="45" s="34" customFormat="1" spans="1:19">
      <c r="A45" s="38" t="s">
        <v>19871</v>
      </c>
      <c r="B45" s="253">
        <f>COUNTIFS(总表!D:D,A45,总表!L:L,"&lt;&gt;",总表!E:E,$F$2,总表!E:E,$F$3)</f>
        <v>0</v>
      </c>
      <c r="C45" s="253">
        <f>SUMIFS(总表!N:N,总表!D:D,A45,总表!E:E,$F$2,总表!E:E,$F$3)</f>
        <v>0</v>
      </c>
      <c r="D45" s="254" t="e">
        <f t="shared" si="0"/>
        <v>#DIV/0!</v>
      </c>
      <c r="E45" s="264" t="str">
        <f>VLOOKUP(A45,设计师对应店铺!A:B,COLUMN(设计师对应店铺!B:B)-COLUMN(设计师对应店铺!A:B)+1,0)</f>
        <v>松江店自配</v>
      </c>
      <c r="H45" s="38" t="s">
        <v>19705</v>
      </c>
      <c r="I45" s="253">
        <f>COUNTIFS(总表!D:D,H45,总表!L:L,"&lt;&gt;",总表!E:E,$M$2,总表!E:E,$M$3)</f>
        <v>0</v>
      </c>
      <c r="J45" s="253">
        <f>SUMIFS(总表!N:N,总表!D:D,H45,总表!E:E,$M$2,总表!E:E,$M$3)</f>
        <v>0</v>
      </c>
      <c r="K45" s="254" t="e">
        <f t="shared" si="1"/>
        <v>#DIV/0!</v>
      </c>
      <c r="L45" s="264" t="e">
        <f>VLOOKUP(H45,设计师对应店铺!A:B,COLUMN(设计师对应店铺!B:B)-COLUMN(设计师对应店铺!A:B)+1,0)</f>
        <v>#N/A</v>
      </c>
      <c r="O45" s="38" t="s">
        <v>5695</v>
      </c>
      <c r="P45" s="253">
        <f>COUNTIFS(总表!D:D,O45,总表!L:L,"&lt;&gt;",总表!E:E,$T$2,总表!E:E,$T$3)</f>
        <v>0</v>
      </c>
      <c r="Q45" s="253">
        <f>SUMIFS(总表!N:N,总表!D:D,O45,总表!E:E,$T$2,总表!E:E,$T$3)</f>
        <v>0</v>
      </c>
      <c r="R45" s="254" t="e">
        <f t="shared" si="2"/>
        <v>#DIV/0!</v>
      </c>
      <c r="S45" s="264" t="str">
        <f>VLOOKUP(O45,设计师对应店铺!A:B,COLUMN(设计师对应店铺!B:B)-COLUMN(设计师对应店铺!A:B)+1,0)</f>
        <v>设计总监</v>
      </c>
    </row>
    <row r="46" s="34" customFormat="1" spans="1:19">
      <c r="A46" s="39" t="s">
        <v>5695</v>
      </c>
      <c r="B46" s="256">
        <f>COUNTIFS(总表!D:D,A46,总表!L:L,"&lt;&gt;",总表!E:E,$F$2,总表!E:E,$F$3)</f>
        <v>0</v>
      </c>
      <c r="C46" s="256">
        <f>SUMIFS(总表!N:N,总表!D:D,A46,总表!E:E,$F$2,总表!E:E,$F$3)</f>
        <v>0</v>
      </c>
      <c r="D46" s="257" t="e">
        <f t="shared" si="0"/>
        <v>#DIV/0!</v>
      </c>
      <c r="E46" s="263" t="str">
        <f>VLOOKUP(A46,设计师对应店铺!A:B,COLUMN(设计师对应店铺!B:B)-COLUMN(设计师对应店铺!A:B)+1,0)</f>
        <v>设计总监</v>
      </c>
      <c r="H46" s="39" t="s">
        <v>5695</v>
      </c>
      <c r="I46" s="256">
        <f>COUNTIFS(总表!D:D,H46,总表!L:L,"&lt;&gt;",总表!E:E,$M$2,总表!E:E,$M$3)</f>
        <v>0</v>
      </c>
      <c r="J46" s="256">
        <f>SUMIFS(总表!N:N,总表!D:D,H46,总表!E:E,$M$2,总表!E:E,$M$3)</f>
        <v>0</v>
      </c>
      <c r="K46" s="257" t="e">
        <f t="shared" si="1"/>
        <v>#DIV/0!</v>
      </c>
      <c r="L46" s="263" t="str">
        <f>VLOOKUP(H46,设计师对应店铺!A:B,COLUMN(设计师对应店铺!B:B)-COLUMN(设计师对应店铺!A:B)+1,0)</f>
        <v>设计总监</v>
      </c>
      <c r="O46" s="39" t="s">
        <v>75</v>
      </c>
      <c r="P46" s="256">
        <f>COUNTIFS(总表!D:D,O46,总表!L:L,"&lt;&gt;",总表!E:E,$T$2,总表!E:E,$T$3)</f>
        <v>0</v>
      </c>
      <c r="Q46" s="256">
        <f>SUMIFS(总表!N:N,总表!D:D,O46,总表!E:E,$T$2,总表!E:E,$T$3)</f>
        <v>-7382</v>
      </c>
      <c r="R46" s="257" t="e">
        <f t="shared" si="2"/>
        <v>#DIV/0!</v>
      </c>
      <c r="S46" s="263" t="str">
        <f>VLOOKUP(O46,设计师对应店铺!A:B,COLUMN(设计师对应店铺!B:B)-COLUMN(设计师对应店铺!A:B)+1,0)</f>
        <v>宜山经理</v>
      </c>
    </row>
    <row r="47" s="34" customFormat="1" spans="1:19">
      <c r="A47" s="38"/>
      <c r="B47" s="253"/>
      <c r="C47" s="253"/>
      <c r="D47" s="254"/>
      <c r="E47" s="264"/>
      <c r="H47" s="38"/>
      <c r="I47" s="253"/>
      <c r="J47" s="253"/>
      <c r="K47" s="254"/>
      <c r="L47" s="264"/>
      <c r="O47" s="38"/>
      <c r="P47" s="253"/>
      <c r="Q47" s="253"/>
      <c r="R47" s="254"/>
      <c r="S47" s="264"/>
    </row>
    <row r="48" s="34" customFormat="1" spans="1:19">
      <c r="A48" s="39"/>
      <c r="B48" s="256"/>
      <c r="C48" s="256"/>
      <c r="D48" s="257"/>
      <c r="E48" s="263"/>
      <c r="H48" s="39"/>
      <c r="I48" s="256"/>
      <c r="J48" s="256"/>
      <c r="K48" s="257"/>
      <c r="L48" s="263"/>
      <c r="O48" s="39"/>
      <c r="P48" s="256"/>
      <c r="Q48" s="256"/>
      <c r="R48" s="257"/>
      <c r="S48" s="263"/>
    </row>
    <row r="49" s="34" customFormat="1" spans="1:19">
      <c r="A49" s="38"/>
      <c r="B49" s="253"/>
      <c r="C49" s="253"/>
      <c r="D49" s="254"/>
      <c r="E49" s="264"/>
      <c r="H49" s="38"/>
      <c r="I49" s="253"/>
      <c r="J49" s="253"/>
      <c r="K49" s="254"/>
      <c r="L49" s="264"/>
      <c r="O49" s="38"/>
      <c r="P49" s="253"/>
      <c r="Q49" s="253"/>
      <c r="R49" s="254"/>
      <c r="S49" s="264"/>
    </row>
    <row r="50" s="34" customFormat="1" spans="1:19">
      <c r="A50" s="39"/>
      <c r="B50" s="256"/>
      <c r="C50" s="256"/>
      <c r="D50" s="257"/>
      <c r="E50" s="263"/>
      <c r="H50" s="39"/>
      <c r="I50" s="256"/>
      <c r="J50" s="256"/>
      <c r="K50" s="257"/>
      <c r="L50" s="263"/>
      <c r="O50" s="39"/>
      <c r="P50" s="256"/>
      <c r="Q50" s="256"/>
      <c r="R50" s="257"/>
      <c r="S50" s="263"/>
    </row>
    <row r="51" s="34" customFormat="1" spans="1:19">
      <c r="A51" s="38"/>
      <c r="B51" s="253"/>
      <c r="C51" s="253"/>
      <c r="D51" s="254"/>
      <c r="E51" s="264"/>
      <c r="H51" s="38"/>
      <c r="I51" s="253"/>
      <c r="J51" s="253"/>
      <c r="K51" s="254"/>
      <c r="L51" s="264"/>
      <c r="O51" s="38"/>
      <c r="P51" s="253"/>
      <c r="Q51" s="253"/>
      <c r="R51" s="254"/>
      <c r="S51" s="264"/>
    </row>
    <row r="52" s="34" customFormat="1" spans="1:19">
      <c r="A52" s="39"/>
      <c r="B52" s="256"/>
      <c r="C52" s="256"/>
      <c r="D52" s="257"/>
      <c r="E52" s="263"/>
      <c r="H52" s="39"/>
      <c r="I52" s="256"/>
      <c r="J52" s="256"/>
      <c r="K52" s="257"/>
      <c r="L52" s="263"/>
      <c r="O52" s="39"/>
      <c r="P52" s="256"/>
      <c r="Q52" s="256"/>
      <c r="R52" s="257"/>
      <c r="S52" s="263"/>
    </row>
    <row r="53" s="34" customFormat="1" spans="1:19">
      <c r="A53" s="38"/>
      <c r="B53" s="253"/>
      <c r="C53" s="253"/>
      <c r="D53" s="254"/>
      <c r="E53" s="264"/>
      <c r="H53" s="38"/>
      <c r="I53" s="253"/>
      <c r="J53" s="253"/>
      <c r="K53" s="254"/>
      <c r="L53" s="264"/>
      <c r="O53" s="38"/>
      <c r="P53" s="253"/>
      <c r="Q53" s="253"/>
      <c r="R53" s="254"/>
      <c r="S53" s="264"/>
    </row>
    <row r="54" s="34" customFormat="1" spans="1:19">
      <c r="A54" s="39"/>
      <c r="B54" s="256"/>
      <c r="C54" s="256"/>
      <c r="D54" s="257"/>
      <c r="E54" s="263"/>
      <c r="H54" s="39"/>
      <c r="I54" s="256"/>
      <c r="J54" s="256"/>
      <c r="K54" s="257"/>
      <c r="L54" s="263"/>
      <c r="O54" s="39"/>
      <c r="P54" s="256"/>
      <c r="Q54" s="256"/>
      <c r="R54" s="257"/>
      <c r="S54" s="263"/>
    </row>
    <row r="55" s="34" customFormat="1" spans="1:19">
      <c r="A55" s="38"/>
      <c r="B55" s="253"/>
      <c r="C55" s="253"/>
      <c r="D55" s="254"/>
      <c r="E55" s="264"/>
      <c r="H55" s="38"/>
      <c r="I55" s="253"/>
      <c r="J55" s="253"/>
      <c r="K55" s="254"/>
      <c r="L55" s="264"/>
      <c r="O55" s="38"/>
      <c r="P55" s="253"/>
      <c r="Q55" s="253"/>
      <c r="R55" s="254"/>
      <c r="S55" s="264"/>
    </row>
    <row r="56" s="34" customFormat="1" spans="1:19">
      <c r="A56" s="36"/>
      <c r="B56" s="265"/>
      <c r="C56" s="265"/>
      <c r="D56" s="266"/>
      <c r="E56" s="264"/>
      <c r="H56" s="39"/>
      <c r="I56" s="256"/>
      <c r="J56" s="256"/>
      <c r="K56" s="257"/>
      <c r="L56" s="263"/>
      <c r="O56" s="39"/>
      <c r="P56" s="256"/>
      <c r="Q56" s="256"/>
      <c r="R56" s="257"/>
      <c r="S56" s="263"/>
    </row>
    <row r="57" s="34" customFormat="1" spans="1:19">
      <c r="A57" s="36"/>
      <c r="B57" s="265"/>
      <c r="C57" s="265"/>
      <c r="D57" s="266"/>
      <c r="E57" s="266"/>
      <c r="H57" s="265"/>
      <c r="I57" s="265"/>
      <c r="J57" s="265"/>
      <c r="K57" s="266"/>
      <c r="L57" s="266"/>
      <c r="O57" s="252"/>
      <c r="P57" s="253"/>
      <c r="Q57" s="253"/>
      <c r="R57" s="254"/>
      <c r="S57" s="264"/>
    </row>
    <row r="58" s="34" customFormat="1" spans="1:19">
      <c r="A58" s="265"/>
      <c r="B58" s="265"/>
      <c r="C58" s="265"/>
      <c r="D58" s="266"/>
      <c r="E58" s="266"/>
      <c r="H58" s="265"/>
      <c r="I58" s="265"/>
      <c r="J58" s="265"/>
      <c r="K58" s="266"/>
      <c r="L58" s="266"/>
      <c r="O58" s="252"/>
      <c r="P58" s="253"/>
      <c r="Q58" s="253"/>
      <c r="R58" s="254"/>
      <c r="S58" s="264"/>
    </row>
    <row r="59" s="34" customFormat="1" spans="15:19">
      <c r="O59" s="252"/>
      <c r="P59" s="253"/>
      <c r="Q59" s="253"/>
      <c r="R59" s="254"/>
      <c r="S59" s="264"/>
    </row>
    <row r="60" s="34" customFormat="1" spans="1:6">
      <c r="A60" s="247" t="s">
        <v>21262</v>
      </c>
      <c r="B60" s="248"/>
      <c r="C60" s="248"/>
      <c r="D60" s="248"/>
      <c r="E60" s="250"/>
      <c r="F60" s="34" t="s">
        <v>21252</v>
      </c>
    </row>
    <row r="61" s="34" customFormat="1" spans="1:6">
      <c r="A61" s="261" t="s">
        <v>21234</v>
      </c>
      <c r="B61" s="261">
        <f>SUM(B63:B114)</f>
        <v>323</v>
      </c>
      <c r="C61" s="261">
        <f>SUM(C63:C114)</f>
        <v>5526839</v>
      </c>
      <c r="D61" s="262">
        <f>C61/B61</f>
        <v>17110.9566563467</v>
      </c>
      <c r="E61" s="262"/>
      <c r="F61" s="34" t="s">
        <v>21263</v>
      </c>
    </row>
    <row r="62" s="34" customFormat="1" spans="1:6">
      <c r="A62" s="252" t="s">
        <v>30</v>
      </c>
      <c r="B62" s="253" t="s">
        <v>21258</v>
      </c>
      <c r="C62" s="253" t="s">
        <v>10</v>
      </c>
      <c r="D62" s="253" t="s">
        <v>21242</v>
      </c>
      <c r="E62" s="255" t="s">
        <v>21243</v>
      </c>
      <c r="F62" s="34" t="s">
        <v>21264</v>
      </c>
    </row>
    <row r="63" s="34" customFormat="1" spans="1:5">
      <c r="A63" s="39" t="s">
        <v>37</v>
      </c>
      <c r="B63" s="256">
        <f>COUNTIFS(总表!D:D,A63,总表!L:L,"&lt;&gt;",总表!E:E,$F$61,总表!E:E,$F$62)</f>
        <v>11</v>
      </c>
      <c r="C63" s="256">
        <f>SUMIFS(总表!N:N,总表!D:D,A63,总表!E:E,$F$61,总表!E:E,$F$62)</f>
        <v>253843</v>
      </c>
      <c r="D63" s="257">
        <f t="shared" ref="D63:D105" si="3">C63/B63</f>
        <v>23076.6363636364</v>
      </c>
      <c r="E63" s="263" t="str">
        <f>VLOOKUP(A63,设计师对应店铺!A:B,COLUMN(设计师对应店铺!B:B)-COLUMN(设计师对应店铺!A:B)+1,0)</f>
        <v>浦江店</v>
      </c>
    </row>
    <row r="64" s="34" customFormat="1" spans="1:5">
      <c r="A64" s="38" t="s">
        <v>44</v>
      </c>
      <c r="B64" s="253">
        <f>COUNTIFS(总表!D:D,A64,总表!L:L,"&lt;&gt;",总表!E:E,$F$61,总表!E:E,$F$62)</f>
        <v>16</v>
      </c>
      <c r="C64" s="253">
        <f>SUMIFS(总表!N:N,总表!D:D,A64,总表!E:E,$F$61,总表!E:E,$F$62)</f>
        <v>291055</v>
      </c>
      <c r="D64" s="254">
        <f t="shared" si="3"/>
        <v>18190.9375</v>
      </c>
      <c r="E64" s="264" t="str">
        <f>VLOOKUP(A64,设计师对应店铺!A:B,COLUMN(设计师对应店铺!B:B)-COLUMN(设计师对应店铺!A:B)+1,0)</f>
        <v>金桥店、百安居</v>
      </c>
    </row>
    <row r="65" s="34" customFormat="1" spans="1:5">
      <c r="A65" s="39" t="s">
        <v>407</v>
      </c>
      <c r="B65" s="256">
        <f>COUNTIFS(总表!D:D,A65,总表!L:L,"&lt;&gt;",总表!E:E,$F$61,总表!E:E,$F$62)</f>
        <v>5</v>
      </c>
      <c r="C65" s="256">
        <f>SUMIFS(总表!N:N,总表!D:D,A65,总表!E:E,$F$61,总表!E:E,$F$62)</f>
        <v>146341</v>
      </c>
      <c r="D65" s="257">
        <f t="shared" si="3"/>
        <v>29268.2</v>
      </c>
      <c r="E65" s="263" t="str">
        <f>VLOOKUP(A65,设计师对应店铺!A:B,COLUMN(设计师对应店铺!B:B)-COLUMN(设计师对应店铺!A:B)+1,0)</f>
        <v>嘉定店</v>
      </c>
    </row>
    <row r="66" s="34" customFormat="1" spans="1:5">
      <c r="A66" s="38" t="s">
        <v>518</v>
      </c>
      <c r="B66" s="253">
        <f>COUNTIFS(总表!D:D,A66,总表!L:L,"&lt;&gt;",总表!E:E,$F$61,总表!E:E,$F$62)</f>
        <v>8</v>
      </c>
      <c r="C66" s="253">
        <f>SUMIFS(总表!N:N,总表!D:D,A66,总表!E:E,$F$61,总表!E:E,$F$62)</f>
        <v>207525</v>
      </c>
      <c r="D66" s="254">
        <f t="shared" si="3"/>
        <v>25940.625</v>
      </c>
      <c r="E66" s="264" t="str">
        <f>VLOOKUP(A66,设计师对应店铺!A:B,COLUMN(设计师对应店铺!B:B)-COLUMN(设计师对应店铺!A:B)+1,0)</f>
        <v>奉贤店</v>
      </c>
    </row>
    <row r="67" s="34" customFormat="1" spans="1:5">
      <c r="A67" s="39" t="s">
        <v>343</v>
      </c>
      <c r="B67" s="256">
        <f>COUNTIFS(总表!D:D,A67,总表!L:L,"&lt;&gt;",总表!E:E,$F$61,总表!E:E,$F$62)</f>
        <v>15</v>
      </c>
      <c r="C67" s="256">
        <f>SUMIFS(总表!N:N,总表!D:D,A67,总表!E:E,$F$61,总表!E:E,$F$62)</f>
        <v>399419</v>
      </c>
      <c r="D67" s="257">
        <f t="shared" si="3"/>
        <v>26627.9333333333</v>
      </c>
      <c r="E67" s="263" t="str">
        <f>VLOOKUP(A67,设计师对应店铺!A:B,COLUMN(设计师对应店铺!B:B)-COLUMN(设计师对应店铺!A:B)+1,0)</f>
        <v>喜盈门</v>
      </c>
    </row>
    <row r="68" s="34" customFormat="1" spans="1:5">
      <c r="A68" s="38" t="s">
        <v>2302</v>
      </c>
      <c r="B68" s="253">
        <f>COUNTIFS(总表!D:D,A68,总表!L:L,"&lt;&gt;",总表!E:E,$F$61,总表!E:E,$F$62)</f>
        <v>15</v>
      </c>
      <c r="C68" s="253">
        <f>SUMIFS(总表!N:N,总表!D:D,A68,总表!E:E,$F$61,总表!E:E,$F$62)</f>
        <v>184536</v>
      </c>
      <c r="D68" s="254">
        <f t="shared" si="3"/>
        <v>12302.4</v>
      </c>
      <c r="E68" s="264" t="str">
        <f>VLOOKUP(A68,设计师对应店铺!A:B,COLUMN(设计师对应店铺!B:B)-COLUMN(设计师对应店铺!A:B)+1,0)</f>
        <v>沪南店</v>
      </c>
    </row>
    <row r="69" s="34" customFormat="1" spans="1:5">
      <c r="A69" s="39" t="s">
        <v>635</v>
      </c>
      <c r="B69" s="256">
        <f>COUNTIFS(总表!D:D,A69,总表!L:L,"&lt;&gt;",总表!E:E,$F$61,总表!E:E,$F$62)</f>
        <v>9</v>
      </c>
      <c r="C69" s="256">
        <f>SUMIFS(总表!N:N,总表!D:D,A69,总表!E:E,$F$61,总表!E:E,$F$62)</f>
        <v>208344</v>
      </c>
      <c r="D69" s="257">
        <f t="shared" si="3"/>
        <v>23149.3333333333</v>
      </c>
      <c r="E69" s="263" t="str">
        <f>VLOOKUP(A69,设计师对应店铺!A:B,COLUMN(设计师对应店铺!B:B)-COLUMN(设计师对应店铺!A:B)+1,0)</f>
        <v>家饰佳、兴力达</v>
      </c>
    </row>
    <row r="70" s="34" customFormat="1" spans="1:5">
      <c r="A70" s="38" t="s">
        <v>49</v>
      </c>
      <c r="B70" s="253">
        <f>COUNTIFS(总表!D:D,A70,总表!L:L,"&lt;&gt;",总表!E:E,$F$61,总表!E:E,$F$62)</f>
        <v>14</v>
      </c>
      <c r="C70" s="253">
        <f>SUMIFS(总表!N:N,总表!D:D,A70,总表!E:E,$F$61,总表!E:E,$F$62)</f>
        <v>159145</v>
      </c>
      <c r="D70" s="254">
        <f t="shared" si="3"/>
        <v>11367.5</v>
      </c>
      <c r="E70" s="264" t="str">
        <f>VLOOKUP(A70,设计师对应店铺!A:B,COLUMN(设计师对应店铺!B:B)-COLUMN(设计师对应店铺!A:B)+1,0)</f>
        <v>奉贤、金山、南汇、松江</v>
      </c>
    </row>
    <row r="71" s="34" customFormat="1" spans="1:5">
      <c r="A71" s="39" t="s">
        <v>2381</v>
      </c>
      <c r="B71" s="256">
        <f>COUNTIFS(总表!D:D,A71,总表!L:L,"&lt;&gt;",总表!E:E,$F$61,总表!E:E,$F$62)</f>
        <v>13</v>
      </c>
      <c r="C71" s="256">
        <f>SUMIFS(总表!N:N,总表!D:D,A71,总表!E:E,$F$61,总表!E:E,$F$62)</f>
        <v>175994</v>
      </c>
      <c r="D71" s="257">
        <f t="shared" si="3"/>
        <v>13538</v>
      </c>
      <c r="E71" s="263" t="str">
        <f>VLOOKUP(A71,设计师对应店铺!A:B,COLUMN(设计师对应店铺!B:B)-COLUMN(设计师对应店铺!A:B)+1,0)</f>
        <v>家饰佳</v>
      </c>
    </row>
    <row r="72" s="34" customFormat="1" spans="1:5">
      <c r="A72" s="38" t="s">
        <v>110</v>
      </c>
      <c r="B72" s="253">
        <f>COUNTIFS(总表!D:D,A72,总表!L:L,"&lt;&gt;",总表!E:E,$F$61,总表!E:E,$F$62)</f>
        <v>23</v>
      </c>
      <c r="C72" s="253">
        <f>SUMIFS(总表!N:N,总表!D:D,A72,总表!E:E,$F$61,总表!E:E,$F$62)</f>
        <v>341800</v>
      </c>
      <c r="D72" s="254">
        <f t="shared" si="3"/>
        <v>14860.8695652174</v>
      </c>
      <c r="E72" s="264" t="str">
        <f>VLOOKUP(A72,设计师对应店铺!A:B,COLUMN(设计师对应店铺!B:B)-COLUMN(设计师对应店铺!A:B)+1,0)</f>
        <v>喜盈门</v>
      </c>
    </row>
    <row r="73" s="34" customFormat="1" spans="1:5">
      <c r="A73" s="39" t="s">
        <v>187</v>
      </c>
      <c r="B73" s="256">
        <f>COUNTIFS(总表!D:D,A73,总表!L:L,"&lt;&gt;",总表!E:E,$F$61,总表!E:E,$F$62)</f>
        <v>10</v>
      </c>
      <c r="C73" s="256">
        <f>SUMIFS(总表!N:N,总表!D:D,A73,总表!E:E,$F$61,总表!E:E,$F$62)</f>
        <v>226609</v>
      </c>
      <c r="D73" s="257">
        <f t="shared" si="3"/>
        <v>22660.9</v>
      </c>
      <c r="E73" s="263" t="str">
        <f>VLOOKUP(A73,设计师对应店铺!A:B,COLUMN(设计师对应店铺!B:B)-COLUMN(设计师对应店铺!A:B)+1,0)</f>
        <v>百家宜</v>
      </c>
    </row>
    <row r="74" s="34" customFormat="1" spans="1:5">
      <c r="A74" s="38" t="s">
        <v>271</v>
      </c>
      <c r="B74" s="253">
        <f>COUNTIFS(总表!D:D,A74,总表!L:L,"&lt;&gt;",总表!E:E,$F$61,总表!E:E,$F$62)</f>
        <v>18</v>
      </c>
      <c r="C74" s="253">
        <f>SUMIFS(总表!N:N,总表!D:D,A74,总表!E:E,$F$61,总表!E:E,$F$62)</f>
        <v>194768</v>
      </c>
      <c r="D74" s="254">
        <f t="shared" si="3"/>
        <v>10820.4444444444</v>
      </c>
      <c r="E74" s="264" t="str">
        <f>VLOOKUP(A74,设计师对应店铺!A:B,COLUMN(设计师对应店铺!B:B)-COLUMN(设计师对应店铺!A:B)+1,0)</f>
        <v>喜盈门</v>
      </c>
    </row>
    <row r="75" s="34" customFormat="1" spans="1:5">
      <c r="A75" s="39" t="s">
        <v>1436</v>
      </c>
      <c r="B75" s="256">
        <f>COUNTIFS(总表!D:D,A75,总表!L:L,"&lt;&gt;",总表!E:E,$F$61,总表!E:E,$F$62)</f>
        <v>11</v>
      </c>
      <c r="C75" s="256">
        <f>SUMIFS(总表!N:N,总表!D:D,A75,总表!E:E,$F$61,总表!E:E,$F$62)</f>
        <v>157779</v>
      </c>
      <c r="D75" s="257">
        <f t="shared" si="3"/>
        <v>14343.5454545455</v>
      </c>
      <c r="E75" s="263" t="str">
        <f>VLOOKUP(A75,设计师对应店铺!A:B,COLUMN(设计师对应店铺!B:B)-COLUMN(设计师对应店铺!A:B)+1,0)</f>
        <v>沪南店</v>
      </c>
    </row>
    <row r="76" s="34" customFormat="1" spans="1:5">
      <c r="A76" s="38" t="s">
        <v>68</v>
      </c>
      <c r="B76" s="253">
        <f>COUNTIFS(总表!D:D,A76,总表!L:L,"&lt;&gt;",总表!E:E,$F$61,总表!E:E,$F$62)</f>
        <v>6</v>
      </c>
      <c r="C76" s="253">
        <f>SUMIFS(总表!N:N,总表!D:D,A76,总表!E:E,$F$61,总表!E:E,$F$62)</f>
        <v>182720</v>
      </c>
      <c r="D76" s="254">
        <f t="shared" si="3"/>
        <v>30453.3333333333</v>
      </c>
      <c r="E76" s="264" t="str">
        <f>VLOOKUP(A76,设计师对应店铺!A:B,COLUMN(设计师对应店铺!B:B)-COLUMN(设计师对应店铺!A:B)+1,0)</f>
        <v>沪南店</v>
      </c>
    </row>
    <row r="77" s="34" customFormat="1" spans="1:5">
      <c r="A77" s="39" t="s">
        <v>162</v>
      </c>
      <c r="B77" s="256">
        <f>COUNTIFS(总表!D:D,A77,总表!L:L,"&lt;&gt;",总表!E:E,$F$61,总表!E:E,$F$62)</f>
        <v>5</v>
      </c>
      <c r="C77" s="256">
        <f>SUMIFS(总表!N:N,总表!D:D,A77,总表!E:E,$F$61,总表!E:E,$F$62)</f>
        <v>76100</v>
      </c>
      <c r="D77" s="257">
        <f t="shared" si="3"/>
        <v>15220</v>
      </c>
      <c r="E77" s="263" t="str">
        <f>VLOOKUP(A77,设计师对应店铺!A:B,COLUMN(设计师对应店铺!B:B)-COLUMN(设计师对应店铺!A:B)+1,0)</f>
        <v>真北店</v>
      </c>
    </row>
    <row r="78" s="34" customFormat="1" spans="1:5">
      <c r="A78" s="38" t="s">
        <v>89</v>
      </c>
      <c r="B78" s="253">
        <f>COUNTIFS(总表!D:D,A78,总表!L:L,"&lt;&gt;",总表!E:E,$F$61,总表!E:E,$F$62)</f>
        <v>14</v>
      </c>
      <c r="C78" s="253">
        <f>SUMIFS(总表!N:N,总表!D:D,A78,总表!E:E,$F$61,总表!E:E,$F$62)</f>
        <v>216281</v>
      </c>
      <c r="D78" s="254">
        <f t="shared" si="3"/>
        <v>15448.6428571429</v>
      </c>
      <c r="E78" s="264" t="str">
        <f>VLOOKUP(A78,设计师对应店铺!A:B,COLUMN(设计师对应店铺!B:B)-COLUMN(设计师对应店铺!A:B)+1,0)</f>
        <v>吉盛伟邦</v>
      </c>
    </row>
    <row r="79" s="34" customFormat="1" spans="1:5">
      <c r="A79" s="39" t="s">
        <v>1431</v>
      </c>
      <c r="B79" s="256">
        <f>COUNTIFS(总表!D:D,A79,总表!L:L,"&lt;&gt;",总表!E:E,$F$61,总表!E:E,$F$62)</f>
        <v>2</v>
      </c>
      <c r="C79" s="256">
        <f>SUMIFS(总表!N:N,总表!D:D,A79,总表!E:E,$F$61,总表!E:E,$F$62)</f>
        <v>56240</v>
      </c>
      <c r="D79" s="257">
        <f t="shared" si="3"/>
        <v>28120</v>
      </c>
      <c r="E79" s="263" t="str">
        <f>VLOOKUP(A79,设计师对应店铺!A:B,COLUMN(设计师对应店铺!B:B)-COLUMN(设计师对应店铺!A:B)+1,0)</f>
        <v>真北店</v>
      </c>
    </row>
    <row r="80" s="34" customFormat="1" spans="1:5">
      <c r="A80" s="38" t="s">
        <v>155</v>
      </c>
      <c r="B80" s="253">
        <f>COUNTIFS(总表!D:D,A80,总表!L:L,"&lt;&gt;",总表!E:E,$F$61,总表!E:E,$F$62)</f>
        <v>8</v>
      </c>
      <c r="C80" s="253">
        <f>SUMIFS(总表!N:N,总表!D:D,A80,总表!E:E,$F$61,总表!E:E,$F$62)</f>
        <v>137226</v>
      </c>
      <c r="D80" s="254">
        <f t="shared" si="3"/>
        <v>17153.25</v>
      </c>
      <c r="E80" s="264" t="str">
        <f>VLOOKUP(A80,设计师对应店铺!A:B,COLUMN(设计师对应店铺!B:B)-COLUMN(设计师对应店铺!A:B)+1,0)</f>
        <v>好饰家</v>
      </c>
    </row>
    <row r="81" s="34" customFormat="1" spans="1:5">
      <c r="A81" s="39" t="s">
        <v>443</v>
      </c>
      <c r="B81" s="256">
        <f>COUNTIFS(总表!D:D,A81,总表!L:L,"&lt;&gt;",总表!E:E,$F$61,总表!E:E,$F$62)</f>
        <v>15</v>
      </c>
      <c r="C81" s="256">
        <f>SUMIFS(总表!N:N,总表!D:D,A81,总表!E:E,$F$61,总表!E:E,$F$62)</f>
        <v>223625</v>
      </c>
      <c r="D81" s="257">
        <f t="shared" si="3"/>
        <v>14908.3333333333</v>
      </c>
      <c r="E81" s="263" t="str">
        <f>VLOOKUP(A81,设计师对应店铺!A:B,COLUMN(设计师对应店铺!B:B)-COLUMN(设计师对应店铺!A:B)+1,0)</f>
        <v>家饰佳</v>
      </c>
    </row>
    <row r="82" s="34" customFormat="1" spans="1:5">
      <c r="A82" s="38" t="s">
        <v>337</v>
      </c>
      <c r="B82" s="253">
        <f>COUNTIFS(总表!D:D,A82,总表!L:L,"&lt;&gt;",总表!E:E,$F$61,总表!E:E,$F$62)</f>
        <v>6</v>
      </c>
      <c r="C82" s="253">
        <f>SUMIFS(总表!N:N,总表!D:D,A82,总表!E:E,$F$61,总表!E:E,$F$62)</f>
        <v>81080</v>
      </c>
      <c r="D82" s="254">
        <f t="shared" si="3"/>
        <v>13513.3333333333</v>
      </c>
      <c r="E82" s="264" t="str">
        <f>VLOOKUP(A82,设计师对应店铺!A:B,COLUMN(设计师对应店铺!B:B)-COLUMN(设计师对应店铺!A:B)+1,0)</f>
        <v>建配龙</v>
      </c>
    </row>
    <row r="83" s="34" customFormat="1" spans="1:5">
      <c r="A83" s="39" t="s">
        <v>7871</v>
      </c>
      <c r="B83" s="256">
        <f>COUNTIFS(总表!D:D,A83,总表!L:L,"&lt;&gt;",总表!E:E,$F$61,总表!E:E,$F$62)</f>
        <v>1</v>
      </c>
      <c r="C83" s="256">
        <f>SUMIFS(总表!N:N,总表!D:D,A83,总表!E:E,$F$61,总表!E:E,$F$62)</f>
        <v>27300</v>
      </c>
      <c r="D83" s="257">
        <f t="shared" si="3"/>
        <v>27300</v>
      </c>
      <c r="E83" s="263" t="str">
        <f>VLOOKUP(A83,设计师对应店铺!A:B,COLUMN(设计师对应店铺!B:B)-COLUMN(设计师对应店铺!A:B)+1,0)</f>
        <v>兴明店自配</v>
      </c>
    </row>
    <row r="84" s="34" customFormat="1" spans="1:5">
      <c r="A84" s="38" t="s">
        <v>149</v>
      </c>
      <c r="B84" s="253">
        <f>COUNTIFS(总表!D:D,A84,总表!L:L,"&lt;&gt;",总表!E:E,$F$61,总表!E:E,$F$62)</f>
        <v>5</v>
      </c>
      <c r="C84" s="253">
        <f>SUMIFS(总表!N:N,总表!D:D,A84,总表!E:E,$F$61,总表!E:E,$F$62)</f>
        <v>54049</v>
      </c>
      <c r="D84" s="254">
        <f t="shared" si="3"/>
        <v>10809.8</v>
      </c>
      <c r="E84" s="264" t="str">
        <f>VLOOKUP(A84,设计师对应店铺!A:B,COLUMN(设计师对应店铺!B:B)-COLUMN(设计师对应店铺!A:B)+1,0)</f>
        <v>百安居</v>
      </c>
    </row>
    <row r="85" s="34" customFormat="1" spans="1:5">
      <c r="A85" s="39" t="s">
        <v>954</v>
      </c>
      <c r="B85" s="256">
        <f>COUNTIFS(总表!D:D,A85,总表!L:L,"&lt;&gt;",总表!E:E,$F$61,总表!E:E,$F$62)</f>
        <v>8</v>
      </c>
      <c r="C85" s="256">
        <f>SUMIFS(总表!N:N,总表!D:D,A85,总表!E:E,$F$61,总表!E:E,$F$62)</f>
        <v>74187</v>
      </c>
      <c r="D85" s="257">
        <f t="shared" si="3"/>
        <v>9273.375</v>
      </c>
      <c r="E85" s="263" t="str">
        <f>VLOOKUP(A85,设计师对应店铺!A:B,COLUMN(设计师对应店铺!B:B)-COLUMN(设计师对应店铺!A:B)+1,0)</f>
        <v>汶水店</v>
      </c>
    </row>
    <row r="86" s="34" customFormat="1" spans="1:5">
      <c r="A86" s="38" t="s">
        <v>125</v>
      </c>
      <c r="B86" s="253">
        <f>COUNTIFS(总表!D:D,A86,总表!L:L,"&lt;&gt;",总表!E:E,$F$61,总表!E:E,$F$62)</f>
        <v>4</v>
      </c>
      <c r="C86" s="253">
        <f>SUMIFS(总表!N:N,总表!D:D,A86,总表!E:E,$F$61,总表!E:E,$F$62)</f>
        <v>32624</v>
      </c>
      <c r="D86" s="254">
        <f t="shared" si="3"/>
        <v>8156</v>
      </c>
      <c r="E86" s="264" t="str">
        <f>VLOOKUP(A86,设计师对应店铺!A:B,COLUMN(设计师对应店铺!B:B)-COLUMN(设计师对应店铺!A:B)+1,0)</f>
        <v>同福店店长</v>
      </c>
    </row>
    <row r="87" s="34" customFormat="1" spans="1:5">
      <c r="A87" s="39" t="s">
        <v>207</v>
      </c>
      <c r="B87" s="256">
        <f>COUNTIFS(总表!D:D,A87,总表!L:L,"&lt;&gt;",总表!E:E,$F$61,总表!E:E,$F$62)</f>
        <v>19</v>
      </c>
      <c r="C87" s="256">
        <f>SUMIFS(总表!N:N,总表!D:D,A87,总表!E:E,$F$61,总表!E:E,$F$62)</f>
        <v>234436</v>
      </c>
      <c r="D87" s="257">
        <f t="shared" si="3"/>
        <v>12338.7368421053</v>
      </c>
      <c r="E87" s="263" t="str">
        <f>VLOOKUP(A87,设计师对应店铺!A:B,COLUMN(设计师对应店铺!B:B)-COLUMN(设计师对应店铺!A:B)+1,0)</f>
        <v>百安居</v>
      </c>
    </row>
    <row r="88" s="34" customFormat="1" spans="1:5">
      <c r="A88" s="38" t="s">
        <v>139</v>
      </c>
      <c r="B88" s="253">
        <f>COUNTIFS(总表!D:D,A88,总表!L:L,"&lt;&gt;",总表!E:E,$F$61,总表!E:E,$F$62)</f>
        <v>10</v>
      </c>
      <c r="C88" s="253">
        <f>SUMIFS(总表!N:N,总表!D:D,A88,总表!E:E,$F$61,总表!E:E,$F$62)</f>
        <v>258621</v>
      </c>
      <c r="D88" s="254">
        <f t="shared" si="3"/>
        <v>25862.1</v>
      </c>
      <c r="E88" s="264" t="str">
        <f>VLOOKUP(A88,设计师对应店铺!A:B,COLUMN(设计师对应店铺!B:B)-COLUMN(设计师对应店铺!A:B)+1,0)</f>
        <v>家饰佳</v>
      </c>
    </row>
    <row r="89" s="34" customFormat="1" spans="1:5">
      <c r="A89" s="39" t="s">
        <v>75</v>
      </c>
      <c r="B89" s="256">
        <f>COUNTIFS(总表!D:D,A89,总表!L:L,"&lt;&gt;",总表!E:E,$F$61,总表!E:E,$F$62)</f>
        <v>7</v>
      </c>
      <c r="C89" s="256">
        <f>SUMIFS(总表!N:N,总表!D:D,A89,总表!E:E,$F$61,总表!E:E,$F$62)</f>
        <v>123900</v>
      </c>
      <c r="D89" s="257">
        <f t="shared" si="3"/>
        <v>17700</v>
      </c>
      <c r="E89" s="263" t="str">
        <f>VLOOKUP(A89,设计师对应店铺!A:B,COLUMN(设计师对应店铺!B:B)-COLUMN(设计师对应店铺!A:B)+1,0)</f>
        <v>宜山经理</v>
      </c>
    </row>
    <row r="90" s="34" customFormat="1" spans="1:5">
      <c r="A90" s="38" t="s">
        <v>8334</v>
      </c>
      <c r="B90" s="253">
        <f>COUNTIFS(总表!D:D,A90,总表!L:L,"&lt;&gt;",总表!E:E,$F$61,总表!E:E,$F$62)</f>
        <v>7</v>
      </c>
      <c r="C90" s="253">
        <f>SUMIFS(总表!N:N,总表!D:D,A90,总表!E:E,$F$61,总表!E:E,$F$62)</f>
        <v>52263</v>
      </c>
      <c r="D90" s="254">
        <f t="shared" si="3"/>
        <v>7466.14285714286</v>
      </c>
      <c r="E90" s="264" t="str">
        <f>VLOOKUP(A90,设计师对应店铺!A:B,COLUMN(设计师对应店铺!B:B)-COLUMN(设计师对应店铺!A:B)+1,0)</f>
        <v>尚品宅配</v>
      </c>
    </row>
    <row r="91" s="34" customFormat="1" spans="1:5">
      <c r="A91" s="39" t="s">
        <v>171</v>
      </c>
      <c r="B91" s="256">
        <f>COUNTIFS(总表!D:D,A91,总表!L:L,"&lt;&gt;",总表!E:E,$F$61,总表!E:E,$F$62)</f>
        <v>7</v>
      </c>
      <c r="C91" s="256">
        <f>SUMIFS(总表!N:N,总表!D:D,A91,总表!E:E,$F$61,总表!E:E,$F$62)</f>
        <v>168081</v>
      </c>
      <c r="D91" s="257">
        <f t="shared" si="3"/>
        <v>24011.5714285714</v>
      </c>
      <c r="E91" s="263" t="str">
        <f>VLOOKUP(A91,设计师对应店铺!A:B,COLUMN(设计师对应店铺!B:B)-COLUMN(设计师对应店铺!A:B)+1,0)</f>
        <v>家饰佳、兴力达</v>
      </c>
    </row>
    <row r="92" s="34" customFormat="1" spans="1:5">
      <c r="A92" s="38" t="s">
        <v>33</v>
      </c>
      <c r="B92" s="253">
        <f>COUNTIFS(总表!D:D,A92,总表!L:L,"&lt;&gt;",总表!E:E,$F$61,总表!E:E,$F$62)</f>
        <v>8</v>
      </c>
      <c r="C92" s="253">
        <f>SUMIFS(总表!N:N,总表!D:D,A92,总表!E:E,$F$61,总表!E:E,$F$62)</f>
        <v>180482</v>
      </c>
      <c r="D92" s="254">
        <f t="shared" si="3"/>
        <v>22560.25</v>
      </c>
      <c r="E92" s="264" t="str">
        <f>VLOOKUP(A92,设计师对应店铺!A:B,COLUMN(设计师对应店铺!B:B)-COLUMN(设计师对应店铺!A:B)+1,0)</f>
        <v>汶水店</v>
      </c>
    </row>
    <row r="93" s="34" customFormat="1" spans="1:5">
      <c r="A93" s="39" t="s">
        <v>132</v>
      </c>
      <c r="B93" s="256">
        <f>COUNTIFS(总表!D:D,A93,总表!L:L,"&lt;&gt;",总表!E:E,$F$61,总表!E:E,$F$62)</f>
        <v>4</v>
      </c>
      <c r="C93" s="256">
        <f>SUMIFS(总表!N:N,总表!D:D,A93,总表!E:E,$F$61,总表!E:E,$F$62)</f>
        <v>135392</v>
      </c>
      <c r="D93" s="257">
        <f t="shared" si="3"/>
        <v>33848</v>
      </c>
      <c r="E93" s="263" t="str">
        <f>VLOOKUP(A93,设计师对应店铺!A:B,COLUMN(设计师对应店铺!B:B)-COLUMN(设计师对应店铺!A:B)+1,0)</f>
        <v>真北店</v>
      </c>
    </row>
    <row r="94" s="34" customFormat="1" spans="1:5">
      <c r="A94" s="38" t="s">
        <v>221</v>
      </c>
      <c r="B94" s="253">
        <f>COUNTIFS(总表!D:D,A94,总表!L:L,"&lt;&gt;",总表!E:E,$F$61,总表!E:E,$F$62)</f>
        <v>4</v>
      </c>
      <c r="C94" s="253">
        <f>SUMIFS(总表!N:N,总表!D:D,A94,总表!E:E,$F$61,总表!E:E,$F$62)</f>
        <v>41343</v>
      </c>
      <c r="D94" s="254">
        <f t="shared" si="3"/>
        <v>10335.75</v>
      </c>
      <c r="E94" s="264" t="str">
        <f>VLOOKUP(A94,设计师对应店铺!A:B,COLUMN(设计师对应店铺!B:B)-COLUMN(设计师对应店铺!A:B)+1,0)</f>
        <v>汶水店</v>
      </c>
    </row>
    <row r="95" s="34" customFormat="1" spans="1:5">
      <c r="A95" s="39" t="s">
        <v>20101</v>
      </c>
      <c r="B95" s="256">
        <f>COUNTIFS(总表!D:D,A95,总表!L:L,"&lt;&gt;",总表!E:E,$F$61,总表!E:E,$F$62)</f>
        <v>0</v>
      </c>
      <c r="C95" s="256">
        <f>SUMIFS(总表!N:N,总表!D:D,A95,总表!E:E,$F$61,总表!E:E,$F$62)</f>
        <v>0</v>
      </c>
      <c r="D95" s="257" t="e">
        <f t="shared" si="3"/>
        <v>#DIV/0!</v>
      </c>
      <c r="E95" s="263" t="e">
        <f>VLOOKUP(A95,设计师对应店铺!A:B,COLUMN(设计师对应店铺!B:B)-COLUMN(设计师对应店铺!A:B)+1,0)</f>
        <v>#N/A</v>
      </c>
    </row>
    <row r="96" s="34" customFormat="1" spans="1:5">
      <c r="A96" s="38" t="s">
        <v>361</v>
      </c>
      <c r="B96" s="253">
        <f>COUNTIFS(总表!D:D,A96,总表!L:L,"&lt;&gt;",总表!E:E,$F$61,总表!E:E,$F$62)</f>
        <v>1</v>
      </c>
      <c r="C96" s="253">
        <f>SUMIFS(总表!N:N,总表!D:D,A96,总表!E:E,$F$61,总表!E:E,$F$62)</f>
        <v>6494</v>
      </c>
      <c r="D96" s="254">
        <f t="shared" si="3"/>
        <v>6494</v>
      </c>
      <c r="E96" s="264" t="str">
        <f>VLOOKUP(A96,设计师对应店铺!A:B,COLUMN(设计师对应店铺!B:B)-COLUMN(设计师对应店铺!A:B)+1,0)</f>
        <v>美美家自配</v>
      </c>
    </row>
    <row r="97" s="34" customFormat="1" spans="1:5">
      <c r="A97" s="39" t="s">
        <v>182</v>
      </c>
      <c r="B97" s="256">
        <f>COUNTIFS(总表!D:D,A97,总表!L:L,"&lt;&gt;",总表!E:E,$F$61,总表!E:E,$F$62)</f>
        <v>0</v>
      </c>
      <c r="C97" s="256">
        <f>SUMIFS(总表!N:N,总表!D:D,A97,总表!E:E,$F$61,总表!E:E,$F$62)</f>
        <v>1700</v>
      </c>
      <c r="D97" s="257" t="e">
        <f t="shared" si="3"/>
        <v>#DIV/0!</v>
      </c>
      <c r="E97" s="263" t="str">
        <f>VLOOKUP(A97,设计师对应店铺!A:B,COLUMN(设计师对应店铺!B:B)-COLUMN(设计师对应店铺!A:B)+1,0)</f>
        <v>真北店</v>
      </c>
    </row>
    <row r="98" s="34" customFormat="1" spans="1:5">
      <c r="A98" s="38" t="s">
        <v>19705</v>
      </c>
      <c r="B98" s="253">
        <f>COUNTIFS(总表!D:D,A98,总表!L:L,"&lt;&gt;",总表!E:E,$F$61,总表!E:E,$F$62)</f>
        <v>0</v>
      </c>
      <c r="C98" s="253">
        <f>SUMIFS(总表!N:N,总表!D:D,A98,总表!E:E,$F$61,总表!E:E,$F$62)</f>
        <v>0</v>
      </c>
      <c r="D98" s="254" t="e">
        <f t="shared" si="3"/>
        <v>#DIV/0!</v>
      </c>
      <c r="E98" s="264" t="e">
        <f>VLOOKUP(A98,设计师对应店铺!A:B,COLUMN(设计师对应店铺!B:B)-COLUMN(设计师对应店铺!A:B)+1,0)</f>
        <v>#N/A</v>
      </c>
    </row>
    <row r="99" s="34" customFormat="1" spans="1:5">
      <c r="A99" s="39" t="s">
        <v>237</v>
      </c>
      <c r="B99" s="256">
        <f>COUNTIFS(总表!D:D,A99,总表!L:L,"&lt;&gt;",总表!E:E,$F$61,总表!E:E,$F$62)</f>
        <v>10</v>
      </c>
      <c r="C99" s="256">
        <f>SUMIFS(总表!N:N,总表!D:D,A99,总表!E:E,$F$61,总表!E:E,$F$62)</f>
        <v>67105</v>
      </c>
      <c r="D99" s="257">
        <f t="shared" si="3"/>
        <v>6710.5</v>
      </c>
      <c r="E99" s="263" t="str">
        <f>VLOOKUP(A99,设计师对应店铺!A:B,COLUMN(设计师对应店铺!B:B)-COLUMN(设计师对应店铺!A:B)+1,0)</f>
        <v>百安居</v>
      </c>
    </row>
    <row r="100" s="34" customFormat="1" spans="1:5">
      <c r="A100" s="38" t="s">
        <v>19871</v>
      </c>
      <c r="B100" s="253">
        <f>COUNTIFS(总表!D:D,A100,总表!L:L,"&lt;&gt;",总表!E:E,$F$61,总表!E:E,$F$62)</f>
        <v>1</v>
      </c>
      <c r="C100" s="253">
        <f>SUMIFS(总表!N:N,总表!D:D,A100,总表!E:E,$F$61,总表!E:E,$F$62)</f>
        <v>5489</v>
      </c>
      <c r="D100" s="254">
        <f t="shared" si="3"/>
        <v>5489</v>
      </c>
      <c r="E100" s="264" t="str">
        <f>VLOOKUP(A100,设计师对应店铺!A:B,COLUMN(设计师对应店铺!B:B)-COLUMN(设计师对应店铺!A:B)+1,0)</f>
        <v>松江店自配</v>
      </c>
    </row>
    <row r="101" s="34" customFormat="1" spans="1:5">
      <c r="A101" s="39" t="s">
        <v>1170</v>
      </c>
      <c r="B101" s="256">
        <f>COUNTIFS(总表!D:D,A101,总表!L:L,"&lt;&gt;",总表!E:E,$F$61,总表!E:E,$F$62)</f>
        <v>0</v>
      </c>
      <c r="C101" s="256">
        <f>SUMIFS(总表!N:N,总表!D:D,A101,总表!E:E,$F$61,总表!E:E,$F$62)</f>
        <v>175</v>
      </c>
      <c r="D101" s="257" t="e">
        <f t="shared" si="3"/>
        <v>#DIV/0!</v>
      </c>
      <c r="E101" s="263" t="str">
        <f>VLOOKUP(A101,设计师对应店铺!A:B,COLUMN(设计师对应店铺!B:B)-COLUMN(设计师对应店铺!A:B)+1,0)</f>
        <v>百安居</v>
      </c>
    </row>
    <row r="102" s="34" customFormat="1" spans="1:5">
      <c r="A102" s="38" t="s">
        <v>717</v>
      </c>
      <c r="B102" s="253">
        <f>COUNTIFS(总表!D:D,A102,总表!L:L,"&lt;&gt;",总表!E:E,$F$61,总表!E:E,$F$62)</f>
        <v>0</v>
      </c>
      <c r="C102" s="253">
        <f>SUMIFS(总表!N:N,总表!D:D,A102,总表!E:E,$F$61,总表!E:E,$F$62)</f>
        <v>19001</v>
      </c>
      <c r="D102" s="254" t="e">
        <f t="shared" si="3"/>
        <v>#DIV/0!</v>
      </c>
      <c r="E102" s="264">
        <f>VLOOKUP(A102,设计师对应店铺!A:B,COLUMN(设计师对应店铺!B:B)-COLUMN(设计师对应店铺!A:B)+1,0)</f>
        <v>0</v>
      </c>
    </row>
    <row r="103" s="34" customFormat="1" spans="1:5">
      <c r="A103" s="39" t="s">
        <v>143</v>
      </c>
      <c r="B103" s="256">
        <f>COUNTIFS(总表!D:D,A103,总表!L:L,"&lt;&gt;",总表!E:E,$F$61,总表!E:E,$F$62)</f>
        <v>0</v>
      </c>
      <c r="C103" s="256">
        <f>SUMIFS(总表!N:N,总表!D:D,A103,总表!E:E,$F$61,总表!E:E,$F$62)</f>
        <v>0</v>
      </c>
      <c r="D103" s="257" t="e">
        <f t="shared" si="3"/>
        <v>#DIV/0!</v>
      </c>
      <c r="E103" s="263" t="str">
        <f>VLOOKUP(A103,设计师对应店铺!A:B,COLUMN(设计师对应店铺!B:B)-COLUMN(设计师对应店铺!A:B)+1,0)</f>
        <v>沪南店店长</v>
      </c>
    </row>
    <row r="104" spans="1:5">
      <c r="A104" s="38" t="s">
        <v>5695</v>
      </c>
      <c r="B104" s="253">
        <f>COUNTIFS(总表!D:D,A104,总表!L:L,"&lt;&gt;",总表!E:E,$F$61,总表!E:E,$F$62)</f>
        <v>0</v>
      </c>
      <c r="C104" s="253">
        <f>SUMIFS(总表!N:N,总表!D:D,A104,总表!E:E,$F$61,总表!E:E,$F$62)</f>
        <v>0</v>
      </c>
      <c r="D104" s="254" t="e">
        <f t="shared" si="3"/>
        <v>#DIV/0!</v>
      </c>
      <c r="E104" s="264" t="str">
        <f>VLOOKUP(A104,设计师对应店铺!A:B,COLUMN(设计师对应店铺!B:B)-COLUMN(设计师对应店铺!A:B)+1,0)</f>
        <v>设计总监</v>
      </c>
    </row>
    <row r="105" spans="1:5">
      <c r="A105" s="39" t="s">
        <v>427</v>
      </c>
      <c r="B105" s="256">
        <f>COUNTIFS(总表!D:D,A105,总表!L:L,"&lt;&gt;",总表!E:E,$F$61,总表!E:E,$F$62)</f>
        <v>3</v>
      </c>
      <c r="C105" s="256">
        <f>SUMIFS(总表!N:N,总表!D:D,A105,总表!E:E,$F$61,总表!E:E,$F$62)</f>
        <v>123767</v>
      </c>
      <c r="D105" s="257">
        <f t="shared" si="3"/>
        <v>41255.6666666667</v>
      </c>
      <c r="E105" s="263" t="str">
        <f>VLOOKUP(A105,设计师对应店铺!A:B,COLUMN(设计师对应店铺!B:B)-COLUMN(设计师对应店铺!A:B)+1,0)</f>
        <v>百家宜</v>
      </c>
    </row>
    <row r="106" spans="1:5">
      <c r="A106" s="38"/>
      <c r="B106" s="253"/>
      <c r="C106" s="253"/>
      <c r="D106" s="254"/>
      <c r="E106" s="264"/>
    </row>
    <row r="107" spans="1:5">
      <c r="A107" s="39"/>
      <c r="B107" s="256"/>
      <c r="C107" s="256"/>
      <c r="D107" s="257"/>
      <c r="E107" s="263"/>
    </row>
    <row r="108" spans="1:5">
      <c r="A108" s="38"/>
      <c r="B108" s="253"/>
      <c r="C108" s="253"/>
      <c r="D108" s="254"/>
      <c r="E108" s="264"/>
    </row>
    <row r="109" spans="1:5">
      <c r="A109" s="39"/>
      <c r="B109" s="256"/>
      <c r="C109" s="256"/>
      <c r="D109" s="257"/>
      <c r="E109" s="263"/>
    </row>
    <row r="110" spans="1:5">
      <c r="A110" s="38"/>
      <c r="B110" s="253"/>
      <c r="C110" s="253"/>
      <c r="D110" s="254"/>
      <c r="E110" s="264"/>
    </row>
    <row r="111" spans="1:5">
      <c r="A111" s="39"/>
      <c r="B111" s="256"/>
      <c r="C111" s="256"/>
      <c r="D111" s="257"/>
      <c r="E111" s="263"/>
    </row>
    <row r="112" spans="1:5">
      <c r="A112" s="38"/>
      <c r="B112" s="253"/>
      <c r="C112" s="253"/>
      <c r="D112" s="254"/>
      <c r="E112" s="264"/>
    </row>
    <row r="113" spans="1:5">
      <c r="A113" s="39"/>
      <c r="B113" s="256"/>
      <c r="C113" s="256"/>
      <c r="D113" s="257"/>
      <c r="E113" s="263"/>
    </row>
    <row r="114" spans="1:5">
      <c r="A114" s="38"/>
      <c r="B114" s="253"/>
      <c r="C114" s="253"/>
      <c r="D114" s="254"/>
      <c r="E114" s="264"/>
    </row>
    <row r="115" spans="1:5">
      <c r="A115" s="265"/>
      <c r="B115" s="267"/>
      <c r="C115" s="267"/>
      <c r="D115" s="266"/>
      <c r="E115" s="266"/>
    </row>
    <row r="116" spans="1:5">
      <c r="A116" s="265"/>
      <c r="B116" s="267"/>
      <c r="C116" s="267"/>
      <c r="D116" s="266"/>
      <c r="E116" s="266"/>
    </row>
    <row r="117" spans="1:5">
      <c r="A117" s="265"/>
      <c r="B117" s="267"/>
      <c r="C117" s="267"/>
      <c r="D117" s="266"/>
      <c r="E117" s="266"/>
    </row>
    <row r="119" s="34" customFormat="1" spans="1:6">
      <c r="A119" s="247" t="s">
        <v>21265</v>
      </c>
      <c r="B119" s="248"/>
      <c r="C119" s="248"/>
      <c r="D119" s="248"/>
      <c r="E119" s="250"/>
      <c r="F119" s="34" t="s">
        <v>21252</v>
      </c>
    </row>
    <row r="120" s="34" customFormat="1" spans="1:6">
      <c r="A120" s="261" t="s">
        <v>21234</v>
      </c>
      <c r="B120" s="261">
        <f>SUM(B122:B172)</f>
        <v>226</v>
      </c>
      <c r="C120" s="261">
        <f>SUM(C122:C172)</f>
        <v>4066771.72</v>
      </c>
      <c r="D120" s="262">
        <f t="shared" ref="D120:D173" si="4">C120/B120</f>
        <v>17994.5651327434</v>
      </c>
      <c r="E120" s="262"/>
      <c r="F120" s="34" t="s">
        <v>21266</v>
      </c>
    </row>
    <row r="121" s="34" customFormat="1" spans="1:6">
      <c r="A121" s="252" t="s">
        <v>30</v>
      </c>
      <c r="B121" s="253" t="s">
        <v>21258</v>
      </c>
      <c r="C121" s="253" t="s">
        <v>10</v>
      </c>
      <c r="D121" s="253" t="s">
        <v>21242</v>
      </c>
      <c r="E121" s="255" t="s">
        <v>21243</v>
      </c>
      <c r="F121" s="34" t="s">
        <v>21267</v>
      </c>
    </row>
    <row r="122" s="34" customFormat="1" spans="1:5">
      <c r="A122" s="39" t="s">
        <v>221</v>
      </c>
      <c r="B122" s="256">
        <f>COUNTIFS(总表!D:D,A122,总表!L:L,"&lt;&gt;",总表!E:E,$F$120,总表!E:E,$F$121)</f>
        <v>7</v>
      </c>
      <c r="C122" s="256">
        <f>SUMIFS(总表!N:N,总表!D:D,A122,总表!E:E,$F$120,总表!E:E,$F$121)</f>
        <v>139746</v>
      </c>
      <c r="D122" s="257">
        <f t="shared" si="4"/>
        <v>19963.7142857143</v>
      </c>
      <c r="E122" s="263" t="str">
        <f>VLOOKUP(A122,设计师对应店铺!A:B,COLUMN(设计师对应店铺!B:B)-COLUMN(设计师对应店铺!A:B)+1,0)</f>
        <v>汶水店</v>
      </c>
    </row>
    <row r="123" s="34" customFormat="1" spans="1:5">
      <c r="A123" s="38" t="s">
        <v>49</v>
      </c>
      <c r="B123" s="256">
        <f>COUNTIFS(总表!D:D,A123,总表!L:L,"&lt;&gt;",总表!E:E,$F$120,总表!E:E,$F$121)</f>
        <v>14</v>
      </c>
      <c r="C123" s="256">
        <f>SUMIFS(总表!N:N,总表!D:D,A123,总表!E:E,$F$120,总表!E:E,$F$121)</f>
        <v>236192</v>
      </c>
      <c r="D123" s="254">
        <f t="shared" si="4"/>
        <v>16870.8571428571</v>
      </c>
      <c r="E123" s="264" t="str">
        <f>VLOOKUP(A123,设计师对应店铺!A:B,COLUMN(设计师对应店铺!B:B)-COLUMN(设计师对应店铺!A:B)+1,0)</f>
        <v>奉贤、金山、南汇、松江</v>
      </c>
    </row>
    <row r="124" s="34" customFormat="1" spans="1:5">
      <c r="A124" s="39" t="s">
        <v>343</v>
      </c>
      <c r="B124" s="256">
        <f>COUNTIFS(总表!D:D,A124,总表!L:L,"&lt;&gt;",总表!E:E,$F$120,总表!E:E,$F$121)</f>
        <v>16</v>
      </c>
      <c r="C124" s="256">
        <f>SUMIFS(总表!N:N,总表!D:D,A124,总表!E:E,$F$120,总表!E:E,$F$121)</f>
        <v>224133</v>
      </c>
      <c r="D124" s="257">
        <f t="shared" si="4"/>
        <v>14008.3125</v>
      </c>
      <c r="E124" s="263" t="str">
        <f>VLOOKUP(A124,设计师对应店铺!A:B,COLUMN(设计师对应店铺!B:B)-COLUMN(设计师对应店铺!A:B)+1,0)</f>
        <v>喜盈门</v>
      </c>
    </row>
    <row r="125" s="34" customFormat="1" spans="1:5">
      <c r="A125" s="38" t="s">
        <v>271</v>
      </c>
      <c r="B125" s="256">
        <f>COUNTIFS(总表!D:D,A125,总表!L:L,"&lt;&gt;",总表!E:E,$F$120,总表!E:E,$F$121)</f>
        <v>9</v>
      </c>
      <c r="C125" s="256">
        <f>SUMIFS(总表!N:N,总表!D:D,A125,总表!E:E,$F$120,总表!E:E,$F$121)</f>
        <v>145644</v>
      </c>
      <c r="D125" s="254">
        <f t="shared" si="4"/>
        <v>16182.6666666667</v>
      </c>
      <c r="E125" s="264" t="str">
        <f>VLOOKUP(A125,设计师对应店铺!A:B,COLUMN(设计师对应店铺!B:B)-COLUMN(设计师对应店铺!A:B)+1,0)</f>
        <v>喜盈门</v>
      </c>
    </row>
    <row r="126" s="34" customFormat="1" spans="1:5">
      <c r="A126" s="39" t="s">
        <v>139</v>
      </c>
      <c r="B126" s="256">
        <f>COUNTIFS(总表!D:D,A126,总表!L:L,"&lt;&gt;",总表!E:E,$F$120,总表!E:E,$F$121)</f>
        <v>7</v>
      </c>
      <c r="C126" s="256">
        <f>SUMIFS(总表!N:N,总表!D:D,A126,总表!E:E,$F$120,总表!E:E,$F$121)</f>
        <v>142535</v>
      </c>
      <c r="D126" s="257">
        <f t="shared" si="4"/>
        <v>20362.1428571429</v>
      </c>
      <c r="E126" s="263" t="str">
        <f>VLOOKUP(A126,设计师对应店铺!A:B,COLUMN(设计师对应店铺!B:B)-COLUMN(设计师对应店铺!A:B)+1,0)</f>
        <v>家饰佳</v>
      </c>
    </row>
    <row r="127" s="34" customFormat="1" spans="1:5">
      <c r="A127" s="38" t="s">
        <v>2302</v>
      </c>
      <c r="B127" s="256">
        <f>COUNTIFS(总表!D:D,A127,总表!L:L,"&lt;&gt;",总表!E:E,$F$120,总表!E:E,$F$121)</f>
        <v>9</v>
      </c>
      <c r="C127" s="256">
        <f>SUMIFS(总表!N:N,总表!D:D,A127,总表!E:E,$F$120,总表!E:E,$F$121)</f>
        <v>108607.52</v>
      </c>
      <c r="D127" s="254">
        <f t="shared" si="4"/>
        <v>12067.5022222222</v>
      </c>
      <c r="E127" s="264" t="str">
        <f>VLOOKUP(A127,设计师对应店铺!A:B,COLUMN(设计师对应店铺!B:B)-COLUMN(设计师对应店铺!A:B)+1,0)</f>
        <v>沪南店</v>
      </c>
    </row>
    <row r="128" s="34" customFormat="1" spans="1:5">
      <c r="A128" s="39" t="s">
        <v>518</v>
      </c>
      <c r="B128" s="256">
        <f>COUNTIFS(总表!D:D,A128,总表!L:L,"&lt;&gt;",总表!E:E,$F$120,总表!E:E,$F$121)</f>
        <v>5</v>
      </c>
      <c r="C128" s="256">
        <f>SUMIFS(总表!N:N,总表!D:D,A128,总表!E:E,$F$120,总表!E:E,$F$121)</f>
        <v>120425</v>
      </c>
      <c r="D128" s="257">
        <f t="shared" si="4"/>
        <v>24085</v>
      </c>
      <c r="E128" s="263" t="str">
        <f>VLOOKUP(A128,设计师对应店铺!A:B,COLUMN(设计师对应店铺!B:B)-COLUMN(设计师对应店铺!A:B)+1,0)</f>
        <v>奉贤店</v>
      </c>
    </row>
    <row r="129" s="34" customFormat="1" spans="1:5">
      <c r="A129" s="38" t="s">
        <v>954</v>
      </c>
      <c r="B129" s="256">
        <f>COUNTIFS(总表!D:D,A129,总表!L:L,"&lt;&gt;",总表!E:E,$F$120,总表!E:E,$F$121)</f>
        <v>6</v>
      </c>
      <c r="C129" s="256">
        <f>SUMIFS(总表!N:N,总表!D:D,A129,总表!E:E,$F$120,总表!E:E,$F$121)</f>
        <v>57098</v>
      </c>
      <c r="D129" s="254">
        <f t="shared" si="4"/>
        <v>9516.33333333333</v>
      </c>
      <c r="E129" s="264" t="str">
        <f>VLOOKUP(A129,设计师对应店铺!A:B,COLUMN(设计师对应店铺!B:B)-COLUMN(设计师对应店铺!A:B)+1,0)</f>
        <v>汶水店</v>
      </c>
    </row>
    <row r="130" s="34" customFormat="1" spans="1:5">
      <c r="A130" s="39" t="s">
        <v>33</v>
      </c>
      <c r="B130" s="256">
        <f>COUNTIFS(总表!D:D,A130,总表!L:L,"&lt;&gt;",总表!E:E,$F$120,总表!E:E,$F$121)</f>
        <v>8</v>
      </c>
      <c r="C130" s="256">
        <f>SUMIFS(总表!N:N,总表!D:D,A130,总表!E:E,$F$120,总表!E:E,$F$121)</f>
        <v>95774</v>
      </c>
      <c r="D130" s="257">
        <f t="shared" si="4"/>
        <v>11971.75</v>
      </c>
      <c r="E130" s="263" t="str">
        <f>VLOOKUP(A130,设计师对应店铺!A:B,COLUMN(设计师对应店铺!B:B)-COLUMN(设计师对应店铺!A:B)+1,0)</f>
        <v>汶水店</v>
      </c>
    </row>
    <row r="131" s="34" customFormat="1" spans="1:5">
      <c r="A131" s="38" t="s">
        <v>182</v>
      </c>
      <c r="B131" s="256">
        <f>COUNTIFS(总表!D:D,A131,总表!L:L,"&lt;&gt;",总表!E:E,$F$120,总表!E:E,$F$121)</f>
        <v>2</v>
      </c>
      <c r="C131" s="256">
        <f>SUMIFS(总表!N:N,总表!D:D,A131,总表!E:E,$F$120,总表!E:E,$F$121)</f>
        <v>55525</v>
      </c>
      <c r="D131" s="254">
        <f t="shared" si="4"/>
        <v>27762.5</v>
      </c>
      <c r="E131" s="264" t="str">
        <f>VLOOKUP(A131,设计师对应店铺!A:B,COLUMN(设计师对应店铺!B:B)-COLUMN(设计师对应店铺!A:B)+1,0)</f>
        <v>真北店</v>
      </c>
    </row>
    <row r="132" s="34" customFormat="1" spans="1:5">
      <c r="A132" s="39" t="s">
        <v>171</v>
      </c>
      <c r="B132" s="256">
        <f>COUNTIFS(总表!D:D,A132,总表!L:L,"&lt;&gt;",总表!E:E,$F$120,总表!E:E,$F$121)</f>
        <v>6</v>
      </c>
      <c r="C132" s="256">
        <f>SUMIFS(总表!N:N,总表!D:D,A132,总表!E:E,$F$120,总表!E:E,$F$121)</f>
        <v>76788</v>
      </c>
      <c r="D132" s="257">
        <f t="shared" si="4"/>
        <v>12798</v>
      </c>
      <c r="E132" s="263" t="str">
        <f>VLOOKUP(A132,设计师对应店铺!A:B,COLUMN(设计师对应店铺!B:B)-COLUMN(设计师对应店铺!A:B)+1,0)</f>
        <v>家饰佳、兴力达</v>
      </c>
    </row>
    <row r="133" s="34" customFormat="1" spans="1:5">
      <c r="A133" s="38" t="s">
        <v>143</v>
      </c>
      <c r="B133" s="256">
        <f>COUNTIFS(总表!D:D,A133,总表!L:L,"&lt;&gt;",总表!E:E,$F$120,总表!E:E,$F$121)</f>
        <v>0</v>
      </c>
      <c r="C133" s="256">
        <f>SUMIFS(总表!N:N,总表!D:D,A133,总表!E:E,$F$120,总表!E:E,$F$121)</f>
        <v>-928.8</v>
      </c>
      <c r="D133" s="254" t="e">
        <f t="shared" si="4"/>
        <v>#DIV/0!</v>
      </c>
      <c r="E133" s="264" t="str">
        <f>VLOOKUP(A133,设计师对应店铺!A:B,COLUMN(设计师对应店铺!B:B)-COLUMN(设计师对应店铺!A:B)+1,0)</f>
        <v>沪南店店长</v>
      </c>
    </row>
    <row r="134" s="34" customFormat="1" spans="1:5">
      <c r="A134" s="39" t="s">
        <v>89</v>
      </c>
      <c r="B134" s="256">
        <f>COUNTIFS(总表!D:D,A134,总表!L:L,"&lt;&gt;",总表!E:E,$F$120,总表!E:E,$F$121)</f>
        <v>7</v>
      </c>
      <c r="C134" s="256">
        <f>SUMIFS(总表!N:N,总表!D:D,A134,总表!E:E,$F$120,总表!E:E,$F$121)</f>
        <v>127156</v>
      </c>
      <c r="D134" s="257">
        <f t="shared" si="4"/>
        <v>18165.1428571429</v>
      </c>
      <c r="E134" s="263" t="str">
        <f>VLOOKUP(A134,设计师对应店铺!A:B,COLUMN(设计师对应店铺!B:B)-COLUMN(设计师对应店铺!A:B)+1,0)</f>
        <v>吉盛伟邦</v>
      </c>
    </row>
    <row r="135" s="34" customFormat="1" spans="1:5">
      <c r="A135" s="38" t="s">
        <v>125</v>
      </c>
      <c r="B135" s="256">
        <f>COUNTIFS(总表!D:D,A135,总表!L:L,"&lt;&gt;",总表!E:E,$F$120,总表!E:E,$F$121)</f>
        <v>6</v>
      </c>
      <c r="C135" s="256">
        <f>SUMIFS(总表!N:N,总表!D:D,A135,总表!E:E,$F$120,总表!E:E,$F$121)</f>
        <v>144439</v>
      </c>
      <c r="D135" s="254">
        <f t="shared" si="4"/>
        <v>24073.1666666667</v>
      </c>
      <c r="E135" s="264" t="str">
        <f>VLOOKUP(A135,设计师对应店铺!A:B,COLUMN(设计师对应店铺!B:B)-COLUMN(设计师对应店铺!A:B)+1,0)</f>
        <v>同福店店长</v>
      </c>
    </row>
    <row r="136" s="34" customFormat="1" spans="1:5">
      <c r="A136" s="39" t="s">
        <v>407</v>
      </c>
      <c r="B136" s="256">
        <f>COUNTIFS(总表!D:D,A136,总表!L:L,"&lt;&gt;",总表!E:E,$F$120,总表!E:E,$F$121)</f>
        <v>6</v>
      </c>
      <c r="C136" s="256">
        <f>SUMIFS(总表!N:N,总表!D:D,A136,总表!E:E,$F$120,总表!E:E,$F$121)</f>
        <v>341693</v>
      </c>
      <c r="D136" s="257">
        <f t="shared" si="4"/>
        <v>56948.8333333333</v>
      </c>
      <c r="E136" s="263" t="str">
        <f>VLOOKUP(A136,设计师对应店铺!A:B,COLUMN(设计师对应店铺!B:B)-COLUMN(设计师对应店铺!A:B)+1,0)</f>
        <v>嘉定店</v>
      </c>
    </row>
    <row r="137" s="34" customFormat="1" spans="1:5">
      <c r="A137" s="38" t="s">
        <v>187</v>
      </c>
      <c r="B137" s="256">
        <f>COUNTIFS(总表!D:D,A137,总表!L:L,"&lt;&gt;",总表!E:E,$F$120,总表!E:E,$F$121)</f>
        <v>7</v>
      </c>
      <c r="C137" s="256">
        <f>SUMIFS(总表!N:N,总表!D:D,A137,总表!E:E,$F$120,总表!E:E,$F$121)</f>
        <v>137926</v>
      </c>
      <c r="D137" s="254">
        <f t="shared" si="4"/>
        <v>19703.7142857143</v>
      </c>
      <c r="E137" s="264" t="str">
        <f>VLOOKUP(A137,设计师对应店铺!A:B,COLUMN(设计师对应店铺!B:B)-COLUMN(设计师对应店铺!A:B)+1,0)</f>
        <v>百家宜</v>
      </c>
    </row>
    <row r="138" s="34" customFormat="1" spans="1:5">
      <c r="A138" s="39" t="s">
        <v>44</v>
      </c>
      <c r="B138" s="256">
        <f>COUNTIFS(总表!D:D,A138,总表!L:L,"&lt;&gt;",总表!E:E,$F$120,总表!E:E,$F$121)</f>
        <v>8</v>
      </c>
      <c r="C138" s="256">
        <f>SUMIFS(总表!N:N,总表!D:D,A138,总表!E:E,$F$120,总表!E:E,$F$121)</f>
        <v>119466</v>
      </c>
      <c r="D138" s="257">
        <f t="shared" si="4"/>
        <v>14933.25</v>
      </c>
      <c r="E138" s="263" t="str">
        <f>VLOOKUP(A138,设计师对应店铺!A:B,COLUMN(设计师对应店铺!B:B)-COLUMN(设计师对应店铺!A:B)+1,0)</f>
        <v>金桥店、百安居</v>
      </c>
    </row>
    <row r="139" s="34" customFormat="1" spans="1:5">
      <c r="A139" s="38" t="s">
        <v>132</v>
      </c>
      <c r="B139" s="256">
        <f>COUNTIFS(总表!D:D,A139,总表!L:L,"&lt;&gt;",总表!E:E,$F$120,总表!E:E,$F$121)</f>
        <v>8</v>
      </c>
      <c r="C139" s="256">
        <f>SUMIFS(总表!N:N,总表!D:D,A139,总表!E:E,$F$120,总表!E:E,$F$121)</f>
        <v>220723</v>
      </c>
      <c r="D139" s="254">
        <f t="shared" si="4"/>
        <v>27590.375</v>
      </c>
      <c r="E139" s="264" t="str">
        <f>VLOOKUP(A139,设计师对应店铺!A:B,COLUMN(设计师对应店铺!B:B)-COLUMN(设计师对应店铺!A:B)+1,0)</f>
        <v>真北店</v>
      </c>
    </row>
    <row r="140" s="34" customFormat="1" spans="1:5">
      <c r="A140" s="39" t="s">
        <v>337</v>
      </c>
      <c r="B140" s="256">
        <f>COUNTIFS(总表!D:D,A140,总表!L:L,"&lt;&gt;",总表!E:E,$F$120,总表!E:E,$F$121)</f>
        <v>5</v>
      </c>
      <c r="C140" s="256">
        <f>SUMIFS(总表!N:N,总表!D:D,A140,总表!E:E,$F$120,总表!E:E,$F$121)</f>
        <v>65070</v>
      </c>
      <c r="D140" s="257">
        <f t="shared" si="4"/>
        <v>13014</v>
      </c>
      <c r="E140" s="263" t="str">
        <f>VLOOKUP(A140,设计师对应店铺!A:B,COLUMN(设计师对应店铺!B:B)-COLUMN(设计师对应店铺!A:B)+1,0)</f>
        <v>建配龙</v>
      </c>
    </row>
    <row r="141" s="34" customFormat="1" spans="1:5">
      <c r="A141" s="38" t="s">
        <v>155</v>
      </c>
      <c r="B141" s="256">
        <f>COUNTIFS(总表!D:D,A141,总表!L:L,"&lt;&gt;",总表!E:E,$F$120,总表!E:E,$F$121)</f>
        <v>5</v>
      </c>
      <c r="C141" s="256">
        <f>SUMIFS(总表!N:N,总表!D:D,A141,总表!E:E,$F$120,总表!E:E,$F$121)</f>
        <v>57004</v>
      </c>
      <c r="D141" s="254">
        <f t="shared" si="4"/>
        <v>11400.8</v>
      </c>
      <c r="E141" s="264" t="str">
        <f>VLOOKUP(A141,设计师对应店铺!A:B,COLUMN(设计师对应店铺!B:B)-COLUMN(设计师对应店铺!A:B)+1,0)</f>
        <v>好饰家</v>
      </c>
    </row>
    <row r="142" s="34" customFormat="1" spans="1:5">
      <c r="A142" s="39" t="s">
        <v>635</v>
      </c>
      <c r="B142" s="256">
        <f>COUNTIFS(总表!D:D,A142,总表!L:L,"&lt;&gt;",总表!E:E,$F$120,总表!E:E,$F$121)</f>
        <v>2</v>
      </c>
      <c r="C142" s="256">
        <f>SUMIFS(总表!N:N,总表!D:D,A142,总表!E:E,$F$120,总表!E:E,$F$121)</f>
        <v>68903</v>
      </c>
      <c r="D142" s="257">
        <f t="shared" si="4"/>
        <v>34451.5</v>
      </c>
      <c r="E142" s="263" t="str">
        <f>VLOOKUP(A142,设计师对应店铺!A:B,COLUMN(设计师对应店铺!B:B)-COLUMN(设计师对应店铺!A:B)+1,0)</f>
        <v>家饰佳、兴力达</v>
      </c>
    </row>
    <row r="143" s="34" customFormat="1" spans="1:5">
      <c r="A143" s="38" t="s">
        <v>110</v>
      </c>
      <c r="B143" s="256">
        <f>COUNTIFS(总表!D:D,A143,总表!L:L,"&lt;&gt;",总表!E:E,$F$120,总表!E:E,$F$121)</f>
        <v>6</v>
      </c>
      <c r="C143" s="256">
        <f>SUMIFS(总表!N:N,总表!D:D,A143,总表!E:E,$F$120,总表!E:E,$F$121)</f>
        <v>89278</v>
      </c>
      <c r="D143" s="254">
        <f t="shared" si="4"/>
        <v>14879.6666666667</v>
      </c>
      <c r="E143" s="264" t="str">
        <f>VLOOKUP(A143,设计师对应店铺!A:B,COLUMN(设计师对应店铺!B:B)-COLUMN(设计师对应店铺!A:B)+1,0)</f>
        <v>喜盈门</v>
      </c>
    </row>
    <row r="144" s="34" customFormat="1" spans="1:5">
      <c r="A144" s="39" t="s">
        <v>162</v>
      </c>
      <c r="B144" s="256">
        <f>COUNTIFS(总表!D:D,A144,总表!L:L,"&lt;&gt;",总表!E:E,$F$120,总表!E:E,$F$121)</f>
        <v>12</v>
      </c>
      <c r="C144" s="256">
        <f>SUMIFS(总表!N:N,总表!D:D,A144,总表!E:E,$F$120,总表!E:E,$F$121)</f>
        <v>144992</v>
      </c>
      <c r="D144" s="257">
        <f t="shared" si="4"/>
        <v>12082.6666666667</v>
      </c>
      <c r="E144" s="263" t="str">
        <f>VLOOKUP(A144,设计师对应店铺!A:B,COLUMN(设计师对应店铺!B:B)-COLUMN(设计师对应店铺!A:B)+1,0)</f>
        <v>真北店</v>
      </c>
    </row>
    <row r="145" s="34" customFormat="1" spans="1:5">
      <c r="A145" s="38" t="s">
        <v>68</v>
      </c>
      <c r="B145" s="256">
        <f>COUNTIFS(总表!D:D,A145,总表!L:L,"&lt;&gt;",总表!E:E,$F$120,总表!E:E,$F$121)</f>
        <v>2</v>
      </c>
      <c r="C145" s="256">
        <f>SUMIFS(总表!N:N,总表!D:D,A145,总表!E:E,$F$120,总表!E:E,$F$121)</f>
        <v>28064</v>
      </c>
      <c r="D145" s="254">
        <f t="shared" si="4"/>
        <v>14032</v>
      </c>
      <c r="E145" s="264" t="str">
        <f>VLOOKUP(A145,设计师对应店铺!A:B,COLUMN(设计师对应店铺!B:B)-COLUMN(设计师对应店铺!A:B)+1,0)</f>
        <v>沪南店</v>
      </c>
    </row>
    <row r="146" s="34" customFormat="1" spans="1:5">
      <c r="A146" s="39" t="s">
        <v>37</v>
      </c>
      <c r="B146" s="256">
        <f>COUNTIFS(总表!D:D,A146,总表!L:L,"&lt;&gt;",总表!E:E,$F$120,总表!E:E,$F$121)</f>
        <v>14</v>
      </c>
      <c r="C146" s="256">
        <f>SUMIFS(总表!N:N,总表!D:D,A146,总表!E:E,$F$120,总表!E:E,$F$121)</f>
        <v>251351</v>
      </c>
      <c r="D146" s="257">
        <f t="shared" si="4"/>
        <v>17953.6428571429</v>
      </c>
      <c r="E146" s="263" t="str">
        <f>VLOOKUP(A146,设计师对应店铺!A:B,COLUMN(设计师对应店铺!B:B)-COLUMN(设计师对应店铺!A:B)+1,0)</f>
        <v>浦江店</v>
      </c>
    </row>
    <row r="147" s="34" customFormat="1" spans="1:5">
      <c r="A147" s="38" t="s">
        <v>149</v>
      </c>
      <c r="B147" s="256">
        <f>COUNTIFS(总表!D:D,A147,总表!L:L,"&lt;&gt;",总表!E:E,$F$120,总表!E:E,$F$121)</f>
        <v>5</v>
      </c>
      <c r="C147" s="256">
        <f>SUMIFS(总表!N:N,总表!D:D,A147,总表!E:E,$F$120,总表!E:E,$F$121)</f>
        <v>75605</v>
      </c>
      <c r="D147" s="254">
        <f t="shared" si="4"/>
        <v>15121</v>
      </c>
      <c r="E147" s="264" t="str">
        <f>VLOOKUP(A147,设计师对应店铺!A:B,COLUMN(设计师对应店铺!B:B)-COLUMN(设计师对应店铺!A:B)+1,0)</f>
        <v>百安居</v>
      </c>
    </row>
    <row r="148" s="34" customFormat="1" spans="1:5">
      <c r="A148" s="39" t="s">
        <v>361</v>
      </c>
      <c r="B148" s="256">
        <f>COUNTIFS(总表!D:D,A148,总表!L:L,"&lt;&gt;",总表!E:E,$F$120,总表!E:E,$F$121)</f>
        <v>0</v>
      </c>
      <c r="C148" s="256">
        <f>SUMIFS(总表!N:N,总表!D:D,A148,总表!E:E,$F$120,总表!E:E,$F$121)</f>
        <v>0</v>
      </c>
      <c r="D148" s="257" t="e">
        <f t="shared" si="4"/>
        <v>#DIV/0!</v>
      </c>
      <c r="E148" s="263" t="str">
        <f>VLOOKUP(A148,设计师对应店铺!A:B,COLUMN(设计师对应店铺!B:B)-COLUMN(设计师对应店铺!A:B)+1,0)</f>
        <v>美美家自配</v>
      </c>
    </row>
    <row r="149" s="34" customFormat="1" spans="1:5">
      <c r="A149" s="38" t="s">
        <v>191</v>
      </c>
      <c r="B149" s="256">
        <f>COUNTIFS(总表!D:D,A149,总表!L:L,"&lt;&gt;",总表!E:E,$F$120,总表!E:E,$F$121)</f>
        <v>0</v>
      </c>
      <c r="C149" s="256">
        <f>SUMIFS(总表!N:N,总表!D:D,A149,总表!E:E,$F$120,总表!E:E,$F$121)</f>
        <v>-267</v>
      </c>
      <c r="D149" s="254" t="e">
        <f t="shared" si="4"/>
        <v>#DIV/0!</v>
      </c>
      <c r="E149" s="264" t="str">
        <f>VLOOKUP(A149,设计师对应店铺!A:B,COLUMN(设计师对应店铺!B:B)-COLUMN(设计师对应店铺!A:B)+1,0)</f>
        <v>家饰佳</v>
      </c>
    </row>
    <row r="150" s="34" customFormat="1" spans="1:5">
      <c r="A150" s="39" t="s">
        <v>1422</v>
      </c>
      <c r="B150" s="256">
        <f>COUNTIFS(总表!D:D,A150,总表!L:L,"&lt;&gt;",总表!E:E,$F$120,总表!E:E,$F$121)</f>
        <v>0</v>
      </c>
      <c r="C150" s="256">
        <f>SUMIFS(总表!N:N,总表!D:D,A150,总表!E:E,$F$120,总表!E:E,$F$121)</f>
        <v>0</v>
      </c>
      <c r="D150" s="257" t="e">
        <f t="shared" si="4"/>
        <v>#DIV/0!</v>
      </c>
      <c r="E150" s="263" t="str">
        <f>VLOOKUP(A150,设计师对应店铺!A:B,COLUMN(设计师对应店铺!B:B)-COLUMN(设计师对应店铺!A:B)+1,0)</f>
        <v>金山店</v>
      </c>
    </row>
    <row r="151" s="34" customFormat="1" spans="1:5">
      <c r="A151" s="38" t="s">
        <v>1170</v>
      </c>
      <c r="B151" s="256">
        <f>COUNTIFS(总表!D:D,A151,总表!L:L,"&lt;&gt;",总表!E:E,$F$120,总表!E:E,$F$121)</f>
        <v>2</v>
      </c>
      <c r="C151" s="256">
        <f>SUMIFS(总表!N:N,总表!D:D,A151,总表!E:E,$F$120,总表!E:E,$F$121)</f>
        <v>37938</v>
      </c>
      <c r="D151" s="254">
        <f t="shared" si="4"/>
        <v>18969</v>
      </c>
      <c r="E151" s="264" t="str">
        <f>VLOOKUP(A151,设计师对应店铺!A:B,COLUMN(设计师对应店铺!B:B)-COLUMN(设计师对应店铺!A:B)+1,0)</f>
        <v>百安居</v>
      </c>
    </row>
    <row r="152" s="34" customFormat="1" spans="1:5">
      <c r="A152" s="39" t="s">
        <v>10268</v>
      </c>
      <c r="B152" s="256">
        <f>COUNTIFS(总表!D:D,A152,总表!L:L,"&lt;&gt;",总表!E:E,$F$120,总表!E:E,$F$121)</f>
        <v>0</v>
      </c>
      <c r="C152" s="256">
        <f>SUMIFS(总表!N:N,总表!D:D,A152,总表!E:E,$F$120,总表!E:E,$F$121)</f>
        <v>0</v>
      </c>
      <c r="D152" s="257" t="e">
        <f t="shared" si="4"/>
        <v>#DIV/0!</v>
      </c>
      <c r="E152" s="263" t="str">
        <f>VLOOKUP(A152,设计师对应店铺!A:B,COLUMN(设计师对应店铺!B:B)-COLUMN(设计师对应店铺!A:B)+1,0)</f>
        <v>尚品宅配</v>
      </c>
    </row>
    <row r="153" s="34" customFormat="1" spans="1:5">
      <c r="A153" s="38" t="s">
        <v>7871</v>
      </c>
      <c r="B153" s="256">
        <f>COUNTIFS(总表!D:D,A153,总表!L:L,"&lt;&gt;",总表!E:E,$F$120,总表!E:E,$F$121)</f>
        <v>1</v>
      </c>
      <c r="C153" s="256">
        <f>SUMIFS(总表!N:N,总表!D:D,A153,总表!E:E,$F$120,总表!E:E,$F$121)</f>
        <v>10496</v>
      </c>
      <c r="D153" s="254">
        <f t="shared" si="4"/>
        <v>10496</v>
      </c>
      <c r="E153" s="264" t="str">
        <f>VLOOKUP(A153,设计师对应店铺!A:B,COLUMN(设计师对应店铺!B:B)-COLUMN(设计师对应店铺!A:B)+1,0)</f>
        <v>兴明店自配</v>
      </c>
    </row>
    <row r="154" s="34" customFormat="1" spans="1:5">
      <c r="A154" s="39" t="s">
        <v>1436</v>
      </c>
      <c r="B154" s="256">
        <f>COUNTIFS(总表!D:D,A154,总表!L:L,"&lt;&gt;",总表!E:E,$F$120,总表!E:E,$F$121)</f>
        <v>4</v>
      </c>
      <c r="C154" s="256">
        <f>SUMIFS(总表!N:N,总表!D:D,A154,总表!E:E,$F$120,总表!E:E,$F$121)</f>
        <v>44051</v>
      </c>
      <c r="D154" s="257">
        <f t="shared" si="4"/>
        <v>11012.75</v>
      </c>
      <c r="E154" s="263" t="str">
        <f>VLOOKUP(A154,设计师对应店铺!A:B,COLUMN(设计师对应店铺!B:B)-COLUMN(设计师对应店铺!A:B)+1,0)</f>
        <v>沪南店</v>
      </c>
    </row>
    <row r="155" s="34" customFormat="1" spans="1:5">
      <c r="A155" s="38" t="s">
        <v>427</v>
      </c>
      <c r="B155" s="256">
        <f>COUNTIFS(总表!D:D,A155,总表!L:L,"&lt;&gt;",总表!E:E,$F$120,总表!E:E,$F$121)</f>
        <v>4</v>
      </c>
      <c r="C155" s="256">
        <f>SUMIFS(总表!N:N,总表!D:D,A155,总表!E:E,$F$120,总表!E:E,$F$121)</f>
        <v>75120</v>
      </c>
      <c r="D155" s="254">
        <f t="shared" si="4"/>
        <v>18780</v>
      </c>
      <c r="E155" s="264" t="str">
        <f>VLOOKUP(A155,设计师对应店铺!A:B,COLUMN(设计师对应店铺!B:B)-COLUMN(设计师对应店铺!A:B)+1,0)</f>
        <v>百家宜</v>
      </c>
    </row>
    <row r="156" s="34" customFormat="1" spans="1:5">
      <c r="A156" s="39" t="s">
        <v>60</v>
      </c>
      <c r="B156" s="256">
        <f>COUNTIFS(总表!D:D,A156,总表!L:L,"&lt;&gt;",总表!E:E,$F$120,总表!E:E,$F$121)</f>
        <v>0</v>
      </c>
      <c r="C156" s="256">
        <f>SUMIFS(总表!N:N,总表!D:D,A156,总表!E:E,$F$120,总表!E:E,$F$121)</f>
        <v>-401</v>
      </c>
      <c r="D156" s="257" t="e">
        <f t="shared" si="4"/>
        <v>#DIV/0!</v>
      </c>
      <c r="E156" s="263" t="str">
        <f>VLOOKUP(A156,设计师对应店铺!A:B,COLUMN(设计师对应店铺!B:B)-COLUMN(设计师对应店铺!A:B)+1,0)</f>
        <v>家饰佳</v>
      </c>
    </row>
    <row r="157" s="34" customFormat="1" spans="1:5">
      <c r="A157" s="38" t="s">
        <v>75</v>
      </c>
      <c r="B157" s="256">
        <f>COUNTIFS(总表!D:D,A157,总表!L:L,"&lt;&gt;",总表!E:E,$F$120,总表!E:E,$F$121)</f>
        <v>8</v>
      </c>
      <c r="C157" s="256">
        <f>SUMIFS(总表!N:N,总表!D:D,A157,总表!E:E,$F$120,总表!E:E,$F$121)</f>
        <v>336592</v>
      </c>
      <c r="D157" s="254">
        <f t="shared" si="4"/>
        <v>42074</v>
      </c>
      <c r="E157" s="264" t="str">
        <f>VLOOKUP(A157,设计师对应店铺!A:B,COLUMN(设计师对应店铺!B:B)-COLUMN(设计师对应店铺!A:B)+1,0)</f>
        <v>宜山经理</v>
      </c>
    </row>
    <row r="158" s="34" customFormat="1" spans="1:5">
      <c r="A158" s="39" t="s">
        <v>5336</v>
      </c>
      <c r="B158" s="256">
        <f>COUNTIFS(总表!D:D,A158,总表!L:L,"&lt;&gt;",总表!E:E,$F$120,总表!E:E,$F$121)</f>
        <v>0</v>
      </c>
      <c r="C158" s="256">
        <f>SUMIFS(总表!N:N,总表!D:D,A158,总表!E:E,$F$120,总表!E:E,$F$121)</f>
        <v>0</v>
      </c>
      <c r="D158" s="257" t="e">
        <f t="shared" si="4"/>
        <v>#DIV/0!</v>
      </c>
      <c r="E158" s="263" t="str">
        <f>VLOOKUP(A158,设计师对应店铺!A:B,COLUMN(设计师对应店铺!B:B)-COLUMN(设计师对应店铺!A:B)+1,0)</f>
        <v>尚品宅配</v>
      </c>
    </row>
    <row r="159" s="34" customFormat="1" spans="1:5">
      <c r="A159" s="38" t="s">
        <v>6313</v>
      </c>
      <c r="B159" s="256">
        <f>COUNTIFS(总表!D:D,A159,总表!L:L,"&lt;&gt;",总表!E:E,$F$120,总表!E:E,$F$121)</f>
        <v>0</v>
      </c>
      <c r="C159" s="256">
        <f>SUMIFS(总表!N:N,总表!D:D,A159,总表!E:E,$F$120,总表!E:E,$F$121)</f>
        <v>0</v>
      </c>
      <c r="D159" s="254" t="e">
        <f t="shared" si="4"/>
        <v>#DIV/0!</v>
      </c>
      <c r="E159" s="264" t="str">
        <f>VLOOKUP(A159,设计师对应店铺!A:B,COLUMN(设计师对应店铺!B:B)-COLUMN(设计师对应店铺!A:B)+1,0)</f>
        <v>兴明店</v>
      </c>
    </row>
    <row r="160" s="34" customFormat="1" spans="1:5">
      <c r="A160" s="39" t="s">
        <v>10001</v>
      </c>
      <c r="B160" s="256">
        <f>COUNTIFS(总表!D:D,A160,总表!L:L,"&lt;&gt;",总表!E:E,$F$120,总表!E:E,$F$121)</f>
        <v>0</v>
      </c>
      <c r="C160" s="256">
        <f>SUMIFS(总表!N:N,总表!D:D,A160,总表!E:E,$F$120,总表!E:E,$F$121)</f>
        <v>0</v>
      </c>
      <c r="D160" s="257" t="e">
        <f t="shared" si="4"/>
        <v>#DIV/0!</v>
      </c>
      <c r="E160" s="263" t="str">
        <f>VLOOKUP(A160,设计师对应店铺!A:B,COLUMN(设计师对应店铺!B:B)-COLUMN(设计师对应店铺!A:B)+1,0)</f>
        <v>尚品宅配</v>
      </c>
    </row>
    <row r="161" spans="1:5">
      <c r="A161" s="38" t="s">
        <v>9944</v>
      </c>
      <c r="B161" s="256">
        <f>COUNTIFS(总表!D:D,A161,总表!L:L,"&lt;&gt;",总表!E:E,$F$120,总表!E:E,$F$121)</f>
        <v>0</v>
      </c>
      <c r="C161" s="256">
        <f>SUMIFS(总表!N:N,总表!D:D,A161,总表!E:E,$F$120,总表!E:E,$F$121)</f>
        <v>0</v>
      </c>
      <c r="D161" s="254" t="e">
        <f t="shared" si="4"/>
        <v>#DIV/0!</v>
      </c>
      <c r="E161" s="264" t="str">
        <f>VLOOKUP(A161,设计师对应店铺!A:B,COLUMN(设计师对应店铺!B:B)-COLUMN(设计师对应店铺!A:B)+1,0)</f>
        <v>尚品宅配</v>
      </c>
    </row>
    <row r="162" spans="1:5">
      <c r="A162" s="39" t="s">
        <v>237</v>
      </c>
      <c r="B162" s="256">
        <f>COUNTIFS(总表!D:D,A162,总表!L:L,"&lt;&gt;",总表!E:E,$F$120,总表!E:E,$F$121)</f>
        <v>3</v>
      </c>
      <c r="C162" s="256">
        <f>SUMIFS(总表!N:N,总表!D:D,A162,总表!E:E,$F$120,总表!E:E,$F$121)</f>
        <v>42156</v>
      </c>
      <c r="D162" s="257">
        <f t="shared" si="4"/>
        <v>14052</v>
      </c>
      <c r="E162" s="263" t="str">
        <f>VLOOKUP(A162,设计师对应店铺!A:B,COLUMN(设计师对应店铺!B:B)-COLUMN(设计师对应店铺!A:B)+1,0)</f>
        <v>百安居</v>
      </c>
    </row>
    <row r="163" spans="1:5">
      <c r="A163" s="38" t="s">
        <v>2381</v>
      </c>
      <c r="B163" s="256">
        <f>COUNTIFS(总表!D:D,A163,总表!L:L,"&lt;&gt;",总表!E:E,$F$120,总表!E:E,$F$121)</f>
        <v>6</v>
      </c>
      <c r="C163" s="256">
        <f>SUMIFS(总表!N:N,总表!D:D,A163,总表!E:E,$F$120,总表!E:E,$F$121)</f>
        <v>41229</v>
      </c>
      <c r="D163" s="254">
        <f t="shared" si="4"/>
        <v>6871.5</v>
      </c>
      <c r="E163" s="264" t="str">
        <f>VLOOKUP(A163,设计师对应店铺!A:B,COLUMN(设计师对应店铺!B:B)-COLUMN(设计师对应店铺!A:B)+1,0)</f>
        <v>家饰佳</v>
      </c>
    </row>
    <row r="164" spans="1:5">
      <c r="A164" s="39" t="s">
        <v>8334</v>
      </c>
      <c r="B164" s="256">
        <f>COUNTIFS(总表!D:D,A164,总表!L:L,"&lt;&gt;",总表!E:E,$F$120,总表!E:E,$F$121)</f>
        <v>5</v>
      </c>
      <c r="C164" s="256">
        <f>SUMIFS(总表!N:N,总表!D:D,A164,总表!E:E,$F$120,总表!E:E,$F$121)</f>
        <v>46064</v>
      </c>
      <c r="D164" s="257">
        <f t="shared" si="4"/>
        <v>9212.8</v>
      </c>
      <c r="E164" s="263" t="str">
        <f>VLOOKUP(A164,设计师对应店铺!A:B,COLUMN(设计师对应店铺!B:B)-COLUMN(设计师对应店铺!A:B)+1,0)</f>
        <v>尚品宅配</v>
      </c>
    </row>
    <row r="165" spans="1:5">
      <c r="A165" s="38" t="s">
        <v>356</v>
      </c>
      <c r="B165" s="256">
        <f>COUNTIFS(总表!D:D,A165,总表!L:L,"&lt;&gt;",总表!E:E,$F$120,总表!E:E,$F$121)</f>
        <v>0</v>
      </c>
      <c r="C165" s="256">
        <f>SUMIFS(总表!N:N,总表!D:D,A165,总表!E:E,$F$120,总表!E:E,$F$121)</f>
        <v>0</v>
      </c>
      <c r="D165" s="254" t="e">
        <f t="shared" si="4"/>
        <v>#DIV/0!</v>
      </c>
      <c r="E165" s="264" t="str">
        <f>VLOOKUP(A165,设计师对应店铺!A:B,COLUMN(设计师对应店铺!B:B)-COLUMN(设计师对应店铺!A:B)+1,0)</f>
        <v>百安居</v>
      </c>
    </row>
    <row r="166" spans="1:5">
      <c r="A166" s="39" t="s">
        <v>3965</v>
      </c>
      <c r="B166" s="256">
        <f>COUNTIFS(总表!D:D,A166,总表!L:L,"&lt;&gt;",总表!E:E,$F$120,总表!E:E,$F$121)</f>
        <v>0</v>
      </c>
      <c r="C166" s="256">
        <f>SUMIFS(总表!N:N,总表!D:D,A166,总表!E:E,$F$120,总表!E:E,$F$121)</f>
        <v>0</v>
      </c>
      <c r="D166" s="257" t="e">
        <f t="shared" si="4"/>
        <v>#DIV/0!</v>
      </c>
      <c r="E166" s="263" t="str">
        <f>VLOOKUP(A166,设计师对应店铺!A:B,COLUMN(设计师对应店铺!B:B)-COLUMN(设计师对应店铺!A:B)+1,0)</f>
        <v>奉贤、金山、南汇、松江</v>
      </c>
    </row>
    <row r="167" spans="1:5">
      <c r="A167" s="38" t="s">
        <v>1431</v>
      </c>
      <c r="B167" s="256">
        <f>COUNTIFS(总表!D:D,A167,总表!L:L,"&lt;&gt;",总表!E:E,$F$120,总表!E:E,$F$121)</f>
        <v>4</v>
      </c>
      <c r="C167" s="256">
        <f>SUMIFS(总表!N:N,总表!D:D,A167,总表!E:E,$F$120,总表!E:E,$F$121)</f>
        <v>29085</v>
      </c>
      <c r="D167" s="254">
        <f t="shared" si="4"/>
        <v>7271.25</v>
      </c>
      <c r="E167" s="264" t="str">
        <f>VLOOKUP(A167,设计师对应店铺!A:B,COLUMN(设计师对应店铺!B:B)-COLUMN(设计师对应店铺!A:B)+1,0)</f>
        <v>真北店</v>
      </c>
    </row>
    <row r="168" spans="1:5">
      <c r="A168" s="39" t="s">
        <v>5337</v>
      </c>
      <c r="B168" s="256">
        <f>COUNTIFS(总表!D:D,A168,总表!L:L,"&lt;&gt;",总表!E:E,$F$120,总表!E:E,$F$121)</f>
        <v>0</v>
      </c>
      <c r="C168" s="256">
        <f>SUMIFS(总表!N:N,总表!D:D,A168,总表!E:E,$F$120,总表!E:E,$F$121)</f>
        <v>0</v>
      </c>
      <c r="D168" s="257" t="e">
        <f t="shared" si="4"/>
        <v>#DIV/0!</v>
      </c>
      <c r="E168" s="263" t="str">
        <f>VLOOKUP(A168,设计师对应店铺!A:B,COLUMN(设计师对应店铺!B:B)-COLUMN(设计师对应店铺!A:B)+1,0)</f>
        <v>尚品宅配</v>
      </c>
    </row>
    <row r="169" spans="1:5">
      <c r="A169" s="38" t="s">
        <v>115</v>
      </c>
      <c r="B169" s="256">
        <f>COUNTIFS(总表!D:D,A169,总表!L:L,"&lt;&gt;",总表!E:E,$F$120,总表!E:E,$F$121)</f>
        <v>0</v>
      </c>
      <c r="C169" s="256">
        <f>SUMIFS(总表!N:N,总表!D:D,A169,总表!E:E,$F$120,总表!E:E,$F$121)</f>
        <v>0</v>
      </c>
      <c r="D169" s="254" t="e">
        <f t="shared" si="4"/>
        <v>#DIV/0!</v>
      </c>
      <c r="E169" s="264" t="str">
        <f>VLOOKUP(A169,设计师对应店铺!A:B,COLUMN(设计师对应店铺!B:B)-COLUMN(设计师对应店铺!A:B)+1,0)</f>
        <v>奉贤、金山、南汇、松江</v>
      </c>
    </row>
    <row r="170" spans="1:5">
      <c r="A170" s="39" t="s">
        <v>21268</v>
      </c>
      <c r="B170" s="256">
        <f>COUNTIFS(总表!D:D,A170,总表!L:L,"&lt;&gt;",总表!E:E,$F$120,总表!E:E,$F$121)</f>
        <v>0</v>
      </c>
      <c r="C170" s="256">
        <f>SUMIFS(总表!N:N,总表!D:D,A170,总表!E:E,$F$120,总表!E:E,$F$121)</f>
        <v>0</v>
      </c>
      <c r="D170" s="257" t="e">
        <f t="shared" si="4"/>
        <v>#DIV/0!</v>
      </c>
      <c r="E170" s="263" t="str">
        <f>VLOOKUP(A170,设计师对应店铺!A:B,COLUMN(设计师对应店铺!B:B)-COLUMN(设计师对应店铺!A:B)+1,0)</f>
        <v>金山店</v>
      </c>
    </row>
    <row r="171" spans="1:5">
      <c r="A171" s="38" t="s">
        <v>5695</v>
      </c>
      <c r="B171" s="256">
        <f>COUNTIFS(总表!D:D,A171,总表!L:L,"&lt;&gt;",总表!E:E,$F$120,总表!E:E,$F$121)</f>
        <v>0</v>
      </c>
      <c r="C171" s="256">
        <f>SUMIFS(总表!N:N,总表!D:D,A171,总表!E:E,$F$120,总表!E:E,$F$121)</f>
        <v>-50</v>
      </c>
      <c r="D171" s="254" t="e">
        <f t="shared" si="4"/>
        <v>#DIV/0!</v>
      </c>
      <c r="E171" s="264" t="str">
        <f>VLOOKUP(A171,设计师对应店铺!A:B,COLUMN(设计师对应店铺!B:B)-COLUMN(设计师对应店铺!A:B)+1,0)</f>
        <v>设计总监</v>
      </c>
    </row>
    <row r="172" spans="1:5">
      <c r="A172" s="39" t="s">
        <v>443</v>
      </c>
      <c r="B172" s="256">
        <f>COUNTIFS(总表!D:D,A172,总表!L:L,"&lt;&gt;",总表!E:E,$F$120,总表!E:E,$F$121)</f>
        <v>7</v>
      </c>
      <c r="C172" s="256">
        <f>SUMIFS(总表!N:N,总表!D:D,A172,总表!E:E,$F$120,总表!E:E,$F$121)</f>
        <v>131550</v>
      </c>
      <c r="D172" s="257">
        <f t="shared" si="4"/>
        <v>18792.8571428571</v>
      </c>
      <c r="E172" s="263" t="str">
        <f>VLOOKUP(A172,设计师对应店铺!A:B,COLUMN(设计师对应店铺!B:B)-COLUMN(设计师对应店铺!A:B)+1,0)</f>
        <v>家饰佳</v>
      </c>
    </row>
    <row r="173" spans="1:5">
      <c r="A173" s="38" t="s">
        <v>717</v>
      </c>
      <c r="B173" s="256">
        <f>COUNTIFS(总表!D:D,A173,总表!L:L,"&lt;&gt;",总表!E:E,$F$120,总表!E:E,$F$121)</f>
        <v>5</v>
      </c>
      <c r="C173" s="256">
        <f>SUMIFS(总表!N:N,总表!D:D,A173,总表!E:E,$F$120,总表!E:E,$F$121)</f>
        <v>1029145</v>
      </c>
      <c r="D173" s="257">
        <f t="shared" si="4"/>
        <v>205829</v>
      </c>
      <c r="E173" s="263">
        <f>VLOOKUP(A173,设计师对应店铺!A:B,COLUMN(设计师对应店铺!B:B)-COLUMN(设计师对应店铺!A:B)+1,0)</f>
        <v>0</v>
      </c>
    </row>
  </sheetData>
  <autoFilter ref="A62:E105">
    <sortState ref="A62:E105">
      <sortCondition ref="C62" descending="1"/>
    </sortState>
    <extLst/>
  </autoFilter>
  <mergeCells count="5">
    <mergeCell ref="A1:E1"/>
    <mergeCell ref="H1:L1"/>
    <mergeCell ref="O1:S1"/>
    <mergeCell ref="A60:E60"/>
    <mergeCell ref="A119:E119"/>
  </mergeCells>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0"/>
  <sheetViews>
    <sheetView topLeftCell="A110" workbookViewId="0">
      <selection activeCell="K143" sqref="K143"/>
    </sheetView>
  </sheetViews>
  <sheetFormatPr defaultColWidth="9" defaultRowHeight="16.5"/>
  <cols>
    <col min="1" max="1" width="10.125" style="34" customWidth="1"/>
    <col min="2" max="2" width="9.5" style="34" customWidth="1"/>
    <col min="3" max="3" width="14.625" style="34" customWidth="1"/>
    <col min="4" max="4" width="14.125" style="34" customWidth="1"/>
    <col min="5" max="5" width="21.5" style="34" customWidth="1"/>
    <col min="6" max="6" width="9" style="34"/>
    <col min="7" max="7" width="9.875" style="34" customWidth="1"/>
    <col min="8" max="8" width="9" style="34"/>
    <col min="9" max="9" width="13.375" style="34" customWidth="1"/>
    <col min="10" max="10" width="17" style="34" customWidth="1"/>
    <col min="11" max="11" width="21.75" style="34" customWidth="1"/>
    <col min="12" max="12" width="7.25" style="34" customWidth="1"/>
    <col min="13" max="13" width="13.625" style="34" customWidth="1"/>
    <col min="14" max="14" width="9.375" style="34" customWidth="1"/>
    <col min="15" max="15" width="12.625" style="34" customWidth="1"/>
    <col min="16" max="16" width="14.875" style="34" customWidth="1"/>
    <col min="17" max="17" width="21.375" style="34" customWidth="1"/>
    <col min="18" max="16384" width="9" style="34"/>
  </cols>
  <sheetData>
    <row r="1" s="34" customFormat="1" spans="1:17">
      <c r="A1" s="247" t="s">
        <v>21269</v>
      </c>
      <c r="B1" s="248"/>
      <c r="C1" s="248"/>
      <c r="D1" s="248"/>
      <c r="E1" s="250"/>
      <c r="G1" s="247" t="s">
        <v>21270</v>
      </c>
      <c r="H1" s="248"/>
      <c r="I1" s="248"/>
      <c r="J1" s="248"/>
      <c r="K1" s="250"/>
      <c r="M1" s="247" t="s">
        <v>21271</v>
      </c>
      <c r="N1" s="248"/>
      <c r="O1" s="248"/>
      <c r="P1" s="248"/>
      <c r="Q1" s="250"/>
    </row>
    <row r="2" s="34" customFormat="1" spans="1:17">
      <c r="A2" s="261" t="s">
        <v>21234</v>
      </c>
      <c r="B2" s="261">
        <f>SUM(B4:B46)</f>
        <v>42</v>
      </c>
      <c r="C2" s="261">
        <f>SUM(C4:C46)</f>
        <v>602159</v>
      </c>
      <c r="D2" s="262">
        <f>C2/B2</f>
        <v>14337.119047619</v>
      </c>
      <c r="E2" s="262"/>
      <c r="G2" s="261" t="s">
        <v>21234</v>
      </c>
      <c r="H2" s="261">
        <f>SUM(H4:H46)</f>
        <v>127</v>
      </c>
      <c r="I2" s="261">
        <f>SUM(I4:I46)</f>
        <v>1766742</v>
      </c>
      <c r="J2" s="262">
        <f>I2/H2</f>
        <v>13911.3543307087</v>
      </c>
      <c r="K2" s="262"/>
      <c r="M2" s="261" t="s">
        <v>21234</v>
      </c>
      <c r="N2" s="261">
        <f>SUM(N4:N46)</f>
        <v>156</v>
      </c>
      <c r="O2" s="261">
        <f>SUM(O4:O46)</f>
        <v>2401436</v>
      </c>
      <c r="P2" s="262">
        <f>O2/N2</f>
        <v>15393.8205128205</v>
      </c>
      <c r="Q2" s="262"/>
    </row>
    <row r="3" s="34" customFormat="1" spans="1:17">
      <c r="A3" s="252" t="s">
        <v>30</v>
      </c>
      <c r="B3" s="253" t="s">
        <v>21258</v>
      </c>
      <c r="C3" s="253" t="s">
        <v>10</v>
      </c>
      <c r="D3" s="253" t="s">
        <v>21242</v>
      </c>
      <c r="E3" s="255" t="s">
        <v>21243</v>
      </c>
      <c r="G3" s="252" t="s">
        <v>30</v>
      </c>
      <c r="H3" s="253" t="s">
        <v>21258</v>
      </c>
      <c r="I3" s="253" t="s">
        <v>10</v>
      </c>
      <c r="J3" s="253" t="s">
        <v>21242</v>
      </c>
      <c r="K3" s="255" t="s">
        <v>21243</v>
      </c>
      <c r="M3" s="252" t="s">
        <v>30</v>
      </c>
      <c r="N3" s="253" t="s">
        <v>21258</v>
      </c>
      <c r="O3" s="253" t="s">
        <v>10</v>
      </c>
      <c r="P3" s="253" t="s">
        <v>21242</v>
      </c>
      <c r="Q3" s="255" t="s">
        <v>21243</v>
      </c>
    </row>
    <row r="4" s="34" customFormat="1" spans="1:17">
      <c r="A4" s="260" t="s">
        <v>143</v>
      </c>
      <c r="B4" s="256">
        <f>COUNTIFS(总表!D:D,A4,总表!L:L,"&lt;&gt;",总表!E:E,"&gt;=2019/8/1",总表!E:E,"&lt;=2019/8/4")</f>
        <v>1</v>
      </c>
      <c r="C4" s="256">
        <f>SUMIFS(总表!N:N,总表!D:D,A4,总表!E:E,"&gt;=2019/8/1",总表!E:E,"&lt;=2019/8/4")</f>
        <v>76446</v>
      </c>
      <c r="D4" s="257">
        <f t="shared" ref="D4:D46" si="0">C4/B4</f>
        <v>76446</v>
      </c>
      <c r="E4" s="263" t="str">
        <f>VLOOKUP(A4,设计师对应店铺!A:B,COLUMN(设计师对应店铺!B:B)-COLUMN(设计师对应店铺!A:B)+1,0)</f>
        <v>沪南店店长</v>
      </c>
      <c r="G4" s="260" t="s">
        <v>44</v>
      </c>
      <c r="H4" s="256">
        <f>COUNTIFS(总表!D:D,G4,总表!L:L,"&lt;&gt;",总表!E:E,"&gt;=2019/8/5",总表!E:E,"&lt;=2019/8/11")</f>
        <v>11</v>
      </c>
      <c r="I4" s="256">
        <f>SUMIFS(总表!N:N,总表!D:D,G4,总表!E:E,"&gt;=2019/8/5",总表!E:E,"&lt;=2019/8/11")</f>
        <v>189186</v>
      </c>
      <c r="J4" s="257">
        <f t="shared" ref="J4:J46" si="1">I4/H4</f>
        <v>17198.7272727273</v>
      </c>
      <c r="K4" s="263" t="str">
        <f>VLOOKUP(G4,设计师对应店铺!A:B,COLUMN(设计师对应店铺!B:B)-COLUMN(设计师对应店铺!A:B)+1,0)</f>
        <v>金桥店、百安居</v>
      </c>
      <c r="M4" s="260" t="s">
        <v>187</v>
      </c>
      <c r="N4" s="256">
        <f>COUNTIFS(总表!D:D,M4,总表!L:L,"&lt;&gt;",总表!E:E,"&gt;=2019/8/12",总表!E:E,"&lt;=2019/8/18")</f>
        <v>7</v>
      </c>
      <c r="O4" s="256">
        <f>SUMIFS(总表!N:N,总表!D:D,M4,总表!E:E,"&gt;=2019/8/12",总表!E:E,"&lt;=2019/8/18")</f>
        <v>276780</v>
      </c>
      <c r="P4" s="257">
        <f t="shared" ref="P4:P31" si="2">O4/N4</f>
        <v>39540</v>
      </c>
      <c r="Q4" s="263" t="str">
        <f>VLOOKUP(M4,设计师对应店铺!A:B,COLUMN(设计师对应店铺!B:B)-COLUMN(设计师对应店铺!A:B)+1,0)</f>
        <v>百家宜</v>
      </c>
    </row>
    <row r="5" s="34" customFormat="1" spans="1:17">
      <c r="A5" s="252" t="s">
        <v>49</v>
      </c>
      <c r="B5" s="253">
        <f>COUNTIFS(总表!D:D,A5,总表!L:L,"&lt;&gt;",总表!E:E,"&gt;=2019/8/1",总表!E:E,"&lt;=2019/8/4")</f>
        <v>5</v>
      </c>
      <c r="C5" s="253">
        <f>SUMIFS(总表!N:N,总表!D:D,A5,总表!E:E,"&gt;=2019/8/1",总表!E:E,"&lt;=2019/8/4")</f>
        <v>62894</v>
      </c>
      <c r="D5" s="254">
        <f t="shared" si="0"/>
        <v>12578.8</v>
      </c>
      <c r="E5" s="264" t="str">
        <f>VLOOKUP(A5,设计师对应店铺!A:B,COLUMN(设计师对应店铺!B:B)-COLUMN(设计师对应店铺!A:B)+1,0)</f>
        <v>奉贤、金山、南汇、松江</v>
      </c>
      <c r="G5" s="252" t="s">
        <v>89</v>
      </c>
      <c r="H5" s="253">
        <f>COUNTIFS(总表!D:D,G5,总表!L:L,"&lt;&gt;",总表!E:E,"&gt;=2019/8/5",总表!E:E,"&lt;=2019/8/11")</f>
        <v>11</v>
      </c>
      <c r="I5" s="253">
        <f>SUMIFS(总表!N:N,总表!D:D,G5,总表!E:E,"&gt;=2019/8/5",总表!E:E,"&lt;=2019/8/11")</f>
        <v>137284</v>
      </c>
      <c r="J5" s="254">
        <f t="shared" si="1"/>
        <v>12480.3636363636</v>
      </c>
      <c r="K5" s="264" t="str">
        <f>VLOOKUP(G5,设计师对应店铺!A:B,COLUMN(设计师对应店铺!B:B)-COLUMN(设计师对应店铺!A:B)+1,0)</f>
        <v>吉盛伟邦</v>
      </c>
      <c r="M5" s="252" t="s">
        <v>49</v>
      </c>
      <c r="N5" s="253">
        <f>COUNTIFS(总表!D:D,M5,总表!L:L,"&lt;&gt;",总表!E:E,"&gt;=2019/8/12",总表!E:E,"&lt;=2019/8/18")</f>
        <v>14</v>
      </c>
      <c r="O5" s="253">
        <f>SUMIFS(总表!N:N,总表!D:D,M5,总表!E:E,"&gt;=2019/8/12",总表!E:E,"&lt;=2019/8/18")</f>
        <v>276326</v>
      </c>
      <c r="P5" s="254">
        <f t="shared" si="2"/>
        <v>19737.5714285714</v>
      </c>
      <c r="Q5" s="264" t="str">
        <f>VLOOKUP(M5,设计师对应店铺!A:B,COLUMN(设计师对应店铺!B:B)-COLUMN(设计师对应店铺!A:B)+1,0)</f>
        <v>奉贤、金山、南汇、松江</v>
      </c>
    </row>
    <row r="6" s="34" customFormat="1" spans="1:17">
      <c r="A6" s="260" t="s">
        <v>75</v>
      </c>
      <c r="B6" s="256">
        <f>COUNTIFS(总表!D:D,A6,总表!L:L,"&lt;&gt;",总表!E:E,"&gt;=2019/8/1",总表!E:E,"&lt;=2019/8/4")</f>
        <v>3</v>
      </c>
      <c r="C6" s="256">
        <f>SUMIFS(总表!N:N,总表!D:D,A6,总表!E:E,"&gt;=2019/8/1",总表!E:E,"&lt;=2019/8/4")</f>
        <v>57621</v>
      </c>
      <c r="D6" s="257">
        <f t="shared" si="0"/>
        <v>19207</v>
      </c>
      <c r="E6" s="263" t="str">
        <f>VLOOKUP(A6,设计师对应店铺!A:B,COLUMN(设计师对应店铺!B:B)-COLUMN(设计师对应店铺!A:B)+1,0)</f>
        <v>宜山经理</v>
      </c>
      <c r="G6" s="260" t="s">
        <v>132</v>
      </c>
      <c r="H6" s="256">
        <f>COUNTIFS(总表!D:D,G6,总表!L:L,"&lt;&gt;",总表!E:E,"&gt;=2019/8/5",总表!E:E,"&lt;=2019/8/11")</f>
        <v>7</v>
      </c>
      <c r="I6" s="256">
        <f>SUMIFS(总表!N:N,总表!D:D,G6,总表!E:E,"&gt;=2019/8/5",总表!E:E,"&lt;=2019/8/11")</f>
        <v>127273</v>
      </c>
      <c r="J6" s="257">
        <f t="shared" si="1"/>
        <v>18181.8571428571</v>
      </c>
      <c r="K6" s="263" t="str">
        <f>VLOOKUP(G6,设计师对应店铺!A:B,COLUMN(设计师对应店铺!B:B)-COLUMN(设计师对应店铺!A:B)+1,0)</f>
        <v>真北店</v>
      </c>
      <c r="M6" s="260" t="s">
        <v>75</v>
      </c>
      <c r="N6" s="256">
        <f>COUNTIFS(总表!D:D,M6,总表!L:L,"&lt;&gt;",总表!E:E,"&gt;=2019/8/12",总表!E:E,"&lt;=2019/8/18")</f>
        <v>1</v>
      </c>
      <c r="O6" s="256">
        <f>SUMIFS(总表!N:N,总表!D:D,M6,总表!E:E,"&gt;=2019/8/12",总表!E:E,"&lt;=2019/8/18")</f>
        <v>150078</v>
      </c>
      <c r="P6" s="257">
        <f t="shared" si="2"/>
        <v>150078</v>
      </c>
      <c r="Q6" s="263" t="str">
        <f>VLOOKUP(M6,设计师对应店铺!A:B,COLUMN(设计师对应店铺!B:B)-COLUMN(设计师对应店铺!A:B)+1,0)</f>
        <v>宜山经理</v>
      </c>
    </row>
    <row r="7" s="34" customFormat="1" spans="1:17">
      <c r="A7" s="252" t="s">
        <v>44</v>
      </c>
      <c r="B7" s="253">
        <f>COUNTIFS(总表!D:D,A7,总表!L:L,"&lt;&gt;",总表!E:E,"&gt;=2019/8/1",总表!E:E,"&lt;=2019/8/4")</f>
        <v>5</v>
      </c>
      <c r="C7" s="253">
        <f>SUMIFS(总表!N:N,总表!D:D,A7,总表!E:E,"&gt;=2019/8/1",总表!E:E,"&lt;=2019/8/4")</f>
        <v>50445</v>
      </c>
      <c r="D7" s="254">
        <f t="shared" si="0"/>
        <v>10089</v>
      </c>
      <c r="E7" s="264" t="str">
        <f>VLOOKUP(A7,设计师对应店铺!A:B,COLUMN(设计师对应店铺!B:B)-COLUMN(设计师对应店铺!A:B)+1,0)</f>
        <v>金桥店、百安居</v>
      </c>
      <c r="G7" s="252" t="s">
        <v>187</v>
      </c>
      <c r="H7" s="253">
        <f>COUNTIFS(总表!D:D,G7,总表!L:L,"&lt;&gt;",总表!E:E,"&gt;=2019/8/5",总表!E:E,"&lt;=2019/8/11")</f>
        <v>7</v>
      </c>
      <c r="I7" s="253">
        <f>SUMIFS(总表!N:N,总表!D:D,G7,总表!E:E,"&gt;=2019/8/5",总表!E:E,"&lt;=2019/8/11")</f>
        <v>117280</v>
      </c>
      <c r="J7" s="254">
        <f t="shared" si="1"/>
        <v>16754.2857142857</v>
      </c>
      <c r="K7" s="264" t="str">
        <f>VLOOKUP(G7,设计师对应店铺!A:B,COLUMN(设计师对应店铺!B:B)-COLUMN(设计师对应店铺!A:B)+1,0)</f>
        <v>百家宜</v>
      </c>
      <c r="M7" s="252" t="s">
        <v>110</v>
      </c>
      <c r="N7" s="253">
        <f>COUNTIFS(总表!D:D,M7,总表!L:L,"&lt;&gt;",总表!E:E,"&gt;=2019/8/12",总表!E:E,"&lt;=2019/8/18")</f>
        <v>9</v>
      </c>
      <c r="O7" s="253">
        <f>SUMIFS(总表!N:N,总表!D:D,M7,总表!E:E,"&gt;=2019/8/12",总表!E:E,"&lt;=2019/8/18")</f>
        <v>124276</v>
      </c>
      <c r="P7" s="254">
        <f t="shared" si="2"/>
        <v>13808.4444444444</v>
      </c>
      <c r="Q7" s="264" t="str">
        <f>VLOOKUP(M7,设计师对应店铺!A:B,COLUMN(设计师对应店铺!B:B)-COLUMN(设计师对应店铺!A:B)+1,0)</f>
        <v>喜盈门</v>
      </c>
    </row>
    <row r="8" s="34" customFormat="1" spans="1:17">
      <c r="A8" s="260" t="s">
        <v>271</v>
      </c>
      <c r="B8" s="256">
        <f>COUNTIFS(总表!D:D,A8,总表!L:L,"&lt;&gt;",总表!E:E,"&gt;=2019/8/1",总表!E:E,"&lt;=2019/8/4")</f>
        <v>2</v>
      </c>
      <c r="C8" s="256">
        <f>SUMIFS(总表!N:N,总表!D:D,A8,总表!E:E,"&gt;=2019/8/1",总表!E:E,"&lt;=2019/8/4")</f>
        <v>48438</v>
      </c>
      <c r="D8" s="257">
        <f t="shared" si="0"/>
        <v>24219</v>
      </c>
      <c r="E8" s="263" t="str">
        <f>VLOOKUP(A8,设计师对应店铺!A:B,COLUMN(设计师对应店铺!B:B)-COLUMN(设计师对应店铺!A:B)+1,0)</f>
        <v>喜盈门</v>
      </c>
      <c r="G8" s="260" t="s">
        <v>337</v>
      </c>
      <c r="H8" s="256">
        <f>COUNTIFS(总表!D:D,G8,总表!L:L,"&lt;&gt;",总表!E:E,"&gt;=2019/8/5",总表!E:E,"&lt;=2019/8/11")</f>
        <v>5</v>
      </c>
      <c r="I8" s="256">
        <f>SUMIFS(总表!N:N,总表!D:D,G8,总表!E:E,"&gt;=2019/8/5",总表!E:E,"&lt;=2019/8/11")</f>
        <v>116275</v>
      </c>
      <c r="J8" s="257">
        <f t="shared" si="1"/>
        <v>23255</v>
      </c>
      <c r="K8" s="263" t="str">
        <f>VLOOKUP(G8,设计师对应店铺!A:B,COLUMN(设计师对应店铺!B:B)-COLUMN(设计师对应店铺!A:B)+1,0)</f>
        <v>建配龙</v>
      </c>
      <c r="M8" s="260" t="s">
        <v>337</v>
      </c>
      <c r="N8" s="256">
        <f>COUNTIFS(总表!D:D,M8,总表!L:L,"&lt;&gt;",总表!E:E,"&gt;=2019/8/12",总表!E:E,"&lt;=2019/8/18")</f>
        <v>8</v>
      </c>
      <c r="O8" s="256">
        <f>SUMIFS(总表!N:N,总表!D:D,M8,总表!E:E,"&gt;=2019/8/12",总表!E:E,"&lt;=2019/8/18")</f>
        <v>107250</v>
      </c>
      <c r="P8" s="257">
        <f t="shared" si="2"/>
        <v>13406.25</v>
      </c>
      <c r="Q8" s="263" t="str">
        <f>VLOOKUP(M8,设计师对应店铺!A:B,COLUMN(设计师对应店铺!B:B)-COLUMN(设计师对应店铺!A:B)+1,0)</f>
        <v>建配龙</v>
      </c>
    </row>
    <row r="9" s="34" customFormat="1" spans="1:17">
      <c r="A9" s="252" t="s">
        <v>125</v>
      </c>
      <c r="B9" s="253">
        <f>COUNTIFS(总表!D:D,A9,总表!L:L,"&lt;&gt;",总表!E:E,"&gt;=2019/8/1",总表!E:E,"&lt;=2019/8/4")</f>
        <v>3</v>
      </c>
      <c r="C9" s="253">
        <f>SUMIFS(总表!N:N,总表!D:D,A9,总表!E:E,"&gt;=2019/8/1",总表!E:E,"&lt;=2019/8/4")</f>
        <v>45107</v>
      </c>
      <c r="D9" s="254">
        <f t="shared" si="0"/>
        <v>15035.6666666667</v>
      </c>
      <c r="E9" s="264" t="str">
        <f>VLOOKUP(A9,设计师对应店铺!A:B,COLUMN(设计师对应店铺!B:B)-COLUMN(设计师对应店铺!A:B)+1,0)</f>
        <v>同福店店长</v>
      </c>
      <c r="G9" s="252" t="s">
        <v>635</v>
      </c>
      <c r="H9" s="253">
        <f>COUNTIFS(总表!D:D,G9,总表!L:L,"&lt;&gt;",总表!E:E,"&gt;=2019/8/5",总表!E:E,"&lt;=2019/8/11")</f>
        <v>6</v>
      </c>
      <c r="I9" s="253">
        <f>SUMIFS(总表!N:N,总表!D:D,G9,总表!E:E,"&gt;=2019/8/5",总表!E:E,"&lt;=2019/8/11")</f>
        <v>99299</v>
      </c>
      <c r="J9" s="254">
        <f t="shared" si="1"/>
        <v>16549.8333333333</v>
      </c>
      <c r="K9" s="264" t="str">
        <f>VLOOKUP(G9,设计师对应店铺!A:B,COLUMN(设计师对应店铺!B:B)-COLUMN(设计师对应店铺!A:B)+1,0)</f>
        <v>家饰佳、兴力达</v>
      </c>
      <c r="M9" s="252" t="s">
        <v>221</v>
      </c>
      <c r="N9" s="253">
        <f>COUNTIFS(总表!D:D,M9,总表!L:L,"&lt;&gt;",总表!E:E,"&gt;=2019/8/12",总表!E:E,"&lt;=2019/8/18")</f>
        <v>8</v>
      </c>
      <c r="O9" s="253">
        <f>SUMIFS(总表!N:N,总表!D:D,M9,总表!E:E,"&gt;=2019/8/12",总表!E:E,"&lt;=2019/8/18")</f>
        <v>106709</v>
      </c>
      <c r="P9" s="254">
        <f t="shared" si="2"/>
        <v>13338.625</v>
      </c>
      <c r="Q9" s="264" t="str">
        <f>VLOOKUP(M9,设计师对应店铺!A:B,COLUMN(设计师对应店铺!B:B)-COLUMN(设计师对应店铺!A:B)+1,0)</f>
        <v>汶水店</v>
      </c>
    </row>
    <row r="10" s="34" customFormat="1" spans="1:17">
      <c r="A10" s="260" t="s">
        <v>171</v>
      </c>
      <c r="B10" s="256">
        <f>COUNTIFS(总表!D:D,A10,总表!L:L,"&lt;&gt;",总表!E:E,"&gt;=2019/8/1",总表!E:E,"&lt;=2019/8/4")</f>
        <v>4</v>
      </c>
      <c r="C10" s="256">
        <f>SUMIFS(总表!N:N,总表!D:D,A10,总表!E:E,"&gt;=2019/8/1",总表!E:E,"&lt;=2019/8/4")</f>
        <v>43152</v>
      </c>
      <c r="D10" s="257">
        <f t="shared" si="0"/>
        <v>10788</v>
      </c>
      <c r="E10" s="263" t="str">
        <f>VLOOKUP(A10,设计师对应店铺!A:B,COLUMN(设计师对应店铺!B:B)-COLUMN(设计师对应店铺!A:B)+1,0)</f>
        <v>家饰佳、兴力达</v>
      </c>
      <c r="G10" s="260" t="s">
        <v>33</v>
      </c>
      <c r="H10" s="256">
        <f>COUNTIFS(总表!D:D,G10,总表!L:L,"&lt;&gt;",总表!E:E,"&gt;=2019/8/5",总表!E:E,"&lt;=2019/8/11")</f>
        <v>9</v>
      </c>
      <c r="I10" s="256">
        <f>SUMIFS(总表!N:N,总表!D:D,G10,总表!E:E,"&gt;=2019/8/5",总表!E:E,"&lt;=2019/8/11")</f>
        <v>98221</v>
      </c>
      <c r="J10" s="257">
        <f t="shared" si="1"/>
        <v>10913.4444444444</v>
      </c>
      <c r="K10" s="263" t="str">
        <f>VLOOKUP(G10,设计师对应店铺!A:B,COLUMN(设计师对应店铺!B:B)-COLUMN(设计师对应店铺!A:B)+1,0)</f>
        <v>汶水店</v>
      </c>
      <c r="M10" s="260" t="s">
        <v>143</v>
      </c>
      <c r="N10" s="256">
        <f>COUNTIFS(总表!D:D,M10,总表!L:L,"&lt;&gt;",总表!E:E,"&gt;=2019/8/12",总表!E:E,"&lt;=2019/8/18")</f>
        <v>5</v>
      </c>
      <c r="O10" s="256">
        <f>SUMIFS(总表!N:N,总表!D:D,M10,总表!E:E,"&gt;=2019/8/12",总表!E:E,"&lt;=2019/8/18")</f>
        <v>106291</v>
      </c>
      <c r="P10" s="257">
        <f t="shared" si="2"/>
        <v>21258.2</v>
      </c>
      <c r="Q10" s="263" t="str">
        <f>VLOOKUP(M10,设计师对应店铺!A:B,COLUMN(设计师对应店铺!B:B)-COLUMN(设计师对应店铺!A:B)+1,0)</f>
        <v>沪南店店长</v>
      </c>
    </row>
    <row r="11" s="34" customFormat="1" spans="1:17">
      <c r="A11" s="252" t="s">
        <v>33</v>
      </c>
      <c r="B11" s="253">
        <f>COUNTIFS(总表!D:D,A11,总表!L:L,"&lt;&gt;",总表!E:E,"&gt;=2019/8/1",总表!E:E,"&lt;=2019/8/4")</f>
        <v>3</v>
      </c>
      <c r="C11" s="253">
        <f>SUMIFS(总表!N:N,总表!D:D,A11,总表!E:E,"&gt;=2019/8/1",总表!E:E,"&lt;=2019/8/4")</f>
        <v>31932</v>
      </c>
      <c r="D11" s="254">
        <f t="shared" si="0"/>
        <v>10644</v>
      </c>
      <c r="E11" s="264" t="str">
        <f>VLOOKUP(A11,设计师对应店铺!A:B,COLUMN(设计师对应店铺!B:B)-COLUMN(设计师对应店铺!A:B)+1,0)</f>
        <v>汶水店</v>
      </c>
      <c r="G11" s="252" t="s">
        <v>343</v>
      </c>
      <c r="H11" s="253">
        <f>COUNTIFS(总表!D:D,G11,总表!L:L,"&lt;&gt;",总表!E:E,"&gt;=2019/8/5",总表!E:E,"&lt;=2019/8/11")</f>
        <v>3</v>
      </c>
      <c r="I11" s="253">
        <f>SUMIFS(总表!N:N,总表!D:D,G11,总表!E:E,"&gt;=2019/8/5",总表!E:E,"&lt;=2019/8/11")</f>
        <v>87933</v>
      </c>
      <c r="J11" s="254">
        <f t="shared" si="1"/>
        <v>29311</v>
      </c>
      <c r="K11" s="264" t="str">
        <f>VLOOKUP(G11,设计师对应店铺!A:B,COLUMN(设计师对应店铺!B:B)-COLUMN(设计师对应店铺!A:B)+1,0)</f>
        <v>喜盈门</v>
      </c>
      <c r="M11" s="252" t="s">
        <v>155</v>
      </c>
      <c r="N11" s="253">
        <f>COUNTIFS(总表!D:D,M11,总表!L:L,"&lt;&gt;",总表!E:E,"&gt;=2019/8/12",总表!E:E,"&lt;=2019/8/18")</f>
        <v>10</v>
      </c>
      <c r="O11" s="253">
        <f>SUMIFS(总表!N:N,总表!D:D,M11,总表!E:E,"&gt;=2019/8/12",总表!E:E,"&lt;=2019/8/18")</f>
        <v>104891</v>
      </c>
      <c r="P11" s="254">
        <f t="shared" si="2"/>
        <v>10489.1</v>
      </c>
      <c r="Q11" s="264" t="str">
        <f>VLOOKUP(M11,设计师对应店铺!A:B,COLUMN(设计师对应店铺!B:B)-COLUMN(设计师对应店铺!A:B)+1,0)</f>
        <v>好饰家</v>
      </c>
    </row>
    <row r="12" s="34" customFormat="1" spans="1:17">
      <c r="A12" s="260" t="s">
        <v>221</v>
      </c>
      <c r="B12" s="256">
        <f>COUNTIFS(总表!D:D,A12,总表!L:L,"&lt;&gt;",总表!E:E,"&gt;=2019/8/1",总表!E:E,"&lt;=2019/8/4")</f>
        <v>1</v>
      </c>
      <c r="C12" s="256">
        <f>SUMIFS(总表!N:N,总表!D:D,A12,总表!E:E,"&gt;=2019/8/1",总表!E:E,"&lt;=2019/8/4")</f>
        <v>30511</v>
      </c>
      <c r="D12" s="257">
        <f t="shared" si="0"/>
        <v>30511</v>
      </c>
      <c r="E12" s="263" t="str">
        <f>VLOOKUP(A12,设计师对应店铺!A:B,COLUMN(设计师对应店铺!B:B)-COLUMN(设计师对应店铺!A:B)+1,0)</f>
        <v>汶水店</v>
      </c>
      <c r="G12" s="260" t="s">
        <v>139</v>
      </c>
      <c r="H12" s="256">
        <f>COUNTIFS(总表!D:D,G12,总表!L:L,"&lt;&gt;",总表!E:E,"&gt;=2019/8/5",总表!E:E,"&lt;=2019/8/11")</f>
        <v>6</v>
      </c>
      <c r="I12" s="256">
        <f>SUMIFS(总表!N:N,总表!D:D,G12,总表!E:E,"&gt;=2019/8/5",总表!E:E,"&lt;=2019/8/11")</f>
        <v>86843</v>
      </c>
      <c r="J12" s="257">
        <f t="shared" si="1"/>
        <v>14473.8333333333</v>
      </c>
      <c r="K12" s="263" t="str">
        <f>VLOOKUP(G12,设计师对应店铺!A:B,COLUMN(设计师对应店铺!B:B)-COLUMN(设计师对应店铺!A:B)+1,0)</f>
        <v>家饰佳</v>
      </c>
      <c r="M12" s="260" t="s">
        <v>162</v>
      </c>
      <c r="N12" s="256">
        <f>COUNTIFS(总表!D:D,M12,总表!L:L,"&lt;&gt;",总表!E:E,"&gt;=2019/8/12",总表!E:E,"&lt;=2019/8/18")</f>
        <v>6</v>
      </c>
      <c r="O12" s="256">
        <f>SUMIFS(总表!N:N,总表!D:D,M12,总表!E:E,"&gt;=2019/8/12",总表!E:E,"&lt;=2019/8/18")</f>
        <v>102056</v>
      </c>
      <c r="P12" s="257">
        <f t="shared" si="2"/>
        <v>17009.3333333333</v>
      </c>
      <c r="Q12" s="263"/>
    </row>
    <row r="13" s="34" customFormat="1" spans="1:17">
      <c r="A13" s="252" t="s">
        <v>37</v>
      </c>
      <c r="B13" s="253">
        <f>COUNTIFS(总表!D:D,A13,总表!L:L,"&lt;&gt;",总表!E:E,"&gt;=2019/8/1",总表!E:E,"&lt;=2019/8/4")</f>
        <v>2</v>
      </c>
      <c r="C13" s="253">
        <f>SUMIFS(总表!N:N,总表!D:D,A13,总表!E:E,"&gt;=2019/8/1",总表!E:E,"&lt;=2019/8/4")</f>
        <v>28858</v>
      </c>
      <c r="D13" s="254">
        <f t="shared" si="0"/>
        <v>14429</v>
      </c>
      <c r="E13" s="264" t="str">
        <f>VLOOKUP(A13,设计师对应店铺!A:B,COLUMN(设计师对应店铺!B:B)-COLUMN(设计师对应店铺!A:B)+1,0)</f>
        <v>浦江店</v>
      </c>
      <c r="G13" s="252" t="s">
        <v>143</v>
      </c>
      <c r="H13" s="253">
        <f>COUNTIFS(总表!D:D,G13,总表!L:L,"&lt;&gt;",总表!E:E,"&gt;=2019/8/5",总表!E:E,"&lt;=2019/8/11")</f>
        <v>3</v>
      </c>
      <c r="I13" s="253">
        <f>SUMIFS(总表!N:N,总表!D:D,G13,总表!E:E,"&gt;=2019/8/5",总表!E:E,"&lt;=2019/8/11")</f>
        <v>86405</v>
      </c>
      <c r="J13" s="254">
        <f t="shared" si="1"/>
        <v>28801.6666666667</v>
      </c>
      <c r="K13" s="264" t="str">
        <f>VLOOKUP(G13,设计师对应店铺!A:B,COLUMN(设计师对应店铺!B:B)-COLUMN(设计师对应店铺!A:B)+1,0)</f>
        <v>沪南店店长</v>
      </c>
      <c r="M13" s="252" t="s">
        <v>89</v>
      </c>
      <c r="N13" s="253">
        <f>COUNTIFS(总表!D:D,M13,总表!L:L,"&lt;&gt;",总表!E:E,"&gt;=2019/8/12",总表!E:E,"&lt;=2019/8/18")</f>
        <v>11</v>
      </c>
      <c r="O13" s="253">
        <f>SUMIFS(总表!N:N,总表!D:D,M13,总表!E:E,"&gt;=2019/8/12",总表!E:E,"&lt;=2019/8/18")</f>
        <v>100774</v>
      </c>
      <c r="P13" s="254">
        <f t="shared" si="2"/>
        <v>9161.27272727273</v>
      </c>
      <c r="Q13" s="264" t="str">
        <f>VLOOKUP(M13,设计师对应店铺!A:B,COLUMN(设计师对应店铺!B:B)-COLUMN(设计师对应店铺!A:B)+1,0)</f>
        <v>吉盛伟邦</v>
      </c>
    </row>
    <row r="14" s="34" customFormat="1" spans="1:17">
      <c r="A14" s="260" t="s">
        <v>68</v>
      </c>
      <c r="B14" s="256">
        <f>COUNTIFS(总表!D:D,A14,总表!L:L,"&lt;&gt;",总表!E:E,"&gt;=2019/8/1",总表!E:E,"&lt;=2019/8/4")</f>
        <v>3</v>
      </c>
      <c r="C14" s="256">
        <f>SUMIFS(总表!N:N,总表!D:D,A14,总表!E:E,"&gt;=2019/8/1",总表!E:E,"&lt;=2019/8/4")</f>
        <v>23497</v>
      </c>
      <c r="D14" s="257">
        <f t="shared" si="0"/>
        <v>7832.33333333333</v>
      </c>
      <c r="E14" s="263" t="str">
        <f>VLOOKUP(A14,设计师对应店铺!A:B,COLUMN(设计师对应店铺!B:B)-COLUMN(设计师对应店铺!A:B)+1,0)</f>
        <v>沪南店</v>
      </c>
      <c r="G14" s="260" t="s">
        <v>110</v>
      </c>
      <c r="H14" s="256">
        <f>COUNTIFS(总表!D:D,G14,总表!L:L,"&lt;&gt;",总表!E:E,"&gt;=2019/8/5",总表!E:E,"&lt;=2019/8/11")</f>
        <v>5</v>
      </c>
      <c r="I14" s="256">
        <f>SUMIFS(总表!N:N,总表!D:D,G14,总表!E:E,"&gt;=2019/8/5",总表!E:E,"&lt;=2019/8/11")</f>
        <v>79586</v>
      </c>
      <c r="J14" s="257">
        <f t="shared" si="1"/>
        <v>15917.2</v>
      </c>
      <c r="K14" s="263" t="str">
        <f>VLOOKUP(G14,设计师对应店铺!A:B,COLUMN(设计师对应店铺!B:B)-COLUMN(设计师对应店铺!A:B)+1,0)</f>
        <v>喜盈门</v>
      </c>
      <c r="M14" s="260" t="s">
        <v>171</v>
      </c>
      <c r="N14" s="256">
        <f>COUNTIFS(总表!D:D,M14,总表!L:L,"&lt;&gt;",总表!E:E,"&gt;=2019/8/12",总表!E:E,"&lt;=2019/8/18")</f>
        <v>4</v>
      </c>
      <c r="O14" s="256">
        <f>SUMIFS(总表!N:N,总表!D:D,M14,总表!E:E,"&gt;=2019/8/12",总表!E:E,"&lt;=2019/8/18")</f>
        <v>99801</v>
      </c>
      <c r="P14" s="257">
        <f t="shared" si="2"/>
        <v>24950.25</v>
      </c>
      <c r="Q14" s="263" t="str">
        <f>VLOOKUP(M14,设计师对应店铺!A:B,COLUMN(设计师对应店铺!B:B)-COLUMN(设计师对应店铺!A:B)+1,0)</f>
        <v>家饰佳、兴力达</v>
      </c>
    </row>
    <row r="15" s="34" customFormat="1" spans="1:17">
      <c r="A15" s="252" t="s">
        <v>182</v>
      </c>
      <c r="B15" s="253">
        <f>COUNTIFS(总表!D:D,A15,总表!L:L,"&lt;&gt;",总表!E:E,"&gt;=2019/8/1",总表!E:E,"&lt;=2019/8/4")</f>
        <v>2</v>
      </c>
      <c r="C15" s="253">
        <f>SUMIFS(总表!N:N,总表!D:D,A15,总表!E:E,"&gt;=2019/8/1",总表!E:E,"&lt;=2019/8/4")</f>
        <v>21805</v>
      </c>
      <c r="D15" s="254">
        <f t="shared" si="0"/>
        <v>10902.5</v>
      </c>
      <c r="E15" s="264" t="str">
        <f>VLOOKUP(A15,设计师对应店铺!A:B,COLUMN(设计师对应店铺!B:B)-COLUMN(设计师对应店铺!A:B)+1,0)</f>
        <v>真北店</v>
      </c>
      <c r="G15" s="252" t="s">
        <v>171</v>
      </c>
      <c r="H15" s="253">
        <f>COUNTIFS(总表!D:D,G15,总表!L:L,"&lt;&gt;",总表!E:E,"&gt;=2019/8/5",总表!E:E,"&lt;=2019/8/11")</f>
        <v>6</v>
      </c>
      <c r="I15" s="253">
        <f>SUMIFS(总表!N:N,总表!D:D,G15,总表!E:E,"&gt;=2019/8/5",总表!E:E,"&lt;=2019/8/11")</f>
        <v>74527</v>
      </c>
      <c r="J15" s="254">
        <f t="shared" si="1"/>
        <v>12421.1666666667</v>
      </c>
      <c r="K15" s="264" t="str">
        <f>VLOOKUP(G15,设计师对应店铺!A:B,COLUMN(设计师对应店铺!B:B)-COLUMN(设计师对应店铺!A:B)+1,0)</f>
        <v>家饰佳、兴力达</v>
      </c>
      <c r="M15" s="252" t="s">
        <v>343</v>
      </c>
      <c r="N15" s="253">
        <f>COUNTIFS(总表!D:D,M15,总表!L:L,"&lt;&gt;",总表!E:E,"&gt;=2019/8/12",总表!E:E,"&lt;=2019/8/18")</f>
        <v>5</v>
      </c>
      <c r="O15" s="253">
        <f>SUMIFS(总表!N:N,总表!D:D,M15,总表!E:E,"&gt;=2019/8/12",总表!E:E,"&lt;=2019/8/18")</f>
        <v>98009</v>
      </c>
      <c r="P15" s="254">
        <f t="shared" si="2"/>
        <v>19601.8</v>
      </c>
      <c r="Q15" s="264" t="str">
        <f>VLOOKUP(M15,设计师对应店铺!A:B,COLUMN(设计师对应店铺!B:B)-COLUMN(设计师对应店铺!A:B)+1,0)</f>
        <v>喜盈门</v>
      </c>
    </row>
    <row r="16" s="34" customFormat="1" spans="1:17">
      <c r="A16" s="260" t="s">
        <v>635</v>
      </c>
      <c r="B16" s="256">
        <f>COUNTIFS(总表!D:D,A16,总表!L:L,"&lt;&gt;",总表!E:E,"&gt;=2019/8/1",总表!E:E,"&lt;=2019/8/4")</f>
        <v>2</v>
      </c>
      <c r="C16" s="256">
        <f>SUMIFS(总表!N:N,总表!D:D,A16,总表!E:E,"&gt;=2019/8/1",总表!E:E,"&lt;=2019/8/4")</f>
        <v>19750</v>
      </c>
      <c r="D16" s="257">
        <f t="shared" si="0"/>
        <v>9875</v>
      </c>
      <c r="E16" s="263" t="str">
        <f>VLOOKUP(A16,设计师对应店铺!A:B,COLUMN(设计师对应店铺!B:B)-COLUMN(设计师对应店铺!A:B)+1,0)</f>
        <v>家饰佳、兴力达</v>
      </c>
      <c r="G16" s="260" t="s">
        <v>37</v>
      </c>
      <c r="H16" s="256">
        <f>COUNTIFS(总表!D:D,G16,总表!L:L,"&lt;&gt;",总表!E:E,"&gt;=2019/8/5",总表!E:E,"&lt;=2019/8/11")</f>
        <v>4</v>
      </c>
      <c r="I16" s="256">
        <f>SUMIFS(总表!N:N,总表!D:D,G16,总表!E:E,"&gt;=2019/8/5",总表!E:E,"&lt;=2019/8/11")</f>
        <v>65687</v>
      </c>
      <c r="J16" s="257">
        <f t="shared" si="1"/>
        <v>16421.75</v>
      </c>
      <c r="K16" s="263" t="str">
        <f>VLOOKUP(G16,设计师对应店铺!A:B,COLUMN(设计师对应店铺!B:B)-COLUMN(设计师对应店铺!A:B)+1,0)</f>
        <v>浦江店</v>
      </c>
      <c r="M16" s="260" t="s">
        <v>139</v>
      </c>
      <c r="N16" s="256">
        <f>COUNTIFS(总表!D:D,M16,总表!L:L,"&lt;&gt;",总表!E:E,"&gt;=2019/8/12",总表!E:E,"&lt;=2019/8/18")</f>
        <v>9</v>
      </c>
      <c r="O16" s="256">
        <f>SUMIFS(总表!N:N,总表!D:D,M16,总表!E:E,"&gt;=2019/8/12",总表!E:E,"&lt;=2019/8/18")</f>
        <v>91271</v>
      </c>
      <c r="P16" s="257">
        <f t="shared" si="2"/>
        <v>10141.2222222222</v>
      </c>
      <c r="Q16" s="263" t="str">
        <f>VLOOKUP(M16,设计师对应店铺!A:B,COLUMN(设计师对应店铺!B:B)-COLUMN(设计师对应店铺!A:B)+1,0)</f>
        <v>家饰佳</v>
      </c>
    </row>
    <row r="17" s="34" customFormat="1" spans="1:17">
      <c r="A17" s="252" t="s">
        <v>139</v>
      </c>
      <c r="B17" s="253">
        <f>COUNTIFS(总表!D:D,A17,总表!L:L,"&lt;&gt;",总表!E:E,"&gt;=2019/8/1",总表!E:E,"&lt;=2019/8/4")</f>
        <v>2</v>
      </c>
      <c r="C17" s="253">
        <f>SUMIFS(总表!N:N,总表!D:D,A17,总表!E:E,"&gt;=2019/8/1",总表!E:E,"&lt;=2019/8/4")</f>
        <v>16285</v>
      </c>
      <c r="D17" s="254">
        <f t="shared" si="0"/>
        <v>8142.5</v>
      </c>
      <c r="E17" s="264" t="str">
        <f>VLOOKUP(A17,设计师对应店铺!A:B,COLUMN(设计师对应店铺!B:B)-COLUMN(设计师对应店铺!A:B)+1,0)</f>
        <v>家饰佳</v>
      </c>
      <c r="G17" s="252" t="s">
        <v>125</v>
      </c>
      <c r="H17" s="253">
        <f>COUNTIFS(总表!D:D,G17,总表!L:L,"&lt;&gt;",总表!E:E,"&gt;=2019/8/5",总表!E:E,"&lt;=2019/8/11")</f>
        <v>4</v>
      </c>
      <c r="I17" s="253">
        <f>SUMIFS(总表!N:N,总表!D:D,G17,总表!E:E,"&gt;=2019/8/5",总表!E:E,"&lt;=2019/8/11")</f>
        <v>60341</v>
      </c>
      <c r="J17" s="254">
        <f t="shared" si="1"/>
        <v>15085.25</v>
      </c>
      <c r="K17" s="264" t="str">
        <f>VLOOKUP(G17,设计师对应店铺!A:B,COLUMN(设计师对应店铺!B:B)-COLUMN(设计师对应店铺!A:B)+1,0)</f>
        <v>同福店店长</v>
      </c>
      <c r="M17" s="252" t="s">
        <v>68</v>
      </c>
      <c r="N17" s="253">
        <f>COUNTIFS(总表!D:D,M17,总表!L:L,"&lt;&gt;",总表!E:E,"&gt;=2019/8/12",总表!E:E,"&lt;=2019/8/18")</f>
        <v>6</v>
      </c>
      <c r="O17" s="253">
        <f>SUMIFS(总表!N:N,总表!D:D,M17,总表!E:E,"&gt;=2019/8/12",总表!E:E,"&lt;=2019/8/18")</f>
        <v>86139</v>
      </c>
      <c r="P17" s="254">
        <f t="shared" si="2"/>
        <v>14356.5</v>
      </c>
      <c r="Q17" s="264" t="str">
        <f>VLOOKUP(M17,设计师对应店铺!A:B,COLUMN(设计师对应店铺!B:B)-COLUMN(设计师对应店铺!A:B)+1,0)</f>
        <v>沪南店</v>
      </c>
    </row>
    <row r="18" s="34" customFormat="1" spans="1:17">
      <c r="A18" s="260" t="s">
        <v>717</v>
      </c>
      <c r="B18" s="256">
        <f>COUNTIFS(总表!D:D,A18,总表!L:L,"&lt;&gt;",总表!E:E,"&gt;=2019/8/1",总表!E:E,"&lt;=2019/8/4")</f>
        <v>0</v>
      </c>
      <c r="C18" s="256">
        <f>SUMIFS(总表!N:N,总表!D:D,A18,总表!E:E,"&gt;=2019/8/1",总表!E:E,"&lt;=2019/8/4")</f>
        <v>14350</v>
      </c>
      <c r="D18" s="257" t="e">
        <f t="shared" si="0"/>
        <v>#DIV/0!</v>
      </c>
      <c r="E18" s="263">
        <f>VLOOKUP(A18,设计师对应店铺!A:B,COLUMN(设计师对应店铺!B:B)-COLUMN(设计师对应店铺!A:B)+1,0)</f>
        <v>0</v>
      </c>
      <c r="G18" s="260" t="s">
        <v>49</v>
      </c>
      <c r="H18" s="256">
        <f>COUNTIFS(总表!D:D,G18,总表!L:L,"&lt;&gt;",总表!E:E,"&gt;=2019/8/5",总表!E:E,"&lt;=2019/8/11")</f>
        <v>9</v>
      </c>
      <c r="I18" s="256">
        <f>SUMIFS(总表!N:N,总表!D:D,G18,总表!E:E,"&gt;=2019/8/5",总表!E:E,"&lt;=2019/8/11")</f>
        <v>58664</v>
      </c>
      <c r="J18" s="257">
        <f t="shared" si="1"/>
        <v>6518.22222222222</v>
      </c>
      <c r="K18" s="263" t="str">
        <f>VLOOKUP(G18,设计师对应店铺!A:B,COLUMN(设计师对应店铺!B:B)-COLUMN(设计师对应店铺!A:B)+1,0)</f>
        <v>奉贤、金山、南汇、松江</v>
      </c>
      <c r="M18" s="260" t="s">
        <v>125</v>
      </c>
      <c r="N18" s="256">
        <f>COUNTIFS(总表!D:D,M18,总表!L:L,"&lt;&gt;",总表!E:E,"&gt;=2019/8/12",总表!E:E,"&lt;=2019/8/18")</f>
        <v>7</v>
      </c>
      <c r="O18" s="256">
        <f>SUMIFS(总表!N:N,总表!D:D,M18,总表!E:E,"&gt;=2019/8/12",总表!E:E,"&lt;=2019/8/18")</f>
        <v>78428</v>
      </c>
      <c r="P18" s="257">
        <f t="shared" si="2"/>
        <v>11204</v>
      </c>
      <c r="Q18" s="263" t="str">
        <f>VLOOKUP(M18,设计师对应店铺!A:B,COLUMN(设计师对应店铺!B:B)-COLUMN(设计师对应店铺!A:B)+1,0)</f>
        <v>同福店店长</v>
      </c>
    </row>
    <row r="19" s="34" customFormat="1" spans="1:17">
      <c r="A19" s="252" t="s">
        <v>89</v>
      </c>
      <c r="B19" s="253">
        <f>COUNTIFS(总表!D:D,A19,总表!L:L,"&lt;&gt;",总表!E:E,"&gt;=2019/8/1",总表!E:E,"&lt;=2019/8/4")</f>
        <v>1</v>
      </c>
      <c r="C19" s="253">
        <f>SUMIFS(总表!N:N,总表!D:D,A19,总表!E:E,"&gt;=2019/8/1",总表!E:E,"&lt;=2019/8/4")</f>
        <v>9628</v>
      </c>
      <c r="D19" s="254">
        <f t="shared" si="0"/>
        <v>9628</v>
      </c>
      <c r="E19" s="264" t="str">
        <f>VLOOKUP(A19,设计师对应店铺!A:B,COLUMN(设计师对应店铺!B:B)-COLUMN(设计师对应店铺!A:B)+1,0)</f>
        <v>吉盛伟邦</v>
      </c>
      <c r="G19" s="252" t="s">
        <v>162</v>
      </c>
      <c r="H19" s="253">
        <f>COUNTIFS(总表!D:D,G19,总表!L:L,"&lt;&gt;",总表!E:E,"&gt;=2019/8/5",总表!E:E,"&lt;=2019/8/11")</f>
        <v>5</v>
      </c>
      <c r="I19" s="253">
        <f>SUMIFS(总表!N:N,总表!D:D,G19,总表!E:E,"&gt;=2019/8/5",总表!E:E,"&lt;=2019/8/11")</f>
        <v>52384</v>
      </c>
      <c r="J19" s="254">
        <f t="shared" si="1"/>
        <v>10476.8</v>
      </c>
      <c r="K19" s="264" t="str">
        <f>VLOOKUP(G19,设计师对应店铺!A:B,COLUMN(设计师对应店铺!B:B)-COLUMN(设计师对应店铺!A:B)+1,0)</f>
        <v>真北店</v>
      </c>
      <c r="M19" s="252" t="s">
        <v>427</v>
      </c>
      <c r="N19" s="253">
        <f>COUNTIFS(总表!D:D,M19,总表!L:L,"&lt;&gt;",总表!E:E,"&gt;=2019/8/12",总表!E:E,"&lt;=2019/8/18")</f>
        <v>4</v>
      </c>
      <c r="O19" s="253">
        <f>SUMIFS(总表!N:N,总表!D:D,M19,总表!E:E,"&gt;=2019/8/12",总表!E:E,"&lt;=2019/8/18")</f>
        <v>71279</v>
      </c>
      <c r="P19" s="254">
        <f t="shared" si="2"/>
        <v>17819.75</v>
      </c>
      <c r="Q19" s="264" t="str">
        <f>VLOOKUP(M19,设计师对应店铺!A:B,COLUMN(设计师对应店铺!B:B)-COLUMN(设计师对应店铺!A:B)+1,0)</f>
        <v>百家宜</v>
      </c>
    </row>
    <row r="20" s="34" customFormat="1" spans="1:17">
      <c r="A20" s="260" t="s">
        <v>132</v>
      </c>
      <c r="B20" s="256">
        <f>COUNTIFS(总表!D:D,A20,总表!L:L,"&lt;&gt;",总表!E:E,"&gt;=2019/8/1",总表!E:E,"&lt;=2019/8/4")</f>
        <v>1</v>
      </c>
      <c r="C20" s="256">
        <f>SUMIFS(总表!N:N,总表!D:D,A20,总表!E:E,"&gt;=2019/8/1",总表!E:E,"&lt;=2019/8/4")</f>
        <v>4834</v>
      </c>
      <c r="D20" s="257">
        <f t="shared" si="0"/>
        <v>4834</v>
      </c>
      <c r="E20" s="263" t="str">
        <f>VLOOKUP(A20,设计师对应店铺!A:B,COLUMN(设计师对应店铺!B:B)-COLUMN(设计师对应店铺!A:B)+1,0)</f>
        <v>真北店</v>
      </c>
      <c r="G20" s="260" t="s">
        <v>407</v>
      </c>
      <c r="H20" s="256">
        <f>COUNTIFS(总表!D:D,G20,总表!L:L,"&lt;&gt;",总表!E:E,"&gt;=2019/8/5",总表!E:E,"&lt;=2019/8/11")</f>
        <v>2</v>
      </c>
      <c r="I20" s="256">
        <f>SUMIFS(总表!N:N,总表!D:D,G20,总表!E:E,"&gt;=2019/8/5",总表!E:E,"&lt;=2019/8/11")</f>
        <v>38866</v>
      </c>
      <c r="J20" s="257">
        <f t="shared" si="1"/>
        <v>19433</v>
      </c>
      <c r="K20" s="263" t="str">
        <f>VLOOKUP(G20,设计师对应店铺!A:B,COLUMN(设计师对应店铺!B:B)-COLUMN(设计师对应店铺!A:B)+1,0)</f>
        <v>嘉定店</v>
      </c>
      <c r="M20" s="260" t="s">
        <v>33</v>
      </c>
      <c r="N20" s="256">
        <f>COUNTIFS(总表!D:D,M20,总表!L:L,"&lt;&gt;",总表!E:E,"&gt;=2019/8/12",总表!E:E,"&lt;=2019/8/18")</f>
        <v>7</v>
      </c>
      <c r="O20" s="256">
        <f>SUMIFS(总表!N:N,总表!D:D,M20,总表!E:E,"&gt;=2019/8/12",总表!E:E,"&lt;=2019/8/18")</f>
        <v>65758</v>
      </c>
      <c r="P20" s="257">
        <f t="shared" si="2"/>
        <v>9394</v>
      </c>
      <c r="Q20" s="263" t="str">
        <f>VLOOKUP(M20,设计师对应店铺!A:B,COLUMN(设计师对应店铺!B:B)-COLUMN(设计师对应店铺!A:B)+1,0)</f>
        <v>汶水店</v>
      </c>
    </row>
    <row r="21" s="34" customFormat="1" spans="1:17">
      <c r="A21" s="252" t="s">
        <v>343</v>
      </c>
      <c r="B21" s="253">
        <f>COUNTIFS(总表!D:D,A21,总表!L:L,"&lt;&gt;",总表!E:E,"&gt;=2019/8/1",总表!E:E,"&lt;=2019/8/4")</f>
        <v>0</v>
      </c>
      <c r="C21" s="253">
        <f>SUMIFS(总表!N:N,总表!D:D,A21,总表!E:E,"&gt;=2019/8/1",总表!E:E,"&lt;=2019/8/4")</f>
        <v>4484</v>
      </c>
      <c r="D21" s="254" t="e">
        <f t="shared" si="0"/>
        <v>#DIV/0!</v>
      </c>
      <c r="E21" s="264" t="str">
        <f>VLOOKUP(A21,设计师对应店铺!A:B,COLUMN(设计师对应店铺!B:B)-COLUMN(设计师对应店铺!A:B)+1,0)</f>
        <v>喜盈门</v>
      </c>
      <c r="G21" s="252" t="s">
        <v>68</v>
      </c>
      <c r="H21" s="253">
        <f>COUNTIFS(总表!D:D,G21,总表!L:L,"&lt;&gt;",总表!E:E,"&gt;=2019/8/5",总表!E:E,"&lt;=2019/8/11")</f>
        <v>5</v>
      </c>
      <c r="I21" s="253">
        <f>SUMIFS(总表!N:N,总表!D:D,G21,总表!E:E,"&gt;=2019/8/5",总表!E:E,"&lt;=2019/8/11")</f>
        <v>37817</v>
      </c>
      <c r="J21" s="254">
        <f t="shared" si="1"/>
        <v>7563.4</v>
      </c>
      <c r="K21" s="264" t="str">
        <f>VLOOKUP(G21,设计师对应店铺!A:B,COLUMN(设计师对应店铺!B:B)-COLUMN(设计师对应店铺!A:B)+1,0)</f>
        <v>沪南店</v>
      </c>
      <c r="M21" s="252" t="s">
        <v>44</v>
      </c>
      <c r="N21" s="253">
        <f>COUNTIFS(总表!D:D,M21,总表!L:L,"&lt;&gt;",总表!E:E,"&gt;=2019/8/12",总表!E:E,"&lt;=2019/8/18")</f>
        <v>5</v>
      </c>
      <c r="O21" s="253">
        <f>SUMIFS(总表!N:N,总表!D:D,M21,总表!E:E,"&gt;=2019/8/12",总表!E:E,"&lt;=2019/8/18")</f>
        <v>57925</v>
      </c>
      <c r="P21" s="254">
        <f t="shared" si="2"/>
        <v>11585</v>
      </c>
      <c r="Q21" s="264" t="str">
        <f>VLOOKUP(M21,设计师对应店铺!A:B,COLUMN(设计师对应店铺!B:B)-COLUMN(设计师对应店铺!A:B)+1,0)</f>
        <v>金桥店、百安居</v>
      </c>
    </row>
    <row r="22" s="34" customFormat="1" spans="1:17">
      <c r="A22" s="260" t="s">
        <v>149</v>
      </c>
      <c r="B22" s="256">
        <f>COUNTIFS(总表!D:D,A22,总表!L:L,"&lt;&gt;",总表!E:E,"&gt;=2019/8/1",总表!E:E,"&lt;=2019/8/4")</f>
        <v>1</v>
      </c>
      <c r="C22" s="256">
        <f>SUMIFS(总表!N:N,总表!D:D,A22,总表!E:E,"&gt;=2019/8/1",总表!E:E,"&lt;=2019/8/4")</f>
        <v>4046</v>
      </c>
      <c r="D22" s="257">
        <f t="shared" si="0"/>
        <v>4046</v>
      </c>
      <c r="E22" s="263" t="str">
        <f>VLOOKUP(A22,设计师对应店铺!A:B,COLUMN(设计师对应店铺!B:B)-COLUMN(设计师对应店铺!A:B)+1,0)</f>
        <v>百安居</v>
      </c>
      <c r="G22" s="260" t="s">
        <v>271</v>
      </c>
      <c r="H22" s="256">
        <f>COUNTIFS(总表!D:D,G22,总表!L:L,"&lt;&gt;",总表!E:E,"&gt;=2019/8/5",总表!E:E,"&lt;=2019/8/11")</f>
        <v>3</v>
      </c>
      <c r="I22" s="256">
        <f>SUMIFS(总表!N:N,总表!D:D,G22,总表!E:E,"&gt;=2019/8/5",总表!E:E,"&lt;=2019/8/11")</f>
        <v>35332</v>
      </c>
      <c r="J22" s="257">
        <f t="shared" si="1"/>
        <v>11777.3333333333</v>
      </c>
      <c r="K22" s="263" t="str">
        <f>VLOOKUP(G22,设计师对应店铺!A:B,COLUMN(设计师对应店铺!B:B)-COLUMN(设计师对应店铺!A:B)+1,0)</f>
        <v>喜盈门</v>
      </c>
      <c r="M22" s="260" t="s">
        <v>271</v>
      </c>
      <c r="N22" s="256">
        <f>COUNTIFS(总表!D:D,M22,总表!L:L,"&lt;&gt;",总表!E:E,"&gt;=2019/8/12",总表!E:E,"&lt;=2019/8/18")</f>
        <v>5</v>
      </c>
      <c r="O22" s="256">
        <f>SUMIFS(总表!N:N,总表!D:D,M22,总表!E:E,"&gt;=2019/8/12",总表!E:E,"&lt;=2019/8/18")</f>
        <v>57359</v>
      </c>
      <c r="P22" s="257">
        <f t="shared" si="2"/>
        <v>11471.8</v>
      </c>
      <c r="Q22" s="263" t="str">
        <f>VLOOKUP(M22,设计师对应店铺!A:B,COLUMN(设计师对应店铺!B:B)-COLUMN(设计师对应店铺!A:B)+1,0)</f>
        <v>喜盈门</v>
      </c>
    </row>
    <row r="23" s="34" customFormat="1" spans="1:17">
      <c r="A23" s="252" t="s">
        <v>162</v>
      </c>
      <c r="B23" s="253">
        <f>COUNTIFS(总表!D:D,A23,总表!L:L,"&lt;&gt;",总表!E:E,"&gt;=2019/8/1",总表!E:E,"&lt;=2019/8/4")</f>
        <v>1</v>
      </c>
      <c r="C23" s="253">
        <f>SUMIFS(总表!N:N,总表!D:D,A23,总表!E:E,"&gt;=2019/8/1",总表!E:E,"&lt;=2019/8/4")</f>
        <v>3742</v>
      </c>
      <c r="D23" s="254">
        <f t="shared" si="0"/>
        <v>3742</v>
      </c>
      <c r="E23" s="264" t="str">
        <f>VLOOKUP(A23,设计师对应店铺!A:B,COLUMN(设计师对应店铺!B:B)-COLUMN(设计师对应店铺!A:B)+1,0)</f>
        <v>真北店</v>
      </c>
      <c r="G23" s="252" t="s">
        <v>75</v>
      </c>
      <c r="H23" s="253">
        <f>COUNTIFS(总表!D:D,G23,总表!L:L,"&lt;&gt;",总表!E:E,"&gt;=2019/8/5",总表!E:E,"&lt;=2019/8/11")</f>
        <v>1</v>
      </c>
      <c r="I23" s="253">
        <f>SUMIFS(总表!N:N,总表!D:D,G23,总表!E:E,"&gt;=2019/8/5",总表!E:E,"&lt;=2019/8/11")</f>
        <v>26262</v>
      </c>
      <c r="J23" s="254">
        <f t="shared" si="1"/>
        <v>26262</v>
      </c>
      <c r="K23" s="264" t="str">
        <f>VLOOKUP(G23,设计师对应店铺!A:B,COLUMN(设计师对应店铺!B:B)-COLUMN(设计师对应店铺!A:B)+1,0)</f>
        <v>宜山经理</v>
      </c>
      <c r="M23" s="252" t="s">
        <v>132</v>
      </c>
      <c r="N23" s="253">
        <f>COUNTIFS(总表!D:D,M23,总表!L:L,"&lt;&gt;",总表!E:E,"&gt;=2019/8/12",总表!E:E,"&lt;=2019/8/18")</f>
        <v>2</v>
      </c>
      <c r="O23" s="253">
        <f>SUMIFS(总表!N:N,总表!D:D,M23,总表!E:E,"&gt;=2019/8/12",总表!E:E,"&lt;=2019/8/18")</f>
        <v>55648</v>
      </c>
      <c r="P23" s="254">
        <f t="shared" si="2"/>
        <v>27824</v>
      </c>
      <c r="Q23" s="264" t="str">
        <f>VLOOKUP(M23,设计师对应店铺!A:B,COLUMN(设计师对应店铺!B:B)-COLUMN(设计师对应店铺!A:B)+1,0)</f>
        <v>真北店</v>
      </c>
    </row>
    <row r="24" s="34" customFormat="1" spans="1:17">
      <c r="A24" s="260" t="s">
        <v>427</v>
      </c>
      <c r="B24" s="256">
        <f>COUNTIFS(总表!D:D,A24,总表!L:L,"&lt;&gt;",总表!E:E,"&gt;=2019/8/1",总表!E:E,"&lt;=2019/8/4")</f>
        <v>0</v>
      </c>
      <c r="C24" s="256">
        <f>SUMIFS(总表!N:N,总表!D:D,A24,总表!E:E,"&gt;=2019/8/1",总表!E:E,"&lt;=2019/8/4")</f>
        <v>3067</v>
      </c>
      <c r="D24" s="257" t="e">
        <f t="shared" si="0"/>
        <v>#DIV/0!</v>
      </c>
      <c r="E24" s="263" t="str">
        <f>VLOOKUP(A24,设计师对应店铺!A:B,COLUMN(设计师对应店铺!B:B)-COLUMN(设计师对应店铺!A:B)+1,0)</f>
        <v>百家宜</v>
      </c>
      <c r="G24" s="260" t="s">
        <v>182</v>
      </c>
      <c r="H24" s="256">
        <f>COUNTIFS(总表!D:D,G24,总表!L:L,"&lt;&gt;",总表!E:E,"&gt;=2019/8/5",总表!E:E,"&lt;=2019/8/11")</f>
        <v>2</v>
      </c>
      <c r="I24" s="256">
        <f>SUMIFS(总表!N:N,总表!D:D,G24,总表!E:E,"&gt;=2019/8/5",总表!E:E,"&lt;=2019/8/11")</f>
        <v>24965</v>
      </c>
      <c r="J24" s="257">
        <f t="shared" si="1"/>
        <v>12482.5</v>
      </c>
      <c r="K24" s="263" t="str">
        <f>VLOOKUP(G24,设计师对应店铺!A:B,COLUMN(设计师对应店铺!B:B)-COLUMN(设计师对应店铺!A:B)+1,0)</f>
        <v>真北店</v>
      </c>
      <c r="M24" s="260" t="s">
        <v>635</v>
      </c>
      <c r="N24" s="256">
        <f>COUNTIFS(总表!D:D,M24,总表!L:L,"&lt;&gt;",总表!E:E,"&gt;=2019/8/12",总表!E:E,"&lt;=2019/8/18")</f>
        <v>5</v>
      </c>
      <c r="O24" s="256">
        <f>SUMIFS(总表!N:N,总表!D:D,M24,总表!E:E,"&gt;=2019/8/12",总表!E:E,"&lt;=2019/8/18")</f>
        <v>48743</v>
      </c>
      <c r="P24" s="257">
        <f t="shared" si="2"/>
        <v>9748.6</v>
      </c>
      <c r="Q24" s="263" t="str">
        <f>VLOOKUP(M24,设计师对应店铺!A:B,COLUMN(设计师对应店铺!B:B)-COLUMN(设计师对应店铺!A:B)+1,0)</f>
        <v>家饰佳、兴力达</v>
      </c>
    </row>
    <row r="25" s="34" customFormat="1" spans="1:17">
      <c r="A25" s="252" t="s">
        <v>407</v>
      </c>
      <c r="B25" s="253">
        <f>COUNTIFS(总表!D:D,A25,总表!L:L,"&lt;&gt;",总表!E:E,"&gt;=2019/8/1",总表!E:E,"&lt;=2019/8/4")</f>
        <v>0</v>
      </c>
      <c r="C25" s="253">
        <f>SUMIFS(总表!N:N,总表!D:D,A25,总表!E:E,"&gt;=2019/8/1",总表!E:E,"&lt;=2019/8/4")</f>
        <v>1267</v>
      </c>
      <c r="D25" s="254" t="e">
        <f t="shared" si="0"/>
        <v>#DIV/0!</v>
      </c>
      <c r="E25" s="264" t="str">
        <f>VLOOKUP(A25,设计师对应店铺!A:B,COLUMN(设计师对应店铺!B:B)-COLUMN(设计师对应店铺!A:B)+1,0)</f>
        <v>嘉定店</v>
      </c>
      <c r="G25" s="252" t="s">
        <v>221</v>
      </c>
      <c r="H25" s="253">
        <f>COUNTIFS(总表!D:D,G25,总表!L:L,"&lt;&gt;",总表!E:E,"&gt;=2019/8/5",总表!E:E,"&lt;=2019/8/11")</f>
        <v>5</v>
      </c>
      <c r="I25" s="253">
        <f>SUMIFS(总表!N:N,总表!D:D,G25,总表!E:E,"&gt;=2019/8/5",总表!E:E,"&lt;=2019/8/11")</f>
        <v>18904</v>
      </c>
      <c r="J25" s="254">
        <f t="shared" si="1"/>
        <v>3780.8</v>
      </c>
      <c r="K25" s="264" t="str">
        <f>VLOOKUP(G25,设计师对应店铺!A:B,COLUMN(设计师对应店铺!B:B)-COLUMN(设计师对应店铺!A:B)+1,0)</f>
        <v>汶水店</v>
      </c>
      <c r="M25" s="252" t="s">
        <v>1170</v>
      </c>
      <c r="N25" s="253">
        <f>COUNTIFS(总表!D:D,M25,总表!L:L,"&lt;&gt;",总表!E:E,"&gt;=2019/8/12",总表!E:E,"&lt;=2019/8/18")</f>
        <v>5</v>
      </c>
      <c r="O25" s="253">
        <f>SUMIFS(总表!N:N,总表!D:D,M25,总表!E:E,"&gt;=2019/8/12",总表!E:E,"&lt;=2019/8/18")</f>
        <v>48720</v>
      </c>
      <c r="P25" s="254">
        <f t="shared" si="2"/>
        <v>9744</v>
      </c>
      <c r="Q25" s="264" t="str">
        <f>VLOOKUP(M25,设计师对应店铺!A:B,COLUMN(设计师对应店铺!B:B)-COLUMN(设计师对应店铺!A:B)+1,0)</f>
        <v>百安居</v>
      </c>
    </row>
    <row r="26" s="34" customFormat="1" spans="1:17">
      <c r="A26" s="260" t="s">
        <v>110</v>
      </c>
      <c r="B26" s="256">
        <f>COUNTIFS(总表!D:D,A26,总表!L:L,"&lt;&gt;",总表!E:E,"&gt;=2019/8/1",总表!E:E,"&lt;=2019/8/4")</f>
        <v>0</v>
      </c>
      <c r="C26" s="256">
        <f>SUMIFS(总表!N:N,总表!D:D,A26,总表!E:E,"&gt;=2019/8/1",总表!E:E,"&lt;=2019/8/4")</f>
        <v>0</v>
      </c>
      <c r="D26" s="257" t="e">
        <f t="shared" si="0"/>
        <v>#DIV/0!</v>
      </c>
      <c r="E26" s="263" t="str">
        <f>VLOOKUP(A26,设计师对应店铺!A:B,COLUMN(设计师对应店铺!B:B)-COLUMN(设计师对应店铺!A:B)+1,0)</f>
        <v>喜盈门</v>
      </c>
      <c r="G26" s="260" t="s">
        <v>361</v>
      </c>
      <c r="H26" s="256">
        <f>COUNTIFS(总表!D:D,G26,总表!L:L,"&lt;&gt;",总表!E:E,"&gt;=2019/8/5",总表!E:E,"&lt;=2019/8/11")</f>
        <v>1</v>
      </c>
      <c r="I26" s="256">
        <f>SUMIFS(总表!N:N,总表!D:D,G26,总表!E:E,"&gt;=2019/8/5",总表!E:E,"&lt;=2019/8/11")</f>
        <v>13958</v>
      </c>
      <c r="J26" s="257">
        <f t="shared" si="1"/>
        <v>13958</v>
      </c>
      <c r="K26" s="263" t="str">
        <f>VLOOKUP(G26,设计师对应店铺!A:B,COLUMN(设计师对应店铺!B:B)-COLUMN(设计师对应店铺!A:B)+1,0)</f>
        <v>美美家自配</v>
      </c>
      <c r="M26" s="260" t="s">
        <v>37</v>
      </c>
      <c r="N26" s="256">
        <f>COUNTIFS(总表!D:D,M26,总表!L:L,"&lt;&gt;",总表!E:E,"&gt;=2019/8/12",总表!E:E,"&lt;=2019/8/18")</f>
        <v>3</v>
      </c>
      <c r="O26" s="256">
        <f>SUMIFS(总表!N:N,总表!D:D,M26,总表!E:E,"&gt;=2019/8/12",总表!E:E,"&lt;=2019/8/18")</f>
        <v>41140</v>
      </c>
      <c r="P26" s="257">
        <f t="shared" si="2"/>
        <v>13713.3333333333</v>
      </c>
      <c r="Q26" s="263" t="str">
        <f>VLOOKUP(M26,设计师对应店铺!A:B,COLUMN(设计师对应店铺!B:B)-COLUMN(设计师对应店铺!A:B)+1,0)</f>
        <v>浦江店</v>
      </c>
    </row>
    <row r="27" s="34" customFormat="1" spans="1:17">
      <c r="A27" s="252" t="s">
        <v>518</v>
      </c>
      <c r="B27" s="253">
        <f>COUNTIFS(总表!D:D,A27,总表!L:L,"&lt;&gt;",总表!E:E,"&gt;=2019/8/1",总表!E:E,"&lt;=2019/8/4")</f>
        <v>0</v>
      </c>
      <c r="C27" s="253">
        <f>SUMIFS(总表!N:N,总表!D:D,A27,总表!E:E,"&gt;=2019/8/1",总表!E:E,"&lt;=2019/8/4")</f>
        <v>0</v>
      </c>
      <c r="D27" s="254" t="e">
        <f t="shared" si="0"/>
        <v>#DIV/0!</v>
      </c>
      <c r="E27" s="264" t="str">
        <f>VLOOKUP(A27,设计师对应店铺!A:B,COLUMN(设计师对应店铺!B:B)-COLUMN(设计师对应店铺!A:B)+1,0)</f>
        <v>奉贤店</v>
      </c>
      <c r="G27" s="252" t="s">
        <v>191</v>
      </c>
      <c r="H27" s="253">
        <f>COUNTIFS(总表!D:D,G27,总表!L:L,"&lt;&gt;",总表!E:E,"&gt;=2019/8/5",总表!E:E,"&lt;=2019/8/11")</f>
        <v>2</v>
      </c>
      <c r="I27" s="253">
        <f>SUMIFS(总表!N:N,总表!D:D,G27,总表!E:E,"&gt;=2019/8/5",总表!E:E,"&lt;=2019/8/11")</f>
        <v>13834</v>
      </c>
      <c r="J27" s="254">
        <f t="shared" si="1"/>
        <v>6917</v>
      </c>
      <c r="K27" s="264" t="str">
        <f>VLOOKUP(G27,设计师对应店铺!A:B,COLUMN(设计师对应店铺!B:B)-COLUMN(设计师对应店铺!A:B)+1,0)</f>
        <v>家饰佳</v>
      </c>
      <c r="M27" s="252" t="s">
        <v>407</v>
      </c>
      <c r="N27" s="253">
        <f>COUNTIFS(总表!D:D,M27,总表!L:L,"&lt;&gt;",总表!E:E,"&gt;=2019/8/12",总表!E:E,"&lt;=2019/8/18")</f>
        <v>1</v>
      </c>
      <c r="O27" s="253">
        <f>SUMIFS(总表!N:N,总表!D:D,M27,总表!E:E,"&gt;=2019/8/12",总表!E:E,"&lt;=2019/8/18")</f>
        <v>34874</v>
      </c>
      <c r="P27" s="254">
        <f t="shared" si="2"/>
        <v>34874</v>
      </c>
      <c r="Q27" s="264" t="str">
        <f>VLOOKUP(M27,设计师对应店铺!A:B,COLUMN(设计师对应店铺!B:B)-COLUMN(设计师对应店铺!A:B)+1,0)</f>
        <v>嘉定店</v>
      </c>
    </row>
    <row r="28" s="34" customFormat="1" spans="1:17">
      <c r="A28" s="260" t="s">
        <v>1170</v>
      </c>
      <c r="B28" s="256">
        <f>COUNTIFS(总表!D:D,A28,总表!L:L,"&lt;&gt;",总表!E:E,"&gt;=2019/8/1",总表!E:E,"&lt;=2019/8/4")</f>
        <v>0</v>
      </c>
      <c r="C28" s="256">
        <f>SUMIFS(总表!N:N,总表!D:D,A28,总表!E:E,"&gt;=2019/8/1",总表!E:E,"&lt;=2019/8/4")</f>
        <v>0</v>
      </c>
      <c r="D28" s="257" t="e">
        <f t="shared" si="0"/>
        <v>#DIV/0!</v>
      </c>
      <c r="E28" s="263" t="str">
        <f>VLOOKUP(A28,设计师对应店铺!A:B,COLUMN(设计师对应店铺!B:B)-COLUMN(设计师对应店铺!A:B)+1,0)</f>
        <v>百安居</v>
      </c>
      <c r="G28" s="260" t="s">
        <v>155</v>
      </c>
      <c r="H28" s="256">
        <f>COUNTIFS(总表!D:D,G28,总表!L:L,"&lt;&gt;",总表!E:E,"&gt;=2019/8/5",总表!E:E,"&lt;=2019/8/11")</f>
        <v>2</v>
      </c>
      <c r="I28" s="256">
        <f>SUMIFS(总表!N:N,总表!D:D,G28,总表!E:E,"&gt;=2019/8/5",总表!E:E,"&lt;=2019/8/11")</f>
        <v>8093</v>
      </c>
      <c r="J28" s="257">
        <f t="shared" si="1"/>
        <v>4046.5</v>
      </c>
      <c r="K28" s="263" t="str">
        <f>VLOOKUP(G28,设计师对应店铺!A:B,COLUMN(设计师对应店铺!B:B)-COLUMN(设计师对应店铺!A:B)+1,0)</f>
        <v>好饰家</v>
      </c>
      <c r="M28" s="260" t="s">
        <v>191</v>
      </c>
      <c r="N28" s="256">
        <f>COUNTIFS(总表!D:D,M28,总表!L:L,"&lt;&gt;",总表!E:E,"&gt;=2019/8/12",总表!E:E,"&lt;=2019/8/18")</f>
        <v>1</v>
      </c>
      <c r="O28" s="256">
        <f>SUMIFS(总表!N:N,总表!D:D,M28,总表!E:E,"&gt;=2019/8/12",总表!E:E,"&lt;=2019/8/18")</f>
        <v>24565</v>
      </c>
      <c r="P28" s="257">
        <f t="shared" si="2"/>
        <v>24565</v>
      </c>
      <c r="Q28" s="263" t="str">
        <f>VLOOKUP(M28,设计师对应店铺!A:B,COLUMN(设计师对应店铺!B:B)-COLUMN(设计师对应店铺!A:B)+1,0)</f>
        <v>家饰佳</v>
      </c>
    </row>
    <row r="29" s="34" customFormat="1" spans="1:17">
      <c r="A29" s="252" t="s">
        <v>187</v>
      </c>
      <c r="B29" s="253">
        <f>COUNTIFS(总表!D:D,A29,总表!L:L,"&lt;&gt;",总表!E:E,"&gt;=2019/8/1",总表!E:E,"&lt;=2019/8/4")</f>
        <v>0</v>
      </c>
      <c r="C29" s="253">
        <f>SUMIFS(总表!N:N,总表!D:D,A29,总表!E:E,"&gt;=2019/8/1",总表!E:E,"&lt;=2019/8/4")</f>
        <v>0</v>
      </c>
      <c r="D29" s="254" t="e">
        <f t="shared" si="0"/>
        <v>#DIV/0!</v>
      </c>
      <c r="E29" s="264" t="str">
        <f>VLOOKUP(A29,设计师对应店铺!A:B,COLUMN(设计师对应店铺!B:B)-COLUMN(设计师对应店铺!A:B)+1,0)</f>
        <v>百家宜</v>
      </c>
      <c r="G29" s="252" t="s">
        <v>427</v>
      </c>
      <c r="H29" s="253">
        <f>COUNTIFS(总表!D:D,G29,总表!L:L,"&lt;&gt;",总表!E:E,"&gt;=2019/8/5",总表!E:E,"&lt;=2019/8/11")</f>
        <v>3</v>
      </c>
      <c r="I29" s="253">
        <f>SUMIFS(总表!N:N,总表!D:D,G29,总表!E:E,"&gt;=2019/8/5",总表!E:E,"&lt;=2019/8/11")</f>
        <v>6701</v>
      </c>
      <c r="J29" s="254">
        <f t="shared" si="1"/>
        <v>2233.66666666667</v>
      </c>
      <c r="K29" s="264" t="str">
        <f>VLOOKUP(G29,设计师对应店铺!A:B,COLUMN(设计师对应店铺!B:B)-COLUMN(设计师对应店铺!A:B)+1,0)</f>
        <v>百家宜</v>
      </c>
      <c r="M29" s="252" t="s">
        <v>518</v>
      </c>
      <c r="N29" s="253">
        <f>COUNTIFS(总表!D:D,M29,总表!L:L,"&lt;&gt;",总表!E:E,"&gt;=2019/8/12",总表!E:E,"&lt;=2019/8/18")</f>
        <v>1</v>
      </c>
      <c r="O29" s="253">
        <f>SUMIFS(总表!N:N,总表!D:D,M29,总表!E:E,"&gt;=2019/8/12",总表!E:E,"&lt;=2019/8/18")</f>
        <v>23436</v>
      </c>
      <c r="P29" s="254">
        <f t="shared" si="2"/>
        <v>23436</v>
      </c>
      <c r="Q29" s="264" t="str">
        <f>VLOOKUP(M29,设计师对应店铺!A:B,COLUMN(设计师对应店铺!B:B)-COLUMN(设计师对应店铺!A:B)+1,0)</f>
        <v>奉贤店</v>
      </c>
    </row>
    <row r="30" s="34" customFormat="1" spans="1:17">
      <c r="A30" s="260" t="s">
        <v>6313</v>
      </c>
      <c r="B30" s="256">
        <f>COUNTIFS(总表!D:D,A30,总表!L:L,"&lt;&gt;",总表!E:E,"&gt;=2019/8/1",总表!E:E,"&lt;=2019/8/4")</f>
        <v>0</v>
      </c>
      <c r="C30" s="256">
        <f>SUMIFS(总表!N:N,总表!D:D,A30,总表!E:E,"&gt;=2019/8/1",总表!E:E,"&lt;=2019/8/4")</f>
        <v>0</v>
      </c>
      <c r="D30" s="257" t="e">
        <f t="shared" si="0"/>
        <v>#DIV/0!</v>
      </c>
      <c r="E30" s="263" t="str">
        <f>VLOOKUP(A30,设计师对应店铺!A:B,COLUMN(设计师对应店铺!B:B)-COLUMN(设计师对应店铺!A:B)+1,0)</f>
        <v>兴明店</v>
      </c>
      <c r="G30" s="260" t="s">
        <v>5695</v>
      </c>
      <c r="H30" s="256">
        <f>COUNTIFS(总表!D:D,G30,总表!L:L,"&lt;&gt;",总表!E:E,"&gt;=2019/8/5",总表!E:E,"&lt;=2019/8/11")</f>
        <v>0</v>
      </c>
      <c r="I30" s="256">
        <f>SUMIFS(总表!N:N,总表!D:D,G30,总表!E:E,"&gt;=2019/8/5",总表!E:E,"&lt;=2019/8/11")</f>
        <v>4400</v>
      </c>
      <c r="J30" s="257" t="e">
        <f t="shared" si="1"/>
        <v>#DIV/0!</v>
      </c>
      <c r="K30" s="263" t="str">
        <f>VLOOKUP(G30,设计师对应店铺!A:B,COLUMN(设计师对应店铺!B:B)-COLUMN(设计师对应店铺!A:B)+1,0)</f>
        <v>设计总监</v>
      </c>
      <c r="M30" s="260" t="s">
        <v>6313</v>
      </c>
      <c r="N30" s="256">
        <f>COUNTIFS(总表!D:D,M30,总表!L:L,"&lt;&gt;",总表!E:E,"&gt;=2019/8/12",总表!E:E,"&lt;=2019/8/18")</f>
        <v>1</v>
      </c>
      <c r="O30" s="256">
        <f>SUMIFS(总表!N:N,总表!D:D,M30,总表!E:E,"&gt;=2019/8/12",总表!E:E,"&lt;=2019/8/18")</f>
        <v>10421</v>
      </c>
      <c r="P30" s="257">
        <f t="shared" si="2"/>
        <v>10421</v>
      </c>
      <c r="Q30" s="263" t="str">
        <f>VLOOKUP(M30,设计师对应店铺!A:B,COLUMN(设计师对应店铺!B:B)-COLUMN(设计师对应店铺!A:B)+1,0)</f>
        <v>兴明店</v>
      </c>
    </row>
    <row r="31" s="34" customFormat="1" spans="1:17">
      <c r="A31" s="252" t="s">
        <v>155</v>
      </c>
      <c r="B31" s="253">
        <f>COUNTIFS(总表!D:D,A31,总表!L:L,"&lt;&gt;",总表!E:E,"&gt;=2019/8/1",总表!E:E,"&lt;=2019/8/4")</f>
        <v>0</v>
      </c>
      <c r="C31" s="253">
        <f>SUMIFS(总表!N:N,总表!D:D,A31,总表!E:E,"&gt;=2019/8/1",总表!E:E,"&lt;=2019/8/4")</f>
        <v>0</v>
      </c>
      <c r="D31" s="254" t="e">
        <f t="shared" si="0"/>
        <v>#DIV/0!</v>
      </c>
      <c r="E31" s="264" t="str">
        <f>VLOOKUP(A31,设计师对应店铺!A:B,COLUMN(设计师对应店铺!B:B)-COLUMN(设计师对应店铺!A:B)+1,0)</f>
        <v>好饰家</v>
      </c>
      <c r="G31" s="252" t="s">
        <v>717</v>
      </c>
      <c r="H31" s="253">
        <f>COUNTIFS(总表!D:D,G31,总表!L:L,"&lt;&gt;",总表!E:E,"&gt;=2019/8/5",总表!E:E,"&lt;=2019/8/11")</f>
        <v>0</v>
      </c>
      <c r="I31" s="253">
        <f>SUMIFS(总表!N:N,总表!D:D,G31,总表!E:E,"&gt;=2019/8/5",总表!E:E,"&lt;=2019/8/11")</f>
        <v>247</v>
      </c>
      <c r="J31" s="254" t="e">
        <f t="shared" si="1"/>
        <v>#DIV/0!</v>
      </c>
      <c r="K31" s="264">
        <f>VLOOKUP(G31,设计师对应店铺!A:B,COLUMN(设计师对应店铺!B:B)-COLUMN(设计师对应店铺!A:B)+1,0)</f>
        <v>0</v>
      </c>
      <c r="M31" s="252" t="s">
        <v>149</v>
      </c>
      <c r="N31" s="253">
        <f>COUNTIFS(总表!D:D,M31,总表!L:L,"&lt;&gt;",总表!E:E,"&gt;=2019/8/12",总表!E:E,"&lt;=2019/8/18")</f>
        <v>2</v>
      </c>
      <c r="O31" s="253">
        <f>SUMIFS(总表!N:N,总表!D:D,M31,总表!E:E,"&gt;=2019/8/12",总表!E:E,"&lt;=2019/8/18")</f>
        <v>9693</v>
      </c>
      <c r="P31" s="254">
        <f t="shared" si="2"/>
        <v>4846.5</v>
      </c>
      <c r="Q31" s="264" t="str">
        <f>VLOOKUP(M31,设计师对应店铺!A:B,COLUMN(设计师对应店铺!B:B)-COLUMN(设计师对应店铺!A:B)+1,0)</f>
        <v>百安居</v>
      </c>
    </row>
    <row r="32" s="34" customFormat="1" spans="1:17">
      <c r="A32" s="260" t="s">
        <v>1436</v>
      </c>
      <c r="B32" s="256">
        <f>COUNTIFS(总表!D:D,A32,总表!L:L,"&lt;&gt;",总表!E:E,"&gt;=2019/8/1",总表!E:E,"&lt;=2019/8/4")</f>
        <v>0</v>
      </c>
      <c r="C32" s="256">
        <f>SUMIFS(总表!N:N,总表!D:D,A32,总表!E:E,"&gt;=2019/8/1",总表!E:E,"&lt;=2019/8/4")</f>
        <v>0</v>
      </c>
      <c r="D32" s="257" t="e">
        <f t="shared" si="0"/>
        <v>#DIV/0!</v>
      </c>
      <c r="E32" s="263" t="str">
        <f>VLOOKUP(A32,设计师对应店铺!A:B,COLUMN(设计师对应店铺!B:B)-COLUMN(设计师对应店铺!A:B)+1,0)</f>
        <v>沪南店</v>
      </c>
      <c r="G32" s="260" t="s">
        <v>356</v>
      </c>
      <c r="H32" s="256">
        <f>COUNTIFS(总表!D:D,G32,总表!L:L,"&lt;&gt;",总表!E:E,"&gt;=2019/8/5",总表!E:E,"&lt;=2019/8/11")</f>
        <v>0</v>
      </c>
      <c r="I32" s="256">
        <f>SUMIFS(总表!N:N,总表!D:D,G32,总表!E:E,"&gt;=2019/8/5",总表!E:E,"&lt;=2019/8/11")</f>
        <v>175</v>
      </c>
      <c r="J32" s="257" t="e">
        <f t="shared" si="1"/>
        <v>#DIV/0!</v>
      </c>
      <c r="K32" s="263" t="str">
        <f>VLOOKUP(G32,设计师对应店铺!A:B,COLUMN(设计师对应店铺!B:B)-COLUMN(设计师对应店铺!A:B)+1,0)</f>
        <v>百安居</v>
      </c>
      <c r="M32" s="260" t="s">
        <v>60</v>
      </c>
      <c r="N32" s="256">
        <f>COUNTIFS(总表!D:D,M32,总表!L:L,"&lt;&gt;",总表!E:E,"&gt;=2019/8/12",总表!E:E,"&lt;=2019/8/18")</f>
        <v>0</v>
      </c>
      <c r="O32" s="256">
        <f>SUMIFS(总表!N:N,总表!D:D,M32,总表!E:E,"&gt;=2019/8/12",总表!E:E,"&lt;=2019/8/18")</f>
        <v>1980</v>
      </c>
      <c r="P32" s="257" t="s">
        <v>498</v>
      </c>
      <c r="Q32" s="263" t="str">
        <f>VLOOKUP(M32,设计师对应店铺!A:B,COLUMN(设计师对应店铺!B:B)-COLUMN(设计师对应店铺!A:B)+1,0)</f>
        <v>家饰佳</v>
      </c>
    </row>
    <row r="33" s="34" customFormat="1" spans="1:17">
      <c r="A33" s="252" t="s">
        <v>443</v>
      </c>
      <c r="B33" s="253">
        <f>COUNTIFS(总表!D:D,A33,总表!L:L,"&lt;&gt;",总表!E:E,"&gt;=2019/8/1",总表!E:E,"&lt;=2019/8/4")</f>
        <v>0</v>
      </c>
      <c r="C33" s="253">
        <f>SUMIFS(总表!N:N,总表!D:D,A33,总表!E:E,"&gt;=2019/8/1",总表!E:E,"&lt;=2019/8/4")</f>
        <v>0</v>
      </c>
      <c r="D33" s="254" t="e">
        <f t="shared" si="0"/>
        <v>#DIV/0!</v>
      </c>
      <c r="E33" s="264" t="str">
        <f>VLOOKUP(A33,设计师对应店铺!A:B,COLUMN(设计师对应店铺!B:B)-COLUMN(设计师对应店铺!A:B)+1,0)</f>
        <v>家饰佳</v>
      </c>
      <c r="G33" s="252" t="s">
        <v>518</v>
      </c>
      <c r="H33" s="253">
        <f>COUNTIFS(总表!D:D,G33,总表!L:L,"&lt;&gt;",总表!E:E,"&gt;=2019/8/5",总表!E:E,"&lt;=2019/8/11")</f>
        <v>0</v>
      </c>
      <c r="I33" s="253">
        <f>SUMIFS(总表!N:N,总表!D:D,G33,总表!E:E,"&gt;=2019/8/5",总表!E:E,"&lt;=2019/8/11")</f>
        <v>0</v>
      </c>
      <c r="J33" s="254" t="e">
        <f t="shared" si="1"/>
        <v>#DIV/0!</v>
      </c>
      <c r="K33" s="264" t="str">
        <f>VLOOKUP(G33,设计师对应店铺!A:B,COLUMN(设计师对应店铺!B:B)-COLUMN(设计师对应店铺!A:B)+1,0)</f>
        <v>奉贤店</v>
      </c>
      <c r="M33" s="252" t="s">
        <v>356</v>
      </c>
      <c r="N33" s="253">
        <f>COUNTIFS(总表!D:D,M33,总表!L:L,"&lt;&gt;",总表!E:E,"&gt;=2019/8/12",总表!E:E,"&lt;=2019/8/18")</f>
        <v>0</v>
      </c>
      <c r="O33" s="253">
        <f>SUMIFS(总表!N:N,总表!D:D,M33,总表!E:E,"&gt;=2019/8/12",总表!E:E,"&lt;=2019/8/18")</f>
        <v>615</v>
      </c>
      <c r="P33" s="254" t="s">
        <v>498</v>
      </c>
      <c r="Q33" s="264" t="str">
        <f>VLOOKUP(M33,设计师对应店铺!A:B,COLUMN(设计师对应店铺!B:B)-COLUMN(设计师对应店铺!A:B)+1,0)</f>
        <v>百安居</v>
      </c>
    </row>
    <row r="34" s="34" customFormat="1" spans="1:17">
      <c r="A34" s="260" t="s">
        <v>3965</v>
      </c>
      <c r="B34" s="256">
        <f>COUNTIFS(总表!D:D,A34,总表!L:L,"&lt;&gt;",总表!E:E,"&gt;=2019/8/1",总表!E:E,"&lt;=2019/8/4")</f>
        <v>0</v>
      </c>
      <c r="C34" s="256">
        <f>SUMIFS(总表!N:N,总表!D:D,A34,总表!E:E,"&gt;=2019/8/1",总表!E:E,"&lt;=2019/8/4")</f>
        <v>0</v>
      </c>
      <c r="D34" s="257" t="e">
        <f t="shared" si="0"/>
        <v>#DIV/0!</v>
      </c>
      <c r="E34" s="263" t="str">
        <f>VLOOKUP(A34,设计师对应店铺!A:B,COLUMN(设计师对应店铺!B:B)-COLUMN(设计师对应店铺!A:B)+1,0)</f>
        <v>奉贤、金山、南汇、松江</v>
      </c>
      <c r="G34" s="260" t="s">
        <v>1170</v>
      </c>
      <c r="H34" s="256">
        <f>COUNTIFS(总表!D:D,G34,总表!L:L,"&lt;&gt;",总表!E:E,"&gt;=2019/8/5",总表!E:E,"&lt;=2019/8/11")</f>
        <v>0</v>
      </c>
      <c r="I34" s="256">
        <f>SUMIFS(总表!N:N,总表!D:D,G34,总表!E:E,"&gt;=2019/8/5",总表!E:E,"&lt;=2019/8/11")</f>
        <v>0</v>
      </c>
      <c r="J34" s="257" t="e">
        <f t="shared" si="1"/>
        <v>#DIV/0!</v>
      </c>
      <c r="K34" s="263" t="str">
        <f>VLOOKUP(G34,设计师对应店铺!A:B,COLUMN(设计师对应店铺!B:B)-COLUMN(设计师对应店铺!A:B)+1,0)</f>
        <v>百安居</v>
      </c>
      <c r="M34" s="260" t="s">
        <v>1436</v>
      </c>
      <c r="N34" s="256">
        <f>COUNTIFS(总表!D:D,M34,总表!L:L,"&lt;&gt;",总表!E:E,"&gt;=2019/8/12",总表!E:E,"&lt;=2019/8/18")</f>
        <v>0</v>
      </c>
      <c r="O34" s="256">
        <f>SUMIFS(总表!N:N,总表!D:D,M34,总表!E:E,"&gt;=2019/8/12",总表!E:E,"&lt;=2019/8/18")</f>
        <v>0</v>
      </c>
      <c r="P34" s="257">
        <v>0</v>
      </c>
      <c r="Q34" s="263" t="str">
        <f>VLOOKUP(M34,设计师对应店铺!A:B,COLUMN(设计师对应店铺!B:B)-COLUMN(设计师对应店铺!A:B)+1,0)</f>
        <v>沪南店</v>
      </c>
    </row>
    <row r="35" s="34" customFormat="1" spans="1:17">
      <c r="A35" s="252" t="s">
        <v>1431</v>
      </c>
      <c r="B35" s="253">
        <f>COUNTIFS(总表!D:D,A35,总表!L:L,"&lt;&gt;",总表!E:E,"&gt;=2019/8/1",总表!E:E,"&lt;=2019/8/4")</f>
        <v>0</v>
      </c>
      <c r="C35" s="253">
        <f>SUMIFS(总表!N:N,总表!D:D,A35,总表!E:E,"&gt;=2019/8/1",总表!E:E,"&lt;=2019/8/4")</f>
        <v>0</v>
      </c>
      <c r="D35" s="254" t="e">
        <f t="shared" si="0"/>
        <v>#DIV/0!</v>
      </c>
      <c r="E35" s="264" t="str">
        <f>VLOOKUP(A35,设计师对应店铺!A:B,COLUMN(设计师对应店铺!B:B)-COLUMN(设计师对应店铺!A:B)+1,0)</f>
        <v>真北店</v>
      </c>
      <c r="G35" s="252" t="s">
        <v>6313</v>
      </c>
      <c r="H35" s="253">
        <f>COUNTIFS(总表!D:D,G35,总表!L:L,"&lt;&gt;",总表!E:E,"&gt;=2019/8/5",总表!E:E,"&lt;=2019/8/11")</f>
        <v>0</v>
      </c>
      <c r="I35" s="253">
        <f>SUMIFS(总表!N:N,总表!D:D,G35,总表!E:E,"&gt;=2019/8/5",总表!E:E,"&lt;=2019/8/11")</f>
        <v>0</v>
      </c>
      <c r="J35" s="254" t="e">
        <f t="shared" si="1"/>
        <v>#DIV/0!</v>
      </c>
      <c r="K35" s="264" t="str">
        <f>VLOOKUP(G35,设计师对应店铺!A:B,COLUMN(设计师对应店铺!B:B)-COLUMN(设计师对应店铺!A:B)+1,0)</f>
        <v>兴明店</v>
      </c>
      <c r="M35" s="252" t="s">
        <v>443</v>
      </c>
      <c r="N35" s="253">
        <f>COUNTIFS(总表!D:D,M35,总表!L:L,"&lt;&gt;",总表!E:E,"&gt;=2019/8/12",总表!E:E,"&lt;=2019/8/18")</f>
        <v>0</v>
      </c>
      <c r="O35" s="253">
        <f>SUMIFS(总表!N:N,总表!D:D,M35,总表!E:E,"&gt;=2019/8/12",总表!E:E,"&lt;=2019/8/18")</f>
        <v>0</v>
      </c>
      <c r="P35" s="254">
        <v>0</v>
      </c>
      <c r="Q35" s="264" t="str">
        <f>VLOOKUP(M35,设计师对应店铺!A:B,COLUMN(设计师对应店铺!B:B)-COLUMN(设计师对应店铺!A:B)+1,0)</f>
        <v>家饰佳</v>
      </c>
    </row>
    <row r="36" s="34" customFormat="1" spans="1:17">
      <c r="A36" s="260" t="s">
        <v>191</v>
      </c>
      <c r="B36" s="256">
        <f>COUNTIFS(总表!D:D,A36,总表!L:L,"&lt;&gt;",总表!E:E,"&gt;=2019/8/1",总表!E:E,"&lt;=2019/8/4")</f>
        <v>0</v>
      </c>
      <c r="C36" s="256">
        <f>SUMIFS(总表!N:N,总表!D:D,A36,总表!E:E,"&gt;=2019/8/1",总表!E:E,"&lt;=2019/8/4")</f>
        <v>0</v>
      </c>
      <c r="D36" s="257" t="e">
        <f t="shared" si="0"/>
        <v>#DIV/0!</v>
      </c>
      <c r="E36" s="263" t="str">
        <f>VLOOKUP(A36,设计师对应店铺!A:B,COLUMN(设计师对应店铺!B:B)-COLUMN(设计师对应店铺!A:B)+1,0)</f>
        <v>家饰佳</v>
      </c>
      <c r="G36" s="260" t="s">
        <v>149</v>
      </c>
      <c r="H36" s="256">
        <f>COUNTIFS(总表!D:D,G36,总表!L:L,"&lt;&gt;",总表!E:E,"&gt;=2019/8/5",总表!E:E,"&lt;=2019/8/11")</f>
        <v>0</v>
      </c>
      <c r="I36" s="256">
        <f>SUMIFS(总表!N:N,总表!D:D,G36,总表!E:E,"&gt;=2019/8/5",总表!E:E,"&lt;=2019/8/11")</f>
        <v>0</v>
      </c>
      <c r="J36" s="257" t="e">
        <f t="shared" si="1"/>
        <v>#DIV/0!</v>
      </c>
      <c r="K36" s="263" t="str">
        <f>VLOOKUP(G36,设计师对应店铺!A:B,COLUMN(设计师对应店铺!B:B)-COLUMN(设计师对应店铺!A:B)+1,0)</f>
        <v>百安居</v>
      </c>
      <c r="M36" s="260" t="s">
        <v>3965</v>
      </c>
      <c r="N36" s="256">
        <f>COUNTIFS(总表!D:D,M36,总表!L:L,"&lt;&gt;",总表!E:E,"&gt;=2019/8/12",总表!E:E,"&lt;=2019/8/18")</f>
        <v>0</v>
      </c>
      <c r="O36" s="256">
        <f>SUMIFS(总表!N:N,总表!D:D,M36,总表!E:E,"&gt;=2019/8/12",总表!E:E,"&lt;=2019/8/18")</f>
        <v>0</v>
      </c>
      <c r="P36" s="257">
        <v>0</v>
      </c>
      <c r="Q36" s="263" t="str">
        <f>VLOOKUP(M36,设计师对应店铺!A:B,COLUMN(设计师对应店铺!B:B)-COLUMN(设计师对应店铺!A:B)+1,0)</f>
        <v>奉贤、金山、南汇、松江</v>
      </c>
    </row>
    <row r="37" s="34" customFormat="1" spans="1:17">
      <c r="A37" s="252" t="s">
        <v>5337</v>
      </c>
      <c r="B37" s="253">
        <f>COUNTIFS(总表!D:D,A37,总表!L:L,"&lt;&gt;",总表!E:E,"&gt;=2019/8/1",总表!E:E,"&lt;=2019/8/4")</f>
        <v>0</v>
      </c>
      <c r="C37" s="253">
        <f>SUMIFS(总表!N:N,总表!D:D,A37,总表!E:E,"&gt;=2019/8/1",总表!E:E,"&lt;=2019/8/4")</f>
        <v>0</v>
      </c>
      <c r="D37" s="254" t="e">
        <f t="shared" si="0"/>
        <v>#DIV/0!</v>
      </c>
      <c r="E37" s="264" t="str">
        <f>VLOOKUP(A37,设计师对应店铺!A:B,COLUMN(设计师对应店铺!B:B)-COLUMN(设计师对应店铺!A:B)+1,0)</f>
        <v>尚品宅配</v>
      </c>
      <c r="G37" s="252" t="s">
        <v>1436</v>
      </c>
      <c r="H37" s="253">
        <f>COUNTIFS(总表!D:D,G37,总表!L:L,"&lt;&gt;",总表!E:E,"&gt;=2019/8/5",总表!E:E,"&lt;=2019/8/11")</f>
        <v>0</v>
      </c>
      <c r="I37" s="253">
        <f>SUMIFS(总表!N:N,总表!D:D,G37,总表!E:E,"&gt;=2019/8/5",总表!E:E,"&lt;=2019/8/11")</f>
        <v>0</v>
      </c>
      <c r="J37" s="254" t="e">
        <f t="shared" si="1"/>
        <v>#DIV/0!</v>
      </c>
      <c r="K37" s="264" t="str">
        <f>VLOOKUP(G37,设计师对应店铺!A:B,COLUMN(设计师对应店铺!B:B)-COLUMN(设计师对应店铺!A:B)+1,0)</f>
        <v>沪南店</v>
      </c>
      <c r="M37" s="252" t="s">
        <v>1431</v>
      </c>
      <c r="N37" s="253">
        <f>COUNTIFS(总表!D:D,M37,总表!L:L,"&lt;&gt;",总表!E:E,"&gt;=2019/8/12",总表!E:E,"&lt;=2019/8/18")</f>
        <v>0</v>
      </c>
      <c r="O37" s="253">
        <f>SUMIFS(总表!N:N,总表!D:D,M37,总表!E:E,"&gt;=2019/8/12",总表!E:E,"&lt;=2019/8/18")</f>
        <v>0</v>
      </c>
      <c r="P37" s="254">
        <v>0</v>
      </c>
      <c r="Q37" s="264" t="str">
        <f>VLOOKUP(M37,设计师对应店铺!A:B,COLUMN(设计师对应店铺!B:B)-COLUMN(设计师对应店铺!A:B)+1,0)</f>
        <v>真北店</v>
      </c>
    </row>
    <row r="38" s="34" customFormat="1" spans="1:17">
      <c r="A38" s="260" t="s">
        <v>361</v>
      </c>
      <c r="B38" s="256">
        <f>COUNTIFS(总表!D:D,A38,总表!L:L,"&lt;&gt;",总表!E:E,"&gt;=2019/8/1",总表!E:E,"&lt;=2019/8/4")</f>
        <v>0</v>
      </c>
      <c r="C38" s="256">
        <f>SUMIFS(总表!N:N,总表!D:D,A38,总表!E:E,"&gt;=2019/8/1",总表!E:E,"&lt;=2019/8/4")</f>
        <v>0</v>
      </c>
      <c r="D38" s="257" t="e">
        <f t="shared" si="0"/>
        <v>#DIV/0!</v>
      </c>
      <c r="E38" s="263" t="str">
        <f>VLOOKUP(A38,设计师对应店铺!A:B,COLUMN(设计师对应店铺!B:B)-COLUMN(设计师对应店铺!A:B)+1,0)</f>
        <v>美美家自配</v>
      </c>
      <c r="G38" s="260" t="s">
        <v>443</v>
      </c>
      <c r="H38" s="256">
        <f>COUNTIFS(总表!D:D,G38,总表!L:L,"&lt;&gt;",总表!E:E,"&gt;=2019/8/5",总表!E:E,"&lt;=2019/8/11")</f>
        <v>0</v>
      </c>
      <c r="I38" s="256">
        <f>SUMIFS(总表!N:N,总表!D:D,G38,总表!E:E,"&gt;=2019/8/5",总表!E:E,"&lt;=2019/8/11")</f>
        <v>0</v>
      </c>
      <c r="J38" s="257" t="e">
        <f t="shared" si="1"/>
        <v>#DIV/0!</v>
      </c>
      <c r="K38" s="263" t="str">
        <f>VLOOKUP(G38,设计师对应店铺!A:B,COLUMN(设计师对应店铺!B:B)-COLUMN(设计师对应店铺!A:B)+1,0)</f>
        <v>家饰佳</v>
      </c>
      <c r="M38" s="260" t="s">
        <v>5337</v>
      </c>
      <c r="N38" s="256">
        <f>COUNTIFS(总表!D:D,M38,总表!L:L,"&lt;&gt;",总表!E:E,"&gt;=2019/8/12",总表!E:E,"&lt;=2019/8/18")</f>
        <v>0</v>
      </c>
      <c r="O38" s="256">
        <f>SUMIFS(总表!N:N,总表!D:D,M38,总表!E:E,"&gt;=2019/8/12",总表!E:E,"&lt;=2019/8/18")</f>
        <v>0</v>
      </c>
      <c r="P38" s="257">
        <v>0</v>
      </c>
      <c r="Q38" s="263" t="str">
        <f>VLOOKUP(M38,设计师对应店铺!A:B,COLUMN(设计师对应店铺!B:B)-COLUMN(设计师对应店铺!A:B)+1,0)</f>
        <v>尚品宅配</v>
      </c>
    </row>
    <row r="39" s="34" customFormat="1" spans="1:17">
      <c r="A39" s="252" t="s">
        <v>356</v>
      </c>
      <c r="B39" s="253">
        <f>COUNTIFS(总表!D:D,A39,总表!L:L,"&lt;&gt;",总表!E:E,"&gt;=2019/8/1",总表!E:E,"&lt;=2019/8/4")</f>
        <v>0</v>
      </c>
      <c r="C39" s="253">
        <f>SUMIFS(总表!N:N,总表!D:D,A39,总表!E:E,"&gt;=2019/8/1",总表!E:E,"&lt;=2019/8/4")</f>
        <v>0</v>
      </c>
      <c r="D39" s="254" t="e">
        <f t="shared" si="0"/>
        <v>#DIV/0!</v>
      </c>
      <c r="E39" s="264" t="str">
        <f>VLOOKUP(A39,设计师对应店铺!A:B,COLUMN(设计师对应店铺!B:B)-COLUMN(设计师对应店铺!A:B)+1,0)</f>
        <v>百安居</v>
      </c>
      <c r="G39" s="252" t="s">
        <v>3965</v>
      </c>
      <c r="H39" s="253">
        <f>COUNTIFS(总表!D:D,G39,总表!L:L,"&lt;&gt;",总表!E:E,"&gt;=2019/8/5",总表!E:E,"&lt;=2019/8/11")</f>
        <v>0</v>
      </c>
      <c r="I39" s="253">
        <f>SUMIFS(总表!N:N,总表!D:D,G39,总表!E:E,"&gt;=2019/8/5",总表!E:E,"&lt;=2019/8/11")</f>
        <v>0</v>
      </c>
      <c r="J39" s="254" t="e">
        <f t="shared" si="1"/>
        <v>#DIV/0!</v>
      </c>
      <c r="K39" s="264" t="str">
        <f>VLOOKUP(G39,设计师对应店铺!A:B,COLUMN(设计师对应店铺!B:B)-COLUMN(设计师对应店铺!A:B)+1,0)</f>
        <v>奉贤、金山、南汇、松江</v>
      </c>
      <c r="M39" s="252" t="s">
        <v>361</v>
      </c>
      <c r="N39" s="253">
        <f>COUNTIFS(总表!D:D,M39,总表!L:L,"&lt;&gt;",总表!E:E,"&gt;=2019/8/12",总表!E:E,"&lt;=2019/8/18")</f>
        <v>0</v>
      </c>
      <c r="O39" s="253">
        <f>SUMIFS(总表!N:N,总表!D:D,M39,总表!E:E,"&gt;=2019/8/12",总表!E:E,"&lt;=2019/8/18")</f>
        <v>0</v>
      </c>
      <c r="P39" s="254">
        <v>0</v>
      </c>
      <c r="Q39" s="264" t="str">
        <f>VLOOKUP(M39,设计师对应店铺!A:B,COLUMN(设计师对应店铺!B:B)-COLUMN(设计师对应店铺!A:B)+1,0)</f>
        <v>美美家自配</v>
      </c>
    </row>
    <row r="40" s="34" customFormat="1" spans="1:17">
      <c r="A40" s="260" t="s">
        <v>115</v>
      </c>
      <c r="B40" s="256">
        <f>COUNTIFS(总表!D:D,A40,总表!L:L,"&lt;&gt;",总表!E:E,"&gt;=2019/8/1",总表!E:E,"&lt;=2019/8/4")</f>
        <v>0</v>
      </c>
      <c r="C40" s="256">
        <f>SUMIFS(总表!N:N,总表!D:D,A40,总表!E:E,"&gt;=2019/8/1",总表!E:E,"&lt;=2019/8/4")</f>
        <v>0</v>
      </c>
      <c r="D40" s="257" t="e">
        <f t="shared" si="0"/>
        <v>#DIV/0!</v>
      </c>
      <c r="E40" s="263" t="str">
        <f>VLOOKUP(A40,设计师对应店铺!A:B,COLUMN(设计师对应店铺!B:B)-COLUMN(设计师对应店铺!A:B)+1,0)</f>
        <v>奉贤、金山、南汇、松江</v>
      </c>
      <c r="G40" s="260" t="s">
        <v>1431</v>
      </c>
      <c r="H40" s="256">
        <f>COUNTIFS(总表!D:D,G40,总表!L:L,"&lt;&gt;",总表!E:E,"&gt;=2019/8/5",总表!E:E,"&lt;=2019/8/11")</f>
        <v>0</v>
      </c>
      <c r="I40" s="256">
        <f>SUMIFS(总表!N:N,总表!D:D,G40,总表!E:E,"&gt;=2019/8/5",总表!E:E,"&lt;=2019/8/11")</f>
        <v>0</v>
      </c>
      <c r="J40" s="257" t="e">
        <f t="shared" si="1"/>
        <v>#DIV/0!</v>
      </c>
      <c r="K40" s="263" t="str">
        <f>VLOOKUP(G40,设计师对应店铺!A:B,COLUMN(设计师对应店铺!B:B)-COLUMN(设计师对应店铺!A:B)+1,0)</f>
        <v>真北店</v>
      </c>
      <c r="M40" s="260" t="s">
        <v>115</v>
      </c>
      <c r="N40" s="256">
        <f>COUNTIFS(总表!D:D,M40,总表!L:L,"&lt;&gt;",总表!E:E,"&gt;=2019/8/12",总表!E:E,"&lt;=2019/8/18")</f>
        <v>0</v>
      </c>
      <c r="O40" s="256">
        <f>SUMIFS(总表!N:N,总表!D:D,M40,总表!E:E,"&gt;=2019/8/12",总表!E:E,"&lt;=2019/8/18")</f>
        <v>0</v>
      </c>
      <c r="P40" s="257">
        <v>0</v>
      </c>
      <c r="Q40" s="263" t="str">
        <f>VLOOKUP(M40,设计师对应店铺!A:B,COLUMN(设计师对应店铺!B:B)-COLUMN(设计师对应店铺!A:B)+1,0)</f>
        <v>奉贤、金山、南汇、松江</v>
      </c>
    </row>
    <row r="41" s="34" customFormat="1" spans="1:17">
      <c r="A41" s="252" t="s">
        <v>5336</v>
      </c>
      <c r="B41" s="253">
        <f>COUNTIFS(总表!D:D,A41,总表!L:L,"&lt;&gt;",总表!E:E,"&gt;=2019/8/1",总表!E:E,"&lt;=2019/8/4")</f>
        <v>0</v>
      </c>
      <c r="C41" s="253">
        <f>SUMIFS(总表!N:N,总表!D:D,A41,总表!E:E,"&gt;=2019/8/1",总表!E:E,"&lt;=2019/8/4")</f>
        <v>0</v>
      </c>
      <c r="D41" s="254" t="e">
        <f t="shared" si="0"/>
        <v>#DIV/0!</v>
      </c>
      <c r="E41" s="264" t="str">
        <f>VLOOKUP(A41,设计师对应店铺!A:B,COLUMN(设计师对应店铺!B:B)-COLUMN(设计师对应店铺!A:B)+1,0)</f>
        <v>尚品宅配</v>
      </c>
      <c r="G41" s="252" t="s">
        <v>5337</v>
      </c>
      <c r="H41" s="253">
        <f>COUNTIFS(总表!D:D,G41,总表!L:L,"&lt;&gt;",总表!E:E,"&gt;=2019/8/5",总表!E:E,"&lt;=2019/8/11")</f>
        <v>0</v>
      </c>
      <c r="I41" s="253">
        <f>SUMIFS(总表!N:N,总表!D:D,G41,总表!E:E,"&gt;=2019/8/5",总表!E:E,"&lt;=2019/8/11")</f>
        <v>0</v>
      </c>
      <c r="J41" s="254" t="e">
        <f t="shared" si="1"/>
        <v>#DIV/0!</v>
      </c>
      <c r="K41" s="264" t="str">
        <f>VLOOKUP(G41,设计师对应店铺!A:B,COLUMN(设计师对应店铺!B:B)-COLUMN(设计师对应店铺!A:B)+1,0)</f>
        <v>尚品宅配</v>
      </c>
      <c r="M41" s="252" t="s">
        <v>5336</v>
      </c>
      <c r="N41" s="253">
        <f>COUNTIFS(总表!D:D,M41,总表!L:L,"&lt;&gt;",总表!E:E,"&gt;=2019/8/12",总表!E:E,"&lt;=2019/8/18")</f>
        <v>0</v>
      </c>
      <c r="O41" s="253">
        <f>SUMIFS(总表!N:N,总表!D:D,M41,总表!E:E,"&gt;=2019/8/12",总表!E:E,"&lt;=2019/8/18")</f>
        <v>0</v>
      </c>
      <c r="P41" s="254">
        <v>0</v>
      </c>
      <c r="Q41" s="264" t="str">
        <f>VLOOKUP(M41,设计师对应店铺!A:B,COLUMN(设计师对应店铺!B:B)-COLUMN(设计师对应店铺!A:B)+1,0)</f>
        <v>尚品宅配</v>
      </c>
    </row>
    <row r="42" s="34" customFormat="1" spans="1:17">
      <c r="A42" s="260" t="s">
        <v>60</v>
      </c>
      <c r="B42" s="256">
        <f>COUNTIFS(总表!D:D,A42,总表!L:L,"&lt;&gt;",总表!E:E,"&gt;=2019/8/1",总表!E:E,"&lt;=2019/8/4")</f>
        <v>0</v>
      </c>
      <c r="C42" s="256">
        <f>SUMIFS(总表!N:N,总表!D:D,A42,总表!E:E,"&gt;=2019/8/1",总表!E:E,"&lt;=2019/8/4")</f>
        <v>0</v>
      </c>
      <c r="D42" s="257" t="e">
        <f t="shared" si="0"/>
        <v>#DIV/0!</v>
      </c>
      <c r="E42" s="263" t="str">
        <f>VLOOKUP(A42,设计师对应店铺!A:B,COLUMN(设计师对应店铺!B:B)-COLUMN(设计师对应店铺!A:B)+1,0)</f>
        <v>家饰佳</v>
      </c>
      <c r="G42" s="260" t="s">
        <v>115</v>
      </c>
      <c r="H42" s="256">
        <f>COUNTIFS(总表!D:D,G42,总表!L:L,"&lt;&gt;",总表!E:E,"&gt;=2019/8/5",总表!E:E,"&lt;=2019/8/11")</f>
        <v>0</v>
      </c>
      <c r="I42" s="256">
        <f>SUMIFS(总表!N:N,总表!D:D,G42,总表!E:E,"&gt;=2019/8/5",总表!E:E,"&lt;=2019/8/11")</f>
        <v>0</v>
      </c>
      <c r="J42" s="257" t="e">
        <f t="shared" si="1"/>
        <v>#DIV/0!</v>
      </c>
      <c r="K42" s="263" t="str">
        <f>VLOOKUP(G42,设计师对应店铺!A:B,COLUMN(设计师对应店铺!B:B)-COLUMN(设计师对应店铺!A:B)+1,0)</f>
        <v>奉贤、金山、南汇、松江</v>
      </c>
      <c r="M42" s="260" t="s">
        <v>21268</v>
      </c>
      <c r="N42" s="256">
        <f>COUNTIFS(总表!D:D,M42,总表!L:L,"&lt;&gt;",总表!E:E,"&gt;=2019/8/12",总表!E:E,"&lt;=2019/8/18")</f>
        <v>0</v>
      </c>
      <c r="O42" s="256">
        <f>SUMIFS(总表!N:N,总表!D:D,M42,总表!E:E,"&gt;=2019/8/12",总表!E:E,"&lt;=2019/8/18")</f>
        <v>0</v>
      </c>
      <c r="P42" s="257">
        <v>0</v>
      </c>
      <c r="Q42" s="263" t="str">
        <f>VLOOKUP(M42,设计师对应店铺!A:B,COLUMN(设计师对应店铺!B:B)-COLUMN(设计师对应店铺!A:B)+1,0)</f>
        <v>金山店</v>
      </c>
    </row>
    <row r="43" s="34" customFormat="1" spans="1:17">
      <c r="A43" s="252" t="s">
        <v>337</v>
      </c>
      <c r="B43" s="253">
        <f>COUNTIFS(总表!D:D,A43,总表!L:L,"&lt;&gt;",总表!E:E,"&gt;=2019/8/1",总表!E:E,"&lt;=2019/8/4")</f>
        <v>0</v>
      </c>
      <c r="C43" s="253">
        <f>SUMIFS(总表!N:N,总表!D:D,A43,总表!E:E,"&gt;=2019/8/1",总表!E:E,"&lt;=2019/8/4")</f>
        <v>0</v>
      </c>
      <c r="D43" s="254" t="e">
        <f t="shared" si="0"/>
        <v>#DIV/0!</v>
      </c>
      <c r="E43" s="264" t="str">
        <f>VLOOKUP(A43,设计师对应店铺!A:B,COLUMN(设计师对应店铺!B:B)-COLUMN(设计师对应店铺!A:B)+1,0)</f>
        <v>建配龙</v>
      </c>
      <c r="G43" s="252" t="s">
        <v>5336</v>
      </c>
      <c r="H43" s="253">
        <f>COUNTIFS(总表!D:D,G43,总表!L:L,"&lt;&gt;",总表!E:E,"&gt;=2019/8/5",总表!E:E,"&lt;=2019/8/11")</f>
        <v>0</v>
      </c>
      <c r="I43" s="253">
        <f>SUMIFS(总表!N:N,总表!D:D,G43,总表!E:E,"&gt;=2019/8/5",总表!E:E,"&lt;=2019/8/11")</f>
        <v>0</v>
      </c>
      <c r="J43" s="254" t="e">
        <f t="shared" si="1"/>
        <v>#DIV/0!</v>
      </c>
      <c r="K43" s="264" t="str">
        <f>VLOOKUP(G43,设计师对应店铺!A:B,COLUMN(设计师对应店铺!B:B)-COLUMN(设计师对应店铺!A:B)+1,0)</f>
        <v>尚品宅配</v>
      </c>
      <c r="M43" s="252" t="s">
        <v>5695</v>
      </c>
      <c r="N43" s="253">
        <f>COUNTIFS(总表!D:D,M43,总表!L:L,"&lt;&gt;",总表!E:E,"&gt;=2019/8/12",总表!E:E,"&lt;=2019/8/18")</f>
        <v>0</v>
      </c>
      <c r="O43" s="253">
        <f>SUMIFS(总表!N:N,总表!D:D,M43,总表!E:E,"&gt;=2019/8/12",总表!E:E,"&lt;=2019/8/18")</f>
        <v>-12737</v>
      </c>
      <c r="P43" s="254" t="s">
        <v>498</v>
      </c>
      <c r="Q43" s="264" t="str">
        <f>VLOOKUP(M43,设计师对应店铺!A:B,COLUMN(设计师对应店铺!B:B)-COLUMN(设计师对应店铺!A:B)+1,0)</f>
        <v>设计总监</v>
      </c>
    </row>
    <row r="44" s="34" customFormat="1" spans="1:17">
      <c r="A44" s="260" t="s">
        <v>21268</v>
      </c>
      <c r="B44" s="256">
        <f>COUNTIFS(总表!D:D,A44,总表!L:L,"&lt;&gt;",总表!E:E,"&gt;=2019/8/1",总表!E:E,"&lt;=2019/8/4")</f>
        <v>0</v>
      </c>
      <c r="C44" s="256">
        <f>SUMIFS(总表!N:N,总表!D:D,A44,总表!E:E,"&gt;=2019/8/1",总表!E:E,"&lt;=2019/8/4")</f>
        <v>0</v>
      </c>
      <c r="D44" s="257" t="e">
        <f t="shared" si="0"/>
        <v>#DIV/0!</v>
      </c>
      <c r="E44" s="263" t="str">
        <f>VLOOKUP(A44,设计师对应店铺!A:B,COLUMN(设计师对应店铺!B:B)-COLUMN(设计师对应店铺!A:B)+1,0)</f>
        <v>金山店</v>
      </c>
      <c r="G44" s="260" t="s">
        <v>60</v>
      </c>
      <c r="H44" s="256">
        <f>COUNTIFS(总表!D:D,G44,总表!L:L,"&lt;&gt;",总表!E:E,"&gt;=2019/8/5",总表!E:E,"&lt;=2019/8/11")</f>
        <v>0</v>
      </c>
      <c r="I44" s="256">
        <f>SUMIFS(总表!N:N,总表!D:D,G44,总表!E:E,"&gt;=2019/8/5",总表!E:E,"&lt;=2019/8/11")</f>
        <v>0</v>
      </c>
      <c r="J44" s="257" t="e">
        <f t="shared" si="1"/>
        <v>#DIV/0!</v>
      </c>
      <c r="K44" s="263" t="str">
        <f>VLOOKUP(G44,设计师对应店铺!A:B,COLUMN(设计师对应店铺!B:B)-COLUMN(设计师对应店铺!A:B)+1,0)</f>
        <v>家饰佳</v>
      </c>
      <c r="M44" s="260" t="s">
        <v>717</v>
      </c>
      <c r="N44" s="256">
        <f>COUNTIFS(总表!D:D,M44,总表!L:L,"&lt;&gt;",总表!E:E,"&gt;=2019/8/12",总表!E:E,"&lt;=2019/8/18")</f>
        <v>0</v>
      </c>
      <c r="O44" s="256">
        <f>SUMIFS(总表!N:N,总表!D:D,M44,总表!E:E,"&gt;=2019/8/12",总表!E:E,"&lt;=2019/8/18")</f>
        <v>-23084</v>
      </c>
      <c r="P44" s="257" t="s">
        <v>498</v>
      </c>
      <c r="Q44" s="263">
        <f>VLOOKUP(M44,设计师对应店铺!A:B,COLUMN(设计师对应店铺!B:B)-COLUMN(设计师对应店铺!A:B)+1,0)</f>
        <v>0</v>
      </c>
    </row>
    <row r="45" s="34" customFormat="1" spans="1:17">
      <c r="A45" s="252" t="s">
        <v>5695</v>
      </c>
      <c r="B45" s="253">
        <f>COUNTIFS(总表!D:D,A45,总表!L:L,"&lt;&gt;",总表!E:E,"&gt;=2019/8/1",总表!E:E,"&lt;=2019/8/4")</f>
        <v>0</v>
      </c>
      <c r="C45" s="253">
        <f>SUMIFS(总表!N:N,总表!D:D,A45,总表!E:E,"&gt;=2019/8/1",总表!E:E,"&lt;=2019/8/4")</f>
        <v>0</v>
      </c>
      <c r="D45" s="254" t="e">
        <f t="shared" si="0"/>
        <v>#DIV/0!</v>
      </c>
      <c r="E45" s="264" t="str">
        <f>VLOOKUP(A45,设计师对应店铺!A:B,COLUMN(设计师对应店铺!B:B)-COLUMN(设计师对应店铺!A:B)+1,0)</f>
        <v>设计总监</v>
      </c>
      <c r="G45" s="252" t="s">
        <v>21268</v>
      </c>
      <c r="H45" s="253">
        <f>COUNTIFS(总表!D:D,G45,总表!L:L,"&lt;&gt;",总表!E:E,"&gt;=2019/8/5",总表!E:E,"&lt;=2019/8/11")</f>
        <v>0</v>
      </c>
      <c r="I45" s="253">
        <f>SUMIFS(总表!N:N,总表!D:D,G45,总表!E:E,"&gt;=2019/8/5",总表!E:E,"&lt;=2019/8/11")</f>
        <v>0</v>
      </c>
      <c r="J45" s="254" t="e">
        <f t="shared" si="1"/>
        <v>#DIV/0!</v>
      </c>
      <c r="K45" s="264" t="str">
        <f>VLOOKUP(G45,设计师对应店铺!A:B,COLUMN(设计师对应店铺!B:B)-COLUMN(设计师对应店铺!A:B)+1,0)</f>
        <v>金山店</v>
      </c>
      <c r="M45" s="252" t="s">
        <v>182</v>
      </c>
      <c r="N45" s="253">
        <f>COUNTIFS(总表!D:D,M45,总表!L:L,"&lt;&gt;",总表!E:E,"&gt;=2019/8/12",总表!E:E,"&lt;=2019/8/18")</f>
        <v>4</v>
      </c>
      <c r="O45" s="253">
        <f>SUMIFS(总表!N:N,总表!D:D,M45,总表!E:E,"&gt;=2019/8/12",总表!E:E,"&lt;=2019/8/18")</f>
        <v>-23978</v>
      </c>
      <c r="P45" s="254">
        <f>O45/N45</f>
        <v>-5994.5</v>
      </c>
      <c r="Q45" s="264" t="str">
        <f>VLOOKUP(M45,设计师对应店铺!A:B,COLUMN(设计师对应店铺!B:B)-COLUMN(设计师对应店铺!A:B)+1,0)</f>
        <v>真北店</v>
      </c>
    </row>
    <row r="46" s="34" customFormat="1" spans="1:17">
      <c r="A46" s="265" t="s">
        <v>954</v>
      </c>
      <c r="B46" s="253">
        <f>COUNTIFS(总表!D:D,A46,总表!L:L,"&lt;&gt;",总表!E:E,"&gt;=2019/8/1",总表!E:E,"&lt;=2019/8/4")</f>
        <v>0</v>
      </c>
      <c r="C46" s="253">
        <f>SUMIFS(总表!N:N,总表!D:D,A46,总表!E:E,"&gt;=2019/8/1",总表!E:E,"&lt;=2019/8/4")</f>
        <v>0</v>
      </c>
      <c r="D46" s="254" t="e">
        <f t="shared" si="0"/>
        <v>#DIV/0!</v>
      </c>
      <c r="E46" s="264" t="str">
        <f>VLOOKUP(A46,设计师对应店铺!A:B,COLUMN(设计师对应店铺!B:B)-COLUMN(设计师对应店铺!A:B)+1,0)</f>
        <v>汶水店</v>
      </c>
      <c r="G46" s="265" t="s">
        <v>954</v>
      </c>
      <c r="H46" s="253">
        <f>COUNTIFS(总表!D:D,G46,总表!L:L,"&lt;&gt;",总表!E:E,"&gt;=2019/8/5",总表!E:E,"&lt;=2019/8/11")</f>
        <v>0</v>
      </c>
      <c r="I46" s="253">
        <f>SUMIFS(总表!N:N,总表!D:D,G46,总表!E:E,"&gt;=2019/8/5",总表!E:E,"&lt;=2019/8/11")</f>
        <v>0</v>
      </c>
      <c r="J46" s="254" t="e">
        <f t="shared" si="1"/>
        <v>#DIV/0!</v>
      </c>
      <c r="K46" s="264" t="str">
        <f>VLOOKUP(G46,设计师对应店铺!A:B,COLUMN(设计师对应店铺!B:B)-COLUMN(设计师对应店铺!A:B)+1,0)</f>
        <v>汶水店</v>
      </c>
      <c r="M46" s="252" t="s">
        <v>954</v>
      </c>
      <c r="N46" s="253">
        <f>COUNTIFS(总表!D:D,M46,总表!L:L,"&lt;&gt;",总表!E:E,"&gt;=2019/8/12",总表!E:E,"&lt;=2019/8/18")</f>
        <v>0</v>
      </c>
      <c r="O46" s="253">
        <f>SUMIFS(总表!N:N,总表!D:D,M46,总表!E:E,"&gt;=2019/8/12",总表!E:E,"&lt;=2019/8/18")</f>
        <v>0</v>
      </c>
      <c r="P46" s="254" t="e">
        <f>O46/N46</f>
        <v>#DIV/0!</v>
      </c>
      <c r="Q46" s="264" t="str">
        <f>VLOOKUP(M46,设计师对应店铺!A:B,COLUMN(设计师对应店铺!B:B)-COLUMN(设计师对应店铺!A:B)+1,0)</f>
        <v>汶水店</v>
      </c>
    </row>
    <row r="47" s="34" customFormat="1" spans="1:17">
      <c r="A47" s="265"/>
      <c r="B47" s="265"/>
      <c r="C47" s="265"/>
      <c r="D47" s="266"/>
      <c r="E47" s="266"/>
      <c r="G47" s="265"/>
      <c r="H47" s="265"/>
      <c r="I47" s="265"/>
      <c r="J47" s="266"/>
      <c r="K47" s="266"/>
      <c r="M47" s="252"/>
      <c r="N47" s="253"/>
      <c r="O47" s="253"/>
      <c r="P47" s="254"/>
      <c r="Q47" s="264"/>
    </row>
    <row r="48" s="34" customFormat="1" spans="13:17">
      <c r="M48" s="252"/>
      <c r="N48" s="253"/>
      <c r="O48" s="253"/>
      <c r="P48" s="254"/>
      <c r="Q48" s="264"/>
    </row>
    <row r="49" s="34" customFormat="1" spans="1:5">
      <c r="A49" s="247" t="s">
        <v>21272</v>
      </c>
      <c r="B49" s="248"/>
      <c r="C49" s="248"/>
      <c r="D49" s="248"/>
      <c r="E49" s="250"/>
    </row>
    <row r="50" s="34" customFormat="1" spans="1:5">
      <c r="A50" s="261" t="s">
        <v>21234</v>
      </c>
      <c r="B50" s="261">
        <f>SUM(B52:B95)</f>
        <v>193</v>
      </c>
      <c r="C50" s="261">
        <f>SUM(C52:C95)</f>
        <v>2868784.9</v>
      </c>
      <c r="D50" s="262">
        <f>C50/B50</f>
        <v>14864.1704663212</v>
      </c>
      <c r="E50" s="262"/>
    </row>
    <row r="51" s="34" customFormat="1" spans="1:5">
      <c r="A51" s="252" t="s">
        <v>30</v>
      </c>
      <c r="B51" s="253" t="s">
        <v>21258</v>
      </c>
      <c r="C51" s="253" t="s">
        <v>10</v>
      </c>
      <c r="D51" s="253" t="s">
        <v>21242</v>
      </c>
      <c r="E51" s="255" t="s">
        <v>21243</v>
      </c>
    </row>
    <row r="52" s="34" customFormat="1" spans="1:5">
      <c r="A52" s="260" t="s">
        <v>44</v>
      </c>
      <c r="B52" s="256">
        <f>COUNTIFS(总表!D:D,A52,总表!L:L,"&lt;&gt;",总表!E:E,"&gt;=2019/8/19",总表!E:E,"&lt;=2019/8/25")</f>
        <v>19</v>
      </c>
      <c r="C52" s="256">
        <f>SUMIFS(总表!N:N,总表!D:D,A52,总表!E:E,"&gt;=2019/8/19",总表!E:E,"&lt;=2019/8/25")</f>
        <v>205412</v>
      </c>
      <c r="D52" s="257">
        <f t="shared" ref="D52:D80" si="3">C52/B52</f>
        <v>10811.1578947368</v>
      </c>
      <c r="E52" s="263" t="str">
        <f>VLOOKUP(A52,设计师对应店铺!A:B,COLUMN(设计师对应店铺!B:B)-COLUMN(设计师对应店铺!A:B)+1,0)</f>
        <v>金桥店、百安居</v>
      </c>
    </row>
    <row r="53" s="34" customFormat="1" spans="1:5">
      <c r="A53" s="252" t="s">
        <v>89</v>
      </c>
      <c r="B53" s="253">
        <f>COUNTIFS(总表!D:D,A53,总表!L:L,"&lt;&gt;",总表!E:E,"&gt;=2019/8/19",总表!E:E,"&lt;=2019/8/25")</f>
        <v>9</v>
      </c>
      <c r="C53" s="253">
        <f>SUMIFS(总表!N:N,总表!D:D,A53,总表!E:E,"&gt;=2019/8/19",总表!E:E,"&lt;=2019/8/25")</f>
        <v>187922.9</v>
      </c>
      <c r="D53" s="254">
        <f t="shared" si="3"/>
        <v>20880.3222222222</v>
      </c>
      <c r="E53" s="264" t="str">
        <f>VLOOKUP(A53,设计师对应店铺!A:B,COLUMN(设计师对应店铺!B:B)-COLUMN(设计师对应店铺!A:B)+1,0)</f>
        <v>吉盛伟邦</v>
      </c>
    </row>
    <row r="54" s="34" customFormat="1" spans="1:5">
      <c r="A54" s="260" t="s">
        <v>132</v>
      </c>
      <c r="B54" s="256">
        <f>COUNTIFS(总表!D:D,A54,总表!L:L,"&lt;&gt;",总表!E:E,"&gt;=2019/8/19",总表!E:E,"&lt;=2019/8/25")</f>
        <v>11</v>
      </c>
      <c r="C54" s="256">
        <f>SUMIFS(总表!N:N,总表!D:D,A54,总表!E:E,"&gt;=2019/8/19",总表!E:E,"&lt;=2019/8/25")</f>
        <v>185011</v>
      </c>
      <c r="D54" s="257">
        <f t="shared" si="3"/>
        <v>16819.1818181818</v>
      </c>
      <c r="E54" s="263" t="str">
        <f>VLOOKUP(A54,设计师对应店铺!A:B,COLUMN(设计师对应店铺!B:B)-COLUMN(设计师对应店铺!A:B)+1,0)</f>
        <v>真北店</v>
      </c>
    </row>
    <row r="55" s="34" customFormat="1" spans="1:5">
      <c r="A55" s="252" t="s">
        <v>37</v>
      </c>
      <c r="B55" s="253">
        <f>COUNTIFS(总表!D:D,A55,总表!L:L,"&lt;&gt;",总表!E:E,"&gt;=2019/8/19",总表!E:E,"&lt;=2019/8/25")</f>
        <v>11</v>
      </c>
      <c r="C55" s="253">
        <f>SUMIFS(总表!N:N,总表!D:D,A55,总表!E:E,"&gt;=2019/8/19",总表!E:E,"&lt;=2019/8/25")</f>
        <v>168438</v>
      </c>
      <c r="D55" s="254">
        <f t="shared" si="3"/>
        <v>15312.5454545455</v>
      </c>
      <c r="E55" s="264" t="str">
        <f>VLOOKUP(A55,设计师对应店铺!A:B,COLUMN(设计师对应店铺!B:B)-COLUMN(设计师对应店铺!A:B)+1,0)</f>
        <v>浦江店</v>
      </c>
    </row>
    <row r="56" s="34" customFormat="1" spans="1:5">
      <c r="A56" s="260" t="s">
        <v>171</v>
      </c>
      <c r="B56" s="256">
        <f>COUNTIFS(总表!D:D,A56,总表!L:L,"&lt;&gt;",总表!E:E,"&gt;=2019/8/19",总表!E:E,"&lt;=2019/8/25")</f>
        <v>7</v>
      </c>
      <c r="C56" s="256">
        <f>SUMIFS(总表!N:N,总表!D:D,A56,总表!E:E,"&gt;=2019/8/19",总表!E:E,"&lt;=2019/8/25")</f>
        <v>163986</v>
      </c>
      <c r="D56" s="257">
        <f t="shared" si="3"/>
        <v>23426.5714285714</v>
      </c>
      <c r="E56" s="263" t="str">
        <f>VLOOKUP(A56,设计师对应店铺!A:B,COLUMN(设计师对应店铺!B:B)-COLUMN(设计师对应店铺!A:B)+1,0)</f>
        <v>家饰佳、兴力达</v>
      </c>
    </row>
    <row r="57" s="34" customFormat="1" spans="1:5">
      <c r="A57" s="252" t="s">
        <v>143</v>
      </c>
      <c r="B57" s="253">
        <f>COUNTIFS(总表!D:D,A57,总表!L:L,"&lt;&gt;",总表!E:E,"&gt;=2019/8/19",总表!E:E,"&lt;=2019/8/25")</f>
        <v>5</v>
      </c>
      <c r="C57" s="253">
        <f>SUMIFS(总表!N:N,总表!D:D,A57,总表!E:E,"&gt;=2019/8/19",总表!E:E,"&lt;=2019/8/25")</f>
        <v>162207</v>
      </c>
      <c r="D57" s="254">
        <f t="shared" si="3"/>
        <v>32441.4</v>
      </c>
      <c r="E57" s="264" t="str">
        <f>VLOOKUP(A57,设计师对应店铺!A:B,COLUMN(设计师对应店铺!B:B)-COLUMN(设计师对应店铺!A:B)+1,0)</f>
        <v>沪南店店长</v>
      </c>
    </row>
    <row r="58" s="34" customFormat="1" spans="1:5">
      <c r="A58" s="260" t="s">
        <v>33</v>
      </c>
      <c r="B58" s="256">
        <f>COUNTIFS(总表!D:D,A58,总表!L:L,"&lt;&gt;",总表!E:E,"&gt;=2019/8/19",总表!E:E,"&lt;=2019/8/25")</f>
        <v>9</v>
      </c>
      <c r="C58" s="256">
        <f>SUMIFS(总表!N:N,总表!D:D,A58,总表!E:E,"&gt;=2019/8/19",总表!E:E,"&lt;=2019/8/25")</f>
        <v>150577</v>
      </c>
      <c r="D58" s="257">
        <f t="shared" si="3"/>
        <v>16730.7777777778</v>
      </c>
      <c r="E58" s="263" t="str">
        <f>VLOOKUP(A58,设计师对应店铺!A:B,COLUMN(设计师对应店铺!B:B)-COLUMN(设计师对应店铺!A:B)+1,0)</f>
        <v>汶水店</v>
      </c>
    </row>
    <row r="59" s="34" customFormat="1" spans="1:5">
      <c r="A59" s="252" t="s">
        <v>110</v>
      </c>
      <c r="B59" s="253">
        <f>COUNTIFS(总表!D:D,A59,总表!L:L,"&lt;&gt;",总表!E:E,"&gt;=2019/8/19",总表!E:E,"&lt;=2019/8/25")</f>
        <v>9</v>
      </c>
      <c r="C59" s="253">
        <f>SUMIFS(总表!N:N,总表!D:D,A59,总表!E:E,"&gt;=2019/8/19",总表!E:E,"&lt;=2019/8/25")</f>
        <v>128055</v>
      </c>
      <c r="D59" s="254">
        <f t="shared" si="3"/>
        <v>14228.3333333333</v>
      </c>
      <c r="E59" s="264" t="str">
        <f>VLOOKUP(A59,设计师对应店铺!A:B,COLUMN(设计师对应店铺!B:B)-COLUMN(设计师对应店铺!A:B)+1,0)</f>
        <v>喜盈门</v>
      </c>
    </row>
    <row r="60" s="34" customFormat="1" spans="1:5">
      <c r="A60" s="260" t="s">
        <v>68</v>
      </c>
      <c r="B60" s="256">
        <f>COUNTIFS(总表!D:D,A60,总表!L:L,"&lt;&gt;",总表!E:E,"&gt;=2019/8/19",总表!E:E,"&lt;=2019/8/25")</f>
        <v>8</v>
      </c>
      <c r="C60" s="256">
        <f>SUMIFS(总表!N:N,总表!D:D,A60,总表!E:E,"&gt;=2019/8/19",总表!E:E,"&lt;=2019/8/25")</f>
        <v>113773</v>
      </c>
      <c r="D60" s="257">
        <f t="shared" si="3"/>
        <v>14221.625</v>
      </c>
      <c r="E60" s="263" t="str">
        <f>VLOOKUP(A60,设计师对应店铺!A:B,COLUMN(设计师对应店铺!B:B)-COLUMN(设计师对应店铺!A:B)+1,0)</f>
        <v>沪南店</v>
      </c>
    </row>
    <row r="61" s="34" customFormat="1" spans="1:5">
      <c r="A61" s="252" t="s">
        <v>343</v>
      </c>
      <c r="B61" s="253">
        <f>COUNTIFS(总表!D:D,A61,总表!L:L,"&lt;&gt;",总表!E:E,"&gt;=2019/8/19",总表!E:E,"&lt;=2019/8/25")</f>
        <v>5</v>
      </c>
      <c r="C61" s="253">
        <f>SUMIFS(总表!N:N,总表!D:D,A61,总表!E:E,"&gt;=2019/8/19",总表!E:E,"&lt;=2019/8/25")</f>
        <v>112354</v>
      </c>
      <c r="D61" s="254">
        <f t="shared" si="3"/>
        <v>22470.8</v>
      </c>
      <c r="E61" s="264" t="str">
        <f>VLOOKUP(A61,设计师对应店铺!A:B,COLUMN(设计师对应店铺!B:B)-COLUMN(设计师对应店铺!A:B)+1,0)</f>
        <v>喜盈门</v>
      </c>
    </row>
    <row r="62" s="34" customFormat="1" spans="1:5">
      <c r="A62" s="260" t="s">
        <v>717</v>
      </c>
      <c r="B62" s="256">
        <f>COUNTIFS(总表!D:D,A62,总表!L:L,"&lt;&gt;",总表!E:E,"&gt;=2019/8/19",总表!E:E,"&lt;=2019/8/25")</f>
        <v>3</v>
      </c>
      <c r="C62" s="256">
        <f>SUMIFS(总表!N:N,总表!D:D,A62,总表!E:E,"&gt;=2019/8/19",总表!E:E,"&lt;=2019/8/25")</f>
        <v>112341</v>
      </c>
      <c r="D62" s="257">
        <f t="shared" si="3"/>
        <v>37447</v>
      </c>
      <c r="E62" s="263">
        <f>VLOOKUP(A62,设计师对应店铺!A:B,COLUMN(设计师对应店铺!B:B)-COLUMN(设计师对应店铺!A:B)+1,0)</f>
        <v>0</v>
      </c>
    </row>
    <row r="63" s="34" customFormat="1" spans="1:5">
      <c r="A63" s="252" t="s">
        <v>187</v>
      </c>
      <c r="B63" s="253">
        <f>COUNTIFS(总表!D:D,A63,总表!L:L,"&lt;&gt;",总表!E:E,"&gt;=2019/8/19",总表!E:E,"&lt;=2019/8/25")</f>
        <v>8</v>
      </c>
      <c r="C63" s="253">
        <f>SUMIFS(总表!N:N,总表!D:D,A63,总表!E:E,"&gt;=2019/8/19",总表!E:E,"&lt;=2019/8/25")</f>
        <v>109414</v>
      </c>
      <c r="D63" s="254">
        <f t="shared" si="3"/>
        <v>13676.75</v>
      </c>
      <c r="E63" s="264" t="str">
        <f>VLOOKUP(A63,设计师对应店铺!A:B,COLUMN(设计师对应店铺!B:B)-COLUMN(设计师对应店铺!A:B)+1,0)</f>
        <v>百家宜</v>
      </c>
    </row>
    <row r="64" s="34" customFormat="1" spans="1:5">
      <c r="A64" s="260" t="s">
        <v>125</v>
      </c>
      <c r="B64" s="256">
        <f>COUNTIFS(总表!D:D,A64,总表!L:L,"&lt;&gt;",总表!E:E,"&gt;=2019/8/19",总表!E:E,"&lt;=2019/8/25")</f>
        <v>10</v>
      </c>
      <c r="C64" s="256">
        <f>SUMIFS(总表!N:N,总表!D:D,A64,总表!E:E,"&gt;=2019/8/19",总表!E:E,"&lt;=2019/8/25")</f>
        <v>107999</v>
      </c>
      <c r="D64" s="257">
        <f t="shared" si="3"/>
        <v>10799.9</v>
      </c>
      <c r="E64" s="263" t="str">
        <f>VLOOKUP(A64,设计师对应店铺!A:B,COLUMN(设计师对应店铺!B:B)-COLUMN(设计师对应店铺!A:B)+1,0)</f>
        <v>同福店店长</v>
      </c>
    </row>
    <row r="65" s="34" customFormat="1" spans="1:5">
      <c r="A65" s="252" t="s">
        <v>407</v>
      </c>
      <c r="B65" s="253">
        <f>COUNTIFS(总表!D:D,A65,总表!L:L,"&lt;&gt;",总表!E:E,"&gt;=2019/8/19",总表!E:E,"&lt;=2019/8/25")</f>
        <v>7</v>
      </c>
      <c r="C65" s="253">
        <f>SUMIFS(总表!N:N,总表!D:D,A65,总表!E:E,"&gt;=2019/8/19",总表!E:E,"&lt;=2019/8/25")</f>
        <v>102409</v>
      </c>
      <c r="D65" s="254">
        <f t="shared" si="3"/>
        <v>14629.8571428571</v>
      </c>
      <c r="E65" s="264" t="str">
        <f>VLOOKUP(A65,设计师对应店铺!A:B,COLUMN(设计师对应店铺!B:B)-COLUMN(设计师对应店铺!A:B)+1,0)</f>
        <v>嘉定店</v>
      </c>
    </row>
    <row r="66" s="34" customFormat="1" spans="1:5">
      <c r="A66" s="260" t="s">
        <v>271</v>
      </c>
      <c r="B66" s="256">
        <f>COUNTIFS(总表!D:D,A66,总表!L:L,"&lt;&gt;",总表!E:E,"&gt;=2019/8/19",总表!E:E,"&lt;=2019/8/25")</f>
        <v>6</v>
      </c>
      <c r="C66" s="256">
        <f>SUMIFS(总表!N:N,总表!D:D,A66,总表!E:E,"&gt;=2019/8/19",总表!E:E,"&lt;=2019/8/25")</f>
        <v>92606</v>
      </c>
      <c r="D66" s="257">
        <f t="shared" si="3"/>
        <v>15434.3333333333</v>
      </c>
      <c r="E66" s="263" t="str">
        <f>VLOOKUP(A66,设计师对应店铺!A:B,COLUMN(设计师对应店铺!B:B)-COLUMN(设计师对应店铺!A:B)+1,0)</f>
        <v>喜盈门</v>
      </c>
    </row>
    <row r="67" s="34" customFormat="1" spans="1:5">
      <c r="A67" s="252" t="s">
        <v>49</v>
      </c>
      <c r="B67" s="253">
        <f>COUNTIFS(总表!D:D,A67,总表!L:L,"&lt;&gt;",总表!E:E,"&gt;=2019/8/19",总表!E:E,"&lt;=2019/8/25")</f>
        <v>6</v>
      </c>
      <c r="C67" s="253">
        <f>SUMIFS(总表!N:N,总表!D:D,A67,总表!E:E,"&gt;=2019/8/19",总表!E:E,"&lt;=2019/8/25")</f>
        <v>74546</v>
      </c>
      <c r="D67" s="254">
        <f t="shared" si="3"/>
        <v>12424.3333333333</v>
      </c>
      <c r="E67" s="264" t="str">
        <f>VLOOKUP(A67,设计师对应店铺!A:B,COLUMN(设计师对应店铺!B:B)-COLUMN(设计师对应店铺!A:B)+1,0)</f>
        <v>奉贤、金山、南汇、松江</v>
      </c>
    </row>
    <row r="68" s="34" customFormat="1" spans="1:5">
      <c r="A68" s="260" t="s">
        <v>518</v>
      </c>
      <c r="B68" s="256">
        <f>COUNTIFS(总表!D:D,A68,总表!L:L,"&lt;&gt;",总表!E:E,"&gt;=2019/8/19",总表!E:E,"&lt;=2019/8/25")</f>
        <v>4</v>
      </c>
      <c r="C68" s="256">
        <f>SUMIFS(总表!N:N,总表!D:D,A68,总表!E:E,"&gt;=2019/8/19",总表!E:E,"&lt;=2019/8/25")</f>
        <v>72296</v>
      </c>
      <c r="D68" s="257">
        <f t="shared" si="3"/>
        <v>18074</v>
      </c>
      <c r="E68" s="263" t="str">
        <f>VLOOKUP(A68,设计师对应店铺!A:B,COLUMN(设计师对应店铺!B:B)-COLUMN(设计师对应店铺!A:B)+1,0)</f>
        <v>奉贤店</v>
      </c>
    </row>
    <row r="69" s="34" customFormat="1" spans="1:5">
      <c r="A69" s="252" t="s">
        <v>139</v>
      </c>
      <c r="B69" s="253">
        <f>COUNTIFS(总表!D:D,A69,总表!L:L,"&lt;&gt;",总表!E:E,"&gt;=2019/8/19",总表!E:E,"&lt;=2019/8/25")</f>
        <v>5</v>
      </c>
      <c r="C69" s="253">
        <f>SUMIFS(总表!N:N,总表!D:D,A69,总表!E:E,"&gt;=2019/8/19",总表!E:E,"&lt;=2019/8/25")</f>
        <v>72241</v>
      </c>
      <c r="D69" s="254">
        <f t="shared" si="3"/>
        <v>14448.2</v>
      </c>
      <c r="E69" s="264" t="str">
        <f>VLOOKUP(A69,设计师对应店铺!A:B,COLUMN(设计师对应店铺!B:B)-COLUMN(设计师对应店铺!A:B)+1,0)</f>
        <v>家饰佳</v>
      </c>
    </row>
    <row r="70" s="34" customFormat="1" spans="1:5">
      <c r="A70" s="260" t="s">
        <v>635</v>
      </c>
      <c r="B70" s="256">
        <f>COUNTIFS(总表!D:D,A70,总表!L:L,"&lt;&gt;",总表!E:E,"&gt;=2019/8/19",总表!E:E,"&lt;=2019/8/25")</f>
        <v>6</v>
      </c>
      <c r="C70" s="256">
        <f>SUMIFS(总表!N:N,总表!D:D,A70,总表!E:E,"&gt;=2019/8/19",总表!E:E,"&lt;=2019/8/25")</f>
        <v>69218</v>
      </c>
      <c r="D70" s="257">
        <f t="shared" si="3"/>
        <v>11536.3333333333</v>
      </c>
      <c r="E70" s="263" t="str">
        <f>VLOOKUP(A70,设计师对应店铺!A:B,COLUMN(设计师对应店铺!B:B)-COLUMN(设计师对应店铺!A:B)+1,0)</f>
        <v>家饰佳、兴力达</v>
      </c>
    </row>
    <row r="71" s="34" customFormat="1" spans="1:5">
      <c r="A71" s="252" t="s">
        <v>75</v>
      </c>
      <c r="B71" s="253">
        <f>COUNTIFS(总表!D:D,A71,总表!L:L,"&lt;&gt;",总表!E:E,"&gt;=2019/8/19",总表!E:E,"&lt;=2019/8/25")</f>
        <v>1</v>
      </c>
      <c r="C71" s="253">
        <f>SUMIFS(总表!N:N,总表!D:D,A71,总表!E:E,"&gt;=2019/8/19",总表!E:E,"&lt;=2019/8/25")</f>
        <v>65996</v>
      </c>
      <c r="D71" s="254">
        <f t="shared" si="3"/>
        <v>65996</v>
      </c>
      <c r="E71" s="264" t="str">
        <f>VLOOKUP(A71,设计师对应店铺!A:B,COLUMN(设计师对应店铺!B:B)-COLUMN(设计师对应店铺!A:B)+1,0)</f>
        <v>宜山经理</v>
      </c>
    </row>
    <row r="72" s="34" customFormat="1" spans="1:5">
      <c r="A72" s="260" t="s">
        <v>162</v>
      </c>
      <c r="B72" s="256">
        <f>COUNTIFS(总表!D:D,A72,总表!L:L,"&lt;&gt;",总表!E:E,"&gt;=2019/8/19",总表!E:E,"&lt;=2019/8/25")</f>
        <v>7</v>
      </c>
      <c r="C72" s="256">
        <f>SUMIFS(总表!N:N,总表!D:D,A72,总表!E:E,"&gt;=2019/8/19",总表!E:E,"&lt;=2019/8/25")</f>
        <v>61230</v>
      </c>
      <c r="D72" s="257">
        <f t="shared" si="3"/>
        <v>8747.14285714286</v>
      </c>
      <c r="E72" s="263" t="str">
        <f>VLOOKUP(A72,设计师对应店铺!A:B,COLUMN(设计师对应店铺!B:B)-COLUMN(设计师对应店铺!A:B)+1,0)</f>
        <v>真北店</v>
      </c>
    </row>
    <row r="73" s="34" customFormat="1" spans="1:5">
      <c r="A73" s="252" t="s">
        <v>1170</v>
      </c>
      <c r="B73" s="253">
        <f>COUNTIFS(总表!D:D,A73,总表!L:L,"&lt;&gt;",总表!E:E,"&gt;=2019/8/19",总表!E:E,"&lt;=2019/8/25")</f>
        <v>4</v>
      </c>
      <c r="C73" s="253">
        <f>SUMIFS(总表!N:N,总表!D:D,A73,总表!E:E,"&gt;=2019/8/19",总表!E:E,"&lt;=2019/8/25")</f>
        <v>52390</v>
      </c>
      <c r="D73" s="254">
        <f t="shared" si="3"/>
        <v>13097.5</v>
      </c>
      <c r="E73" s="264" t="str">
        <f>VLOOKUP(A73,设计师对应店铺!A:B,COLUMN(设计师对应店铺!B:B)-COLUMN(设计师对应店铺!A:B)+1,0)</f>
        <v>百安居</v>
      </c>
    </row>
    <row r="74" s="34" customFormat="1" spans="1:5">
      <c r="A74" s="260" t="s">
        <v>337</v>
      </c>
      <c r="B74" s="256">
        <f>COUNTIFS(总表!D:D,A74,总表!L:L,"&lt;&gt;",总表!E:E,"&gt;=2019/8/19",总表!E:E,"&lt;=2019/8/25")</f>
        <v>2</v>
      </c>
      <c r="C74" s="256">
        <f>SUMIFS(总表!N:N,总表!D:D,A74,总表!E:E,"&gt;=2019/8/19",总表!E:E,"&lt;=2019/8/25")</f>
        <v>45267</v>
      </c>
      <c r="D74" s="257">
        <f t="shared" si="3"/>
        <v>22633.5</v>
      </c>
      <c r="E74" s="263" t="str">
        <f>VLOOKUP(A74,设计师对应店铺!A:B,COLUMN(设计师对应店铺!B:B)-COLUMN(设计师对应店铺!A:B)+1,0)</f>
        <v>建配龙</v>
      </c>
    </row>
    <row r="75" s="34" customFormat="1" spans="1:5">
      <c r="A75" s="252" t="s">
        <v>155</v>
      </c>
      <c r="B75" s="253">
        <f>COUNTIFS(总表!D:D,A75,总表!L:L,"&lt;&gt;",总表!E:E,"&gt;=2019/8/19",总表!E:E,"&lt;=2019/8/25")</f>
        <v>5</v>
      </c>
      <c r="C75" s="253">
        <f>SUMIFS(总表!N:N,总表!D:D,A75,总表!E:E,"&gt;=2019/8/19",总表!E:E,"&lt;=2019/8/25")</f>
        <v>44095</v>
      </c>
      <c r="D75" s="254">
        <f t="shared" si="3"/>
        <v>8819</v>
      </c>
      <c r="E75" s="264" t="str">
        <f>VLOOKUP(A75,设计师对应店铺!A:B,COLUMN(设计师对应店铺!B:B)-COLUMN(设计师对应店铺!A:B)+1,0)</f>
        <v>好饰家</v>
      </c>
    </row>
    <row r="76" s="34" customFormat="1" spans="1:5">
      <c r="A76" s="260" t="s">
        <v>221</v>
      </c>
      <c r="B76" s="256">
        <f>COUNTIFS(总表!D:D,A76,总表!L:L,"&lt;&gt;",总表!E:E,"&gt;=2019/8/19",总表!E:E,"&lt;=2019/8/25")</f>
        <v>6</v>
      </c>
      <c r="C76" s="256">
        <f>SUMIFS(总表!N:N,总表!D:D,A76,总表!E:E,"&gt;=2019/8/19",总表!E:E,"&lt;=2019/8/25")</f>
        <v>34093</v>
      </c>
      <c r="D76" s="257">
        <f t="shared" si="3"/>
        <v>5682.16666666667</v>
      </c>
      <c r="E76" s="263" t="str">
        <f>VLOOKUP(A76,设计师对应店铺!A:B,COLUMN(设计师对应店铺!B:B)-COLUMN(设计师对应店铺!A:B)+1,0)</f>
        <v>汶水店</v>
      </c>
    </row>
    <row r="77" s="34" customFormat="1" spans="1:5">
      <c r="A77" s="252" t="s">
        <v>1436</v>
      </c>
      <c r="B77" s="253">
        <f>COUNTIFS(总表!D:D,A77,总表!L:L,"&lt;&gt;",总表!E:E,"&gt;=2019/8/19",总表!E:E,"&lt;=2019/8/25")</f>
        <v>5</v>
      </c>
      <c r="C77" s="253">
        <f>SUMIFS(总表!N:N,总表!D:D,A77,总表!E:E,"&gt;=2019/8/19",总表!E:E,"&lt;=2019/8/25")</f>
        <v>30264</v>
      </c>
      <c r="D77" s="254">
        <f t="shared" si="3"/>
        <v>6052.8</v>
      </c>
      <c r="E77" s="264" t="str">
        <f>VLOOKUP(A77,设计师对应店铺!A:B,COLUMN(设计师对应店铺!B:B)-COLUMN(设计师对应店铺!A:B)+1,0)</f>
        <v>沪南店</v>
      </c>
    </row>
    <row r="78" s="34" customFormat="1" spans="1:5">
      <c r="A78" s="260" t="s">
        <v>191</v>
      </c>
      <c r="B78" s="256">
        <f>COUNTIFS(总表!D:D,A78,总表!L:L,"&lt;&gt;",总表!E:E,"&gt;=2019/8/19",总表!E:E,"&lt;=2019/8/25")</f>
        <v>2</v>
      </c>
      <c r="C78" s="256">
        <f>SUMIFS(总表!N:N,总表!D:D,A78,总表!E:E,"&gt;=2019/8/19",总表!E:E,"&lt;=2019/8/25")</f>
        <v>26359</v>
      </c>
      <c r="D78" s="257">
        <f t="shared" si="3"/>
        <v>13179.5</v>
      </c>
      <c r="E78" s="263" t="str">
        <f>VLOOKUP(A78,设计师对应店铺!A:B,COLUMN(设计师对应店铺!B:B)-COLUMN(设计师对应店铺!A:B)+1,0)</f>
        <v>家饰佳</v>
      </c>
    </row>
    <row r="79" s="34" customFormat="1" spans="1:5">
      <c r="A79" s="252" t="s">
        <v>149</v>
      </c>
      <c r="B79" s="253">
        <f>COUNTIFS(总表!D:D,A79,总表!L:L,"&lt;&gt;",总表!E:E,"&gt;=2019/8/19",总表!E:E,"&lt;=2019/8/25")</f>
        <v>4</v>
      </c>
      <c r="C79" s="253">
        <f>SUMIFS(总表!N:N,总表!D:D,A79,总表!E:E,"&gt;=2019/8/19",总表!E:E,"&lt;=2019/8/25")</f>
        <v>24251</v>
      </c>
      <c r="D79" s="254">
        <f t="shared" si="3"/>
        <v>6062.75</v>
      </c>
      <c r="E79" s="264" t="str">
        <f>VLOOKUP(A79,设计师对应店铺!A:B,COLUMN(设计师对应店铺!B:B)-COLUMN(设计师对应店铺!A:B)+1,0)</f>
        <v>百安居</v>
      </c>
    </row>
    <row r="80" s="34" customFormat="1" spans="1:5">
      <c r="A80" s="260" t="s">
        <v>954</v>
      </c>
      <c r="B80" s="256">
        <f>COUNTIFS(总表!D:D,A80,总表!L:L,"&lt;&gt;",总表!E:E,"&gt;=2019/8/19",总表!E:E,"&lt;=2019/8/25")</f>
        <v>2</v>
      </c>
      <c r="C80" s="256">
        <f>SUMIFS(总表!N:N,总表!D:D,A80,总表!E:E,"&gt;=2019/8/19",总表!E:E,"&lt;=2019/8/25")</f>
        <v>21567</v>
      </c>
      <c r="D80" s="257">
        <f t="shared" si="3"/>
        <v>10783.5</v>
      </c>
      <c r="E80" s="263" t="str">
        <f>VLOOKUP(A80,设计师对应店铺!A:B,COLUMN(设计师对应店铺!B:B)-COLUMN(设计师对应店铺!A:B)+1,0)</f>
        <v>汶水店</v>
      </c>
    </row>
    <row r="81" s="34" customFormat="1" spans="1:5">
      <c r="A81" s="252" t="s">
        <v>427</v>
      </c>
      <c r="B81" s="253">
        <f>COUNTIFS(总表!D:D,A81,总表!L:L,"&lt;&gt;",总表!E:E,"&gt;=2019/8/19",总表!E:E,"&lt;=2019/8/25")</f>
        <v>0</v>
      </c>
      <c r="C81" s="253">
        <f>SUMIFS(总表!N:N,总表!D:D,A81,总表!E:E,"&gt;=2019/8/19",总表!E:E,"&lt;=2019/8/25")</f>
        <v>20936</v>
      </c>
      <c r="D81" s="254" t="s">
        <v>498</v>
      </c>
      <c r="E81" s="264" t="str">
        <f>VLOOKUP(A81,设计师对应店铺!A:B,COLUMN(设计师对应店铺!B:B)-COLUMN(设计师对应店铺!A:B)+1,0)</f>
        <v>百家宜</v>
      </c>
    </row>
    <row r="82" s="34" customFormat="1" spans="1:5">
      <c r="A82" s="260" t="s">
        <v>443</v>
      </c>
      <c r="B82" s="256">
        <f>COUNTIFS(总表!D:D,A82,总表!L:L,"&lt;&gt;",总表!E:E,"&gt;=2019/8/19",总表!E:E,"&lt;=2019/8/25")</f>
        <v>2</v>
      </c>
      <c r="C82" s="256">
        <f>SUMIFS(总表!N:N,总表!D:D,A82,总表!E:E,"&gt;=2019/8/19",总表!E:E,"&lt;=2019/8/25")</f>
        <v>20920</v>
      </c>
      <c r="D82" s="257">
        <f>C82/B82</f>
        <v>10460</v>
      </c>
      <c r="E82" s="263" t="str">
        <f>VLOOKUP(A82,设计师对应店铺!A:B,COLUMN(设计师对应店铺!B:B)-COLUMN(设计师对应店铺!A:B)+1,0)</f>
        <v>家饰佳</v>
      </c>
    </row>
    <row r="83" s="34" customFormat="1" spans="1:5">
      <c r="A83" s="252" t="s">
        <v>6313</v>
      </c>
      <c r="B83" s="253">
        <f>COUNTIFS(总表!D:D,A83,总表!L:L,"&lt;&gt;",总表!E:E,"&gt;=2019/8/19",总表!E:E,"&lt;=2019/8/25")</f>
        <v>2</v>
      </c>
      <c r="C83" s="253">
        <f>SUMIFS(总表!N:N,总表!D:D,A83,总表!E:E,"&gt;=2019/8/19",总表!E:E,"&lt;=2019/8/25")</f>
        <v>16567</v>
      </c>
      <c r="D83" s="254">
        <f>C83/B83</f>
        <v>8283.5</v>
      </c>
      <c r="E83" s="264" t="str">
        <f>VLOOKUP(A83,设计师对应店铺!A:B,COLUMN(设计师对应店铺!B:B)-COLUMN(设计师对应店铺!A:B)+1,0)</f>
        <v>兴明店</v>
      </c>
    </row>
    <row r="84" s="34" customFormat="1" spans="1:5">
      <c r="A84" s="260" t="s">
        <v>361</v>
      </c>
      <c r="B84" s="256">
        <f>COUNTIFS(总表!D:D,A84,总表!L:L,"&lt;&gt;",总表!E:E,"&gt;=2019/8/19",总表!E:E,"&lt;=2019/8/25")</f>
        <v>1</v>
      </c>
      <c r="C84" s="256">
        <f>SUMIFS(总表!N:N,总表!D:D,A84,总表!E:E,"&gt;=2019/8/19",总表!E:E,"&lt;=2019/8/25")</f>
        <v>6366</v>
      </c>
      <c r="D84" s="257">
        <f>C84/B84</f>
        <v>6366</v>
      </c>
      <c r="E84" s="263" t="str">
        <f>VLOOKUP(A84,设计师对应店铺!A:B,COLUMN(设计师对应店铺!B:B)-COLUMN(设计师对应店铺!A:B)+1,0)</f>
        <v>美美家自配</v>
      </c>
    </row>
    <row r="85" s="34" customFormat="1" spans="1:5">
      <c r="A85" s="252" t="s">
        <v>182</v>
      </c>
      <c r="B85" s="253">
        <f>COUNTIFS(总表!D:D,A85,总表!L:L,"&lt;&gt;",总表!E:E,"&gt;=2019/8/19",总表!E:E,"&lt;=2019/8/25")</f>
        <v>1</v>
      </c>
      <c r="C85" s="253">
        <f>SUMIFS(总表!N:N,总表!D:D,A85,总表!E:E,"&gt;=2019/8/19",总表!E:E,"&lt;=2019/8/25")</f>
        <v>5349</v>
      </c>
      <c r="D85" s="254">
        <f>C85/B85</f>
        <v>5349</v>
      </c>
      <c r="E85" s="264" t="str">
        <f>VLOOKUP(A85,设计师对应店铺!A:B,COLUMN(设计师对应店铺!B:B)-COLUMN(设计师对应店铺!A:B)+1,0)</f>
        <v>真北店</v>
      </c>
    </row>
    <row r="86" s="34" customFormat="1" spans="1:5">
      <c r="A86" s="260" t="s">
        <v>8334</v>
      </c>
      <c r="B86" s="256">
        <f>COUNTIFS(总表!D:D,A86,总表!L:L,"&lt;&gt;",总表!E:E,"&gt;=2019/8/19",总表!E:E,"&lt;=2019/8/25")</f>
        <v>1</v>
      </c>
      <c r="C86" s="256">
        <f>SUMIFS(总表!N:N,总表!D:D,A86,总表!E:E,"&gt;=2019/8/19",总表!E:E,"&lt;=2019/8/25")</f>
        <v>2329</v>
      </c>
      <c r="D86" s="257">
        <f>C86/B86</f>
        <v>2329</v>
      </c>
      <c r="E86" s="263" t="str">
        <f>VLOOKUP(A86,设计师对应店铺!A:B,COLUMN(设计师对应店铺!B:B)-COLUMN(设计师对应店铺!A:B)+1,0)</f>
        <v>尚品宅配</v>
      </c>
    </row>
    <row r="87" s="34" customFormat="1" spans="1:5">
      <c r="A87" s="252" t="s">
        <v>3965</v>
      </c>
      <c r="B87" s="253">
        <f>COUNTIFS(总表!D:D,A87,总表!L:L,"&lt;&gt;",总表!E:E,"&gt;=2019/8/19",总表!E:E,"&lt;=2019/8/25")</f>
        <v>0</v>
      </c>
      <c r="C87" s="253">
        <f>SUMIFS(总表!N:N,总表!D:D,A87,总表!E:E,"&gt;=2019/8/19",总表!E:E,"&lt;=2019/8/25")</f>
        <v>0</v>
      </c>
      <c r="D87" s="254">
        <v>0</v>
      </c>
      <c r="E87" s="264" t="str">
        <f>VLOOKUP(A87,设计师对应店铺!A:B,COLUMN(设计师对应店铺!B:B)-COLUMN(设计师对应店铺!A:B)+1,0)</f>
        <v>奉贤、金山、南汇、松江</v>
      </c>
    </row>
    <row r="88" s="34" customFormat="1" spans="1:5">
      <c r="A88" s="260" t="s">
        <v>1431</v>
      </c>
      <c r="B88" s="256">
        <f>COUNTIFS(总表!D:D,A88,总表!L:L,"&lt;&gt;",总表!E:E,"&gt;=2019/8/19",总表!E:E,"&lt;=2019/8/25")</f>
        <v>0</v>
      </c>
      <c r="C88" s="256">
        <f>SUMIFS(总表!N:N,总表!D:D,A88,总表!E:E,"&gt;=2019/8/19",总表!E:E,"&lt;=2019/8/25")</f>
        <v>0</v>
      </c>
      <c r="D88" s="257">
        <v>0</v>
      </c>
      <c r="E88" s="263" t="str">
        <f>VLOOKUP(A88,设计师对应店铺!A:B,COLUMN(设计师对应店铺!B:B)-COLUMN(设计师对应店铺!A:B)+1,0)</f>
        <v>真北店</v>
      </c>
    </row>
    <row r="89" s="34" customFormat="1" spans="1:5">
      <c r="A89" s="252" t="s">
        <v>5337</v>
      </c>
      <c r="B89" s="253">
        <f>COUNTIFS(总表!D:D,A89,总表!L:L,"&lt;&gt;",总表!E:E,"&gt;=2019/8/19",总表!E:E,"&lt;=2019/8/25")</f>
        <v>0</v>
      </c>
      <c r="C89" s="253">
        <f>SUMIFS(总表!N:N,总表!D:D,A89,总表!E:E,"&gt;=2019/8/19",总表!E:E,"&lt;=2019/8/25")</f>
        <v>0</v>
      </c>
      <c r="D89" s="254">
        <v>0</v>
      </c>
      <c r="E89" s="264" t="str">
        <f>VLOOKUP(A89,设计师对应店铺!A:B,COLUMN(设计师对应店铺!B:B)-COLUMN(设计师对应店铺!A:B)+1,0)</f>
        <v>尚品宅配</v>
      </c>
    </row>
    <row r="90" s="34" customFormat="1" spans="1:5">
      <c r="A90" s="260" t="s">
        <v>356</v>
      </c>
      <c r="B90" s="256">
        <f>COUNTIFS(总表!D:D,A90,总表!L:L,"&lt;&gt;",总表!E:E,"&gt;=2019/8/19",总表!E:E,"&lt;=2019/8/25")</f>
        <v>0</v>
      </c>
      <c r="C90" s="256">
        <f>SUMIFS(总表!N:N,总表!D:D,A90,总表!E:E,"&gt;=2019/8/19",总表!E:E,"&lt;=2019/8/25")</f>
        <v>0</v>
      </c>
      <c r="D90" s="257">
        <v>0</v>
      </c>
      <c r="E90" s="263" t="str">
        <f>VLOOKUP(A90,设计师对应店铺!A:B,COLUMN(设计师对应店铺!B:B)-COLUMN(设计师对应店铺!A:B)+1,0)</f>
        <v>百安居</v>
      </c>
    </row>
    <row r="91" s="34" customFormat="1" spans="1:5">
      <c r="A91" s="252" t="s">
        <v>115</v>
      </c>
      <c r="B91" s="253">
        <f>COUNTIFS(总表!D:D,A91,总表!L:L,"&lt;&gt;",总表!E:E,"&gt;=2019/8/19",总表!E:E,"&lt;=2019/8/25")</f>
        <v>0</v>
      </c>
      <c r="C91" s="253">
        <f>SUMIFS(总表!N:N,总表!D:D,A91,总表!E:E,"&gt;=2019/8/19",总表!E:E,"&lt;=2019/8/25")</f>
        <v>0</v>
      </c>
      <c r="D91" s="254">
        <v>0</v>
      </c>
      <c r="E91" s="264" t="str">
        <f>VLOOKUP(A91,设计师对应店铺!A:B,COLUMN(设计师对应店铺!B:B)-COLUMN(设计师对应店铺!A:B)+1,0)</f>
        <v>奉贤、金山、南汇、松江</v>
      </c>
    </row>
    <row r="92" s="34" customFormat="1" spans="1:5">
      <c r="A92" s="260" t="s">
        <v>5336</v>
      </c>
      <c r="B92" s="256">
        <f>COUNTIFS(总表!D:D,A92,总表!L:L,"&lt;&gt;",总表!E:E,"&gt;=2019/8/19",总表!E:E,"&lt;=2019/8/25")</f>
        <v>0</v>
      </c>
      <c r="C92" s="256">
        <f>SUMIFS(总表!N:N,总表!D:D,A92,总表!E:E,"&gt;=2019/8/19",总表!E:E,"&lt;=2019/8/25")</f>
        <v>0</v>
      </c>
      <c r="D92" s="257">
        <v>0</v>
      </c>
      <c r="E92" s="263" t="str">
        <f>VLOOKUP(A92,设计师对应店铺!A:B,COLUMN(设计师对应店铺!B:B)-COLUMN(设计师对应店铺!A:B)+1,0)</f>
        <v>尚品宅配</v>
      </c>
    </row>
    <row r="93" spans="1:5">
      <c r="A93" s="252" t="s">
        <v>60</v>
      </c>
      <c r="B93" s="253">
        <f>COUNTIFS(总表!D:D,A93,总表!L:L,"&lt;&gt;",总表!E:E,"&gt;=2019/8/19",总表!E:E,"&lt;=2019/8/25")</f>
        <v>0</v>
      </c>
      <c r="C93" s="253">
        <f>SUMIFS(总表!N:N,总表!D:D,A93,总表!E:E,"&gt;=2019/8/19",总表!E:E,"&lt;=2019/8/25")</f>
        <v>0</v>
      </c>
      <c r="D93" s="254">
        <v>0</v>
      </c>
      <c r="E93" s="264" t="str">
        <f>VLOOKUP(A93,设计师对应店铺!A:B,COLUMN(设计师对应店铺!B:B)-COLUMN(设计师对应店铺!A:B)+1,0)</f>
        <v>家饰佳</v>
      </c>
    </row>
    <row r="94" spans="1:5">
      <c r="A94" s="260" t="s">
        <v>21268</v>
      </c>
      <c r="B94" s="256">
        <f>COUNTIFS(总表!D:D,A94,总表!L:L,"&lt;&gt;",总表!E:E,"&gt;=2019/8/19",总表!E:E,"&lt;=2019/8/25")</f>
        <v>0</v>
      </c>
      <c r="C94" s="256">
        <f>SUMIFS(总表!N:N,总表!D:D,A94,总表!E:E,"&gt;=2019/8/19",总表!E:E,"&lt;=2019/8/25")</f>
        <v>0</v>
      </c>
      <c r="D94" s="257">
        <v>0</v>
      </c>
      <c r="E94" s="263" t="str">
        <f>VLOOKUP(A94,设计师对应店铺!A:B,COLUMN(设计师对应店铺!B:B)-COLUMN(设计师对应店铺!A:B)+1,0)</f>
        <v>金山店</v>
      </c>
    </row>
    <row r="95" spans="1:5">
      <c r="A95" s="252" t="s">
        <v>5695</v>
      </c>
      <c r="B95" s="253">
        <f>COUNTIFS(总表!D:D,A95,总表!L:L,"&lt;&gt;",总表!E:E,"&gt;=2019/8/19",总表!E:E,"&lt;=2019/8/25")</f>
        <v>0</v>
      </c>
      <c r="C95" s="253">
        <f>SUMIFS(总表!N:N,总表!D:D,A95,总表!E:E,"&gt;=2019/8/19",总表!E:E,"&lt;=2019/8/25")</f>
        <v>0</v>
      </c>
      <c r="D95" s="254">
        <v>0</v>
      </c>
      <c r="E95" s="264" t="str">
        <f>VLOOKUP(A95,设计师对应店铺!A:B,COLUMN(设计师对应店铺!B:B)-COLUMN(设计师对应店铺!A:B)+1,0)</f>
        <v>设计总监</v>
      </c>
    </row>
    <row r="97" s="34" customFormat="1" spans="1:5">
      <c r="A97" s="247" t="s">
        <v>21265</v>
      </c>
      <c r="B97" s="248"/>
      <c r="C97" s="248"/>
      <c r="D97" s="248"/>
      <c r="E97" s="250"/>
    </row>
    <row r="98" s="34" customFormat="1" spans="1:5">
      <c r="A98" s="261" t="s">
        <v>21234</v>
      </c>
      <c r="B98" s="261">
        <f>SUM(B100:B150)</f>
        <v>424</v>
      </c>
      <c r="C98" s="261">
        <f>SUM(C100:C150)</f>
        <v>5329044.69</v>
      </c>
      <c r="D98" s="262">
        <f>C98/B98</f>
        <v>12568.5016273585</v>
      </c>
      <c r="E98" s="262"/>
    </row>
    <row r="99" s="34" customFormat="1" spans="1:5">
      <c r="A99" s="252" t="s">
        <v>30</v>
      </c>
      <c r="B99" s="253" t="s">
        <v>21258</v>
      </c>
      <c r="C99" s="253" t="s">
        <v>10</v>
      </c>
      <c r="D99" s="253" t="s">
        <v>21242</v>
      </c>
      <c r="E99" s="255" t="s">
        <v>21243</v>
      </c>
    </row>
    <row r="100" s="34" customFormat="1" spans="1:5">
      <c r="A100" s="39" t="s">
        <v>717</v>
      </c>
      <c r="B100" s="256">
        <f>COUNTIFS(总表!D:D,A100,总表!L:L,"&lt;&gt;",总表!E:E,"&gt;=2019/8/26",总表!E:E,"&lt;=2019/8/31")</f>
        <v>13</v>
      </c>
      <c r="C100" s="256">
        <f>SUMIFS(总表!N:N,总表!D:D,A100,总表!E:E,"&gt;=2019/8/26",总表!E:E,"&lt;=2019/8/31")</f>
        <v>438996</v>
      </c>
      <c r="D100" s="257">
        <f t="shared" ref="D100:D150" si="4">C100/B100</f>
        <v>33768.9230769231</v>
      </c>
      <c r="E100" s="263">
        <f>VLOOKUP(A100,设计师对应店铺!A:B,COLUMN(设计师对应店铺!B:B)-COLUMN(设计师对应店铺!A:B)+1,0)</f>
        <v>0</v>
      </c>
    </row>
    <row r="101" s="34" customFormat="1" spans="1:5">
      <c r="A101" s="38" t="s">
        <v>162</v>
      </c>
      <c r="B101" s="253">
        <f>COUNTIFS(总表!D:D,A101,总表!L:L,"&lt;&gt;",总表!E:E,"&gt;=2019/8/26",总表!E:E,"&lt;=2019/8/31")</f>
        <v>34</v>
      </c>
      <c r="C101" s="253">
        <f>SUMIFS(总表!N:N,总表!D:D,A101,总表!E:E,"&gt;=2019/8/26",总表!E:E,"&lt;=2019/8/31")</f>
        <v>428944</v>
      </c>
      <c r="D101" s="254">
        <f t="shared" si="4"/>
        <v>12616</v>
      </c>
      <c r="E101" s="264" t="str">
        <f>VLOOKUP(A101,设计师对应店铺!A:B,COLUMN(设计师对应店铺!B:B)-COLUMN(设计师对应店铺!A:B)+1,0)</f>
        <v>真北店</v>
      </c>
    </row>
    <row r="102" s="34" customFormat="1" spans="1:5">
      <c r="A102" s="39" t="s">
        <v>143</v>
      </c>
      <c r="B102" s="256">
        <f>COUNTIFS(总表!D:D,A102,总表!L:L,"&lt;&gt;",总表!E:E,"&gt;=2019/8/26",总表!E:E,"&lt;=2019/8/31")</f>
        <v>14</v>
      </c>
      <c r="C102" s="256">
        <f>SUMIFS(总表!N:N,总表!D:D,A102,总表!E:E,"&gt;=2019/8/26",总表!E:E,"&lt;=2019/8/31")</f>
        <v>378128.86</v>
      </c>
      <c r="D102" s="257">
        <f t="shared" si="4"/>
        <v>27009.2042857143</v>
      </c>
      <c r="E102" s="263" t="str">
        <f>VLOOKUP(A102,设计师对应店铺!A:B,COLUMN(设计师对应店铺!B:B)-COLUMN(设计师对应店铺!A:B)+1,0)</f>
        <v>沪南店店长</v>
      </c>
    </row>
    <row r="103" s="34" customFormat="1" spans="1:5">
      <c r="A103" s="38" t="s">
        <v>132</v>
      </c>
      <c r="B103" s="253">
        <f>COUNTIFS(总表!D:D,A103,总表!L:L,"&lt;&gt;",总表!E:E,"&gt;=2019/8/26",总表!E:E,"&lt;=2019/8/31")</f>
        <v>19</v>
      </c>
      <c r="C103" s="253">
        <f>SUMIFS(总表!N:N,总表!D:D,A103,总表!E:E,"&gt;=2019/8/26",总表!E:E,"&lt;=2019/8/31")</f>
        <v>367093</v>
      </c>
      <c r="D103" s="254">
        <f t="shared" si="4"/>
        <v>19320.6842105263</v>
      </c>
      <c r="E103" s="264" t="str">
        <f>VLOOKUP(A103,设计师对应店铺!A:B,COLUMN(设计师对应店铺!B:B)-COLUMN(设计师对应店铺!A:B)+1,0)</f>
        <v>真北店</v>
      </c>
    </row>
    <row r="104" s="34" customFormat="1" spans="1:5">
      <c r="A104" s="39" t="s">
        <v>187</v>
      </c>
      <c r="B104" s="256">
        <f>COUNTIFS(总表!D:D,A104,总表!L:L,"&lt;&gt;",总表!E:E,"&gt;=2019/8/26",总表!E:E,"&lt;=2019/8/31")</f>
        <v>23</v>
      </c>
      <c r="C104" s="256">
        <f>SUMIFS(总表!N:N,总表!D:D,A104,总表!E:E,"&gt;=2019/8/26",总表!E:E,"&lt;=2019/8/31")</f>
        <v>340393</v>
      </c>
      <c r="D104" s="257">
        <f t="shared" si="4"/>
        <v>14799.6956521739</v>
      </c>
      <c r="E104" s="263" t="str">
        <f>VLOOKUP(A104,设计师对应店铺!A:B,COLUMN(设计师对应店铺!B:B)-COLUMN(设计师对应店铺!A:B)+1,0)</f>
        <v>百家宜</v>
      </c>
    </row>
    <row r="105" s="34" customFormat="1" spans="1:5">
      <c r="A105" s="38" t="s">
        <v>139</v>
      </c>
      <c r="B105" s="253">
        <f>COUNTIFS(总表!D:D,A105,总表!L:L,"&lt;&gt;",总表!E:E,"&gt;=2019/8/26",总表!E:E,"&lt;=2019/8/31")</f>
        <v>23</v>
      </c>
      <c r="C105" s="253">
        <f>SUMIFS(总表!N:N,总表!D:D,A105,总表!E:E,"&gt;=2019/8/26",总表!E:E,"&lt;=2019/8/31")</f>
        <v>255211</v>
      </c>
      <c r="D105" s="254">
        <f t="shared" si="4"/>
        <v>11096.1304347826</v>
      </c>
      <c r="E105" s="264" t="str">
        <f>VLOOKUP(A105,设计师对应店铺!A:B,COLUMN(设计师对应店铺!B:B)-COLUMN(设计师对应店铺!A:B)+1,0)</f>
        <v>家饰佳</v>
      </c>
    </row>
    <row r="106" s="34" customFormat="1" spans="1:5">
      <c r="A106" s="39" t="s">
        <v>44</v>
      </c>
      <c r="B106" s="256">
        <f>COUNTIFS(总表!D:D,A106,总表!L:L,"&lt;&gt;",总表!E:E,"&gt;=2019/8/26",总表!E:E,"&lt;=2019/8/31")</f>
        <v>28</v>
      </c>
      <c r="C106" s="256">
        <f>SUMIFS(总表!N:N,总表!D:D,A106,总表!E:E,"&gt;=2019/8/26",总表!E:E,"&lt;=2019/8/31")</f>
        <v>249972</v>
      </c>
      <c r="D106" s="257">
        <f t="shared" si="4"/>
        <v>8927.57142857143</v>
      </c>
      <c r="E106" s="263" t="str">
        <f>VLOOKUP(A106,设计师对应店铺!A:B,COLUMN(设计师对应店铺!B:B)-COLUMN(设计师对应店铺!A:B)+1,0)</f>
        <v>金桥店、百安居</v>
      </c>
    </row>
    <row r="107" s="34" customFormat="1" spans="1:5">
      <c r="A107" s="38" t="s">
        <v>75</v>
      </c>
      <c r="B107" s="253">
        <f>COUNTIFS(总表!D:D,A107,总表!L:L,"&lt;&gt;",总表!E:E,"&gt;=2019/8/26",总表!E:E,"&lt;=2019/8/31")</f>
        <v>12</v>
      </c>
      <c r="C107" s="253">
        <f>SUMIFS(总表!N:N,总表!D:D,A107,总表!E:E,"&gt;=2019/8/26",总表!E:E,"&lt;=2019/8/31")</f>
        <v>225536.05</v>
      </c>
      <c r="D107" s="254">
        <f t="shared" si="4"/>
        <v>18794.6708333333</v>
      </c>
      <c r="E107" s="264" t="str">
        <f>VLOOKUP(A107,设计师对应店铺!A:B,COLUMN(设计师对应店铺!B:B)-COLUMN(设计师对应店铺!A:B)+1,0)</f>
        <v>宜山经理</v>
      </c>
    </row>
    <row r="108" s="34" customFormat="1" spans="1:5">
      <c r="A108" s="39" t="s">
        <v>635</v>
      </c>
      <c r="B108" s="256">
        <f>COUNTIFS(总表!D:D,A108,总表!L:L,"&lt;&gt;",总表!E:E,"&gt;=2019/8/26",总表!E:E,"&lt;=2019/8/31")</f>
        <v>16</v>
      </c>
      <c r="C108" s="256">
        <f>SUMIFS(总表!N:N,总表!D:D,A108,总表!E:E,"&gt;=2019/8/26",总表!E:E,"&lt;=2019/8/31")</f>
        <v>211108</v>
      </c>
      <c r="D108" s="257">
        <f t="shared" si="4"/>
        <v>13194.25</v>
      </c>
      <c r="E108" s="263" t="str">
        <f>VLOOKUP(A108,设计师对应店铺!A:B,COLUMN(设计师对应店铺!B:B)-COLUMN(设计师对应店铺!A:B)+1,0)</f>
        <v>家饰佳、兴力达</v>
      </c>
    </row>
    <row r="109" s="34" customFormat="1" spans="1:5">
      <c r="A109" s="38" t="s">
        <v>221</v>
      </c>
      <c r="B109" s="253">
        <f>COUNTIFS(总表!D:D,A109,总表!L:L,"&lt;&gt;",总表!E:E,"&gt;=2019/8/26",总表!E:E,"&lt;=2019/8/31")</f>
        <v>17</v>
      </c>
      <c r="C109" s="253">
        <f>SUMIFS(总表!N:N,总表!D:D,A109,总表!E:E,"&gt;=2019/8/26",总表!E:E,"&lt;=2019/8/31")</f>
        <v>186514</v>
      </c>
      <c r="D109" s="254">
        <f t="shared" si="4"/>
        <v>10971.4117647059</v>
      </c>
      <c r="E109" s="264" t="str">
        <f>VLOOKUP(A109,设计师对应店铺!A:B,COLUMN(设计师对应店铺!B:B)-COLUMN(设计师对应店铺!A:B)+1,0)</f>
        <v>汶水店</v>
      </c>
    </row>
    <row r="110" s="34" customFormat="1" spans="1:5">
      <c r="A110" s="39" t="s">
        <v>271</v>
      </c>
      <c r="B110" s="256">
        <f>COUNTIFS(总表!D:D,A110,总表!L:L,"&lt;&gt;",总表!E:E,"&gt;=2019/8/26",总表!E:E,"&lt;=2019/8/31")</f>
        <v>12</v>
      </c>
      <c r="C110" s="256">
        <f>SUMIFS(总表!N:N,总表!D:D,A110,总表!E:E,"&gt;=2019/8/26",总表!E:E,"&lt;=2019/8/31")</f>
        <v>176436</v>
      </c>
      <c r="D110" s="257">
        <f t="shared" si="4"/>
        <v>14703</v>
      </c>
      <c r="E110" s="263" t="str">
        <f>VLOOKUP(A110,设计师对应店铺!A:B,COLUMN(设计师对应店铺!B:B)-COLUMN(设计师对应店铺!A:B)+1,0)</f>
        <v>喜盈门</v>
      </c>
    </row>
    <row r="111" s="34" customFormat="1" spans="1:5">
      <c r="A111" s="38" t="s">
        <v>171</v>
      </c>
      <c r="B111" s="253">
        <f>COUNTIFS(总表!D:D,A111,总表!L:L,"&lt;&gt;",总表!E:E,"&gt;=2019/8/26",总表!E:E,"&lt;=2019/8/31")</f>
        <v>18</v>
      </c>
      <c r="C111" s="253">
        <f>SUMIFS(总表!N:N,总表!D:D,A111,总表!E:E,"&gt;=2019/8/26",总表!E:E,"&lt;=2019/8/31")</f>
        <v>161999</v>
      </c>
      <c r="D111" s="254">
        <f t="shared" si="4"/>
        <v>8999.94444444445</v>
      </c>
      <c r="E111" s="264" t="str">
        <f>VLOOKUP(A111,设计师对应店铺!A:B,COLUMN(设计师对应店铺!B:B)-COLUMN(设计师对应店铺!A:B)+1,0)</f>
        <v>家饰佳、兴力达</v>
      </c>
    </row>
    <row r="112" s="34" customFormat="1" spans="1:5">
      <c r="A112" s="39" t="s">
        <v>37</v>
      </c>
      <c r="B112" s="256">
        <f>COUNTIFS(总表!D:D,A112,总表!L:L,"&lt;&gt;",总表!E:E,"&gt;=2019/8/26",总表!E:E,"&lt;=2019/8/31")</f>
        <v>13</v>
      </c>
      <c r="C112" s="256">
        <f>SUMIFS(总表!N:N,总表!D:D,A112,总表!E:E,"&gt;=2019/8/26",总表!E:E,"&lt;=2019/8/31")</f>
        <v>159907</v>
      </c>
      <c r="D112" s="257">
        <f t="shared" si="4"/>
        <v>12300.5384615385</v>
      </c>
      <c r="E112" s="263" t="str">
        <f>VLOOKUP(A112,设计师对应店铺!A:B,COLUMN(设计师对应店铺!B:B)-COLUMN(设计师对应店铺!A:B)+1,0)</f>
        <v>浦江店</v>
      </c>
    </row>
    <row r="113" s="34" customFormat="1" spans="1:5">
      <c r="A113" s="38" t="s">
        <v>49</v>
      </c>
      <c r="B113" s="253">
        <f>COUNTIFS(总表!D:D,A113,总表!L:L,"&lt;&gt;",总表!E:E,"&gt;=2019/8/26",总表!E:E,"&lt;=2019/8/31")</f>
        <v>10</v>
      </c>
      <c r="C113" s="253">
        <f>SUMIFS(总表!N:N,总表!D:D,A113,总表!E:E,"&gt;=2019/8/26",总表!E:E,"&lt;=2019/8/31")</f>
        <v>158846</v>
      </c>
      <c r="D113" s="254">
        <f t="shared" si="4"/>
        <v>15884.6</v>
      </c>
      <c r="E113" s="264" t="str">
        <f>VLOOKUP(A113,设计师对应店铺!A:B,COLUMN(设计师对应店铺!B:B)-COLUMN(设计师对应店铺!A:B)+1,0)</f>
        <v>奉贤、金山、南汇、松江</v>
      </c>
    </row>
    <row r="114" s="34" customFormat="1" spans="1:5">
      <c r="A114" s="39" t="s">
        <v>33</v>
      </c>
      <c r="B114" s="256">
        <f>COUNTIFS(总表!D:D,A114,总表!L:L,"&lt;&gt;",总表!E:E,"&gt;=2019/8/26",总表!E:E,"&lt;=2019/8/31")</f>
        <v>17</v>
      </c>
      <c r="C114" s="256">
        <f>SUMIFS(总表!N:N,总表!D:D,A114,总表!E:E,"&gt;=2019/8/26",总表!E:E,"&lt;=2019/8/31")</f>
        <v>147577</v>
      </c>
      <c r="D114" s="257">
        <f t="shared" si="4"/>
        <v>8681</v>
      </c>
      <c r="E114" s="263" t="str">
        <f>VLOOKUP(A114,设计师对应店铺!A:B,COLUMN(设计师对应店铺!B:B)-COLUMN(设计师对应店铺!A:B)+1,0)</f>
        <v>汶水店</v>
      </c>
    </row>
    <row r="115" s="34" customFormat="1" spans="1:5">
      <c r="A115" s="38" t="s">
        <v>343</v>
      </c>
      <c r="B115" s="253">
        <f>COUNTIFS(总表!D:D,A115,总表!L:L,"&lt;&gt;",总表!E:E,"&gt;=2019/8/26",总表!E:E,"&lt;=2019/8/31")</f>
        <v>10</v>
      </c>
      <c r="C115" s="253">
        <f>SUMIFS(总表!N:N,总表!D:D,A115,总表!E:E,"&gt;=2019/8/26",总表!E:E,"&lt;=2019/8/31")</f>
        <v>142665</v>
      </c>
      <c r="D115" s="254">
        <f t="shared" si="4"/>
        <v>14266.5</v>
      </c>
      <c r="E115" s="264" t="str">
        <f>VLOOKUP(A115,设计师对应店铺!A:B,COLUMN(设计师对应店铺!B:B)-COLUMN(设计师对应店铺!A:B)+1,0)</f>
        <v>喜盈门</v>
      </c>
    </row>
    <row r="116" s="34" customFormat="1" spans="1:5">
      <c r="A116" s="39" t="s">
        <v>125</v>
      </c>
      <c r="B116" s="256">
        <f>COUNTIFS(总表!D:D,A116,总表!L:L,"&lt;&gt;",总表!E:E,"&gt;=2019/8/26",总表!E:E,"&lt;=2019/8/31")</f>
        <v>16</v>
      </c>
      <c r="C116" s="256">
        <f>SUMIFS(总表!N:N,总表!D:D,A116,总表!E:E,"&gt;=2019/8/26",总表!E:E,"&lt;=2019/8/31")</f>
        <v>134734</v>
      </c>
      <c r="D116" s="257">
        <f t="shared" si="4"/>
        <v>8420.875</v>
      </c>
      <c r="E116" s="263" t="str">
        <f>VLOOKUP(A116,设计师对应店铺!A:B,COLUMN(设计师对应店铺!B:B)-COLUMN(设计师对应店铺!A:B)+1,0)</f>
        <v>同福店店长</v>
      </c>
    </row>
    <row r="117" s="34" customFormat="1" spans="1:5">
      <c r="A117" s="38" t="s">
        <v>68</v>
      </c>
      <c r="B117" s="253">
        <f>COUNTIFS(总表!D:D,A117,总表!L:L,"&lt;&gt;",总表!E:E,"&gt;=2019/8/26",总表!E:E,"&lt;=2019/8/31")</f>
        <v>14</v>
      </c>
      <c r="C117" s="253">
        <f>SUMIFS(总表!N:N,总表!D:D,A117,总表!E:E,"&gt;=2019/8/26",总表!E:E,"&lt;=2019/8/31")</f>
        <v>122270</v>
      </c>
      <c r="D117" s="254">
        <f t="shared" si="4"/>
        <v>8733.57142857143</v>
      </c>
      <c r="E117" s="264" t="str">
        <f>VLOOKUP(A117,设计师对应店铺!A:B,COLUMN(设计师对应店铺!B:B)-COLUMN(设计师对应店铺!A:B)+1,0)</f>
        <v>沪南店</v>
      </c>
    </row>
    <row r="118" s="34" customFormat="1" spans="1:5">
      <c r="A118" s="39" t="s">
        <v>155</v>
      </c>
      <c r="B118" s="256">
        <f>COUNTIFS(总表!D:D,A118,总表!L:L,"&lt;&gt;",总表!E:E,"&gt;=2019/8/26",总表!E:E,"&lt;=2019/8/31")</f>
        <v>11</v>
      </c>
      <c r="C118" s="256">
        <f>SUMIFS(总表!N:N,总表!D:D,A118,总表!E:E,"&gt;=2019/8/26",总表!E:E,"&lt;=2019/8/31")</f>
        <v>120644.08</v>
      </c>
      <c r="D118" s="257">
        <f t="shared" si="4"/>
        <v>10967.6436363636</v>
      </c>
      <c r="E118" s="263" t="str">
        <f>VLOOKUP(A118,设计师对应店铺!A:B,COLUMN(设计师对应店铺!B:B)-COLUMN(设计师对应店铺!A:B)+1,0)</f>
        <v>好饰家</v>
      </c>
    </row>
    <row r="119" s="34" customFormat="1" spans="1:5">
      <c r="A119" s="38" t="s">
        <v>89</v>
      </c>
      <c r="B119" s="253">
        <f>COUNTIFS(总表!D:D,A119,总表!L:L,"&lt;&gt;",总表!E:E,"&gt;=2019/8/26",总表!E:E,"&lt;=2019/8/31")</f>
        <v>12</v>
      </c>
      <c r="C119" s="253">
        <f>SUMIFS(总表!N:N,总表!D:D,A119,总表!E:E,"&gt;=2019/8/26",总表!E:E,"&lt;=2019/8/31")</f>
        <v>118517</v>
      </c>
      <c r="D119" s="254">
        <f t="shared" si="4"/>
        <v>9876.41666666667</v>
      </c>
      <c r="E119" s="264" t="str">
        <f>VLOOKUP(A119,设计师对应店铺!A:B,COLUMN(设计师对应店铺!B:B)-COLUMN(设计师对应店铺!A:B)+1,0)</f>
        <v>吉盛伟邦</v>
      </c>
    </row>
    <row r="120" s="34" customFormat="1" spans="1:5">
      <c r="A120" s="39" t="s">
        <v>337</v>
      </c>
      <c r="B120" s="256">
        <f>COUNTIFS(总表!D:D,A120,总表!L:L,"&lt;&gt;",总表!E:E,"&gt;=2019/8/26",总表!E:E,"&lt;=2019/8/31")</f>
        <v>15</v>
      </c>
      <c r="C120" s="256">
        <f>SUMIFS(总表!N:N,总表!D:D,A120,总表!E:E,"&gt;=2019/8/26",总表!E:E,"&lt;=2019/8/31")</f>
        <v>115412</v>
      </c>
      <c r="D120" s="257">
        <f t="shared" si="4"/>
        <v>7694.13333333333</v>
      </c>
      <c r="E120" s="263" t="str">
        <f>VLOOKUP(A120,设计师对应店铺!A:B,COLUMN(设计师对应店铺!B:B)-COLUMN(设计师对应店铺!A:B)+1,0)</f>
        <v>建配龙</v>
      </c>
    </row>
    <row r="121" s="34" customFormat="1" spans="1:5">
      <c r="A121" s="38" t="s">
        <v>518</v>
      </c>
      <c r="B121" s="253">
        <f>COUNTIFS(总表!D:D,A121,总表!L:L,"&lt;&gt;",总表!E:E,"&gt;=2019/8/26",总表!E:E,"&lt;=2019/8/31")</f>
        <v>5</v>
      </c>
      <c r="C121" s="253">
        <f>SUMIFS(总表!N:N,总表!D:D,A121,总表!E:E,"&gt;=2019/8/26",总表!E:E,"&lt;=2019/8/31")</f>
        <v>106577</v>
      </c>
      <c r="D121" s="254">
        <f t="shared" si="4"/>
        <v>21315.4</v>
      </c>
      <c r="E121" s="264" t="str">
        <f>VLOOKUP(A121,设计师对应店铺!A:B,COLUMN(设计师对应店铺!B:B)-COLUMN(设计师对应店铺!A:B)+1,0)</f>
        <v>奉贤店</v>
      </c>
    </row>
    <row r="122" s="34" customFormat="1" spans="1:5">
      <c r="A122" s="39" t="s">
        <v>407</v>
      </c>
      <c r="B122" s="256">
        <f>COUNTIFS(总表!D:D,A122,总表!L:L,"&lt;&gt;",总表!E:E,"&gt;=2019/8/26",总表!E:E,"&lt;=2019/8/31")</f>
        <v>9</v>
      </c>
      <c r="C122" s="256">
        <f>SUMIFS(总表!N:N,总表!D:D,A122,总表!E:E,"&gt;=2019/8/26",总表!E:E,"&lt;=2019/8/31")</f>
        <v>94990</v>
      </c>
      <c r="D122" s="257">
        <f t="shared" si="4"/>
        <v>10554.4444444444</v>
      </c>
      <c r="E122" s="263" t="str">
        <f>VLOOKUP(A122,设计师对应店铺!A:B,COLUMN(设计师对应店铺!B:B)-COLUMN(设计师对应店铺!A:B)+1,0)</f>
        <v>嘉定店</v>
      </c>
    </row>
    <row r="123" s="34" customFormat="1" spans="1:5">
      <c r="A123" s="38" t="s">
        <v>427</v>
      </c>
      <c r="B123" s="253">
        <f>COUNTIFS(总表!D:D,A123,总表!L:L,"&lt;&gt;",总表!E:E,"&gt;=2019/8/26",总表!E:E,"&lt;=2019/8/31")</f>
        <v>7</v>
      </c>
      <c r="C123" s="253">
        <f>SUMIFS(总表!N:N,总表!D:D,A123,总表!E:E,"&gt;=2019/8/26",总表!E:E,"&lt;=2019/8/31")</f>
        <v>57259</v>
      </c>
      <c r="D123" s="254">
        <f t="shared" si="4"/>
        <v>8179.85714285714</v>
      </c>
      <c r="E123" s="264" t="str">
        <f>VLOOKUP(A123,设计师对应店铺!A:B,COLUMN(设计师对应店铺!B:B)-COLUMN(设计师对应店铺!A:B)+1,0)</f>
        <v>百家宜</v>
      </c>
    </row>
    <row r="124" s="34" customFormat="1" spans="1:5">
      <c r="A124" s="39" t="s">
        <v>182</v>
      </c>
      <c r="B124" s="256">
        <f>COUNTIFS(总表!D:D,A124,总表!L:L,"&lt;&gt;",总表!E:E,"&gt;=2019/8/26",总表!E:E,"&lt;=2019/8/31")</f>
        <v>2</v>
      </c>
      <c r="C124" s="256">
        <f>SUMIFS(总表!N:N,总表!D:D,A124,总表!E:E,"&gt;=2019/8/26",总表!E:E,"&lt;=2019/8/31")</f>
        <v>59471</v>
      </c>
      <c r="D124" s="257">
        <f t="shared" si="4"/>
        <v>29735.5</v>
      </c>
      <c r="E124" s="263" t="str">
        <f>VLOOKUP(A124,设计师对应店铺!A:B,COLUMN(设计师对应店铺!B:B)-COLUMN(设计师对应店铺!A:B)+1,0)</f>
        <v>真北店</v>
      </c>
    </row>
    <row r="125" s="34" customFormat="1" spans="1:5">
      <c r="A125" s="38" t="s">
        <v>1436</v>
      </c>
      <c r="B125" s="253">
        <f>COUNTIFS(总表!D:D,A125,总表!L:L,"&lt;&gt;",总表!E:E,"&gt;=2019/8/26",总表!E:E,"&lt;=2019/8/31")</f>
        <v>5</v>
      </c>
      <c r="C125" s="253">
        <f>SUMIFS(总表!N:N,总表!D:D,A125,总表!E:E,"&gt;=2019/8/26",总表!E:E,"&lt;=2019/8/31")</f>
        <v>45974.5</v>
      </c>
      <c r="D125" s="254">
        <f t="shared" si="4"/>
        <v>9194.9</v>
      </c>
      <c r="E125" s="264" t="str">
        <f>VLOOKUP(A125,设计师对应店铺!A:B,COLUMN(设计师对应店铺!B:B)-COLUMN(设计师对应店铺!A:B)+1,0)</f>
        <v>沪南店</v>
      </c>
    </row>
    <row r="126" s="34" customFormat="1" spans="1:5">
      <c r="A126" s="39" t="s">
        <v>149</v>
      </c>
      <c r="B126" s="256">
        <f>COUNTIFS(总表!D:D,A126,总表!L:L,"&lt;&gt;",总表!E:E,"&gt;=2019/8/26",总表!E:E,"&lt;=2019/8/31")</f>
        <v>8</v>
      </c>
      <c r="C126" s="256">
        <f>SUMIFS(总表!N:N,总表!D:D,A126,总表!E:E,"&gt;=2019/8/26",总表!E:E,"&lt;=2019/8/31")</f>
        <v>39036</v>
      </c>
      <c r="D126" s="257">
        <f t="shared" si="4"/>
        <v>4879.5</v>
      </c>
      <c r="E126" s="263" t="str">
        <f>VLOOKUP(A126,设计师对应店铺!A:B,COLUMN(设计师对应店铺!B:B)-COLUMN(设计师对应店铺!A:B)+1,0)</f>
        <v>百安居</v>
      </c>
    </row>
    <row r="127" s="34" customFormat="1" spans="1:5">
      <c r="A127" s="38" t="s">
        <v>191</v>
      </c>
      <c r="B127" s="253">
        <f>COUNTIFS(总表!D:D,A127,总表!L:L,"&lt;&gt;",总表!E:E,"&gt;=2019/8/26",总表!E:E,"&lt;=2019/8/31")</f>
        <v>5</v>
      </c>
      <c r="C127" s="253">
        <f>SUMIFS(总表!N:N,总表!D:D,A127,总表!E:E,"&gt;=2019/8/26",总表!E:E,"&lt;=2019/8/31")</f>
        <v>40152</v>
      </c>
      <c r="D127" s="254">
        <f t="shared" si="4"/>
        <v>8030.4</v>
      </c>
      <c r="E127" s="264" t="str">
        <f>VLOOKUP(A127,设计师对应店铺!A:B,COLUMN(设计师对应店铺!B:B)-COLUMN(设计师对应店铺!A:B)+1,0)</f>
        <v>家饰佳</v>
      </c>
    </row>
    <row r="128" s="34" customFormat="1" spans="1:5">
      <c r="A128" s="39" t="s">
        <v>443</v>
      </c>
      <c r="B128" s="256">
        <f>COUNTIFS(总表!D:D,A128,总表!L:L,"&lt;&gt;",总表!E:E,"&gt;=2019/8/26",总表!E:E,"&lt;=2019/8/31")</f>
        <v>3</v>
      </c>
      <c r="C128" s="256">
        <f>SUMIFS(总表!N:N,总表!D:D,A128,总表!E:E,"&gt;=2019/8/26",总表!E:E,"&lt;=2019/8/31")</f>
        <v>39995</v>
      </c>
      <c r="D128" s="257">
        <f t="shared" si="4"/>
        <v>13331.6666666667</v>
      </c>
      <c r="E128" s="263" t="str">
        <f>VLOOKUP(A128,设计师对应店铺!A:B,COLUMN(设计师对应店铺!B:B)-COLUMN(设计师对应店铺!A:B)+1,0)</f>
        <v>家饰佳</v>
      </c>
    </row>
    <row r="129" s="34" customFormat="1" spans="1:5">
      <c r="A129" s="38" t="s">
        <v>1170</v>
      </c>
      <c r="B129" s="253">
        <f>COUNTIFS(总表!D:D,A129,总表!L:L,"&lt;&gt;",总表!E:E,"&gt;=2019/8/26",总表!E:E,"&lt;=2019/8/31")</f>
        <v>7</v>
      </c>
      <c r="C129" s="253">
        <f>SUMIFS(总表!N:N,总表!D:D,A129,总表!E:E,"&gt;=2019/8/26",总表!E:E,"&lt;=2019/8/31")</f>
        <v>38091</v>
      </c>
      <c r="D129" s="254">
        <f t="shared" si="4"/>
        <v>5441.57142857143</v>
      </c>
      <c r="E129" s="264" t="str">
        <f>VLOOKUP(A129,设计师对应店铺!A:B,COLUMN(设计师对应店铺!B:B)-COLUMN(设计师对应店铺!A:B)+1,0)</f>
        <v>百安居</v>
      </c>
    </row>
    <row r="130" s="34" customFormat="1" spans="1:5">
      <c r="A130" s="39" t="s">
        <v>5336</v>
      </c>
      <c r="B130" s="256">
        <f>COUNTIFS(总表!D:D,A130,总表!L:L,"&lt;&gt;",总表!E:E,"&gt;=2019/8/26",总表!E:E,"&lt;=2019/8/31")</f>
        <v>2</v>
      </c>
      <c r="C130" s="256">
        <f>SUMIFS(总表!N:N,总表!D:D,A130,总表!E:E,"&gt;=2019/8/26",总表!E:E,"&lt;=2019/8/31")</f>
        <v>38118</v>
      </c>
      <c r="D130" s="257">
        <f t="shared" si="4"/>
        <v>19059</v>
      </c>
      <c r="E130" s="263" t="str">
        <f>VLOOKUP(A130,设计师对应店铺!A:B,COLUMN(设计师对应店铺!B:B)-COLUMN(设计师对应店铺!A:B)+1,0)</f>
        <v>尚品宅配</v>
      </c>
    </row>
    <row r="131" s="34" customFormat="1" spans="1:5">
      <c r="A131" s="38" t="s">
        <v>110</v>
      </c>
      <c r="B131" s="253">
        <f>COUNTIFS(总表!D:D,A131,总表!L:L,"&lt;&gt;",总表!E:E,"&gt;=2019/8/26",总表!E:E,"&lt;=2019/8/31")</f>
        <v>8</v>
      </c>
      <c r="C131" s="253">
        <f>SUMIFS(总表!N:N,总表!D:D,A131,总表!E:E,"&gt;=2019/8/26",总表!E:E,"&lt;=2019/8/31")</f>
        <v>34939</v>
      </c>
      <c r="D131" s="254">
        <f t="shared" si="4"/>
        <v>4367.375</v>
      </c>
      <c r="E131" s="264" t="str">
        <f>VLOOKUP(A131,设计师对应店铺!A:B,COLUMN(设计师对应店铺!B:B)-COLUMN(设计师对应店铺!A:B)+1,0)</f>
        <v>喜盈门</v>
      </c>
    </row>
    <row r="132" s="34" customFormat="1" spans="1:5">
      <c r="A132" s="39" t="s">
        <v>10001</v>
      </c>
      <c r="B132" s="256">
        <f>COUNTIFS(总表!D:D,A132,总表!L:L,"&lt;&gt;",总表!E:E,"&gt;=2019/8/26",总表!E:E,"&lt;=2019/8/31")</f>
        <v>2</v>
      </c>
      <c r="C132" s="256">
        <f>SUMIFS(总表!N:N,总表!D:D,A132,总表!E:E,"&gt;=2019/8/26",总表!E:E,"&lt;=2019/8/31")</f>
        <v>15627</v>
      </c>
      <c r="D132" s="257">
        <f t="shared" si="4"/>
        <v>7813.5</v>
      </c>
      <c r="E132" s="263" t="str">
        <f>VLOOKUP(A132,设计师对应店铺!A:B,COLUMN(设计师对应店铺!B:B)-COLUMN(设计师对应店铺!A:B)+1,0)</f>
        <v>尚品宅配</v>
      </c>
    </row>
    <row r="133" s="34" customFormat="1" spans="1:5">
      <c r="A133" s="38" t="s">
        <v>2302</v>
      </c>
      <c r="B133" s="253">
        <f>COUNTIFS(总表!D:D,A133,总表!L:L,"&lt;&gt;",总表!E:E,"&gt;=2019/8/26",总表!E:E,"&lt;=2019/8/31")</f>
        <v>1</v>
      </c>
      <c r="C133" s="253">
        <f>SUMIFS(总表!N:N,总表!D:D,A133,总表!E:E,"&gt;=2019/8/26",总表!E:E,"&lt;=2019/8/31")</f>
        <v>15600</v>
      </c>
      <c r="D133" s="254">
        <f t="shared" si="4"/>
        <v>15600</v>
      </c>
      <c r="E133" s="264" t="str">
        <f>VLOOKUP(A133,设计师对应店铺!A:B,COLUMN(设计师对应店铺!B:B)-COLUMN(设计师对应店铺!A:B)+1,0)</f>
        <v>沪南店</v>
      </c>
    </row>
    <row r="134" s="34" customFormat="1" spans="1:5">
      <c r="A134" s="39" t="s">
        <v>954</v>
      </c>
      <c r="B134" s="256">
        <f>COUNTIFS(总表!D:D,A134,总表!L:L,"&lt;&gt;",总表!E:E,"&gt;=2019/8/26",总表!E:E,"&lt;=2019/8/31")</f>
        <v>3</v>
      </c>
      <c r="C134" s="256">
        <f>SUMIFS(总表!N:N,总表!D:D,A134,总表!E:E,"&gt;=2019/8/26",总表!E:E,"&lt;=2019/8/31")</f>
        <v>12692</v>
      </c>
      <c r="D134" s="257">
        <f t="shared" si="4"/>
        <v>4230.66666666667</v>
      </c>
      <c r="E134" s="263" t="str">
        <f>VLOOKUP(A134,设计师对应店铺!A:B,COLUMN(设计师对应店铺!B:B)-COLUMN(设计师对应店铺!A:B)+1,0)</f>
        <v>汶水店</v>
      </c>
    </row>
    <row r="135" s="34" customFormat="1" spans="1:5">
      <c r="A135" s="38" t="s">
        <v>361</v>
      </c>
      <c r="B135" s="253">
        <f>COUNTIFS(总表!D:D,A135,总表!L:L,"&lt;&gt;",总表!E:E,"&gt;=2019/8/26",总表!E:E,"&lt;=2019/8/31")</f>
        <v>1</v>
      </c>
      <c r="C135" s="253">
        <f>SUMIFS(总表!N:N,总表!D:D,A135,总表!E:E,"&gt;=2019/8/26",总表!E:E,"&lt;=2019/8/31")</f>
        <v>12514</v>
      </c>
      <c r="D135" s="254">
        <f t="shared" si="4"/>
        <v>12514</v>
      </c>
      <c r="E135" s="264" t="str">
        <f>VLOOKUP(A135,设计师对应店铺!A:B,COLUMN(设计师对应店铺!B:B)-COLUMN(设计师对应店铺!A:B)+1,0)</f>
        <v>美美家自配</v>
      </c>
    </row>
    <row r="136" s="34" customFormat="1" spans="1:5">
      <c r="A136" s="39" t="s">
        <v>9733</v>
      </c>
      <c r="B136" s="256">
        <f>COUNTIFS(总表!D:D,A136,总表!L:L,"&lt;&gt;",总表!E:E,"&gt;=2019/8/26",总表!E:E,"&lt;=2019/8/31")</f>
        <v>1</v>
      </c>
      <c r="C136" s="256">
        <f>SUMIFS(总表!N:N,总表!D:D,A136,总表!E:E,"&gt;=2019/8/26",总表!E:E,"&lt;=2019/8/31")</f>
        <v>12496</v>
      </c>
      <c r="D136" s="257">
        <f t="shared" si="4"/>
        <v>12496</v>
      </c>
      <c r="E136" s="263" t="e">
        <f>VLOOKUP(A136,设计师对应店铺!A:B,COLUMN(设计师对应店铺!B:B)-COLUMN(设计师对应店铺!A:B)+1,0)</f>
        <v>#N/A</v>
      </c>
    </row>
    <row r="137" s="34" customFormat="1" spans="1:5">
      <c r="A137" s="38" t="s">
        <v>9944</v>
      </c>
      <c r="B137" s="253">
        <f>COUNTIFS(总表!D:D,A137,总表!L:L,"&lt;&gt;",总表!E:E,"&gt;=2019/8/26",总表!E:E,"&lt;=2019/8/31")</f>
        <v>1</v>
      </c>
      <c r="C137" s="253">
        <f>SUMIFS(总表!N:N,总表!D:D,A137,总表!E:E,"&gt;=2019/8/26",总表!E:E,"&lt;=2019/8/31")</f>
        <v>10028.2</v>
      </c>
      <c r="D137" s="254">
        <f t="shared" si="4"/>
        <v>10028.2</v>
      </c>
      <c r="E137" s="264" t="str">
        <f>VLOOKUP(A137,设计师对应店铺!A:B,COLUMN(设计师对应店铺!B:B)-COLUMN(设计师对应店铺!A:B)+1,0)</f>
        <v>尚品宅配</v>
      </c>
    </row>
    <row r="138" s="34" customFormat="1" spans="1:5">
      <c r="A138" s="39" t="s">
        <v>237</v>
      </c>
      <c r="B138" s="256">
        <f>COUNTIFS(总表!D:D,A138,总表!L:L,"&lt;&gt;",总表!E:E,"&gt;=2019/8/26",总表!E:E,"&lt;=2019/8/31")</f>
        <v>2</v>
      </c>
      <c r="C138" s="256">
        <f>SUMIFS(总表!N:N,总表!D:D,A138,总表!E:E,"&gt;=2019/8/26",总表!E:E,"&lt;=2019/8/31")</f>
        <v>5032</v>
      </c>
      <c r="D138" s="257">
        <f t="shared" si="4"/>
        <v>2516</v>
      </c>
      <c r="E138" s="263" t="str">
        <f>VLOOKUP(A138,设计师对应店铺!A:B,COLUMN(设计师对应店铺!B:B)-COLUMN(设计师对应店铺!A:B)+1,0)</f>
        <v>百安居</v>
      </c>
    </row>
    <row r="139" spans="1:5">
      <c r="A139" s="38" t="s">
        <v>2381</v>
      </c>
      <c r="B139" s="253">
        <f>COUNTIFS(总表!D:D,A139,总表!L:L,"&lt;&gt;",总表!E:E,"&gt;=2019/8/26",总表!E:E,"&lt;=2019/8/31")</f>
        <v>2</v>
      </c>
      <c r="C139" s="253">
        <f>SUMIFS(总表!N:N,总表!D:D,A139,总表!E:E,"&gt;=2019/8/26",总表!E:E,"&lt;=2019/8/31")</f>
        <v>4126</v>
      </c>
      <c r="D139" s="254">
        <f t="shared" si="4"/>
        <v>2063</v>
      </c>
      <c r="E139" s="264" t="str">
        <f>VLOOKUP(A139,设计师对应店铺!A:B,COLUMN(设计师对应店铺!B:B)-COLUMN(设计师对应店铺!A:B)+1,0)</f>
        <v>家饰佳</v>
      </c>
    </row>
    <row r="140" spans="1:5">
      <c r="A140" s="39" t="s">
        <v>5695</v>
      </c>
      <c r="B140" s="256">
        <f>COUNTIFS(总表!D:D,A140,总表!L:L,"&lt;&gt;",总表!E:E,"&gt;=2019/8/26",总表!E:E,"&lt;=2019/8/31")</f>
        <v>1</v>
      </c>
      <c r="C140" s="256">
        <f>SUMIFS(总表!N:N,总表!D:D,A140,总表!E:E,"&gt;=2019/8/26",总表!E:E,"&lt;=2019/8/31")</f>
        <v>2321</v>
      </c>
      <c r="D140" s="257">
        <f t="shared" si="4"/>
        <v>2321</v>
      </c>
      <c r="E140" s="263" t="str">
        <f>VLOOKUP(A140,设计师对应店铺!A:B,COLUMN(设计师对应店铺!B:B)-COLUMN(设计师对应店铺!A:B)+1,0)</f>
        <v>设计总监</v>
      </c>
    </row>
    <row r="141" spans="1:5">
      <c r="A141" s="38" t="s">
        <v>6313</v>
      </c>
      <c r="B141" s="253">
        <f>COUNTIFS(总表!D:D,A141,总表!L:L,"&lt;&gt;",总表!E:E,"&gt;=2019/8/26",总表!E:E,"&lt;=2019/8/31")</f>
        <v>0</v>
      </c>
      <c r="C141" s="253">
        <f>SUMIFS(总表!N:N,总表!D:D,A141,总表!E:E,"&gt;=2019/8/26",总表!E:E,"&lt;=2019/8/31")</f>
        <v>2800</v>
      </c>
      <c r="D141" s="254" t="e">
        <f t="shared" si="4"/>
        <v>#DIV/0!</v>
      </c>
      <c r="E141" s="264" t="str">
        <f>VLOOKUP(A141,设计师对应店铺!A:B,COLUMN(设计师对应店铺!B:B)-COLUMN(设计师对应店铺!A:B)+1,0)</f>
        <v>兴明店</v>
      </c>
    </row>
    <row r="142" spans="1:5">
      <c r="A142" s="39" t="s">
        <v>10507</v>
      </c>
      <c r="B142" s="256">
        <f>COUNTIFS(总表!D:D,A142,总表!L:L,"&lt;&gt;",总表!E:E,"&gt;=2019/8/26",总表!E:E,"&lt;=2019/8/31")</f>
        <v>0</v>
      </c>
      <c r="C142" s="256">
        <f>SUMIFS(总表!N:N,总表!D:D,A142,总表!E:E,"&gt;=2019/8/26",总表!E:E,"&lt;=2019/8/31")</f>
        <v>600</v>
      </c>
      <c r="D142" s="257" t="e">
        <f t="shared" si="4"/>
        <v>#DIV/0!</v>
      </c>
      <c r="E142" s="263" t="e">
        <f>VLOOKUP(A142,设计师对应店铺!A:B,COLUMN(设计师对应店铺!B:B)-COLUMN(设计师对应店铺!A:B)+1,0)</f>
        <v>#N/A</v>
      </c>
    </row>
    <row r="143" spans="1:5">
      <c r="A143" s="38" t="s">
        <v>8334</v>
      </c>
      <c r="B143" s="253">
        <f>COUNTIFS(总表!D:D,A143,总表!L:L,"&lt;&gt;",总表!E:E,"&gt;=2019/8/26",总表!E:E,"&lt;=2019/8/31")</f>
        <v>0</v>
      </c>
      <c r="C143" s="253">
        <f>SUMIFS(总表!N:N,总表!D:D,A143,总表!E:E,"&gt;=2019/8/26",总表!E:E,"&lt;=2019/8/31")</f>
        <v>0</v>
      </c>
      <c r="D143" s="254" t="e">
        <f t="shared" si="4"/>
        <v>#DIV/0!</v>
      </c>
      <c r="E143" s="264" t="str">
        <f>VLOOKUP(A143,设计师对应店铺!A:B,COLUMN(设计师对应店铺!B:B)-COLUMN(设计师对应店铺!A:B)+1,0)</f>
        <v>尚品宅配</v>
      </c>
    </row>
    <row r="144" spans="1:5">
      <c r="A144" s="39" t="s">
        <v>60</v>
      </c>
      <c r="B144" s="256">
        <f>COUNTIFS(总表!D:D,A144,总表!L:L,"&lt;&gt;",总表!E:E,"&gt;=2019/8/26",总表!E:E,"&lt;=2019/8/31")</f>
        <v>2</v>
      </c>
      <c r="C144" s="256">
        <f>SUMIFS(总表!N:N,总表!D:D,A144,总表!E:E,"&gt;=2019/8/26",总表!E:E,"&lt;=2019/8/31")</f>
        <v>-297</v>
      </c>
      <c r="D144" s="257">
        <f t="shared" si="4"/>
        <v>-148.5</v>
      </c>
      <c r="E144" s="263" t="str">
        <f>VLOOKUP(A144,设计师对应店铺!A:B,COLUMN(设计师对应店铺!B:B)-COLUMN(设计师对应店铺!A:B)+1,0)</f>
        <v>家饰佳</v>
      </c>
    </row>
    <row r="145" spans="1:5">
      <c r="A145" s="38" t="s">
        <v>356</v>
      </c>
      <c r="B145" s="253">
        <f>COUNTIFS(总表!D:D,A145,总表!L:L,"&lt;&gt;",总表!E:E,"&gt;=2019/8/26",总表!E:E,"&lt;=2019/8/31")</f>
        <v>0</v>
      </c>
      <c r="C145" s="253">
        <f>SUMIFS(总表!N:N,总表!D:D,A145,总表!E:E,"&gt;=2019/8/26",总表!E:E,"&lt;=2019/8/31")</f>
        <v>0</v>
      </c>
      <c r="D145" s="254" t="e">
        <f t="shared" si="4"/>
        <v>#DIV/0!</v>
      </c>
      <c r="E145" s="264" t="str">
        <f>VLOOKUP(A145,设计师对应店铺!A:B,COLUMN(设计师对应店铺!B:B)-COLUMN(设计师对应店铺!A:B)+1,0)</f>
        <v>百安居</v>
      </c>
    </row>
    <row r="146" spans="1:5">
      <c r="A146" s="39" t="s">
        <v>3965</v>
      </c>
      <c r="B146" s="256">
        <f>COUNTIFS(总表!D:D,A146,总表!L:L,"&lt;&gt;",总表!E:E,"&gt;=2019/8/26",总表!E:E,"&lt;=2019/8/31")</f>
        <v>0</v>
      </c>
      <c r="C146" s="256">
        <f>SUMIFS(总表!N:N,总表!D:D,A146,总表!E:E,"&gt;=2019/8/26",总表!E:E,"&lt;=2019/8/31")</f>
        <v>0</v>
      </c>
      <c r="D146" s="257" t="e">
        <f t="shared" si="4"/>
        <v>#DIV/0!</v>
      </c>
      <c r="E146" s="263" t="str">
        <f>VLOOKUP(A146,设计师对应店铺!A:B,COLUMN(设计师对应店铺!B:B)-COLUMN(设计师对应店铺!A:B)+1,0)</f>
        <v>奉贤、金山、南汇、松江</v>
      </c>
    </row>
    <row r="147" spans="1:5">
      <c r="A147" s="38" t="s">
        <v>1431</v>
      </c>
      <c r="B147" s="253">
        <f>COUNTIFS(总表!D:D,A147,总表!L:L,"&lt;&gt;",总表!E:E,"&gt;=2019/8/26",总表!E:E,"&lt;=2019/8/31")</f>
        <v>0</v>
      </c>
      <c r="C147" s="253">
        <f>SUMIFS(总表!N:N,总表!D:D,A147,总表!E:E,"&gt;=2019/8/26",总表!E:E,"&lt;=2019/8/31")</f>
        <v>0</v>
      </c>
      <c r="D147" s="254" t="e">
        <f t="shared" si="4"/>
        <v>#DIV/0!</v>
      </c>
      <c r="E147" s="264" t="str">
        <f>VLOOKUP(A147,设计师对应店铺!A:B,COLUMN(设计师对应店铺!B:B)-COLUMN(设计师对应店铺!A:B)+1,0)</f>
        <v>真北店</v>
      </c>
    </row>
    <row r="148" spans="1:5">
      <c r="A148" s="39" t="s">
        <v>5337</v>
      </c>
      <c r="B148" s="256">
        <f>COUNTIFS(总表!D:D,A148,总表!L:L,"&lt;&gt;",总表!E:E,"&gt;=2019/8/26",总表!E:E,"&lt;=2019/8/31")</f>
        <v>0</v>
      </c>
      <c r="C148" s="256">
        <f>SUMIFS(总表!N:N,总表!D:D,A148,总表!E:E,"&gt;=2019/8/26",总表!E:E,"&lt;=2019/8/31")</f>
        <v>0</v>
      </c>
      <c r="D148" s="257" t="e">
        <f t="shared" si="4"/>
        <v>#DIV/0!</v>
      </c>
      <c r="E148" s="263" t="str">
        <f>VLOOKUP(A148,设计师对应店铺!A:B,COLUMN(设计师对应店铺!B:B)-COLUMN(设计师对应店铺!A:B)+1,0)</f>
        <v>尚品宅配</v>
      </c>
    </row>
    <row r="149" spans="1:5">
      <c r="A149" s="38" t="s">
        <v>115</v>
      </c>
      <c r="B149" s="253">
        <f>COUNTIFS(总表!D:D,A149,总表!L:L,"&lt;&gt;",总表!E:E,"&gt;=2019/8/26",总表!E:E,"&lt;=2019/8/31")</f>
        <v>0</v>
      </c>
      <c r="C149" s="253">
        <f>SUMIFS(总表!N:N,总表!D:D,A149,总表!E:E,"&gt;=2019/8/26",总表!E:E,"&lt;=2019/8/31")</f>
        <v>0</v>
      </c>
      <c r="D149" s="254" t="e">
        <f t="shared" si="4"/>
        <v>#DIV/0!</v>
      </c>
      <c r="E149" s="264" t="str">
        <f>VLOOKUP(A149,设计师对应店铺!A:B,COLUMN(设计师对应店铺!B:B)-COLUMN(设计师对应店铺!A:B)+1,0)</f>
        <v>奉贤、金山、南汇、松江</v>
      </c>
    </row>
    <row r="150" spans="1:5">
      <c r="A150" s="39" t="s">
        <v>21268</v>
      </c>
      <c r="B150" s="256">
        <f>COUNTIFS(总表!D:D,A150,总表!L:L,"&lt;&gt;",总表!E:E,"&gt;=2019/8/26",总表!E:E,"&lt;=2019/8/31")</f>
        <v>0</v>
      </c>
      <c r="C150" s="256">
        <f>SUMIFS(总表!N:N,总表!D:D,A150,总表!E:E,"&gt;=2019/8/26",总表!E:E,"&lt;=2019/8/31")</f>
        <v>0</v>
      </c>
      <c r="D150" s="257" t="e">
        <f t="shared" si="4"/>
        <v>#DIV/0!</v>
      </c>
      <c r="E150" s="263" t="str">
        <f>VLOOKUP(A150,设计师对应店铺!A:B,COLUMN(设计师对应店铺!B:B)-COLUMN(设计师对应店铺!A:B)+1,0)</f>
        <v>金山店</v>
      </c>
    </row>
  </sheetData>
  <mergeCells count="5">
    <mergeCell ref="A1:E1"/>
    <mergeCell ref="G1:K1"/>
    <mergeCell ref="M1:Q1"/>
    <mergeCell ref="A49:E49"/>
    <mergeCell ref="A97:E97"/>
  </mergeCells>
  <dataValidations count="1">
    <dataValidation allowBlank="1" showInputMessage="1" showErrorMessage="1" sqref="A141"/>
  </dataValidation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4"/>
  <sheetViews>
    <sheetView workbookViewId="0">
      <selection activeCell="B13" sqref="B13"/>
    </sheetView>
  </sheetViews>
  <sheetFormatPr defaultColWidth="9" defaultRowHeight="16.5"/>
  <cols>
    <col min="1" max="1" width="14.25" style="34" customWidth="1"/>
    <col min="2" max="2" width="9" style="34"/>
    <col min="3" max="3" width="11.75" style="34" customWidth="1"/>
    <col min="4" max="4" width="12.125" style="34" customWidth="1"/>
    <col min="5" max="5" width="13.125" style="246" customWidth="1"/>
    <col min="6" max="6" width="13.5" style="34" customWidth="1"/>
    <col min="7" max="7" width="21.875" style="34" customWidth="1"/>
    <col min="8" max="8" width="9" style="34"/>
    <col min="9" max="9" width="14.5" style="34" customWidth="1"/>
    <col min="10" max="10" width="9" style="34"/>
    <col min="11" max="11" width="12" style="34" customWidth="1"/>
    <col min="12" max="12" width="13.25" style="34" customWidth="1"/>
    <col min="13" max="13" width="12.125" style="34" customWidth="1"/>
    <col min="14" max="14" width="12.5" style="34" customWidth="1"/>
    <col min="15" max="15" width="19.625" style="34" customWidth="1"/>
    <col min="16" max="16384" width="9" style="34"/>
  </cols>
  <sheetData>
    <row r="1" ht="15" spans="1:15">
      <c r="A1" s="247" t="s">
        <v>21273</v>
      </c>
      <c r="B1" s="248"/>
      <c r="C1" s="248"/>
      <c r="D1" s="248"/>
      <c r="E1" s="249"/>
      <c r="F1" s="248"/>
      <c r="G1" s="250"/>
      <c r="I1" s="259" t="s">
        <v>21273</v>
      </c>
      <c r="J1" s="259"/>
      <c r="K1" s="259"/>
      <c r="L1" s="259"/>
      <c r="M1" s="259"/>
      <c r="N1" s="259"/>
      <c r="O1" s="259"/>
    </row>
    <row r="2" spans="1:15">
      <c r="A2" s="251" t="s">
        <v>21234</v>
      </c>
      <c r="B2" s="251">
        <f>SUM(B4:B54)</f>
        <v>942</v>
      </c>
      <c r="C2" s="251">
        <f>SUM(C4:C54)</f>
        <v>11551774.45</v>
      </c>
      <c r="D2" s="251">
        <f>SUM(D4:D54)</f>
        <v>1416392.14</v>
      </c>
      <c r="E2" s="251">
        <f>SUM(E4:E54)</f>
        <v>12968166.59</v>
      </c>
      <c r="F2" s="251">
        <f>E2/B2</f>
        <v>13766.6311995754</v>
      </c>
      <c r="G2" s="251"/>
      <c r="I2" s="260" t="s">
        <v>30</v>
      </c>
      <c r="J2" s="256" t="s">
        <v>21239</v>
      </c>
      <c r="K2" s="256" t="s">
        <v>21240</v>
      </c>
      <c r="L2" s="256" t="s">
        <v>21241</v>
      </c>
      <c r="M2" s="256" t="s">
        <v>10</v>
      </c>
      <c r="N2" s="257" t="s">
        <v>21242</v>
      </c>
      <c r="O2" s="258" t="s">
        <v>21243</v>
      </c>
    </row>
    <row r="3" spans="1:15">
      <c r="A3" s="252" t="s">
        <v>30</v>
      </c>
      <c r="B3" s="253" t="s">
        <v>21239</v>
      </c>
      <c r="C3" s="253" t="s">
        <v>21240</v>
      </c>
      <c r="D3" s="253" t="s">
        <v>21241</v>
      </c>
      <c r="E3" s="253" t="s">
        <v>10</v>
      </c>
      <c r="F3" s="254" t="s">
        <v>21242</v>
      </c>
      <c r="G3" s="255" t="s">
        <v>21243</v>
      </c>
      <c r="I3" s="38" t="s">
        <v>187</v>
      </c>
      <c r="J3" s="253">
        <f>COUNTIFS(总表!D:D,I3,总表!L:L,"&lt;&gt;",总表!U:U,"",总表!E:E,"&gt;=2019/8/1",总表!E:E,"&lt;=2019/8/31")</f>
        <v>43</v>
      </c>
      <c r="K3" s="253">
        <f>SUMIFS(总表!L:L,总表!D:D,I3,总表!E:E,"&gt;=2019/8/1",总表!E:E,"&lt;=2019/8/31")</f>
        <v>684454.8</v>
      </c>
      <c r="L3" s="253">
        <f>SUMIFS(总表!M:M,总表!D:D,I3,总表!E:E,"&gt;=2019/8/1",总表!E:E,"&lt;=2019/8/31")</f>
        <v>159412.2</v>
      </c>
      <c r="M3" s="253">
        <f t="shared" ref="M3:M33" si="0">K3+L3</f>
        <v>843867</v>
      </c>
      <c r="N3" s="254">
        <f t="shared" ref="N3:N33" si="1">M3/J3</f>
        <v>19624.8139534884</v>
      </c>
      <c r="O3" s="255" t="str">
        <f>VLOOKUP(I3,设计师对应店铺!A:B,COLUMN(设计师对应店铺!B:B)-COLUMN(设计师对应店铺!A:B)+1,0)</f>
        <v>百家宜</v>
      </c>
    </row>
    <row r="4" spans="1:15">
      <c r="A4" s="39" t="s">
        <v>187</v>
      </c>
      <c r="B4" s="253">
        <f>COUNTIFS(总表!D:D,A4,总表!L:L,"&lt;&gt;",总表!E:E,"&gt;=2019/8/1",总表!E:E,"&lt;=2019/8/31")</f>
        <v>45</v>
      </c>
      <c r="C4" s="256">
        <f>SUMIFS(总表!L:L,总表!D:D,A4,总表!E:E,"&gt;=2019/8/1",总表!E:E,"&lt;=2019/8/31")</f>
        <v>684454.8</v>
      </c>
      <c r="D4" s="256">
        <f>SUMIFS(总表!M:M,总表!D:D,A4,总表!E:E,"&gt;=2019/8/1",总表!E:E,"&lt;=2019/8/31")</f>
        <v>159412.2</v>
      </c>
      <c r="E4" s="256">
        <f t="shared" ref="E4:E54" si="2">C4+D4</f>
        <v>843867</v>
      </c>
      <c r="F4" s="257">
        <f t="shared" ref="F4:F54" si="3">E4/B4</f>
        <v>18752.6</v>
      </c>
      <c r="G4" s="258" t="str">
        <f>VLOOKUP(A4,设计师对应店铺!A:B,COLUMN(设计师对应店铺!B:B)-COLUMN(设计师对应店铺!A:B)+1,0)</f>
        <v>百家宜</v>
      </c>
      <c r="I4" s="39" t="s">
        <v>143</v>
      </c>
      <c r="J4" s="256">
        <f>COUNTIFS(总表!D:D,I4,总表!L:L,"&lt;&gt;",总表!U:U,"",总表!E:E,"&gt;=2019/8/1",总表!E:E,"&lt;=2019/8/31")</f>
        <v>28</v>
      </c>
      <c r="K4" s="256">
        <f>SUMIFS(总表!L:L,总表!D:D,I4,总表!E:E,"&gt;=2019/8/1",总表!E:E,"&lt;=2019/8/31")</f>
        <v>740568.02</v>
      </c>
      <c r="L4" s="256">
        <f>SUMIFS(总表!M:M,总表!D:D,I4,总表!E:E,"&gt;=2019/8/1",总表!E:E,"&lt;=2019/8/31")</f>
        <v>68909.84</v>
      </c>
      <c r="M4" s="256">
        <f t="shared" si="0"/>
        <v>809477.86</v>
      </c>
      <c r="N4" s="257">
        <f t="shared" si="1"/>
        <v>28909.9235714286</v>
      </c>
      <c r="O4" s="258" t="str">
        <f>VLOOKUP(I4,设计师对应店铺!A:B,COLUMN(设计师对应店铺!B:B)-COLUMN(设计师对应店铺!A:B)+1,0)</f>
        <v>沪南店店长</v>
      </c>
    </row>
    <row r="5" spans="1:15">
      <c r="A5" s="38" t="s">
        <v>143</v>
      </c>
      <c r="B5" s="253">
        <f>COUNTIFS(总表!D:D,A5,总表!L:L,"&lt;&gt;",总表!E:E,"&gt;=2019/8/1",总表!E:E,"&lt;=2019/8/31")</f>
        <v>28</v>
      </c>
      <c r="C5" s="253">
        <f>SUMIFS(总表!L:L,总表!D:D,A5,总表!E:E,"&gt;=2019/8/1",总表!E:E,"&lt;=2019/8/31")</f>
        <v>740568.02</v>
      </c>
      <c r="D5" s="253">
        <f>SUMIFS(总表!M:M,总表!D:D,A5,总表!E:E,"&gt;=2019/8/1",总表!E:E,"&lt;=2019/8/31")</f>
        <v>68909.84</v>
      </c>
      <c r="E5" s="253">
        <f t="shared" si="2"/>
        <v>809477.86</v>
      </c>
      <c r="F5" s="254">
        <f t="shared" si="3"/>
        <v>28909.9235714286</v>
      </c>
      <c r="G5" s="255" t="str">
        <f>VLOOKUP(A5,设计师对应店铺!A:B,COLUMN(设计师对应店铺!B:B)-COLUMN(设计师对应店铺!A:B)+1,0)</f>
        <v>沪南店店长</v>
      </c>
      <c r="I5" s="38" t="s">
        <v>44</v>
      </c>
      <c r="J5" s="253">
        <f>COUNTIFS(总表!D:D,I5,总表!L:L,"&lt;&gt;",总表!U:U,"",总表!E:E,"&gt;=2019/8/1",总表!E:E,"&lt;=2019/8/31")</f>
        <v>68</v>
      </c>
      <c r="K5" s="253">
        <f>SUMIFS(总表!L:L,总表!D:D,I5,总表!E:E,"&gt;=2019/8/1",总表!E:E,"&lt;=2019/8/31")</f>
        <v>693093</v>
      </c>
      <c r="L5" s="253">
        <f>SUMIFS(总表!M:M,总表!D:D,I5,总表!E:E,"&gt;=2019/8/1",总表!E:E,"&lt;=2019/8/31")</f>
        <v>59847</v>
      </c>
      <c r="M5" s="253">
        <f t="shared" si="0"/>
        <v>752940</v>
      </c>
      <c r="N5" s="254">
        <f t="shared" si="1"/>
        <v>11072.6470588235</v>
      </c>
      <c r="O5" s="255" t="str">
        <f>VLOOKUP(I5,设计师对应店铺!A:B,COLUMN(设计师对应店铺!B:B)-COLUMN(设计师对应店铺!A:B)+1,0)</f>
        <v>金桥店、百安居</v>
      </c>
    </row>
    <row r="6" spans="1:15">
      <c r="A6" s="39" t="s">
        <v>44</v>
      </c>
      <c r="B6" s="253">
        <f>COUNTIFS(总表!D:D,A6,总表!L:L,"&lt;&gt;",总表!E:E,"&gt;=2019/8/1",总表!E:E,"&lt;=2019/8/31")</f>
        <v>68</v>
      </c>
      <c r="C6" s="256">
        <f>SUMIFS(总表!L:L,总表!D:D,A6,总表!E:E,"&gt;=2019/8/1",总表!E:E,"&lt;=2019/8/31")</f>
        <v>693093</v>
      </c>
      <c r="D6" s="256">
        <f>SUMIFS(总表!M:M,总表!D:D,A6,总表!E:E,"&gt;=2019/8/1",总表!E:E,"&lt;=2019/8/31")</f>
        <v>59847</v>
      </c>
      <c r="E6" s="256">
        <f t="shared" si="2"/>
        <v>752940</v>
      </c>
      <c r="F6" s="257">
        <f t="shared" si="3"/>
        <v>11072.6470588235</v>
      </c>
      <c r="G6" s="258" t="str">
        <f>VLOOKUP(A6,设计师对应店铺!A:B,COLUMN(设计师对应店铺!B:B)-COLUMN(设计师对应店铺!A:B)+1,0)</f>
        <v>金桥店、百安居</v>
      </c>
      <c r="I6" s="39" t="s">
        <v>132</v>
      </c>
      <c r="J6" s="256">
        <f>COUNTIFS(总表!D:D,I6,总表!L:L,"&lt;&gt;",总表!U:U,"",总表!E:E,"&gt;=2019/8/1",总表!E:E,"&lt;=2019/8/31")</f>
        <v>39</v>
      </c>
      <c r="K6" s="256">
        <f>SUMIFS(总表!L:L,总表!D:D,I6,总表!E:E,"&gt;=2019/8/1",总表!E:E,"&lt;=2019/8/31")</f>
        <v>733793</v>
      </c>
      <c r="L6" s="256">
        <f>SUMIFS(总表!M:M,总表!D:D,I6,总表!E:E,"&gt;=2019/8/1",总表!E:E,"&lt;=2019/8/31")</f>
        <v>6066</v>
      </c>
      <c r="M6" s="256">
        <f t="shared" si="0"/>
        <v>739859</v>
      </c>
      <c r="N6" s="257">
        <f t="shared" si="1"/>
        <v>18970.7435897436</v>
      </c>
      <c r="O6" s="258" t="str">
        <f>VLOOKUP(I6,设计师对应店铺!A:B,COLUMN(设计师对应店铺!B:B)-COLUMN(设计师对应店铺!A:B)+1,0)</f>
        <v>真北店</v>
      </c>
    </row>
    <row r="7" spans="1:15">
      <c r="A7" s="38" t="s">
        <v>132</v>
      </c>
      <c r="B7" s="253">
        <f>COUNTIFS(总表!D:D,A7,总表!L:L,"&lt;&gt;",总表!E:E,"&gt;=2019/8/1",总表!E:E,"&lt;=2019/8/31")</f>
        <v>40</v>
      </c>
      <c r="C7" s="253">
        <f>SUMIFS(总表!L:L,总表!D:D,A7,总表!E:E,"&gt;=2019/8/1",总表!E:E,"&lt;=2019/8/31")</f>
        <v>733793</v>
      </c>
      <c r="D7" s="253">
        <f>SUMIFS(总表!M:M,总表!D:D,A7,总表!E:E,"&gt;=2019/8/1",总表!E:E,"&lt;=2019/8/31")</f>
        <v>6066</v>
      </c>
      <c r="E7" s="253">
        <f t="shared" si="2"/>
        <v>739859</v>
      </c>
      <c r="F7" s="254">
        <f t="shared" si="3"/>
        <v>18496.475</v>
      </c>
      <c r="G7" s="255" t="str">
        <f>VLOOKUP(A7,设计师对应店铺!A:B,COLUMN(设计师对应店铺!B:B)-COLUMN(设计师对应店铺!A:B)+1,0)</f>
        <v>真北店</v>
      </c>
      <c r="I7" s="38" t="s">
        <v>162</v>
      </c>
      <c r="J7" s="253">
        <f>COUNTIFS(总表!D:D,I7,总表!L:L,"&lt;&gt;",总表!U:U,"",总表!E:E,"&gt;=2019/8/1",总表!E:E,"&lt;=2019/8/31")</f>
        <v>50</v>
      </c>
      <c r="K7" s="253">
        <f>SUMIFS(总表!L:L,总表!D:D,I7,总表!E:E,"&gt;=2019/8/1",总表!E:E,"&lt;=2019/8/31")</f>
        <v>568377</v>
      </c>
      <c r="L7" s="253">
        <f>SUMIFS(总表!M:M,总表!D:D,I7,总表!E:E,"&gt;=2019/8/1",总表!E:E,"&lt;=2019/8/31")</f>
        <v>79979</v>
      </c>
      <c r="M7" s="253">
        <f t="shared" si="0"/>
        <v>648356</v>
      </c>
      <c r="N7" s="254">
        <f t="shared" si="1"/>
        <v>12967.12</v>
      </c>
      <c r="O7" s="255" t="str">
        <f>VLOOKUP(I7,设计师对应店铺!A:B,COLUMN(设计师对应店铺!B:B)-COLUMN(设计师对应店铺!A:B)+1,0)</f>
        <v>真北店</v>
      </c>
    </row>
    <row r="8" spans="1:15">
      <c r="A8" s="39" t="s">
        <v>162</v>
      </c>
      <c r="B8" s="253">
        <f>COUNTIFS(总表!D:D,A8,总表!L:L,"&lt;&gt;",总表!E:E,"&gt;=2019/8/1",总表!E:E,"&lt;=2019/8/31")</f>
        <v>53</v>
      </c>
      <c r="C8" s="256">
        <f>SUMIFS(总表!L:L,总表!D:D,A8,总表!E:E,"&gt;=2019/8/1",总表!E:E,"&lt;=2019/8/31")</f>
        <v>568377</v>
      </c>
      <c r="D8" s="256">
        <f>SUMIFS(总表!M:M,总表!D:D,A8,总表!E:E,"&gt;=2019/8/1",总表!E:E,"&lt;=2019/8/31")</f>
        <v>79979</v>
      </c>
      <c r="E8" s="256">
        <f t="shared" si="2"/>
        <v>648356</v>
      </c>
      <c r="F8" s="257">
        <f t="shared" si="3"/>
        <v>12233.1320754717</v>
      </c>
      <c r="G8" s="258" t="str">
        <f>VLOOKUP(A8,设计师对应店铺!A:B,COLUMN(设计师对应店铺!B:B)-COLUMN(设计师对应店铺!A:B)+1,0)</f>
        <v>真北店</v>
      </c>
      <c r="I8" s="39" t="s">
        <v>89</v>
      </c>
      <c r="J8" s="256">
        <f>COUNTIFS(总表!D:D,I8,总表!L:L,"&lt;&gt;",总表!U:U,"",总表!E:E,"&gt;=2019/8/1",总表!E:E,"&lt;=2019/8/31")</f>
        <v>42</v>
      </c>
      <c r="K8" s="256">
        <f>SUMIFS(总表!L:L,总表!D:D,I8,总表!E:E,"&gt;=2019/8/1",总表!E:E,"&lt;=2019/8/31")</f>
        <v>497373.9</v>
      </c>
      <c r="L8" s="256">
        <f>SUMIFS(总表!M:M,总表!D:D,I8,总表!E:E,"&gt;=2019/8/1",总表!E:E,"&lt;=2019/8/31")</f>
        <v>56752</v>
      </c>
      <c r="M8" s="256">
        <f t="shared" si="0"/>
        <v>554125.9</v>
      </c>
      <c r="N8" s="257">
        <f t="shared" si="1"/>
        <v>13193.4738095238</v>
      </c>
      <c r="O8" s="258" t="str">
        <f>VLOOKUP(I8,设计师对应店铺!A:B,COLUMN(设计师对应店铺!B:B)-COLUMN(设计师对应店铺!A:B)+1,0)</f>
        <v>吉盛伟邦</v>
      </c>
    </row>
    <row r="9" spans="1:15">
      <c r="A9" s="38" t="s">
        <v>49</v>
      </c>
      <c r="B9" s="253">
        <f>COUNTIFS(总表!D:D,A9,总表!L:L,"&lt;&gt;",总表!E:E,"&gt;=2019/8/1",总表!E:E,"&lt;=2019/8/31")</f>
        <v>44</v>
      </c>
      <c r="C9" s="253">
        <f>SUMIFS(总表!L:L,总表!D:D,A9,总表!E:E,"&gt;=2019/8/1",总表!E:E,"&lt;=2019/8/31")</f>
        <v>580826.7</v>
      </c>
      <c r="D9" s="253">
        <f>SUMIFS(总表!M:M,总表!D:D,A9,总表!E:E,"&gt;=2019/8/1",总表!E:E,"&lt;=2019/8/31")</f>
        <v>50449.3</v>
      </c>
      <c r="E9" s="253">
        <f t="shared" si="2"/>
        <v>631276</v>
      </c>
      <c r="F9" s="254">
        <f t="shared" si="3"/>
        <v>14347.1818181818</v>
      </c>
      <c r="G9" s="255" t="str">
        <f>VLOOKUP(A9,设计师对应店铺!A:B,COLUMN(设计师对应店铺!B:B)-COLUMN(设计师对应店铺!A:B)+1,0)</f>
        <v>奉贤、金山、南汇、松江</v>
      </c>
      <c r="I9" s="38" t="s">
        <v>171</v>
      </c>
      <c r="J9" s="253">
        <f>COUNTIFS(总表!D:D,I9,总表!L:L,"&lt;&gt;",总表!U:U,"",总表!E:E,"&gt;=2019/8/1",总表!E:E,"&lt;=2019/8/31")</f>
        <v>39</v>
      </c>
      <c r="K9" s="253">
        <f>SUMIFS(总表!L:L,总表!D:D,I9,总表!E:E,"&gt;=2019/8/1",总表!E:E,"&lt;=2019/8/31")</f>
        <v>498515.8</v>
      </c>
      <c r="L9" s="253">
        <f>SUMIFS(总表!M:M,总表!D:D,I9,总表!E:E,"&gt;=2019/8/1",总表!E:E,"&lt;=2019/8/31")</f>
        <v>44949.2</v>
      </c>
      <c r="M9" s="253">
        <f t="shared" si="0"/>
        <v>543465</v>
      </c>
      <c r="N9" s="254">
        <f t="shared" si="1"/>
        <v>13935</v>
      </c>
      <c r="O9" s="255" t="str">
        <f>VLOOKUP(I9,设计师对应店铺!A:B,COLUMN(设计师对应店铺!B:B)-COLUMN(设计师对应店铺!A:B)+1,0)</f>
        <v>家饰佳、兴力达</v>
      </c>
    </row>
    <row r="10" spans="1:15">
      <c r="A10" s="39" t="s">
        <v>89</v>
      </c>
      <c r="B10" s="253">
        <f>COUNTIFS(总表!D:D,A10,总表!L:L,"&lt;&gt;",总表!E:E,"&gt;=2019/8/1",总表!E:E,"&lt;=2019/8/31")</f>
        <v>44</v>
      </c>
      <c r="C10" s="256">
        <f>SUMIFS(总表!L:L,总表!D:D,A10,总表!E:E,"&gt;=2019/8/1",总表!E:E,"&lt;=2019/8/31")</f>
        <v>497373.9</v>
      </c>
      <c r="D10" s="256">
        <f>SUMIFS(总表!M:M,总表!D:D,A10,总表!E:E,"&gt;=2019/8/1",总表!E:E,"&lt;=2019/8/31")</f>
        <v>56752</v>
      </c>
      <c r="E10" s="256">
        <f t="shared" si="2"/>
        <v>554125.9</v>
      </c>
      <c r="F10" s="257">
        <f t="shared" si="3"/>
        <v>12593.7704545455</v>
      </c>
      <c r="G10" s="258" t="str">
        <f>VLOOKUP(A10,设计师对应店铺!A:B,COLUMN(设计师对应店铺!B:B)-COLUMN(设计师对应店铺!A:B)+1,0)</f>
        <v>吉盛伟邦</v>
      </c>
      <c r="I10" s="39" t="s">
        <v>717</v>
      </c>
      <c r="J10" s="256">
        <f>COUNTIFS(总表!D:D,I10,总表!L:L,"&lt;&gt;",总表!U:U,"",总表!E:E,"&gt;=2019/8/1",总表!E:E,"&lt;=2019/8/31")</f>
        <v>16</v>
      </c>
      <c r="K10" s="256">
        <f>SUMIFS(总表!L:L,总表!D:D,I10,总表!E:E,"&gt;=2019/8/1",总表!E:E,"&lt;=2019/8/31")</f>
        <v>513125</v>
      </c>
      <c r="L10" s="256">
        <f>SUMIFS(总表!M:M,总表!D:D,I10,总表!E:E,"&gt;=2019/8/1",总表!E:E,"&lt;=2019/8/31")</f>
        <v>29725</v>
      </c>
      <c r="M10" s="256">
        <f t="shared" si="0"/>
        <v>542850</v>
      </c>
      <c r="N10" s="257">
        <f t="shared" si="1"/>
        <v>33928.125</v>
      </c>
      <c r="O10" s="258">
        <f>VLOOKUP(I10,设计师对应店铺!A:B,COLUMN(设计师对应店铺!B:B)-COLUMN(设计师对应店铺!A:B)+1,0)</f>
        <v>0</v>
      </c>
    </row>
    <row r="11" spans="1:15">
      <c r="A11" s="38" t="s">
        <v>171</v>
      </c>
      <c r="B11" s="253">
        <f>COUNTIFS(总表!D:D,A11,总表!L:L,"&lt;&gt;",总表!E:E,"&gt;=2019/8/1",总表!E:E,"&lt;=2019/8/31")</f>
        <v>39</v>
      </c>
      <c r="C11" s="253">
        <f>SUMIFS(总表!L:L,总表!D:D,A11,总表!E:E,"&gt;=2019/8/1",总表!E:E,"&lt;=2019/8/31")</f>
        <v>498515.8</v>
      </c>
      <c r="D11" s="253">
        <f>SUMIFS(总表!M:M,总表!D:D,A11,总表!E:E,"&gt;=2019/8/1",总表!E:E,"&lt;=2019/8/31")</f>
        <v>44949.2</v>
      </c>
      <c r="E11" s="253">
        <f t="shared" si="2"/>
        <v>543465</v>
      </c>
      <c r="F11" s="254">
        <f t="shared" si="3"/>
        <v>13935</v>
      </c>
      <c r="G11" s="255" t="str">
        <f>VLOOKUP(A11,设计师对应店铺!A:B,COLUMN(设计师对应店铺!B:B)-COLUMN(设计师对应店铺!A:B)+1,0)</f>
        <v>家饰佳、兴力达</v>
      </c>
      <c r="I11" s="38" t="s">
        <v>75</v>
      </c>
      <c r="J11" s="253">
        <f>COUNTIFS(总表!D:D,I11,总表!L:L,"&lt;&gt;",总表!U:U,"",总表!E:E,"&gt;=2019/8/1",总表!E:E,"&lt;=2019/8/31")</f>
        <v>18</v>
      </c>
      <c r="K11" s="253">
        <f>SUMIFS(总表!L:L,总表!D:D,I11,总表!E:E,"&gt;=2019/8/1",总表!E:E,"&lt;=2019/8/31")</f>
        <v>414592.05</v>
      </c>
      <c r="L11" s="253">
        <f>SUMIFS(总表!M:M,总表!D:D,I11,总表!E:E,"&gt;=2019/8/1",总表!E:E,"&lt;=2019/8/31")</f>
        <v>110901</v>
      </c>
      <c r="M11" s="253">
        <f t="shared" si="0"/>
        <v>525493.05</v>
      </c>
      <c r="N11" s="254">
        <f t="shared" si="1"/>
        <v>29194.0583333333</v>
      </c>
      <c r="O11" s="255" t="str">
        <f>VLOOKUP(I11,设计师对应店铺!A:B,COLUMN(设计师对应店铺!B:B)-COLUMN(设计师对应店铺!A:B)+1,0)</f>
        <v>宜山经理</v>
      </c>
    </row>
    <row r="12" spans="1:15">
      <c r="A12" s="39" t="s">
        <v>717</v>
      </c>
      <c r="B12" s="253">
        <f>COUNTIFS(总表!D:D,A12,总表!L:L,"&lt;&gt;",总表!E:E,"&gt;=2019/8/1",总表!E:E,"&lt;=2019/8/31")</f>
        <v>16</v>
      </c>
      <c r="C12" s="256">
        <f>SUMIFS(总表!L:L,总表!D:D,A12,总表!E:E,"&gt;=2019/8/1",总表!E:E,"&lt;=2019/8/31")</f>
        <v>513125</v>
      </c>
      <c r="D12" s="256">
        <f>SUMIFS(总表!M:M,总表!D:D,A12,总表!E:E,"&gt;=2019/8/1",总表!E:E,"&lt;=2019/8/31")</f>
        <v>29725</v>
      </c>
      <c r="E12" s="256">
        <f t="shared" si="2"/>
        <v>542850</v>
      </c>
      <c r="F12" s="257">
        <f t="shared" si="3"/>
        <v>33928.125</v>
      </c>
      <c r="G12" s="258">
        <f>VLOOKUP(A12,设计师对应店铺!A:B,COLUMN(设计师对应店铺!B:B)-COLUMN(设计师对应店铺!A:B)+1,0)</f>
        <v>0</v>
      </c>
      <c r="I12" s="39" t="s">
        <v>139</v>
      </c>
      <c r="J12" s="256">
        <f>COUNTIFS(总表!D:D,I12,总表!L:L,"&lt;&gt;",总表!U:U,"",总表!E:E,"&gt;=2019/8/1",总表!E:E,"&lt;=2019/8/31")</f>
        <v>45</v>
      </c>
      <c r="K12" s="256">
        <f>SUMIFS(总表!L:L,总表!D:D,I12,总表!E:E,"&gt;=2019/8/1",总表!E:E,"&lt;=2019/8/31")</f>
        <v>461109.28</v>
      </c>
      <c r="L12" s="256">
        <f>SUMIFS(总表!M:M,总表!D:D,I12,总表!E:E,"&gt;=2019/8/1",总表!E:E,"&lt;=2019/8/31")</f>
        <v>60741.72</v>
      </c>
      <c r="M12" s="256">
        <f t="shared" si="0"/>
        <v>521851</v>
      </c>
      <c r="N12" s="257">
        <f t="shared" si="1"/>
        <v>11596.6888888889</v>
      </c>
      <c r="O12" s="258" t="str">
        <f>VLOOKUP(I12,设计师对应店铺!A:B,COLUMN(设计师对应店铺!B:B)-COLUMN(设计师对应店铺!A:B)+1,0)</f>
        <v>家饰佳</v>
      </c>
    </row>
    <row r="13" spans="1:15">
      <c r="A13" s="38" t="s">
        <v>75</v>
      </c>
      <c r="B13" s="253">
        <f>COUNTIFS(总表!D:D,A13,总表!L:L,"&lt;&gt;",总表!E:E,"&gt;=2019/8/1",总表!E:E,"&lt;=2019/8/31")</f>
        <v>18</v>
      </c>
      <c r="C13" s="253">
        <f>SUMIFS(总表!L:L,总表!D:D,A13,总表!E:E,"&gt;=2019/8/1",总表!E:E,"&lt;=2019/8/31")</f>
        <v>414592.05</v>
      </c>
      <c r="D13" s="253">
        <f>SUMIFS(总表!M:M,总表!D:D,A13,总表!E:E,"&gt;=2019/8/1",总表!E:E,"&lt;=2019/8/31")</f>
        <v>110901</v>
      </c>
      <c r="E13" s="253">
        <f t="shared" si="2"/>
        <v>525493.05</v>
      </c>
      <c r="F13" s="254">
        <f t="shared" si="3"/>
        <v>29194.0583333333</v>
      </c>
      <c r="G13" s="255" t="str">
        <f>VLOOKUP(A13,设计师对应店铺!A:B,COLUMN(设计师对应店铺!B:B)-COLUMN(设计师对应店铺!A:B)+1,0)</f>
        <v>宜山经理</v>
      </c>
      <c r="I13" s="38" t="s">
        <v>33</v>
      </c>
      <c r="J13" s="253">
        <f>COUNTIFS(总表!D:D,I13,总表!L:L,"&lt;&gt;",总表!U:U,"",总表!E:E,"&gt;=2019/8/1",总表!E:E,"&lt;=2019/8/31")</f>
        <v>44</v>
      </c>
      <c r="K13" s="253">
        <f>SUMIFS(总表!L:L,总表!D:D,I13,总表!E:E,"&gt;=2019/8/1",总表!E:E,"&lt;=2019/8/31")</f>
        <v>432408</v>
      </c>
      <c r="L13" s="253">
        <f>SUMIFS(总表!M:M,总表!D:D,I13,总表!E:E,"&gt;=2019/8/1",总表!E:E,"&lt;=2019/8/31")</f>
        <v>61657</v>
      </c>
      <c r="M13" s="253">
        <f t="shared" si="0"/>
        <v>494065</v>
      </c>
      <c r="N13" s="254">
        <f t="shared" si="1"/>
        <v>11228.75</v>
      </c>
      <c r="O13" s="255" t="str">
        <f>VLOOKUP(I13,设计师对应店铺!A:B,COLUMN(设计师对应店铺!B:B)-COLUMN(设计师对应店铺!A:B)+1,0)</f>
        <v>汶水店</v>
      </c>
    </row>
    <row r="14" spans="1:15">
      <c r="A14" s="39" t="s">
        <v>139</v>
      </c>
      <c r="B14" s="253">
        <f>COUNTIFS(总表!D:D,A14,总表!L:L,"&lt;&gt;",总表!E:E,"&gt;=2019/8/1",总表!E:E,"&lt;=2019/8/31")</f>
        <v>45</v>
      </c>
      <c r="C14" s="256">
        <f>SUMIFS(总表!L:L,总表!D:D,A14,总表!E:E,"&gt;=2019/8/1",总表!E:E,"&lt;=2019/8/31")</f>
        <v>461109.28</v>
      </c>
      <c r="D14" s="256">
        <f>SUMIFS(总表!M:M,总表!D:D,A14,总表!E:E,"&gt;=2019/8/1",总表!E:E,"&lt;=2019/8/31")</f>
        <v>60741.72</v>
      </c>
      <c r="E14" s="256">
        <f t="shared" si="2"/>
        <v>521851</v>
      </c>
      <c r="F14" s="257">
        <f t="shared" si="3"/>
        <v>11596.6888888889</v>
      </c>
      <c r="G14" s="258" t="str">
        <f>VLOOKUP(A14,设计师对应店铺!A:B,COLUMN(设计师对应店铺!B:B)-COLUMN(设计师对应店铺!A:B)+1,0)</f>
        <v>家饰佳</v>
      </c>
      <c r="I14" s="39" t="s">
        <v>37</v>
      </c>
      <c r="J14" s="256">
        <f>COUNTIFS(总表!D:D,I14,总表!L:L,"&lt;&gt;",总表!U:U,"",总表!E:E,"&gt;=2019/8/1",总表!E:E,"&lt;=2019/8/31")</f>
        <v>33</v>
      </c>
      <c r="K14" s="256">
        <f>SUMIFS(总表!L:L,总表!D:D,I14,总表!E:E,"&gt;=2019/8/1",总表!E:E,"&lt;=2019/8/31")</f>
        <v>388952</v>
      </c>
      <c r="L14" s="256">
        <f>SUMIFS(总表!M:M,总表!D:D,I14,总表!E:E,"&gt;=2019/8/1",总表!E:E,"&lt;=2019/8/31")</f>
        <v>75078</v>
      </c>
      <c r="M14" s="256">
        <f t="shared" si="0"/>
        <v>464030</v>
      </c>
      <c r="N14" s="257">
        <f t="shared" si="1"/>
        <v>14061.5151515152</v>
      </c>
      <c r="O14" s="258" t="str">
        <f>VLOOKUP(I14,设计师对应店铺!A:B,COLUMN(设计师对应店铺!B:B)-COLUMN(设计师对应店铺!A:B)+1,0)</f>
        <v>浦江店</v>
      </c>
    </row>
    <row r="15" spans="1:15">
      <c r="A15" s="38" t="s">
        <v>33</v>
      </c>
      <c r="B15" s="253">
        <f>COUNTIFS(总表!D:D,A15,总表!L:L,"&lt;&gt;",总表!E:E,"&gt;=2019/8/1",总表!E:E,"&lt;=2019/8/31")</f>
        <v>45</v>
      </c>
      <c r="C15" s="253">
        <f>SUMIFS(总表!L:L,总表!D:D,A15,总表!E:E,"&gt;=2019/8/1",总表!E:E,"&lt;=2019/8/31")</f>
        <v>432408</v>
      </c>
      <c r="D15" s="253">
        <f>SUMIFS(总表!M:M,总表!D:D,A15,总表!E:E,"&gt;=2019/8/1",总表!E:E,"&lt;=2019/8/31")</f>
        <v>61657</v>
      </c>
      <c r="E15" s="253">
        <f t="shared" si="2"/>
        <v>494065</v>
      </c>
      <c r="F15" s="254">
        <f t="shared" si="3"/>
        <v>10979.2222222222</v>
      </c>
      <c r="G15" s="255" t="str">
        <f>VLOOKUP(A15,设计师对应店铺!A:B,COLUMN(设计师对应店铺!B:B)-COLUMN(设计师对应店铺!A:B)+1,0)</f>
        <v>汶水店</v>
      </c>
      <c r="I15" s="38" t="s">
        <v>635</v>
      </c>
      <c r="J15" s="253">
        <f>COUNTIFS(总表!D:D,I15,总表!L:L,"&lt;&gt;",总表!U:U,"",总表!E:E,"&gt;=2019/8/1",总表!E:E,"&lt;=2019/8/31")</f>
        <v>35</v>
      </c>
      <c r="K15" s="253">
        <f>SUMIFS(总表!L:L,总表!D:D,I15,总表!E:E,"&gt;=2019/8/1",总表!E:E,"&lt;=2019/8/31")</f>
        <v>391517</v>
      </c>
      <c r="L15" s="253">
        <f>SUMIFS(总表!M:M,总表!D:D,I15,总表!E:E,"&gt;=2019/8/1",总表!E:E,"&lt;=2019/8/31")</f>
        <v>56601</v>
      </c>
      <c r="M15" s="253">
        <f t="shared" si="0"/>
        <v>448118</v>
      </c>
      <c r="N15" s="254">
        <f t="shared" si="1"/>
        <v>12803.3714285714</v>
      </c>
      <c r="O15" s="255" t="str">
        <f>VLOOKUP(I15,设计师对应店铺!A:B,COLUMN(设计师对应店铺!B:B)-COLUMN(设计师对应店铺!A:B)+1,0)</f>
        <v>家饰佳、兴力达</v>
      </c>
    </row>
    <row r="16" spans="1:15">
      <c r="A16" s="39" t="s">
        <v>37</v>
      </c>
      <c r="B16" s="253">
        <f>COUNTIFS(总表!D:D,A16,总表!L:L,"&lt;&gt;",总表!E:E,"&gt;=2019/8/1",总表!E:E,"&lt;=2019/8/31")</f>
        <v>33</v>
      </c>
      <c r="C16" s="256">
        <f>SUMIFS(总表!L:L,总表!D:D,A16,总表!E:E,"&gt;=2019/8/1",总表!E:E,"&lt;=2019/8/31")</f>
        <v>388952</v>
      </c>
      <c r="D16" s="256">
        <f>SUMIFS(总表!M:M,总表!D:D,A16,总表!E:E,"&gt;=2019/8/1",总表!E:E,"&lt;=2019/8/31")</f>
        <v>75078</v>
      </c>
      <c r="E16" s="256">
        <f t="shared" si="2"/>
        <v>464030</v>
      </c>
      <c r="F16" s="257">
        <f t="shared" si="3"/>
        <v>14061.5151515152</v>
      </c>
      <c r="G16" s="258" t="str">
        <f>VLOOKUP(A16,设计师对应店铺!A:B,COLUMN(设计师对应店铺!B:B)-COLUMN(设计师对应店铺!A:B)+1,0)</f>
        <v>浦江店</v>
      </c>
      <c r="I16" s="39" t="s">
        <v>343</v>
      </c>
      <c r="J16" s="256">
        <f>COUNTIFS(总表!D:D,I16,总表!L:L,"&lt;&gt;",总表!U:U,"",总表!E:E,"&gt;=2019/8/1",总表!E:E,"&lt;=2019/8/31")</f>
        <v>23</v>
      </c>
      <c r="K16" s="256">
        <f>SUMIFS(总表!L:L,总表!D:D,I16,总表!E:E,"&gt;=2019/8/1",总表!E:E,"&lt;=2019/8/31")</f>
        <v>338520</v>
      </c>
      <c r="L16" s="256">
        <f>SUMIFS(总表!M:M,总表!D:D,I16,总表!E:E,"&gt;=2019/8/1",总表!E:E,"&lt;=2019/8/31")</f>
        <v>106925</v>
      </c>
      <c r="M16" s="256">
        <f t="shared" si="0"/>
        <v>445445</v>
      </c>
      <c r="N16" s="257">
        <f t="shared" si="1"/>
        <v>19367.1739130435</v>
      </c>
      <c r="O16" s="258" t="str">
        <f>VLOOKUP(I16,设计师对应店铺!A:B,COLUMN(设计师对应店铺!B:B)-COLUMN(设计师对应店铺!A:B)+1,0)</f>
        <v>喜盈门</v>
      </c>
    </row>
    <row r="17" spans="1:15">
      <c r="A17" s="38" t="s">
        <v>635</v>
      </c>
      <c r="B17" s="253">
        <f>COUNTIFS(总表!D:D,A17,总表!L:L,"&lt;&gt;",总表!E:E,"&gt;=2019/8/1",总表!E:E,"&lt;=2019/8/31")</f>
        <v>35</v>
      </c>
      <c r="C17" s="253">
        <f>SUMIFS(总表!L:L,总表!D:D,A17,总表!E:E,"&gt;=2019/8/1",总表!E:E,"&lt;=2019/8/31")</f>
        <v>391517</v>
      </c>
      <c r="D17" s="253">
        <f>SUMIFS(总表!M:M,总表!D:D,A17,总表!E:E,"&gt;=2019/8/1",总表!E:E,"&lt;=2019/8/31")</f>
        <v>56601</v>
      </c>
      <c r="E17" s="253">
        <f t="shared" si="2"/>
        <v>448118</v>
      </c>
      <c r="F17" s="254">
        <f t="shared" si="3"/>
        <v>12803.3714285714</v>
      </c>
      <c r="G17" s="255" t="str">
        <f>VLOOKUP(A17,设计师对应店铺!A:B,COLUMN(设计师对应店铺!B:B)-COLUMN(设计师对应店铺!A:B)+1,0)</f>
        <v>家饰佳、兴力达</v>
      </c>
      <c r="I17" s="38" t="s">
        <v>125</v>
      </c>
      <c r="J17" s="253">
        <f>COUNTIFS(总表!D:D,I17,总表!L:L,"&lt;&gt;",总表!U:U,"",总表!E:E,"&gt;=2019/8/1",总表!E:E,"&lt;=2019/8/31")</f>
        <v>40</v>
      </c>
      <c r="K17" s="253">
        <f>SUMIFS(总表!L:L,总表!D:D,I17,总表!E:E,"&gt;=2019/8/1",总表!E:E,"&lt;=2019/8/31")</f>
        <v>380277</v>
      </c>
      <c r="L17" s="253">
        <f>SUMIFS(总表!M:M,总表!D:D,I17,总表!E:E,"&gt;=2019/8/1",总表!E:E,"&lt;=2019/8/31")</f>
        <v>46332</v>
      </c>
      <c r="M17" s="253">
        <f t="shared" si="0"/>
        <v>426609</v>
      </c>
      <c r="N17" s="254">
        <f t="shared" si="1"/>
        <v>10665.225</v>
      </c>
      <c r="O17" s="255" t="str">
        <f>VLOOKUP(I17,设计师对应店铺!A:B,COLUMN(设计师对应店铺!B:B)-COLUMN(设计师对应店铺!A:B)+1,0)</f>
        <v>同福店店长</v>
      </c>
    </row>
    <row r="18" spans="1:15">
      <c r="A18" s="39" t="s">
        <v>343</v>
      </c>
      <c r="B18" s="253">
        <f>COUNTIFS(总表!D:D,A18,总表!L:L,"&lt;&gt;",总表!E:E,"&gt;=2019/8/1",总表!E:E,"&lt;=2019/8/31")</f>
        <v>23</v>
      </c>
      <c r="C18" s="256">
        <f>SUMIFS(总表!L:L,总表!D:D,A18,总表!E:E,"&gt;=2019/8/1",总表!E:E,"&lt;=2019/8/31")</f>
        <v>338520</v>
      </c>
      <c r="D18" s="256">
        <f>SUMIFS(总表!M:M,总表!D:D,A18,总表!E:E,"&gt;=2019/8/1",总表!E:E,"&lt;=2019/8/31")</f>
        <v>106925</v>
      </c>
      <c r="E18" s="256">
        <f t="shared" si="2"/>
        <v>445445</v>
      </c>
      <c r="F18" s="257">
        <f t="shared" si="3"/>
        <v>19367.1739130435</v>
      </c>
      <c r="G18" s="258" t="str">
        <f>VLOOKUP(A18,设计师对应店铺!A:B,COLUMN(设计师对应店铺!B:B)-COLUMN(设计师对应店铺!A:B)+1,0)</f>
        <v>喜盈门</v>
      </c>
      <c r="I18" s="39" t="s">
        <v>271</v>
      </c>
      <c r="J18" s="256">
        <f>COUNTIFS(总表!D:D,I18,总表!L:L,"&lt;&gt;",总表!U:U,"",总表!E:E,"&gt;=2019/8/1",总表!E:E,"&lt;=2019/8/31")</f>
        <v>27</v>
      </c>
      <c r="K18" s="256">
        <f>SUMIFS(总表!L:L,总表!D:D,I18,总表!E:E,"&gt;=2019/8/1",总表!E:E,"&lt;=2019/8/31")</f>
        <v>386615</v>
      </c>
      <c r="L18" s="256">
        <f>SUMIFS(总表!M:M,总表!D:D,I18,总表!E:E,"&gt;=2019/8/1",总表!E:E,"&lt;=2019/8/31")</f>
        <v>23556</v>
      </c>
      <c r="M18" s="256">
        <f t="shared" si="0"/>
        <v>410171</v>
      </c>
      <c r="N18" s="257">
        <f t="shared" si="1"/>
        <v>15191.5185185185</v>
      </c>
      <c r="O18" s="258" t="str">
        <f>VLOOKUP(I18,设计师对应店铺!A:B,COLUMN(设计师对应店铺!B:B)-COLUMN(设计师对应店铺!A:B)+1,0)</f>
        <v>喜盈门</v>
      </c>
    </row>
    <row r="19" spans="1:15">
      <c r="A19" s="38" t="s">
        <v>125</v>
      </c>
      <c r="B19" s="253">
        <f>COUNTIFS(总表!D:D,A19,总表!L:L,"&lt;&gt;",总表!E:E,"&gt;=2019/8/1",总表!E:E,"&lt;=2019/8/31")</f>
        <v>40</v>
      </c>
      <c r="C19" s="253">
        <f>SUMIFS(总表!L:L,总表!D:D,A19,总表!E:E,"&gt;=2019/8/1",总表!E:E,"&lt;=2019/8/31")</f>
        <v>380277</v>
      </c>
      <c r="D19" s="253">
        <f>SUMIFS(总表!M:M,总表!D:D,A19,总表!E:E,"&gt;=2019/8/1",总表!E:E,"&lt;=2019/8/31")</f>
        <v>46332</v>
      </c>
      <c r="E19" s="253">
        <f t="shared" si="2"/>
        <v>426609</v>
      </c>
      <c r="F19" s="254">
        <f t="shared" si="3"/>
        <v>10665.225</v>
      </c>
      <c r="G19" s="255" t="str">
        <f>VLOOKUP(A19,设计师对应店铺!A:B,COLUMN(设计师对应店铺!B:B)-COLUMN(设计师对应店铺!A:B)+1,0)</f>
        <v>同福店店长</v>
      </c>
      <c r="I19" s="38" t="s">
        <v>337</v>
      </c>
      <c r="J19" s="253">
        <f>COUNTIFS(总表!D:D,I19,总表!L:L,"&lt;&gt;",总表!U:U,"",总表!E:E,"&gt;=2019/8/1",总表!E:E,"&lt;=2019/8/31")</f>
        <v>30</v>
      </c>
      <c r="K19" s="253">
        <f>SUMIFS(总表!L:L,总表!D:D,I19,总表!E:E,"&gt;=2019/8/1",总表!E:E,"&lt;=2019/8/31")</f>
        <v>312566</v>
      </c>
      <c r="L19" s="253">
        <f>SUMIFS(总表!M:M,总表!D:D,I19,总表!E:E,"&gt;=2019/8/1",总表!E:E,"&lt;=2019/8/31")</f>
        <v>71638</v>
      </c>
      <c r="M19" s="253">
        <f t="shared" si="0"/>
        <v>384204</v>
      </c>
      <c r="N19" s="254">
        <f t="shared" si="1"/>
        <v>12806.8</v>
      </c>
      <c r="O19" s="255" t="str">
        <f>VLOOKUP(I19,设计师对应店铺!A:B,COLUMN(设计师对应店铺!B:B)-COLUMN(设计师对应店铺!A:B)+1,0)</f>
        <v>建配龙</v>
      </c>
    </row>
    <row r="20" spans="1:15">
      <c r="A20" s="39" t="s">
        <v>271</v>
      </c>
      <c r="B20" s="253">
        <f>COUNTIFS(总表!D:D,A20,总表!L:L,"&lt;&gt;",总表!E:E,"&gt;=2019/8/1",总表!E:E,"&lt;=2019/8/31")</f>
        <v>28</v>
      </c>
      <c r="C20" s="256">
        <f>SUMIFS(总表!L:L,总表!D:D,A20,总表!E:E,"&gt;=2019/8/1",总表!E:E,"&lt;=2019/8/31")</f>
        <v>386615</v>
      </c>
      <c r="D20" s="256">
        <f>SUMIFS(总表!M:M,总表!D:D,A20,总表!E:E,"&gt;=2019/8/1",总表!E:E,"&lt;=2019/8/31")</f>
        <v>23556</v>
      </c>
      <c r="E20" s="256">
        <f t="shared" si="2"/>
        <v>410171</v>
      </c>
      <c r="F20" s="257">
        <f t="shared" si="3"/>
        <v>14648.9642857143</v>
      </c>
      <c r="G20" s="258" t="str">
        <f>VLOOKUP(A20,设计师对应店铺!A:B,COLUMN(设计师对应店铺!B:B)-COLUMN(设计师对应店铺!A:B)+1,0)</f>
        <v>喜盈门</v>
      </c>
      <c r="I20" s="39" t="s">
        <v>68</v>
      </c>
      <c r="J20" s="256">
        <f>COUNTIFS(总表!D:D,I20,总表!L:L,"&lt;&gt;",总表!U:U,"",总表!E:E,"&gt;=2019/8/1",总表!E:E,"&lt;=2019/8/31")</f>
        <v>36</v>
      </c>
      <c r="K20" s="256">
        <f>SUMIFS(总表!L:L,总表!D:D,I20,总表!E:E,"&gt;=2019/8/1",总表!E:E,"&lt;=2019/8/31")</f>
        <v>324617</v>
      </c>
      <c r="L20" s="256">
        <f>SUMIFS(总表!M:M,总表!D:D,I20,总表!E:E,"&gt;=2019/8/1",总表!E:E,"&lt;=2019/8/31")</f>
        <v>58879</v>
      </c>
      <c r="M20" s="256">
        <f t="shared" si="0"/>
        <v>383496</v>
      </c>
      <c r="N20" s="257">
        <f t="shared" si="1"/>
        <v>10652.6666666667</v>
      </c>
      <c r="O20" s="258" t="str">
        <f>VLOOKUP(I20,设计师对应店铺!A:B,COLUMN(设计师对应店铺!B:B)-COLUMN(设计师对应店铺!A:B)+1,0)</f>
        <v>沪南店</v>
      </c>
    </row>
    <row r="21" spans="1:15">
      <c r="A21" s="38" t="s">
        <v>337</v>
      </c>
      <c r="B21" s="253">
        <f>COUNTIFS(总表!D:D,A21,总表!L:L,"&lt;&gt;",总表!E:E,"&gt;=2019/8/1",总表!E:E,"&lt;=2019/8/31")</f>
        <v>30</v>
      </c>
      <c r="C21" s="253">
        <f>SUMIFS(总表!L:L,总表!D:D,A21,总表!E:E,"&gt;=2019/8/1",总表!E:E,"&lt;=2019/8/31")</f>
        <v>312566</v>
      </c>
      <c r="D21" s="253">
        <f>SUMIFS(总表!M:M,总表!D:D,A21,总表!E:E,"&gt;=2019/8/1",总表!E:E,"&lt;=2019/8/31")</f>
        <v>71638</v>
      </c>
      <c r="E21" s="253">
        <f t="shared" si="2"/>
        <v>384204</v>
      </c>
      <c r="F21" s="254">
        <f t="shared" si="3"/>
        <v>12806.8</v>
      </c>
      <c r="G21" s="255" t="str">
        <f>VLOOKUP(A21,设计师对应店铺!A:B,COLUMN(设计师对应店铺!B:B)-COLUMN(设计师对应店铺!A:B)+1,0)</f>
        <v>建配龙</v>
      </c>
      <c r="I21" s="38" t="s">
        <v>221</v>
      </c>
      <c r="J21" s="253">
        <f>COUNTIFS(总表!D:D,I21,总表!L:L,"&lt;&gt;",总表!U:U,"",总表!E:E,"&gt;=2019/8/1",总表!E:E,"&lt;=2019/8/31")</f>
        <v>35</v>
      </c>
      <c r="K21" s="253">
        <f>SUMIFS(总表!L:L,总表!D:D,I21,总表!E:E,"&gt;=2019/8/1",总表!E:E,"&lt;=2019/8/31")</f>
        <v>383220</v>
      </c>
      <c r="L21" s="253">
        <f>SUMIFS(总表!M:M,总表!D:D,I21,总表!E:E,"&gt;=2019/8/1",总表!E:E,"&lt;=2019/8/31")</f>
        <v>-6489</v>
      </c>
      <c r="M21" s="253">
        <f t="shared" si="0"/>
        <v>376731</v>
      </c>
      <c r="N21" s="254">
        <f t="shared" si="1"/>
        <v>10763.7428571429</v>
      </c>
      <c r="O21" s="255" t="str">
        <f>VLOOKUP(I21,设计师对应店铺!A:B,COLUMN(设计师对应店铺!B:B)-COLUMN(设计师对应店铺!A:B)+1,0)</f>
        <v>汶水店</v>
      </c>
    </row>
    <row r="22" spans="1:15">
      <c r="A22" s="39" t="s">
        <v>68</v>
      </c>
      <c r="B22" s="253">
        <f>COUNTIFS(总表!D:D,A22,总表!L:L,"&lt;&gt;",总表!E:E,"&gt;=2019/8/1",总表!E:E,"&lt;=2019/8/31")</f>
        <v>36</v>
      </c>
      <c r="C22" s="256">
        <f>SUMIFS(总表!L:L,总表!D:D,A22,总表!E:E,"&gt;=2019/8/1",总表!E:E,"&lt;=2019/8/31")</f>
        <v>324617</v>
      </c>
      <c r="D22" s="256">
        <f>SUMIFS(总表!M:M,总表!D:D,A22,总表!E:E,"&gt;=2019/8/1",总表!E:E,"&lt;=2019/8/31")</f>
        <v>58879</v>
      </c>
      <c r="E22" s="256">
        <f t="shared" si="2"/>
        <v>383496</v>
      </c>
      <c r="F22" s="257">
        <f t="shared" si="3"/>
        <v>10652.6666666667</v>
      </c>
      <c r="G22" s="258" t="str">
        <f>VLOOKUP(A22,设计师对应店铺!A:B,COLUMN(设计师对应店铺!B:B)-COLUMN(设计师对应店铺!A:B)+1,0)</f>
        <v>沪南店</v>
      </c>
      <c r="I22" s="39" t="s">
        <v>110</v>
      </c>
      <c r="J22" s="256">
        <f>COUNTIFS(总表!D:D,I22,总表!L:L,"&lt;&gt;",总表!U:U,"",总表!E:E,"&gt;=2019/8/1",总表!E:E,"&lt;=2019/8/31")</f>
        <v>31</v>
      </c>
      <c r="K22" s="256">
        <f>SUMIFS(总表!L:L,总表!D:D,I22,总表!E:E,"&gt;=2019/8/1",总表!E:E,"&lt;=2019/8/31")</f>
        <v>332439</v>
      </c>
      <c r="L22" s="256">
        <f>SUMIFS(总表!M:M,总表!D:D,I22,总表!E:E,"&gt;=2019/8/1",总表!E:E,"&lt;=2019/8/31")</f>
        <v>34417</v>
      </c>
      <c r="M22" s="256">
        <f t="shared" si="0"/>
        <v>366856</v>
      </c>
      <c r="N22" s="257">
        <f t="shared" si="1"/>
        <v>11834.064516129</v>
      </c>
      <c r="O22" s="258" t="str">
        <f>VLOOKUP(I22,设计师对应店铺!A:B,COLUMN(设计师对应店铺!B:B)-COLUMN(设计师对应店铺!A:B)+1,0)</f>
        <v>喜盈门</v>
      </c>
    </row>
    <row r="23" spans="1:15">
      <c r="A23" s="38" t="s">
        <v>221</v>
      </c>
      <c r="B23" s="253">
        <f>COUNTIFS(总表!D:D,A23,总表!L:L,"&lt;&gt;",总表!E:E,"&gt;=2019/8/1",总表!E:E,"&lt;=2019/8/31")</f>
        <v>37</v>
      </c>
      <c r="C23" s="253">
        <f>SUMIFS(总表!L:L,总表!D:D,A23,总表!E:E,"&gt;=2019/8/1",总表!E:E,"&lt;=2019/8/31")</f>
        <v>383220</v>
      </c>
      <c r="D23" s="253">
        <f>SUMIFS(总表!M:M,总表!D:D,A23,总表!E:E,"&gt;=2019/8/1",总表!E:E,"&lt;=2019/8/31")</f>
        <v>-6489</v>
      </c>
      <c r="E23" s="253">
        <f t="shared" si="2"/>
        <v>376731</v>
      </c>
      <c r="F23" s="254">
        <f t="shared" si="3"/>
        <v>10181.9189189189</v>
      </c>
      <c r="G23" s="255" t="str">
        <f>VLOOKUP(A23,设计师对应店铺!A:B,COLUMN(设计师对应店铺!B:B)-COLUMN(设计师对应店铺!A:B)+1,0)</f>
        <v>汶水店</v>
      </c>
      <c r="I23" s="38" t="s">
        <v>155</v>
      </c>
      <c r="J23" s="253">
        <f>COUNTIFS(总表!D:D,I23,总表!L:L,"&lt;&gt;",总表!U:U,"",总表!E:E,"&gt;=2019/8/1",总表!E:E,"&lt;=2019/8/31")</f>
        <v>27</v>
      </c>
      <c r="K23" s="253">
        <f>SUMIFS(总表!L:L,总表!D:D,I23,总表!E:E,"&gt;=2019/8/1",总表!E:E,"&lt;=2019/8/31")</f>
        <v>216876.2</v>
      </c>
      <c r="L23" s="253">
        <f>SUMIFS(总表!M:M,总表!D:D,I23,总表!E:E,"&gt;=2019/8/1",总表!E:E,"&lt;=2019/8/31")</f>
        <v>60846.88</v>
      </c>
      <c r="M23" s="253">
        <f t="shared" si="0"/>
        <v>277723.08</v>
      </c>
      <c r="N23" s="253">
        <f t="shared" si="1"/>
        <v>10286.04</v>
      </c>
      <c r="O23" s="255" t="str">
        <f>VLOOKUP(I23,设计师对应店铺!A:B,COLUMN(设计师对应店铺!B:B)-COLUMN(设计师对应店铺!A:B)+1,0)</f>
        <v>好饰家</v>
      </c>
    </row>
    <row r="24" spans="1:15">
      <c r="A24" s="39" t="s">
        <v>110</v>
      </c>
      <c r="B24" s="253">
        <f>COUNTIFS(总表!D:D,A24,总表!L:L,"&lt;&gt;",总表!E:E,"&gt;=2019/8/1",总表!E:E,"&lt;=2019/8/31")</f>
        <v>31</v>
      </c>
      <c r="C24" s="256">
        <f>SUMIFS(总表!L:L,总表!D:D,A24,总表!E:E,"&gt;=2019/8/1",总表!E:E,"&lt;=2019/8/31")</f>
        <v>332439</v>
      </c>
      <c r="D24" s="256">
        <f>SUMIFS(总表!M:M,总表!D:D,A24,总表!E:E,"&gt;=2019/8/1",总表!E:E,"&lt;=2019/8/31")</f>
        <v>34417</v>
      </c>
      <c r="E24" s="256">
        <f t="shared" si="2"/>
        <v>366856</v>
      </c>
      <c r="F24" s="257">
        <f t="shared" si="3"/>
        <v>11834.064516129</v>
      </c>
      <c r="G24" s="258" t="str">
        <f>VLOOKUP(A24,设计师对应店铺!A:B,COLUMN(设计师对应店铺!B:B)-COLUMN(设计师对应店铺!A:B)+1,0)</f>
        <v>喜盈门</v>
      </c>
      <c r="I24" s="39" t="s">
        <v>407</v>
      </c>
      <c r="J24" s="256">
        <f>COUNTIFS(总表!D:D,I24,总表!L:L,"&lt;&gt;",总表!U:U,"",总表!E:E,"&gt;=2019/8/1",总表!E:E,"&lt;=2019/8/31")</f>
        <v>19</v>
      </c>
      <c r="K24" s="256">
        <f>SUMIFS(总表!L:L,总表!D:D,I24,总表!E:E,"&gt;=2019/8/1",总表!E:E,"&lt;=2019/8/31")</f>
        <v>259919</v>
      </c>
      <c r="L24" s="256">
        <f>SUMIFS(总表!M:M,总表!D:D,I24,总表!E:E,"&gt;=2019/8/1",总表!E:E,"&lt;=2019/8/31")</f>
        <v>12487</v>
      </c>
      <c r="M24" s="256">
        <f t="shared" si="0"/>
        <v>272406</v>
      </c>
      <c r="N24" s="257">
        <f t="shared" si="1"/>
        <v>14337.1578947368</v>
      </c>
      <c r="O24" s="258" t="str">
        <f>VLOOKUP(I24,设计师对应店铺!A:B,COLUMN(设计师对应店铺!B:B)-COLUMN(设计师对应店铺!A:B)+1,0)</f>
        <v>嘉定店</v>
      </c>
    </row>
    <row r="25" spans="1:15">
      <c r="A25" s="38" t="s">
        <v>155</v>
      </c>
      <c r="B25" s="253">
        <f>COUNTIFS(总表!D:D,A25,总表!L:L,"&lt;&gt;",总表!E:E,"&gt;=2019/8/1",总表!E:E,"&lt;=2019/8/31")</f>
        <v>28</v>
      </c>
      <c r="C25" s="253">
        <f>SUMIFS(总表!L:L,总表!D:D,A25,总表!E:E,"&gt;=2019/8/1",总表!E:E,"&lt;=2019/8/31")</f>
        <v>216876.2</v>
      </c>
      <c r="D25" s="253">
        <f>SUMIFS(总表!M:M,总表!D:D,A25,总表!E:E,"&gt;=2019/8/1",总表!E:E,"&lt;=2019/8/31")</f>
        <v>60846.88</v>
      </c>
      <c r="E25" s="253">
        <f t="shared" si="2"/>
        <v>277723.08</v>
      </c>
      <c r="F25" s="254">
        <f t="shared" si="3"/>
        <v>9918.68142857143</v>
      </c>
      <c r="G25" s="255" t="str">
        <f>VLOOKUP(A25,设计师对应店铺!A:B,COLUMN(设计师对应店铺!B:B)-COLUMN(设计师对应店铺!A:B)+1,0)</f>
        <v>好饰家</v>
      </c>
      <c r="I25" s="38" t="s">
        <v>427</v>
      </c>
      <c r="J25" s="253">
        <f>COUNTIFS(总表!D:D,I25,总表!L:L,"&lt;&gt;",总表!U:U,"",总表!E:E,"&gt;=2019/8/1",总表!E:E,"&lt;=2019/8/31")</f>
        <v>14</v>
      </c>
      <c r="K25" s="253">
        <f>SUMIFS(总表!L:L,总表!D:D,I25,总表!E:E,"&gt;=2019/8/1",总表!E:E,"&lt;=2019/8/31")</f>
        <v>152819</v>
      </c>
      <c r="L25" s="253">
        <f>SUMIFS(总表!M:M,总表!D:D,I25,总表!E:E,"&gt;=2019/8/1",总表!E:E,"&lt;=2019/8/31")</f>
        <v>6423</v>
      </c>
      <c r="M25" s="253">
        <f t="shared" si="0"/>
        <v>159242</v>
      </c>
      <c r="N25" s="254">
        <f t="shared" si="1"/>
        <v>11374.4285714286</v>
      </c>
      <c r="O25" s="255" t="str">
        <f>VLOOKUP(I25,设计师对应店铺!A:B,COLUMN(设计师对应店铺!B:B)-COLUMN(设计师对应店铺!A:B)+1,0)</f>
        <v>百家宜</v>
      </c>
    </row>
    <row r="26" spans="1:15">
      <c r="A26" s="39" t="s">
        <v>407</v>
      </c>
      <c r="B26" s="253">
        <f>COUNTIFS(总表!D:D,A26,总表!L:L,"&lt;&gt;",总表!E:E,"&gt;=2019/8/1",总表!E:E,"&lt;=2019/8/31")</f>
        <v>19</v>
      </c>
      <c r="C26" s="256">
        <f>SUMIFS(总表!L:L,总表!D:D,A26,总表!E:E,"&gt;=2019/8/1",总表!E:E,"&lt;=2019/8/31")</f>
        <v>259919</v>
      </c>
      <c r="D26" s="256">
        <f>SUMIFS(总表!M:M,总表!D:D,A26,总表!E:E,"&gt;=2019/8/1",总表!E:E,"&lt;=2019/8/31")</f>
        <v>12487</v>
      </c>
      <c r="E26" s="256">
        <f t="shared" si="2"/>
        <v>272406</v>
      </c>
      <c r="F26" s="257">
        <f t="shared" si="3"/>
        <v>14337.1578947368</v>
      </c>
      <c r="G26" s="258" t="str">
        <f>VLOOKUP(A26,设计师对应店铺!A:B,COLUMN(设计师对应店铺!B:B)-COLUMN(设计师对应店铺!A:B)+1,0)</f>
        <v>嘉定店</v>
      </c>
      <c r="I26" s="39" t="s">
        <v>1170</v>
      </c>
      <c r="J26" s="256">
        <f>COUNTIFS(总表!D:D,I26,总表!L:L,"&lt;&gt;",总表!U:U,"",总表!E:E,"&gt;=2019/8/1",总表!E:E,"&lt;=2019/8/31")</f>
        <v>16</v>
      </c>
      <c r="K26" s="256">
        <f>SUMIFS(总表!L:L,总表!D:D,I26,总表!E:E,"&gt;=2019/8/1",总表!E:E,"&lt;=2019/8/31")</f>
        <v>93093</v>
      </c>
      <c r="L26" s="256">
        <f>SUMIFS(总表!M:M,总表!D:D,I26,总表!E:E,"&gt;=2019/8/1",总表!E:E,"&lt;=2019/8/31")</f>
        <v>46108</v>
      </c>
      <c r="M26" s="256">
        <f t="shared" si="0"/>
        <v>139201</v>
      </c>
      <c r="N26" s="257">
        <f t="shared" si="1"/>
        <v>8700.0625</v>
      </c>
      <c r="O26" s="258" t="str">
        <f>VLOOKUP(I26,设计师对应店铺!A:B,COLUMN(设计师对应店铺!B:B)-COLUMN(设计师对应店铺!A:B)+1,0)</f>
        <v>百安居</v>
      </c>
    </row>
    <row r="27" spans="1:15">
      <c r="A27" s="38" t="s">
        <v>518</v>
      </c>
      <c r="B27" s="253">
        <f>COUNTIFS(总表!D:D,A27,总表!L:L,"&lt;&gt;",总表!E:E,"&gt;=2019/8/1",总表!E:E,"&lt;=2019/8/31")</f>
        <v>10</v>
      </c>
      <c r="C27" s="253">
        <f>SUMIFS(总表!L:L,总表!D:D,A27,总表!E:E,"&gt;=2019/8/1",总表!E:E,"&lt;=2019/8/31")</f>
        <v>197873</v>
      </c>
      <c r="D27" s="253">
        <f>SUMIFS(总表!M:M,总表!D:D,A27,总表!E:E,"&gt;=2019/8/1",总表!E:E,"&lt;=2019/8/31")</f>
        <v>4436</v>
      </c>
      <c r="E27" s="253">
        <f t="shared" si="2"/>
        <v>202309</v>
      </c>
      <c r="F27" s="254">
        <f t="shared" si="3"/>
        <v>20230.9</v>
      </c>
      <c r="G27" s="255" t="str">
        <f>VLOOKUP(A27,设计师对应店铺!A:B,COLUMN(设计师对应店铺!B:B)-COLUMN(设计师对应店铺!A:B)+1,0)</f>
        <v>奉贤店</v>
      </c>
      <c r="I27" s="38" t="s">
        <v>191</v>
      </c>
      <c r="J27" s="253">
        <f>COUNTIFS(总表!D:D,I27,总表!L:L,"&lt;&gt;",总表!U:U,"",总表!E:E,"&gt;=2019/8/1",总表!E:E,"&lt;=2019/8/31")</f>
        <v>10</v>
      </c>
      <c r="K27" s="253">
        <f>SUMIFS(总表!L:L,总表!D:D,I27,总表!E:E,"&gt;=2019/8/1",总表!E:E,"&lt;=2019/8/31")</f>
        <v>94706</v>
      </c>
      <c r="L27" s="253">
        <f>SUMIFS(总表!M:M,总表!D:D,I27,总表!E:E,"&gt;=2019/8/1",总表!E:E,"&lt;=2019/8/31")</f>
        <v>10204</v>
      </c>
      <c r="M27" s="253">
        <f t="shared" si="0"/>
        <v>104910</v>
      </c>
      <c r="N27" s="254">
        <f t="shared" si="1"/>
        <v>10491</v>
      </c>
      <c r="O27" s="255" t="str">
        <f>VLOOKUP(I27,设计师对应店铺!A:B,COLUMN(设计师对应店铺!B:B)-COLUMN(设计师对应店铺!A:B)+1,0)</f>
        <v>家饰佳</v>
      </c>
    </row>
    <row r="28" spans="1:15">
      <c r="A28" s="39" t="s">
        <v>427</v>
      </c>
      <c r="B28" s="253">
        <f>COUNTIFS(总表!D:D,A28,总表!L:L,"&lt;&gt;",总表!E:E,"&gt;=2019/8/1",总表!E:E,"&lt;=2019/8/31")</f>
        <v>14</v>
      </c>
      <c r="C28" s="256">
        <f>SUMIFS(总表!L:L,总表!D:D,A28,总表!E:E,"&gt;=2019/8/1",总表!E:E,"&lt;=2019/8/31")</f>
        <v>152819</v>
      </c>
      <c r="D28" s="256">
        <f>SUMIFS(总表!M:M,总表!D:D,A28,总表!E:E,"&gt;=2019/8/1",总表!E:E,"&lt;=2019/8/31")</f>
        <v>6423</v>
      </c>
      <c r="E28" s="256">
        <f t="shared" si="2"/>
        <v>159242</v>
      </c>
      <c r="F28" s="257">
        <f t="shared" si="3"/>
        <v>11374.4285714286</v>
      </c>
      <c r="G28" s="258" t="str">
        <f>VLOOKUP(A28,设计师对应店铺!A:B,COLUMN(设计师对应店铺!B:B)-COLUMN(设计师对应店铺!A:B)+1,0)</f>
        <v>百家宜</v>
      </c>
      <c r="I28" s="39" t="s">
        <v>182</v>
      </c>
      <c r="J28" s="256">
        <f>COUNTIFS(总表!D:D,I28,总表!L:L,"&lt;&gt;",总表!U:U,"",总表!E:E,"&gt;=2019/8/1",总表!E:E,"&lt;=2019/8/31")</f>
        <v>11</v>
      </c>
      <c r="K28" s="256">
        <f>SUMIFS(总表!L:L,总表!D:D,I28,总表!E:E,"&gt;=2019/8/1",总表!E:E,"&lt;=2019/8/31")</f>
        <v>110297</v>
      </c>
      <c r="L28" s="256">
        <f>SUMIFS(总表!M:M,总表!D:D,I28,总表!E:E,"&gt;=2019/8/1",总表!E:E,"&lt;=2019/8/31")</f>
        <v>-22685</v>
      </c>
      <c r="M28" s="256">
        <f t="shared" si="0"/>
        <v>87612</v>
      </c>
      <c r="N28" s="257">
        <f t="shared" si="1"/>
        <v>7964.72727272727</v>
      </c>
      <c r="O28" s="258" t="str">
        <f>VLOOKUP(I28,设计师对应店铺!A:B,COLUMN(设计师对应店铺!B:B)-COLUMN(设计师对应店铺!A:B)+1,0)</f>
        <v>真北店</v>
      </c>
    </row>
    <row r="29" spans="1:15">
      <c r="A29" s="38" t="s">
        <v>1170</v>
      </c>
      <c r="B29" s="253">
        <f>COUNTIFS(总表!D:D,A29,总表!L:L,"&lt;&gt;",总表!E:E,"&gt;=2019/8/1",总表!E:E,"&lt;=2019/8/31")</f>
        <v>16</v>
      </c>
      <c r="C29" s="253">
        <f>SUMIFS(总表!L:L,总表!D:D,A29,总表!E:E,"&gt;=2019/8/1",总表!E:E,"&lt;=2019/8/31")</f>
        <v>93093</v>
      </c>
      <c r="D29" s="253">
        <f>SUMIFS(总表!M:M,总表!D:D,A29,总表!E:E,"&gt;=2019/8/1",总表!E:E,"&lt;=2019/8/31")</f>
        <v>46108</v>
      </c>
      <c r="E29" s="253">
        <f t="shared" si="2"/>
        <v>139201</v>
      </c>
      <c r="F29" s="254">
        <f t="shared" si="3"/>
        <v>8700.0625</v>
      </c>
      <c r="G29" s="255" t="str">
        <f>VLOOKUP(A29,设计师对应店铺!A:B,COLUMN(设计师对应店铺!B:B)-COLUMN(设计师对应店铺!A:B)+1,0)</f>
        <v>百安居</v>
      </c>
      <c r="I29" s="38" t="s">
        <v>149</v>
      </c>
      <c r="J29" s="253">
        <f>COUNTIFS(总表!D:D,I29,总表!L:L,"&lt;&gt;",总表!U:U,"",总表!E:E,"&gt;=2019/8/1",总表!E:E,"&lt;=2019/8/31")</f>
        <v>15</v>
      </c>
      <c r="K29" s="253">
        <f>SUMIFS(总表!L:L,总表!D:D,I29,总表!E:E,"&gt;=2019/8/1",总表!E:E,"&lt;=2019/8/31")</f>
        <v>70405</v>
      </c>
      <c r="L29" s="253">
        <f>SUMIFS(总表!M:M,总表!D:D,I29,总表!E:E,"&gt;=2019/8/1",总表!E:E,"&lt;=2019/8/31")</f>
        <v>6621</v>
      </c>
      <c r="M29" s="253">
        <f t="shared" si="0"/>
        <v>77026</v>
      </c>
      <c r="N29" s="254">
        <f t="shared" si="1"/>
        <v>5135.06666666667</v>
      </c>
      <c r="O29" s="255" t="str">
        <f>VLOOKUP(I29,设计师对应店铺!A:B,COLUMN(设计师对应店铺!B:B)-COLUMN(设计师对应店铺!A:B)+1,0)</f>
        <v>百安居</v>
      </c>
    </row>
    <row r="30" spans="1:15">
      <c r="A30" s="39" t="s">
        <v>191</v>
      </c>
      <c r="B30" s="253">
        <f>COUNTIFS(总表!D:D,A30,总表!L:L,"&lt;&gt;",总表!E:E,"&gt;=2019/8/1",总表!E:E,"&lt;=2019/8/31")</f>
        <v>10</v>
      </c>
      <c r="C30" s="256">
        <f>SUMIFS(总表!L:L,总表!D:D,A30,总表!E:E,"&gt;=2019/8/1",总表!E:E,"&lt;=2019/8/31")</f>
        <v>94706</v>
      </c>
      <c r="D30" s="256">
        <f>SUMIFS(总表!M:M,总表!D:D,A30,总表!E:E,"&gt;=2019/8/1",总表!E:E,"&lt;=2019/8/31")</f>
        <v>10204</v>
      </c>
      <c r="E30" s="256">
        <f t="shared" si="2"/>
        <v>104910</v>
      </c>
      <c r="F30" s="257">
        <f t="shared" si="3"/>
        <v>10491</v>
      </c>
      <c r="G30" s="258" t="str">
        <f>VLOOKUP(A30,设计师对应店铺!A:B,COLUMN(设计师对应店铺!B:B)-COLUMN(设计师对应店铺!A:B)+1,0)</f>
        <v>家饰佳</v>
      </c>
      <c r="I30" s="39" t="s">
        <v>1436</v>
      </c>
      <c r="J30" s="256">
        <f>COUNTIFS(总表!D:D,I30,总表!L:L,"&lt;&gt;",总表!U:U,"",总表!E:E,"&gt;=2019/8/1",总表!E:E,"&lt;=2019/8/31")</f>
        <v>10</v>
      </c>
      <c r="K30" s="256">
        <f>SUMIFS(总表!L:L,总表!D:D,I30,总表!E:E,"&gt;=2019/8/1",总表!E:E,"&lt;=2019/8/31")</f>
        <v>73274.5</v>
      </c>
      <c r="L30" s="256">
        <f>SUMIFS(总表!M:M,总表!D:D,I30,总表!E:E,"&gt;=2019/8/1",总表!E:E,"&lt;=2019/8/31")</f>
        <v>2964</v>
      </c>
      <c r="M30" s="256">
        <f t="shared" si="0"/>
        <v>76238.5</v>
      </c>
      <c r="N30" s="257">
        <f t="shared" si="1"/>
        <v>7623.85</v>
      </c>
      <c r="O30" s="258" t="str">
        <f>VLOOKUP(I30,设计师对应店铺!A:B,COLUMN(设计师对应店铺!B:B)-COLUMN(设计师对应店铺!A:B)+1,0)</f>
        <v>沪南店</v>
      </c>
    </row>
    <row r="31" spans="1:15">
      <c r="A31" s="38" t="s">
        <v>182</v>
      </c>
      <c r="B31" s="253">
        <f>COUNTIFS(总表!D:D,A31,总表!L:L,"&lt;&gt;",总表!E:E,"&gt;=2019/8/1",总表!E:E,"&lt;=2019/8/31")</f>
        <v>11</v>
      </c>
      <c r="C31" s="253">
        <f>SUMIFS(总表!L:L,总表!D:D,A31,总表!E:E,"&gt;=2019/8/1",总表!E:E,"&lt;=2019/8/31")</f>
        <v>110297</v>
      </c>
      <c r="D31" s="253">
        <f>SUMIFS(总表!M:M,总表!D:D,A31,总表!E:E,"&gt;=2019/8/1",总表!E:E,"&lt;=2019/8/31")</f>
        <v>-22685</v>
      </c>
      <c r="E31" s="253">
        <f t="shared" si="2"/>
        <v>87612</v>
      </c>
      <c r="F31" s="254">
        <f t="shared" si="3"/>
        <v>7964.72727272727</v>
      </c>
      <c r="G31" s="255" t="str">
        <f>VLOOKUP(A31,设计师对应店铺!A:B,COLUMN(设计师对应店铺!B:B)-COLUMN(设计师对应店铺!A:B)+1,0)</f>
        <v>真北店</v>
      </c>
      <c r="I31" s="38" t="s">
        <v>443</v>
      </c>
      <c r="J31" s="253">
        <f>COUNTIFS(总表!D:D,I31,总表!L:L,"&lt;&gt;",总表!U:U,"",总表!E:E,"&gt;=2019/8/1",总表!E:E,"&lt;=2019/8/31")</f>
        <v>5</v>
      </c>
      <c r="K31" s="253">
        <f>SUMIFS(总表!L:L,总表!D:D,I31,总表!E:E,"&gt;=2019/8/1",总表!E:E,"&lt;=2019/8/31")</f>
        <v>42805</v>
      </c>
      <c r="L31" s="253">
        <f>SUMIFS(总表!M:M,总表!D:D,I31,总表!E:E,"&gt;=2019/8/1",总表!E:E,"&lt;=2019/8/31")</f>
        <v>18110</v>
      </c>
      <c r="M31" s="253">
        <f t="shared" si="0"/>
        <v>60915</v>
      </c>
      <c r="N31" s="254">
        <f t="shared" si="1"/>
        <v>12183</v>
      </c>
      <c r="O31" s="255" t="str">
        <f>VLOOKUP(I31,设计师对应店铺!A:B,COLUMN(设计师对应店铺!B:B)-COLUMN(设计师对应店铺!A:B)+1,0)</f>
        <v>家饰佳</v>
      </c>
    </row>
    <row r="32" spans="1:15">
      <c r="A32" s="39" t="s">
        <v>149</v>
      </c>
      <c r="B32" s="253">
        <f>COUNTIFS(总表!D:D,A32,总表!L:L,"&lt;&gt;",总表!E:E,"&gt;=2019/8/1",总表!E:E,"&lt;=2019/8/31")</f>
        <v>15</v>
      </c>
      <c r="C32" s="256">
        <f>SUMIFS(总表!L:L,总表!D:D,A32,总表!E:E,"&gt;=2019/8/1",总表!E:E,"&lt;=2019/8/31")</f>
        <v>70405</v>
      </c>
      <c r="D32" s="256">
        <f>SUMIFS(总表!M:M,总表!D:D,A32,总表!E:E,"&gt;=2019/8/1",总表!E:E,"&lt;=2019/8/31")</f>
        <v>6621</v>
      </c>
      <c r="E32" s="256">
        <f t="shared" si="2"/>
        <v>77026</v>
      </c>
      <c r="F32" s="257">
        <f t="shared" si="3"/>
        <v>5135.06666666667</v>
      </c>
      <c r="G32" s="258" t="str">
        <f>VLOOKUP(A32,设计师对应店铺!A:B,COLUMN(设计师对应店铺!B:B)-COLUMN(设计师对应店铺!A:B)+1,0)</f>
        <v>百安居</v>
      </c>
      <c r="I32" s="39" t="s">
        <v>954</v>
      </c>
      <c r="J32" s="256">
        <f>COUNTIFS(总表!D:D,I32,总表!L:L,"&lt;&gt;",总表!U:U,"",总表!E:E,"&gt;=2019/8/1",总表!E:E,"&lt;=2019/8/31")</f>
        <v>5</v>
      </c>
      <c r="K32" s="256">
        <f>SUMIFS(总表!L:L,总表!D:D,I32,总表!E:E,"&gt;=2019/8/1",总表!E:E,"&lt;=2019/8/31")</f>
        <v>34259</v>
      </c>
      <c r="L32" s="256">
        <f>SUMIFS(总表!M:M,总表!D:D,I32,总表!E:E,"&gt;=2019/8/1",总表!E:E,"&lt;=2019/8/31")</f>
        <v>0</v>
      </c>
      <c r="M32" s="256">
        <f t="shared" si="0"/>
        <v>34259</v>
      </c>
      <c r="N32" s="257">
        <f t="shared" si="1"/>
        <v>6851.8</v>
      </c>
      <c r="O32" s="258" t="str">
        <f>VLOOKUP(I32,设计师对应店铺!A:B,COLUMN(设计师对应店铺!B:B)-COLUMN(设计师对应店铺!A:B)+1,0)</f>
        <v>汶水店</v>
      </c>
    </row>
    <row r="33" spans="1:15">
      <c r="A33" s="38" t="s">
        <v>1436</v>
      </c>
      <c r="B33" s="253">
        <f>COUNTIFS(总表!D:D,A33,总表!L:L,"&lt;&gt;",总表!E:E,"&gt;=2019/8/1",总表!E:E,"&lt;=2019/8/31")</f>
        <v>10</v>
      </c>
      <c r="C33" s="253">
        <f>SUMIFS(总表!L:L,总表!D:D,A33,总表!E:E,"&gt;=2019/8/1",总表!E:E,"&lt;=2019/8/31")</f>
        <v>73274.5</v>
      </c>
      <c r="D33" s="253">
        <f>SUMIFS(总表!M:M,总表!D:D,A33,总表!E:E,"&gt;=2019/8/1",总表!E:E,"&lt;=2019/8/31")</f>
        <v>2964</v>
      </c>
      <c r="E33" s="253">
        <f t="shared" si="2"/>
        <v>76238.5</v>
      </c>
      <c r="F33" s="254">
        <f t="shared" si="3"/>
        <v>7623.85</v>
      </c>
      <c r="G33" s="255" t="str">
        <f>VLOOKUP(A33,设计师对应店铺!A:B,COLUMN(设计师对应店铺!B:B)-COLUMN(设计师对应店铺!A:B)+1,0)</f>
        <v>沪南店</v>
      </c>
      <c r="I33" s="38" t="s">
        <v>6313</v>
      </c>
      <c r="J33" s="253">
        <f>COUNTIFS(总表!D:D,I33,总表!L:L,"&lt;&gt;",总表!U:U,"",总表!E:E,"&gt;=2019/8/1",总表!E:E,"&lt;=2019/8/31")</f>
        <v>3</v>
      </c>
      <c r="K33" s="253">
        <f>SUMIFS(总表!L:L,总表!D:D,I33,总表!E:E,"&gt;=2019/8/1",总表!E:E,"&lt;=2019/8/31")</f>
        <v>24493</v>
      </c>
      <c r="L33" s="253">
        <f>SUMIFS(总表!M:M,总表!D:D,I33,总表!E:E,"&gt;=2019/8/1",总表!E:E,"&lt;=2019/8/31")</f>
        <v>5295</v>
      </c>
      <c r="M33" s="253">
        <f t="shared" si="0"/>
        <v>29788</v>
      </c>
      <c r="N33" s="254">
        <f t="shared" si="1"/>
        <v>9929.33333333333</v>
      </c>
      <c r="O33" s="255" t="str">
        <f>VLOOKUP(I33,设计师对应店铺!A:B,COLUMN(设计师对应店铺!B:B)-COLUMN(设计师对应店铺!A:B)+1,0)</f>
        <v>兴明店</v>
      </c>
    </row>
    <row r="34" spans="1:15">
      <c r="A34" s="39" t="s">
        <v>443</v>
      </c>
      <c r="B34" s="253">
        <f>COUNTIFS(总表!D:D,A34,总表!L:L,"&lt;&gt;",总表!E:E,"&gt;=2019/8/1",总表!E:E,"&lt;=2019/8/31")</f>
        <v>5</v>
      </c>
      <c r="C34" s="256">
        <f>SUMIFS(总表!L:L,总表!D:D,A34,总表!E:E,"&gt;=2019/8/1",总表!E:E,"&lt;=2019/8/31")</f>
        <v>42805</v>
      </c>
      <c r="D34" s="256">
        <f>SUMIFS(总表!M:M,总表!D:D,A34,总表!E:E,"&gt;=2019/8/1",总表!E:E,"&lt;=2019/8/31")</f>
        <v>18110</v>
      </c>
      <c r="E34" s="256">
        <f t="shared" si="2"/>
        <v>60915</v>
      </c>
      <c r="F34" s="257">
        <f t="shared" si="3"/>
        <v>12183</v>
      </c>
      <c r="G34" s="258" t="str">
        <f>VLOOKUP(A34,设计师对应店铺!A:B,COLUMN(设计师对应店铺!B:B)-COLUMN(设计师对应店铺!A:B)+1,0)</f>
        <v>家饰佳</v>
      </c>
      <c r="I34" s="39" t="s">
        <v>2302</v>
      </c>
      <c r="J34" s="256">
        <f>COUNTIFS(总表!D:D,I34,总表!L:L,"&lt;&gt;",总表!U:U,"",总表!E:E,"&gt;=2019/8/1",总表!E:E,"&lt;=2019/8/31")</f>
        <v>1</v>
      </c>
      <c r="K34" s="256">
        <f>SUMIFS(总表!L:L,总表!D:D,I34,总表!E:E,"&gt;=2019/8/1",总表!E:E,"&lt;=2019/8/31")</f>
        <v>15600</v>
      </c>
      <c r="L34" s="256">
        <f>SUMIFS(总表!M:M,总表!D:D,I34,总表!E:E,"&gt;=2019/8/1",总表!E:E,"&lt;=2019/8/31")</f>
        <v>0</v>
      </c>
      <c r="M34" s="256">
        <f t="shared" ref="M34:M43" si="4">K34+L34</f>
        <v>15600</v>
      </c>
      <c r="N34" s="257">
        <f t="shared" ref="N34:N43" si="5">M34/J34</f>
        <v>15600</v>
      </c>
      <c r="O34" s="258" t="str">
        <f>VLOOKUP(I34,设计师对应店铺!A:B,COLUMN(设计师对应店铺!B:B)-COLUMN(设计师对应店铺!A:B)+1,0)</f>
        <v>沪南店</v>
      </c>
    </row>
    <row r="35" spans="1:15">
      <c r="A35" s="38" t="s">
        <v>5336</v>
      </c>
      <c r="B35" s="253">
        <f>COUNTIFS(总表!D:D,A35,总表!L:L,"&lt;&gt;",总表!E:E,"&gt;=2019/8/1",总表!E:E,"&lt;=2019/8/31")</f>
        <v>2</v>
      </c>
      <c r="C35" s="253">
        <f>SUMIFS(总表!L:L,总表!D:D,A35,总表!E:E,"&gt;=2019/8/1",总表!E:E,"&lt;=2019/8/31")</f>
        <v>38118</v>
      </c>
      <c r="D35" s="253">
        <f>SUMIFS(总表!M:M,总表!D:D,A35,总表!E:E,"&gt;=2019/8/1",总表!E:E,"&lt;=2019/8/31")</f>
        <v>0</v>
      </c>
      <c r="E35" s="253">
        <f t="shared" si="2"/>
        <v>38118</v>
      </c>
      <c r="F35" s="254">
        <f t="shared" si="3"/>
        <v>19059</v>
      </c>
      <c r="G35" s="255" t="str">
        <f>VLOOKUP(A35,设计师对应店铺!A:B,COLUMN(设计师对应店铺!B:B)-COLUMN(设计师对应店铺!A:B)+1,0)</f>
        <v>尚品宅配</v>
      </c>
      <c r="I35" s="38" t="s">
        <v>9733</v>
      </c>
      <c r="J35" s="253">
        <f>COUNTIFS(总表!D:D,I35,总表!L:L,"&lt;&gt;",总表!U:U,"",总表!E:E,"&gt;=2019/8/1",总表!E:E,"&lt;=2019/8/31")</f>
        <v>1</v>
      </c>
      <c r="K35" s="253">
        <f>SUMIFS(总表!L:L,总表!D:D,I35,总表!E:E,"&gt;=2019/8/1",总表!E:E,"&lt;=2019/8/31")</f>
        <v>12496</v>
      </c>
      <c r="L35" s="253">
        <f>SUMIFS(总表!M:M,总表!D:D,I35,总表!E:E,"&gt;=2019/8/1",总表!E:E,"&lt;=2019/8/31")</f>
        <v>0</v>
      </c>
      <c r="M35" s="253">
        <f t="shared" si="4"/>
        <v>12496</v>
      </c>
      <c r="N35" s="254">
        <f t="shared" si="5"/>
        <v>12496</v>
      </c>
      <c r="O35" s="255" t="e">
        <f>VLOOKUP(I35,设计师对应店铺!A:B,COLUMN(设计师对应店铺!B:B)-COLUMN(设计师对应店铺!A:B)+1,0)</f>
        <v>#N/A</v>
      </c>
    </row>
    <row r="36" spans="1:15">
      <c r="A36" s="39" t="s">
        <v>954</v>
      </c>
      <c r="B36" s="253">
        <f>COUNTIFS(总表!D:D,A36,总表!L:L,"&lt;&gt;",总表!E:E,"&gt;=2019/8/1",总表!E:E,"&lt;=2019/8/31")</f>
        <v>5</v>
      </c>
      <c r="C36" s="256">
        <f>SUMIFS(总表!L:L,总表!D:D,A36,总表!E:E,"&gt;=2019/8/1",总表!E:E,"&lt;=2019/8/31")</f>
        <v>34259</v>
      </c>
      <c r="D36" s="256">
        <f>SUMIFS(总表!M:M,总表!D:D,A36,总表!E:E,"&gt;=2019/8/1",总表!E:E,"&lt;=2019/8/31")</f>
        <v>0</v>
      </c>
      <c r="E36" s="256">
        <f t="shared" si="2"/>
        <v>34259</v>
      </c>
      <c r="F36" s="257">
        <f t="shared" si="3"/>
        <v>6851.8</v>
      </c>
      <c r="G36" s="258" t="str">
        <f>VLOOKUP(A36,设计师对应店铺!A:B,COLUMN(设计师对应店铺!B:B)-COLUMN(设计师对应店铺!A:B)+1,0)</f>
        <v>汶水店</v>
      </c>
      <c r="I36" s="39" t="s">
        <v>237</v>
      </c>
      <c r="J36" s="256">
        <f>COUNTIFS(总表!D:D,I36,总表!L:L,"&lt;&gt;",总表!U:U,"",总表!E:E,"&gt;=2019/8/1",总表!E:E,"&lt;=2019/8/31")</f>
        <v>2</v>
      </c>
      <c r="K36" s="256">
        <f>SUMIFS(总表!L:L,总表!D:D,I36,总表!E:E,"&gt;=2019/8/1",总表!E:E,"&lt;=2019/8/31")</f>
        <v>5032</v>
      </c>
      <c r="L36" s="256">
        <f>SUMIFS(总表!M:M,总表!D:D,I36,总表!E:E,"&gt;=2019/8/1",总表!E:E,"&lt;=2019/8/31")</f>
        <v>0</v>
      </c>
      <c r="M36" s="256">
        <f t="shared" si="4"/>
        <v>5032</v>
      </c>
      <c r="N36" s="257">
        <f t="shared" si="5"/>
        <v>2516</v>
      </c>
      <c r="O36" s="258" t="str">
        <f>VLOOKUP(I36,设计师对应店铺!A:B,COLUMN(设计师对应店铺!B:B)-COLUMN(设计师对应店铺!A:B)+1,0)</f>
        <v>百安居</v>
      </c>
    </row>
    <row r="37" spans="1:15">
      <c r="A37" s="38" t="s">
        <v>361</v>
      </c>
      <c r="B37" s="253">
        <f>COUNTIFS(总表!D:D,A37,总表!L:L,"&lt;&gt;",总表!E:E,"&gt;=2019/8/1",总表!E:E,"&lt;=2019/8/31")</f>
        <v>3</v>
      </c>
      <c r="C37" s="253">
        <f>SUMIFS(总表!L:L,总表!D:D,A37,总表!E:E,"&gt;=2019/8/1",总表!E:E,"&lt;=2019/8/31")</f>
        <v>21761</v>
      </c>
      <c r="D37" s="253">
        <f>SUMIFS(总表!M:M,总表!D:D,A37,总表!E:E,"&gt;=2019/8/1",总表!E:E,"&lt;=2019/8/31")</f>
        <v>11077</v>
      </c>
      <c r="E37" s="253">
        <f t="shared" si="2"/>
        <v>32838</v>
      </c>
      <c r="F37" s="254">
        <f t="shared" si="3"/>
        <v>10946</v>
      </c>
      <c r="G37" s="255" t="str">
        <f>VLOOKUP(A37,设计师对应店铺!A:B,COLUMN(设计师对应店铺!B:B)-COLUMN(设计师对应店铺!A:B)+1,0)</f>
        <v>美美家自配</v>
      </c>
      <c r="I37" s="38" t="s">
        <v>2381</v>
      </c>
      <c r="J37" s="253">
        <f>COUNTIFS(总表!D:D,I37,总表!L:L,"&lt;&gt;",总表!U:U,"",总表!E:E,"&gt;=2019/8/1",总表!E:E,"&lt;=2019/8/31")</f>
        <v>2</v>
      </c>
      <c r="K37" s="253">
        <f>SUMIFS(总表!L:L,总表!D:D,I37,总表!E:E,"&gt;=2019/8/1",总表!E:E,"&lt;=2019/8/31")</f>
        <v>3487</v>
      </c>
      <c r="L37" s="253">
        <f>SUMIFS(总表!M:M,总表!D:D,I37,总表!E:E,"&gt;=2019/8/1",总表!E:E,"&lt;=2019/8/31")</f>
        <v>639</v>
      </c>
      <c r="M37" s="253">
        <f t="shared" si="4"/>
        <v>4126</v>
      </c>
      <c r="N37" s="254">
        <f t="shared" si="5"/>
        <v>2063</v>
      </c>
      <c r="O37" s="255" t="str">
        <f>VLOOKUP(I37,设计师对应店铺!A:B,COLUMN(设计师对应店铺!B:B)-COLUMN(设计师对应店铺!A:B)+1,0)</f>
        <v>家饰佳</v>
      </c>
    </row>
    <row r="38" spans="1:15">
      <c r="A38" s="39" t="s">
        <v>6313</v>
      </c>
      <c r="B38" s="253">
        <f>COUNTIFS(总表!D:D,A38,总表!L:L,"&lt;&gt;",总表!E:E,"&gt;=2019/8/1",总表!E:E,"&lt;=2019/8/31")</f>
        <v>3</v>
      </c>
      <c r="C38" s="256">
        <f>SUMIFS(总表!L:L,总表!D:D,A38,总表!E:E,"&gt;=2019/8/1",总表!E:E,"&lt;=2019/8/31")</f>
        <v>24493</v>
      </c>
      <c r="D38" s="256">
        <f>SUMIFS(总表!M:M,总表!D:D,A38,总表!E:E,"&gt;=2019/8/1",总表!E:E,"&lt;=2019/8/31")</f>
        <v>5295</v>
      </c>
      <c r="E38" s="256">
        <f t="shared" si="2"/>
        <v>29788</v>
      </c>
      <c r="F38" s="257">
        <f t="shared" si="3"/>
        <v>9929.33333333333</v>
      </c>
      <c r="G38" s="258" t="str">
        <f>VLOOKUP(A38,设计师对应店铺!A:B,COLUMN(设计师对应店铺!B:B)-COLUMN(设计师对应店铺!A:B)+1,0)</f>
        <v>兴明店</v>
      </c>
      <c r="I38" s="39" t="s">
        <v>8334</v>
      </c>
      <c r="J38" s="256">
        <f>COUNTIFS(总表!D:D,I38,总表!L:L,"&lt;&gt;",总表!U:U,"",总表!E:E,"&gt;=2019/8/1",总表!E:E,"&lt;=2019/8/31")</f>
        <v>1</v>
      </c>
      <c r="K38" s="256">
        <f>SUMIFS(总表!L:L,总表!D:D,I38,总表!E:E,"&gt;=2019/8/1",总表!E:E,"&lt;=2019/8/31")</f>
        <v>2329</v>
      </c>
      <c r="L38" s="256">
        <f>SUMIFS(总表!M:M,总表!D:D,I38,总表!E:E,"&gt;=2019/8/1",总表!E:E,"&lt;=2019/8/31")</f>
        <v>0</v>
      </c>
      <c r="M38" s="256">
        <f t="shared" si="4"/>
        <v>2329</v>
      </c>
      <c r="N38" s="257">
        <f t="shared" si="5"/>
        <v>2329</v>
      </c>
      <c r="O38" s="258" t="str">
        <f>VLOOKUP(I38,设计师对应店铺!A:B,COLUMN(设计师对应店铺!B:B)-COLUMN(设计师对应店铺!A:B)+1,0)</f>
        <v>尚品宅配</v>
      </c>
    </row>
    <row r="39" spans="1:15">
      <c r="A39" s="38" t="s">
        <v>10001</v>
      </c>
      <c r="B39" s="253">
        <f>COUNTIFS(总表!D:D,A39,总表!L:L,"&lt;&gt;",总表!E:E,"&gt;=2019/8/1",总表!E:E,"&lt;=2019/8/31")</f>
        <v>2</v>
      </c>
      <c r="C39" s="253">
        <f>SUMIFS(总表!L:L,总表!D:D,A39,总表!E:E,"&gt;=2019/8/1",总表!E:E,"&lt;=2019/8/31")</f>
        <v>15627</v>
      </c>
      <c r="D39" s="253">
        <f>SUMIFS(总表!M:M,总表!D:D,A39,总表!E:E,"&gt;=2019/8/1",总表!E:E,"&lt;=2019/8/31")</f>
        <v>0</v>
      </c>
      <c r="E39" s="253">
        <f t="shared" si="2"/>
        <v>15627</v>
      </c>
      <c r="F39" s="254">
        <f t="shared" si="3"/>
        <v>7813.5</v>
      </c>
      <c r="G39" s="255" t="str">
        <f>VLOOKUP(A39,设计师对应店铺!A:B,COLUMN(设计师对应店铺!B:B)-COLUMN(设计师对应店铺!A:B)+1,0)</f>
        <v>尚品宅配</v>
      </c>
      <c r="I39" s="38" t="s">
        <v>60</v>
      </c>
      <c r="J39" s="253">
        <f>COUNTIFS(总表!D:D,I39,总表!L:L,"&lt;&gt;",总表!U:U,"",总表!E:E,"&gt;=2019/8/1",总表!E:E,"&lt;=2019/8/31")</f>
        <v>2</v>
      </c>
      <c r="K39" s="253">
        <f>SUMIFS(总表!L:L,总表!D:D,I39,总表!E:E,"&gt;=2019/8/1",总表!E:E,"&lt;=2019/8/31")</f>
        <v>-297</v>
      </c>
      <c r="L39" s="253">
        <f>SUMIFS(总表!M:M,总表!D:D,I39,总表!E:E,"&gt;=2019/8/1",总表!E:E,"&lt;=2019/8/31")</f>
        <v>1980</v>
      </c>
      <c r="M39" s="253">
        <f t="shared" si="4"/>
        <v>1683</v>
      </c>
      <c r="N39" s="254" t="s">
        <v>498</v>
      </c>
      <c r="O39" s="255" t="str">
        <f>VLOOKUP(I39,设计师对应店铺!A:B,COLUMN(设计师对应店铺!B:B)-COLUMN(设计师对应店铺!A:B)+1,0)</f>
        <v>家饰佳</v>
      </c>
    </row>
    <row r="40" spans="1:15">
      <c r="A40" s="39" t="s">
        <v>2302</v>
      </c>
      <c r="B40" s="253">
        <f>COUNTIFS(总表!D:D,A40,总表!L:L,"&lt;&gt;",总表!E:E,"&gt;=2019/8/1",总表!E:E,"&lt;=2019/8/31")</f>
        <v>1</v>
      </c>
      <c r="C40" s="256">
        <f>SUMIFS(总表!L:L,总表!D:D,A40,总表!E:E,"&gt;=2019/8/1",总表!E:E,"&lt;=2019/8/31")</f>
        <v>15600</v>
      </c>
      <c r="D40" s="256">
        <f>SUMIFS(总表!M:M,总表!D:D,A40,总表!E:E,"&gt;=2019/8/1",总表!E:E,"&lt;=2019/8/31")</f>
        <v>0</v>
      </c>
      <c r="E40" s="256">
        <f t="shared" si="2"/>
        <v>15600</v>
      </c>
      <c r="F40" s="257">
        <f t="shared" si="3"/>
        <v>15600</v>
      </c>
      <c r="G40" s="258" t="str">
        <f>VLOOKUP(A40,设计师对应店铺!A:B,COLUMN(设计师对应店铺!B:B)-COLUMN(设计师对应店铺!A:B)+1,0)</f>
        <v>沪南店</v>
      </c>
      <c r="I40" s="39" t="s">
        <v>356</v>
      </c>
      <c r="J40" s="256">
        <f>COUNTIFS(总表!D:D,I40,总表!L:L,"&lt;&gt;",总表!U:U,"",总表!E:E,"&gt;=2019/8/1",总表!E:E,"&lt;=2019/8/31")</f>
        <v>0</v>
      </c>
      <c r="K40" s="256">
        <f>SUMIFS(总表!L:L,总表!D:D,I40,总表!E:E,"&gt;=2019/8/1",总表!E:E,"&lt;=2019/8/31")</f>
        <v>0</v>
      </c>
      <c r="L40" s="256">
        <f>SUMIFS(总表!M:M,总表!D:D,I40,总表!E:E,"&gt;=2019/8/1",总表!E:E,"&lt;=2019/8/31")</f>
        <v>790</v>
      </c>
      <c r="M40" s="256">
        <f t="shared" si="4"/>
        <v>790</v>
      </c>
      <c r="N40" s="257" t="s">
        <v>498</v>
      </c>
      <c r="O40" s="258" t="str">
        <f>VLOOKUP(I40,设计师对应店铺!A:B,COLUMN(设计师对应店铺!B:B)-COLUMN(设计师对应店铺!A:B)+1,0)</f>
        <v>百安居</v>
      </c>
    </row>
    <row r="41" spans="1:15">
      <c r="A41" s="38" t="s">
        <v>9733</v>
      </c>
      <c r="B41" s="253">
        <f>COUNTIFS(总表!D:D,A41,总表!L:L,"&lt;&gt;",总表!E:E,"&gt;=2019/8/1",总表!E:E,"&lt;=2019/8/31")</f>
        <v>1</v>
      </c>
      <c r="C41" s="253">
        <f>SUMIFS(总表!L:L,总表!D:D,A41,总表!E:E,"&gt;=2019/8/1",总表!E:E,"&lt;=2019/8/31")</f>
        <v>12496</v>
      </c>
      <c r="D41" s="253">
        <f>SUMIFS(总表!M:M,总表!D:D,A41,总表!E:E,"&gt;=2019/8/1",总表!E:E,"&lt;=2019/8/31")</f>
        <v>0</v>
      </c>
      <c r="E41" s="253">
        <f t="shared" si="2"/>
        <v>12496</v>
      </c>
      <c r="F41" s="254">
        <f t="shared" si="3"/>
        <v>12496</v>
      </c>
      <c r="G41" s="255" t="e">
        <f>VLOOKUP(A41,设计师对应店铺!A:B,COLUMN(设计师对应店铺!B:B)-COLUMN(设计师对应店铺!A:B)+1,0)</f>
        <v>#N/A</v>
      </c>
      <c r="I41" s="38" t="s">
        <v>10507</v>
      </c>
      <c r="J41" s="253">
        <f>COUNTIFS(总表!D:D,I41,总表!L:L,"&lt;&gt;",总表!U:U,"",总表!E:E,"&gt;=2019/8/1",总表!E:E,"&lt;=2019/8/31")</f>
        <v>0</v>
      </c>
      <c r="K41" s="253">
        <f>SUMIFS(总表!L:L,总表!D:D,I41,总表!E:E,"&gt;=2019/8/1",总表!E:E,"&lt;=2019/8/31")</f>
        <v>0</v>
      </c>
      <c r="L41" s="253">
        <f>SUMIFS(总表!M:M,总表!D:D,I41,总表!E:E,"&gt;=2019/8/1",总表!E:E,"&lt;=2019/8/31")</f>
        <v>600</v>
      </c>
      <c r="M41" s="253">
        <f t="shared" si="4"/>
        <v>600</v>
      </c>
      <c r="N41" s="254" t="s">
        <v>498</v>
      </c>
      <c r="O41" s="255" t="e">
        <f>VLOOKUP(I41,设计师对应店铺!A:B,COLUMN(设计师对应店铺!B:B)-COLUMN(设计师对应店铺!A:B)+1,0)</f>
        <v>#N/A</v>
      </c>
    </row>
    <row r="42" spans="1:15">
      <c r="A42" s="39" t="s">
        <v>9944</v>
      </c>
      <c r="B42" s="253">
        <f>COUNTIFS(总表!D:D,A42,总表!L:L,"&lt;&gt;",总表!E:E,"&gt;=2019/8/1",总表!E:E,"&lt;=2019/8/31")</f>
        <v>1</v>
      </c>
      <c r="C42" s="256">
        <f>SUMIFS(总表!L:L,总表!D:D,A42,总表!E:E,"&gt;=2019/8/1",总表!E:E,"&lt;=2019/8/31")</f>
        <v>10028.2</v>
      </c>
      <c r="D42" s="256">
        <f>SUMIFS(总表!M:M,总表!D:D,A42,总表!E:E,"&gt;=2019/8/1",总表!E:E,"&lt;=2019/8/31")</f>
        <v>0</v>
      </c>
      <c r="E42" s="256">
        <f t="shared" si="2"/>
        <v>10028.2</v>
      </c>
      <c r="F42" s="257">
        <f t="shared" si="3"/>
        <v>10028.2</v>
      </c>
      <c r="G42" s="258" t="str">
        <f>VLOOKUP(A42,设计师对应店铺!A:B,COLUMN(设计师对应店铺!B:B)-COLUMN(设计师对应店铺!A:B)+1,0)</f>
        <v>尚品宅配</v>
      </c>
      <c r="I42" s="39" t="s">
        <v>3965</v>
      </c>
      <c r="J42" s="256">
        <f>COUNTIFS(总表!D:D,I42,总表!L:L,"&lt;&gt;",总表!U:U,"",总表!E:E,"&gt;=2019/8/1",总表!E:E,"&lt;=2019/8/31")</f>
        <v>0</v>
      </c>
      <c r="K42" s="256">
        <f>SUMIFS(总表!L:L,总表!D:D,I42,总表!E:E,"&gt;=2019/8/1",总表!E:E,"&lt;=2019/8/31")</f>
        <v>0</v>
      </c>
      <c r="L42" s="256">
        <f>SUMIFS(总表!M:M,总表!D:D,I42,总表!E:E,"&gt;=2019/8/1",总表!E:E,"&lt;=2019/8/31")</f>
        <v>0</v>
      </c>
      <c r="M42" s="256">
        <f t="shared" si="4"/>
        <v>0</v>
      </c>
      <c r="N42" s="257">
        <v>0</v>
      </c>
      <c r="O42" s="258" t="str">
        <f>VLOOKUP(I42,设计师对应店铺!A:B,COLUMN(设计师对应店铺!B:B)-COLUMN(设计师对应店铺!A:B)+1,0)</f>
        <v>奉贤、金山、南汇、松江</v>
      </c>
    </row>
    <row r="43" spans="1:15">
      <c r="A43" s="38" t="s">
        <v>237</v>
      </c>
      <c r="B43" s="253">
        <f>COUNTIFS(总表!D:D,A43,总表!L:L,"&lt;&gt;",总表!E:E,"&gt;=2019/8/1",总表!E:E,"&lt;=2019/8/31")</f>
        <v>2</v>
      </c>
      <c r="C43" s="253">
        <f>SUMIFS(总表!L:L,总表!D:D,A43,总表!E:E,"&gt;=2019/8/1",总表!E:E,"&lt;=2019/8/31")</f>
        <v>5032</v>
      </c>
      <c r="D43" s="253">
        <f>SUMIFS(总表!M:M,总表!D:D,A43,总表!E:E,"&gt;=2019/8/1",总表!E:E,"&lt;=2019/8/31")</f>
        <v>0</v>
      </c>
      <c r="E43" s="253">
        <f t="shared" si="2"/>
        <v>5032</v>
      </c>
      <c r="F43" s="254">
        <f t="shared" si="3"/>
        <v>2516</v>
      </c>
      <c r="G43" s="255" t="str">
        <f>VLOOKUP(A43,设计师对应店铺!A:B,COLUMN(设计师对应店铺!B:B)-COLUMN(设计师对应店铺!A:B)+1,0)</f>
        <v>百安居</v>
      </c>
      <c r="I43" s="38" t="s">
        <v>1431</v>
      </c>
      <c r="J43" s="253">
        <f>COUNTIFS(总表!D:D,I43,总表!L:L,"&lt;&gt;",总表!U:U,"",总表!E:E,"&gt;=2019/8/1",总表!E:E,"&lt;=2019/8/31")</f>
        <v>0</v>
      </c>
      <c r="K43" s="253">
        <f>SUMIFS(总表!L:L,总表!D:D,I43,总表!E:E,"&gt;=2019/8/1",总表!E:E,"&lt;=2019/8/31")</f>
        <v>0</v>
      </c>
      <c r="L43" s="253">
        <f>SUMIFS(总表!M:M,总表!D:D,I43,总表!E:E,"&gt;=2019/8/1",总表!E:E,"&lt;=2019/8/31")</f>
        <v>0</v>
      </c>
      <c r="M43" s="253">
        <f t="shared" si="4"/>
        <v>0</v>
      </c>
      <c r="N43" s="254">
        <v>0</v>
      </c>
      <c r="O43" s="255" t="str">
        <f>VLOOKUP(I43,设计师对应店铺!A:B,COLUMN(设计师对应店铺!B:B)-COLUMN(设计师对应店铺!A:B)+1,0)</f>
        <v>真北店</v>
      </c>
    </row>
    <row r="44" spans="1:7">
      <c r="A44" s="39" t="s">
        <v>2381</v>
      </c>
      <c r="B44" s="253">
        <f>COUNTIFS(总表!D:D,A44,总表!L:L,"&lt;&gt;",总表!E:E,"&gt;=2019/8/1",总表!E:E,"&lt;=2019/8/31")</f>
        <v>2</v>
      </c>
      <c r="C44" s="256">
        <f>SUMIFS(总表!L:L,总表!D:D,A44,总表!E:E,"&gt;=2019/8/1",总表!E:E,"&lt;=2019/8/31")</f>
        <v>3487</v>
      </c>
      <c r="D44" s="256">
        <f>SUMIFS(总表!M:M,总表!D:D,A44,总表!E:E,"&gt;=2019/8/1",总表!E:E,"&lt;=2019/8/31")</f>
        <v>639</v>
      </c>
      <c r="E44" s="256">
        <f t="shared" si="2"/>
        <v>4126</v>
      </c>
      <c r="F44" s="257">
        <f t="shared" si="3"/>
        <v>2063</v>
      </c>
      <c r="G44" s="258" t="str">
        <f>VLOOKUP(A44,设计师对应店铺!A:B,COLUMN(设计师对应店铺!B:B)-COLUMN(设计师对应店铺!A:B)+1,0)</f>
        <v>家饰佳</v>
      </c>
    </row>
    <row r="45" spans="1:7">
      <c r="A45" s="38" t="s">
        <v>8334</v>
      </c>
      <c r="B45" s="253">
        <f>COUNTIFS(总表!D:D,A45,总表!L:L,"&lt;&gt;",总表!E:E,"&gt;=2019/8/1",总表!E:E,"&lt;=2019/8/31")</f>
        <v>1</v>
      </c>
      <c r="C45" s="253">
        <f>SUMIFS(总表!L:L,总表!D:D,A45,总表!E:E,"&gt;=2019/8/1",总表!E:E,"&lt;=2019/8/31")</f>
        <v>2329</v>
      </c>
      <c r="D45" s="253">
        <f>SUMIFS(总表!M:M,总表!D:D,A45,总表!E:E,"&gt;=2019/8/1",总表!E:E,"&lt;=2019/8/31")</f>
        <v>0</v>
      </c>
      <c r="E45" s="253">
        <f t="shared" si="2"/>
        <v>2329</v>
      </c>
      <c r="F45" s="254">
        <f t="shared" si="3"/>
        <v>2329</v>
      </c>
      <c r="G45" s="255" t="str">
        <f>VLOOKUP(A45,设计师对应店铺!A:B,COLUMN(设计师对应店铺!B:B)-COLUMN(设计师对应店铺!A:B)+1,0)</f>
        <v>尚品宅配</v>
      </c>
    </row>
    <row r="46" spans="1:7">
      <c r="A46" s="39" t="s">
        <v>60</v>
      </c>
      <c r="B46" s="253">
        <f>COUNTIFS(总表!D:D,A46,总表!L:L,"&lt;&gt;",总表!E:E,"&gt;=2019/8/1",总表!E:E,"&lt;=2019/8/31")</f>
        <v>2</v>
      </c>
      <c r="C46" s="256">
        <f>SUMIFS(总表!L:L,总表!D:D,A46,总表!E:E,"&gt;=2019/8/1",总表!E:E,"&lt;=2019/8/31")</f>
        <v>-297</v>
      </c>
      <c r="D46" s="256">
        <f>SUMIFS(总表!M:M,总表!D:D,A46,总表!E:E,"&gt;=2019/8/1",总表!E:E,"&lt;=2019/8/31")</f>
        <v>1980</v>
      </c>
      <c r="E46" s="256">
        <f t="shared" si="2"/>
        <v>1683</v>
      </c>
      <c r="F46" s="257">
        <f t="shared" si="3"/>
        <v>841.5</v>
      </c>
      <c r="G46" s="258" t="str">
        <f>VLOOKUP(A46,设计师对应店铺!A:B,COLUMN(设计师对应店铺!B:B)-COLUMN(设计师对应店铺!A:B)+1,0)</f>
        <v>家饰佳</v>
      </c>
    </row>
    <row r="47" spans="1:7">
      <c r="A47" s="38" t="s">
        <v>356</v>
      </c>
      <c r="B47" s="253">
        <f>COUNTIFS(总表!D:D,A47,总表!L:L,"&lt;&gt;",总表!E:E,"&gt;=2019/8/1",总表!E:E,"&lt;=2019/8/31")</f>
        <v>0</v>
      </c>
      <c r="C47" s="253">
        <f>SUMIFS(总表!L:L,总表!D:D,A47,总表!E:E,"&gt;=2019/8/1",总表!E:E,"&lt;=2019/8/31")</f>
        <v>0</v>
      </c>
      <c r="D47" s="253">
        <f>SUMIFS(总表!M:M,总表!D:D,A47,总表!E:E,"&gt;=2019/8/1",总表!E:E,"&lt;=2019/8/31")</f>
        <v>790</v>
      </c>
      <c r="E47" s="253">
        <f t="shared" si="2"/>
        <v>790</v>
      </c>
      <c r="F47" s="254" t="e">
        <f t="shared" si="3"/>
        <v>#DIV/0!</v>
      </c>
      <c r="G47" s="255" t="str">
        <f>VLOOKUP(A47,设计师对应店铺!A:B,COLUMN(设计师对应店铺!B:B)-COLUMN(设计师对应店铺!A:B)+1,0)</f>
        <v>百安居</v>
      </c>
    </row>
    <row r="48" spans="1:7">
      <c r="A48" s="39" t="s">
        <v>10507</v>
      </c>
      <c r="B48" s="253">
        <f>COUNTIFS(总表!D:D,A48,总表!L:L,"&lt;&gt;",总表!E:E,"&gt;=2019/8/1",总表!E:E,"&lt;=2019/8/31")</f>
        <v>0</v>
      </c>
      <c r="C48" s="256">
        <f>SUMIFS(总表!L:L,总表!D:D,A48,总表!E:E,"&gt;=2019/8/1",总表!E:E,"&lt;=2019/8/31")</f>
        <v>0</v>
      </c>
      <c r="D48" s="256">
        <f>SUMIFS(总表!M:M,总表!D:D,A48,总表!E:E,"&gt;=2019/8/1",总表!E:E,"&lt;=2019/8/31")</f>
        <v>600</v>
      </c>
      <c r="E48" s="256">
        <f t="shared" si="2"/>
        <v>600</v>
      </c>
      <c r="F48" s="257" t="e">
        <f t="shared" si="3"/>
        <v>#DIV/0!</v>
      </c>
      <c r="G48" s="258" t="e">
        <f>VLOOKUP(A48,设计师对应店铺!A:B,COLUMN(设计师对应店铺!B:B)-COLUMN(设计师对应店铺!A:B)+1,0)</f>
        <v>#N/A</v>
      </c>
    </row>
    <row r="49" spans="1:7">
      <c r="A49" s="38" t="s">
        <v>3965</v>
      </c>
      <c r="B49" s="253">
        <f>COUNTIFS(总表!D:D,A49,总表!L:L,"&lt;&gt;",总表!E:E,"&gt;=2019/8/1",总表!E:E,"&lt;=2019/8/31")</f>
        <v>0</v>
      </c>
      <c r="C49" s="253">
        <f>SUMIFS(总表!L:L,总表!D:D,A49,总表!E:E,"&gt;=2019/8/1",总表!E:E,"&lt;=2019/8/31")</f>
        <v>0</v>
      </c>
      <c r="D49" s="253">
        <f>SUMIFS(总表!M:M,总表!D:D,A49,总表!E:E,"&gt;=2019/8/1",总表!E:E,"&lt;=2019/8/31")</f>
        <v>0</v>
      </c>
      <c r="E49" s="253">
        <f t="shared" si="2"/>
        <v>0</v>
      </c>
      <c r="F49" s="254" t="e">
        <f t="shared" si="3"/>
        <v>#DIV/0!</v>
      </c>
      <c r="G49" s="255" t="str">
        <f>VLOOKUP(A49,设计师对应店铺!A:B,COLUMN(设计师对应店铺!B:B)-COLUMN(设计师对应店铺!A:B)+1,0)</f>
        <v>奉贤、金山、南汇、松江</v>
      </c>
    </row>
    <row r="50" spans="1:7">
      <c r="A50" s="39" t="s">
        <v>1431</v>
      </c>
      <c r="B50" s="253">
        <f>COUNTIFS(总表!D:D,A50,总表!L:L,"&lt;&gt;",总表!E:E,"&gt;=2019/8/1",总表!E:E,"&lt;=2019/8/31")</f>
        <v>0</v>
      </c>
      <c r="C50" s="256">
        <f>SUMIFS(总表!L:L,总表!D:D,A50,总表!E:E,"&gt;=2019/8/1",总表!E:E,"&lt;=2019/8/31")</f>
        <v>0</v>
      </c>
      <c r="D50" s="256">
        <f>SUMIFS(总表!M:M,总表!D:D,A50,总表!E:E,"&gt;=2019/8/1",总表!E:E,"&lt;=2019/8/31")</f>
        <v>0</v>
      </c>
      <c r="E50" s="256">
        <f t="shared" si="2"/>
        <v>0</v>
      </c>
      <c r="F50" s="257" t="e">
        <f t="shared" si="3"/>
        <v>#DIV/0!</v>
      </c>
      <c r="G50" s="258" t="str">
        <f>VLOOKUP(A50,设计师对应店铺!A:B,COLUMN(设计师对应店铺!B:B)-COLUMN(设计师对应店铺!A:B)+1,0)</f>
        <v>真北店</v>
      </c>
    </row>
    <row r="51" spans="1:7">
      <c r="A51" s="38" t="s">
        <v>5337</v>
      </c>
      <c r="B51" s="253">
        <f>COUNTIFS(总表!D:D,A51,总表!L:L,"&lt;&gt;",总表!E:E,"&gt;=2019/8/1",总表!E:E,"&lt;=2019/8/31")</f>
        <v>0</v>
      </c>
      <c r="C51" s="253">
        <f>SUMIFS(总表!L:L,总表!D:D,A51,总表!E:E,"&gt;=2019/8/1",总表!E:E,"&lt;=2019/8/31")</f>
        <v>0</v>
      </c>
      <c r="D51" s="253">
        <f>SUMIFS(总表!M:M,总表!D:D,A51,总表!E:E,"&gt;=2019/8/1",总表!E:E,"&lt;=2019/8/31")</f>
        <v>0</v>
      </c>
      <c r="E51" s="253">
        <f t="shared" si="2"/>
        <v>0</v>
      </c>
      <c r="F51" s="254" t="e">
        <f t="shared" si="3"/>
        <v>#DIV/0!</v>
      </c>
      <c r="G51" s="255" t="str">
        <f>VLOOKUP(A51,设计师对应店铺!A:B,COLUMN(设计师对应店铺!B:B)-COLUMN(设计师对应店铺!A:B)+1,0)</f>
        <v>尚品宅配</v>
      </c>
    </row>
    <row r="52" spans="1:7">
      <c r="A52" s="39" t="s">
        <v>115</v>
      </c>
      <c r="B52" s="253">
        <f>COUNTIFS(总表!D:D,A52,总表!L:L,"&lt;&gt;",总表!E:E,"&gt;=2019/8/1",总表!E:E,"&lt;=2019/8/31")</f>
        <v>0</v>
      </c>
      <c r="C52" s="256">
        <f>SUMIFS(总表!L:L,总表!D:D,A52,总表!E:E,"&gt;=2019/8/1",总表!E:E,"&lt;=2019/8/31")</f>
        <v>0</v>
      </c>
      <c r="D52" s="256">
        <f>SUMIFS(总表!M:M,总表!D:D,A52,总表!E:E,"&gt;=2019/8/1",总表!E:E,"&lt;=2019/8/31")</f>
        <v>0</v>
      </c>
      <c r="E52" s="256">
        <f t="shared" si="2"/>
        <v>0</v>
      </c>
      <c r="F52" s="257" t="e">
        <f t="shared" si="3"/>
        <v>#DIV/0!</v>
      </c>
      <c r="G52" s="258" t="str">
        <f>VLOOKUP(A52,设计师对应店铺!A:B,COLUMN(设计师对应店铺!B:B)-COLUMN(设计师对应店铺!A:B)+1,0)</f>
        <v>奉贤、金山、南汇、松江</v>
      </c>
    </row>
    <row r="53" spans="1:7">
      <c r="A53" s="38" t="s">
        <v>21268</v>
      </c>
      <c r="B53" s="253">
        <f>COUNTIFS(总表!D:D,A53,总表!L:L,"&lt;&gt;",总表!E:E,"&gt;=2019/8/1",总表!E:E,"&lt;=2019/8/31")</f>
        <v>0</v>
      </c>
      <c r="C53" s="253">
        <f>SUMIFS(总表!L:L,总表!D:D,A53,总表!E:E,"&gt;=2019/8/1",总表!E:E,"&lt;=2019/8/31")</f>
        <v>0</v>
      </c>
      <c r="D53" s="253">
        <f>SUMIFS(总表!M:M,总表!D:D,A53,总表!E:E,"&gt;=2019/8/1",总表!E:E,"&lt;=2019/8/31")</f>
        <v>0</v>
      </c>
      <c r="E53" s="253">
        <f t="shared" si="2"/>
        <v>0</v>
      </c>
      <c r="F53" s="254" t="e">
        <f t="shared" si="3"/>
        <v>#DIV/0!</v>
      </c>
      <c r="G53" s="255" t="str">
        <f>VLOOKUP(A53,设计师对应店铺!A:B,COLUMN(设计师对应店铺!B:B)-COLUMN(设计师对应店铺!A:B)+1,0)</f>
        <v>金山店</v>
      </c>
    </row>
    <row r="54" spans="1:7">
      <c r="A54" s="39" t="s">
        <v>5695</v>
      </c>
      <c r="B54" s="253">
        <f>COUNTIFS(总表!D:D,A54,总表!L:L,"&lt;&gt;",总表!E:E,"&gt;=2019/8/1",总表!E:E,"&lt;=2019/8/31")</f>
        <v>1</v>
      </c>
      <c r="C54" s="256">
        <f>SUMIFS(总表!L:L,总表!D:D,A54,总表!E:E,"&gt;=2019/8/1",总表!E:E,"&lt;=2019/8/31")</f>
        <v>-186</v>
      </c>
      <c r="D54" s="256">
        <f>SUMIFS(总表!M:M,总表!D:D,A54,总表!E:E,"&gt;=2019/8/1",总表!E:E,"&lt;=2019/8/31")</f>
        <v>-5830</v>
      </c>
      <c r="E54" s="256">
        <f t="shared" si="2"/>
        <v>-6016</v>
      </c>
      <c r="F54" s="257">
        <f t="shared" si="3"/>
        <v>-6016</v>
      </c>
      <c r="G54" s="258" t="str">
        <f>VLOOKUP(A54,设计师对应店铺!A:B,COLUMN(设计师对应店铺!B:B)-COLUMN(设计师对应店铺!A:B)+1,0)</f>
        <v>设计总监</v>
      </c>
    </row>
  </sheetData>
  <mergeCells count="2">
    <mergeCell ref="A1:G1"/>
    <mergeCell ref="I1:O1"/>
  </mergeCells>
  <dataValidations count="1">
    <dataValidation allowBlank="1" showInputMessage="1" showErrorMessage="1" sqref="I38 A45"/>
  </dataValidation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36"/>
  <sheetViews>
    <sheetView zoomScale="85" zoomScaleNormal="85" workbookViewId="0">
      <pane xSplit="2" ySplit="2" topLeftCell="AW6" activePane="bottomRight" state="frozen"/>
      <selection/>
      <selection pane="topRight"/>
      <selection pane="bottomLeft"/>
      <selection pane="bottomRight" activeCell="BE29" sqref="BE29"/>
    </sheetView>
  </sheetViews>
  <sheetFormatPr defaultColWidth="9" defaultRowHeight="16.5"/>
  <cols>
    <col min="1" max="1" width="9" style="34"/>
    <col min="2" max="2" width="17.875" style="34" customWidth="1"/>
    <col min="3" max="3" width="9" style="34"/>
    <col min="4" max="4" width="10.375" style="34"/>
    <col min="5" max="5" width="9" style="34"/>
    <col min="6" max="6" width="9.25" style="34"/>
    <col min="7" max="19" width="9" style="34"/>
    <col min="20" max="20" width="10.375" style="34"/>
    <col min="21" max="25" width="9" style="34"/>
    <col min="26" max="26" width="11.625" style="34"/>
    <col min="27" max="52" width="9" style="34"/>
    <col min="53" max="55" width="13.75" style="34" customWidth="1"/>
    <col min="56" max="57" width="15.1416666666667" style="34" customWidth="1"/>
    <col min="58" max="58" width="16.4583333333333" style="34" customWidth="1"/>
    <col min="59" max="59" width="16.125" style="34" customWidth="1"/>
    <col min="60" max="60" width="19.3166666666667" style="34" customWidth="1"/>
    <col min="61" max="16384" width="9" style="34"/>
  </cols>
  <sheetData>
    <row r="1" ht="15" spans="1:52">
      <c r="A1" s="234" t="s">
        <v>30</v>
      </c>
      <c r="B1" s="234" t="s">
        <v>21274</v>
      </c>
      <c r="C1" s="234" t="s">
        <v>21232</v>
      </c>
      <c r="D1" s="234"/>
      <c r="E1" s="234" t="s">
        <v>21233</v>
      </c>
      <c r="F1" s="234"/>
      <c r="G1" s="234" t="s">
        <v>31</v>
      </c>
      <c r="H1" s="234"/>
      <c r="I1" s="234" t="s">
        <v>335</v>
      </c>
      <c r="J1" s="234"/>
      <c r="K1" s="234" t="s">
        <v>405</v>
      </c>
      <c r="L1" s="234"/>
      <c r="M1" s="234" t="s">
        <v>169</v>
      </c>
      <c r="N1" s="234"/>
      <c r="O1" s="234" t="s">
        <v>137</v>
      </c>
      <c r="P1" s="234"/>
      <c r="Q1" s="234" t="s">
        <v>58</v>
      </c>
      <c r="R1" s="234"/>
      <c r="S1" s="234" t="s">
        <v>87</v>
      </c>
      <c r="T1" s="234"/>
      <c r="U1" s="234" t="s">
        <v>153</v>
      </c>
      <c r="V1" s="234"/>
      <c r="W1" s="234" t="s">
        <v>805</v>
      </c>
      <c r="X1" s="234"/>
      <c r="Y1" s="234" t="s">
        <v>66</v>
      </c>
      <c r="Z1" s="234"/>
      <c r="AA1" s="234" t="s">
        <v>185</v>
      </c>
      <c r="AB1" s="234"/>
      <c r="AC1" s="234" t="s">
        <v>35</v>
      </c>
      <c r="AD1" s="234"/>
      <c r="AE1" s="234" t="s">
        <v>123</v>
      </c>
      <c r="AF1" s="234"/>
      <c r="AG1" s="234" t="s">
        <v>73</v>
      </c>
      <c r="AH1" s="234"/>
      <c r="AI1" s="234" t="s">
        <v>281</v>
      </c>
      <c r="AJ1" s="234"/>
      <c r="AK1" s="234" t="s">
        <v>243</v>
      </c>
      <c r="AL1" s="234"/>
      <c r="AM1" s="234" t="s">
        <v>94</v>
      </c>
      <c r="AN1" s="234"/>
      <c r="AO1" s="234" t="s">
        <v>47</v>
      </c>
      <c r="AP1" s="234"/>
      <c r="AQ1" s="234" t="s">
        <v>359</v>
      </c>
      <c r="AR1" s="234"/>
      <c r="AS1" s="234" t="s">
        <v>2625</v>
      </c>
      <c r="AT1" s="234"/>
      <c r="AU1" s="234" t="s">
        <v>6313</v>
      </c>
      <c r="AV1" s="234"/>
      <c r="AW1" s="240" t="s">
        <v>16169</v>
      </c>
      <c r="AX1" s="240"/>
      <c r="AY1" s="240" t="s">
        <v>5336</v>
      </c>
      <c r="AZ1" s="240"/>
    </row>
    <row r="2" spans="1:60">
      <c r="A2" s="234"/>
      <c r="B2" s="234"/>
      <c r="C2" s="235" t="s">
        <v>21275</v>
      </c>
      <c r="D2" s="236" t="s">
        <v>21276</v>
      </c>
      <c r="E2" s="235" t="s">
        <v>21275</v>
      </c>
      <c r="F2" s="236" t="s">
        <v>21276</v>
      </c>
      <c r="G2" s="235" t="s">
        <v>21275</v>
      </c>
      <c r="H2" s="236" t="s">
        <v>21276</v>
      </c>
      <c r="I2" s="235" t="s">
        <v>21275</v>
      </c>
      <c r="J2" s="236" t="s">
        <v>21276</v>
      </c>
      <c r="K2" s="235" t="s">
        <v>21275</v>
      </c>
      <c r="L2" s="236" t="s">
        <v>21276</v>
      </c>
      <c r="M2" s="235" t="s">
        <v>21275</v>
      </c>
      <c r="N2" s="236" t="s">
        <v>21276</v>
      </c>
      <c r="O2" s="235" t="s">
        <v>21275</v>
      </c>
      <c r="P2" s="236" t="s">
        <v>21276</v>
      </c>
      <c r="Q2" s="235" t="s">
        <v>21275</v>
      </c>
      <c r="R2" s="236" t="s">
        <v>21276</v>
      </c>
      <c r="S2" s="235" t="s">
        <v>21275</v>
      </c>
      <c r="T2" s="236" t="s">
        <v>21276</v>
      </c>
      <c r="U2" s="235" t="s">
        <v>21275</v>
      </c>
      <c r="V2" s="236" t="s">
        <v>21276</v>
      </c>
      <c r="W2" s="235" t="s">
        <v>21275</v>
      </c>
      <c r="X2" s="236" t="s">
        <v>21276</v>
      </c>
      <c r="Y2" s="235" t="s">
        <v>21275</v>
      </c>
      <c r="Z2" s="236" t="s">
        <v>21276</v>
      </c>
      <c r="AA2" s="235" t="s">
        <v>21275</v>
      </c>
      <c r="AB2" s="236" t="s">
        <v>21276</v>
      </c>
      <c r="AC2" s="235" t="s">
        <v>21275</v>
      </c>
      <c r="AD2" s="236" t="s">
        <v>21276</v>
      </c>
      <c r="AE2" s="235" t="s">
        <v>21275</v>
      </c>
      <c r="AF2" s="236" t="s">
        <v>21276</v>
      </c>
      <c r="AG2" s="235" t="s">
        <v>21275</v>
      </c>
      <c r="AH2" s="236" t="s">
        <v>21276</v>
      </c>
      <c r="AI2" s="235" t="s">
        <v>21275</v>
      </c>
      <c r="AJ2" s="236" t="s">
        <v>21276</v>
      </c>
      <c r="AK2" s="235" t="s">
        <v>21275</v>
      </c>
      <c r="AL2" s="236" t="s">
        <v>21276</v>
      </c>
      <c r="AM2" s="235" t="s">
        <v>21275</v>
      </c>
      <c r="AN2" s="236" t="s">
        <v>21276</v>
      </c>
      <c r="AO2" s="235" t="s">
        <v>21275</v>
      </c>
      <c r="AP2" s="236" t="s">
        <v>21276</v>
      </c>
      <c r="AQ2" s="235" t="s">
        <v>21275</v>
      </c>
      <c r="AR2" s="236" t="s">
        <v>21276</v>
      </c>
      <c r="AS2" s="235" t="s">
        <v>21275</v>
      </c>
      <c r="AT2" s="236" t="s">
        <v>21276</v>
      </c>
      <c r="AU2" s="235" t="s">
        <v>21275</v>
      </c>
      <c r="AV2" s="236" t="s">
        <v>21276</v>
      </c>
      <c r="AW2" s="241" t="s">
        <v>21275</v>
      </c>
      <c r="AX2" s="241" t="s">
        <v>21276</v>
      </c>
      <c r="AY2" s="241" t="s">
        <v>21275</v>
      </c>
      <c r="AZ2" s="241" t="s">
        <v>21276</v>
      </c>
      <c r="BA2" s="34" t="s">
        <v>21277</v>
      </c>
      <c r="BB2" s="34" t="s">
        <v>21278</v>
      </c>
      <c r="BC2" s="34" t="s">
        <v>21279</v>
      </c>
      <c r="BD2" s="34" t="s">
        <v>21280</v>
      </c>
      <c r="BE2" s="34" t="s">
        <v>21281</v>
      </c>
      <c r="BF2" s="34" t="s">
        <v>21282</v>
      </c>
      <c r="BG2" s="34" t="s">
        <v>21283</v>
      </c>
      <c r="BH2" s="34" t="s">
        <v>21284</v>
      </c>
    </row>
    <row r="3" spans="1:58">
      <c r="A3" s="14" t="s">
        <v>5695</v>
      </c>
      <c r="B3" s="13" t="str">
        <f>VLOOKUP(A3,设计师对应店铺!A:B,COLUMN(设计师对应店铺!B:B)-COLUMN(设计师对应店铺!A:B)+1,0)</f>
        <v>设计总监</v>
      </c>
      <c r="C3" s="237">
        <f>COUNTIFS(总表!B:B,$C$1,总表!D:D,A3,总表!L:L,"&lt;&gt;",总表!E:E,$BA$3,总表!E:E,$BA$4)</f>
        <v>0</v>
      </c>
      <c r="D3" s="238">
        <f>SUMIFS(总表!N:N,总表!B:B,$C$1,总表!D:D,A3,总表!E:E,$BA$3,总表!E:E,$BA$4)</f>
        <v>0</v>
      </c>
      <c r="E3" s="237">
        <f>COUNTIFS(总表!B:B,$E$1,总表!D:D,A3,总表!L:L,"&lt;&gt;",总表!E:E,$BA$3,总表!E:E,$BA$4)</f>
        <v>0</v>
      </c>
      <c r="F3" s="238">
        <f>SUMIFS(总表!N:N,总表!B:B,$E$1,总表!D:D,A3,总表!E:E,$BA$3,总表!E:E,$BA$4)</f>
        <v>0</v>
      </c>
      <c r="G3" s="237">
        <f>COUNTIFS(总表!B:B,$G$1,总表!D:D,A3,总表!L:L,"&lt;&gt;",总表!E:E,$BA$3,总表!E:E,$BA$4)</f>
        <v>0</v>
      </c>
      <c r="H3" s="238">
        <f>SUMIFS(总表!N:N,总表!B:B,$G$1,总表!D:D,A3,总表!E:E,$BA$3,总表!E:E,$BA$4)</f>
        <v>0</v>
      </c>
      <c r="I3" s="237">
        <f>COUNTIFS(总表!B:B,$I$1,总表!D:D,A3,总表!L:L,"&lt;&gt;",总表!E:E,$BA$3,总表!E:E,$BA$4)</f>
        <v>0</v>
      </c>
      <c r="J3" s="238">
        <f>SUMIFS(总表!N:N,总表!B:B,$I$1,总表!D:D,A3,总表!E:E,$BA$3,总表!E:E,$BA$4)</f>
        <v>0</v>
      </c>
      <c r="K3" s="237">
        <f>COUNTIFS(总表!B:B,$K$1,总表!D:D,A3,总表!L:L,"&lt;&gt;",总表!E:E,$BA$3,总表!E:E,$BA$4)</f>
        <v>0</v>
      </c>
      <c r="L3" s="238">
        <f>SUMIFS(总表!N:N,总表!B:B,$K$1,总表!D:D,A3,总表!E:E,$BA$3,总表!E:E,$BA$4)</f>
        <v>0</v>
      </c>
      <c r="M3" s="237">
        <f>COUNTIFS(总表!B:B,$M$1,总表!D:D,A3,总表!L:L,"&lt;&gt;",总表!E:E,$BA$3,总表!E:E,$BA$4)</f>
        <v>0</v>
      </c>
      <c r="N3" s="238">
        <f>SUMIFS(总表!N:N,总表!B:B,$M$1,总表!D:D,A3,总表!E:E,$BA$3,总表!E:E,$BA$4)</f>
        <v>0</v>
      </c>
      <c r="O3" s="237">
        <f>COUNTIFS(总表!B:B,$O$1,总表!D:D,A3,总表!L:L,"&lt;&gt;",总表!E:E,$BA$3,总表!E:E,$BA$4)</f>
        <v>0</v>
      </c>
      <c r="P3" s="238">
        <f>SUMIFS(总表!N:N,总表!B:B,$O$1,总表!D:D,A3,总表!E:E,$BA$3,总表!E:E,$BA$4)</f>
        <v>0</v>
      </c>
      <c r="Q3" s="237">
        <f>COUNTIFS(总表!B:B,$Q$1,总表!D:D,A3,总表!L:L,"&lt;&gt;",总表!E:E,$BA$3,总表!E:E,$BA$4)</f>
        <v>0</v>
      </c>
      <c r="R3" s="238">
        <f>SUMIFS(总表!N:N,总表!B:B,$Q$1,总表!D:D,A3,总表!E:E,$BA$3,总表!E:E,$BA$4)</f>
        <v>0</v>
      </c>
      <c r="S3" s="237">
        <f>COUNTIFS(总表!B:B,$S$1,总表!D:D,A3,总表!L:L,"&lt;&gt;",总表!E:E,$BA$3,总表!E:E,$BA$4)</f>
        <v>0</v>
      </c>
      <c r="T3" s="238">
        <f>SUMIFS(总表!N:N,总表!B:B,$S$1,总表!D:D,A3,总表!E:E,$BA$3,总表!E:E,$BA$4)</f>
        <v>0</v>
      </c>
      <c r="U3" s="237">
        <f>COUNTIFS(总表!B:B,$U$1,总表!D:D,A3,总表!L:L,"&lt;&gt;",总表!E:E,$BA$3,总表!E:E,$BA$4)</f>
        <v>0</v>
      </c>
      <c r="V3" s="238">
        <f>SUMIFS(总表!N:N,总表!B:B,$U$1,总表!D:D,A3,总表!E:E,$BA$3,总表!E:E,$BA$4)</f>
        <v>0</v>
      </c>
      <c r="W3" s="237">
        <f>COUNTIFS(总表!B:B,$W$1,总表!D:D,A3,总表!L:L,"&lt;&gt;",总表!E:E,$BA$3,总表!E:E,$BA$4)</f>
        <v>0</v>
      </c>
      <c r="X3" s="238">
        <f>SUMIFS(总表!N:N,总表!B:B,$W$1,总表!D:D,A3,总表!E:E,$BA$3,总表!E:E,$BA$4)</f>
        <v>0</v>
      </c>
      <c r="Y3" s="237">
        <f>COUNTIFS(总表!B:B,$Y$1,总表!D:D,A3,总表!L:L,"&lt;&gt;",总表!E:E,$BA$3,总表!E:E,$BA$4)</f>
        <v>0</v>
      </c>
      <c r="Z3" s="238">
        <f>SUMIFS(总表!N:N,总表!B:B,$Y$1,总表!D:D,A3,总表!E:E,$BA$3,总表!E:E,$BA$4)</f>
        <v>0</v>
      </c>
      <c r="AA3" s="237">
        <f>COUNTIFS(总表!B:B,$AA$1,总表!D:D,A3,总表!L:L,"&lt;&gt;",总表!E:E,$BA$3,总表!E:E,$BA$4)</f>
        <v>0</v>
      </c>
      <c r="AB3" s="238">
        <f>SUMIFS(总表!N:N,总表!B:B,$AA$1,总表!D:D,A3,总表!E:E,$BA$3,总表!E:E,$BA$4)</f>
        <v>0</v>
      </c>
      <c r="AC3" s="237">
        <f>COUNTIFS(总表!B:B,$AC$1,总表!D:D,A3,总表!L:L,"&lt;&gt;",总表!E:E,$BA$3,总表!E:E,$BA$4)</f>
        <v>0</v>
      </c>
      <c r="AD3" s="238">
        <f>SUMIFS(总表!N:N,总表!B:B,$AC$1,总表!D:D,A3,总表!E:E,$BA$3,总表!E:E,$BA$4)</f>
        <v>0</v>
      </c>
      <c r="AE3" s="237">
        <f>COUNTIFS(总表!B:B,$AE$1,总表!D:D,A3,总表!L:L,"&lt;&gt;",总表!E:E,$BA$3,总表!E:E,$BA$4)</f>
        <v>0</v>
      </c>
      <c r="AF3" s="238">
        <f>SUMIFS(总表!N:N,总表!B:B,$AE$1,总表!D:D,A3,总表!E:E,$BA$3,总表!E:E,$BA$4)</f>
        <v>0</v>
      </c>
      <c r="AG3" s="237">
        <f>COUNTIFS(总表!B:B,$AG$1,总表!D:D,A3,总表!L:L,"&lt;&gt;",总表!E:E,$BA$3,总表!E:E,$BA$4)</f>
        <v>0</v>
      </c>
      <c r="AH3" s="238">
        <f>SUMIFS(总表!N:N,总表!B:B,$AG$1,总表!D:D,A3,总表!E:E,$BA$3,总表!E:E,$BA$4)</f>
        <v>0</v>
      </c>
      <c r="AI3" s="237">
        <f>COUNTIFS(总表!B:B,$AI$1,总表!D:D,A3,总表!L:L,"&lt;&gt;",总表!E:E,$BA$3,总表!E:E,$BA$4)</f>
        <v>0</v>
      </c>
      <c r="AJ3" s="238">
        <f>SUMIFS(总表!N:N,总表!B:B,AI$1,总表!D:D,A3,总表!E:E,$BA$3,总表!E:E,$BA$4)</f>
        <v>0</v>
      </c>
      <c r="AK3" s="237">
        <f>COUNTIFS(总表!B:B,$AK$1,总表!D:D,A3,总表!L:L,"&lt;&gt;",总表!E:E,$BA$3,总表!E:E,$BA$4)</f>
        <v>0</v>
      </c>
      <c r="AL3" s="238">
        <f>SUMIFS(总表!N:N,总表!B:B,$AK$1,总表!D:D,A3,总表!E:E,$BA$3,总表!E:E,$BA$4)</f>
        <v>0</v>
      </c>
      <c r="AM3" s="237">
        <f>COUNTIFS(总表!B:B,$AM$1,总表!D:D,A3,总表!L:L,"&lt;&gt;",总表!E:E,$BA$3,总表!E:E,$BA$4)</f>
        <v>0</v>
      </c>
      <c r="AN3" s="238">
        <f>SUMIFS(总表!N:N,总表!B:B,$AM$1,总表!D:D,A3,总表!E:E,$BA$3,总表!E:E,$BA$4)</f>
        <v>0</v>
      </c>
      <c r="AO3" s="237">
        <f>COUNTIFS(总表!B:B,$AO$1,总表!D:D,A3,总表!L:L,"&lt;&gt;",总表!E:E,$BA$3,总表!E:E,$BA$4)</f>
        <v>0</v>
      </c>
      <c r="AP3" s="238">
        <f>SUMIFS(总表!N:N,总表!B:B,$AO$1,总表!D:D,A3,总表!E:E,$BA$3,总表!E:E,$BA$4)</f>
        <v>0</v>
      </c>
      <c r="AQ3" s="237">
        <f>COUNTIFS(总表!B:B,$AQ$1,总表!D:D,A3,总表!L:L,"&lt;&gt;",总表!E:E,$BA$3,总表!E:E,$BA$4)</f>
        <v>0</v>
      </c>
      <c r="AR3" s="238">
        <f>SUMIFS(总表!N:N,总表!B:B,$AQ$1,总表!D:D,A3,总表!E:E,$BA$3,总表!E:E,$BA$4)</f>
        <v>0</v>
      </c>
      <c r="AS3" s="237">
        <f>COUNTIFS(总表!B:B,$AS$1,总表!D:D,A3,总表!L:L,"&lt;&gt;",总表!E:E,$BA$3,总表!E:E,$BA$4)</f>
        <v>0</v>
      </c>
      <c r="AT3" s="238">
        <f>SUMIFS(总表!N:N,总表!B:B,$AS$1,总表!D:D,A3,总表!E:E,$BA$3,总表!E:E,$BA$4)</f>
        <v>0</v>
      </c>
      <c r="AU3" s="237">
        <f>COUNTIFS(总表!B:B,$AU$1,总表!D:D,A3,总表!L:L,"&lt;&gt;",总表!E:E,$BA$3,总表!E:E,$BA$4)</f>
        <v>0</v>
      </c>
      <c r="AV3" s="238">
        <f>SUMIFS(总表!N:N,总表!B:B,$AU$1,总表!D:D,A3,总表!E:E,$BA$3,总表!E:E,$BA$4)</f>
        <v>0</v>
      </c>
      <c r="AW3" s="242">
        <f>COUNTIFS(总表!B:B,$AW$1,总表!D:D,A3,总表!L:L,"&lt;&gt;",总表!E:E,$BA$3,总表!E:E,$BA$4)</f>
        <v>0</v>
      </c>
      <c r="AX3" s="242">
        <f>SUMIFS(总表!N:N,总表!B:B,$AW$1,总表!D:D,A3,总表!E:E,$BA$3,总表!E:E,$BA$4)</f>
        <v>0</v>
      </c>
      <c r="AY3" s="242">
        <f>COUNTIFS(总表!B:B,$AY$1,总表!D:D,A3,总表!L:L,"&lt;&gt;",总表!E:E,$BA$3,总表!E:E,$BA$4)</f>
        <v>0</v>
      </c>
      <c r="AZ3" s="242">
        <f>SUMIFS(总表!N:N,总表!B:B,$AY$1,总表!D:D,A3,总表!E:E,$BA$3,总表!E:E,$BA$4)</f>
        <v>0</v>
      </c>
      <c r="BA3" s="34" t="s">
        <v>21255</v>
      </c>
      <c r="BB3" s="34">
        <f>D3+F3+H3+J3+L3+N3+P3+R3+T3+V3+X3+Z3+AB3+AD3+AF3+AH3+AJ3+AL3+AN3+AP3+AR3+AT3+AV3+AZ3+AX3</f>
        <v>0</v>
      </c>
      <c r="BF3" s="244"/>
    </row>
    <row r="4" spans="1:58">
      <c r="A4" s="14" t="s">
        <v>75</v>
      </c>
      <c r="B4" s="13" t="str">
        <f>VLOOKUP(A4,设计师对应店铺!A:B,COLUMN(设计师对应店铺!B:B)-COLUMN(设计师对应店铺!A:B)+1,0)</f>
        <v>宜山经理</v>
      </c>
      <c r="C4" s="237">
        <f>COUNTIFS(总表!B:B,$C$1,总表!D:D,A4,总表!L:L,"&lt;&gt;",总表!E:E,$BA$3,总表!E:E,$BA$4)</f>
        <v>0</v>
      </c>
      <c r="D4" s="238">
        <f>SUMIFS(总表!N:N,总表!B:B,$C$1,总表!D:D,A4,总表!E:E,$BA$3,总表!E:E,$BA$4)</f>
        <v>0</v>
      </c>
      <c r="E4" s="237">
        <f>COUNTIFS(总表!B:B,$E$1,总表!D:D,A4,总表!L:L,"&lt;&gt;",总表!E:E,$BA$3,总表!E:E,$BA$4)</f>
        <v>0</v>
      </c>
      <c r="F4" s="238">
        <f>SUMIFS(总表!N:N,总表!B:B,$E$1,总表!D:D,A4,总表!E:E,$BA$3,总表!E:E,$BA$4)</f>
        <v>0</v>
      </c>
      <c r="G4" s="237">
        <f>COUNTIFS(总表!B:B,$G$1,总表!D:D,A4,总表!L:L,"&lt;&gt;",总表!E:E,$BA$3,总表!E:E,$BA$4)</f>
        <v>0</v>
      </c>
      <c r="H4" s="238">
        <f>SUMIFS(总表!N:N,总表!B:B,$G$1,总表!D:D,A4,总表!E:E,$BA$3,总表!E:E,$BA$4)</f>
        <v>0</v>
      </c>
      <c r="I4" s="237">
        <f>COUNTIFS(总表!B:B,$I$1,总表!D:D,A4,总表!L:L,"&lt;&gt;",总表!E:E,$BA$3,总表!E:E,$BA$4)</f>
        <v>0</v>
      </c>
      <c r="J4" s="238">
        <f>SUMIFS(总表!N:N,总表!B:B,$I$1,总表!D:D,A4,总表!E:E,$BA$3,总表!E:E,$BA$4)</f>
        <v>0</v>
      </c>
      <c r="K4" s="237">
        <f>COUNTIFS(总表!B:B,$K$1,总表!D:D,A4,总表!L:L,"&lt;&gt;",总表!E:E,$BA$3,总表!E:E,$BA$4)</f>
        <v>0</v>
      </c>
      <c r="L4" s="238">
        <f>SUMIFS(总表!N:N,总表!B:B,$K$1,总表!D:D,A4,总表!E:E,$BA$3,总表!E:E,$BA$4)</f>
        <v>0</v>
      </c>
      <c r="M4" s="237">
        <f>COUNTIFS(总表!B:B,$M$1,总表!D:D,A4,总表!L:L,"&lt;&gt;",总表!E:E,$BA$3,总表!E:E,$BA$4)</f>
        <v>1</v>
      </c>
      <c r="N4" s="238">
        <f>SUMIFS(总表!N:N,总表!B:B,$M$1,总表!D:D,A4,总表!E:E,$BA$3,总表!E:E,$BA$4)</f>
        <v>29575</v>
      </c>
      <c r="O4" s="237">
        <f>COUNTIFS(总表!B:B,$O$1,总表!D:D,A4,总表!L:L,"&lt;&gt;",总表!E:E,$BA$3,总表!E:E,$BA$4)</f>
        <v>0</v>
      </c>
      <c r="P4" s="238">
        <f>SUMIFS(总表!N:N,总表!B:B,$O$1,总表!D:D,A4,总表!E:E,$BA$3,总表!E:E,$BA$4)</f>
        <v>1299</v>
      </c>
      <c r="Q4" s="237">
        <f>COUNTIFS(总表!B:B,$Q$1,总表!D:D,A4,总表!L:L,"&lt;&gt;",总表!E:E,$BA$3,总表!E:E,$BA$4)</f>
        <v>1</v>
      </c>
      <c r="R4" s="238">
        <f>SUMIFS(总表!N:N,总表!B:B,$Q$1,总表!D:D,A4,总表!E:E,$BA$3,总表!E:E,$BA$4)</f>
        <v>11835</v>
      </c>
      <c r="S4" s="237">
        <f>COUNTIFS(总表!B:B,$S$1,总表!D:D,A4,总表!L:L,"&lt;&gt;",总表!E:E,$BA$3,总表!E:E,$BA$4)</f>
        <v>0</v>
      </c>
      <c r="T4" s="238">
        <f>SUMIFS(总表!N:N,总表!B:B,$S$1,总表!D:D,A4,总表!E:E,$BA$3,总表!E:E,$BA$4)</f>
        <v>0</v>
      </c>
      <c r="U4" s="237">
        <f>COUNTIFS(总表!B:B,$U$1,总表!D:D,A4,总表!L:L,"&lt;&gt;",总表!E:E,$BA$3,总表!E:E,$BA$4)</f>
        <v>0</v>
      </c>
      <c r="V4" s="238">
        <f>SUMIFS(总表!N:N,总表!B:B,$U$1,总表!D:D,A4,总表!E:E,$BA$3,总表!E:E,$BA$4)</f>
        <v>0</v>
      </c>
      <c r="W4" s="237">
        <f>COUNTIFS(总表!B:B,$W$1,总表!D:D,A4,总表!L:L,"&lt;&gt;",总表!E:E,$BA$3,总表!E:E,$BA$4)</f>
        <v>1</v>
      </c>
      <c r="X4" s="238">
        <f>SUMIFS(总表!N:N,总表!B:B,$W$1,总表!D:D,A4,总表!E:E,$BA$3,总表!E:E,$BA$4)</f>
        <v>20226</v>
      </c>
      <c r="Y4" s="237">
        <f>COUNTIFS(总表!B:B,$Y$1,总表!D:D,A4,总表!L:L,"&lt;&gt;",总表!E:E,$BA$3,总表!E:E,$BA$4)</f>
        <v>0</v>
      </c>
      <c r="Z4" s="238">
        <f>SUMIFS(总表!N:N,总表!B:B,$Y$1,总表!D:D,A4,总表!E:E,$BA$3,总表!E:E,$BA$4)</f>
        <v>0</v>
      </c>
      <c r="AA4" s="237">
        <f>COUNTIFS(总表!B:B,$AA$1,总表!D:D,A4,总表!L:L,"&lt;&gt;",总表!E:E,$BA$3,总表!E:E,$BA$4)</f>
        <v>0</v>
      </c>
      <c r="AB4" s="238">
        <f>SUMIFS(总表!N:N,总表!B:B,$AA$1,总表!D:D,A4,总表!E:E,$BA$3,总表!E:E,$BA$4)</f>
        <v>0</v>
      </c>
      <c r="AC4" s="237">
        <f>COUNTIFS(总表!B:B,$AC$1,总表!D:D,A4,总表!L:L,"&lt;&gt;",总表!E:E,$BA$3,总表!E:E,$BA$4)</f>
        <v>0</v>
      </c>
      <c r="AD4" s="238">
        <f>SUMIFS(总表!N:N,总表!B:B,$AC$1,总表!D:D,A4,总表!E:E,$BA$3,总表!E:E,$BA$4)</f>
        <v>0</v>
      </c>
      <c r="AE4" s="237">
        <f>COUNTIFS(总表!B:B,$AE$1,总表!D:D,A4,总表!L:L,"&lt;&gt;",总表!E:E,$BA$3,总表!E:E,$BA$4)</f>
        <v>0</v>
      </c>
      <c r="AF4" s="238">
        <f>SUMIFS(总表!N:N,总表!B:B,$AE$1,总表!D:D,A4,总表!E:E,$BA$3,总表!E:E,$BA$4)</f>
        <v>0</v>
      </c>
      <c r="AG4" s="237">
        <f>COUNTIFS(总表!B:B,$AG$1,总表!D:D,A4,总表!L:L,"&lt;&gt;",总表!E:E,$BA$3,总表!E:E,$BA$4)</f>
        <v>7</v>
      </c>
      <c r="AH4" s="238">
        <f>SUMIFS(总表!N:N,总表!B:B,$AG$1,总表!D:D,A4,总表!E:E,$BA$3,总表!E:E,$BA$4)</f>
        <v>123446</v>
      </c>
      <c r="AI4" s="237">
        <f>COUNTIFS(总表!B:B,$AI$1,总表!D:D,A4,总表!L:L,"&lt;&gt;",总表!E:E,$BA$3,总表!E:E,$BA$4)</f>
        <v>0</v>
      </c>
      <c r="AJ4" s="238">
        <f>SUMIFS(总表!N:N,总表!B:B,AI$1,总表!D:D,A4,总表!E:E,$BA$3,总表!E:E,$BA$4)</f>
        <v>0</v>
      </c>
      <c r="AK4" s="237">
        <f>COUNTIFS(总表!B:B,$AK$1,总表!D:D,A4,总表!L:L,"&lt;&gt;",总表!E:E,$BA$3,总表!E:E,$BA$4)</f>
        <v>0</v>
      </c>
      <c r="AL4" s="238">
        <f>SUMIFS(总表!N:N,总表!B:B,$AK$1,总表!D:D,A4,总表!E:E,$BA$3,总表!E:E,$BA$4)</f>
        <v>0</v>
      </c>
      <c r="AM4" s="237">
        <f>COUNTIFS(总表!B:B,$AM$1,总表!D:D,A4,总表!L:L,"&lt;&gt;",总表!E:E,$BA$3,总表!E:E,$BA$4)</f>
        <v>0</v>
      </c>
      <c r="AN4" s="238">
        <f>SUMIFS(总表!N:N,总表!B:B,$AM$1,总表!D:D,A4,总表!E:E,$BA$3,总表!E:E,$BA$4)</f>
        <v>0</v>
      </c>
      <c r="AO4" s="237">
        <f>COUNTIFS(总表!B:B,$AO$1,总表!D:D,A4,总表!L:L,"&lt;&gt;",总表!E:E,$BA$3,总表!E:E,$BA$4)</f>
        <v>0</v>
      </c>
      <c r="AP4" s="238">
        <f>SUMIFS(总表!N:N,总表!B:B,$AO$1,总表!D:D,A4,总表!E:E,$BA$3,总表!E:E,$BA$4)</f>
        <v>0</v>
      </c>
      <c r="AQ4" s="237">
        <f>COUNTIFS(总表!B:B,$AQ$1,总表!D:D,A4,总表!L:L,"&lt;&gt;",总表!E:E,$BA$3,总表!E:E,$BA$4)</f>
        <v>0</v>
      </c>
      <c r="AR4" s="238">
        <f>SUMIFS(总表!N:N,总表!B:B,$AQ$1,总表!D:D,A4,总表!E:E,$BA$3,总表!E:E,$BA$4)</f>
        <v>0</v>
      </c>
      <c r="AS4" s="237">
        <f>COUNTIFS(总表!B:B,$AS$1,总表!D:D,A4,总表!L:L,"&lt;&gt;",总表!E:E,$BA$3,总表!E:E,$BA$4)</f>
        <v>0</v>
      </c>
      <c r="AT4" s="238">
        <f>SUMIFS(总表!N:N,总表!B:B,$AS$1,总表!D:D,A4,总表!E:E,$BA$3,总表!E:E,$BA$4)</f>
        <v>0</v>
      </c>
      <c r="AU4" s="237">
        <f>COUNTIFS(总表!B:B,$AU$1,总表!D:D,A4,总表!L:L,"&lt;&gt;",总表!E:E,$BA$3,总表!E:E,$BA$4)</f>
        <v>0</v>
      </c>
      <c r="AV4" s="238">
        <f>SUMIFS(总表!N:N,总表!B:B,$AU$1,总表!D:D,A4,总表!E:E,$BA$3,总表!E:E,$BA$4)</f>
        <v>0</v>
      </c>
      <c r="AW4" s="242">
        <f>COUNTIFS(总表!B:B,$AW$1,总表!D:D,A4,总表!L:L,"&lt;&gt;",总表!E:E,$BA$3,总表!E:E,$BA$4)</f>
        <v>0</v>
      </c>
      <c r="AX4" s="242">
        <f>SUMIFS(总表!N:N,总表!B:B,$AW$1,总表!D:D,A4,总表!E:E,$BA$3,总表!E:E,$BA$4)</f>
        <v>0</v>
      </c>
      <c r="AY4" s="242">
        <f>COUNTIFS(总表!B:B,$AY$1,总表!D:D,A4,总表!L:L,"&lt;&gt;",总表!E:E,$BA$3,总表!E:E,$BA$4)</f>
        <v>0</v>
      </c>
      <c r="AZ4" s="242">
        <f>SUMIFS(总表!N:N,总表!B:B,$AY$1,总表!D:D,A4,总表!E:E,$BA$3,总表!E:E,$BA$4)</f>
        <v>0</v>
      </c>
      <c r="BA4" s="34" t="s">
        <v>21264</v>
      </c>
      <c r="BB4" s="34">
        <f>D4+F4+H4+J4+L4+N4+P4+R4+T4+V4+X4+Z4+AB4+AD4+AF4+AH4+AJ4+AL4+AN4+AP4+AR4+AT4+AV4+AZ4+AX4</f>
        <v>186381</v>
      </c>
      <c r="BF4" s="244"/>
    </row>
    <row r="5" spans="1:58">
      <c r="A5" s="14" t="s">
        <v>143</v>
      </c>
      <c r="B5" s="13" t="str">
        <f>VLOOKUP(A5,设计师对应店铺!A:B,COLUMN(设计师对应店铺!B:B)-COLUMN(设计师对应店铺!A:B)+1,0)</f>
        <v>沪南店店长</v>
      </c>
      <c r="C5" s="237">
        <f>COUNTIFS(总表!B:B,$C$1,总表!D:D,A5,总表!L:L,"&lt;&gt;",总表!E:E,$BA$3,总表!E:E,$BA$4)</f>
        <v>0</v>
      </c>
      <c r="D5" s="238">
        <f>SUMIFS(总表!N:N,总表!B:B,$C$1,总表!D:D,A5,总表!E:E,$BA$3,总表!E:E,$BA$4)</f>
        <v>0</v>
      </c>
      <c r="E5" s="237">
        <f>COUNTIFS(总表!B:B,$E$1,总表!D:D,A5,总表!L:L,"&lt;&gt;",总表!E:E,$BA$3,总表!E:E,$BA$4)</f>
        <v>0</v>
      </c>
      <c r="F5" s="238">
        <f>SUMIFS(总表!N:N,总表!B:B,$E$1,总表!D:D,A5,总表!E:E,$BA$3,总表!E:E,$BA$4)</f>
        <v>0</v>
      </c>
      <c r="G5" s="237">
        <f>COUNTIFS(总表!B:B,$G$1,总表!D:D,A5,总表!L:L,"&lt;&gt;",总表!E:E,$BA$3,总表!E:E,$BA$4)</f>
        <v>0</v>
      </c>
      <c r="H5" s="238">
        <f>SUMIFS(总表!N:N,总表!B:B,$G$1,总表!D:D,A5,总表!E:E,$BA$3,总表!E:E,$BA$4)</f>
        <v>0</v>
      </c>
      <c r="I5" s="237">
        <f>COUNTIFS(总表!B:B,$I$1,总表!D:D,A5,总表!L:L,"&lt;&gt;",总表!E:E,$BA$3,总表!E:E,$BA$4)</f>
        <v>0</v>
      </c>
      <c r="J5" s="238">
        <f>SUMIFS(总表!N:N,总表!B:B,$I$1,总表!D:D,A5,总表!E:E,$BA$3,总表!E:E,$BA$4)</f>
        <v>0</v>
      </c>
      <c r="K5" s="237">
        <f>COUNTIFS(总表!B:B,$K$1,总表!D:D,A5,总表!L:L,"&lt;&gt;",总表!E:E,$BA$3,总表!E:E,$BA$4)</f>
        <v>0</v>
      </c>
      <c r="L5" s="238">
        <f>SUMIFS(总表!N:N,总表!B:B,$K$1,总表!D:D,A5,总表!E:E,$BA$3,总表!E:E,$BA$4)</f>
        <v>0</v>
      </c>
      <c r="M5" s="237">
        <f>COUNTIFS(总表!B:B,$M$1,总表!D:D,A5,总表!L:L,"&lt;&gt;",总表!E:E,$BA$3,总表!E:E,$BA$4)</f>
        <v>0</v>
      </c>
      <c r="N5" s="238">
        <f>SUMIFS(总表!N:N,总表!B:B,$M$1,总表!D:D,A5,总表!E:E,$BA$3,总表!E:E,$BA$4)</f>
        <v>0</v>
      </c>
      <c r="O5" s="237">
        <f>COUNTIFS(总表!B:B,$O$1,总表!D:D,A5,总表!L:L,"&lt;&gt;",总表!E:E,$BA$3,总表!E:E,$BA$4)</f>
        <v>0</v>
      </c>
      <c r="P5" s="238">
        <f>SUMIFS(总表!N:N,总表!B:B,$O$1,总表!D:D,A5,总表!E:E,$BA$3,总表!E:E,$BA$4)</f>
        <v>0</v>
      </c>
      <c r="Q5" s="237">
        <f>COUNTIFS(总表!B:B,$Q$1,总表!D:D,A5,总表!L:L,"&lt;&gt;",总表!E:E,$BA$3,总表!E:E,$BA$4)</f>
        <v>0</v>
      </c>
      <c r="R5" s="238">
        <f>SUMIFS(总表!N:N,总表!B:B,$Q$1,总表!D:D,A5,总表!E:E,$BA$3,总表!E:E,$BA$4)</f>
        <v>0</v>
      </c>
      <c r="S5" s="237">
        <f>COUNTIFS(总表!B:B,$S$1,总表!D:D,A5,总表!L:L,"&lt;&gt;",总表!E:E,$BA$3,总表!E:E,$BA$4)</f>
        <v>0</v>
      </c>
      <c r="T5" s="238">
        <f>SUMIFS(总表!N:N,总表!B:B,$S$1,总表!D:D,A5,总表!E:E,$BA$3,总表!E:E,$BA$4)</f>
        <v>0</v>
      </c>
      <c r="U5" s="237">
        <f>COUNTIFS(总表!B:B,$U$1,总表!D:D,A5,总表!L:L,"&lt;&gt;",总表!E:E,$BA$3,总表!E:E,$BA$4)</f>
        <v>0</v>
      </c>
      <c r="V5" s="238">
        <f>SUMIFS(总表!N:N,总表!B:B,$U$1,总表!D:D,A5,总表!E:E,$BA$3,总表!E:E,$BA$4)</f>
        <v>0</v>
      </c>
      <c r="W5" s="237">
        <f>COUNTIFS(总表!B:B,$W$1,总表!D:D,A5,总表!L:L,"&lt;&gt;",总表!E:E,$BA$3,总表!E:E,$BA$4)</f>
        <v>0</v>
      </c>
      <c r="X5" s="238">
        <f>SUMIFS(总表!N:N,总表!B:B,$W$1,总表!D:D,A5,总表!E:E,$BA$3,总表!E:E,$BA$4)</f>
        <v>0</v>
      </c>
      <c r="Y5" s="237">
        <f>COUNTIFS(总表!B:B,$Y$1,总表!D:D,A5,总表!L:L,"&lt;&gt;",总表!E:E,$BA$3,总表!E:E,$BA$4)</f>
        <v>0</v>
      </c>
      <c r="Z5" s="238">
        <f>SUMIFS(总表!N:N,总表!B:B,$Y$1,总表!D:D,A5,总表!E:E,$BA$3,总表!E:E,$BA$4)</f>
        <v>370</v>
      </c>
      <c r="AA5" s="237">
        <f>COUNTIFS(总表!B:B,$AA$1,总表!D:D,A5,总表!L:L,"&lt;&gt;",总表!E:E,$BA$3,总表!E:E,$BA$4)</f>
        <v>0</v>
      </c>
      <c r="AB5" s="238">
        <f>SUMIFS(总表!N:N,总表!B:B,$AA$1,总表!D:D,A5,总表!E:E,$BA$3,总表!E:E,$BA$4)</f>
        <v>0</v>
      </c>
      <c r="AC5" s="237">
        <f>COUNTIFS(总表!B:B,$AC$1,总表!D:D,A5,总表!L:L,"&lt;&gt;",总表!E:E,$BA$3,总表!E:E,$BA$4)</f>
        <v>0</v>
      </c>
      <c r="AD5" s="238">
        <f>SUMIFS(总表!N:N,总表!B:B,$AC$1,总表!D:D,A5,总表!E:E,$BA$3,总表!E:E,$BA$4)</f>
        <v>0</v>
      </c>
      <c r="AE5" s="237">
        <f>COUNTIFS(总表!B:B,$AE$1,总表!D:D,A5,总表!L:L,"&lt;&gt;",总表!E:E,$BA$3,总表!E:E,$BA$4)</f>
        <v>0</v>
      </c>
      <c r="AF5" s="238">
        <f>SUMIFS(总表!N:N,总表!B:B,$AE$1,总表!D:D,A5,总表!E:E,$BA$3,总表!E:E,$BA$4)</f>
        <v>0</v>
      </c>
      <c r="AG5" s="237">
        <f>COUNTIFS(总表!B:B,$AG$1,总表!D:D,A5,总表!L:L,"&lt;&gt;",总表!E:E,$BA$3,总表!E:E,$BA$4)</f>
        <v>0</v>
      </c>
      <c r="AH5" s="238">
        <f>SUMIFS(总表!N:N,总表!B:B,$AG$1,总表!D:D,A5,总表!E:E,$BA$3,总表!E:E,$BA$4)</f>
        <v>399</v>
      </c>
      <c r="AI5" s="237">
        <f>COUNTIFS(总表!B:B,$AI$1,总表!D:D,A5,总表!L:L,"&lt;&gt;",总表!E:E,$BA$3,总表!E:E,$BA$4)</f>
        <v>0</v>
      </c>
      <c r="AJ5" s="238">
        <f>SUMIFS(总表!N:N,总表!B:B,AI$1,总表!D:D,A5,总表!E:E,$BA$3,总表!E:E,$BA$4)</f>
        <v>0</v>
      </c>
      <c r="AK5" s="237">
        <f>COUNTIFS(总表!B:B,$AK$1,总表!D:D,A5,总表!L:L,"&lt;&gt;",总表!E:E,$BA$3,总表!E:E,$BA$4)</f>
        <v>0</v>
      </c>
      <c r="AL5" s="238">
        <f>SUMIFS(总表!N:N,总表!B:B,$AK$1,总表!D:D,A5,总表!E:E,$BA$3,总表!E:E,$BA$4)</f>
        <v>0</v>
      </c>
      <c r="AM5" s="237">
        <f>COUNTIFS(总表!B:B,$AM$1,总表!D:D,A5,总表!L:L,"&lt;&gt;",总表!E:E,$BA$3,总表!E:E,$BA$4)</f>
        <v>0</v>
      </c>
      <c r="AN5" s="238">
        <f>SUMIFS(总表!N:N,总表!B:B,$AM$1,总表!D:D,A5,总表!E:E,$BA$3,总表!E:E,$BA$4)</f>
        <v>0</v>
      </c>
      <c r="AO5" s="237">
        <f>COUNTIFS(总表!B:B,$AO$1,总表!D:D,A5,总表!L:L,"&lt;&gt;",总表!E:E,$BA$3,总表!E:E,$BA$4)</f>
        <v>0</v>
      </c>
      <c r="AP5" s="238">
        <f>SUMIFS(总表!N:N,总表!B:B,$AO$1,总表!D:D,A5,总表!E:E,$BA$3,总表!E:E,$BA$4)</f>
        <v>0</v>
      </c>
      <c r="AQ5" s="237">
        <f>COUNTIFS(总表!B:B,$AQ$1,总表!D:D,A5,总表!L:L,"&lt;&gt;",总表!E:E,$BA$3,总表!E:E,$BA$4)</f>
        <v>0</v>
      </c>
      <c r="AR5" s="238">
        <f>SUMIFS(总表!N:N,总表!B:B,$AQ$1,总表!D:D,A5,总表!E:E,$BA$3,总表!E:E,$BA$4)</f>
        <v>0</v>
      </c>
      <c r="AS5" s="237">
        <f>COUNTIFS(总表!B:B,$AS$1,总表!D:D,A5,总表!L:L,"&lt;&gt;",总表!E:E,$BA$3,总表!E:E,$BA$4)</f>
        <v>0</v>
      </c>
      <c r="AT5" s="238">
        <f>SUMIFS(总表!N:N,总表!B:B,$AS$1,总表!D:D,A5,总表!E:E,$BA$3,总表!E:E,$BA$4)</f>
        <v>0</v>
      </c>
      <c r="AU5" s="237">
        <f>COUNTIFS(总表!B:B,$AU$1,总表!D:D,A5,总表!L:L,"&lt;&gt;",总表!E:E,$BA$3,总表!E:E,$BA$4)</f>
        <v>0</v>
      </c>
      <c r="AV5" s="238">
        <f>SUMIFS(总表!N:N,总表!B:B,$AU$1,总表!D:D,A5,总表!E:E,$BA$3,总表!E:E,$BA$4)</f>
        <v>0</v>
      </c>
      <c r="AW5" s="242">
        <f>COUNTIFS(总表!B:B,$AW$1,总表!D:D,A5,总表!L:L,"&lt;&gt;",总表!E:E,$BA$3,总表!E:E,$BA$4)</f>
        <v>0</v>
      </c>
      <c r="AX5" s="242">
        <f>SUMIFS(总表!N:N,总表!B:B,$AW$1,总表!D:D,A5,总表!E:E,$BA$3,总表!E:E,$BA$4)</f>
        <v>0</v>
      </c>
      <c r="AY5" s="242">
        <f>COUNTIFS(总表!B:B,$AY$1,总表!D:D,A5,总表!L:L,"&lt;&gt;",总表!E:E,$BA$3,总表!E:E,$BA$4)</f>
        <v>0</v>
      </c>
      <c r="AZ5" s="242">
        <f>SUMIFS(总表!N:N,总表!B:B,$AY$1,总表!D:D,A5,总表!E:E,$BA$3,总表!E:E,$BA$4)</f>
        <v>0</v>
      </c>
      <c r="BB5" s="34">
        <f t="shared" ref="BB5:BB11" si="0">D5+F5+H5+J5+L5+N5+P5+R5+T5+V5+X5+Z5+AB5+AD5+AF5+AH5+AJ5+AL5+AN5+AP5+AR5+AT5+AV5+AZ5+AX5</f>
        <v>769</v>
      </c>
      <c r="BF5" s="244"/>
    </row>
    <row r="6" spans="1:60">
      <c r="A6" s="14" t="s">
        <v>187</v>
      </c>
      <c r="B6" s="13" t="str">
        <f>VLOOKUP(A6,设计师对应店铺!A:B,COLUMN(设计师对应店铺!B:B)-COLUMN(设计师对应店铺!A:B)+1,0)</f>
        <v>百家宜</v>
      </c>
      <c r="C6" s="237">
        <f>COUNTIFS(总表!B:B,$C$1,总表!D:D,A6,总表!L:L,"&lt;&gt;",总表!E:E,$BA$3,总表!E:E,$BA$4)</f>
        <v>0</v>
      </c>
      <c r="D6" s="238">
        <f>SUMIFS(总表!N:N,总表!B:B,$C$1,总表!D:D,A6,总表!E:E,$BA$3,总表!E:E,$BA$4)</f>
        <v>0</v>
      </c>
      <c r="E6" s="237">
        <f>COUNTIFS(总表!B:B,$E$1,总表!D:D,A6,总表!L:L,"&lt;&gt;",总表!E:E,$BA$3,总表!E:E,$BA$4)</f>
        <v>0</v>
      </c>
      <c r="F6" s="238">
        <f>SUMIFS(总表!N:N,总表!B:B,$E$1,总表!D:D,A6,总表!E:E,$BA$3,总表!E:E,$BA$4)</f>
        <v>0</v>
      </c>
      <c r="G6" s="237">
        <f>COUNTIFS(总表!B:B,$G$1,总表!D:D,A6,总表!L:L,"&lt;&gt;",总表!E:E,$BA$3,总表!E:E,$BA$4)</f>
        <v>1</v>
      </c>
      <c r="H6" s="238">
        <f>SUMIFS(总表!N:N,总表!B:B,$G$1,总表!D:D,A6,总表!E:E,$BA$3,总表!E:E,$BA$4)</f>
        <v>5600</v>
      </c>
      <c r="I6" s="237">
        <f>COUNTIFS(总表!B:B,$I$1,总表!D:D,A6,总表!L:L,"&lt;&gt;",总表!E:E,$BA$3,总表!E:E,$BA$4)</f>
        <v>0</v>
      </c>
      <c r="J6" s="238">
        <f>SUMIFS(总表!N:N,总表!B:B,$I$1,总表!D:D,A6,总表!E:E,$BA$3,总表!E:E,$BA$4)</f>
        <v>0</v>
      </c>
      <c r="K6" s="237">
        <f>COUNTIFS(总表!B:B,$K$1,总表!D:D,A6,总表!L:L,"&lt;&gt;",总表!E:E,$BA$3,总表!E:E,$BA$4)</f>
        <v>0</v>
      </c>
      <c r="L6" s="238">
        <f>SUMIFS(总表!N:N,总表!B:B,$K$1,总表!D:D,A6,总表!E:E,$BA$3,总表!E:E,$BA$4)</f>
        <v>0</v>
      </c>
      <c r="M6" s="237">
        <f>COUNTIFS(总表!B:B,$M$1,总表!D:D,A6,总表!L:L,"&lt;&gt;",总表!E:E,$BA$3,总表!E:E,$BA$4)</f>
        <v>0</v>
      </c>
      <c r="N6" s="238">
        <f>SUMIFS(总表!N:N,总表!B:B,$M$1,总表!D:D,A6,总表!E:E,$BA$3,总表!E:E,$BA$4)</f>
        <v>0</v>
      </c>
      <c r="O6" s="237">
        <f>COUNTIFS(总表!B:B,$O$1,总表!D:D,A6,总表!L:L,"&lt;&gt;",总表!E:E,$BA$3,总表!E:E,$BA$4)</f>
        <v>0</v>
      </c>
      <c r="P6" s="238">
        <f>SUMIFS(总表!N:N,总表!B:B,$O$1,总表!D:D,A6,总表!E:E,$BA$3,总表!E:E,$BA$4)</f>
        <v>0</v>
      </c>
      <c r="Q6" s="237">
        <f>COUNTIFS(总表!B:B,$Q$1,总表!D:D,A6,总表!L:L,"&lt;&gt;",总表!E:E,$BA$3,总表!E:E,$BA$4)</f>
        <v>0</v>
      </c>
      <c r="R6" s="238">
        <f>SUMIFS(总表!N:N,总表!B:B,$Q$1,总表!D:D,A6,总表!E:E,$BA$3,总表!E:E,$BA$4)</f>
        <v>0</v>
      </c>
      <c r="S6" s="237">
        <f>COUNTIFS(总表!B:B,$S$1,总表!D:D,A6,总表!L:L,"&lt;&gt;",总表!E:E,$BA$3,总表!E:E,$BA$4)</f>
        <v>0</v>
      </c>
      <c r="T6" s="238">
        <f>SUMIFS(总表!N:N,总表!B:B,$S$1,总表!D:D,A6,总表!E:E,$BA$3,总表!E:E,$BA$4)</f>
        <v>0</v>
      </c>
      <c r="U6" s="237">
        <f>COUNTIFS(总表!B:B,$U$1,总表!D:D,A6,总表!L:L,"&lt;&gt;",总表!E:E,$BA$3,总表!E:E,$BA$4)</f>
        <v>0</v>
      </c>
      <c r="V6" s="238">
        <f>SUMIFS(总表!N:N,总表!B:B,$U$1,总表!D:D,A6,总表!E:E,$BA$3,总表!E:E,$BA$4)</f>
        <v>0</v>
      </c>
      <c r="W6" s="237">
        <f>COUNTIFS(总表!B:B,$W$1,总表!D:D,A6,总表!L:L,"&lt;&gt;",总表!E:E,$BA$3,总表!E:E,$BA$4)</f>
        <v>0</v>
      </c>
      <c r="X6" s="238">
        <f>SUMIFS(总表!N:N,总表!B:B,$W$1,总表!D:D,A6,总表!E:E,$BA$3,总表!E:E,$BA$4)</f>
        <v>0</v>
      </c>
      <c r="Y6" s="237">
        <f>COUNTIFS(总表!B:B,$Y$1,总表!D:D,A6,总表!L:L,"&lt;&gt;",总表!E:E,$BA$3,总表!E:E,$BA$4)</f>
        <v>0</v>
      </c>
      <c r="Z6" s="238">
        <f>SUMIFS(总表!N:N,总表!B:B,$Y$1,总表!D:D,A6,总表!E:E,$BA$3,总表!E:E,$BA$4)</f>
        <v>0</v>
      </c>
      <c r="AA6" s="239">
        <f>COUNTIFS(总表!B:B,$AA$1,总表!D:D,A6,总表!L:L,"&lt;&gt;",总表!E:E,$BA$3,总表!E:E,$BA$4)</f>
        <v>24</v>
      </c>
      <c r="AB6" s="239">
        <f>SUMIFS(总表!N:N,总表!B:B,$AA$1,总表!D:D,A6,总表!E:E,$BA$3,总表!E:E,$BA$4)</f>
        <v>396192</v>
      </c>
      <c r="AC6" s="237">
        <f>COUNTIFS(总表!B:B,$AC$1,总表!D:D,A6,总表!L:L,"&lt;&gt;",总表!E:E,$BA$3,总表!E:E,$BA$4)</f>
        <v>0</v>
      </c>
      <c r="AD6" s="238">
        <f>SUMIFS(总表!N:N,总表!B:B,$AC$1,总表!D:D,A6,总表!E:E,$BA$3,总表!E:E,$BA$4)</f>
        <v>500</v>
      </c>
      <c r="AE6" s="237">
        <f>COUNTIFS(总表!B:B,$AE$1,总表!D:D,A6,总表!L:L,"&lt;&gt;",总表!E:E,$BA$3,总表!E:E,$BA$4)</f>
        <v>0</v>
      </c>
      <c r="AF6" s="238">
        <f>SUMIFS(总表!N:N,总表!B:B,$AE$1,总表!D:D,A6,总表!E:E,$BA$3,总表!E:E,$BA$4)</f>
        <v>0</v>
      </c>
      <c r="AG6" s="237">
        <f>COUNTIFS(总表!B:B,$AG$1,总表!D:D,A6,总表!L:L,"&lt;&gt;",总表!E:E,$BA$3,总表!E:E,$BA$4)</f>
        <v>1</v>
      </c>
      <c r="AH6" s="238">
        <f>SUMIFS(总表!N:N,总表!B:B,$AG$1,总表!D:D,A6,总表!E:E,$BA$3,总表!E:E,$BA$4)</f>
        <v>38820</v>
      </c>
      <c r="AI6" s="237">
        <f>COUNTIFS(总表!B:B,$AI$1,总表!D:D,A6,总表!L:L,"&lt;&gt;",总表!E:E,$BA$3,总表!E:E,$BA$4)</f>
        <v>0</v>
      </c>
      <c r="AJ6" s="238">
        <f>SUMIFS(总表!N:N,总表!B:B,AI$1,总表!D:D,A6,总表!E:E,$BA$3,总表!E:E,$BA$4)</f>
        <v>0</v>
      </c>
      <c r="AK6" s="237">
        <f>COUNTIFS(总表!B:B,$AK$1,总表!D:D,A6,总表!L:L,"&lt;&gt;",总表!E:E,$BA$3,总表!E:E,$BA$4)</f>
        <v>0</v>
      </c>
      <c r="AL6" s="238">
        <f>SUMIFS(总表!N:N,总表!B:B,$AK$1,总表!D:D,A6,总表!E:E,$BA$3,总表!E:E,$BA$4)</f>
        <v>0</v>
      </c>
      <c r="AM6" s="237">
        <f>COUNTIFS(总表!B:B,$AM$1,总表!D:D,A6,总表!L:L,"&lt;&gt;",总表!E:E,$BA$3,总表!E:E,$BA$4)</f>
        <v>0</v>
      </c>
      <c r="AN6" s="238">
        <f>SUMIFS(总表!N:N,总表!B:B,$AM$1,总表!D:D,A6,总表!E:E,$BA$3,总表!E:E,$BA$4)</f>
        <v>0</v>
      </c>
      <c r="AO6" s="237">
        <f>COUNTIFS(总表!B:B,$AO$1,总表!D:D,A6,总表!L:L,"&lt;&gt;",总表!E:E,$BA$3,总表!E:E,$BA$4)</f>
        <v>0</v>
      </c>
      <c r="AP6" s="238">
        <f>SUMIFS(总表!N:N,总表!B:B,$AO$1,总表!D:D,A6,总表!E:E,$BA$3,总表!E:E,$BA$4)</f>
        <v>0</v>
      </c>
      <c r="AQ6" s="237">
        <f>COUNTIFS(总表!B:B,$AQ$1,总表!D:D,A6,总表!L:L,"&lt;&gt;",总表!E:E,$BA$3,总表!E:E,$BA$4)</f>
        <v>0</v>
      </c>
      <c r="AR6" s="238">
        <f>SUMIFS(总表!N:N,总表!B:B,$AQ$1,总表!D:D,A6,总表!E:E,$BA$3,总表!E:E,$BA$4)</f>
        <v>0</v>
      </c>
      <c r="AS6" s="237">
        <f>COUNTIFS(总表!B:B,$AS$1,总表!D:D,A6,总表!L:L,"&lt;&gt;",总表!E:E,$BA$3,总表!E:E,$BA$4)</f>
        <v>0</v>
      </c>
      <c r="AT6" s="238">
        <f>SUMIFS(总表!N:N,总表!B:B,$AS$1,总表!D:D,A6,总表!E:E,$BA$3,总表!E:E,$BA$4)</f>
        <v>0</v>
      </c>
      <c r="AU6" s="237">
        <f>COUNTIFS(总表!B:B,$AU$1,总表!D:D,A6,总表!L:L,"&lt;&gt;",总表!E:E,$BA$3,总表!E:E,$BA$4)</f>
        <v>0</v>
      </c>
      <c r="AV6" s="238">
        <f>SUMIFS(总表!N:N,总表!B:B,$AU$1,总表!D:D,A6,总表!E:E,$BA$3,总表!E:E,$BA$4)</f>
        <v>0</v>
      </c>
      <c r="AW6" s="242">
        <f>COUNTIFS(总表!B:B,$AW$1,总表!D:D,A6,总表!L:L,"&lt;&gt;",总表!E:E,$BA$3,总表!E:E,$BA$4)</f>
        <v>0</v>
      </c>
      <c r="AX6" s="242">
        <f>SUMIFS(总表!N:N,总表!B:B,$AW$1,总表!D:D,A6,总表!E:E,$BA$3,总表!E:E,$BA$4)</f>
        <v>0</v>
      </c>
      <c r="AY6" s="242">
        <f>COUNTIFS(总表!B:B,$AY$1,总表!D:D,A6,总表!L:L,"&lt;&gt;",总表!E:E,$BA$3,总表!E:E,$BA$4)</f>
        <v>0</v>
      </c>
      <c r="AZ6" s="242">
        <f>SUMIFS(总表!N:N,总表!B:B,$AY$1,总表!D:D,A6,总表!E:E,$BA$3,总表!E:E,$BA$4)</f>
        <v>0</v>
      </c>
      <c r="BB6" s="34">
        <f t="shared" si="0"/>
        <v>441112</v>
      </c>
      <c r="BC6" s="34">
        <f>AA6</f>
        <v>24</v>
      </c>
      <c r="BD6" s="34">
        <f>AB6</f>
        <v>396192</v>
      </c>
      <c r="BE6" s="244">
        <f t="shared" ref="BE6:BE11" si="1">BD6/BC6</f>
        <v>16508</v>
      </c>
      <c r="BF6" s="245">
        <f t="shared" ref="BF6:BF11" si="2">BD6/BB6</f>
        <v>0.898166452057527</v>
      </c>
      <c r="BG6" s="34">
        <f>COUNTIFS(总表!D:D,A6,总表!L:L,"&lt;&gt;",总表!E:E,$BA$3,总表!E:E,$BA$4)-BC6</f>
        <v>2</v>
      </c>
      <c r="BH6" s="34">
        <f t="shared" ref="BH6:BH11" si="3">BB6-BD6</f>
        <v>44920</v>
      </c>
    </row>
    <row r="7" spans="1:60">
      <c r="A7" s="14" t="s">
        <v>132</v>
      </c>
      <c r="B7" s="13" t="str">
        <f>VLOOKUP(A7,设计师对应店铺!A:B,COLUMN(设计师对应店铺!B:B)-COLUMN(设计师对应店铺!A:B)+1,0)</f>
        <v>真北店</v>
      </c>
      <c r="C7" s="237">
        <f>COUNTIFS(总表!B:B,$C$1,总表!D:D,A7,总表!L:L,"&lt;&gt;",总表!E:E,$BA$3,总表!E:E,$BA$4)</f>
        <v>0</v>
      </c>
      <c r="D7" s="238">
        <f>SUMIFS(总表!N:N,总表!B:B,$C$1,总表!D:D,A7,总表!E:E,$BA$3,总表!E:E,$BA$4)</f>
        <v>0</v>
      </c>
      <c r="E7" s="239">
        <f>COUNTIFS(总表!B:B,$E$1,总表!D:D,A7,总表!L:L,"&lt;&gt;",总表!E:E,$BA$3,总表!E:E,$BA$4)</f>
        <v>7</v>
      </c>
      <c r="F7" s="239">
        <f>SUMIFS(总表!N:N,总表!B:B,$E$1,总表!D:D,A7,总表!E:E,$BA$3,总表!E:E,$BA$4)</f>
        <v>259200</v>
      </c>
      <c r="G7" s="237">
        <f>COUNTIFS(总表!B:B,$G$1,总表!D:D,A7,总表!L:L,"&lt;&gt;",总表!E:E,$BA$3,总表!E:E,$BA$4)</f>
        <v>0</v>
      </c>
      <c r="H7" s="238">
        <f>SUMIFS(总表!N:N,总表!B:B,$G$1,总表!D:D,A7,总表!E:E,$BA$3,总表!E:E,$BA$4)</f>
        <v>0</v>
      </c>
      <c r="I7" s="237">
        <f>COUNTIFS(总表!B:B,$I$1,总表!D:D,A7,总表!L:L,"&lt;&gt;",总表!E:E,$BA$3,总表!E:E,$BA$4)</f>
        <v>0</v>
      </c>
      <c r="J7" s="238">
        <f>SUMIFS(总表!N:N,总表!B:B,$I$1,总表!D:D,A7,总表!E:E,$BA$3,总表!E:E,$BA$4)</f>
        <v>0</v>
      </c>
      <c r="K7" s="237">
        <f>COUNTIFS(总表!B:B,$K$1,总表!D:D,A7,总表!L:L,"&lt;&gt;",总表!E:E,$BA$3,总表!E:E,$BA$4)</f>
        <v>0</v>
      </c>
      <c r="L7" s="238">
        <f>SUMIFS(总表!N:N,总表!B:B,$K$1,总表!D:D,A7,总表!E:E,$BA$3,总表!E:E,$BA$4)</f>
        <v>0</v>
      </c>
      <c r="M7" s="237">
        <f>COUNTIFS(总表!B:B,$M$1,总表!D:D,A7,总表!L:L,"&lt;&gt;",总表!E:E,$BA$3,总表!E:E,$BA$4)</f>
        <v>0</v>
      </c>
      <c r="N7" s="238">
        <f>SUMIFS(总表!N:N,总表!B:B,$M$1,总表!D:D,A7,总表!E:E,$BA$3,总表!E:E,$BA$4)</f>
        <v>0</v>
      </c>
      <c r="O7" s="237">
        <f>COUNTIFS(总表!B:B,$O$1,总表!D:D,A7,总表!L:L,"&lt;&gt;",总表!E:E,$BA$3,总表!E:E,$BA$4)</f>
        <v>0</v>
      </c>
      <c r="P7" s="238">
        <f>SUMIFS(总表!N:N,总表!B:B,$O$1,总表!D:D,A7,总表!E:E,$BA$3,总表!E:E,$BA$4)</f>
        <v>0</v>
      </c>
      <c r="Q7" s="237">
        <f>COUNTIFS(总表!B:B,$Q$1,总表!D:D,A7,总表!L:L,"&lt;&gt;",总表!E:E,$BA$3,总表!E:E,$BA$4)</f>
        <v>0</v>
      </c>
      <c r="R7" s="238">
        <f>SUMIFS(总表!N:N,总表!B:B,$Q$1,总表!D:D,A7,总表!E:E,$BA$3,总表!E:E,$BA$4)</f>
        <v>0</v>
      </c>
      <c r="S7" s="237">
        <f>COUNTIFS(总表!B:B,$S$1,总表!D:D,A7,总表!L:L,"&lt;&gt;",总表!E:E,$BA$3,总表!E:E,$BA$4)</f>
        <v>0</v>
      </c>
      <c r="T7" s="238">
        <f>SUMIFS(总表!N:N,总表!B:B,$S$1,总表!D:D,A7,总表!E:E,$BA$3,总表!E:E,$BA$4)</f>
        <v>0</v>
      </c>
      <c r="U7" s="237">
        <f>COUNTIFS(总表!B:B,$U$1,总表!D:D,A7,总表!L:L,"&lt;&gt;",总表!E:E,$BA$3,总表!E:E,$BA$4)</f>
        <v>0</v>
      </c>
      <c r="V7" s="238">
        <f>SUMIFS(总表!N:N,总表!B:B,$U$1,总表!D:D,A7,总表!E:E,$BA$3,总表!E:E,$BA$4)</f>
        <v>0</v>
      </c>
      <c r="W7" s="237">
        <f>COUNTIFS(总表!B:B,$W$1,总表!D:D,A7,总表!L:L,"&lt;&gt;",总表!E:E,$BA$3,总表!E:E,$BA$4)</f>
        <v>0</v>
      </c>
      <c r="X7" s="238">
        <f>SUMIFS(总表!N:N,总表!B:B,$W$1,总表!D:D,A7,总表!E:E,$BA$3,总表!E:E,$BA$4)</f>
        <v>0</v>
      </c>
      <c r="Y7" s="237">
        <f>COUNTIFS(总表!B:B,$Y$1,总表!D:D,A7,总表!L:L,"&lt;&gt;",总表!E:E,$BA$3,总表!E:E,$BA$4)</f>
        <v>0</v>
      </c>
      <c r="Z7" s="238">
        <f>SUMIFS(总表!N:N,总表!B:B,$Y$1,总表!D:D,A7,总表!E:E,$BA$3,总表!E:E,$BA$4)</f>
        <v>0</v>
      </c>
      <c r="AA7" s="237">
        <f>COUNTIFS(总表!B:B,$AA$1,总表!D:D,A7,总表!L:L,"&lt;&gt;",总表!E:E,$BA$3,总表!E:E,$BA$4)</f>
        <v>0</v>
      </c>
      <c r="AB7" s="238">
        <f>SUMIFS(总表!N:N,总表!B:B,$AA$1,总表!D:D,A7,总表!E:E,$BA$3,总表!E:E,$BA$4)</f>
        <v>0</v>
      </c>
      <c r="AC7" s="237">
        <f>COUNTIFS(总表!B:B,$AC$1,总表!D:D,A7,总表!L:L,"&lt;&gt;",总表!E:E,$BA$3,总表!E:E,$BA$4)</f>
        <v>0</v>
      </c>
      <c r="AD7" s="238">
        <f>SUMIFS(总表!N:N,总表!B:B,$AC$1,总表!D:D,A7,总表!E:E,$BA$3,总表!E:E,$BA$4)</f>
        <v>0</v>
      </c>
      <c r="AE7" s="237">
        <f>COUNTIFS(总表!B:B,$AE$1,总表!D:D,A7,总表!L:L,"&lt;&gt;",总表!E:E,$BA$3,总表!E:E,$BA$4)</f>
        <v>0</v>
      </c>
      <c r="AF7" s="238">
        <f>SUMIFS(总表!N:N,总表!B:B,$AE$1,总表!D:D,A7,总表!E:E,$BA$3,总表!E:E,$BA$4)</f>
        <v>0</v>
      </c>
      <c r="AG7" s="237">
        <f>COUNTIFS(总表!B:B,$AG$1,总表!D:D,A7,总表!L:L,"&lt;&gt;",总表!E:E,$BA$3,总表!E:E,$BA$4)</f>
        <v>2</v>
      </c>
      <c r="AH7" s="238">
        <f>SUMIFS(总表!N:N,总表!B:B,$AG$1,总表!D:D,A7,总表!E:E,$BA$3,总表!E:E,$BA$4)</f>
        <v>50509</v>
      </c>
      <c r="AI7" s="237">
        <f>COUNTIFS(总表!B:B,$AI$1,总表!D:D,A7,总表!L:L,"&lt;&gt;",总表!E:E,$BA$3,总表!E:E,$BA$4)</f>
        <v>0</v>
      </c>
      <c r="AJ7" s="238">
        <f>SUMIFS(总表!N:N,总表!B:B,AI$1,总表!D:D,A7,总表!E:E,$BA$3,总表!E:E,$BA$4)</f>
        <v>0</v>
      </c>
      <c r="AK7" s="237">
        <f>COUNTIFS(总表!B:B,$AK$1,总表!D:D,A7,总表!L:L,"&lt;&gt;",总表!E:E,$BA$3,总表!E:E,$BA$4)</f>
        <v>0</v>
      </c>
      <c r="AL7" s="238">
        <f>SUMIFS(总表!N:N,总表!B:B,$AK$1,总表!D:D,A7,总表!E:E,$BA$3,总表!E:E,$BA$4)</f>
        <v>0</v>
      </c>
      <c r="AM7" s="237">
        <f>COUNTIFS(总表!B:B,$AM$1,总表!D:D,A7,总表!L:L,"&lt;&gt;",总表!E:E,$BA$3,总表!E:E,$BA$4)</f>
        <v>0</v>
      </c>
      <c r="AN7" s="238">
        <f>SUMIFS(总表!N:N,总表!B:B,$AM$1,总表!D:D,A7,总表!E:E,$BA$3,总表!E:E,$BA$4)</f>
        <v>0</v>
      </c>
      <c r="AO7" s="237">
        <f>COUNTIFS(总表!B:B,$AO$1,总表!D:D,A7,总表!L:L,"&lt;&gt;",总表!E:E,$BA$3,总表!E:E,$BA$4)</f>
        <v>0</v>
      </c>
      <c r="AP7" s="238">
        <f>SUMIFS(总表!N:N,总表!B:B,$AO$1,总表!D:D,A7,总表!E:E,$BA$3,总表!E:E,$BA$4)</f>
        <v>0</v>
      </c>
      <c r="AQ7" s="237">
        <f>COUNTIFS(总表!B:B,$AQ$1,总表!D:D,A7,总表!L:L,"&lt;&gt;",总表!E:E,$BA$3,总表!E:E,$BA$4)</f>
        <v>0</v>
      </c>
      <c r="AR7" s="238">
        <f>SUMIFS(总表!N:N,总表!B:B,$AQ$1,总表!D:D,A7,总表!E:E,$BA$3,总表!E:E,$BA$4)</f>
        <v>0</v>
      </c>
      <c r="AS7" s="237">
        <f>COUNTIFS(总表!B:B,$AS$1,总表!D:D,A7,总表!L:L,"&lt;&gt;",总表!E:E,$BA$3,总表!E:E,$BA$4)</f>
        <v>0</v>
      </c>
      <c r="AT7" s="238">
        <f>SUMIFS(总表!N:N,总表!B:B,$AS$1,总表!D:D,A7,总表!E:E,$BA$3,总表!E:E,$BA$4)</f>
        <v>0</v>
      </c>
      <c r="AU7" s="237">
        <f>COUNTIFS(总表!B:B,$AU$1,总表!D:D,A7,总表!L:L,"&lt;&gt;",总表!E:E,$BA$3,总表!E:E,$BA$4)</f>
        <v>0</v>
      </c>
      <c r="AV7" s="238">
        <f>SUMIFS(总表!N:N,总表!B:B,$AU$1,总表!D:D,A7,总表!E:E,$BA$3,总表!E:E,$BA$4)</f>
        <v>0</v>
      </c>
      <c r="AW7" s="242">
        <f>COUNTIFS(总表!B:B,$AW$1,总表!D:D,A7,总表!L:L,"&lt;&gt;",总表!E:E,$BA$3,总表!E:E,$BA$4)</f>
        <v>0</v>
      </c>
      <c r="AX7" s="242">
        <f>SUMIFS(总表!N:N,总表!B:B,$AW$1,总表!D:D,A7,总表!E:E,$BA$3,总表!E:E,$BA$4)</f>
        <v>0</v>
      </c>
      <c r="AY7" s="242">
        <f>COUNTIFS(总表!B:B,$AY$1,总表!D:D,A7,总表!L:L,"&lt;&gt;",总表!E:E,$BA$3,总表!E:E,$BA$4)</f>
        <v>0</v>
      </c>
      <c r="AZ7" s="242">
        <f>SUMIFS(总表!N:N,总表!B:B,$AY$1,总表!D:D,A7,总表!E:E,$BA$3,总表!E:E,$BA$4)</f>
        <v>0</v>
      </c>
      <c r="BB7" s="34">
        <f t="shared" si="0"/>
        <v>309709</v>
      </c>
      <c r="BC7" s="34">
        <f>E7</f>
        <v>7</v>
      </c>
      <c r="BD7" s="34">
        <f>F7</f>
        <v>259200</v>
      </c>
      <c r="BE7" s="244">
        <f t="shared" si="1"/>
        <v>37028.5714285714</v>
      </c>
      <c r="BF7" s="245">
        <f t="shared" si="2"/>
        <v>0.836914652141204</v>
      </c>
      <c r="BG7" s="34">
        <f>COUNTIFS(总表!D:D,A7,总表!L:L,"&lt;&gt;",总表!E:E,$BA$3,总表!E:E,$BA$4)-BC7</f>
        <v>2</v>
      </c>
      <c r="BH7" s="34">
        <f t="shared" si="3"/>
        <v>50509</v>
      </c>
    </row>
    <row r="8" spans="1:60">
      <c r="A8" s="14" t="s">
        <v>221</v>
      </c>
      <c r="B8" s="13" t="str">
        <f>VLOOKUP(A8,设计师对应店铺!A:B,COLUMN(设计师对应店铺!B:B)-COLUMN(设计师对应店铺!A:B)+1,0)</f>
        <v>汶水店</v>
      </c>
      <c r="C8" s="237">
        <f>COUNTIFS(总表!B:B,$C$1,总表!D:D,A8,总表!L:L,"&lt;&gt;",总表!E:E,$BA$3,总表!E:E,$BA$4)</f>
        <v>0</v>
      </c>
      <c r="D8" s="238">
        <f>SUMIFS(总表!N:N,总表!B:B,$C$1,总表!D:D,A8,总表!E:E,$BA$3,总表!E:E,$BA$4)</f>
        <v>0</v>
      </c>
      <c r="E8" s="237">
        <f>COUNTIFS(总表!B:B,$E$1,总表!D:D,A8,总表!L:L,"&lt;&gt;",总表!E:E,$BA$3,总表!E:E,$BA$4)</f>
        <v>0</v>
      </c>
      <c r="F8" s="238">
        <f>SUMIFS(总表!N:N,总表!B:B,$E$1,总表!D:D,A8,总表!E:E,$BA$3,总表!E:E,$BA$4)</f>
        <v>0</v>
      </c>
      <c r="G8" s="239">
        <f>COUNTIFS(总表!B:B,$G$1,总表!D:D,A8,总表!L:L,"&lt;&gt;",总表!E:E,$BA$3,总表!E:E,$BA$4)</f>
        <v>13</v>
      </c>
      <c r="H8" s="239">
        <f>SUMIFS(总表!N:N,总表!B:B,$G$1,总表!D:D,A8,总表!E:E,$BA$3,总表!E:E,$BA$4)</f>
        <v>150749</v>
      </c>
      <c r="I8" s="237">
        <f>COUNTIFS(总表!B:B,$I$1,总表!D:D,A8,总表!L:L,"&lt;&gt;",总表!E:E,$BA$3,总表!E:E,$BA$4)</f>
        <v>0</v>
      </c>
      <c r="J8" s="238">
        <f>SUMIFS(总表!N:N,总表!B:B,$I$1,总表!D:D,A8,总表!E:E,$BA$3,总表!E:E,$BA$4)</f>
        <v>0</v>
      </c>
      <c r="K8" s="237">
        <f>COUNTIFS(总表!B:B,$K$1,总表!D:D,A8,总表!L:L,"&lt;&gt;",总表!E:E,$BA$3,总表!E:E,$BA$4)</f>
        <v>0</v>
      </c>
      <c r="L8" s="238">
        <f>SUMIFS(总表!N:N,总表!B:B,$K$1,总表!D:D,A8,总表!E:E,$BA$3,总表!E:E,$BA$4)</f>
        <v>0</v>
      </c>
      <c r="M8" s="237">
        <f>COUNTIFS(总表!B:B,$M$1,总表!D:D,A8,总表!L:L,"&lt;&gt;",总表!E:E,$BA$3,总表!E:E,$BA$4)</f>
        <v>0</v>
      </c>
      <c r="N8" s="238">
        <f>SUMIFS(总表!N:N,总表!B:B,$M$1,总表!D:D,A8,总表!E:E,$BA$3,总表!E:E,$BA$4)</f>
        <v>0</v>
      </c>
      <c r="O8" s="237">
        <f>COUNTIFS(总表!B:B,$O$1,总表!D:D,A8,总表!L:L,"&lt;&gt;",总表!E:E,$BA$3,总表!E:E,$BA$4)</f>
        <v>0</v>
      </c>
      <c r="P8" s="238">
        <f>SUMIFS(总表!N:N,总表!B:B,$O$1,总表!D:D,A8,总表!E:E,$BA$3,总表!E:E,$BA$4)</f>
        <v>0</v>
      </c>
      <c r="Q8" s="237">
        <f>COUNTIFS(总表!B:B,$Q$1,总表!D:D,A8,总表!L:L,"&lt;&gt;",总表!E:E,$BA$3,总表!E:E,$BA$4)</f>
        <v>0</v>
      </c>
      <c r="R8" s="238">
        <f>SUMIFS(总表!N:N,总表!B:B,$Q$1,总表!D:D,A8,总表!E:E,$BA$3,总表!E:E,$BA$4)</f>
        <v>0</v>
      </c>
      <c r="S8" s="237">
        <f>COUNTIFS(总表!B:B,$S$1,总表!D:D,A8,总表!L:L,"&lt;&gt;",总表!E:E,$BA$3,总表!E:E,$BA$4)</f>
        <v>0</v>
      </c>
      <c r="T8" s="238">
        <f>SUMIFS(总表!N:N,总表!B:B,$S$1,总表!D:D,A8,总表!E:E,$BA$3,总表!E:E,$BA$4)</f>
        <v>0</v>
      </c>
      <c r="U8" s="237">
        <f>COUNTIFS(总表!B:B,$U$1,总表!D:D,A8,总表!L:L,"&lt;&gt;",总表!E:E,$BA$3,总表!E:E,$BA$4)</f>
        <v>0</v>
      </c>
      <c r="V8" s="238">
        <f>SUMIFS(总表!N:N,总表!B:B,$U$1,总表!D:D,A8,总表!E:E,$BA$3,总表!E:E,$BA$4)</f>
        <v>0</v>
      </c>
      <c r="W8" s="237">
        <f>COUNTIFS(总表!B:B,$W$1,总表!D:D,A8,总表!L:L,"&lt;&gt;",总表!E:E,$BA$3,总表!E:E,$BA$4)</f>
        <v>0</v>
      </c>
      <c r="X8" s="238">
        <f>SUMIFS(总表!N:N,总表!B:B,$W$1,总表!D:D,A8,总表!E:E,$BA$3,总表!E:E,$BA$4)</f>
        <v>0</v>
      </c>
      <c r="Y8" s="237">
        <f>COUNTIFS(总表!B:B,$Y$1,总表!D:D,A8,总表!L:L,"&lt;&gt;",总表!E:E,$BA$3,总表!E:E,$BA$4)</f>
        <v>0</v>
      </c>
      <c r="Z8" s="238">
        <f>SUMIFS(总表!N:N,总表!B:B,$Y$1,总表!D:D,A8,总表!E:E,$BA$3,总表!E:E,$BA$4)</f>
        <v>0</v>
      </c>
      <c r="AA8" s="237">
        <f>COUNTIFS(总表!B:B,$AA$1,总表!D:D,A8,总表!L:L,"&lt;&gt;",总表!E:E,$BA$3,总表!E:E,$BA$4)</f>
        <v>0</v>
      </c>
      <c r="AB8" s="238">
        <f>SUMIFS(总表!N:N,总表!B:B,$AA$1,总表!D:D,A8,总表!E:E,$BA$3,总表!E:E,$BA$4)</f>
        <v>0</v>
      </c>
      <c r="AC8" s="237">
        <f>COUNTIFS(总表!B:B,$AC$1,总表!D:D,A8,总表!L:L,"&lt;&gt;",总表!E:E,$BA$3,总表!E:E,$BA$4)</f>
        <v>0</v>
      </c>
      <c r="AD8" s="238">
        <f>SUMIFS(总表!N:N,总表!B:B,$AC$1,总表!D:D,A8,总表!E:E,$BA$3,总表!E:E,$BA$4)</f>
        <v>0</v>
      </c>
      <c r="AE8" s="237">
        <f>COUNTIFS(总表!B:B,$AE$1,总表!D:D,A8,总表!L:L,"&lt;&gt;",总表!E:E,$BA$3,总表!E:E,$BA$4)</f>
        <v>0</v>
      </c>
      <c r="AF8" s="238">
        <f>SUMIFS(总表!N:N,总表!B:B,$AE$1,总表!D:D,A8,总表!E:E,$BA$3,总表!E:E,$BA$4)</f>
        <v>0</v>
      </c>
      <c r="AG8" s="237">
        <f>COUNTIFS(总表!B:B,$AG$1,总表!D:D,A8,总表!L:L,"&lt;&gt;",总表!E:E,$BA$3,总表!E:E,$BA$4)</f>
        <v>0</v>
      </c>
      <c r="AH8" s="238">
        <f>SUMIFS(总表!N:N,总表!B:B,$AG$1,总表!D:D,A8,总表!E:E,$BA$3,总表!E:E,$BA$4)</f>
        <v>0</v>
      </c>
      <c r="AI8" s="237">
        <f>COUNTIFS(总表!B:B,$AI$1,总表!D:D,A8,总表!L:L,"&lt;&gt;",总表!E:E,$BA$3,总表!E:E,$BA$4)</f>
        <v>0</v>
      </c>
      <c r="AJ8" s="238">
        <f>SUMIFS(总表!N:N,总表!B:B,AI$1,总表!D:D,A8,总表!E:E,$BA$3,总表!E:E,$BA$4)</f>
        <v>0</v>
      </c>
      <c r="AK8" s="237">
        <f>COUNTIFS(总表!B:B,$AK$1,总表!D:D,A8,总表!L:L,"&lt;&gt;",总表!E:E,$BA$3,总表!E:E,$BA$4)</f>
        <v>0</v>
      </c>
      <c r="AL8" s="238">
        <f>SUMIFS(总表!N:N,总表!B:B,$AK$1,总表!D:D,A8,总表!E:E,$BA$3,总表!E:E,$BA$4)</f>
        <v>0</v>
      </c>
      <c r="AM8" s="237">
        <f>COUNTIFS(总表!B:B,$AM$1,总表!D:D,A8,总表!L:L,"&lt;&gt;",总表!E:E,$BA$3,总表!E:E,$BA$4)</f>
        <v>0</v>
      </c>
      <c r="AN8" s="238">
        <f>SUMIFS(总表!N:N,总表!B:B,$AM$1,总表!D:D,A8,总表!E:E,$BA$3,总表!E:E,$BA$4)</f>
        <v>0</v>
      </c>
      <c r="AO8" s="237">
        <f>COUNTIFS(总表!B:B,$AO$1,总表!D:D,A8,总表!L:L,"&lt;&gt;",总表!E:E,$BA$3,总表!E:E,$BA$4)</f>
        <v>0</v>
      </c>
      <c r="AP8" s="238">
        <f>SUMIFS(总表!N:N,总表!B:B,$AO$1,总表!D:D,A8,总表!E:E,$BA$3,总表!E:E,$BA$4)</f>
        <v>0</v>
      </c>
      <c r="AQ8" s="237">
        <f>COUNTIFS(总表!B:B,$AQ$1,总表!D:D,A8,总表!L:L,"&lt;&gt;",总表!E:E,$BA$3,总表!E:E,$BA$4)</f>
        <v>0</v>
      </c>
      <c r="AR8" s="238">
        <f>SUMIFS(总表!N:N,总表!B:B,$AQ$1,总表!D:D,A8,总表!E:E,$BA$3,总表!E:E,$BA$4)</f>
        <v>0</v>
      </c>
      <c r="AS8" s="237">
        <f>COUNTIFS(总表!B:B,$AS$1,总表!D:D,A8,总表!L:L,"&lt;&gt;",总表!E:E,$BA$3,总表!E:E,$BA$4)</f>
        <v>0</v>
      </c>
      <c r="AT8" s="238">
        <f>SUMIFS(总表!N:N,总表!B:B,$AS$1,总表!D:D,A8,总表!E:E,$BA$3,总表!E:E,$BA$4)</f>
        <v>0</v>
      </c>
      <c r="AU8" s="237">
        <f>COUNTIFS(总表!B:B,$AU$1,总表!D:D,A8,总表!L:L,"&lt;&gt;",总表!E:E,$BA$3,总表!E:E,$BA$4)</f>
        <v>0</v>
      </c>
      <c r="AV8" s="238">
        <f>SUMIFS(总表!N:N,总表!B:B,$AU$1,总表!D:D,A8,总表!E:E,$BA$3,总表!E:E,$BA$4)</f>
        <v>0</v>
      </c>
      <c r="AW8" s="242">
        <f>COUNTIFS(总表!B:B,$AW$1,总表!D:D,A8,总表!L:L,"&lt;&gt;",总表!E:E,$BA$3,总表!E:E,$BA$4)</f>
        <v>0</v>
      </c>
      <c r="AX8" s="242">
        <f>SUMIFS(总表!N:N,总表!B:B,$AW$1,总表!D:D,A8,总表!E:E,$BA$3,总表!E:E,$BA$4)</f>
        <v>0</v>
      </c>
      <c r="AY8" s="242">
        <f>COUNTIFS(总表!B:B,$AY$1,总表!D:D,A8,总表!L:L,"&lt;&gt;",总表!E:E,$BA$3,总表!E:E,$BA$4)</f>
        <v>0</v>
      </c>
      <c r="AZ8" s="242">
        <f>SUMIFS(总表!N:N,总表!B:B,$AY$1,总表!D:D,A8,总表!E:E,$BA$3,总表!E:E,$BA$4)</f>
        <v>0</v>
      </c>
      <c r="BB8" s="34">
        <f t="shared" si="0"/>
        <v>150749</v>
      </c>
      <c r="BC8" s="34">
        <f>G8</f>
        <v>13</v>
      </c>
      <c r="BD8" s="34">
        <f>H8</f>
        <v>150749</v>
      </c>
      <c r="BE8" s="244">
        <f t="shared" si="1"/>
        <v>11596.0769230769</v>
      </c>
      <c r="BF8" s="245">
        <f t="shared" si="2"/>
        <v>1</v>
      </c>
      <c r="BG8" s="34">
        <f>COUNTIFS(总表!D:D,A8,总表!L:L,"&lt;&gt;",总表!E:E,$BA$3,总表!E:E,$BA$4)-BC8</f>
        <v>0</v>
      </c>
      <c r="BH8" s="34">
        <f t="shared" si="3"/>
        <v>0</v>
      </c>
    </row>
    <row r="9" spans="1:60">
      <c r="A9" s="14" t="s">
        <v>337</v>
      </c>
      <c r="B9" s="13" t="str">
        <f>VLOOKUP(A9,设计师对应店铺!A:B,COLUMN(设计师对应店铺!B:B)-COLUMN(设计师对应店铺!A:B)+1,0)</f>
        <v>建配龙</v>
      </c>
      <c r="C9" s="237">
        <f>COUNTIFS(总表!B:B,$C$1,总表!D:D,A9,总表!L:L,"&lt;&gt;",总表!E:E,$BA$3,总表!E:E,$BA$4)</f>
        <v>0</v>
      </c>
      <c r="D9" s="238">
        <f>SUMIFS(总表!N:N,总表!B:B,$C$1,总表!D:D,A9,总表!E:E,$BA$3,总表!E:E,$BA$4)</f>
        <v>0</v>
      </c>
      <c r="E9" s="237">
        <f>COUNTIFS(总表!B:B,$E$1,总表!D:D,A9,总表!L:L,"&lt;&gt;",总表!E:E,$BA$3,总表!E:E,$BA$4)</f>
        <v>0</v>
      </c>
      <c r="F9" s="238">
        <f>SUMIFS(总表!N:N,总表!B:B,$E$1,总表!D:D,A9,总表!E:E,$BA$3,总表!E:E,$BA$4)</f>
        <v>0</v>
      </c>
      <c r="G9" s="237">
        <f>COUNTIFS(总表!B:B,$G$1,总表!D:D,A9,总表!L:L,"&lt;&gt;",总表!E:E,$BA$3,总表!E:E,$BA$4)</f>
        <v>1</v>
      </c>
      <c r="H9" s="238">
        <f>SUMIFS(总表!N:N,总表!B:B,$G$1,总表!D:D,A9,总表!E:E,$BA$3,总表!E:E,$BA$4)</f>
        <v>17826</v>
      </c>
      <c r="I9" s="239">
        <f>COUNTIFS(总表!B:B,$I$1,总表!D:D,A9,总表!L:L,"&lt;&gt;",总表!E:E,$BA$3,总表!E:E,$BA$4)</f>
        <v>17</v>
      </c>
      <c r="J9" s="239">
        <f>SUMIFS(总表!N:N,总表!B:B,$I$1,总表!D:D,A9,总表!E:E,$BA$3,总表!E:E,$BA$4)</f>
        <v>244510</v>
      </c>
      <c r="K9" s="237">
        <f>COUNTIFS(总表!B:B,$K$1,总表!D:D,A9,总表!L:L,"&lt;&gt;",总表!E:E,$BA$3,总表!E:E,$BA$4)</f>
        <v>0</v>
      </c>
      <c r="L9" s="238">
        <f>SUMIFS(总表!N:N,总表!B:B,$K$1,总表!D:D,A9,总表!E:E,$BA$3,总表!E:E,$BA$4)</f>
        <v>0</v>
      </c>
      <c r="M9" s="237">
        <f>COUNTIFS(总表!B:B,$M$1,总表!D:D,A9,总表!L:L,"&lt;&gt;",总表!E:E,$BA$3,总表!E:E,$BA$4)</f>
        <v>0</v>
      </c>
      <c r="N9" s="238">
        <f>SUMIFS(总表!N:N,总表!B:B,$M$1,总表!D:D,A9,总表!E:E,$BA$3,总表!E:E,$BA$4)</f>
        <v>0</v>
      </c>
      <c r="O9" s="237">
        <f>COUNTIFS(总表!B:B,$O$1,总表!D:D,A9,总表!L:L,"&lt;&gt;",总表!E:E,$BA$3,总表!E:E,$BA$4)</f>
        <v>0</v>
      </c>
      <c r="P9" s="238">
        <f>SUMIFS(总表!N:N,总表!B:B,$O$1,总表!D:D,A9,总表!E:E,$BA$3,总表!E:E,$BA$4)</f>
        <v>0</v>
      </c>
      <c r="Q9" s="237">
        <f>COUNTIFS(总表!B:B,$Q$1,总表!D:D,A9,总表!L:L,"&lt;&gt;",总表!E:E,$BA$3,总表!E:E,$BA$4)</f>
        <v>0</v>
      </c>
      <c r="R9" s="238">
        <f>SUMIFS(总表!N:N,总表!B:B,$Q$1,总表!D:D,A9,总表!E:E,$BA$3,总表!E:E,$BA$4)</f>
        <v>0</v>
      </c>
      <c r="S9" s="237">
        <f>COUNTIFS(总表!B:B,$S$1,总表!D:D,A9,总表!L:L,"&lt;&gt;",总表!E:E,$BA$3,总表!E:E,$BA$4)</f>
        <v>0</v>
      </c>
      <c r="T9" s="238">
        <f>SUMIFS(总表!N:N,总表!B:B,$S$1,总表!D:D,A9,总表!E:E,$BA$3,总表!E:E,$BA$4)</f>
        <v>0</v>
      </c>
      <c r="U9" s="237">
        <f>COUNTIFS(总表!B:B,$U$1,总表!D:D,A9,总表!L:L,"&lt;&gt;",总表!E:E,$BA$3,总表!E:E,$BA$4)</f>
        <v>0</v>
      </c>
      <c r="V9" s="238">
        <f>SUMIFS(总表!N:N,总表!B:B,$U$1,总表!D:D,A9,总表!E:E,$BA$3,总表!E:E,$BA$4)</f>
        <v>0</v>
      </c>
      <c r="W9" s="237">
        <f>COUNTIFS(总表!B:B,$W$1,总表!D:D,A9,总表!L:L,"&lt;&gt;",总表!E:E,$BA$3,总表!E:E,$BA$4)</f>
        <v>0</v>
      </c>
      <c r="X9" s="238">
        <f>SUMIFS(总表!N:N,总表!B:B,$W$1,总表!D:D,A9,总表!E:E,$BA$3,总表!E:E,$BA$4)</f>
        <v>0</v>
      </c>
      <c r="Y9" s="237">
        <f>COUNTIFS(总表!B:B,$Y$1,总表!D:D,A9,总表!L:L,"&lt;&gt;",总表!E:E,$BA$3,总表!E:E,$BA$4)</f>
        <v>0</v>
      </c>
      <c r="Z9" s="238">
        <f>SUMIFS(总表!N:N,总表!B:B,$Y$1,总表!D:D,A9,总表!E:E,$BA$3,总表!E:E,$BA$4)</f>
        <v>0</v>
      </c>
      <c r="AA9" s="237">
        <f>COUNTIFS(总表!B:B,$AA$1,总表!D:D,A9,总表!L:L,"&lt;&gt;",总表!E:E,$BA$3,总表!E:E,$BA$4)</f>
        <v>0</v>
      </c>
      <c r="AB9" s="238">
        <f>SUMIFS(总表!N:N,总表!B:B,$AA$1,总表!D:D,A9,总表!E:E,$BA$3,总表!E:E,$BA$4)</f>
        <v>0</v>
      </c>
      <c r="AC9" s="237">
        <f>COUNTIFS(总表!B:B,$AC$1,总表!D:D,A9,总表!L:L,"&lt;&gt;",总表!E:E,$BA$3,总表!E:E,$BA$4)</f>
        <v>0</v>
      </c>
      <c r="AD9" s="238">
        <f>SUMIFS(总表!N:N,总表!B:B,$AC$1,总表!D:D,A9,总表!E:E,$BA$3,总表!E:E,$BA$4)</f>
        <v>0</v>
      </c>
      <c r="AE9" s="237">
        <f>COUNTIFS(总表!B:B,$AE$1,总表!D:D,A9,总表!L:L,"&lt;&gt;",总表!E:E,$BA$3,总表!E:E,$BA$4)</f>
        <v>0</v>
      </c>
      <c r="AF9" s="238">
        <f>SUMIFS(总表!N:N,总表!B:B,$AE$1,总表!D:D,A9,总表!E:E,$BA$3,总表!E:E,$BA$4)</f>
        <v>0</v>
      </c>
      <c r="AG9" s="237">
        <f>COUNTIFS(总表!B:B,$AG$1,总表!D:D,A9,总表!L:L,"&lt;&gt;",总表!E:E,$BA$3,总表!E:E,$BA$4)</f>
        <v>0</v>
      </c>
      <c r="AH9" s="238">
        <f>SUMIFS(总表!N:N,总表!B:B,$AG$1,总表!D:D,A9,总表!E:E,$BA$3,总表!E:E,$BA$4)</f>
        <v>0</v>
      </c>
      <c r="AI9" s="237">
        <f>COUNTIFS(总表!B:B,$AI$1,总表!D:D,A9,总表!L:L,"&lt;&gt;",总表!E:E,$BA$3,总表!E:E,$BA$4)</f>
        <v>0</v>
      </c>
      <c r="AJ9" s="238">
        <f>SUMIFS(总表!N:N,总表!B:B,AI$1,总表!D:D,A9,总表!E:E,$BA$3,总表!E:E,$BA$4)</f>
        <v>0</v>
      </c>
      <c r="AK9" s="237">
        <f>COUNTIFS(总表!B:B,$AK$1,总表!D:D,A9,总表!L:L,"&lt;&gt;",总表!E:E,$BA$3,总表!E:E,$BA$4)</f>
        <v>0</v>
      </c>
      <c r="AL9" s="238">
        <f>SUMIFS(总表!N:N,总表!B:B,$AK$1,总表!D:D,A9,总表!E:E,$BA$3,总表!E:E,$BA$4)</f>
        <v>0</v>
      </c>
      <c r="AM9" s="237">
        <f>COUNTIFS(总表!B:B,$AM$1,总表!D:D,A9,总表!L:L,"&lt;&gt;",总表!E:E,$BA$3,总表!E:E,$BA$4)</f>
        <v>0</v>
      </c>
      <c r="AN9" s="238">
        <f>SUMIFS(总表!N:N,总表!B:B,$AM$1,总表!D:D,A9,总表!E:E,$BA$3,总表!E:E,$BA$4)</f>
        <v>0</v>
      </c>
      <c r="AO9" s="237">
        <f>COUNTIFS(总表!B:B,$AO$1,总表!D:D,A9,总表!L:L,"&lt;&gt;",总表!E:E,$BA$3,总表!E:E,$BA$4)</f>
        <v>0</v>
      </c>
      <c r="AP9" s="238">
        <f>SUMIFS(总表!N:N,总表!B:B,$AO$1,总表!D:D,A9,总表!E:E,$BA$3,总表!E:E,$BA$4)</f>
        <v>0</v>
      </c>
      <c r="AQ9" s="237">
        <f>COUNTIFS(总表!B:B,$AQ$1,总表!D:D,A9,总表!L:L,"&lt;&gt;",总表!E:E,$BA$3,总表!E:E,$BA$4)</f>
        <v>0</v>
      </c>
      <c r="AR9" s="238">
        <f>SUMIFS(总表!N:N,总表!B:B,$AQ$1,总表!D:D,A9,总表!E:E,$BA$3,总表!E:E,$BA$4)</f>
        <v>0</v>
      </c>
      <c r="AS9" s="237">
        <f>COUNTIFS(总表!B:B,$AS$1,总表!D:D,A9,总表!L:L,"&lt;&gt;",总表!E:E,$BA$3,总表!E:E,$BA$4)</f>
        <v>5</v>
      </c>
      <c r="AT9" s="238">
        <f>SUMIFS(总表!N:N,总表!B:B,$AS$1,总表!D:D,A9,总表!E:E,$BA$3,总表!E:E,$BA$4)</f>
        <v>41329</v>
      </c>
      <c r="AU9" s="237">
        <f>COUNTIFS(总表!B:B,$AU$1,总表!D:D,A9,总表!L:L,"&lt;&gt;",总表!E:E,$BA$3,总表!E:E,$BA$4)</f>
        <v>0</v>
      </c>
      <c r="AV9" s="238">
        <f>SUMIFS(总表!N:N,总表!B:B,$AU$1,总表!D:D,A9,总表!E:E,$BA$3,总表!E:E,$BA$4)</f>
        <v>0</v>
      </c>
      <c r="AW9" s="242">
        <f>COUNTIFS(总表!B:B,$AW$1,总表!D:D,A9,总表!L:L,"&lt;&gt;",总表!E:E,$BA$3,总表!E:E,$BA$4)</f>
        <v>0</v>
      </c>
      <c r="AX9" s="242">
        <f>SUMIFS(总表!N:N,总表!B:B,$AW$1,总表!D:D,A9,总表!E:E,$BA$3,总表!E:E,$BA$4)</f>
        <v>0</v>
      </c>
      <c r="AY9" s="242">
        <f>COUNTIFS(总表!B:B,$AY$1,总表!D:D,A9,总表!L:L,"&lt;&gt;",总表!E:E,$BA$3,总表!E:E,$BA$4)</f>
        <v>0</v>
      </c>
      <c r="AZ9" s="242">
        <f>SUMIFS(总表!N:N,总表!B:B,$AY$1,总表!D:D,A9,总表!E:E,$BA$3,总表!E:E,$BA$4)</f>
        <v>0</v>
      </c>
      <c r="BB9" s="34">
        <f t="shared" si="0"/>
        <v>303665</v>
      </c>
      <c r="BC9" s="34">
        <f>I9</f>
        <v>17</v>
      </c>
      <c r="BD9" s="34">
        <f>J9</f>
        <v>244510</v>
      </c>
      <c r="BE9" s="244">
        <f t="shared" si="1"/>
        <v>14382.9411764706</v>
      </c>
      <c r="BF9" s="245">
        <f t="shared" si="2"/>
        <v>0.805196515897453</v>
      </c>
      <c r="BG9" s="34">
        <f>COUNTIFS(总表!D:D,A9,总表!L:L,"&lt;&gt;",总表!E:E,$BA$3,总表!E:E,$BA$4)-BC9</f>
        <v>6</v>
      </c>
      <c r="BH9" s="34">
        <f t="shared" si="3"/>
        <v>59155</v>
      </c>
    </row>
    <row r="10" spans="1:60">
      <c r="A10" s="14" t="s">
        <v>33</v>
      </c>
      <c r="B10" s="13" t="str">
        <f>VLOOKUP(A10,设计师对应店铺!A:B,COLUMN(设计师对应店铺!B:B)-COLUMN(设计师对应店铺!A:B)+1,0)</f>
        <v>汶水店</v>
      </c>
      <c r="C10" s="237">
        <f>COUNTIFS(总表!B:B,$C$1,总表!D:D,A10,总表!L:L,"&lt;&gt;",总表!E:E,$BA$3,总表!E:E,$BA$4)</f>
        <v>1</v>
      </c>
      <c r="D10" s="238">
        <f>SUMIFS(总表!N:N,总表!B:B,$C$1,总表!D:D,A10,总表!E:E,$BA$3,总表!E:E,$BA$4)</f>
        <v>13238</v>
      </c>
      <c r="E10" s="237">
        <f>COUNTIFS(总表!B:B,$E$1,总表!D:D,A10,总表!L:L,"&lt;&gt;",总表!E:E,$BA$3,总表!E:E,$BA$4)</f>
        <v>0</v>
      </c>
      <c r="F10" s="238">
        <f>SUMIFS(总表!N:N,总表!B:B,$E$1,总表!D:D,A10,总表!E:E,$BA$3,总表!E:E,$BA$4)</f>
        <v>0</v>
      </c>
      <c r="G10" s="239">
        <f>COUNTIFS(总表!B:B,$G$1,总表!D:D,A10,总表!L:L,"&lt;&gt;",总表!E:E,$BA$3,总表!E:E,$BA$4)</f>
        <v>20</v>
      </c>
      <c r="H10" s="239">
        <f>SUMIFS(总表!N:N,总表!B:B,$G$1,总表!D:D,A10,总表!E:E,$BA$3,总表!E:E,$BA$4)</f>
        <v>273463</v>
      </c>
      <c r="I10" s="237">
        <f>COUNTIFS(总表!B:B,$I$1,总表!D:D,A10,总表!L:L,"&lt;&gt;",总表!E:E,$BA$3,总表!E:E,$BA$4)</f>
        <v>1</v>
      </c>
      <c r="J10" s="238">
        <f>SUMIFS(总表!N:N,总表!B:B,$I$1,总表!D:D,A10,总表!E:E,$BA$3,总表!E:E,$BA$4)</f>
        <v>13837</v>
      </c>
      <c r="K10" s="237">
        <f>COUNTIFS(总表!B:B,$K$1,总表!D:D,A10,总表!L:L,"&lt;&gt;",总表!E:E,$BA$3,总表!E:E,$BA$4)</f>
        <v>0</v>
      </c>
      <c r="L10" s="238">
        <f>SUMIFS(总表!N:N,总表!B:B,$K$1,总表!D:D,A10,总表!E:E,$BA$3,总表!E:E,$BA$4)</f>
        <v>0</v>
      </c>
      <c r="M10" s="237">
        <f>COUNTIFS(总表!B:B,$M$1,总表!D:D,A10,总表!L:L,"&lt;&gt;",总表!E:E,$BA$3,总表!E:E,$BA$4)</f>
        <v>0</v>
      </c>
      <c r="N10" s="238">
        <f>SUMIFS(总表!N:N,总表!B:B,$M$1,总表!D:D,A10,总表!E:E,$BA$3,总表!E:E,$BA$4)</f>
        <v>0</v>
      </c>
      <c r="O10" s="237">
        <f>COUNTIFS(总表!B:B,$O$1,总表!D:D,A10,总表!L:L,"&lt;&gt;",总表!E:E,$BA$3,总表!E:E,$BA$4)</f>
        <v>0</v>
      </c>
      <c r="P10" s="238">
        <f>SUMIFS(总表!N:N,总表!B:B,$O$1,总表!D:D,A10,总表!E:E,$BA$3,总表!E:E,$BA$4)</f>
        <v>0</v>
      </c>
      <c r="Q10" s="237">
        <f>COUNTIFS(总表!B:B,$Q$1,总表!D:D,A10,总表!L:L,"&lt;&gt;",总表!E:E,$BA$3,总表!E:E,$BA$4)</f>
        <v>0</v>
      </c>
      <c r="R10" s="238">
        <f>SUMIFS(总表!N:N,总表!B:B,$Q$1,总表!D:D,A10,总表!E:E,$BA$3,总表!E:E,$BA$4)</f>
        <v>0</v>
      </c>
      <c r="S10" s="237">
        <f>COUNTIFS(总表!B:B,$S$1,总表!D:D,A10,总表!L:L,"&lt;&gt;",总表!E:E,$BA$3,总表!E:E,$BA$4)</f>
        <v>0</v>
      </c>
      <c r="T10" s="238">
        <f>SUMIFS(总表!N:N,总表!B:B,$S$1,总表!D:D,A10,总表!E:E,$BA$3,总表!E:E,$BA$4)</f>
        <v>0</v>
      </c>
      <c r="U10" s="237">
        <f>COUNTIFS(总表!B:B,$U$1,总表!D:D,A10,总表!L:L,"&lt;&gt;",总表!E:E,$BA$3,总表!E:E,$BA$4)</f>
        <v>0</v>
      </c>
      <c r="V10" s="238">
        <f>SUMIFS(总表!N:N,总表!B:B,$U$1,总表!D:D,A10,总表!E:E,$BA$3,总表!E:E,$BA$4)</f>
        <v>0</v>
      </c>
      <c r="W10" s="237">
        <f>COUNTIFS(总表!B:B,$W$1,总表!D:D,A10,总表!L:L,"&lt;&gt;",总表!E:E,$BA$3,总表!E:E,$BA$4)</f>
        <v>0</v>
      </c>
      <c r="X10" s="238">
        <f>SUMIFS(总表!N:N,总表!B:B,$W$1,总表!D:D,A10,总表!E:E,$BA$3,总表!E:E,$BA$4)</f>
        <v>0</v>
      </c>
      <c r="Y10" s="237">
        <f>COUNTIFS(总表!B:B,$Y$1,总表!D:D,A10,总表!L:L,"&lt;&gt;",总表!E:E,$BA$3,总表!E:E,$BA$4)</f>
        <v>0</v>
      </c>
      <c r="Z10" s="238">
        <f>SUMIFS(总表!N:N,总表!B:B,$Y$1,总表!D:D,A10,总表!E:E,$BA$3,总表!E:E,$BA$4)</f>
        <v>0</v>
      </c>
      <c r="AA10" s="237">
        <f>COUNTIFS(总表!B:B,$AA$1,总表!D:D,A10,总表!L:L,"&lt;&gt;",总表!E:E,$BA$3,总表!E:E,$BA$4)</f>
        <v>0</v>
      </c>
      <c r="AB10" s="238">
        <f>SUMIFS(总表!N:N,总表!B:B,$AA$1,总表!D:D,A10,总表!E:E,$BA$3,总表!E:E,$BA$4)</f>
        <v>0</v>
      </c>
      <c r="AC10" s="237">
        <f>COUNTIFS(总表!B:B,$AC$1,总表!D:D,A10,总表!L:L,"&lt;&gt;",总表!E:E,$BA$3,总表!E:E,$BA$4)</f>
        <v>0</v>
      </c>
      <c r="AD10" s="238">
        <f>SUMIFS(总表!N:N,总表!B:B,$AC$1,总表!D:D,A10,总表!E:E,$BA$3,总表!E:E,$BA$4)</f>
        <v>0</v>
      </c>
      <c r="AE10" s="237">
        <f>COUNTIFS(总表!B:B,$AE$1,总表!D:D,A10,总表!L:L,"&lt;&gt;",总表!E:E,$BA$3,总表!E:E,$BA$4)</f>
        <v>0</v>
      </c>
      <c r="AF10" s="238">
        <f>SUMIFS(总表!N:N,总表!B:B,$AE$1,总表!D:D,A10,总表!E:E,$BA$3,总表!E:E,$BA$4)</f>
        <v>0</v>
      </c>
      <c r="AG10" s="237">
        <f>COUNTIFS(总表!B:B,$AG$1,总表!D:D,A10,总表!L:L,"&lt;&gt;",总表!E:E,$BA$3,总表!E:E,$BA$4)</f>
        <v>0</v>
      </c>
      <c r="AH10" s="238">
        <f>SUMIFS(总表!N:N,总表!B:B,$AG$1,总表!D:D,A10,总表!E:E,$BA$3,总表!E:E,$BA$4)</f>
        <v>0</v>
      </c>
      <c r="AI10" s="237">
        <f>COUNTIFS(总表!B:B,$AI$1,总表!D:D,A10,总表!L:L,"&lt;&gt;",总表!E:E,$BA$3,总表!E:E,$BA$4)</f>
        <v>0</v>
      </c>
      <c r="AJ10" s="238">
        <f>SUMIFS(总表!N:N,总表!B:B,AI$1,总表!D:D,A10,总表!E:E,$BA$3,总表!E:E,$BA$4)</f>
        <v>0</v>
      </c>
      <c r="AK10" s="237">
        <f>COUNTIFS(总表!B:B,$AK$1,总表!D:D,A10,总表!L:L,"&lt;&gt;",总表!E:E,$BA$3,总表!E:E,$BA$4)</f>
        <v>0</v>
      </c>
      <c r="AL10" s="238">
        <f>SUMIFS(总表!N:N,总表!B:B,$AK$1,总表!D:D,A10,总表!E:E,$BA$3,总表!E:E,$BA$4)</f>
        <v>0</v>
      </c>
      <c r="AM10" s="237">
        <f>COUNTIFS(总表!B:B,$AM$1,总表!D:D,A10,总表!L:L,"&lt;&gt;",总表!E:E,$BA$3,总表!E:E,$BA$4)</f>
        <v>0</v>
      </c>
      <c r="AN10" s="238">
        <f>SUMIFS(总表!N:N,总表!B:B,$AM$1,总表!D:D,A10,总表!E:E,$BA$3,总表!E:E,$BA$4)</f>
        <v>0</v>
      </c>
      <c r="AO10" s="237">
        <f>COUNTIFS(总表!B:B,$AO$1,总表!D:D,A10,总表!L:L,"&lt;&gt;",总表!E:E,$BA$3,总表!E:E,$BA$4)</f>
        <v>0</v>
      </c>
      <c r="AP10" s="238">
        <f>SUMIFS(总表!N:N,总表!B:B,$AO$1,总表!D:D,A10,总表!E:E,$BA$3,总表!E:E,$BA$4)</f>
        <v>0</v>
      </c>
      <c r="AQ10" s="237">
        <f>COUNTIFS(总表!B:B,$AQ$1,总表!D:D,A10,总表!L:L,"&lt;&gt;",总表!E:E,$BA$3,总表!E:E,$BA$4)</f>
        <v>0</v>
      </c>
      <c r="AR10" s="238">
        <f>SUMIFS(总表!N:N,总表!B:B,$AQ$1,总表!D:D,A10,总表!E:E,$BA$3,总表!E:E,$BA$4)</f>
        <v>0</v>
      </c>
      <c r="AS10" s="237">
        <f>COUNTIFS(总表!B:B,$AS$1,总表!D:D,A10,总表!L:L,"&lt;&gt;",总表!E:E,$BA$3,总表!E:E,$BA$4)</f>
        <v>0</v>
      </c>
      <c r="AT10" s="238">
        <f>SUMIFS(总表!N:N,总表!B:B,$AS$1,总表!D:D,A10,总表!E:E,$BA$3,总表!E:E,$BA$4)</f>
        <v>0</v>
      </c>
      <c r="AU10" s="237">
        <f>COUNTIFS(总表!B:B,$AU$1,总表!D:D,A10,总表!L:L,"&lt;&gt;",总表!E:E,$BA$3,总表!E:E,$BA$4)</f>
        <v>0</v>
      </c>
      <c r="AV10" s="238">
        <f>SUMIFS(总表!N:N,总表!B:B,$AU$1,总表!D:D,A10,总表!E:E,$BA$3,总表!E:E,$BA$4)</f>
        <v>0</v>
      </c>
      <c r="AW10" s="242">
        <f>COUNTIFS(总表!B:B,$AW$1,总表!D:D,A10,总表!L:L,"&lt;&gt;",总表!E:E,$BA$3,总表!E:E,$BA$4)</f>
        <v>0</v>
      </c>
      <c r="AX10" s="242">
        <f>SUMIFS(总表!N:N,总表!B:B,$AW$1,总表!D:D,A10,总表!E:E,$BA$3,总表!E:E,$BA$4)</f>
        <v>0</v>
      </c>
      <c r="AY10" s="242">
        <f>COUNTIFS(总表!B:B,$AY$1,总表!D:D,A10,总表!L:L,"&lt;&gt;",总表!E:E,$BA$3,总表!E:E,$BA$4)</f>
        <v>0</v>
      </c>
      <c r="AZ10" s="242">
        <f>SUMIFS(总表!N:N,总表!B:B,$AY$1,总表!D:D,A10,总表!E:E,$BA$3,总表!E:E,$BA$4)</f>
        <v>0</v>
      </c>
      <c r="BB10" s="34">
        <f t="shared" si="0"/>
        <v>300538</v>
      </c>
      <c r="BC10" s="34">
        <f>G10</f>
        <v>20</v>
      </c>
      <c r="BD10" s="34">
        <f>H10</f>
        <v>273463</v>
      </c>
      <c r="BE10" s="244">
        <f t="shared" si="1"/>
        <v>13673.15</v>
      </c>
      <c r="BF10" s="245">
        <f t="shared" si="2"/>
        <v>0.909911558604902</v>
      </c>
      <c r="BG10" s="34">
        <f>COUNTIFS(总表!D:D,A10,总表!L:L,"&lt;&gt;",总表!E:E,$BA$3,总表!E:E,$BA$4)-BC10</f>
        <v>2</v>
      </c>
      <c r="BH10" s="34">
        <f t="shared" si="3"/>
        <v>27075</v>
      </c>
    </row>
    <row r="11" spans="1:60">
      <c r="A11" s="14" t="s">
        <v>171</v>
      </c>
      <c r="B11" s="13" t="str">
        <f>VLOOKUP(A11,设计师对应店铺!A:B,COLUMN(设计师对应店铺!B:B)-COLUMN(设计师对应店铺!A:B)+1,0)</f>
        <v>家饰佳、兴力达</v>
      </c>
      <c r="C11" s="237">
        <f>COUNTIFS(总表!B:B,$C$1,总表!D:D,A11,总表!L:L,"&lt;&gt;",总表!E:E,$BA$3,总表!E:E,$BA$4)</f>
        <v>0</v>
      </c>
      <c r="D11" s="238">
        <f>SUMIFS(总表!N:N,总表!B:B,$C$1,总表!D:D,A11,总表!E:E,$BA$3,总表!E:E,$BA$4)</f>
        <v>0</v>
      </c>
      <c r="E11" s="237">
        <f>COUNTIFS(总表!B:B,$E$1,总表!D:D,A11,总表!L:L,"&lt;&gt;",总表!E:E,$BA$3,总表!E:E,$BA$4)</f>
        <v>0</v>
      </c>
      <c r="F11" s="238">
        <f>SUMIFS(总表!N:N,总表!B:B,$E$1,总表!D:D,A11,总表!E:E,$BA$3,总表!E:E,$BA$4)</f>
        <v>0</v>
      </c>
      <c r="G11" s="237">
        <f>COUNTIFS(总表!B:B,$G$1,总表!D:D,A11,总表!L:L,"&lt;&gt;",总表!E:E,$BA$3,总表!E:E,$BA$4)</f>
        <v>0</v>
      </c>
      <c r="H11" s="238">
        <f>SUMIFS(总表!N:N,总表!B:B,$G$1,总表!D:D,A11,总表!E:E,$BA$3,总表!E:E,$BA$4)</f>
        <v>0</v>
      </c>
      <c r="I11" s="237">
        <f>COUNTIFS(总表!B:B,$I$1,总表!D:D,A11,总表!L:L,"&lt;&gt;",总表!E:E,$BA$3,总表!E:E,$BA$4)</f>
        <v>0</v>
      </c>
      <c r="J11" s="238">
        <f>SUMIFS(总表!N:N,总表!B:B,$I$1,总表!D:D,A11,总表!E:E,$BA$3,总表!E:E,$BA$4)</f>
        <v>0</v>
      </c>
      <c r="K11" s="237">
        <f>COUNTIFS(总表!B:B,$K$1,总表!D:D,A11,总表!L:L,"&lt;&gt;",总表!E:E,$BA$3,总表!E:E,$BA$4)</f>
        <v>0</v>
      </c>
      <c r="L11" s="238">
        <f>SUMIFS(总表!N:N,总表!B:B,$K$1,总表!D:D,A11,总表!E:E,$BA$3,总表!E:E,$BA$4)</f>
        <v>0</v>
      </c>
      <c r="M11" s="239">
        <f>COUNTIFS(总表!B:B,$M$1,总表!D:D,A11,总表!L:L,"&lt;&gt;",总表!E:E,$BA$3,总表!E:E,$BA$4)</f>
        <v>6</v>
      </c>
      <c r="N11" s="239">
        <f>SUMIFS(总表!N:N,总表!B:B,$M$1,总表!D:D,A11,总表!E:E,$BA$3,总表!E:E,$BA$4)</f>
        <v>167173</v>
      </c>
      <c r="O11" s="237">
        <f>COUNTIFS(总表!B:B,$O$1,总表!D:D,A11,总表!L:L,"&lt;&gt;",总表!E:E,$BA$3,总表!E:E,$BA$4)</f>
        <v>0</v>
      </c>
      <c r="P11" s="238">
        <f>SUMIFS(总表!N:N,总表!B:B,$O$1,总表!D:D,A11,总表!E:E,$BA$3,总表!E:E,$BA$4)</f>
        <v>1016</v>
      </c>
      <c r="Q11" s="237">
        <f>COUNTIFS(总表!B:B,$Q$1,总表!D:D,A11,总表!L:L,"&lt;&gt;",总表!E:E,$BA$3,总表!E:E,$BA$4)</f>
        <v>0</v>
      </c>
      <c r="R11" s="238">
        <f>SUMIFS(总表!N:N,总表!B:B,$Q$1,总表!D:D,A11,总表!E:E,$BA$3,总表!E:E,$BA$4)</f>
        <v>0</v>
      </c>
      <c r="S11" s="237">
        <f>COUNTIFS(总表!B:B,$S$1,总表!D:D,A11,总表!L:L,"&lt;&gt;",总表!E:E,$BA$3,总表!E:E,$BA$4)</f>
        <v>0</v>
      </c>
      <c r="T11" s="238">
        <f>SUMIFS(总表!N:N,总表!B:B,$S$1,总表!D:D,A11,总表!E:E,$BA$3,总表!E:E,$BA$4)</f>
        <v>0</v>
      </c>
      <c r="U11" s="237">
        <f>COUNTIFS(总表!B:B,$U$1,总表!D:D,A11,总表!L:L,"&lt;&gt;",总表!E:E,$BA$3,总表!E:E,$BA$4)</f>
        <v>2</v>
      </c>
      <c r="V11" s="238">
        <f>SUMIFS(总表!N:N,总表!B:B,$U$1,总表!D:D,A11,总表!E:E,$BA$3,总表!E:E,$BA$4)</f>
        <v>23999</v>
      </c>
      <c r="W11" s="239">
        <f>COUNTIFS(总表!B:B,$W$1,总表!D:D,A11,总表!L:L,"&lt;&gt;",总表!E:E,$BA$3,总表!E:E,$BA$4)</f>
        <v>7</v>
      </c>
      <c r="X11" s="239">
        <f>SUMIFS(总表!N:N,总表!B:B,$W$1,总表!D:D,A11,总表!E:E,$BA$3,总表!E:E,$BA$4)</f>
        <v>82904</v>
      </c>
      <c r="Y11" s="237">
        <f>COUNTIFS(总表!B:B,$Y$1,总表!D:D,A11,总表!L:L,"&lt;&gt;",总表!E:E,$BA$3,总表!E:E,$BA$4)</f>
        <v>0</v>
      </c>
      <c r="Z11" s="238">
        <f>SUMIFS(总表!N:N,总表!B:B,$Y$1,总表!D:D,A11,总表!E:E,$BA$3,总表!E:E,$BA$4)</f>
        <v>0</v>
      </c>
      <c r="AA11" s="237">
        <f>COUNTIFS(总表!B:B,$AA$1,总表!D:D,A11,总表!L:L,"&lt;&gt;",总表!E:E,$BA$3,总表!E:E,$BA$4)</f>
        <v>0</v>
      </c>
      <c r="AB11" s="238">
        <f>SUMIFS(总表!N:N,总表!B:B,$AA$1,总表!D:D,A11,总表!E:E,$BA$3,总表!E:E,$BA$4)</f>
        <v>0</v>
      </c>
      <c r="AC11" s="237">
        <f>COUNTIFS(总表!B:B,$AC$1,总表!D:D,A11,总表!L:L,"&lt;&gt;",总表!E:E,$BA$3,总表!E:E,$BA$4)</f>
        <v>0</v>
      </c>
      <c r="AD11" s="238">
        <f>SUMIFS(总表!N:N,总表!B:B,$AC$1,总表!D:D,A11,总表!E:E,$BA$3,总表!E:E,$BA$4)</f>
        <v>0</v>
      </c>
      <c r="AE11" s="237">
        <f>COUNTIFS(总表!B:B,$AE$1,总表!D:D,A11,总表!L:L,"&lt;&gt;",总表!E:E,$BA$3,总表!E:E,$BA$4)</f>
        <v>0</v>
      </c>
      <c r="AF11" s="238">
        <f>SUMIFS(总表!N:N,总表!B:B,$AE$1,总表!D:D,A11,总表!E:E,$BA$3,总表!E:E,$BA$4)</f>
        <v>0</v>
      </c>
      <c r="AG11" s="237">
        <f>COUNTIFS(总表!B:B,$AG$1,总表!D:D,A11,总表!L:L,"&lt;&gt;",总表!E:E,$BA$3,总表!E:E,$BA$4)</f>
        <v>0</v>
      </c>
      <c r="AH11" s="238">
        <f>SUMIFS(总表!N:N,总表!B:B,$AG$1,总表!D:D,A11,总表!E:E,$BA$3,总表!E:E,$BA$4)</f>
        <v>1459</v>
      </c>
      <c r="AI11" s="237">
        <f>COUNTIFS(总表!B:B,$AI$1,总表!D:D,A11,总表!L:L,"&lt;&gt;",总表!E:E,$BA$3,总表!E:E,$BA$4)</f>
        <v>0</v>
      </c>
      <c r="AJ11" s="238">
        <f>SUMIFS(总表!N:N,总表!B:B,AI$1,总表!D:D,A11,总表!E:E,$BA$3,总表!E:E,$BA$4)</f>
        <v>0</v>
      </c>
      <c r="AK11" s="237">
        <f>COUNTIFS(总表!B:B,$AK$1,总表!D:D,A11,总表!L:L,"&lt;&gt;",总表!E:E,$BA$3,总表!E:E,$BA$4)</f>
        <v>0</v>
      </c>
      <c r="AL11" s="238">
        <f>SUMIFS(总表!N:N,总表!B:B,$AK$1,总表!D:D,A11,总表!E:E,$BA$3,总表!E:E,$BA$4)</f>
        <v>0</v>
      </c>
      <c r="AM11" s="237">
        <f>COUNTIFS(总表!B:B,$AM$1,总表!D:D,A11,总表!L:L,"&lt;&gt;",总表!E:E,$BA$3,总表!E:E,$BA$4)</f>
        <v>0</v>
      </c>
      <c r="AN11" s="238">
        <f>SUMIFS(总表!N:N,总表!B:B,$AM$1,总表!D:D,A11,总表!E:E,$BA$3,总表!E:E,$BA$4)</f>
        <v>0</v>
      </c>
      <c r="AO11" s="237">
        <f>COUNTIFS(总表!B:B,$AO$1,总表!D:D,A11,总表!L:L,"&lt;&gt;",总表!E:E,$BA$3,总表!E:E,$BA$4)</f>
        <v>0</v>
      </c>
      <c r="AP11" s="238">
        <f>SUMIFS(总表!N:N,总表!B:B,$AO$1,总表!D:D,A11,总表!E:E,$BA$3,总表!E:E,$BA$4)</f>
        <v>0</v>
      </c>
      <c r="AQ11" s="237">
        <f>COUNTIFS(总表!B:B,$AQ$1,总表!D:D,A11,总表!L:L,"&lt;&gt;",总表!E:E,$BA$3,总表!E:E,$BA$4)</f>
        <v>0</v>
      </c>
      <c r="AR11" s="238">
        <f>SUMIFS(总表!N:N,总表!B:B,$AQ$1,总表!D:D,A11,总表!E:E,$BA$3,总表!E:E,$BA$4)</f>
        <v>0</v>
      </c>
      <c r="AS11" s="237">
        <f>COUNTIFS(总表!B:B,$AS$1,总表!D:D,A11,总表!L:L,"&lt;&gt;",总表!E:E,$BA$3,总表!E:E,$BA$4)</f>
        <v>0</v>
      </c>
      <c r="AT11" s="238">
        <f>SUMIFS(总表!N:N,总表!B:B,$AS$1,总表!D:D,A11,总表!E:E,$BA$3,总表!E:E,$BA$4)</f>
        <v>0</v>
      </c>
      <c r="AU11" s="237">
        <f>COUNTIFS(总表!B:B,$AU$1,总表!D:D,A11,总表!L:L,"&lt;&gt;",总表!E:E,$BA$3,总表!E:E,$BA$4)</f>
        <v>0</v>
      </c>
      <c r="AV11" s="238">
        <f>SUMIFS(总表!N:N,总表!B:B,$AU$1,总表!D:D,A11,总表!E:E,$BA$3,总表!E:E,$BA$4)</f>
        <v>0</v>
      </c>
      <c r="AW11" s="242">
        <f>COUNTIFS(总表!B:B,$AW$1,总表!D:D,A11,总表!L:L,"&lt;&gt;",总表!E:E,$BA$3,总表!E:E,$BA$4)</f>
        <v>0</v>
      </c>
      <c r="AX11" s="242">
        <f>SUMIFS(总表!N:N,总表!B:B,$AW$1,总表!D:D,A11,总表!E:E,$BA$3,总表!E:E,$BA$4)</f>
        <v>0</v>
      </c>
      <c r="AY11" s="242">
        <f>COUNTIFS(总表!B:B,$AY$1,总表!D:D,A11,总表!L:L,"&lt;&gt;",总表!E:E,$BA$3,总表!E:E,$BA$4)</f>
        <v>0</v>
      </c>
      <c r="AZ11" s="242">
        <f>SUMIFS(总表!N:N,总表!B:B,$AY$1,总表!D:D,A11,总表!E:E,$BA$3,总表!E:E,$BA$4)</f>
        <v>0</v>
      </c>
      <c r="BB11" s="34">
        <f t="shared" si="0"/>
        <v>276551</v>
      </c>
      <c r="BC11" s="34">
        <f>M11+W11</f>
        <v>13</v>
      </c>
      <c r="BD11" s="34">
        <f>N11+X11</f>
        <v>250077</v>
      </c>
      <c r="BE11" s="244">
        <f t="shared" si="1"/>
        <v>19236.6923076923</v>
      </c>
      <c r="BF11" s="245">
        <f t="shared" si="2"/>
        <v>0.904270821656765</v>
      </c>
      <c r="BG11" s="34">
        <f>COUNTIFS(总表!D:D,A11,总表!L:L,"&lt;&gt;",总表!E:E,$BA$3,总表!E:E,$BA$4)-BC11</f>
        <v>2</v>
      </c>
      <c r="BH11" s="34">
        <f t="shared" si="3"/>
        <v>26474</v>
      </c>
    </row>
    <row r="12" spans="1:60">
      <c r="A12" s="14" t="s">
        <v>68</v>
      </c>
      <c r="B12" s="13" t="str">
        <f>VLOOKUP(A12,设计师对应店铺!A:B,COLUMN(设计师对应店铺!B:B)-COLUMN(设计师对应店铺!A:B)+1,0)</f>
        <v>沪南店</v>
      </c>
      <c r="C12" s="237">
        <f>COUNTIFS(总表!B:B,$C$1,总表!D:D,A12,总表!L:L,"&lt;&gt;",总表!E:E,$BA$3,总表!E:E,$BA$4)</f>
        <v>0</v>
      </c>
      <c r="D12" s="238">
        <f>SUMIFS(总表!N:N,总表!B:B,$C$1,总表!D:D,A12,总表!E:E,$BA$3,总表!E:E,$BA$4)</f>
        <v>0</v>
      </c>
      <c r="E12" s="237">
        <f>COUNTIFS(总表!B:B,$E$1,总表!D:D,A12,总表!L:L,"&lt;&gt;",总表!E:E,$BA$3,总表!E:E,$BA$4)</f>
        <v>0</v>
      </c>
      <c r="F12" s="238">
        <f>SUMIFS(总表!N:N,总表!B:B,$E$1,总表!D:D,A12,总表!E:E,$BA$3,总表!E:E,$BA$4)</f>
        <v>0</v>
      </c>
      <c r="G12" s="237">
        <f>COUNTIFS(总表!B:B,$G$1,总表!D:D,A12,总表!L:L,"&lt;&gt;",总表!E:E,$BA$3,总表!E:E,$BA$4)</f>
        <v>0</v>
      </c>
      <c r="H12" s="238">
        <f>SUMIFS(总表!N:N,总表!B:B,$G$1,总表!D:D,A12,总表!E:E,$BA$3,总表!E:E,$BA$4)</f>
        <v>0</v>
      </c>
      <c r="I12" s="237">
        <f>COUNTIFS(总表!B:B,$I$1,总表!D:D,A12,总表!L:L,"&lt;&gt;",总表!E:E,$BA$3,总表!E:E,$BA$4)</f>
        <v>0</v>
      </c>
      <c r="J12" s="238">
        <f>SUMIFS(总表!N:N,总表!B:B,$I$1,总表!D:D,A12,总表!E:E,$BA$3,总表!E:E,$BA$4)</f>
        <v>0</v>
      </c>
      <c r="K12" s="237">
        <f>COUNTIFS(总表!B:B,$K$1,总表!D:D,A12,总表!L:L,"&lt;&gt;",总表!E:E,$BA$3,总表!E:E,$BA$4)</f>
        <v>0</v>
      </c>
      <c r="L12" s="238">
        <f>SUMIFS(总表!N:N,总表!B:B,$K$1,总表!D:D,A12,总表!E:E,$BA$3,总表!E:E,$BA$4)</f>
        <v>0</v>
      </c>
      <c r="M12" s="237">
        <f>COUNTIFS(总表!B:B,$M$1,总表!D:D,A12,总表!L:L,"&lt;&gt;",总表!E:E,$BA$3,总表!E:E,$BA$4)</f>
        <v>1</v>
      </c>
      <c r="N12" s="238">
        <f>SUMIFS(总表!N:N,总表!B:B,$M$1,总表!D:D,A12,总表!E:E,$BA$3,总表!E:E,$BA$4)</f>
        <v>10306</v>
      </c>
      <c r="O12" s="237">
        <f>COUNTIFS(总表!B:B,$O$1,总表!D:D,A12,总表!L:L,"&lt;&gt;",总表!E:E,$BA$3,总表!E:E,$BA$4)</f>
        <v>0</v>
      </c>
      <c r="P12" s="238">
        <f>SUMIFS(总表!N:N,总表!B:B,$O$1,总表!D:D,A12,总表!E:E,$BA$3,总表!E:E,$BA$4)</f>
        <v>0</v>
      </c>
      <c r="Q12" s="237">
        <f>COUNTIFS(总表!B:B,$Q$1,总表!D:D,A12,总表!L:L,"&lt;&gt;",总表!E:E,$BA$3,总表!E:E,$BA$4)</f>
        <v>0</v>
      </c>
      <c r="R12" s="238">
        <f>SUMIFS(总表!N:N,总表!B:B,$Q$1,总表!D:D,A12,总表!E:E,$BA$3,总表!E:E,$BA$4)</f>
        <v>0</v>
      </c>
      <c r="S12" s="237">
        <f>COUNTIFS(总表!B:B,$S$1,总表!D:D,A12,总表!L:L,"&lt;&gt;",总表!E:E,$BA$3,总表!E:E,$BA$4)</f>
        <v>0</v>
      </c>
      <c r="T12" s="238">
        <f>SUMIFS(总表!N:N,总表!B:B,$S$1,总表!D:D,A12,总表!E:E,$BA$3,总表!E:E,$BA$4)</f>
        <v>0</v>
      </c>
      <c r="U12" s="237">
        <f>COUNTIFS(总表!B:B,$U$1,总表!D:D,A12,总表!L:L,"&lt;&gt;",总表!E:E,$BA$3,总表!E:E,$BA$4)</f>
        <v>0</v>
      </c>
      <c r="V12" s="238">
        <f>SUMIFS(总表!N:N,总表!B:B,$U$1,总表!D:D,A12,总表!E:E,$BA$3,总表!E:E,$BA$4)</f>
        <v>0</v>
      </c>
      <c r="W12" s="237">
        <f>COUNTIFS(总表!B:B,$W$1,总表!D:D,A12,总表!L:L,"&lt;&gt;",总表!E:E,$BA$3,总表!E:E,$BA$4)</f>
        <v>0</v>
      </c>
      <c r="X12" s="238">
        <f>SUMIFS(总表!N:N,总表!B:B,$W$1,总表!D:D,A12,总表!E:E,$BA$3,总表!E:E,$BA$4)</f>
        <v>0</v>
      </c>
      <c r="Y12" s="239">
        <f>COUNTIFS(总表!B:B,$Y$1,总表!D:D,A12,总表!L:L,"&lt;&gt;",总表!E:E,$BA$3,总表!E:E,$BA$4)</f>
        <v>16</v>
      </c>
      <c r="Z12" s="239">
        <f>SUMIFS(总表!N:N,总表!B:B,$Y$1,总表!D:D,A12,总表!E:E,$BA$3,总表!E:E,$BA$4)</f>
        <v>325052</v>
      </c>
      <c r="AA12" s="237">
        <f>COUNTIFS(总表!B:B,$AA$1,总表!D:D,A12,总表!L:L,"&lt;&gt;",总表!E:E,$BA$3,总表!E:E,$BA$4)</f>
        <v>0</v>
      </c>
      <c r="AB12" s="238">
        <f>SUMIFS(总表!N:N,总表!B:B,$AA$1,总表!D:D,A12,总表!E:E,$BA$3,总表!E:E,$BA$4)</f>
        <v>0</v>
      </c>
      <c r="AC12" s="237">
        <f>COUNTIFS(总表!B:B,$AC$1,总表!D:D,A12,总表!L:L,"&lt;&gt;",总表!E:E,$BA$3,总表!E:E,$BA$4)</f>
        <v>0</v>
      </c>
      <c r="AD12" s="238">
        <f>SUMIFS(总表!N:N,总表!B:B,$AC$1,总表!D:D,A12,总表!E:E,$BA$3,总表!E:E,$BA$4)</f>
        <v>0</v>
      </c>
      <c r="AE12" s="237">
        <f>COUNTIFS(总表!B:B,$AE$1,总表!D:D,A12,总表!L:L,"&lt;&gt;",总表!E:E,$BA$3,总表!E:E,$BA$4)</f>
        <v>0</v>
      </c>
      <c r="AF12" s="238">
        <f>SUMIFS(总表!N:N,总表!B:B,$AE$1,总表!D:D,A12,总表!E:E,$BA$3,总表!E:E,$BA$4)</f>
        <v>0</v>
      </c>
      <c r="AG12" s="237">
        <f>COUNTIFS(总表!B:B,$AG$1,总表!D:D,A12,总表!L:L,"&lt;&gt;",总表!E:E,$BA$3,总表!E:E,$BA$4)</f>
        <v>0</v>
      </c>
      <c r="AH12" s="238">
        <f>SUMIFS(总表!N:N,总表!B:B,$AG$1,总表!D:D,A12,总表!E:E,$BA$3,总表!E:E,$BA$4)</f>
        <v>0</v>
      </c>
      <c r="AI12" s="237">
        <f>COUNTIFS(总表!B:B,$AI$1,总表!D:D,A12,总表!L:L,"&lt;&gt;",总表!E:E,$BA$3,总表!E:E,$BA$4)</f>
        <v>0</v>
      </c>
      <c r="AJ12" s="238">
        <f>SUMIFS(总表!N:N,总表!B:B,AI$1,总表!D:D,A12,总表!E:E,$BA$3,总表!E:E,$BA$4)</f>
        <v>0</v>
      </c>
      <c r="AK12" s="237">
        <f>COUNTIFS(总表!B:B,$AK$1,总表!D:D,A12,总表!L:L,"&lt;&gt;",总表!E:E,$BA$3,总表!E:E,$BA$4)</f>
        <v>0</v>
      </c>
      <c r="AL12" s="238">
        <f>SUMIFS(总表!N:N,总表!B:B,$AK$1,总表!D:D,A12,总表!E:E,$BA$3,总表!E:E,$BA$4)</f>
        <v>0</v>
      </c>
      <c r="AM12" s="237">
        <f>COUNTIFS(总表!B:B,$AM$1,总表!D:D,A12,总表!L:L,"&lt;&gt;",总表!E:E,$BA$3,总表!E:E,$BA$4)</f>
        <v>0</v>
      </c>
      <c r="AN12" s="238">
        <f>SUMIFS(总表!N:N,总表!B:B,$AM$1,总表!D:D,A12,总表!E:E,$BA$3,总表!E:E,$BA$4)</f>
        <v>0</v>
      </c>
      <c r="AO12" s="237">
        <f>COUNTIFS(总表!B:B,$AO$1,总表!D:D,A12,总表!L:L,"&lt;&gt;",总表!E:E,$BA$3,总表!E:E,$BA$4)</f>
        <v>0</v>
      </c>
      <c r="AP12" s="238">
        <f>SUMIFS(总表!N:N,总表!B:B,$AO$1,总表!D:D,A12,总表!E:E,$BA$3,总表!E:E,$BA$4)</f>
        <v>0</v>
      </c>
      <c r="AQ12" s="237">
        <f>COUNTIFS(总表!B:B,$AQ$1,总表!D:D,A12,总表!L:L,"&lt;&gt;",总表!E:E,$BA$3,总表!E:E,$BA$4)</f>
        <v>0</v>
      </c>
      <c r="AR12" s="238">
        <f>SUMIFS(总表!N:N,总表!B:B,$AQ$1,总表!D:D,A12,总表!E:E,$BA$3,总表!E:E,$BA$4)</f>
        <v>0</v>
      </c>
      <c r="AS12" s="237">
        <f>COUNTIFS(总表!B:B,$AS$1,总表!D:D,A12,总表!L:L,"&lt;&gt;",总表!E:E,$BA$3,总表!E:E,$BA$4)</f>
        <v>0</v>
      </c>
      <c r="AT12" s="238">
        <f>SUMIFS(总表!N:N,总表!B:B,$AS$1,总表!D:D,A12,总表!E:E,$BA$3,总表!E:E,$BA$4)</f>
        <v>0</v>
      </c>
      <c r="AU12" s="237">
        <f>COUNTIFS(总表!B:B,$AU$1,总表!D:D,A12,总表!L:L,"&lt;&gt;",总表!E:E,$BA$3,总表!E:E,$BA$4)</f>
        <v>0</v>
      </c>
      <c r="AV12" s="238">
        <f>SUMIFS(总表!N:N,总表!B:B,$AU$1,总表!D:D,A12,总表!E:E,$BA$3,总表!E:E,$BA$4)</f>
        <v>0</v>
      </c>
      <c r="AW12" s="242">
        <f>COUNTIFS(总表!B:B,$AW$1,总表!D:D,A12,总表!L:L,"&lt;&gt;",总表!E:E,$BA$3,总表!E:E,$BA$4)</f>
        <v>0</v>
      </c>
      <c r="AX12" s="242">
        <f>SUMIFS(总表!N:N,总表!B:B,$AW$1,总表!D:D,A12,总表!E:E,$BA$3,总表!E:E,$BA$4)</f>
        <v>0</v>
      </c>
      <c r="AY12" s="242">
        <f>COUNTIFS(总表!B:B,$AY$1,总表!D:D,A12,总表!L:L,"&lt;&gt;",总表!E:E,$BA$3,总表!E:E,$BA$4)</f>
        <v>0</v>
      </c>
      <c r="AZ12" s="242">
        <f>SUMIFS(总表!N:N,总表!B:B,$AY$1,总表!D:D,A12,总表!E:E,$BA$3,总表!E:E,$BA$4)</f>
        <v>0</v>
      </c>
      <c r="BB12" s="34">
        <f t="shared" ref="BB12:BB37" si="4">D12+F12+H12+J12+L12+N12+P12+R12+T12+V12+X12+Z12+AB12+AD12+AF12+AH12+AJ12+AL12+AN12+AP12+AR12+AT12+AV12+AZ12+AX12</f>
        <v>335358</v>
      </c>
      <c r="BC12" s="34">
        <f>Y12</f>
        <v>16</v>
      </c>
      <c r="BD12" s="34">
        <f>Z12</f>
        <v>325052</v>
      </c>
      <c r="BE12" s="244">
        <f t="shared" ref="BE12:BE28" si="5">BD12/BC12</f>
        <v>20315.75</v>
      </c>
      <c r="BF12" s="245">
        <f t="shared" ref="BF12:BF37" si="6">BD12/BB12</f>
        <v>0.969268662146124</v>
      </c>
      <c r="BG12" s="34">
        <f>COUNTIFS(总表!D:D,A12,总表!L:L,"&lt;&gt;",总表!E:E,$BA$3,总表!E:E,$BA$4)-BC12</f>
        <v>1</v>
      </c>
      <c r="BH12" s="34">
        <f t="shared" ref="BH12:BH28" si="7">BB12-BD12</f>
        <v>10306</v>
      </c>
    </row>
    <row r="13" spans="1:60">
      <c r="A13" s="14" t="s">
        <v>237</v>
      </c>
      <c r="B13" s="13" t="str">
        <f>VLOOKUP(A13,设计师对应店铺!A:B,COLUMN(设计师对应店铺!B:B)-COLUMN(设计师对应店铺!A:B)+1,0)</f>
        <v>百安居</v>
      </c>
      <c r="C13" s="239">
        <f>COUNTIFS(总表!B:B,$C$1,总表!D:D,A13,总表!L:L,"&lt;&gt;",总表!E:E,$BA$3,总表!E:E,$BA$4)</f>
        <v>14</v>
      </c>
      <c r="D13" s="239">
        <f>SUMIFS(总表!N:N,总表!B:B,$C$1,总表!D:D,A13,总表!E:E,$BA$3,总表!E:E,$BA$4)</f>
        <v>90027</v>
      </c>
      <c r="E13" s="237">
        <f>COUNTIFS(总表!B:B,$E$1,总表!D:D,A13,总表!L:L,"&lt;&gt;",总表!E:E,$BA$3,总表!E:E,$BA$4)</f>
        <v>0</v>
      </c>
      <c r="F13" s="238">
        <f>SUMIFS(总表!N:N,总表!B:B,$E$1,总表!D:D,A13,总表!E:E,$BA$3,总表!E:E,$BA$4)</f>
        <v>0</v>
      </c>
      <c r="G13" s="237">
        <f>COUNTIFS(总表!B:B,$G$1,总表!D:D,A13,总表!L:L,"&lt;&gt;",总表!E:E,$BA$3,总表!E:E,$BA$4)</f>
        <v>0</v>
      </c>
      <c r="H13" s="238">
        <f>SUMIFS(总表!N:N,总表!B:B,$G$1,总表!D:D,A13,总表!E:E,$BA$3,总表!E:E,$BA$4)</f>
        <v>0</v>
      </c>
      <c r="I13" s="237">
        <f>COUNTIFS(总表!B:B,$I$1,总表!D:D,A13,总表!L:L,"&lt;&gt;",总表!E:E,$BA$3,总表!E:E,$BA$4)</f>
        <v>0</v>
      </c>
      <c r="J13" s="238">
        <f>SUMIFS(总表!N:N,总表!B:B,$I$1,总表!D:D,A13,总表!E:E,$BA$3,总表!E:E,$BA$4)</f>
        <v>0</v>
      </c>
      <c r="K13" s="237">
        <f>COUNTIFS(总表!B:B,$K$1,总表!D:D,A13,总表!L:L,"&lt;&gt;",总表!E:E,$BA$3,总表!E:E,$BA$4)</f>
        <v>0</v>
      </c>
      <c r="L13" s="238">
        <f>SUMIFS(总表!N:N,总表!B:B,$K$1,总表!D:D,A13,总表!E:E,$BA$3,总表!E:E,$BA$4)</f>
        <v>0</v>
      </c>
      <c r="M13" s="237">
        <f>COUNTIFS(总表!B:B,$M$1,总表!D:D,A13,总表!L:L,"&lt;&gt;",总表!E:E,$BA$3,总表!E:E,$BA$4)</f>
        <v>0</v>
      </c>
      <c r="N13" s="238">
        <f>SUMIFS(总表!N:N,总表!B:B,$M$1,总表!D:D,A13,总表!E:E,$BA$3,总表!E:E,$BA$4)</f>
        <v>0</v>
      </c>
      <c r="O13" s="237">
        <f>COUNTIFS(总表!B:B,$O$1,总表!D:D,A13,总表!L:L,"&lt;&gt;",总表!E:E,$BA$3,总表!E:E,$BA$4)</f>
        <v>0</v>
      </c>
      <c r="P13" s="238">
        <f>SUMIFS(总表!N:N,总表!B:B,$O$1,总表!D:D,A13,总表!E:E,$BA$3,总表!E:E,$BA$4)</f>
        <v>0</v>
      </c>
      <c r="Q13" s="237">
        <f>COUNTIFS(总表!B:B,$Q$1,总表!D:D,A13,总表!L:L,"&lt;&gt;",总表!E:E,$BA$3,总表!E:E,$BA$4)</f>
        <v>0</v>
      </c>
      <c r="R13" s="238">
        <f>SUMIFS(总表!N:N,总表!B:B,$Q$1,总表!D:D,A13,总表!E:E,$BA$3,总表!E:E,$BA$4)</f>
        <v>0</v>
      </c>
      <c r="S13" s="237">
        <f>COUNTIFS(总表!B:B,$S$1,总表!D:D,A13,总表!L:L,"&lt;&gt;",总表!E:E,$BA$3,总表!E:E,$BA$4)</f>
        <v>0</v>
      </c>
      <c r="T13" s="238">
        <f>SUMIFS(总表!N:N,总表!B:B,$S$1,总表!D:D,A13,总表!E:E,$BA$3,总表!E:E,$BA$4)</f>
        <v>0</v>
      </c>
      <c r="U13" s="237">
        <f>COUNTIFS(总表!B:B,$U$1,总表!D:D,A13,总表!L:L,"&lt;&gt;",总表!E:E,$BA$3,总表!E:E,$BA$4)</f>
        <v>0</v>
      </c>
      <c r="V13" s="238">
        <f>SUMIFS(总表!N:N,总表!B:B,$U$1,总表!D:D,A13,总表!E:E,$BA$3,总表!E:E,$BA$4)</f>
        <v>0</v>
      </c>
      <c r="W13" s="237">
        <f>COUNTIFS(总表!B:B,$W$1,总表!D:D,A13,总表!L:L,"&lt;&gt;",总表!E:E,$BA$3,总表!E:E,$BA$4)</f>
        <v>0</v>
      </c>
      <c r="X13" s="238">
        <f>SUMIFS(总表!N:N,总表!B:B,$W$1,总表!D:D,A13,总表!E:E,$BA$3,总表!E:E,$BA$4)</f>
        <v>0</v>
      </c>
      <c r="Y13" s="237">
        <f>COUNTIFS(总表!B:B,$Y$1,总表!D:D,A13,总表!L:L,"&lt;&gt;",总表!E:E,$BA$3,总表!E:E,$BA$4)</f>
        <v>0</v>
      </c>
      <c r="Z13" s="238">
        <f>SUMIFS(总表!N:N,总表!B:B,$Y$1,总表!D:D,A13,总表!E:E,$BA$3,总表!E:E,$BA$4)</f>
        <v>0</v>
      </c>
      <c r="AA13" s="237">
        <f>COUNTIFS(总表!B:B,$AA$1,总表!D:D,A13,总表!L:L,"&lt;&gt;",总表!E:E,$BA$3,总表!E:E,$BA$4)</f>
        <v>0</v>
      </c>
      <c r="AB13" s="238">
        <f>SUMIFS(总表!N:N,总表!B:B,$AA$1,总表!D:D,A13,总表!E:E,$BA$3,总表!E:E,$BA$4)</f>
        <v>0</v>
      </c>
      <c r="AC13" s="237">
        <f>COUNTIFS(总表!B:B,$AC$1,总表!D:D,A13,总表!L:L,"&lt;&gt;",总表!E:E,$BA$3,总表!E:E,$BA$4)</f>
        <v>0</v>
      </c>
      <c r="AD13" s="238">
        <f>SUMIFS(总表!N:N,总表!B:B,$AC$1,总表!D:D,A13,总表!E:E,$BA$3,总表!E:E,$BA$4)</f>
        <v>0</v>
      </c>
      <c r="AE13" s="237">
        <f>COUNTIFS(总表!B:B,$AE$1,总表!D:D,A13,总表!L:L,"&lt;&gt;",总表!E:E,$BA$3,总表!E:E,$BA$4)</f>
        <v>0</v>
      </c>
      <c r="AF13" s="238">
        <f>SUMIFS(总表!N:N,总表!B:B,$AE$1,总表!D:D,A13,总表!E:E,$BA$3,总表!E:E,$BA$4)</f>
        <v>0</v>
      </c>
      <c r="AG13" s="237">
        <f>COUNTIFS(总表!B:B,$AG$1,总表!D:D,A13,总表!L:L,"&lt;&gt;",总表!E:E,$BA$3,总表!E:E,$BA$4)</f>
        <v>0</v>
      </c>
      <c r="AH13" s="238">
        <f>SUMIFS(总表!N:N,总表!B:B,$AG$1,总表!D:D,A13,总表!E:E,$BA$3,总表!E:E,$BA$4)</f>
        <v>0</v>
      </c>
      <c r="AI13" s="237">
        <f>COUNTIFS(总表!B:B,$AI$1,总表!D:D,A13,总表!L:L,"&lt;&gt;",总表!E:E,$BA$3,总表!E:E,$BA$4)</f>
        <v>0</v>
      </c>
      <c r="AJ13" s="238">
        <f>SUMIFS(总表!N:N,总表!B:B,AI$1,总表!D:D,A13,总表!E:E,$BA$3,总表!E:E,$BA$4)</f>
        <v>0</v>
      </c>
      <c r="AK13" s="237">
        <f>COUNTIFS(总表!B:B,$AK$1,总表!D:D,A13,总表!L:L,"&lt;&gt;",总表!E:E,$BA$3,总表!E:E,$BA$4)</f>
        <v>0</v>
      </c>
      <c r="AL13" s="238">
        <f>SUMIFS(总表!N:N,总表!B:B,$AK$1,总表!D:D,A13,总表!E:E,$BA$3,总表!E:E,$BA$4)</f>
        <v>0</v>
      </c>
      <c r="AM13" s="237">
        <f>COUNTIFS(总表!B:B,$AM$1,总表!D:D,A13,总表!L:L,"&lt;&gt;",总表!E:E,$BA$3,总表!E:E,$BA$4)</f>
        <v>0</v>
      </c>
      <c r="AN13" s="238">
        <f>SUMIFS(总表!N:N,总表!B:B,$AM$1,总表!D:D,A13,总表!E:E,$BA$3,总表!E:E,$BA$4)</f>
        <v>0</v>
      </c>
      <c r="AO13" s="237">
        <f>COUNTIFS(总表!B:B,$AO$1,总表!D:D,A13,总表!L:L,"&lt;&gt;",总表!E:E,$BA$3,总表!E:E,$BA$4)</f>
        <v>0</v>
      </c>
      <c r="AP13" s="238">
        <f>SUMIFS(总表!N:N,总表!B:B,$AO$1,总表!D:D,A13,总表!E:E,$BA$3,总表!E:E,$BA$4)</f>
        <v>0</v>
      </c>
      <c r="AQ13" s="237">
        <f>COUNTIFS(总表!B:B,$AQ$1,总表!D:D,A13,总表!L:L,"&lt;&gt;",总表!E:E,$BA$3,总表!E:E,$BA$4)</f>
        <v>0</v>
      </c>
      <c r="AR13" s="238">
        <f>SUMIFS(总表!N:N,总表!B:B,$AQ$1,总表!D:D,A13,总表!E:E,$BA$3,总表!E:E,$BA$4)</f>
        <v>0</v>
      </c>
      <c r="AS13" s="237">
        <f>COUNTIFS(总表!B:B,$AS$1,总表!D:D,A13,总表!L:L,"&lt;&gt;",总表!E:E,$BA$3,总表!E:E,$BA$4)</f>
        <v>0</v>
      </c>
      <c r="AT13" s="238">
        <f>SUMIFS(总表!N:N,总表!B:B,$AS$1,总表!D:D,A13,总表!E:E,$BA$3,总表!E:E,$BA$4)</f>
        <v>0</v>
      </c>
      <c r="AU13" s="237">
        <f>COUNTIFS(总表!B:B,$AU$1,总表!D:D,A13,总表!L:L,"&lt;&gt;",总表!E:E,$BA$3,总表!E:E,$BA$4)</f>
        <v>0</v>
      </c>
      <c r="AV13" s="238">
        <f>SUMIFS(总表!N:N,总表!B:B,$AU$1,总表!D:D,A13,总表!E:E,$BA$3,总表!E:E,$BA$4)</f>
        <v>0</v>
      </c>
      <c r="AW13" s="242">
        <f>COUNTIFS(总表!B:B,$AW$1,总表!D:D,A13,总表!L:L,"&lt;&gt;",总表!E:E,$BA$3,总表!E:E,$BA$4)</f>
        <v>0</v>
      </c>
      <c r="AX13" s="242">
        <f>SUMIFS(总表!N:N,总表!B:B,$AW$1,总表!D:D,A13,总表!E:E,$BA$3,总表!E:E,$BA$4)</f>
        <v>0</v>
      </c>
      <c r="AY13" s="242">
        <f>COUNTIFS(总表!B:B,$AY$1,总表!D:D,A13,总表!L:L,"&lt;&gt;",总表!E:E,$BA$3,总表!E:E,$BA$4)</f>
        <v>0</v>
      </c>
      <c r="AZ13" s="242">
        <f>SUMIFS(总表!N:N,总表!B:B,$AY$1,总表!D:D,A13,总表!E:E,$BA$3,总表!E:E,$BA$4)</f>
        <v>0</v>
      </c>
      <c r="BB13" s="34">
        <f t="shared" si="4"/>
        <v>90027</v>
      </c>
      <c r="BC13" s="34">
        <f>C13</f>
        <v>14</v>
      </c>
      <c r="BD13" s="34">
        <f>D13</f>
        <v>90027</v>
      </c>
      <c r="BE13" s="244">
        <f t="shared" si="5"/>
        <v>6430.5</v>
      </c>
      <c r="BF13" s="245">
        <f t="shared" si="6"/>
        <v>1</v>
      </c>
      <c r="BG13" s="34">
        <f>COUNTIFS(总表!D:D,A13,总表!L:L,"&lt;&gt;",总表!E:E,$BA$3,总表!E:E,$BA$4)-BC13</f>
        <v>0</v>
      </c>
      <c r="BH13" s="34">
        <f t="shared" si="7"/>
        <v>0</v>
      </c>
    </row>
    <row r="14" spans="1:60">
      <c r="A14" s="14" t="s">
        <v>139</v>
      </c>
      <c r="B14" s="13" t="str">
        <f>VLOOKUP(A14,设计师对应店铺!A:B,COLUMN(设计师对应店铺!B:B)-COLUMN(设计师对应店铺!A:B)+1,0)</f>
        <v>家饰佳</v>
      </c>
      <c r="C14" s="237">
        <f>COUNTIFS(总表!B:B,$C$1,总表!D:D,A14,总表!L:L,"&lt;&gt;",总表!E:E,$BA$3,总表!E:E,$BA$4)</f>
        <v>0</v>
      </c>
      <c r="D14" s="238">
        <f>SUMIFS(总表!N:N,总表!B:B,$C$1,总表!D:D,A14,总表!E:E,$BA$3,总表!E:E,$BA$4)</f>
        <v>0</v>
      </c>
      <c r="E14" s="237">
        <f>COUNTIFS(总表!B:B,$E$1,总表!D:D,A14,总表!L:L,"&lt;&gt;",总表!E:E,$BA$3,总表!E:E,$BA$4)</f>
        <v>0</v>
      </c>
      <c r="F14" s="238">
        <f>SUMIFS(总表!N:N,总表!B:B,$E$1,总表!D:D,A14,总表!E:E,$BA$3,总表!E:E,$BA$4)</f>
        <v>0</v>
      </c>
      <c r="G14" s="237">
        <f>COUNTIFS(总表!B:B,$G$1,总表!D:D,A14,总表!L:L,"&lt;&gt;",总表!E:E,$BA$3,总表!E:E,$BA$4)</f>
        <v>0</v>
      </c>
      <c r="H14" s="238">
        <f>SUMIFS(总表!N:N,总表!B:B,$G$1,总表!D:D,A14,总表!E:E,$BA$3,总表!E:E,$BA$4)</f>
        <v>0</v>
      </c>
      <c r="I14" s="237">
        <f>COUNTIFS(总表!B:B,$I$1,总表!D:D,A14,总表!L:L,"&lt;&gt;",总表!E:E,$BA$3,总表!E:E,$BA$4)</f>
        <v>0</v>
      </c>
      <c r="J14" s="238">
        <f>SUMIFS(总表!N:N,总表!B:B,$I$1,总表!D:D,A14,总表!E:E,$BA$3,总表!E:E,$BA$4)</f>
        <v>0</v>
      </c>
      <c r="K14" s="237">
        <f>COUNTIFS(总表!B:B,$K$1,总表!D:D,A14,总表!L:L,"&lt;&gt;",总表!E:E,$BA$3,总表!E:E,$BA$4)</f>
        <v>0</v>
      </c>
      <c r="L14" s="238">
        <f>SUMIFS(总表!N:N,总表!B:B,$K$1,总表!D:D,A14,总表!E:E,$BA$3,总表!E:E,$BA$4)</f>
        <v>0</v>
      </c>
      <c r="M14" s="237">
        <f>COUNTIFS(总表!B:B,$M$1,总表!D:D,A14,总表!L:L,"&lt;&gt;",总表!E:E,$BA$3,总表!E:E,$BA$4)</f>
        <v>0</v>
      </c>
      <c r="N14" s="238">
        <f>SUMIFS(总表!N:N,总表!B:B,$M$1,总表!D:D,A14,总表!E:E,$BA$3,总表!E:E,$BA$4)</f>
        <v>0</v>
      </c>
      <c r="O14" s="239">
        <f>COUNTIFS(总表!B:B,$O$1,总表!D:D,A14,总表!L:L,"&lt;&gt;",总表!E:E,$BA$3,总表!E:E,$BA$4)</f>
        <v>16</v>
      </c>
      <c r="P14" s="239">
        <f>SUMIFS(总表!N:N,总表!B:B,$O$1,总表!D:D,A14,总表!E:E,$BA$3,总表!E:E,$BA$4)</f>
        <v>367311</v>
      </c>
      <c r="Q14" s="237">
        <f>COUNTIFS(总表!B:B,$Q$1,总表!D:D,A14,总表!L:L,"&lt;&gt;",总表!E:E,$BA$3,总表!E:E,$BA$4)</f>
        <v>0</v>
      </c>
      <c r="R14" s="238">
        <f>SUMIFS(总表!N:N,总表!B:B,$Q$1,总表!D:D,A14,总表!E:E,$BA$3,总表!E:E,$BA$4)</f>
        <v>0</v>
      </c>
      <c r="S14" s="237">
        <f>COUNTIFS(总表!B:B,$S$1,总表!D:D,A14,总表!L:L,"&lt;&gt;",总表!E:E,$BA$3,总表!E:E,$BA$4)</f>
        <v>0</v>
      </c>
      <c r="T14" s="238">
        <f>SUMIFS(总表!N:N,总表!B:B,$S$1,总表!D:D,A14,总表!E:E,$BA$3,总表!E:E,$BA$4)</f>
        <v>0</v>
      </c>
      <c r="U14" s="237">
        <f>COUNTIFS(总表!B:B,$U$1,总表!D:D,A14,总表!L:L,"&lt;&gt;",总表!E:E,$BA$3,总表!E:E,$BA$4)</f>
        <v>0</v>
      </c>
      <c r="V14" s="238">
        <f>SUMIFS(总表!N:N,总表!B:B,$U$1,总表!D:D,A14,总表!E:E,$BA$3,总表!E:E,$BA$4)</f>
        <v>0</v>
      </c>
      <c r="W14" s="237">
        <f>COUNTIFS(总表!B:B,$W$1,总表!D:D,A14,总表!L:L,"&lt;&gt;",总表!E:E,$BA$3,总表!E:E,$BA$4)</f>
        <v>0</v>
      </c>
      <c r="X14" s="238">
        <f>SUMIFS(总表!N:N,总表!B:B,$W$1,总表!D:D,A14,总表!E:E,$BA$3,总表!E:E,$BA$4)</f>
        <v>0</v>
      </c>
      <c r="Y14" s="237">
        <f>COUNTIFS(总表!B:B,$Y$1,总表!D:D,A14,总表!L:L,"&lt;&gt;",总表!E:E,$BA$3,总表!E:E,$BA$4)</f>
        <v>0</v>
      </c>
      <c r="Z14" s="238">
        <f>SUMIFS(总表!N:N,总表!B:B,$Y$1,总表!D:D,A14,总表!E:E,$BA$3,总表!E:E,$BA$4)</f>
        <v>0</v>
      </c>
      <c r="AA14" s="237">
        <f>COUNTIFS(总表!B:B,$AA$1,总表!D:D,A14,总表!L:L,"&lt;&gt;",总表!E:E,$BA$3,总表!E:E,$BA$4)</f>
        <v>0</v>
      </c>
      <c r="AB14" s="238">
        <f>SUMIFS(总表!N:N,总表!B:B,$AA$1,总表!D:D,A14,总表!E:E,$BA$3,总表!E:E,$BA$4)</f>
        <v>0</v>
      </c>
      <c r="AC14" s="237">
        <f>COUNTIFS(总表!B:B,$AC$1,总表!D:D,A14,总表!L:L,"&lt;&gt;",总表!E:E,$BA$3,总表!E:E,$BA$4)</f>
        <v>0</v>
      </c>
      <c r="AD14" s="238">
        <f>SUMIFS(总表!N:N,总表!B:B,$AC$1,总表!D:D,A14,总表!E:E,$BA$3,总表!E:E,$BA$4)</f>
        <v>0</v>
      </c>
      <c r="AE14" s="237">
        <f>COUNTIFS(总表!B:B,$AE$1,总表!D:D,A14,总表!L:L,"&lt;&gt;",总表!E:E,$BA$3,总表!E:E,$BA$4)</f>
        <v>0</v>
      </c>
      <c r="AF14" s="238">
        <f>SUMIFS(总表!N:N,总表!B:B,$AE$1,总表!D:D,A14,总表!E:E,$BA$3,总表!E:E,$BA$4)</f>
        <v>0</v>
      </c>
      <c r="AG14" s="237">
        <f>COUNTIFS(总表!B:B,$AG$1,总表!D:D,A14,总表!L:L,"&lt;&gt;",总表!E:E,$BA$3,总表!E:E,$BA$4)</f>
        <v>1</v>
      </c>
      <c r="AH14" s="238">
        <f>SUMIFS(总表!N:N,总表!B:B,$AG$1,总表!D:D,A14,总表!E:E,$BA$3,总表!E:E,$BA$4)</f>
        <v>10217</v>
      </c>
      <c r="AI14" s="237">
        <f>COUNTIFS(总表!B:B,$AI$1,总表!D:D,A14,总表!L:L,"&lt;&gt;",总表!E:E,$BA$3,总表!E:E,$BA$4)</f>
        <v>0</v>
      </c>
      <c r="AJ14" s="238">
        <f>SUMIFS(总表!N:N,总表!B:B,AI$1,总表!D:D,A14,总表!E:E,$BA$3,总表!E:E,$BA$4)</f>
        <v>0</v>
      </c>
      <c r="AK14" s="237">
        <f>COUNTIFS(总表!B:B,$AK$1,总表!D:D,A14,总表!L:L,"&lt;&gt;",总表!E:E,$BA$3,总表!E:E,$BA$4)</f>
        <v>0</v>
      </c>
      <c r="AL14" s="238">
        <f>SUMIFS(总表!N:N,总表!B:B,$AK$1,总表!D:D,A14,总表!E:E,$BA$3,总表!E:E,$BA$4)</f>
        <v>0</v>
      </c>
      <c r="AM14" s="237">
        <f>COUNTIFS(总表!B:B,$AM$1,总表!D:D,A14,总表!L:L,"&lt;&gt;",总表!E:E,$BA$3,总表!E:E,$BA$4)</f>
        <v>0</v>
      </c>
      <c r="AN14" s="238">
        <f>SUMIFS(总表!N:N,总表!B:B,$AM$1,总表!D:D,A14,总表!E:E,$BA$3,总表!E:E,$BA$4)</f>
        <v>0</v>
      </c>
      <c r="AO14" s="237">
        <f>COUNTIFS(总表!B:B,$AO$1,总表!D:D,A14,总表!L:L,"&lt;&gt;",总表!E:E,$BA$3,总表!E:E,$BA$4)</f>
        <v>0</v>
      </c>
      <c r="AP14" s="238">
        <f>SUMIFS(总表!N:N,总表!B:B,$AO$1,总表!D:D,A14,总表!E:E,$BA$3,总表!E:E,$BA$4)</f>
        <v>0</v>
      </c>
      <c r="AQ14" s="237">
        <f>COUNTIFS(总表!B:B,$AQ$1,总表!D:D,A14,总表!L:L,"&lt;&gt;",总表!E:E,$BA$3,总表!E:E,$BA$4)</f>
        <v>0</v>
      </c>
      <c r="AR14" s="238">
        <f>SUMIFS(总表!N:N,总表!B:B,$AQ$1,总表!D:D,A14,总表!E:E,$BA$3,总表!E:E,$BA$4)</f>
        <v>0</v>
      </c>
      <c r="AS14" s="237">
        <f>COUNTIFS(总表!B:B,$AS$1,总表!D:D,A14,总表!L:L,"&lt;&gt;",总表!E:E,$BA$3,总表!E:E,$BA$4)</f>
        <v>0</v>
      </c>
      <c r="AT14" s="238">
        <f>SUMIFS(总表!N:N,总表!B:B,$AS$1,总表!D:D,A14,总表!E:E,$BA$3,总表!E:E,$BA$4)</f>
        <v>0</v>
      </c>
      <c r="AU14" s="237">
        <f>COUNTIFS(总表!B:B,$AU$1,总表!D:D,A14,总表!L:L,"&lt;&gt;",总表!E:E,$BA$3,总表!E:E,$BA$4)</f>
        <v>0</v>
      </c>
      <c r="AV14" s="238">
        <f>SUMIFS(总表!N:N,总表!B:B,$AU$1,总表!D:D,A14,总表!E:E,$BA$3,总表!E:E,$BA$4)</f>
        <v>0</v>
      </c>
      <c r="AW14" s="242">
        <f>COUNTIFS(总表!B:B,$AW$1,总表!D:D,A14,总表!L:L,"&lt;&gt;",总表!E:E,$BA$3,总表!E:E,$BA$4)</f>
        <v>0</v>
      </c>
      <c r="AX14" s="242">
        <f>SUMIFS(总表!N:N,总表!B:B,$AW$1,总表!D:D,A14,总表!E:E,$BA$3,总表!E:E,$BA$4)</f>
        <v>0</v>
      </c>
      <c r="AY14" s="242">
        <f>COUNTIFS(总表!B:B,$AY$1,总表!D:D,A14,总表!L:L,"&lt;&gt;",总表!E:E,$BA$3,总表!E:E,$BA$4)</f>
        <v>0</v>
      </c>
      <c r="AZ14" s="242">
        <f>SUMIFS(总表!N:N,总表!B:B,$AY$1,总表!D:D,A14,总表!E:E,$BA$3,总表!E:E,$BA$4)</f>
        <v>0</v>
      </c>
      <c r="BB14" s="34">
        <f t="shared" si="4"/>
        <v>377528</v>
      </c>
      <c r="BC14" s="34">
        <f>O14</f>
        <v>16</v>
      </c>
      <c r="BD14" s="34">
        <f>P14</f>
        <v>367311</v>
      </c>
      <c r="BE14" s="244">
        <f t="shared" si="5"/>
        <v>22956.9375</v>
      </c>
      <c r="BF14" s="245">
        <f t="shared" si="6"/>
        <v>0.972937106651692</v>
      </c>
      <c r="BG14" s="34">
        <f>COUNTIFS(总表!D:D,A14,总表!L:L,"&lt;&gt;",总表!E:E,$BA$3,总表!E:E,$BA$4)-BC14</f>
        <v>1</v>
      </c>
      <c r="BH14" s="34">
        <f t="shared" si="7"/>
        <v>10217</v>
      </c>
    </row>
    <row r="15" spans="1:60">
      <c r="A15" s="14" t="s">
        <v>89</v>
      </c>
      <c r="B15" s="13" t="str">
        <f>VLOOKUP(A15,设计师对应店铺!A:B,COLUMN(设计师对应店铺!B:B)-COLUMN(设计师对应店铺!A:B)+1,0)</f>
        <v>吉盛伟邦</v>
      </c>
      <c r="C15" s="237">
        <f>COUNTIFS(总表!B:B,$C$1,总表!D:D,A15,总表!L:L,"&lt;&gt;",总表!E:E,$BA$3,总表!E:E,$BA$4)</f>
        <v>0</v>
      </c>
      <c r="D15" s="238">
        <f>SUMIFS(总表!N:N,总表!B:B,$C$1,总表!D:D,A15,总表!E:E,$BA$3,总表!E:E,$BA$4)</f>
        <v>3896</v>
      </c>
      <c r="E15" s="237">
        <f>COUNTIFS(总表!B:B,$E$1,总表!D:D,A15,总表!L:L,"&lt;&gt;",总表!E:E,$BA$3,总表!E:E,$BA$4)</f>
        <v>0</v>
      </c>
      <c r="F15" s="238">
        <f>SUMIFS(总表!N:N,总表!B:B,$E$1,总表!D:D,A15,总表!E:E,$BA$3,总表!E:E,$BA$4)</f>
        <v>0</v>
      </c>
      <c r="G15" s="237">
        <f>COUNTIFS(总表!B:B,$G$1,总表!D:D,A15,总表!L:L,"&lt;&gt;",总表!E:E,$BA$3,总表!E:E,$BA$4)</f>
        <v>0</v>
      </c>
      <c r="H15" s="238">
        <f>SUMIFS(总表!N:N,总表!B:B,$G$1,总表!D:D,A15,总表!E:E,$BA$3,总表!E:E,$BA$4)</f>
        <v>0</v>
      </c>
      <c r="I15" s="237">
        <f>COUNTIFS(总表!B:B,$I$1,总表!D:D,A15,总表!L:L,"&lt;&gt;",总表!E:E,$BA$3,总表!E:E,$BA$4)</f>
        <v>0</v>
      </c>
      <c r="J15" s="238">
        <f>SUMIFS(总表!N:N,总表!B:B,$I$1,总表!D:D,A15,总表!E:E,$BA$3,总表!E:E,$BA$4)</f>
        <v>0</v>
      </c>
      <c r="K15" s="237">
        <f>COUNTIFS(总表!B:B,$K$1,总表!D:D,A15,总表!L:L,"&lt;&gt;",总表!E:E,$BA$3,总表!E:E,$BA$4)</f>
        <v>0</v>
      </c>
      <c r="L15" s="238">
        <f>SUMIFS(总表!N:N,总表!B:B,$K$1,总表!D:D,A15,总表!E:E,$BA$3,总表!E:E,$BA$4)</f>
        <v>0</v>
      </c>
      <c r="M15" s="237">
        <f>COUNTIFS(总表!B:B,$M$1,总表!D:D,A15,总表!L:L,"&lt;&gt;",总表!E:E,$BA$3,总表!E:E,$BA$4)</f>
        <v>0</v>
      </c>
      <c r="N15" s="238">
        <f>SUMIFS(总表!N:N,总表!B:B,$M$1,总表!D:D,A15,总表!E:E,$BA$3,总表!E:E,$BA$4)</f>
        <v>0</v>
      </c>
      <c r="O15" s="237">
        <f>COUNTIFS(总表!B:B,$O$1,总表!D:D,A15,总表!L:L,"&lt;&gt;",总表!E:E,$BA$3,总表!E:E,$BA$4)</f>
        <v>0</v>
      </c>
      <c r="P15" s="238">
        <f>SUMIFS(总表!N:N,总表!B:B,$O$1,总表!D:D,A15,总表!E:E,$BA$3,总表!E:E,$BA$4)</f>
        <v>0</v>
      </c>
      <c r="Q15" s="237">
        <f>COUNTIFS(总表!B:B,$Q$1,总表!D:D,A15,总表!L:L,"&lt;&gt;",总表!E:E,$BA$3,总表!E:E,$BA$4)</f>
        <v>0</v>
      </c>
      <c r="R15" s="238">
        <f>SUMIFS(总表!N:N,总表!B:B,$Q$1,总表!D:D,A15,总表!E:E,$BA$3,总表!E:E,$BA$4)</f>
        <v>0</v>
      </c>
      <c r="S15" s="239">
        <f>COUNTIFS(总表!B:B,$S$1,总表!D:D,A15,总表!L:L,"&lt;&gt;",总表!E:E,$BA$3,总表!E:E,$BA$4)</f>
        <v>23</v>
      </c>
      <c r="T15" s="239">
        <f>SUMIFS(总表!N:N,总表!B:B,$S$1,总表!D:D,A15,总表!E:E,$BA$3,总表!E:E,$BA$4)</f>
        <v>394953</v>
      </c>
      <c r="U15" s="237">
        <f>COUNTIFS(总表!B:B,$U$1,总表!D:D,A15,总表!L:L,"&lt;&gt;",总表!E:E,$BA$3,总表!E:E,$BA$4)</f>
        <v>0</v>
      </c>
      <c r="V15" s="238">
        <f>SUMIFS(总表!N:N,总表!B:B,$U$1,总表!D:D,A15,总表!E:E,$BA$3,总表!E:E,$BA$4)</f>
        <v>0</v>
      </c>
      <c r="W15" s="237">
        <f>COUNTIFS(总表!B:B,$W$1,总表!D:D,A15,总表!L:L,"&lt;&gt;",总表!E:E,$BA$3,总表!E:E,$BA$4)</f>
        <v>0</v>
      </c>
      <c r="X15" s="238">
        <f>SUMIFS(总表!N:N,总表!B:B,$W$1,总表!D:D,A15,总表!E:E,$BA$3,总表!E:E,$BA$4)</f>
        <v>0</v>
      </c>
      <c r="Y15" s="237">
        <f>COUNTIFS(总表!B:B,$Y$1,总表!D:D,A15,总表!L:L,"&lt;&gt;",总表!E:E,$BA$3,总表!E:E,$BA$4)</f>
        <v>1</v>
      </c>
      <c r="Z15" s="238">
        <f>SUMIFS(总表!N:N,总表!B:B,$Y$1,总表!D:D,A15,总表!E:E,$BA$3,总表!E:E,$BA$4)</f>
        <v>3774</v>
      </c>
      <c r="AA15" s="237">
        <f>COUNTIFS(总表!B:B,$AA$1,总表!D:D,A15,总表!L:L,"&lt;&gt;",总表!E:E,$BA$3,总表!E:E,$BA$4)</f>
        <v>0</v>
      </c>
      <c r="AB15" s="238">
        <f>SUMIFS(总表!N:N,总表!B:B,$AA$1,总表!D:D,A15,总表!E:E,$BA$3,总表!E:E,$BA$4)</f>
        <v>0</v>
      </c>
      <c r="AC15" s="237">
        <f>COUNTIFS(总表!B:B,$AC$1,总表!D:D,A15,总表!L:L,"&lt;&gt;",总表!E:E,$BA$3,总表!E:E,$BA$4)</f>
        <v>0</v>
      </c>
      <c r="AD15" s="238">
        <f>SUMIFS(总表!N:N,总表!B:B,$AC$1,总表!D:D,A15,总表!E:E,$BA$3,总表!E:E,$BA$4)</f>
        <v>0</v>
      </c>
      <c r="AE15" s="237">
        <f>COUNTIFS(总表!B:B,$AE$1,总表!D:D,A15,总表!L:L,"&lt;&gt;",总表!E:E,$BA$3,总表!E:E,$BA$4)</f>
        <v>0</v>
      </c>
      <c r="AF15" s="238">
        <f>SUMIFS(总表!N:N,总表!B:B,$AE$1,总表!D:D,A15,总表!E:E,$BA$3,总表!E:E,$BA$4)</f>
        <v>0</v>
      </c>
      <c r="AG15" s="237">
        <f>COUNTIFS(总表!B:B,$AG$1,总表!D:D,A15,总表!L:L,"&lt;&gt;",总表!E:E,$BA$3,总表!E:E,$BA$4)</f>
        <v>0</v>
      </c>
      <c r="AH15" s="238">
        <f>SUMIFS(总表!N:N,总表!B:B,$AG$1,总表!D:D,A15,总表!E:E,$BA$3,总表!E:E,$BA$4)</f>
        <v>0</v>
      </c>
      <c r="AI15" s="237">
        <f>COUNTIFS(总表!B:B,$AI$1,总表!D:D,A15,总表!L:L,"&lt;&gt;",总表!E:E,$BA$3,总表!E:E,$BA$4)</f>
        <v>0</v>
      </c>
      <c r="AJ15" s="238">
        <f>SUMIFS(总表!N:N,总表!B:B,AI$1,总表!D:D,A15,总表!E:E,$BA$3,总表!E:E,$BA$4)</f>
        <v>0</v>
      </c>
      <c r="AK15" s="237">
        <f>COUNTIFS(总表!B:B,$AK$1,总表!D:D,A15,总表!L:L,"&lt;&gt;",总表!E:E,$BA$3,总表!E:E,$BA$4)</f>
        <v>0</v>
      </c>
      <c r="AL15" s="238">
        <f>SUMIFS(总表!N:N,总表!B:B,$AK$1,总表!D:D,A15,总表!E:E,$BA$3,总表!E:E,$BA$4)</f>
        <v>0</v>
      </c>
      <c r="AM15" s="237">
        <f>COUNTIFS(总表!B:B,$AM$1,总表!D:D,A15,总表!L:L,"&lt;&gt;",总表!E:E,$BA$3,总表!E:E,$BA$4)</f>
        <v>0</v>
      </c>
      <c r="AN15" s="238">
        <f>SUMIFS(总表!N:N,总表!B:B,$AM$1,总表!D:D,A15,总表!E:E,$BA$3,总表!E:E,$BA$4)</f>
        <v>0</v>
      </c>
      <c r="AO15" s="237">
        <f>COUNTIFS(总表!B:B,$AO$1,总表!D:D,A15,总表!L:L,"&lt;&gt;",总表!E:E,$BA$3,总表!E:E,$BA$4)</f>
        <v>0</v>
      </c>
      <c r="AP15" s="238">
        <f>SUMIFS(总表!N:N,总表!B:B,$AO$1,总表!D:D,A15,总表!E:E,$BA$3,总表!E:E,$BA$4)</f>
        <v>0</v>
      </c>
      <c r="AQ15" s="237">
        <f>COUNTIFS(总表!B:B,$AQ$1,总表!D:D,A15,总表!L:L,"&lt;&gt;",总表!E:E,$BA$3,总表!E:E,$BA$4)</f>
        <v>0</v>
      </c>
      <c r="AR15" s="238">
        <f>SUMIFS(总表!N:N,总表!B:B,$AQ$1,总表!D:D,A15,总表!E:E,$BA$3,总表!E:E,$BA$4)</f>
        <v>0</v>
      </c>
      <c r="AS15" s="237">
        <f>COUNTIFS(总表!B:B,$AS$1,总表!D:D,A15,总表!L:L,"&lt;&gt;",总表!E:E,$BA$3,总表!E:E,$BA$4)</f>
        <v>0</v>
      </c>
      <c r="AT15" s="238">
        <f>SUMIFS(总表!N:N,总表!B:B,$AS$1,总表!D:D,A15,总表!E:E,$BA$3,总表!E:E,$BA$4)</f>
        <v>0</v>
      </c>
      <c r="AU15" s="237">
        <f>COUNTIFS(总表!B:B,$AU$1,总表!D:D,A15,总表!L:L,"&lt;&gt;",总表!E:E,$BA$3,总表!E:E,$BA$4)</f>
        <v>0</v>
      </c>
      <c r="AV15" s="238">
        <f>SUMIFS(总表!N:N,总表!B:B,$AU$1,总表!D:D,A15,总表!E:E,$BA$3,总表!E:E,$BA$4)</f>
        <v>0</v>
      </c>
      <c r="AW15" s="242">
        <f>COUNTIFS(总表!B:B,$AW$1,总表!D:D,A15,总表!L:L,"&lt;&gt;",总表!E:E,$BA$3,总表!E:E,$BA$4)</f>
        <v>0</v>
      </c>
      <c r="AX15" s="242">
        <f>SUMIFS(总表!N:N,总表!B:B,$AW$1,总表!D:D,A15,总表!E:E,$BA$3,总表!E:E,$BA$4)</f>
        <v>0</v>
      </c>
      <c r="AY15" s="242">
        <f>COUNTIFS(总表!B:B,$AY$1,总表!D:D,A15,总表!L:L,"&lt;&gt;",总表!E:E,$BA$3,总表!E:E,$BA$4)</f>
        <v>0</v>
      </c>
      <c r="AZ15" s="242">
        <f>SUMIFS(总表!N:N,总表!B:B,$AY$1,总表!D:D,A15,总表!E:E,$BA$3,总表!E:E,$BA$4)</f>
        <v>0</v>
      </c>
      <c r="BB15" s="34">
        <f t="shared" si="4"/>
        <v>402623</v>
      </c>
      <c r="BC15" s="34">
        <f>S15</f>
        <v>23</v>
      </c>
      <c r="BD15" s="34">
        <f>T15</f>
        <v>394953</v>
      </c>
      <c r="BE15" s="244">
        <f t="shared" si="5"/>
        <v>17171.8695652174</v>
      </c>
      <c r="BF15" s="245">
        <f t="shared" si="6"/>
        <v>0.980949920893739</v>
      </c>
      <c r="BG15" s="34">
        <f>COUNTIFS(总表!D:D,A15,总表!L:L,"&lt;&gt;",总表!E:E,$BA$3,总表!E:E,$BA$4)-BC15</f>
        <v>1</v>
      </c>
      <c r="BH15" s="34">
        <f t="shared" si="7"/>
        <v>7670</v>
      </c>
    </row>
    <row r="16" spans="1:60">
      <c r="A16" s="14" t="s">
        <v>8334</v>
      </c>
      <c r="B16" s="13" t="str">
        <f>VLOOKUP(A16,设计师对应店铺!A:B,COLUMN(设计师对应店铺!B:B)-COLUMN(设计师对应店铺!A:B)+1,0)</f>
        <v>尚品宅配</v>
      </c>
      <c r="C16" s="237">
        <f>COUNTIFS(总表!B:B,$C$1,总表!D:D,A16,总表!L:L,"&lt;&gt;",总表!E:E,$BA$3,总表!E:E,$BA$4)</f>
        <v>2</v>
      </c>
      <c r="D16" s="238">
        <f>SUMIFS(总表!N:N,总表!B:B,$C$1,总表!D:D,A16,总表!E:E,$BA$3,总表!E:E,$BA$4)</f>
        <v>14281</v>
      </c>
      <c r="E16" s="237">
        <f>COUNTIFS(总表!B:B,$E$1,总表!D:D,A16,总表!L:L,"&lt;&gt;",总表!E:E,$BA$3,总表!E:E,$BA$4)</f>
        <v>0</v>
      </c>
      <c r="F16" s="238">
        <f>SUMIFS(总表!N:N,总表!B:B,$E$1,总表!D:D,A16,总表!E:E,$BA$3,总表!E:E,$BA$4)</f>
        <v>0</v>
      </c>
      <c r="G16" s="237">
        <f>COUNTIFS(总表!B:B,$G$1,总表!D:D,A16,总表!L:L,"&lt;&gt;",总表!E:E,$BA$3,总表!E:E,$BA$4)</f>
        <v>0</v>
      </c>
      <c r="H16" s="238">
        <f>SUMIFS(总表!N:N,总表!B:B,$G$1,总表!D:D,A16,总表!E:E,$BA$3,总表!E:E,$BA$4)</f>
        <v>0</v>
      </c>
      <c r="I16" s="237">
        <f>COUNTIFS(总表!B:B,$I$1,总表!D:D,A16,总表!L:L,"&lt;&gt;",总表!E:E,$BA$3,总表!E:E,$BA$4)</f>
        <v>0</v>
      </c>
      <c r="J16" s="238">
        <f>SUMIFS(总表!N:N,总表!B:B,$I$1,总表!D:D,A16,总表!E:E,$BA$3,总表!E:E,$BA$4)</f>
        <v>0</v>
      </c>
      <c r="K16" s="237">
        <f>COUNTIFS(总表!B:B,$K$1,总表!D:D,A16,总表!L:L,"&lt;&gt;",总表!E:E,$BA$3,总表!E:E,$BA$4)</f>
        <v>0</v>
      </c>
      <c r="L16" s="238">
        <f>SUMIFS(总表!N:N,总表!B:B,$K$1,总表!D:D,A16,总表!E:E,$BA$3,总表!E:E,$BA$4)</f>
        <v>0</v>
      </c>
      <c r="M16" s="237">
        <f>COUNTIFS(总表!B:B,$M$1,总表!D:D,A16,总表!L:L,"&lt;&gt;",总表!E:E,$BA$3,总表!E:E,$BA$4)</f>
        <v>0</v>
      </c>
      <c r="N16" s="238">
        <f>SUMIFS(总表!N:N,总表!B:B,$M$1,总表!D:D,A16,总表!E:E,$BA$3,总表!E:E,$BA$4)</f>
        <v>0</v>
      </c>
      <c r="O16" s="237">
        <f>COUNTIFS(总表!B:B,$O$1,总表!D:D,A16,总表!L:L,"&lt;&gt;",总表!E:E,$BA$3,总表!E:E,$BA$4)</f>
        <v>0</v>
      </c>
      <c r="P16" s="238">
        <f>SUMIFS(总表!N:N,总表!B:B,$O$1,总表!D:D,A16,总表!E:E,$BA$3,总表!E:E,$BA$4)</f>
        <v>0</v>
      </c>
      <c r="Q16" s="237">
        <f>COUNTIFS(总表!B:B,$Q$1,总表!D:D,A16,总表!L:L,"&lt;&gt;",总表!E:E,$BA$3,总表!E:E,$BA$4)</f>
        <v>0</v>
      </c>
      <c r="R16" s="238">
        <f>SUMIFS(总表!N:N,总表!B:B,$Q$1,总表!D:D,A16,总表!E:E,$BA$3,总表!E:E,$BA$4)</f>
        <v>0</v>
      </c>
      <c r="S16" s="239">
        <f>COUNTIFS(总表!B:B,$S$1,总表!D:D,A16,总表!L:L,"&lt;&gt;",总表!E:E,$BA$3,总表!E:E,$BA$4)</f>
        <v>0</v>
      </c>
      <c r="T16" s="239">
        <f>SUMIFS(总表!N:N,总表!B:B,$S$1,总表!D:D,A16,总表!E:E,$BA$3,总表!E:E,$BA$4)</f>
        <v>0</v>
      </c>
      <c r="U16" s="237">
        <f>COUNTIFS(总表!B:B,$U$1,总表!D:D,A16,总表!L:L,"&lt;&gt;",总表!E:E,$BA$3,总表!E:E,$BA$4)</f>
        <v>0</v>
      </c>
      <c r="V16" s="238">
        <f>SUMIFS(总表!N:N,总表!B:B,$U$1,总表!D:D,A16,总表!E:E,$BA$3,总表!E:E,$BA$4)</f>
        <v>0</v>
      </c>
      <c r="W16" s="237">
        <f>COUNTIFS(总表!B:B,$W$1,总表!D:D,A16,总表!L:L,"&lt;&gt;",总表!E:E,$BA$3,总表!E:E,$BA$4)</f>
        <v>0</v>
      </c>
      <c r="X16" s="238">
        <f>SUMIFS(总表!N:N,总表!B:B,$W$1,总表!D:D,A16,总表!E:E,$BA$3,总表!E:E,$BA$4)</f>
        <v>0</v>
      </c>
      <c r="Y16" s="237">
        <f>COUNTIFS(总表!B:B,$Y$1,总表!D:D,A16,总表!L:L,"&lt;&gt;",总表!E:E,$BA$3,总表!E:E,$BA$4)</f>
        <v>0</v>
      </c>
      <c r="Z16" s="238">
        <f>SUMIFS(总表!N:N,总表!B:B,$Y$1,总表!D:D,A16,总表!E:E,$BA$3,总表!E:E,$BA$4)</f>
        <v>0</v>
      </c>
      <c r="AA16" s="237">
        <f>COUNTIFS(总表!B:B,$AA$1,总表!D:D,A16,总表!L:L,"&lt;&gt;",总表!E:E,$BA$3,总表!E:E,$BA$4)</f>
        <v>0</v>
      </c>
      <c r="AB16" s="238">
        <f>SUMIFS(总表!N:N,总表!B:B,$AA$1,总表!D:D,A16,总表!E:E,$BA$3,总表!E:E,$BA$4)</f>
        <v>0</v>
      </c>
      <c r="AC16" s="237">
        <f>COUNTIFS(总表!B:B,$AC$1,总表!D:D,A16,总表!L:L,"&lt;&gt;",总表!E:E,$BA$3,总表!E:E,$BA$4)</f>
        <v>0</v>
      </c>
      <c r="AD16" s="238">
        <f>SUMIFS(总表!N:N,总表!B:B,$AC$1,总表!D:D,A16,总表!E:E,$BA$3,总表!E:E,$BA$4)</f>
        <v>0</v>
      </c>
      <c r="AE16" s="237">
        <f>COUNTIFS(总表!B:B,$AE$1,总表!D:D,A16,总表!L:L,"&lt;&gt;",总表!E:E,$BA$3,总表!E:E,$BA$4)</f>
        <v>0</v>
      </c>
      <c r="AF16" s="238">
        <f>SUMIFS(总表!N:N,总表!B:B,$AE$1,总表!D:D,A16,总表!E:E,$BA$3,总表!E:E,$BA$4)</f>
        <v>0</v>
      </c>
      <c r="AG16" s="237">
        <f>COUNTIFS(总表!B:B,$AG$1,总表!D:D,A16,总表!L:L,"&lt;&gt;",总表!E:E,$BA$3,总表!E:E,$BA$4)</f>
        <v>0</v>
      </c>
      <c r="AH16" s="238">
        <f>SUMIFS(总表!N:N,总表!B:B,$AG$1,总表!D:D,A16,总表!E:E,$BA$3,总表!E:E,$BA$4)</f>
        <v>0</v>
      </c>
      <c r="AI16" s="237">
        <f>COUNTIFS(总表!B:B,$AI$1,总表!D:D,A16,总表!L:L,"&lt;&gt;",总表!E:E,$BA$3,总表!E:E,$BA$4)</f>
        <v>0</v>
      </c>
      <c r="AJ16" s="238">
        <f>SUMIFS(总表!N:N,总表!B:B,AI$1,总表!D:D,A16,总表!E:E,$BA$3,总表!E:E,$BA$4)</f>
        <v>0</v>
      </c>
      <c r="AK16" s="237">
        <f>COUNTIFS(总表!B:B,$AK$1,总表!D:D,A16,总表!L:L,"&lt;&gt;",总表!E:E,$BA$3,总表!E:E,$BA$4)</f>
        <v>0</v>
      </c>
      <c r="AL16" s="238">
        <f>SUMIFS(总表!N:N,总表!B:B,$AK$1,总表!D:D,A16,总表!E:E,$BA$3,总表!E:E,$BA$4)</f>
        <v>0</v>
      </c>
      <c r="AM16" s="237">
        <f>COUNTIFS(总表!B:B,$AM$1,总表!D:D,A16,总表!L:L,"&lt;&gt;",总表!E:E,$BA$3,总表!E:E,$BA$4)</f>
        <v>0</v>
      </c>
      <c r="AN16" s="238">
        <f>SUMIFS(总表!N:N,总表!B:B,$AM$1,总表!D:D,A16,总表!E:E,$BA$3,总表!E:E,$BA$4)</f>
        <v>0</v>
      </c>
      <c r="AO16" s="237">
        <f>COUNTIFS(总表!B:B,$AO$1,总表!D:D,A16,总表!L:L,"&lt;&gt;",总表!E:E,$BA$3,总表!E:E,$BA$4)</f>
        <v>0</v>
      </c>
      <c r="AP16" s="238">
        <f>SUMIFS(总表!N:N,总表!B:B,$AO$1,总表!D:D,A16,总表!E:E,$BA$3,总表!E:E,$BA$4)</f>
        <v>0</v>
      </c>
      <c r="AQ16" s="237">
        <f>COUNTIFS(总表!B:B,$AQ$1,总表!D:D,A16,总表!L:L,"&lt;&gt;",总表!E:E,$BA$3,总表!E:E,$BA$4)</f>
        <v>0</v>
      </c>
      <c r="AR16" s="238">
        <f>SUMIFS(总表!N:N,总表!B:B,$AQ$1,总表!D:D,A16,总表!E:E,$BA$3,总表!E:E,$BA$4)</f>
        <v>0</v>
      </c>
      <c r="AS16" s="237">
        <f>COUNTIFS(总表!B:B,$AS$1,总表!D:D,A16,总表!L:L,"&lt;&gt;",总表!E:E,$BA$3,总表!E:E,$BA$4)</f>
        <v>0</v>
      </c>
      <c r="AT16" s="238">
        <f>SUMIFS(总表!N:N,总表!B:B,$AS$1,总表!D:D,A16,总表!E:E,$BA$3,总表!E:E,$BA$4)</f>
        <v>0</v>
      </c>
      <c r="AU16" s="237">
        <f>COUNTIFS(总表!B:B,$AU$1,总表!D:D,A16,总表!L:L,"&lt;&gt;",总表!E:E,$BA$3,总表!E:E,$BA$4)</f>
        <v>0</v>
      </c>
      <c r="AV16" s="238">
        <f>SUMIFS(总表!N:N,总表!B:B,$AU$1,总表!D:D,A16,总表!E:E,$BA$3,总表!E:E,$BA$4)</f>
        <v>0</v>
      </c>
      <c r="AW16" s="242">
        <f>COUNTIFS(总表!B:B,$AW$1,总表!D:D,A16,总表!L:L,"&lt;&gt;",总表!E:E,$BA$3,总表!E:E,$BA$4)</f>
        <v>0</v>
      </c>
      <c r="AX16" s="242">
        <f>SUMIFS(总表!N:N,总表!B:B,$AW$1,总表!D:D,A16,总表!E:E,$BA$3,总表!E:E,$BA$4)</f>
        <v>0</v>
      </c>
      <c r="AY16" s="243">
        <f>COUNTIFS(总表!B:B,$AY$1,总表!D:D,A16,总表!L:L,"&lt;&gt;",总表!E:E,$BA$3,总表!E:E,$BA$4)</f>
        <v>29</v>
      </c>
      <c r="AZ16" s="243">
        <f>SUMIFS(总表!N:N,总表!B:B,$AY$1,总表!D:D,A16,总表!E:E,$BA$3,总表!E:E,$BA$4)</f>
        <v>257316</v>
      </c>
      <c r="BB16" s="34">
        <f t="shared" si="4"/>
        <v>271597</v>
      </c>
      <c r="BC16" s="34">
        <f>S16+AY16</f>
        <v>29</v>
      </c>
      <c r="BD16" s="34">
        <f>T16+AZ16</f>
        <v>257316</v>
      </c>
      <c r="BE16" s="244">
        <f t="shared" si="5"/>
        <v>8872.96551724138</v>
      </c>
      <c r="BF16" s="245">
        <f t="shared" si="6"/>
        <v>0.947418417729209</v>
      </c>
      <c r="BG16" s="34">
        <f>COUNTIFS(总表!D:D,A16,总表!L:L,"&lt;&gt;",总表!E:E,$BA$3,总表!E:E,$BA$4)-BC16</f>
        <v>2</v>
      </c>
      <c r="BH16" s="34">
        <f t="shared" si="7"/>
        <v>14281</v>
      </c>
    </row>
    <row r="17" spans="1:60">
      <c r="A17" s="14" t="s">
        <v>635</v>
      </c>
      <c r="B17" s="13" t="str">
        <f>VLOOKUP(A17,设计师对应店铺!A:B,COLUMN(设计师对应店铺!B:B)-COLUMN(设计师对应店铺!A:B)+1,0)</f>
        <v>家饰佳、兴力达</v>
      </c>
      <c r="C17" s="237">
        <f>COUNTIFS(总表!B:B,$C$1,总表!D:D,A17,总表!L:L,"&lt;&gt;",总表!E:E,$BA$3,总表!E:E,$BA$4)</f>
        <v>0</v>
      </c>
      <c r="D17" s="238">
        <f>SUMIFS(总表!N:N,总表!B:B,$C$1,总表!D:D,A17,总表!E:E,$BA$3,总表!E:E,$BA$4)</f>
        <v>0</v>
      </c>
      <c r="E17" s="237">
        <f>COUNTIFS(总表!B:B,$E$1,总表!D:D,A17,总表!L:L,"&lt;&gt;",总表!E:E,$BA$3,总表!E:E,$BA$4)</f>
        <v>0</v>
      </c>
      <c r="F17" s="238">
        <f>SUMIFS(总表!N:N,总表!B:B,$E$1,总表!D:D,A17,总表!E:E,$BA$3,总表!E:E,$BA$4)</f>
        <v>0</v>
      </c>
      <c r="G17" s="237">
        <f>COUNTIFS(总表!B:B,$G$1,总表!D:D,A17,总表!L:L,"&lt;&gt;",总表!E:E,$BA$3,总表!E:E,$BA$4)</f>
        <v>0</v>
      </c>
      <c r="H17" s="238">
        <f>SUMIFS(总表!N:N,总表!B:B,$G$1,总表!D:D,A17,总表!E:E,$BA$3,总表!E:E,$BA$4)</f>
        <v>0</v>
      </c>
      <c r="I17" s="237">
        <f>COUNTIFS(总表!B:B,$I$1,总表!D:D,A17,总表!L:L,"&lt;&gt;",总表!E:E,$BA$3,总表!E:E,$BA$4)</f>
        <v>0</v>
      </c>
      <c r="J17" s="238">
        <f>SUMIFS(总表!N:N,总表!B:B,$I$1,总表!D:D,A17,总表!E:E,$BA$3,总表!E:E,$BA$4)</f>
        <v>3026</v>
      </c>
      <c r="K17" s="237">
        <f>COUNTIFS(总表!B:B,$K$1,总表!D:D,A17,总表!L:L,"&lt;&gt;",总表!E:E,$BA$3,总表!E:E,$BA$4)</f>
        <v>1</v>
      </c>
      <c r="L17" s="238">
        <f>SUMIFS(总表!N:N,总表!B:B,$K$1,总表!D:D,A17,总表!E:E,$BA$3,总表!E:E,$BA$4)</f>
        <v>8060</v>
      </c>
      <c r="M17" s="239">
        <f>COUNTIFS(总表!B:B,$M$1,总表!D:D,A17,总表!L:L,"&lt;&gt;",总表!E:E,$BA$3,总表!E:E,$BA$4)</f>
        <v>14</v>
      </c>
      <c r="N17" s="239">
        <f>SUMIFS(总表!N:N,总表!B:B,$M$1,总表!D:D,A17,总表!E:E,$BA$3,总表!E:E,$BA$4)</f>
        <v>235722</v>
      </c>
      <c r="O17" s="237">
        <f>COUNTIFS(总表!B:B,$O$1,总表!D:D,A17,总表!L:L,"&lt;&gt;",总表!E:E,$BA$3,总表!E:E,$BA$4)</f>
        <v>1</v>
      </c>
      <c r="P17" s="238">
        <f>SUMIFS(总表!N:N,总表!B:B,$O$1,总表!D:D,A17,总表!E:E,$BA$3,总表!E:E,$BA$4)</f>
        <v>30700</v>
      </c>
      <c r="Q17" s="237">
        <f>COUNTIFS(总表!B:B,$Q$1,总表!D:D,A17,总表!L:L,"&lt;&gt;",总表!E:E,$BA$3,总表!E:E,$BA$4)</f>
        <v>0</v>
      </c>
      <c r="R17" s="238">
        <f>SUMIFS(总表!N:N,总表!B:B,$Q$1,总表!D:D,A17,总表!E:E,$BA$3,总表!E:E,$BA$4)</f>
        <v>0</v>
      </c>
      <c r="S17" s="237">
        <f>COUNTIFS(总表!B:B,$S$1,总表!D:D,A17,总表!L:L,"&lt;&gt;",总表!E:E,$BA$3,总表!E:E,$BA$4)</f>
        <v>0</v>
      </c>
      <c r="T17" s="238">
        <f>SUMIFS(总表!N:N,总表!B:B,$S$1,总表!D:D,A17,总表!E:E,$BA$3,总表!E:E,$BA$4)</f>
        <v>0</v>
      </c>
      <c r="U17" s="237">
        <f>COUNTIFS(总表!B:B,$U$1,总表!D:D,A17,总表!L:L,"&lt;&gt;",总表!E:E,$BA$3,总表!E:E,$BA$4)</f>
        <v>0</v>
      </c>
      <c r="V17" s="238">
        <f>SUMIFS(总表!N:N,总表!B:B,$U$1,总表!D:D,A17,总表!E:E,$BA$3,总表!E:E,$BA$4)</f>
        <v>0</v>
      </c>
      <c r="W17" s="239">
        <f>COUNTIFS(总表!B:B,$W$1,总表!D:D,A17,总表!L:L,"&lt;&gt;",总表!E:E,$BA$3,总表!E:E,$BA$4)</f>
        <v>0</v>
      </c>
      <c r="X17" s="239">
        <f>SUMIFS(总表!N:N,总表!B:B,$W$1,总表!D:D,A17,总表!E:E,$BA$3,总表!E:E,$BA$4)</f>
        <v>1435</v>
      </c>
      <c r="Y17" s="237">
        <f>COUNTIFS(总表!B:B,$Y$1,总表!D:D,A17,总表!L:L,"&lt;&gt;",总表!E:E,$BA$3,总表!E:E,$BA$4)</f>
        <v>0</v>
      </c>
      <c r="Z17" s="238">
        <f>SUMIFS(总表!N:N,总表!B:B,$Y$1,总表!D:D,A17,总表!E:E,$BA$3,总表!E:E,$BA$4)</f>
        <v>0</v>
      </c>
      <c r="AA17" s="237">
        <f>COUNTIFS(总表!B:B,$AA$1,总表!D:D,A17,总表!L:L,"&lt;&gt;",总表!E:E,$BA$3,总表!E:E,$BA$4)</f>
        <v>0</v>
      </c>
      <c r="AB17" s="238">
        <f>SUMIFS(总表!N:N,总表!B:B,$AA$1,总表!D:D,A17,总表!E:E,$BA$3,总表!E:E,$BA$4)</f>
        <v>0</v>
      </c>
      <c r="AC17" s="237">
        <f>COUNTIFS(总表!B:B,$AC$1,总表!D:D,A17,总表!L:L,"&lt;&gt;",总表!E:E,$BA$3,总表!E:E,$BA$4)</f>
        <v>0</v>
      </c>
      <c r="AD17" s="238">
        <f>SUMIFS(总表!N:N,总表!B:B,$AC$1,总表!D:D,A17,总表!E:E,$BA$3,总表!E:E,$BA$4)</f>
        <v>0</v>
      </c>
      <c r="AE17" s="237">
        <f>COUNTIFS(总表!B:B,$AE$1,总表!D:D,A17,总表!L:L,"&lt;&gt;",总表!E:E,$BA$3,总表!E:E,$BA$4)</f>
        <v>0</v>
      </c>
      <c r="AF17" s="238">
        <f>SUMIFS(总表!N:N,总表!B:B,$AE$1,总表!D:D,A17,总表!E:E,$BA$3,总表!E:E,$BA$4)</f>
        <v>0</v>
      </c>
      <c r="AG17" s="237">
        <f>COUNTIFS(总表!B:B,$AG$1,总表!D:D,A17,总表!L:L,"&lt;&gt;",总表!E:E,$BA$3,总表!E:E,$BA$4)</f>
        <v>1</v>
      </c>
      <c r="AH17" s="238">
        <f>SUMIFS(总表!N:N,总表!B:B,$AG$1,总表!D:D,A17,总表!E:E,$BA$3,总表!E:E,$BA$4)</f>
        <v>7500</v>
      </c>
      <c r="AI17" s="237">
        <f>COUNTIFS(总表!B:B,$AI$1,总表!D:D,A17,总表!L:L,"&lt;&gt;",总表!E:E,$BA$3,总表!E:E,$BA$4)</f>
        <v>0</v>
      </c>
      <c r="AJ17" s="238">
        <f>SUMIFS(总表!N:N,总表!B:B,AI$1,总表!D:D,A17,总表!E:E,$BA$3,总表!E:E,$BA$4)</f>
        <v>0</v>
      </c>
      <c r="AK17" s="237">
        <f>COUNTIFS(总表!B:B,$AK$1,总表!D:D,A17,总表!L:L,"&lt;&gt;",总表!E:E,$BA$3,总表!E:E,$BA$4)</f>
        <v>0</v>
      </c>
      <c r="AL17" s="238">
        <f>SUMIFS(总表!N:N,总表!B:B,$AK$1,总表!D:D,A17,总表!E:E,$BA$3,总表!E:E,$BA$4)</f>
        <v>0</v>
      </c>
      <c r="AM17" s="237">
        <f>COUNTIFS(总表!B:B,$AM$1,总表!D:D,A17,总表!L:L,"&lt;&gt;",总表!E:E,$BA$3,总表!E:E,$BA$4)</f>
        <v>0</v>
      </c>
      <c r="AN17" s="238">
        <f>SUMIFS(总表!N:N,总表!B:B,$AM$1,总表!D:D,A17,总表!E:E,$BA$3,总表!E:E,$BA$4)</f>
        <v>0</v>
      </c>
      <c r="AO17" s="237">
        <f>COUNTIFS(总表!B:B,$AO$1,总表!D:D,A17,总表!L:L,"&lt;&gt;",总表!E:E,$BA$3,总表!E:E,$BA$4)</f>
        <v>0</v>
      </c>
      <c r="AP17" s="238">
        <f>SUMIFS(总表!N:N,总表!B:B,$AO$1,总表!D:D,A17,总表!E:E,$BA$3,总表!E:E,$BA$4)</f>
        <v>0</v>
      </c>
      <c r="AQ17" s="237">
        <f>COUNTIFS(总表!B:B,$AQ$1,总表!D:D,A17,总表!L:L,"&lt;&gt;",总表!E:E,$BA$3,总表!E:E,$BA$4)</f>
        <v>0</v>
      </c>
      <c r="AR17" s="238">
        <f>SUMIFS(总表!N:N,总表!B:B,$AQ$1,总表!D:D,A17,总表!E:E,$BA$3,总表!E:E,$BA$4)</f>
        <v>0</v>
      </c>
      <c r="AS17" s="237">
        <f>COUNTIFS(总表!B:B,$AS$1,总表!D:D,A17,总表!L:L,"&lt;&gt;",总表!E:E,$BA$3,总表!E:E,$BA$4)</f>
        <v>0</v>
      </c>
      <c r="AT17" s="238">
        <f>SUMIFS(总表!N:N,总表!B:B,$AS$1,总表!D:D,A17,总表!E:E,$BA$3,总表!E:E,$BA$4)</f>
        <v>0</v>
      </c>
      <c r="AU17" s="237">
        <f>COUNTIFS(总表!B:B,$AU$1,总表!D:D,A17,总表!L:L,"&lt;&gt;",总表!E:E,$BA$3,总表!E:E,$BA$4)</f>
        <v>0</v>
      </c>
      <c r="AV17" s="238">
        <f>SUMIFS(总表!N:N,总表!B:B,$AU$1,总表!D:D,A17,总表!E:E,$BA$3,总表!E:E,$BA$4)</f>
        <v>0</v>
      </c>
      <c r="AW17" s="242">
        <f>COUNTIFS(总表!B:B,$AW$1,总表!D:D,A17,总表!L:L,"&lt;&gt;",总表!E:E,$BA$3,总表!E:E,$BA$4)</f>
        <v>0</v>
      </c>
      <c r="AX17" s="242">
        <f>SUMIFS(总表!N:N,总表!B:B,$AW$1,总表!D:D,A17,总表!E:E,$BA$3,总表!E:E,$BA$4)</f>
        <v>0</v>
      </c>
      <c r="AY17" s="242">
        <f>COUNTIFS(总表!B:B,$AY$1,总表!D:D,A17,总表!L:L,"&lt;&gt;",总表!E:E,$BA$3,总表!E:E,$BA$4)</f>
        <v>0</v>
      </c>
      <c r="AZ17" s="242">
        <f>SUMIFS(总表!N:N,总表!B:B,$AY$1,总表!D:D,A17,总表!E:E,$BA$3,总表!E:E,$BA$4)</f>
        <v>0</v>
      </c>
      <c r="BB17" s="34">
        <f t="shared" si="4"/>
        <v>286443</v>
      </c>
      <c r="BC17" s="34">
        <f>M17+W17</f>
        <v>14</v>
      </c>
      <c r="BD17" s="34">
        <f>N17+X17</f>
        <v>237157</v>
      </c>
      <c r="BE17" s="244">
        <f t="shared" si="5"/>
        <v>16939.7857142857</v>
      </c>
      <c r="BF17" s="245">
        <f t="shared" si="6"/>
        <v>0.827937844527532</v>
      </c>
      <c r="BG17" s="34">
        <f>COUNTIFS(总表!D:D,A17,总表!L:L,"&lt;&gt;",总表!E:E,$BA$3,总表!E:E,$BA$4)-BC17</f>
        <v>3</v>
      </c>
      <c r="BH17" s="34">
        <f t="shared" si="7"/>
        <v>49286</v>
      </c>
    </row>
    <row r="18" spans="1:60">
      <c r="A18" s="14" t="s">
        <v>443</v>
      </c>
      <c r="B18" s="13" t="str">
        <f>VLOOKUP(A18,设计师对应店铺!A:B,COLUMN(设计师对应店铺!B:B)-COLUMN(设计师对应店铺!A:B)+1,0)</f>
        <v>家饰佳</v>
      </c>
      <c r="C18" s="237">
        <f>COUNTIFS(总表!B:B,$C$1,总表!D:D,A18,总表!L:L,"&lt;&gt;",总表!E:E,$BA$3,总表!E:E,$BA$4)</f>
        <v>0</v>
      </c>
      <c r="D18" s="238">
        <f>SUMIFS(总表!N:N,总表!B:B,$C$1,总表!D:D,A18,总表!E:E,$BA$3,总表!E:E,$BA$4)</f>
        <v>0</v>
      </c>
      <c r="E18" s="237">
        <f>COUNTIFS(总表!B:B,$E$1,总表!D:D,A18,总表!L:L,"&lt;&gt;",总表!E:E,$BA$3,总表!E:E,$BA$4)</f>
        <v>0</v>
      </c>
      <c r="F18" s="238">
        <f>SUMIFS(总表!N:N,总表!B:B,$E$1,总表!D:D,A18,总表!E:E,$BA$3,总表!E:E,$BA$4)</f>
        <v>0</v>
      </c>
      <c r="G18" s="237">
        <f>COUNTIFS(总表!B:B,$G$1,总表!D:D,A18,总表!L:L,"&lt;&gt;",总表!E:E,$BA$3,总表!E:E,$BA$4)</f>
        <v>0</v>
      </c>
      <c r="H18" s="238">
        <f>SUMIFS(总表!N:N,总表!B:B,$G$1,总表!D:D,A18,总表!E:E,$BA$3,总表!E:E,$BA$4)</f>
        <v>0</v>
      </c>
      <c r="I18" s="237">
        <f>COUNTIFS(总表!B:B,$I$1,总表!D:D,A18,总表!L:L,"&lt;&gt;",总表!E:E,$BA$3,总表!E:E,$BA$4)</f>
        <v>0</v>
      </c>
      <c r="J18" s="238">
        <f>SUMIFS(总表!N:N,总表!B:B,$I$1,总表!D:D,A18,总表!E:E,$BA$3,总表!E:E,$BA$4)</f>
        <v>0</v>
      </c>
      <c r="K18" s="237">
        <f>COUNTIFS(总表!B:B,$K$1,总表!D:D,A18,总表!L:L,"&lt;&gt;",总表!E:E,$BA$3,总表!E:E,$BA$4)</f>
        <v>0</v>
      </c>
      <c r="L18" s="238">
        <f>SUMIFS(总表!N:N,总表!B:B,$K$1,总表!D:D,A18,总表!E:E,$BA$3,总表!E:E,$BA$4)</f>
        <v>0</v>
      </c>
      <c r="M18" s="237">
        <f>COUNTIFS(总表!B:B,$M$1,总表!D:D,A18,总表!L:L,"&lt;&gt;",总表!E:E,$BA$3,总表!E:E,$BA$4)</f>
        <v>1</v>
      </c>
      <c r="N18" s="237">
        <f>SUMIFS(总表!N:N,总表!B:B,$M$1,总表!D:D,A18,总表!E:E,$BA$3,总表!E:E,$BA$4)</f>
        <v>47158</v>
      </c>
      <c r="O18" s="239">
        <f>COUNTIFS(总表!B:B,$O$1,总表!D:D,A18,总表!L:L,"&lt;&gt;",总表!E:E,$BA$3,总表!E:E,$BA$4)</f>
        <v>28</v>
      </c>
      <c r="P18" s="239">
        <f>SUMIFS(总表!N:N,总表!B:B,$O$1,总表!D:D,A18,总表!E:E,$BA$3,总表!E:E,$BA$4)</f>
        <v>382648</v>
      </c>
      <c r="Q18" s="237">
        <f>COUNTIFS(总表!B:B,$Q$1,总表!D:D,A18,总表!L:L,"&lt;&gt;",总表!E:E,$BA$3,总表!E:E,$BA$4)</f>
        <v>0</v>
      </c>
      <c r="R18" s="238">
        <f>SUMIFS(总表!N:N,总表!B:B,$Q$1,总表!D:D,A18,总表!E:E,$BA$3,总表!E:E,$BA$4)</f>
        <v>0</v>
      </c>
      <c r="S18" s="237">
        <f>COUNTIFS(总表!B:B,$S$1,总表!D:D,A18,总表!L:L,"&lt;&gt;",总表!E:E,$BA$3,总表!E:E,$BA$4)</f>
        <v>0</v>
      </c>
      <c r="T18" s="238">
        <f>SUMIFS(总表!N:N,总表!B:B,$S$1,总表!D:D,A18,总表!E:E,$BA$3,总表!E:E,$BA$4)</f>
        <v>0</v>
      </c>
      <c r="U18" s="237">
        <f>COUNTIFS(总表!B:B,$U$1,总表!D:D,A18,总表!L:L,"&lt;&gt;",总表!E:E,$BA$3,总表!E:E,$BA$4)</f>
        <v>0</v>
      </c>
      <c r="V18" s="238">
        <f>SUMIFS(总表!N:N,总表!B:B,$U$1,总表!D:D,A18,总表!E:E,$BA$3,总表!E:E,$BA$4)</f>
        <v>0</v>
      </c>
      <c r="W18" s="237">
        <f>COUNTIFS(总表!B:B,$W$1,总表!D:D,A18,总表!L:L,"&lt;&gt;",总表!E:E,$BA$3,总表!E:E,$BA$4)</f>
        <v>0</v>
      </c>
      <c r="X18" s="238">
        <f>SUMIFS(总表!N:N,总表!B:B,$W$1,总表!D:D,A18,总表!E:E,$BA$3,总表!E:E,$BA$4)</f>
        <v>0</v>
      </c>
      <c r="Y18" s="237">
        <f>COUNTIFS(总表!B:B,$Y$1,总表!D:D,A18,总表!L:L,"&lt;&gt;",总表!E:E,$BA$3,总表!E:E,$BA$4)</f>
        <v>0</v>
      </c>
      <c r="Z18" s="238">
        <f>SUMIFS(总表!N:N,总表!B:B,$Y$1,总表!D:D,A18,总表!E:E,$BA$3,总表!E:E,$BA$4)</f>
        <v>0</v>
      </c>
      <c r="AA18" s="237">
        <f>COUNTIFS(总表!B:B,$AA$1,总表!D:D,A18,总表!L:L,"&lt;&gt;",总表!E:E,$BA$3,总表!E:E,$BA$4)</f>
        <v>0</v>
      </c>
      <c r="AB18" s="238">
        <f>SUMIFS(总表!N:N,总表!B:B,$AA$1,总表!D:D,A18,总表!E:E,$BA$3,总表!E:E,$BA$4)</f>
        <v>0</v>
      </c>
      <c r="AC18" s="237">
        <f>COUNTIFS(总表!B:B,$AC$1,总表!D:D,A18,总表!L:L,"&lt;&gt;",总表!E:E,$BA$3,总表!E:E,$BA$4)</f>
        <v>0</v>
      </c>
      <c r="AD18" s="238">
        <f>SUMIFS(总表!N:N,总表!B:B,$AC$1,总表!D:D,A18,总表!E:E,$BA$3,总表!E:E,$BA$4)</f>
        <v>0</v>
      </c>
      <c r="AE18" s="237">
        <f>COUNTIFS(总表!B:B,$AE$1,总表!D:D,A18,总表!L:L,"&lt;&gt;",总表!E:E,$BA$3,总表!E:E,$BA$4)</f>
        <v>0</v>
      </c>
      <c r="AF18" s="238">
        <f>SUMIFS(总表!N:N,总表!B:B,$AE$1,总表!D:D,A18,总表!E:E,$BA$3,总表!E:E,$BA$4)</f>
        <v>0</v>
      </c>
      <c r="AG18" s="237">
        <f>COUNTIFS(总表!B:B,$AG$1,总表!D:D,A18,总表!L:L,"&lt;&gt;",总表!E:E,$BA$3,总表!E:E,$BA$4)</f>
        <v>0</v>
      </c>
      <c r="AH18" s="238">
        <f>SUMIFS(总表!N:N,总表!B:B,$AG$1,总表!D:D,A18,总表!E:E,$BA$3,总表!E:E,$BA$4)</f>
        <v>0</v>
      </c>
      <c r="AI18" s="237">
        <f>COUNTIFS(总表!B:B,$AI$1,总表!D:D,A18,总表!L:L,"&lt;&gt;",总表!E:E,$BA$3,总表!E:E,$BA$4)</f>
        <v>0</v>
      </c>
      <c r="AJ18" s="238">
        <f>SUMIFS(总表!N:N,总表!B:B,AI$1,总表!D:D,A18,总表!E:E,$BA$3,总表!E:E,$BA$4)</f>
        <v>0</v>
      </c>
      <c r="AK18" s="237">
        <f>COUNTIFS(总表!B:B,$AK$1,总表!D:D,A18,总表!L:L,"&lt;&gt;",总表!E:E,$BA$3,总表!E:E,$BA$4)</f>
        <v>0</v>
      </c>
      <c r="AL18" s="238">
        <f>SUMIFS(总表!N:N,总表!B:B,$AK$1,总表!D:D,A18,总表!E:E,$BA$3,总表!E:E,$BA$4)</f>
        <v>0</v>
      </c>
      <c r="AM18" s="237">
        <f>COUNTIFS(总表!B:B,$AM$1,总表!D:D,A18,总表!L:L,"&lt;&gt;",总表!E:E,$BA$3,总表!E:E,$BA$4)</f>
        <v>0</v>
      </c>
      <c r="AN18" s="238">
        <f>SUMIFS(总表!N:N,总表!B:B,$AM$1,总表!D:D,A18,总表!E:E,$BA$3,总表!E:E,$BA$4)</f>
        <v>0</v>
      </c>
      <c r="AO18" s="237">
        <f>COUNTIFS(总表!B:B,$AO$1,总表!D:D,A18,总表!L:L,"&lt;&gt;",总表!E:E,$BA$3,总表!E:E,$BA$4)</f>
        <v>0</v>
      </c>
      <c r="AP18" s="238">
        <f>SUMIFS(总表!N:N,总表!B:B,$AO$1,总表!D:D,A18,总表!E:E,$BA$3,总表!E:E,$BA$4)</f>
        <v>0</v>
      </c>
      <c r="AQ18" s="237">
        <f>COUNTIFS(总表!B:B,$AQ$1,总表!D:D,A18,总表!L:L,"&lt;&gt;",总表!E:E,$BA$3,总表!E:E,$BA$4)</f>
        <v>0</v>
      </c>
      <c r="AR18" s="238">
        <f>SUMIFS(总表!N:N,总表!B:B,$AQ$1,总表!D:D,A18,总表!E:E,$BA$3,总表!E:E,$BA$4)</f>
        <v>0</v>
      </c>
      <c r="AS18" s="237">
        <f>COUNTIFS(总表!B:B,$AS$1,总表!D:D,A18,总表!L:L,"&lt;&gt;",总表!E:E,$BA$3,总表!E:E,$BA$4)</f>
        <v>0</v>
      </c>
      <c r="AT18" s="238">
        <f>SUMIFS(总表!N:N,总表!B:B,$AS$1,总表!D:D,A18,总表!E:E,$BA$3,总表!E:E,$BA$4)</f>
        <v>0</v>
      </c>
      <c r="AU18" s="237">
        <f>COUNTIFS(总表!B:B,$AU$1,总表!D:D,A18,总表!L:L,"&lt;&gt;",总表!E:E,$BA$3,总表!E:E,$BA$4)</f>
        <v>0</v>
      </c>
      <c r="AV18" s="238">
        <f>SUMIFS(总表!N:N,总表!B:B,$AU$1,总表!D:D,A18,总表!E:E,$BA$3,总表!E:E,$BA$4)</f>
        <v>0</v>
      </c>
      <c r="AW18" s="242">
        <f>COUNTIFS(总表!B:B,$AW$1,总表!D:D,A18,总表!L:L,"&lt;&gt;",总表!E:E,$BA$3,总表!E:E,$BA$4)</f>
        <v>0</v>
      </c>
      <c r="AX18" s="242">
        <f>SUMIFS(总表!N:N,总表!B:B,$AW$1,总表!D:D,A18,总表!E:E,$BA$3,总表!E:E,$BA$4)</f>
        <v>0</v>
      </c>
      <c r="AY18" s="242">
        <f>COUNTIFS(总表!B:B,$AY$1,总表!D:D,A18,总表!L:L,"&lt;&gt;",总表!E:E,$BA$3,总表!E:E,$BA$4)</f>
        <v>0</v>
      </c>
      <c r="AZ18" s="242">
        <f>SUMIFS(总表!N:N,总表!B:B,$AY$1,总表!D:D,A18,总表!E:E,$BA$3,总表!E:E,$BA$4)</f>
        <v>0</v>
      </c>
      <c r="BB18" s="34">
        <f t="shared" si="4"/>
        <v>429806</v>
      </c>
      <c r="BC18" s="34">
        <f>O18</f>
        <v>28</v>
      </c>
      <c r="BD18" s="34">
        <f>P18</f>
        <v>382648</v>
      </c>
      <c r="BE18" s="244">
        <f t="shared" si="5"/>
        <v>13666</v>
      </c>
      <c r="BF18" s="245">
        <f t="shared" si="6"/>
        <v>0.890280731306683</v>
      </c>
      <c r="BG18" s="34">
        <f>COUNTIFS(总表!D:D,A18,总表!L:L,"&lt;&gt;",总表!E:E,$BA$3,总表!E:E,$BA$4)-BC18</f>
        <v>1</v>
      </c>
      <c r="BH18" s="34">
        <f t="shared" si="7"/>
        <v>47158</v>
      </c>
    </row>
    <row r="19" spans="1:60">
      <c r="A19" s="14" t="s">
        <v>1431</v>
      </c>
      <c r="B19" s="13" t="str">
        <f>VLOOKUP(A19,设计师对应店铺!A:B,COLUMN(设计师对应店铺!B:B)-COLUMN(设计师对应店铺!A:B)+1,0)</f>
        <v>真北店</v>
      </c>
      <c r="C19" s="237">
        <f>COUNTIFS(总表!B:B,$C$1,总表!D:D,A19,总表!L:L,"&lt;&gt;",总表!E:E,$BA$3,总表!E:E,$BA$4)</f>
        <v>0</v>
      </c>
      <c r="D19" s="238">
        <f>SUMIFS(总表!N:N,总表!B:B,$C$1,总表!D:D,A19,总表!E:E,$BA$3,总表!E:E,$BA$4)</f>
        <v>0</v>
      </c>
      <c r="E19" s="239">
        <f>COUNTIFS(总表!B:B,$E$1,总表!D:D,A19,总表!L:L,"&lt;&gt;",总表!E:E,$BA$3,总表!E:E,$BA$4)</f>
        <v>11</v>
      </c>
      <c r="F19" s="239">
        <f>SUMIFS(总表!N:N,总表!B:B,$E$1,总表!D:D,A19,总表!E:E,$BA$3,总表!E:E,$BA$4)</f>
        <v>153879</v>
      </c>
      <c r="G19" s="237">
        <f>COUNTIFS(总表!B:B,$G$1,总表!D:D,A19,总表!L:L,"&lt;&gt;",总表!E:E,$BA$3,总表!E:E,$BA$4)</f>
        <v>0</v>
      </c>
      <c r="H19" s="238">
        <f>SUMIFS(总表!N:N,总表!B:B,$G$1,总表!D:D,A19,总表!E:E,$BA$3,总表!E:E,$BA$4)</f>
        <v>0</v>
      </c>
      <c r="I19" s="237">
        <f>COUNTIFS(总表!B:B,$I$1,总表!D:D,A19,总表!L:L,"&lt;&gt;",总表!E:E,$BA$3,总表!E:E,$BA$4)</f>
        <v>0</v>
      </c>
      <c r="J19" s="238">
        <f>SUMIFS(总表!N:N,总表!B:B,$I$1,总表!D:D,A19,总表!E:E,$BA$3,总表!E:E,$BA$4)</f>
        <v>0</v>
      </c>
      <c r="K19" s="237">
        <f>COUNTIFS(总表!B:B,$K$1,总表!D:D,A19,总表!L:L,"&lt;&gt;",总表!E:E,$BA$3,总表!E:E,$BA$4)</f>
        <v>0</v>
      </c>
      <c r="L19" s="238">
        <f>SUMIFS(总表!N:N,总表!B:B,$K$1,总表!D:D,A19,总表!E:E,$BA$3,总表!E:E,$BA$4)</f>
        <v>0</v>
      </c>
      <c r="M19" s="237">
        <f>COUNTIFS(总表!B:B,$M$1,总表!D:D,A19,总表!L:L,"&lt;&gt;",总表!E:E,$BA$3,总表!E:E,$BA$4)</f>
        <v>0</v>
      </c>
      <c r="N19" s="238">
        <f>SUMIFS(总表!N:N,总表!B:B,$M$1,总表!D:D,A19,总表!E:E,$BA$3,总表!E:E,$BA$4)</f>
        <v>0</v>
      </c>
      <c r="O19" s="237">
        <f>COUNTIFS(总表!B:B,$O$1,总表!D:D,A19,总表!L:L,"&lt;&gt;",总表!E:E,$BA$3,总表!E:E,$BA$4)</f>
        <v>1</v>
      </c>
      <c r="P19" s="238">
        <f>SUMIFS(总表!N:N,总表!B:B,$O$1,总表!D:D,A19,总表!E:E,$BA$3,总表!E:E,$BA$4)</f>
        <v>12000</v>
      </c>
      <c r="Q19" s="237">
        <f>COUNTIFS(总表!B:B,$Q$1,总表!D:D,A19,总表!L:L,"&lt;&gt;",总表!E:E,$BA$3,总表!E:E,$BA$4)</f>
        <v>0</v>
      </c>
      <c r="R19" s="238">
        <f>SUMIFS(总表!N:N,总表!B:B,$Q$1,总表!D:D,A19,总表!E:E,$BA$3,总表!E:E,$BA$4)</f>
        <v>0</v>
      </c>
      <c r="S19" s="237">
        <f>COUNTIFS(总表!B:B,$S$1,总表!D:D,A19,总表!L:L,"&lt;&gt;",总表!E:E,$BA$3,总表!E:E,$BA$4)</f>
        <v>0</v>
      </c>
      <c r="T19" s="238">
        <f>SUMIFS(总表!N:N,总表!B:B,$S$1,总表!D:D,A19,总表!E:E,$BA$3,总表!E:E,$BA$4)</f>
        <v>0</v>
      </c>
      <c r="U19" s="237">
        <f>COUNTIFS(总表!B:B,$U$1,总表!D:D,A19,总表!L:L,"&lt;&gt;",总表!E:E,$BA$3,总表!E:E,$BA$4)</f>
        <v>0</v>
      </c>
      <c r="V19" s="238">
        <f>SUMIFS(总表!N:N,总表!B:B,$U$1,总表!D:D,A19,总表!E:E,$BA$3,总表!E:E,$BA$4)</f>
        <v>0</v>
      </c>
      <c r="W19" s="237">
        <f>COUNTIFS(总表!B:B,$W$1,总表!D:D,A19,总表!L:L,"&lt;&gt;",总表!E:E,$BA$3,总表!E:E,$BA$4)</f>
        <v>0</v>
      </c>
      <c r="X19" s="238">
        <f>SUMIFS(总表!N:N,总表!B:B,$W$1,总表!D:D,A19,总表!E:E,$BA$3,总表!E:E,$BA$4)</f>
        <v>0</v>
      </c>
      <c r="Y19" s="237">
        <f>COUNTIFS(总表!B:B,$Y$1,总表!D:D,A19,总表!L:L,"&lt;&gt;",总表!E:E,$BA$3,总表!E:E,$BA$4)</f>
        <v>0</v>
      </c>
      <c r="Z19" s="238">
        <f>SUMIFS(总表!N:N,总表!B:B,$Y$1,总表!D:D,A19,总表!E:E,$BA$3,总表!E:E,$BA$4)</f>
        <v>0</v>
      </c>
      <c r="AA19" s="237">
        <f>COUNTIFS(总表!B:B,$AA$1,总表!D:D,A19,总表!L:L,"&lt;&gt;",总表!E:E,$BA$3,总表!E:E,$BA$4)</f>
        <v>0</v>
      </c>
      <c r="AB19" s="238">
        <f>SUMIFS(总表!N:N,总表!B:B,$AA$1,总表!D:D,A19,总表!E:E,$BA$3,总表!E:E,$BA$4)</f>
        <v>0</v>
      </c>
      <c r="AC19" s="237">
        <f>COUNTIFS(总表!B:B,$AC$1,总表!D:D,A19,总表!L:L,"&lt;&gt;",总表!E:E,$BA$3,总表!E:E,$BA$4)</f>
        <v>0</v>
      </c>
      <c r="AD19" s="238">
        <f>SUMIFS(总表!N:N,总表!B:B,$AC$1,总表!D:D,A19,总表!E:E,$BA$3,总表!E:E,$BA$4)</f>
        <v>0</v>
      </c>
      <c r="AE19" s="237">
        <f>COUNTIFS(总表!B:B,$AE$1,总表!D:D,A19,总表!L:L,"&lt;&gt;",总表!E:E,$BA$3,总表!E:E,$BA$4)</f>
        <v>0</v>
      </c>
      <c r="AF19" s="238">
        <f>SUMIFS(总表!N:N,总表!B:B,$AE$1,总表!D:D,A19,总表!E:E,$BA$3,总表!E:E,$BA$4)</f>
        <v>0</v>
      </c>
      <c r="AG19" s="237">
        <f>COUNTIFS(总表!B:B,$AG$1,总表!D:D,A19,总表!L:L,"&lt;&gt;",总表!E:E,$BA$3,总表!E:E,$BA$4)</f>
        <v>0</v>
      </c>
      <c r="AH19" s="238">
        <f>SUMIFS(总表!N:N,总表!B:B,$AG$1,总表!D:D,A19,总表!E:E,$BA$3,总表!E:E,$BA$4)</f>
        <v>0</v>
      </c>
      <c r="AI19" s="237">
        <f>COUNTIFS(总表!B:B,$AI$1,总表!D:D,A19,总表!L:L,"&lt;&gt;",总表!E:E,$BA$3,总表!E:E,$BA$4)</f>
        <v>0</v>
      </c>
      <c r="AJ19" s="238">
        <f>SUMIFS(总表!N:N,总表!B:B,AI$1,总表!D:D,A19,总表!E:E,$BA$3,总表!E:E,$BA$4)</f>
        <v>0</v>
      </c>
      <c r="AK19" s="237">
        <f>COUNTIFS(总表!B:B,$AK$1,总表!D:D,A19,总表!L:L,"&lt;&gt;",总表!E:E,$BA$3,总表!E:E,$BA$4)</f>
        <v>0</v>
      </c>
      <c r="AL19" s="238">
        <f>SUMIFS(总表!N:N,总表!B:B,$AK$1,总表!D:D,A19,总表!E:E,$BA$3,总表!E:E,$BA$4)</f>
        <v>0</v>
      </c>
      <c r="AM19" s="237">
        <f>COUNTIFS(总表!B:B,$AM$1,总表!D:D,A19,总表!L:L,"&lt;&gt;",总表!E:E,$BA$3,总表!E:E,$BA$4)</f>
        <v>0</v>
      </c>
      <c r="AN19" s="238">
        <f>SUMIFS(总表!N:N,总表!B:B,$AM$1,总表!D:D,A19,总表!E:E,$BA$3,总表!E:E,$BA$4)</f>
        <v>0</v>
      </c>
      <c r="AO19" s="237">
        <f>COUNTIFS(总表!B:B,$AO$1,总表!D:D,A19,总表!L:L,"&lt;&gt;",总表!E:E,$BA$3,总表!E:E,$BA$4)</f>
        <v>0</v>
      </c>
      <c r="AP19" s="238">
        <f>SUMIFS(总表!N:N,总表!B:B,$AO$1,总表!D:D,A19,总表!E:E,$BA$3,总表!E:E,$BA$4)</f>
        <v>0</v>
      </c>
      <c r="AQ19" s="237">
        <f>COUNTIFS(总表!B:B,$AQ$1,总表!D:D,A19,总表!L:L,"&lt;&gt;",总表!E:E,$BA$3,总表!E:E,$BA$4)</f>
        <v>0</v>
      </c>
      <c r="AR19" s="238">
        <f>SUMIFS(总表!N:N,总表!B:B,$AQ$1,总表!D:D,A19,总表!E:E,$BA$3,总表!E:E,$BA$4)</f>
        <v>0</v>
      </c>
      <c r="AS19" s="237">
        <f>COUNTIFS(总表!B:B,$AS$1,总表!D:D,A19,总表!L:L,"&lt;&gt;",总表!E:E,$BA$3,总表!E:E,$BA$4)</f>
        <v>0</v>
      </c>
      <c r="AT19" s="238">
        <f>SUMIFS(总表!N:N,总表!B:B,$AS$1,总表!D:D,A19,总表!E:E,$BA$3,总表!E:E,$BA$4)</f>
        <v>0</v>
      </c>
      <c r="AU19" s="237">
        <f>COUNTIFS(总表!B:B,$AU$1,总表!D:D,A19,总表!L:L,"&lt;&gt;",总表!E:E,$BA$3,总表!E:E,$BA$4)</f>
        <v>0</v>
      </c>
      <c r="AV19" s="238">
        <f>SUMIFS(总表!N:N,总表!B:B,$AU$1,总表!D:D,A19,总表!E:E,$BA$3,总表!E:E,$BA$4)</f>
        <v>0</v>
      </c>
      <c r="AW19" s="242">
        <f>COUNTIFS(总表!B:B,$AW$1,总表!D:D,A19,总表!L:L,"&lt;&gt;",总表!E:E,$BA$3,总表!E:E,$BA$4)</f>
        <v>0</v>
      </c>
      <c r="AX19" s="242">
        <f>SUMIFS(总表!N:N,总表!B:B,$AW$1,总表!D:D,A19,总表!E:E,$BA$3,总表!E:E,$BA$4)</f>
        <v>0</v>
      </c>
      <c r="AY19" s="242">
        <f>COUNTIFS(总表!B:B,$AY$1,总表!D:D,A19,总表!L:L,"&lt;&gt;",总表!E:E,$BA$3,总表!E:E,$BA$4)</f>
        <v>0</v>
      </c>
      <c r="AZ19" s="242">
        <f>SUMIFS(总表!N:N,总表!B:B,$AY$1,总表!D:D,A19,总表!E:E,$BA$3,总表!E:E,$BA$4)</f>
        <v>0</v>
      </c>
      <c r="BB19" s="34">
        <f t="shared" si="4"/>
        <v>165879</v>
      </c>
      <c r="BC19" s="34">
        <f>E19</f>
        <v>11</v>
      </c>
      <c r="BD19" s="34">
        <f>F19</f>
        <v>153879</v>
      </c>
      <c r="BE19" s="244">
        <f t="shared" si="5"/>
        <v>13989</v>
      </c>
      <c r="BF19" s="245">
        <f t="shared" si="6"/>
        <v>0.927658112238439</v>
      </c>
      <c r="BG19" s="34">
        <f>COUNTIFS(总表!D:D,A19,总表!L:L,"&lt;&gt;",总表!E:E,$BA$3,总表!E:E,$BA$4)-BC19</f>
        <v>1</v>
      </c>
      <c r="BH19" s="34">
        <f t="shared" si="7"/>
        <v>12000</v>
      </c>
    </row>
    <row r="20" spans="1:60">
      <c r="A20" s="14" t="s">
        <v>2381</v>
      </c>
      <c r="B20" s="13" t="str">
        <f>VLOOKUP(A20,设计师对应店铺!A:B,COLUMN(设计师对应店铺!B:B)-COLUMN(设计师对应店铺!A:B)+1,0)</f>
        <v>家饰佳</v>
      </c>
      <c r="C20" s="237">
        <f>COUNTIFS(总表!B:B,$C$1,总表!D:D,A20,总表!L:L,"&lt;&gt;",总表!E:E,$BA$3,总表!E:E,$BA$4)</f>
        <v>0</v>
      </c>
      <c r="D20" s="238">
        <f>SUMIFS(总表!N:N,总表!B:B,$C$1,总表!D:D,A20,总表!E:E,$BA$3,总表!E:E,$BA$4)</f>
        <v>0</v>
      </c>
      <c r="E20" s="237">
        <f>COUNTIFS(总表!B:B,$E$1,总表!D:D,A20,总表!L:L,"&lt;&gt;",总表!E:E,$BA$3,总表!E:E,$BA$4)</f>
        <v>0</v>
      </c>
      <c r="F20" s="238">
        <f>SUMIFS(总表!N:N,总表!B:B,$E$1,总表!D:D,A20,总表!E:E,$BA$3,总表!E:E,$BA$4)</f>
        <v>0</v>
      </c>
      <c r="G20" s="237">
        <f>COUNTIFS(总表!B:B,$G$1,总表!D:D,A20,总表!L:L,"&lt;&gt;",总表!E:E,$BA$3,总表!E:E,$BA$4)</f>
        <v>0</v>
      </c>
      <c r="H20" s="238">
        <f>SUMIFS(总表!N:N,总表!B:B,$G$1,总表!D:D,A20,总表!E:E,$BA$3,总表!E:E,$BA$4)</f>
        <v>0</v>
      </c>
      <c r="I20" s="237">
        <f>COUNTIFS(总表!B:B,$I$1,总表!D:D,A20,总表!L:L,"&lt;&gt;",总表!E:E,$BA$3,总表!E:E,$BA$4)</f>
        <v>0</v>
      </c>
      <c r="J20" s="238">
        <f>SUMIFS(总表!N:N,总表!B:B,$I$1,总表!D:D,A20,总表!E:E,$BA$3,总表!E:E,$BA$4)</f>
        <v>0</v>
      </c>
      <c r="K20" s="237">
        <f>COUNTIFS(总表!B:B,$K$1,总表!D:D,A20,总表!L:L,"&lt;&gt;",总表!E:E,$BA$3,总表!E:E,$BA$4)</f>
        <v>0</v>
      </c>
      <c r="L20" s="238">
        <f>SUMIFS(总表!N:N,总表!B:B,$K$1,总表!D:D,A20,总表!E:E,$BA$3,总表!E:E,$BA$4)</f>
        <v>0</v>
      </c>
      <c r="M20" s="237">
        <f>COUNTIFS(总表!B:B,$M$1,总表!D:D,A20,总表!L:L,"&lt;&gt;",总表!E:E,$BA$3,总表!E:E,$BA$4)</f>
        <v>0</v>
      </c>
      <c r="N20" s="238">
        <f>SUMIFS(总表!N:N,总表!B:B,$M$1,总表!D:D,A20,总表!E:E,$BA$3,总表!E:E,$BA$4)</f>
        <v>0</v>
      </c>
      <c r="O20" s="239">
        <f>COUNTIFS(总表!B:B,$O$1,总表!D:D,A20,总表!L:L,"&lt;&gt;",总表!E:E,$BA$3,总表!E:E,$BA$4)</f>
        <v>29</v>
      </c>
      <c r="P20" s="239">
        <f>SUMIFS(总表!N:N,总表!B:B,$O$1,总表!D:D,A20,总表!E:E,$BA$3,总表!E:E,$BA$4)</f>
        <v>311362</v>
      </c>
      <c r="Q20" s="237">
        <f>COUNTIFS(总表!B:B,$Q$1,总表!D:D,A20,总表!L:L,"&lt;&gt;",总表!E:E,$BA$3,总表!E:E,$BA$4)</f>
        <v>0</v>
      </c>
      <c r="R20" s="238">
        <f>SUMIFS(总表!N:N,总表!B:B,$Q$1,总表!D:D,A20,总表!E:E,$BA$3,总表!E:E,$BA$4)</f>
        <v>0</v>
      </c>
      <c r="S20" s="237">
        <f>COUNTIFS(总表!B:B,$S$1,总表!D:D,A20,总表!L:L,"&lt;&gt;",总表!E:E,$BA$3,总表!E:E,$BA$4)</f>
        <v>0</v>
      </c>
      <c r="T20" s="238">
        <f>SUMIFS(总表!N:N,总表!B:B,$S$1,总表!D:D,A20,总表!E:E,$BA$3,总表!E:E,$BA$4)</f>
        <v>0</v>
      </c>
      <c r="U20" s="237">
        <f>COUNTIFS(总表!B:B,$U$1,总表!D:D,A20,总表!L:L,"&lt;&gt;",总表!E:E,$BA$3,总表!E:E,$BA$4)</f>
        <v>0</v>
      </c>
      <c r="V20" s="238">
        <f>SUMIFS(总表!N:N,总表!B:B,$U$1,总表!D:D,A20,总表!E:E,$BA$3,总表!E:E,$BA$4)</f>
        <v>0</v>
      </c>
      <c r="W20" s="237">
        <f>COUNTIFS(总表!B:B,$W$1,总表!D:D,A20,总表!L:L,"&lt;&gt;",总表!E:E,$BA$3,总表!E:E,$BA$4)</f>
        <v>0</v>
      </c>
      <c r="X20" s="238">
        <f>SUMIFS(总表!N:N,总表!B:B,$W$1,总表!D:D,A20,总表!E:E,$BA$3,总表!E:E,$BA$4)</f>
        <v>0</v>
      </c>
      <c r="Y20" s="237">
        <f>COUNTIFS(总表!B:B,$Y$1,总表!D:D,A20,总表!L:L,"&lt;&gt;",总表!E:E,$BA$3,总表!E:E,$BA$4)</f>
        <v>0</v>
      </c>
      <c r="Z20" s="238">
        <f>SUMIFS(总表!N:N,总表!B:B,$Y$1,总表!D:D,A20,总表!E:E,$BA$3,总表!E:E,$BA$4)</f>
        <v>0</v>
      </c>
      <c r="AA20" s="237">
        <f>COUNTIFS(总表!B:B,$AA$1,总表!D:D,A20,总表!L:L,"&lt;&gt;",总表!E:E,$BA$3,总表!E:E,$BA$4)</f>
        <v>1</v>
      </c>
      <c r="AB20" s="238">
        <f>SUMIFS(总表!N:N,总表!B:B,$AA$1,总表!D:D,A20,总表!E:E,$BA$3,总表!E:E,$BA$4)</f>
        <v>6931</v>
      </c>
      <c r="AC20" s="237">
        <f>COUNTIFS(总表!B:B,$AC$1,总表!D:D,A20,总表!L:L,"&lt;&gt;",总表!E:E,$BA$3,总表!E:E,$BA$4)</f>
        <v>0</v>
      </c>
      <c r="AD20" s="238">
        <f>SUMIFS(总表!N:N,总表!B:B,$AC$1,总表!D:D,A20,总表!E:E,$BA$3,总表!E:E,$BA$4)</f>
        <v>0</v>
      </c>
      <c r="AE20" s="237">
        <f>COUNTIFS(总表!B:B,$AE$1,总表!D:D,A20,总表!L:L,"&lt;&gt;",总表!E:E,$BA$3,总表!E:E,$BA$4)</f>
        <v>0</v>
      </c>
      <c r="AF20" s="238">
        <f>SUMIFS(总表!N:N,总表!B:B,$AE$1,总表!D:D,A20,总表!E:E,$BA$3,总表!E:E,$BA$4)</f>
        <v>0</v>
      </c>
      <c r="AG20" s="237">
        <f>COUNTIFS(总表!B:B,$AG$1,总表!D:D,A20,总表!L:L,"&lt;&gt;",总表!E:E,$BA$3,总表!E:E,$BA$4)</f>
        <v>2</v>
      </c>
      <c r="AH20" s="238">
        <f>SUMIFS(总表!N:N,总表!B:B,$AG$1,总表!D:D,A20,总表!E:E,$BA$3,总表!E:E,$BA$4)</f>
        <v>8179</v>
      </c>
      <c r="AI20" s="237">
        <f>COUNTIFS(总表!B:B,$AI$1,总表!D:D,A20,总表!L:L,"&lt;&gt;",总表!E:E,$BA$3,总表!E:E,$BA$4)</f>
        <v>0</v>
      </c>
      <c r="AJ20" s="238">
        <f>SUMIFS(总表!N:N,总表!B:B,AI$1,总表!D:D,A20,总表!E:E,$BA$3,总表!E:E,$BA$4)</f>
        <v>0</v>
      </c>
      <c r="AK20" s="237">
        <f>COUNTIFS(总表!B:B,$AK$1,总表!D:D,A20,总表!L:L,"&lt;&gt;",总表!E:E,$BA$3,总表!E:E,$BA$4)</f>
        <v>0</v>
      </c>
      <c r="AL20" s="238">
        <f>SUMIFS(总表!N:N,总表!B:B,$AK$1,总表!D:D,A20,总表!E:E,$BA$3,总表!E:E,$BA$4)</f>
        <v>0</v>
      </c>
      <c r="AM20" s="237">
        <f>COUNTIFS(总表!B:B,$AM$1,总表!D:D,A20,总表!L:L,"&lt;&gt;",总表!E:E,$BA$3,总表!E:E,$BA$4)</f>
        <v>0</v>
      </c>
      <c r="AN20" s="238">
        <f>SUMIFS(总表!N:N,总表!B:B,$AM$1,总表!D:D,A20,总表!E:E,$BA$3,总表!E:E,$BA$4)</f>
        <v>0</v>
      </c>
      <c r="AO20" s="237">
        <f>COUNTIFS(总表!B:B,$AO$1,总表!D:D,A20,总表!L:L,"&lt;&gt;",总表!E:E,$BA$3,总表!E:E,$BA$4)</f>
        <v>0</v>
      </c>
      <c r="AP20" s="238">
        <f>SUMIFS(总表!N:N,总表!B:B,$AO$1,总表!D:D,A20,总表!E:E,$BA$3,总表!E:E,$BA$4)</f>
        <v>0</v>
      </c>
      <c r="AQ20" s="237">
        <f>COUNTIFS(总表!B:B,$AQ$1,总表!D:D,A20,总表!L:L,"&lt;&gt;",总表!E:E,$BA$3,总表!E:E,$BA$4)</f>
        <v>0</v>
      </c>
      <c r="AR20" s="238">
        <f>SUMIFS(总表!N:N,总表!B:B,$AQ$1,总表!D:D,A20,总表!E:E,$BA$3,总表!E:E,$BA$4)</f>
        <v>0</v>
      </c>
      <c r="AS20" s="237">
        <f>COUNTIFS(总表!B:B,$AS$1,总表!D:D,A20,总表!L:L,"&lt;&gt;",总表!E:E,$BA$3,总表!E:E,$BA$4)</f>
        <v>0</v>
      </c>
      <c r="AT20" s="238">
        <f>SUMIFS(总表!N:N,总表!B:B,$AS$1,总表!D:D,A20,总表!E:E,$BA$3,总表!E:E,$BA$4)</f>
        <v>0</v>
      </c>
      <c r="AU20" s="237">
        <f>COUNTIFS(总表!B:B,$AU$1,总表!D:D,A20,总表!L:L,"&lt;&gt;",总表!E:E,$BA$3,总表!E:E,$BA$4)</f>
        <v>0</v>
      </c>
      <c r="AV20" s="238">
        <f>SUMIFS(总表!N:N,总表!B:B,$AU$1,总表!D:D,A20,总表!E:E,$BA$3,总表!E:E,$BA$4)</f>
        <v>0</v>
      </c>
      <c r="AW20" s="242">
        <f>COUNTIFS(总表!B:B,$AW$1,总表!D:D,A20,总表!L:L,"&lt;&gt;",总表!E:E,$BA$3,总表!E:E,$BA$4)</f>
        <v>0</v>
      </c>
      <c r="AX20" s="242">
        <f>SUMIFS(总表!N:N,总表!B:B,$AW$1,总表!D:D,A20,总表!E:E,$BA$3,总表!E:E,$BA$4)</f>
        <v>0</v>
      </c>
      <c r="AY20" s="242">
        <f>COUNTIFS(总表!B:B,$AY$1,总表!D:D,A20,总表!L:L,"&lt;&gt;",总表!E:E,$BA$3,总表!E:E,$BA$4)</f>
        <v>0</v>
      </c>
      <c r="AZ20" s="242">
        <f>SUMIFS(总表!N:N,总表!B:B,$AY$1,总表!D:D,A20,总表!E:E,$BA$3,总表!E:E,$BA$4)</f>
        <v>0</v>
      </c>
      <c r="BB20" s="34">
        <f t="shared" si="4"/>
        <v>326472</v>
      </c>
      <c r="BC20" s="34">
        <f>O20</f>
        <v>29</v>
      </c>
      <c r="BD20" s="34">
        <f>P20</f>
        <v>311362</v>
      </c>
      <c r="BE20" s="244">
        <f t="shared" si="5"/>
        <v>10736.6206896552</v>
      </c>
      <c r="BF20" s="245">
        <f t="shared" si="6"/>
        <v>0.953717317258448</v>
      </c>
      <c r="BG20" s="34">
        <f>COUNTIFS(总表!D:D,A20,总表!L:L,"&lt;&gt;",总表!E:E,$BA$3,总表!E:E,$BA$4)-BC20</f>
        <v>3</v>
      </c>
      <c r="BH20" s="34">
        <f t="shared" si="7"/>
        <v>15110</v>
      </c>
    </row>
    <row r="21" spans="1:60">
      <c r="A21" s="14" t="s">
        <v>954</v>
      </c>
      <c r="B21" s="13" t="str">
        <f>VLOOKUP(A21,设计师对应店铺!A:B,COLUMN(设计师对应店铺!B:B)-COLUMN(设计师对应店铺!A:B)+1,0)</f>
        <v>汶水店</v>
      </c>
      <c r="C21" s="237">
        <f>COUNTIFS(总表!B:B,$C$1,总表!D:D,A21,总表!L:L,"&lt;&gt;",总表!E:E,$BA$3,总表!E:E,$BA$4)</f>
        <v>0</v>
      </c>
      <c r="D21" s="238">
        <f>SUMIFS(总表!N:N,总表!B:B,$C$1,总表!D:D,A21,总表!E:E,$BA$3,总表!E:E,$BA$4)</f>
        <v>0</v>
      </c>
      <c r="E21" s="237">
        <f>COUNTIFS(总表!B:B,$E$1,总表!D:D,A21,总表!L:L,"&lt;&gt;",总表!E:E,$BA$3,总表!E:E,$BA$4)</f>
        <v>0</v>
      </c>
      <c r="F21" s="238">
        <f>SUMIFS(总表!N:N,总表!B:B,$E$1,总表!D:D,A21,总表!E:E,$BA$3,总表!E:E,$BA$4)</f>
        <v>0</v>
      </c>
      <c r="G21" s="239">
        <f>COUNTIFS(总表!B:B,$G$1,总表!D:D,A21,总表!L:L,"&lt;&gt;",总表!E:E,$BA$3,总表!E:E,$BA$4)</f>
        <v>21</v>
      </c>
      <c r="H21" s="239">
        <f>SUMIFS(总表!N:N,总表!B:B,$G$1,总表!D:D,A21,总表!E:E,$BA$3,总表!E:E,$BA$4)</f>
        <v>202261</v>
      </c>
      <c r="I21" s="237">
        <f>COUNTIFS(总表!B:B,$I$1,总表!D:D,A21,总表!L:L,"&lt;&gt;",总表!E:E,$BA$3,总表!E:E,$BA$4)</f>
        <v>0</v>
      </c>
      <c r="J21" s="238">
        <f>SUMIFS(总表!N:N,总表!B:B,$I$1,总表!D:D,A21,总表!E:E,$BA$3,总表!E:E,$BA$4)</f>
        <v>0</v>
      </c>
      <c r="K21" s="237">
        <f>COUNTIFS(总表!B:B,$K$1,总表!D:D,A21,总表!L:L,"&lt;&gt;",总表!E:E,$BA$3,总表!E:E,$BA$4)</f>
        <v>0</v>
      </c>
      <c r="L21" s="238">
        <f>SUMIFS(总表!N:N,总表!B:B,$K$1,总表!D:D,A21,总表!E:E,$BA$3,总表!E:E,$BA$4)</f>
        <v>0</v>
      </c>
      <c r="M21" s="237">
        <f>COUNTIFS(总表!B:B,$M$1,总表!D:D,A21,总表!L:L,"&lt;&gt;",总表!E:E,$BA$3,总表!E:E,$BA$4)</f>
        <v>0</v>
      </c>
      <c r="N21" s="238">
        <f>SUMIFS(总表!N:N,总表!B:B,$M$1,总表!D:D,A21,总表!E:E,$BA$3,总表!E:E,$BA$4)</f>
        <v>0</v>
      </c>
      <c r="O21" s="237">
        <f>COUNTIFS(总表!B:B,$O$1,总表!D:D,A21,总表!L:L,"&lt;&gt;",总表!E:E,$BA$3,总表!E:E,$BA$4)</f>
        <v>0</v>
      </c>
      <c r="P21" s="238">
        <f>SUMIFS(总表!N:N,总表!B:B,$O$1,总表!D:D,A21,总表!E:E,$BA$3,总表!E:E,$BA$4)</f>
        <v>0</v>
      </c>
      <c r="Q21" s="237">
        <f>COUNTIFS(总表!B:B,$Q$1,总表!D:D,A21,总表!L:L,"&lt;&gt;",总表!E:E,$BA$3,总表!E:E,$BA$4)</f>
        <v>0</v>
      </c>
      <c r="R21" s="238">
        <f>SUMIFS(总表!N:N,总表!B:B,$Q$1,总表!D:D,A21,总表!E:E,$BA$3,总表!E:E,$BA$4)</f>
        <v>0</v>
      </c>
      <c r="S21" s="237">
        <f>COUNTIFS(总表!B:B,$S$1,总表!D:D,A21,总表!L:L,"&lt;&gt;",总表!E:E,$BA$3,总表!E:E,$BA$4)</f>
        <v>0</v>
      </c>
      <c r="T21" s="238">
        <f>SUMIFS(总表!N:N,总表!B:B,$S$1,总表!D:D,A21,总表!E:E,$BA$3,总表!E:E,$BA$4)</f>
        <v>0</v>
      </c>
      <c r="U21" s="237">
        <f>COUNTIFS(总表!B:B,$U$1,总表!D:D,A21,总表!L:L,"&lt;&gt;",总表!E:E,$BA$3,总表!E:E,$BA$4)</f>
        <v>0</v>
      </c>
      <c r="V21" s="238">
        <f>SUMIFS(总表!N:N,总表!B:B,$U$1,总表!D:D,A21,总表!E:E,$BA$3,总表!E:E,$BA$4)</f>
        <v>0</v>
      </c>
      <c r="W21" s="237">
        <f>COUNTIFS(总表!B:B,$W$1,总表!D:D,A21,总表!L:L,"&lt;&gt;",总表!E:E,$BA$3,总表!E:E,$BA$4)</f>
        <v>0</v>
      </c>
      <c r="X21" s="238">
        <f>SUMIFS(总表!N:N,总表!B:B,$W$1,总表!D:D,A21,总表!E:E,$BA$3,总表!E:E,$BA$4)</f>
        <v>0</v>
      </c>
      <c r="Y21" s="237">
        <f>COUNTIFS(总表!B:B,$Y$1,总表!D:D,A21,总表!L:L,"&lt;&gt;",总表!E:E,$BA$3,总表!E:E,$BA$4)</f>
        <v>0</v>
      </c>
      <c r="Z21" s="238">
        <f>SUMIFS(总表!N:N,总表!B:B,$Y$1,总表!D:D,A21,总表!E:E,$BA$3,总表!E:E,$BA$4)</f>
        <v>0</v>
      </c>
      <c r="AA21" s="237">
        <f>COUNTIFS(总表!B:B,$AA$1,总表!D:D,A21,总表!L:L,"&lt;&gt;",总表!E:E,$BA$3,总表!E:E,$BA$4)</f>
        <v>0</v>
      </c>
      <c r="AB21" s="238">
        <f>SUMIFS(总表!N:N,总表!B:B,$AA$1,总表!D:D,A21,总表!E:E,$BA$3,总表!E:E,$BA$4)</f>
        <v>0</v>
      </c>
      <c r="AC21" s="237">
        <f>COUNTIFS(总表!B:B,$AC$1,总表!D:D,A21,总表!L:L,"&lt;&gt;",总表!E:E,$BA$3,总表!E:E,$BA$4)</f>
        <v>0</v>
      </c>
      <c r="AD21" s="238">
        <f>SUMIFS(总表!N:N,总表!B:B,$AC$1,总表!D:D,A21,总表!E:E,$BA$3,总表!E:E,$BA$4)</f>
        <v>0</v>
      </c>
      <c r="AE21" s="237">
        <f>COUNTIFS(总表!B:B,$AE$1,总表!D:D,A21,总表!L:L,"&lt;&gt;",总表!E:E,$BA$3,总表!E:E,$BA$4)</f>
        <v>0</v>
      </c>
      <c r="AF21" s="238">
        <f>SUMIFS(总表!N:N,总表!B:B,$AE$1,总表!D:D,A21,总表!E:E,$BA$3,总表!E:E,$BA$4)</f>
        <v>0</v>
      </c>
      <c r="AG21" s="237">
        <f>COUNTIFS(总表!B:B,$AG$1,总表!D:D,A21,总表!L:L,"&lt;&gt;",总表!E:E,$BA$3,总表!E:E,$BA$4)</f>
        <v>0</v>
      </c>
      <c r="AH21" s="238">
        <f>SUMIFS(总表!N:N,总表!B:B,$AG$1,总表!D:D,A21,总表!E:E,$BA$3,总表!E:E,$BA$4)</f>
        <v>0</v>
      </c>
      <c r="AI21" s="237">
        <f>COUNTIFS(总表!B:B,$AI$1,总表!D:D,A21,总表!L:L,"&lt;&gt;",总表!E:E,$BA$3,总表!E:E,$BA$4)</f>
        <v>0</v>
      </c>
      <c r="AJ21" s="238">
        <f>SUMIFS(总表!N:N,总表!B:B,AI$1,总表!D:D,A21,总表!E:E,$BA$3,总表!E:E,$BA$4)</f>
        <v>0</v>
      </c>
      <c r="AK21" s="237">
        <f>COUNTIFS(总表!B:B,$AK$1,总表!D:D,A21,总表!L:L,"&lt;&gt;",总表!E:E,$BA$3,总表!E:E,$BA$4)</f>
        <v>0</v>
      </c>
      <c r="AL21" s="238">
        <f>SUMIFS(总表!N:N,总表!B:B,$AK$1,总表!D:D,A21,总表!E:E,$BA$3,总表!E:E,$BA$4)</f>
        <v>0</v>
      </c>
      <c r="AM21" s="237">
        <f>COUNTIFS(总表!B:B,$AM$1,总表!D:D,A21,总表!L:L,"&lt;&gt;",总表!E:E,$BA$3,总表!E:E,$BA$4)</f>
        <v>0</v>
      </c>
      <c r="AN21" s="238">
        <f>SUMIFS(总表!N:N,总表!B:B,$AM$1,总表!D:D,A21,总表!E:E,$BA$3,总表!E:E,$BA$4)</f>
        <v>0</v>
      </c>
      <c r="AO21" s="237">
        <f>COUNTIFS(总表!B:B,$AO$1,总表!D:D,A21,总表!L:L,"&lt;&gt;",总表!E:E,$BA$3,总表!E:E,$BA$4)</f>
        <v>0</v>
      </c>
      <c r="AP21" s="238">
        <f>SUMIFS(总表!N:N,总表!B:B,$AO$1,总表!D:D,A21,总表!E:E,$BA$3,总表!E:E,$BA$4)</f>
        <v>0</v>
      </c>
      <c r="AQ21" s="237">
        <f>COUNTIFS(总表!B:B,$AQ$1,总表!D:D,A21,总表!L:L,"&lt;&gt;",总表!E:E,$BA$3,总表!E:E,$BA$4)</f>
        <v>0</v>
      </c>
      <c r="AR21" s="238">
        <f>SUMIFS(总表!N:N,总表!B:B,$AQ$1,总表!D:D,A21,总表!E:E,$BA$3,总表!E:E,$BA$4)</f>
        <v>0</v>
      </c>
      <c r="AS21" s="237">
        <f>COUNTIFS(总表!B:B,$AS$1,总表!D:D,A21,总表!L:L,"&lt;&gt;",总表!E:E,$BA$3,总表!E:E,$BA$4)</f>
        <v>0</v>
      </c>
      <c r="AT21" s="238">
        <f>SUMIFS(总表!N:N,总表!B:B,$AS$1,总表!D:D,A21,总表!E:E,$BA$3,总表!E:E,$BA$4)</f>
        <v>0</v>
      </c>
      <c r="AU21" s="237">
        <f>COUNTIFS(总表!B:B,$AU$1,总表!D:D,A21,总表!L:L,"&lt;&gt;",总表!E:E,$BA$3,总表!E:E,$BA$4)</f>
        <v>0</v>
      </c>
      <c r="AV21" s="238">
        <f>SUMIFS(总表!N:N,总表!B:B,$AU$1,总表!D:D,A21,总表!E:E,$BA$3,总表!E:E,$BA$4)</f>
        <v>0</v>
      </c>
      <c r="AW21" s="242">
        <f>COUNTIFS(总表!B:B,$AW$1,总表!D:D,A21,总表!L:L,"&lt;&gt;",总表!E:E,$BA$3,总表!E:E,$BA$4)</f>
        <v>0</v>
      </c>
      <c r="AX21" s="242">
        <f>SUMIFS(总表!N:N,总表!B:B,$AW$1,总表!D:D,A21,总表!E:E,$BA$3,总表!E:E,$BA$4)</f>
        <v>0</v>
      </c>
      <c r="AY21" s="242">
        <f>COUNTIFS(总表!B:B,$AY$1,总表!D:D,A21,总表!L:L,"&lt;&gt;",总表!E:E,$BA$3,总表!E:E,$BA$4)</f>
        <v>0</v>
      </c>
      <c r="AZ21" s="242">
        <f>SUMIFS(总表!N:N,总表!B:B,$AY$1,总表!D:D,A21,总表!E:E,$BA$3,总表!E:E,$BA$4)</f>
        <v>0</v>
      </c>
      <c r="BB21" s="34">
        <f t="shared" si="4"/>
        <v>202261</v>
      </c>
      <c r="BC21" s="34">
        <f>G21</f>
        <v>21</v>
      </c>
      <c r="BD21" s="34">
        <f>H21</f>
        <v>202261</v>
      </c>
      <c r="BE21" s="244">
        <f t="shared" si="5"/>
        <v>9631.47619047619</v>
      </c>
      <c r="BF21" s="245">
        <f t="shared" si="6"/>
        <v>1</v>
      </c>
      <c r="BG21" s="34">
        <f>COUNTIFS(总表!D:D,A21,总表!L:L,"&lt;&gt;",总表!E:E,$BA$3,总表!E:E,$BA$4)-BC21</f>
        <v>0</v>
      </c>
      <c r="BH21" s="34">
        <f t="shared" si="7"/>
        <v>0</v>
      </c>
    </row>
    <row r="22" spans="1:60">
      <c r="A22" s="14" t="s">
        <v>182</v>
      </c>
      <c r="B22" s="13" t="str">
        <f>VLOOKUP(A22,设计师对应店铺!A:B,COLUMN(设计师对应店铺!B:B)-COLUMN(设计师对应店铺!A:B)+1,0)</f>
        <v>真北店</v>
      </c>
      <c r="C22" s="237">
        <f>COUNTIFS(总表!B:B,$C$1,总表!D:D,A22,总表!L:L,"&lt;&gt;",总表!E:E,$BA$3,总表!E:E,$BA$4)</f>
        <v>0</v>
      </c>
      <c r="D22" s="238">
        <f>SUMIFS(总表!N:N,总表!B:B,$C$1,总表!D:D,A22,总表!E:E,$BA$3,总表!E:E,$BA$4)</f>
        <v>0</v>
      </c>
      <c r="E22" s="239">
        <f>COUNTIFS(总表!B:B,$E$1,总表!D:D,A22,总表!L:L,"&lt;&gt;",总表!E:E,$BA$3,总表!E:E,$BA$4)</f>
        <v>3</v>
      </c>
      <c r="F22" s="239">
        <f>SUMIFS(总表!N:N,总表!B:B,$E$1,总表!D:D,A22,总表!E:E,$BA$3,总表!E:E,$BA$4)</f>
        <v>103955</v>
      </c>
      <c r="G22" s="237">
        <f>COUNTIFS(总表!B:B,$G$1,总表!D:D,A22,总表!L:L,"&lt;&gt;",总表!E:E,$BA$3,总表!E:E,$BA$4)</f>
        <v>0</v>
      </c>
      <c r="H22" s="238">
        <f>SUMIFS(总表!N:N,总表!B:B,$G$1,总表!D:D,A22,总表!E:E,$BA$3,总表!E:E,$BA$4)</f>
        <v>0</v>
      </c>
      <c r="I22" s="237">
        <f>COUNTIFS(总表!B:B,$I$1,总表!D:D,A22,总表!L:L,"&lt;&gt;",总表!E:E,$BA$3,总表!E:E,$BA$4)</f>
        <v>0</v>
      </c>
      <c r="J22" s="238">
        <f>SUMIFS(总表!N:N,总表!B:B,$I$1,总表!D:D,A22,总表!E:E,$BA$3,总表!E:E,$BA$4)</f>
        <v>0</v>
      </c>
      <c r="K22" s="237">
        <f>COUNTIFS(总表!B:B,$K$1,总表!D:D,A22,总表!L:L,"&lt;&gt;",总表!E:E,$BA$3,总表!E:E,$BA$4)</f>
        <v>0</v>
      </c>
      <c r="L22" s="238">
        <f>SUMIFS(总表!N:N,总表!B:B,$K$1,总表!D:D,A22,总表!E:E,$BA$3,总表!E:E,$BA$4)</f>
        <v>0</v>
      </c>
      <c r="M22" s="237">
        <f>COUNTIFS(总表!B:B,$M$1,总表!D:D,A22,总表!L:L,"&lt;&gt;",总表!E:E,$BA$3,总表!E:E,$BA$4)</f>
        <v>0</v>
      </c>
      <c r="N22" s="238">
        <f>SUMIFS(总表!N:N,总表!B:B,$M$1,总表!D:D,A22,总表!E:E,$BA$3,总表!E:E,$BA$4)</f>
        <v>0</v>
      </c>
      <c r="O22" s="237">
        <f>COUNTIFS(总表!B:B,$O$1,总表!D:D,A22,总表!L:L,"&lt;&gt;",总表!E:E,$BA$3,总表!E:E,$BA$4)</f>
        <v>0</v>
      </c>
      <c r="P22" s="238">
        <f>SUMIFS(总表!N:N,总表!B:B,$O$1,总表!D:D,A22,总表!E:E,$BA$3,总表!E:E,$BA$4)</f>
        <v>0</v>
      </c>
      <c r="Q22" s="237">
        <f>COUNTIFS(总表!B:B,$Q$1,总表!D:D,A22,总表!L:L,"&lt;&gt;",总表!E:E,$BA$3,总表!E:E,$BA$4)</f>
        <v>0</v>
      </c>
      <c r="R22" s="238">
        <f>SUMIFS(总表!N:N,总表!B:B,$Q$1,总表!D:D,A22,总表!E:E,$BA$3,总表!E:E,$BA$4)</f>
        <v>0</v>
      </c>
      <c r="S22" s="237">
        <f>COUNTIFS(总表!B:B,$S$1,总表!D:D,A22,总表!L:L,"&lt;&gt;",总表!E:E,$BA$3,总表!E:E,$BA$4)</f>
        <v>0</v>
      </c>
      <c r="T22" s="238">
        <f>SUMIFS(总表!N:N,总表!B:B,$S$1,总表!D:D,A22,总表!E:E,$BA$3,总表!E:E,$BA$4)</f>
        <v>0</v>
      </c>
      <c r="U22" s="237">
        <f>COUNTIFS(总表!B:B,$U$1,总表!D:D,A22,总表!L:L,"&lt;&gt;",总表!E:E,$BA$3,总表!E:E,$BA$4)</f>
        <v>0</v>
      </c>
      <c r="V22" s="238">
        <f>SUMIFS(总表!N:N,总表!B:B,$U$1,总表!D:D,A22,总表!E:E,$BA$3,总表!E:E,$BA$4)</f>
        <v>0</v>
      </c>
      <c r="W22" s="237">
        <f>COUNTIFS(总表!B:B,$W$1,总表!D:D,A22,总表!L:L,"&lt;&gt;",总表!E:E,$BA$3,总表!E:E,$BA$4)</f>
        <v>0</v>
      </c>
      <c r="X22" s="238">
        <f>SUMIFS(总表!N:N,总表!B:B,$W$1,总表!D:D,A22,总表!E:E,$BA$3,总表!E:E,$BA$4)</f>
        <v>0</v>
      </c>
      <c r="Y22" s="237">
        <f>COUNTIFS(总表!B:B,$Y$1,总表!D:D,A22,总表!L:L,"&lt;&gt;",总表!E:E,$BA$3,总表!E:E,$BA$4)</f>
        <v>0</v>
      </c>
      <c r="Z22" s="238">
        <f>SUMIFS(总表!N:N,总表!B:B,$Y$1,总表!D:D,A22,总表!E:E,$BA$3,总表!E:E,$BA$4)</f>
        <v>0</v>
      </c>
      <c r="AA22" s="237">
        <f>COUNTIFS(总表!B:B,$AA$1,总表!D:D,A22,总表!L:L,"&lt;&gt;",总表!E:E,$BA$3,总表!E:E,$BA$4)</f>
        <v>0</v>
      </c>
      <c r="AB22" s="238">
        <f>SUMIFS(总表!N:N,总表!B:B,$AA$1,总表!D:D,A22,总表!E:E,$BA$3,总表!E:E,$BA$4)</f>
        <v>0</v>
      </c>
      <c r="AC22" s="237">
        <f>COUNTIFS(总表!B:B,$AC$1,总表!D:D,A22,总表!L:L,"&lt;&gt;",总表!E:E,$BA$3,总表!E:E,$BA$4)</f>
        <v>0</v>
      </c>
      <c r="AD22" s="238">
        <f>SUMIFS(总表!N:N,总表!B:B,$AC$1,总表!D:D,A22,总表!E:E,$BA$3,总表!E:E,$BA$4)</f>
        <v>0</v>
      </c>
      <c r="AE22" s="237">
        <f>COUNTIFS(总表!B:B,$AE$1,总表!D:D,A22,总表!L:L,"&lt;&gt;",总表!E:E,$BA$3,总表!E:E,$BA$4)</f>
        <v>0</v>
      </c>
      <c r="AF22" s="238">
        <f>SUMIFS(总表!N:N,总表!B:B,$AE$1,总表!D:D,A22,总表!E:E,$BA$3,总表!E:E,$BA$4)</f>
        <v>0</v>
      </c>
      <c r="AG22" s="237">
        <f>COUNTIFS(总表!B:B,$AG$1,总表!D:D,A22,总表!L:L,"&lt;&gt;",总表!E:E,$BA$3,总表!E:E,$BA$4)</f>
        <v>0</v>
      </c>
      <c r="AH22" s="238">
        <f>SUMIFS(总表!N:N,总表!B:B,$AG$1,总表!D:D,A22,总表!E:E,$BA$3,总表!E:E,$BA$4)</f>
        <v>0</v>
      </c>
      <c r="AI22" s="237">
        <f>COUNTIFS(总表!B:B,$AI$1,总表!D:D,A22,总表!L:L,"&lt;&gt;",总表!E:E,$BA$3,总表!E:E,$BA$4)</f>
        <v>0</v>
      </c>
      <c r="AJ22" s="238">
        <f>SUMIFS(总表!N:N,总表!B:B,AI$1,总表!D:D,A22,总表!E:E,$BA$3,总表!E:E,$BA$4)</f>
        <v>0</v>
      </c>
      <c r="AK22" s="237">
        <f>COUNTIFS(总表!B:B,$AK$1,总表!D:D,A22,总表!L:L,"&lt;&gt;",总表!E:E,$BA$3,总表!E:E,$BA$4)</f>
        <v>0</v>
      </c>
      <c r="AL22" s="238">
        <f>SUMIFS(总表!N:N,总表!B:B,$AK$1,总表!D:D,A22,总表!E:E,$BA$3,总表!E:E,$BA$4)</f>
        <v>0</v>
      </c>
      <c r="AM22" s="237">
        <f>COUNTIFS(总表!B:B,$AM$1,总表!D:D,A22,总表!L:L,"&lt;&gt;",总表!E:E,$BA$3,总表!E:E,$BA$4)</f>
        <v>0</v>
      </c>
      <c r="AN22" s="238">
        <f>SUMIFS(总表!N:N,总表!B:B,$AM$1,总表!D:D,A22,总表!E:E,$BA$3,总表!E:E,$BA$4)</f>
        <v>0</v>
      </c>
      <c r="AO22" s="237">
        <f>COUNTIFS(总表!B:B,$AO$1,总表!D:D,A22,总表!L:L,"&lt;&gt;",总表!E:E,$BA$3,总表!E:E,$BA$4)</f>
        <v>0</v>
      </c>
      <c r="AP22" s="238">
        <f>SUMIFS(总表!N:N,总表!B:B,$AO$1,总表!D:D,A22,总表!E:E,$BA$3,总表!E:E,$BA$4)</f>
        <v>0</v>
      </c>
      <c r="AQ22" s="237">
        <f>COUNTIFS(总表!B:B,$AQ$1,总表!D:D,A22,总表!L:L,"&lt;&gt;",总表!E:E,$BA$3,总表!E:E,$BA$4)</f>
        <v>0</v>
      </c>
      <c r="AR22" s="238">
        <f>SUMIFS(总表!N:N,总表!B:B,$AQ$1,总表!D:D,A22,总表!E:E,$BA$3,总表!E:E,$BA$4)</f>
        <v>0</v>
      </c>
      <c r="AS22" s="237">
        <f>COUNTIFS(总表!B:B,$AS$1,总表!D:D,A22,总表!L:L,"&lt;&gt;",总表!E:E,$BA$3,总表!E:E,$BA$4)</f>
        <v>0</v>
      </c>
      <c r="AT22" s="238">
        <f>SUMIFS(总表!N:N,总表!B:B,$AS$1,总表!D:D,A22,总表!E:E,$BA$3,总表!E:E,$BA$4)</f>
        <v>0</v>
      </c>
      <c r="AU22" s="237">
        <f>COUNTIFS(总表!B:B,$AU$1,总表!D:D,A22,总表!L:L,"&lt;&gt;",总表!E:E,$BA$3,总表!E:E,$BA$4)</f>
        <v>0</v>
      </c>
      <c r="AV22" s="238">
        <f>SUMIFS(总表!N:N,总表!B:B,$AU$1,总表!D:D,A22,总表!E:E,$BA$3,总表!E:E,$BA$4)</f>
        <v>0</v>
      </c>
      <c r="AW22" s="242">
        <f>COUNTIFS(总表!B:B,$AW$1,总表!D:D,A22,总表!L:L,"&lt;&gt;",总表!E:E,$BA$3,总表!E:E,$BA$4)</f>
        <v>0</v>
      </c>
      <c r="AX22" s="242">
        <f>SUMIFS(总表!N:N,总表!B:B,$AW$1,总表!D:D,A22,总表!E:E,$BA$3,总表!E:E,$BA$4)</f>
        <v>0</v>
      </c>
      <c r="AY22" s="242">
        <f>COUNTIFS(总表!B:B,$AY$1,总表!D:D,A22,总表!L:L,"&lt;&gt;",总表!E:E,$BA$3,总表!E:E,$BA$4)</f>
        <v>0</v>
      </c>
      <c r="AZ22" s="242">
        <f>SUMIFS(总表!N:N,总表!B:B,$AY$1,总表!D:D,A22,总表!E:E,$BA$3,总表!E:E,$BA$4)</f>
        <v>0</v>
      </c>
      <c r="BB22" s="34">
        <f t="shared" si="4"/>
        <v>103955</v>
      </c>
      <c r="BC22" s="34">
        <f>E22</f>
        <v>3</v>
      </c>
      <c r="BD22" s="34">
        <f>F22</f>
        <v>103955</v>
      </c>
      <c r="BE22" s="244">
        <f t="shared" si="5"/>
        <v>34651.6666666667</v>
      </c>
      <c r="BF22" s="245">
        <f t="shared" si="6"/>
        <v>1</v>
      </c>
      <c r="BG22" s="34">
        <f>COUNTIFS(总表!D:D,A22,总表!L:L,"&lt;&gt;",总表!E:E,$BA$3,总表!E:E,$BA$4)-BC22</f>
        <v>0</v>
      </c>
      <c r="BH22" s="34">
        <f t="shared" si="7"/>
        <v>0</v>
      </c>
    </row>
    <row r="23" spans="1:60">
      <c r="A23" s="14" t="s">
        <v>37</v>
      </c>
      <c r="B23" s="13" t="str">
        <f>VLOOKUP(A23,设计师对应店铺!A:B,COLUMN(设计师对应店铺!B:B)-COLUMN(设计师对应店铺!A:B)+1,0)</f>
        <v>浦江店</v>
      </c>
      <c r="C23" s="237">
        <f>COUNTIFS(总表!B:B,$C$1,总表!D:D,A23,总表!L:L,"&lt;&gt;",总表!E:E,$BA$3,总表!E:E,$BA$4)</f>
        <v>0</v>
      </c>
      <c r="D23" s="238">
        <f>SUMIFS(总表!N:N,总表!B:B,$C$1,总表!D:D,A23,总表!E:E,$BA$3,总表!E:E,$BA$4)</f>
        <v>0</v>
      </c>
      <c r="E23" s="237">
        <f>COUNTIFS(总表!B:B,$E$1,总表!D:D,A23,总表!L:L,"&lt;&gt;",总表!E:E,$BA$3,总表!E:E,$BA$4)</f>
        <v>0</v>
      </c>
      <c r="F23" s="238">
        <f>SUMIFS(总表!N:N,总表!B:B,$E$1,总表!D:D,A23,总表!E:E,$BA$3,总表!E:E,$BA$4)</f>
        <v>0</v>
      </c>
      <c r="G23" s="237">
        <f>COUNTIFS(总表!B:B,$G$1,总表!D:D,A23,总表!L:L,"&lt;&gt;",总表!E:E,$BA$3,总表!E:E,$BA$4)</f>
        <v>0</v>
      </c>
      <c r="H23" s="238">
        <f>SUMIFS(总表!N:N,总表!B:B,$G$1,总表!D:D,A23,总表!E:E,$BA$3,总表!E:E,$BA$4)</f>
        <v>0</v>
      </c>
      <c r="I23" s="237">
        <f>COUNTIFS(总表!B:B,$I$1,总表!D:D,A23,总表!L:L,"&lt;&gt;",总表!E:E,$BA$3,总表!E:E,$BA$4)</f>
        <v>0</v>
      </c>
      <c r="J23" s="238">
        <f>SUMIFS(总表!N:N,总表!B:B,$I$1,总表!D:D,A23,总表!E:E,$BA$3,总表!E:E,$BA$4)</f>
        <v>0</v>
      </c>
      <c r="K23" s="237">
        <f>COUNTIFS(总表!B:B,$K$1,总表!D:D,A23,总表!L:L,"&lt;&gt;",总表!E:E,$BA$3,总表!E:E,$BA$4)</f>
        <v>0</v>
      </c>
      <c r="L23" s="238">
        <f>SUMIFS(总表!N:N,总表!B:B,$K$1,总表!D:D,A23,总表!E:E,$BA$3,总表!E:E,$BA$4)</f>
        <v>0</v>
      </c>
      <c r="M23" s="237">
        <f>COUNTIFS(总表!B:B,$M$1,总表!D:D,A23,总表!L:L,"&lt;&gt;",总表!E:E,$BA$3,总表!E:E,$BA$4)</f>
        <v>0</v>
      </c>
      <c r="N23" s="238">
        <f>SUMIFS(总表!N:N,总表!B:B,$M$1,总表!D:D,A23,总表!E:E,$BA$3,总表!E:E,$BA$4)</f>
        <v>0</v>
      </c>
      <c r="O23" s="237">
        <f>COUNTIFS(总表!B:B,$O$1,总表!D:D,A23,总表!L:L,"&lt;&gt;",总表!E:E,$BA$3,总表!E:E,$BA$4)</f>
        <v>0</v>
      </c>
      <c r="P23" s="238">
        <f>SUMIFS(总表!N:N,总表!B:B,$O$1,总表!D:D,A23,总表!E:E,$BA$3,总表!E:E,$BA$4)</f>
        <v>0</v>
      </c>
      <c r="Q23" s="237">
        <f>COUNTIFS(总表!B:B,$Q$1,总表!D:D,A23,总表!L:L,"&lt;&gt;",总表!E:E,$BA$3,总表!E:E,$BA$4)</f>
        <v>0</v>
      </c>
      <c r="R23" s="238">
        <f>SUMIFS(总表!N:N,总表!B:B,$Q$1,总表!D:D,A23,总表!E:E,$BA$3,总表!E:E,$BA$4)</f>
        <v>0</v>
      </c>
      <c r="S23" s="237">
        <f>COUNTIFS(总表!B:B,$S$1,总表!D:D,A23,总表!L:L,"&lt;&gt;",总表!E:E,$BA$3,总表!E:E,$BA$4)</f>
        <v>0</v>
      </c>
      <c r="T23" s="238">
        <f>SUMIFS(总表!N:N,总表!B:B,$S$1,总表!D:D,A23,总表!E:E,$BA$3,总表!E:E,$BA$4)</f>
        <v>0</v>
      </c>
      <c r="U23" s="237">
        <f>COUNTIFS(总表!B:B,$U$1,总表!D:D,A23,总表!L:L,"&lt;&gt;",总表!E:E,$BA$3,总表!E:E,$BA$4)</f>
        <v>0</v>
      </c>
      <c r="V23" s="238">
        <f>SUMIFS(总表!N:N,总表!B:B,$U$1,总表!D:D,A23,总表!E:E,$BA$3,总表!E:E,$BA$4)</f>
        <v>0</v>
      </c>
      <c r="W23" s="237">
        <f>COUNTIFS(总表!B:B,$W$1,总表!D:D,A23,总表!L:L,"&lt;&gt;",总表!E:E,$BA$3,总表!E:E,$BA$4)</f>
        <v>0</v>
      </c>
      <c r="X23" s="238">
        <f>SUMIFS(总表!N:N,总表!B:B,$W$1,总表!D:D,A23,总表!E:E,$BA$3,总表!E:E,$BA$4)</f>
        <v>0</v>
      </c>
      <c r="Y23" s="237">
        <f>COUNTIFS(总表!B:B,$Y$1,总表!D:D,A23,总表!L:L,"&lt;&gt;",总表!E:E,$BA$3,总表!E:E,$BA$4)</f>
        <v>0</v>
      </c>
      <c r="Z23" s="238">
        <f>SUMIFS(总表!N:N,总表!B:B,$Y$1,总表!D:D,A23,总表!E:E,$BA$3,总表!E:E,$BA$4)</f>
        <v>0</v>
      </c>
      <c r="AA23" s="237">
        <f>COUNTIFS(总表!B:B,$AA$1,总表!D:D,A23,总表!L:L,"&lt;&gt;",总表!E:E,$BA$3,总表!E:E,$BA$4)</f>
        <v>0</v>
      </c>
      <c r="AB23" s="238">
        <f>SUMIFS(总表!N:N,总表!B:B,$AA$1,总表!D:D,A23,总表!E:E,$BA$3,总表!E:E,$BA$4)</f>
        <v>0</v>
      </c>
      <c r="AC23" s="239">
        <f>COUNTIFS(总表!B:B,$AC$1,总表!D:D,A23,总表!L:L,"&lt;&gt;",总表!E:E,$BA$3,总表!E:E,$BA$4)</f>
        <v>27</v>
      </c>
      <c r="AD23" s="239">
        <f>SUMIFS(总表!N:N,总表!B:B,$AC$1,总表!D:D,A23,总表!E:E,$BA$3,总表!E:E,$BA$4)</f>
        <v>568139</v>
      </c>
      <c r="AE23" s="237">
        <f>COUNTIFS(总表!B:B,$AE$1,总表!D:D,A23,总表!L:L,"&lt;&gt;",总表!E:E,$BA$3,总表!E:E,$BA$4)</f>
        <v>0</v>
      </c>
      <c r="AF23" s="238">
        <f>SUMIFS(总表!N:N,总表!B:B,$AE$1,总表!D:D,A23,总表!E:E,$BA$3,总表!E:E,$BA$4)</f>
        <v>0</v>
      </c>
      <c r="AG23" s="237">
        <f>COUNTIFS(总表!B:B,$AG$1,总表!D:D,A23,总表!L:L,"&lt;&gt;",总表!E:E,$BA$3,总表!E:E,$BA$4)</f>
        <v>0</v>
      </c>
      <c r="AH23" s="238">
        <f>SUMIFS(总表!N:N,总表!B:B,$AG$1,总表!D:D,A23,总表!E:E,$BA$3,总表!E:E,$BA$4)</f>
        <v>0</v>
      </c>
      <c r="AI23" s="237">
        <f>COUNTIFS(总表!B:B,$AI$1,总表!D:D,A23,总表!L:L,"&lt;&gt;",总表!E:E,$BA$3,总表!E:E,$BA$4)</f>
        <v>0</v>
      </c>
      <c r="AJ23" s="238">
        <f>SUMIFS(总表!N:N,总表!B:B,AI$1,总表!D:D,A23,总表!E:E,$BA$3,总表!E:E,$BA$4)</f>
        <v>0</v>
      </c>
      <c r="AK23" s="237">
        <f>COUNTIFS(总表!B:B,$AK$1,总表!D:D,A23,总表!L:L,"&lt;&gt;",总表!E:E,$BA$3,总表!E:E,$BA$4)</f>
        <v>0</v>
      </c>
      <c r="AL23" s="238">
        <f>SUMIFS(总表!N:N,总表!B:B,$AK$1,总表!D:D,A23,总表!E:E,$BA$3,总表!E:E,$BA$4)</f>
        <v>0</v>
      </c>
      <c r="AM23" s="237">
        <f>COUNTIFS(总表!B:B,$AM$1,总表!D:D,A23,总表!L:L,"&lt;&gt;",总表!E:E,$BA$3,总表!E:E,$BA$4)</f>
        <v>0</v>
      </c>
      <c r="AN23" s="238">
        <f>SUMIFS(总表!N:N,总表!B:B,$AM$1,总表!D:D,A23,总表!E:E,$BA$3,总表!E:E,$BA$4)</f>
        <v>0</v>
      </c>
      <c r="AO23" s="237">
        <f>COUNTIFS(总表!B:B,$AO$1,总表!D:D,A23,总表!L:L,"&lt;&gt;",总表!E:E,$BA$3,总表!E:E,$BA$4)</f>
        <v>0</v>
      </c>
      <c r="AP23" s="238">
        <f>SUMIFS(总表!N:N,总表!B:B,$AO$1,总表!D:D,A23,总表!E:E,$BA$3,总表!E:E,$BA$4)</f>
        <v>0</v>
      </c>
      <c r="AQ23" s="237">
        <f>COUNTIFS(总表!B:B,$AQ$1,总表!D:D,A23,总表!L:L,"&lt;&gt;",总表!E:E,$BA$3,总表!E:E,$BA$4)</f>
        <v>0</v>
      </c>
      <c r="AR23" s="238">
        <f>SUMIFS(总表!N:N,总表!B:B,$AQ$1,总表!D:D,A23,总表!E:E,$BA$3,总表!E:E,$BA$4)</f>
        <v>0</v>
      </c>
      <c r="AS23" s="237">
        <f>COUNTIFS(总表!B:B,$AS$1,总表!D:D,A23,总表!L:L,"&lt;&gt;",总表!E:E,$BA$3,总表!E:E,$BA$4)</f>
        <v>0</v>
      </c>
      <c r="AT23" s="238">
        <f>SUMIFS(总表!N:N,总表!B:B,$AS$1,总表!D:D,A23,总表!E:E,$BA$3,总表!E:E,$BA$4)</f>
        <v>0</v>
      </c>
      <c r="AU23" s="237">
        <f>COUNTIFS(总表!B:B,$AU$1,总表!D:D,A23,总表!L:L,"&lt;&gt;",总表!E:E,$BA$3,总表!E:E,$BA$4)</f>
        <v>0</v>
      </c>
      <c r="AV23" s="238">
        <f>SUMIFS(总表!N:N,总表!B:B,$AU$1,总表!D:D,A23,总表!E:E,$BA$3,总表!E:E,$BA$4)</f>
        <v>0</v>
      </c>
      <c r="AW23" s="242">
        <f>COUNTIFS(总表!B:B,$AW$1,总表!D:D,A23,总表!L:L,"&lt;&gt;",总表!E:E,$BA$3,总表!E:E,$BA$4)</f>
        <v>0</v>
      </c>
      <c r="AX23" s="242">
        <f>SUMIFS(总表!N:N,总表!B:B,$AW$1,总表!D:D,A23,总表!E:E,$BA$3,总表!E:E,$BA$4)</f>
        <v>0</v>
      </c>
      <c r="AY23" s="242">
        <f>COUNTIFS(总表!B:B,$AY$1,总表!D:D,A23,总表!L:L,"&lt;&gt;",总表!E:E,$BA$3,总表!E:E,$BA$4)</f>
        <v>0</v>
      </c>
      <c r="AZ23" s="242">
        <f>SUMIFS(总表!N:N,总表!B:B,$AY$1,总表!D:D,A23,总表!E:E,$BA$3,总表!E:E,$BA$4)</f>
        <v>0</v>
      </c>
      <c r="BB23" s="34">
        <f t="shared" si="4"/>
        <v>568139</v>
      </c>
      <c r="BC23" s="34">
        <f>AC23</f>
        <v>27</v>
      </c>
      <c r="BD23" s="34">
        <f>AD23</f>
        <v>568139</v>
      </c>
      <c r="BE23" s="244">
        <f t="shared" si="5"/>
        <v>21042.1851851852</v>
      </c>
      <c r="BF23" s="245">
        <f t="shared" si="6"/>
        <v>1</v>
      </c>
      <c r="BG23" s="34">
        <f>COUNTIFS(总表!D:D,A23,总表!L:L,"&lt;&gt;",总表!E:E,$BA$3,总表!E:E,$BA$4)-BC23</f>
        <v>0</v>
      </c>
      <c r="BH23" s="34">
        <f t="shared" si="7"/>
        <v>0</v>
      </c>
    </row>
    <row r="24" spans="1:60">
      <c r="A24" s="14" t="s">
        <v>125</v>
      </c>
      <c r="B24" s="13" t="str">
        <f>VLOOKUP(A24,设计师对应店铺!A:B,COLUMN(设计师对应店铺!B:B)-COLUMN(设计师对应店铺!A:B)+1,0)</f>
        <v>同福店店长</v>
      </c>
      <c r="C24" s="237">
        <f>COUNTIFS(总表!B:B,$C$1,总表!D:D,A24,总表!L:L,"&lt;&gt;",总表!E:E,$BA$3,总表!E:E,$BA$4)</f>
        <v>1</v>
      </c>
      <c r="D24" s="238">
        <f>SUMIFS(总表!N:N,总表!B:B,$C$1,总表!D:D,A24,总表!E:E,$BA$3,总表!E:E,$BA$4)</f>
        <v>10876</v>
      </c>
      <c r="E24" s="237">
        <f>COUNTIFS(总表!B:B,$E$1,总表!D:D,A24,总表!L:L,"&lt;&gt;",总表!E:E,$BA$3,总表!E:E,$BA$4)</f>
        <v>0</v>
      </c>
      <c r="F24" s="238">
        <f>SUMIFS(总表!N:N,总表!B:B,$E$1,总表!D:D,A24,总表!E:E,$BA$3,总表!E:E,$BA$4)</f>
        <v>0</v>
      </c>
      <c r="G24" s="237">
        <f>COUNTIFS(总表!B:B,$G$1,总表!D:D,A24,总表!L:L,"&lt;&gt;",总表!E:E,$BA$3,总表!E:E,$BA$4)</f>
        <v>0</v>
      </c>
      <c r="H24" s="238">
        <f>SUMIFS(总表!N:N,总表!B:B,$G$1,总表!D:D,A24,总表!E:E,$BA$3,总表!E:E,$BA$4)</f>
        <v>0</v>
      </c>
      <c r="I24" s="237">
        <f>COUNTIFS(总表!B:B,$I$1,总表!D:D,A24,总表!L:L,"&lt;&gt;",总表!E:E,$BA$3,总表!E:E,$BA$4)</f>
        <v>1</v>
      </c>
      <c r="J24" s="238">
        <f>SUMIFS(总表!N:N,总表!B:B,$I$1,总表!D:D,A24,总表!E:E,$BA$3,总表!E:E,$BA$4)</f>
        <v>10000</v>
      </c>
      <c r="K24" s="237">
        <f>COUNTIFS(总表!B:B,$K$1,总表!D:D,A24,总表!L:L,"&lt;&gt;",总表!E:E,$BA$3,总表!E:E,$BA$4)</f>
        <v>0</v>
      </c>
      <c r="L24" s="238">
        <f>SUMIFS(总表!N:N,总表!B:B,$K$1,总表!D:D,A24,总表!E:E,$BA$3,总表!E:E,$BA$4)</f>
        <v>0</v>
      </c>
      <c r="M24" s="237">
        <f>COUNTIFS(总表!B:B,$M$1,总表!D:D,A24,总表!L:L,"&lt;&gt;",总表!E:E,$BA$3,总表!E:E,$BA$4)</f>
        <v>0</v>
      </c>
      <c r="N24" s="238">
        <f>SUMIFS(总表!N:N,总表!B:B,$M$1,总表!D:D,A24,总表!E:E,$BA$3,总表!E:E,$BA$4)</f>
        <v>0</v>
      </c>
      <c r="O24" s="237">
        <f>COUNTIFS(总表!B:B,$O$1,总表!D:D,A24,总表!L:L,"&lt;&gt;",总表!E:E,$BA$3,总表!E:E,$BA$4)</f>
        <v>0</v>
      </c>
      <c r="P24" s="238">
        <f>SUMIFS(总表!N:N,总表!B:B,$O$1,总表!D:D,A24,总表!E:E,$BA$3,总表!E:E,$BA$4)</f>
        <v>0</v>
      </c>
      <c r="Q24" s="237">
        <f>COUNTIFS(总表!B:B,$Q$1,总表!D:D,A24,总表!L:L,"&lt;&gt;",总表!E:E,$BA$3,总表!E:E,$BA$4)</f>
        <v>0</v>
      </c>
      <c r="R24" s="238">
        <f>SUMIFS(总表!N:N,总表!B:B,$Q$1,总表!D:D,A24,总表!E:E,$BA$3,总表!E:E,$BA$4)</f>
        <v>0</v>
      </c>
      <c r="S24" s="237">
        <f>COUNTIFS(总表!B:B,$S$1,总表!D:D,A24,总表!L:L,"&lt;&gt;",总表!E:E,$BA$3,总表!E:E,$BA$4)</f>
        <v>0</v>
      </c>
      <c r="T24" s="238">
        <f>SUMIFS(总表!N:N,总表!B:B,$S$1,总表!D:D,A24,总表!E:E,$BA$3,总表!E:E,$BA$4)</f>
        <v>0</v>
      </c>
      <c r="U24" s="237">
        <f>COUNTIFS(总表!B:B,$U$1,总表!D:D,A24,总表!L:L,"&lt;&gt;",总表!E:E,$BA$3,总表!E:E,$BA$4)</f>
        <v>0</v>
      </c>
      <c r="V24" s="238">
        <f>SUMIFS(总表!N:N,总表!B:B,$U$1,总表!D:D,A24,总表!E:E,$BA$3,总表!E:E,$BA$4)</f>
        <v>0</v>
      </c>
      <c r="W24" s="237">
        <f>COUNTIFS(总表!B:B,$W$1,总表!D:D,A24,总表!L:L,"&lt;&gt;",总表!E:E,$BA$3,总表!E:E,$BA$4)</f>
        <v>0</v>
      </c>
      <c r="X24" s="238">
        <f>SUMIFS(总表!N:N,总表!B:B,$W$1,总表!D:D,A24,总表!E:E,$BA$3,总表!E:E,$BA$4)</f>
        <v>0</v>
      </c>
      <c r="Y24" s="237">
        <f>COUNTIFS(总表!B:B,$Y$1,总表!D:D,A24,总表!L:L,"&lt;&gt;",总表!E:E,$BA$3,总表!E:E,$BA$4)</f>
        <v>0</v>
      </c>
      <c r="Z24" s="238">
        <f>SUMIFS(总表!N:N,总表!B:B,$Y$1,总表!D:D,A24,总表!E:E,$BA$3,总表!E:E,$BA$4)</f>
        <v>0</v>
      </c>
      <c r="AA24" s="237">
        <f>COUNTIFS(总表!B:B,$AA$1,总表!D:D,A24,总表!L:L,"&lt;&gt;",总表!E:E,$BA$3,总表!E:E,$BA$4)</f>
        <v>0</v>
      </c>
      <c r="AB24" s="238">
        <f>SUMIFS(总表!N:N,总表!B:B,$AA$1,总表!D:D,A24,总表!E:E,$BA$3,总表!E:E,$BA$4)</f>
        <v>0</v>
      </c>
      <c r="AC24" s="237">
        <f>COUNTIFS(总表!B:B,$AC$1,总表!D:D,A24,总表!L:L,"&lt;&gt;",总表!E:E,$BA$3,总表!E:E,$BA$4)</f>
        <v>0</v>
      </c>
      <c r="AD24" s="238">
        <f>SUMIFS(总表!N:N,总表!B:B,$AC$1,总表!D:D,A24,总表!E:E,$BA$3,总表!E:E,$BA$4)</f>
        <v>0</v>
      </c>
      <c r="AE24" s="239">
        <f>COUNTIFS(总表!B:B,$AE$1,总表!D:D,A24,总表!L:L,"&lt;&gt;",总表!E:E,$BA$3,总表!E:E,$BA$4)</f>
        <v>15</v>
      </c>
      <c r="AF24" s="239">
        <f>SUMIFS(总表!N:N,总表!B:B,$AE$1,总表!D:D,A24,总表!E:E,$BA$3,总表!E:E,$BA$4)</f>
        <v>158624</v>
      </c>
      <c r="AG24" s="237">
        <f>COUNTIFS(总表!B:B,$AG$1,总表!D:D,A24,总表!L:L,"&lt;&gt;",总表!E:E,$BA$3,总表!E:E,$BA$4)</f>
        <v>2</v>
      </c>
      <c r="AH24" s="238">
        <f>SUMIFS(总表!N:N,总表!B:B,$AG$1,总表!D:D,A24,总表!E:E,$BA$3,总表!E:E,$BA$4)</f>
        <v>28355</v>
      </c>
      <c r="AI24" s="237">
        <f>COUNTIFS(总表!B:B,$AI$1,总表!D:D,A24,总表!L:L,"&lt;&gt;",总表!E:E,$BA$3,总表!E:E,$BA$4)</f>
        <v>0</v>
      </c>
      <c r="AJ24" s="238">
        <f>SUMIFS(总表!N:N,总表!B:B,AI$1,总表!D:D,A24,总表!E:E,$BA$3,总表!E:E,$BA$4)</f>
        <v>0</v>
      </c>
      <c r="AK24" s="237">
        <f>COUNTIFS(总表!B:B,$AK$1,总表!D:D,A24,总表!L:L,"&lt;&gt;",总表!E:E,$BA$3,总表!E:E,$BA$4)</f>
        <v>0</v>
      </c>
      <c r="AL24" s="238">
        <f>SUMIFS(总表!N:N,总表!B:B,$AK$1,总表!D:D,A24,总表!E:E,$BA$3,总表!E:E,$BA$4)</f>
        <v>0</v>
      </c>
      <c r="AM24" s="237">
        <f>COUNTIFS(总表!B:B,$AM$1,总表!D:D,A24,总表!L:L,"&lt;&gt;",总表!E:E,$BA$3,总表!E:E,$BA$4)</f>
        <v>0</v>
      </c>
      <c r="AN24" s="238">
        <f>SUMIFS(总表!N:N,总表!B:B,$AM$1,总表!D:D,A24,总表!E:E,$BA$3,总表!E:E,$BA$4)</f>
        <v>0</v>
      </c>
      <c r="AO24" s="237">
        <f>COUNTIFS(总表!B:B,$AO$1,总表!D:D,A24,总表!L:L,"&lt;&gt;",总表!E:E,$BA$3,总表!E:E,$BA$4)</f>
        <v>0</v>
      </c>
      <c r="AP24" s="238">
        <f>SUMIFS(总表!N:N,总表!B:B,$AO$1,总表!D:D,A24,总表!E:E,$BA$3,总表!E:E,$BA$4)</f>
        <v>0</v>
      </c>
      <c r="AQ24" s="237">
        <f>COUNTIFS(总表!B:B,$AQ$1,总表!D:D,A24,总表!L:L,"&lt;&gt;",总表!E:E,$BA$3,总表!E:E,$BA$4)</f>
        <v>0</v>
      </c>
      <c r="AR24" s="238">
        <f>SUMIFS(总表!N:N,总表!B:B,$AQ$1,总表!D:D,A24,总表!E:E,$BA$3,总表!E:E,$BA$4)</f>
        <v>0</v>
      </c>
      <c r="AS24" s="237">
        <f>COUNTIFS(总表!B:B,$AS$1,总表!D:D,A24,总表!L:L,"&lt;&gt;",总表!E:E,$BA$3,总表!E:E,$BA$4)</f>
        <v>0</v>
      </c>
      <c r="AT24" s="238">
        <f>SUMIFS(总表!N:N,总表!B:B,$AS$1,总表!D:D,A24,总表!E:E,$BA$3,总表!E:E,$BA$4)</f>
        <v>0</v>
      </c>
      <c r="AU24" s="237">
        <f>COUNTIFS(总表!B:B,$AU$1,总表!D:D,A24,总表!L:L,"&lt;&gt;",总表!E:E,$BA$3,总表!E:E,$BA$4)</f>
        <v>0</v>
      </c>
      <c r="AV24" s="238">
        <f>SUMIFS(总表!N:N,总表!B:B,$AU$1,总表!D:D,A24,总表!E:E,$BA$3,总表!E:E,$BA$4)</f>
        <v>0</v>
      </c>
      <c r="AW24" s="242">
        <f>COUNTIFS(总表!B:B,$AW$1,总表!D:D,A24,总表!L:L,"&lt;&gt;",总表!E:E,$BA$3,总表!E:E,$BA$4)</f>
        <v>0</v>
      </c>
      <c r="AX24" s="242">
        <f>SUMIFS(总表!N:N,总表!B:B,$AW$1,总表!D:D,A24,总表!E:E,$BA$3,总表!E:E,$BA$4)</f>
        <v>0</v>
      </c>
      <c r="AY24" s="242">
        <f>COUNTIFS(总表!B:B,$AY$1,总表!D:D,A24,总表!L:L,"&lt;&gt;",总表!E:E,$BA$3,总表!E:E,$BA$4)</f>
        <v>0</v>
      </c>
      <c r="AZ24" s="242">
        <f>SUMIFS(总表!N:N,总表!B:B,$AY$1,总表!D:D,A24,总表!E:E,$BA$3,总表!E:E,$BA$4)</f>
        <v>0</v>
      </c>
      <c r="BB24" s="34">
        <f t="shared" si="4"/>
        <v>207855</v>
      </c>
      <c r="BC24" s="34">
        <f>AE24</f>
        <v>15</v>
      </c>
      <c r="BD24" s="34">
        <f>AF24</f>
        <v>158624</v>
      </c>
      <c r="BE24" s="244">
        <f t="shared" si="5"/>
        <v>10574.9333333333</v>
      </c>
      <c r="BF24" s="245">
        <f t="shared" si="6"/>
        <v>0.763147386399172</v>
      </c>
      <c r="BG24" s="34">
        <f>COUNTIFS(总表!D:D,A24,总表!L:L,"&lt;&gt;",总表!E:E,$BA$3,总表!E:E,$BA$4)-BC24</f>
        <v>4</v>
      </c>
      <c r="BH24" s="34">
        <f t="shared" si="7"/>
        <v>49231</v>
      </c>
    </row>
    <row r="25" spans="1:60">
      <c r="A25" s="14" t="s">
        <v>271</v>
      </c>
      <c r="B25" s="13" t="str">
        <f>VLOOKUP(A25,设计师对应店铺!A:B,COLUMN(设计师对应店铺!B:B)-COLUMN(设计师对应店铺!A:B)+1,0)</f>
        <v>喜盈门</v>
      </c>
      <c r="C25" s="237">
        <f>COUNTIFS(总表!B:B,$C$1,总表!D:D,A25,总表!L:L,"&lt;&gt;",总表!E:E,$BA$3,总表!E:E,$BA$4)</f>
        <v>9</v>
      </c>
      <c r="D25" s="238">
        <f>SUMIFS(总表!N:N,总表!B:B,$C$1,总表!D:D,A25,总表!E:E,$BA$3,总表!E:E,$BA$4)</f>
        <v>108931</v>
      </c>
      <c r="E25" s="237">
        <f>COUNTIFS(总表!B:B,$E$1,总表!D:D,A25,总表!L:L,"&lt;&gt;",总表!E:E,$BA$3,总表!E:E,$BA$4)</f>
        <v>0</v>
      </c>
      <c r="F25" s="238">
        <f>SUMIFS(总表!N:N,总表!B:B,$E$1,总表!D:D,A25,总表!E:E,$BA$3,总表!E:E,$BA$4)</f>
        <v>0</v>
      </c>
      <c r="G25" s="237">
        <f>COUNTIFS(总表!B:B,$G$1,总表!D:D,A25,总表!L:L,"&lt;&gt;",总表!E:E,$BA$3,总表!E:E,$BA$4)</f>
        <v>0</v>
      </c>
      <c r="H25" s="238">
        <f>SUMIFS(总表!N:N,总表!B:B,$G$1,总表!D:D,A25,总表!E:E,$BA$3,总表!E:E,$BA$4)</f>
        <v>0</v>
      </c>
      <c r="I25" s="237">
        <f>COUNTIFS(总表!B:B,$I$1,总表!D:D,A25,总表!L:L,"&lt;&gt;",总表!E:E,$BA$3,总表!E:E,$BA$4)</f>
        <v>0</v>
      </c>
      <c r="J25" s="238">
        <f>SUMIFS(总表!N:N,总表!B:B,$I$1,总表!D:D,A25,总表!E:E,$BA$3,总表!E:E,$BA$4)</f>
        <v>0</v>
      </c>
      <c r="K25" s="237">
        <f>COUNTIFS(总表!B:B,$K$1,总表!D:D,A25,总表!L:L,"&lt;&gt;",总表!E:E,$BA$3,总表!E:E,$BA$4)</f>
        <v>0</v>
      </c>
      <c r="L25" s="238">
        <f>SUMIFS(总表!N:N,总表!B:B,$K$1,总表!D:D,A25,总表!E:E,$BA$3,总表!E:E,$BA$4)</f>
        <v>0</v>
      </c>
      <c r="M25" s="237">
        <f>COUNTIFS(总表!B:B,$M$1,总表!D:D,A25,总表!L:L,"&lt;&gt;",总表!E:E,$BA$3,总表!E:E,$BA$4)</f>
        <v>0</v>
      </c>
      <c r="N25" s="238">
        <f>SUMIFS(总表!N:N,总表!B:B,$M$1,总表!D:D,A25,总表!E:E,$BA$3,总表!E:E,$BA$4)</f>
        <v>0</v>
      </c>
      <c r="O25" s="237">
        <f>COUNTIFS(总表!B:B,$O$1,总表!D:D,A25,总表!L:L,"&lt;&gt;",总表!E:E,$BA$3,总表!E:E,$BA$4)</f>
        <v>0</v>
      </c>
      <c r="P25" s="238">
        <f>SUMIFS(总表!N:N,总表!B:B,$O$1,总表!D:D,A25,总表!E:E,$BA$3,总表!E:E,$BA$4)</f>
        <v>0</v>
      </c>
      <c r="Q25" s="239">
        <f>COUNTIFS(总表!B:B,$Q$1,总表!D:D,A25,总表!L:L,"&lt;&gt;",总表!E:E,$BA$3,总表!E:E,$BA$4)</f>
        <v>14</v>
      </c>
      <c r="R25" s="239">
        <f>SUMIFS(总表!N:N,总表!B:B,$Q$1,总表!D:D,A25,总表!E:E,$BA$3,总表!E:E,$BA$4)</f>
        <v>188624</v>
      </c>
      <c r="S25" s="237">
        <f>COUNTIFS(总表!B:B,$S$1,总表!D:D,A25,总表!L:L,"&lt;&gt;",总表!E:E,$BA$3,总表!E:E,$BA$4)</f>
        <v>0</v>
      </c>
      <c r="T25" s="238">
        <f>SUMIFS(总表!N:N,总表!B:B,$S$1,总表!D:D,A25,总表!E:E,$BA$3,总表!E:E,$BA$4)</f>
        <v>0</v>
      </c>
      <c r="U25" s="237">
        <f>COUNTIFS(总表!B:B,$U$1,总表!D:D,A25,总表!L:L,"&lt;&gt;",总表!E:E,$BA$3,总表!E:E,$BA$4)</f>
        <v>0</v>
      </c>
      <c r="V25" s="238">
        <f>SUMIFS(总表!N:N,总表!B:B,$U$1,总表!D:D,A25,总表!E:E,$BA$3,总表!E:E,$BA$4)</f>
        <v>0</v>
      </c>
      <c r="W25" s="237">
        <f>COUNTIFS(总表!B:B,$W$1,总表!D:D,A25,总表!L:L,"&lt;&gt;",总表!E:E,$BA$3,总表!E:E,$BA$4)</f>
        <v>0</v>
      </c>
      <c r="X25" s="238">
        <f>SUMIFS(总表!N:N,总表!B:B,$W$1,总表!D:D,A25,总表!E:E,$BA$3,总表!E:E,$BA$4)</f>
        <v>0</v>
      </c>
      <c r="Y25" s="237">
        <f>COUNTIFS(总表!B:B,$Y$1,总表!D:D,A25,总表!L:L,"&lt;&gt;",总表!E:E,$BA$3,总表!E:E,$BA$4)</f>
        <v>0</v>
      </c>
      <c r="Z25" s="238">
        <f>SUMIFS(总表!N:N,总表!B:B,$Y$1,总表!D:D,A25,总表!E:E,$BA$3,总表!E:E,$BA$4)</f>
        <v>0</v>
      </c>
      <c r="AA25" s="237">
        <f>COUNTIFS(总表!B:B,$AA$1,总表!D:D,A25,总表!L:L,"&lt;&gt;",总表!E:E,$BA$3,总表!E:E,$BA$4)</f>
        <v>0</v>
      </c>
      <c r="AB25" s="238">
        <f>SUMIFS(总表!N:N,总表!B:B,$AA$1,总表!D:D,A25,总表!E:E,$BA$3,总表!E:E,$BA$4)</f>
        <v>0</v>
      </c>
      <c r="AC25" s="237">
        <f>COUNTIFS(总表!B:B,$AC$1,总表!D:D,A25,总表!L:L,"&lt;&gt;",总表!E:E,$BA$3,总表!E:E,$BA$4)</f>
        <v>0</v>
      </c>
      <c r="AD25" s="238">
        <f>SUMIFS(总表!N:N,总表!B:B,$AC$1,总表!D:D,A25,总表!E:E,$BA$3,总表!E:E,$BA$4)</f>
        <v>0</v>
      </c>
      <c r="AE25" s="237">
        <f>COUNTIFS(总表!B:B,$AE$1,总表!D:D,A25,总表!L:L,"&lt;&gt;",总表!E:E,$BA$3,总表!E:E,$BA$4)</f>
        <v>0</v>
      </c>
      <c r="AF25" s="238">
        <f>SUMIFS(总表!N:N,总表!B:B,$AE$1,总表!D:D,A25,总表!E:E,$BA$3,总表!E:E,$BA$4)</f>
        <v>0</v>
      </c>
      <c r="AG25" s="237">
        <f>COUNTIFS(总表!B:B,$AG$1,总表!D:D,A25,总表!L:L,"&lt;&gt;",总表!E:E,$BA$3,总表!E:E,$BA$4)</f>
        <v>0</v>
      </c>
      <c r="AH25" s="238">
        <f>SUMIFS(总表!N:N,总表!B:B,$AG$1,总表!D:D,A25,总表!E:E,$BA$3,总表!E:E,$BA$4)</f>
        <v>0</v>
      </c>
      <c r="AI25" s="237">
        <f>COUNTIFS(总表!B:B,$AI$1,总表!D:D,A25,总表!L:L,"&lt;&gt;",总表!E:E,$BA$3,总表!E:E,$BA$4)</f>
        <v>0</v>
      </c>
      <c r="AJ25" s="238">
        <f>SUMIFS(总表!N:N,总表!B:B,AI$1,总表!D:D,A25,总表!E:E,$BA$3,总表!E:E,$BA$4)</f>
        <v>0</v>
      </c>
      <c r="AK25" s="237">
        <f>COUNTIFS(总表!B:B,$AK$1,总表!D:D,A25,总表!L:L,"&lt;&gt;",总表!E:E,$BA$3,总表!E:E,$BA$4)</f>
        <v>0</v>
      </c>
      <c r="AL25" s="238">
        <f>SUMIFS(总表!N:N,总表!B:B,$AK$1,总表!D:D,A25,总表!E:E,$BA$3,总表!E:E,$BA$4)</f>
        <v>0</v>
      </c>
      <c r="AM25" s="237">
        <f>COUNTIFS(总表!B:B,$AM$1,总表!D:D,A25,总表!L:L,"&lt;&gt;",总表!E:E,$BA$3,总表!E:E,$BA$4)</f>
        <v>0</v>
      </c>
      <c r="AN25" s="238">
        <f>SUMIFS(总表!N:N,总表!B:B,$AM$1,总表!D:D,A25,总表!E:E,$BA$3,总表!E:E,$BA$4)</f>
        <v>0</v>
      </c>
      <c r="AO25" s="237">
        <f>COUNTIFS(总表!B:B,$AO$1,总表!D:D,A25,总表!L:L,"&lt;&gt;",总表!E:E,$BA$3,总表!E:E,$BA$4)</f>
        <v>0</v>
      </c>
      <c r="AP25" s="238">
        <f>SUMIFS(总表!N:N,总表!B:B,$AO$1,总表!D:D,A25,总表!E:E,$BA$3,总表!E:E,$BA$4)</f>
        <v>0</v>
      </c>
      <c r="AQ25" s="237">
        <f>COUNTIFS(总表!B:B,$AQ$1,总表!D:D,A25,总表!L:L,"&lt;&gt;",总表!E:E,$BA$3,总表!E:E,$BA$4)</f>
        <v>0</v>
      </c>
      <c r="AR25" s="238">
        <f>SUMIFS(总表!N:N,总表!B:B,$AQ$1,总表!D:D,A25,总表!E:E,$BA$3,总表!E:E,$BA$4)</f>
        <v>0</v>
      </c>
      <c r="AS25" s="237">
        <f>COUNTIFS(总表!B:B,$AS$1,总表!D:D,A25,总表!L:L,"&lt;&gt;",总表!E:E,$BA$3,总表!E:E,$BA$4)</f>
        <v>0</v>
      </c>
      <c r="AT25" s="238">
        <f>SUMIFS(总表!N:N,总表!B:B,$AS$1,总表!D:D,A25,总表!E:E,$BA$3,总表!E:E,$BA$4)</f>
        <v>0</v>
      </c>
      <c r="AU25" s="237">
        <f>COUNTIFS(总表!B:B,$AU$1,总表!D:D,A25,总表!L:L,"&lt;&gt;",总表!E:E,$BA$3,总表!E:E,$BA$4)</f>
        <v>0</v>
      </c>
      <c r="AV25" s="238">
        <f>SUMIFS(总表!N:N,总表!B:B,$AU$1,总表!D:D,A25,总表!E:E,$BA$3,总表!E:E,$BA$4)</f>
        <v>0</v>
      </c>
      <c r="AW25" s="242">
        <f>COUNTIFS(总表!B:B,$AW$1,总表!D:D,A25,总表!L:L,"&lt;&gt;",总表!E:E,$BA$3,总表!E:E,$BA$4)</f>
        <v>6</v>
      </c>
      <c r="AX25" s="242">
        <f>SUMIFS(总表!N:N,总表!B:B,$AW$1,总表!D:D,A25,总表!E:E,$BA$3,总表!E:E,$BA$4)</f>
        <v>49195</v>
      </c>
      <c r="AY25" s="242">
        <f>COUNTIFS(总表!B:B,$AY$1,总表!D:D,A25,总表!L:L,"&lt;&gt;",总表!E:E,$BA$3,总表!E:E,$BA$4)</f>
        <v>0</v>
      </c>
      <c r="AZ25" s="242">
        <f>SUMIFS(总表!N:N,总表!B:B,$AY$1,总表!D:D,A25,总表!E:E,$BA$3,总表!E:E,$BA$4)</f>
        <v>0</v>
      </c>
      <c r="BB25" s="34">
        <f t="shared" si="4"/>
        <v>346750</v>
      </c>
      <c r="BC25" s="34">
        <f>Q25</f>
        <v>14</v>
      </c>
      <c r="BD25" s="34">
        <f>R25</f>
        <v>188624</v>
      </c>
      <c r="BE25" s="244">
        <f t="shared" si="5"/>
        <v>13473.1428571429</v>
      </c>
      <c r="BF25" s="245">
        <f t="shared" si="6"/>
        <v>0.543976928622927</v>
      </c>
      <c r="BG25" s="34">
        <f>COUNTIFS(总表!D:D,A25,总表!L:L,"&lt;&gt;",总表!E:E,$BA$3,总表!E:E,$BA$4)-BC25</f>
        <v>15</v>
      </c>
      <c r="BH25" s="34">
        <f t="shared" si="7"/>
        <v>158126</v>
      </c>
    </row>
    <row r="26" spans="1:60">
      <c r="A26" s="14" t="s">
        <v>207</v>
      </c>
      <c r="B26" s="13" t="str">
        <f>VLOOKUP(A26,设计师对应店铺!A:B,COLUMN(设计师对应店铺!B:B)-COLUMN(设计师对应店铺!A:B)+1,0)</f>
        <v>百安居</v>
      </c>
      <c r="C26" s="239">
        <f>COUNTIFS(总表!B:B,$C$1,总表!D:D,A26,总表!L:L,"&lt;&gt;",总表!E:E,$BA$3,总表!E:E,$BA$4)</f>
        <v>46</v>
      </c>
      <c r="D26" s="239">
        <f>SUMIFS(总表!N:N,总表!B:B,$C$1,总表!D:D,A26,总表!E:E,$BA$3,总表!E:E,$BA$4)</f>
        <v>481686</v>
      </c>
      <c r="E26" s="237">
        <f>COUNTIFS(总表!B:B,$E$1,总表!D:D,A26,总表!L:L,"&lt;&gt;",总表!E:E,$BA$3,总表!E:E,$BA$4)</f>
        <v>0</v>
      </c>
      <c r="F26" s="238">
        <f>SUMIFS(总表!N:N,总表!B:B,$E$1,总表!D:D,A26,总表!E:E,$BA$3,总表!E:E,$BA$4)</f>
        <v>0</v>
      </c>
      <c r="G26" s="237">
        <f>COUNTIFS(总表!B:B,$G$1,总表!D:D,A26,总表!L:L,"&lt;&gt;",总表!E:E,$BA$3,总表!E:E,$BA$4)</f>
        <v>0</v>
      </c>
      <c r="H26" s="238">
        <f>SUMIFS(总表!N:N,总表!B:B,$G$1,总表!D:D,A26,总表!E:E,$BA$3,总表!E:E,$BA$4)</f>
        <v>0</v>
      </c>
      <c r="I26" s="237">
        <f>COUNTIFS(总表!B:B,$I$1,总表!D:D,A26,总表!L:L,"&lt;&gt;",总表!E:E,$BA$3,总表!E:E,$BA$4)</f>
        <v>0</v>
      </c>
      <c r="J26" s="238">
        <f>SUMIFS(总表!N:N,总表!B:B,$I$1,总表!D:D,A26,总表!E:E,$BA$3,总表!E:E,$BA$4)</f>
        <v>13000</v>
      </c>
      <c r="K26" s="237">
        <f>COUNTIFS(总表!B:B,$K$1,总表!D:D,A26,总表!L:L,"&lt;&gt;",总表!E:E,$BA$3,总表!E:E,$BA$4)</f>
        <v>0</v>
      </c>
      <c r="L26" s="238">
        <f>SUMIFS(总表!N:N,总表!B:B,$K$1,总表!D:D,A26,总表!E:E,$BA$3,总表!E:E,$BA$4)</f>
        <v>0</v>
      </c>
      <c r="M26" s="237">
        <f>COUNTIFS(总表!B:B,$M$1,总表!D:D,A26,总表!L:L,"&lt;&gt;",总表!E:E,$BA$3,总表!E:E,$BA$4)</f>
        <v>0</v>
      </c>
      <c r="N26" s="238">
        <f>SUMIFS(总表!N:N,总表!B:B,$M$1,总表!D:D,A26,总表!E:E,$BA$3,总表!E:E,$BA$4)</f>
        <v>0</v>
      </c>
      <c r="O26" s="237">
        <f>COUNTIFS(总表!B:B,$O$1,总表!D:D,A26,总表!L:L,"&lt;&gt;",总表!E:E,$BA$3,总表!E:E,$BA$4)</f>
        <v>0</v>
      </c>
      <c r="P26" s="238">
        <f>SUMIFS(总表!N:N,总表!B:B,$O$1,总表!D:D,A26,总表!E:E,$BA$3,总表!E:E,$BA$4)</f>
        <v>0</v>
      </c>
      <c r="Q26" s="237">
        <f>COUNTIFS(总表!B:B,$Q$1,总表!D:D,A26,总表!L:L,"&lt;&gt;",总表!E:E,$BA$3,总表!E:E,$BA$4)</f>
        <v>0</v>
      </c>
      <c r="R26" s="238">
        <f>SUMIFS(总表!N:N,总表!B:B,$Q$1,总表!D:D,A26,总表!E:E,$BA$3,总表!E:E,$BA$4)</f>
        <v>0</v>
      </c>
      <c r="S26" s="237">
        <f>COUNTIFS(总表!B:B,$S$1,总表!D:D,A26,总表!L:L,"&lt;&gt;",总表!E:E,$BA$3,总表!E:E,$BA$4)</f>
        <v>0</v>
      </c>
      <c r="T26" s="238">
        <f>SUMIFS(总表!N:N,总表!B:B,$S$1,总表!D:D,A26,总表!E:E,$BA$3,总表!E:E,$BA$4)</f>
        <v>0</v>
      </c>
      <c r="U26" s="237">
        <f>COUNTIFS(总表!B:B,$U$1,总表!D:D,A26,总表!L:L,"&lt;&gt;",总表!E:E,$BA$3,总表!E:E,$BA$4)</f>
        <v>0</v>
      </c>
      <c r="V26" s="238">
        <f>SUMIFS(总表!N:N,总表!B:B,$U$1,总表!D:D,A26,总表!E:E,$BA$3,总表!E:E,$BA$4)</f>
        <v>0</v>
      </c>
      <c r="W26" s="237">
        <f>COUNTIFS(总表!B:B,$W$1,总表!D:D,A26,总表!L:L,"&lt;&gt;",总表!E:E,$BA$3,总表!E:E,$BA$4)</f>
        <v>0</v>
      </c>
      <c r="X26" s="238">
        <f>SUMIFS(总表!N:N,总表!B:B,$W$1,总表!D:D,A26,总表!E:E,$BA$3,总表!E:E,$BA$4)</f>
        <v>0</v>
      </c>
      <c r="Y26" s="237">
        <f>COUNTIFS(总表!B:B,$Y$1,总表!D:D,A26,总表!L:L,"&lt;&gt;",总表!E:E,$BA$3,总表!E:E,$BA$4)</f>
        <v>0</v>
      </c>
      <c r="Z26" s="238">
        <f>SUMIFS(总表!N:N,总表!B:B,$Y$1,总表!D:D,A26,总表!E:E,$BA$3,总表!E:E,$BA$4)</f>
        <v>0</v>
      </c>
      <c r="AA26" s="237">
        <f>COUNTIFS(总表!B:B,$AA$1,总表!D:D,A26,总表!L:L,"&lt;&gt;",总表!E:E,$BA$3,总表!E:E,$BA$4)</f>
        <v>0</v>
      </c>
      <c r="AB26" s="238">
        <f>SUMIFS(总表!N:N,总表!B:B,$AA$1,总表!D:D,A26,总表!E:E,$BA$3,总表!E:E,$BA$4)</f>
        <v>0</v>
      </c>
      <c r="AC26" s="237">
        <f>COUNTIFS(总表!B:B,$AC$1,总表!D:D,A26,总表!L:L,"&lt;&gt;",总表!E:E,$BA$3,总表!E:E,$BA$4)</f>
        <v>0</v>
      </c>
      <c r="AD26" s="238">
        <f>SUMIFS(总表!N:N,总表!B:B,$AC$1,总表!D:D,A26,总表!E:E,$BA$3,总表!E:E,$BA$4)</f>
        <v>0</v>
      </c>
      <c r="AE26" s="237">
        <f>COUNTIFS(总表!B:B,$AE$1,总表!D:D,A26,总表!L:L,"&lt;&gt;",总表!E:E,$BA$3,总表!E:E,$BA$4)</f>
        <v>0</v>
      </c>
      <c r="AF26" s="238">
        <f>SUMIFS(总表!N:N,总表!B:B,$AE$1,总表!D:D,A26,总表!E:E,$BA$3,总表!E:E,$BA$4)</f>
        <v>0</v>
      </c>
      <c r="AG26" s="237">
        <f>COUNTIFS(总表!B:B,$AG$1,总表!D:D,A26,总表!L:L,"&lt;&gt;",总表!E:E,$BA$3,总表!E:E,$BA$4)</f>
        <v>0</v>
      </c>
      <c r="AH26" s="238">
        <f>SUMIFS(总表!N:N,总表!B:B,$AG$1,总表!D:D,A26,总表!E:E,$BA$3,总表!E:E,$BA$4)</f>
        <v>0</v>
      </c>
      <c r="AI26" s="237">
        <f>COUNTIFS(总表!B:B,$AI$1,总表!D:D,A26,总表!L:L,"&lt;&gt;",总表!E:E,$BA$3,总表!E:E,$BA$4)</f>
        <v>0</v>
      </c>
      <c r="AJ26" s="238">
        <f>SUMIFS(总表!N:N,总表!B:B,AI$1,总表!D:D,A26,总表!E:E,$BA$3,总表!E:E,$BA$4)</f>
        <v>0</v>
      </c>
      <c r="AK26" s="237">
        <f>COUNTIFS(总表!B:B,$AK$1,总表!D:D,A26,总表!L:L,"&lt;&gt;",总表!E:E,$BA$3,总表!E:E,$BA$4)</f>
        <v>0</v>
      </c>
      <c r="AL26" s="238">
        <f>SUMIFS(总表!N:N,总表!B:B,$AK$1,总表!D:D,A26,总表!E:E,$BA$3,总表!E:E,$BA$4)</f>
        <v>0</v>
      </c>
      <c r="AM26" s="237">
        <f>COUNTIFS(总表!B:B,$AM$1,总表!D:D,A26,总表!L:L,"&lt;&gt;",总表!E:E,$BA$3,总表!E:E,$BA$4)</f>
        <v>0</v>
      </c>
      <c r="AN26" s="238">
        <f>SUMIFS(总表!N:N,总表!B:B,$AM$1,总表!D:D,A26,总表!E:E,$BA$3,总表!E:E,$BA$4)</f>
        <v>0</v>
      </c>
      <c r="AO26" s="237">
        <f>COUNTIFS(总表!B:B,$AO$1,总表!D:D,A26,总表!L:L,"&lt;&gt;",总表!E:E,$BA$3,总表!E:E,$BA$4)</f>
        <v>0</v>
      </c>
      <c r="AP26" s="238">
        <f>SUMIFS(总表!N:N,总表!B:B,$AO$1,总表!D:D,A26,总表!E:E,$BA$3,总表!E:E,$BA$4)</f>
        <v>0</v>
      </c>
      <c r="AQ26" s="237">
        <f>COUNTIFS(总表!B:B,$AQ$1,总表!D:D,A26,总表!L:L,"&lt;&gt;",总表!E:E,$BA$3,总表!E:E,$BA$4)</f>
        <v>0</v>
      </c>
      <c r="AR26" s="238">
        <f>SUMIFS(总表!N:N,总表!B:B,$AQ$1,总表!D:D,A26,总表!E:E,$BA$3,总表!E:E,$BA$4)</f>
        <v>0</v>
      </c>
      <c r="AS26" s="237">
        <f>COUNTIFS(总表!B:B,$AS$1,总表!D:D,A26,总表!L:L,"&lt;&gt;",总表!E:E,$BA$3,总表!E:E,$BA$4)</f>
        <v>0</v>
      </c>
      <c r="AT26" s="238">
        <f>SUMIFS(总表!N:N,总表!B:B,$AS$1,总表!D:D,A26,总表!E:E,$BA$3,总表!E:E,$BA$4)</f>
        <v>0</v>
      </c>
      <c r="AU26" s="237">
        <f>COUNTIFS(总表!B:B,$AU$1,总表!D:D,A26,总表!L:L,"&lt;&gt;",总表!E:E,$BA$3,总表!E:E,$BA$4)</f>
        <v>0</v>
      </c>
      <c r="AV26" s="238">
        <f>SUMIFS(总表!N:N,总表!B:B,$AU$1,总表!D:D,A26,总表!E:E,$BA$3,总表!E:E,$BA$4)</f>
        <v>0</v>
      </c>
      <c r="AW26" s="242">
        <f>COUNTIFS(总表!B:B,$AW$1,总表!D:D,A26,总表!L:L,"&lt;&gt;",总表!E:E,$BA$3,总表!E:E,$BA$4)</f>
        <v>0</v>
      </c>
      <c r="AX26" s="242">
        <f>SUMIFS(总表!N:N,总表!B:B,$AW$1,总表!D:D,A26,总表!E:E,$BA$3,总表!E:E,$BA$4)</f>
        <v>0</v>
      </c>
      <c r="AY26" s="242">
        <f>COUNTIFS(总表!B:B,$AY$1,总表!D:D,A26,总表!L:L,"&lt;&gt;",总表!E:E,$BA$3,总表!E:E,$BA$4)</f>
        <v>0</v>
      </c>
      <c r="AZ26" s="242">
        <f>SUMIFS(总表!N:N,总表!B:B,$AY$1,总表!D:D,A26,总表!E:E,$BA$3,总表!E:E,$BA$4)</f>
        <v>0</v>
      </c>
      <c r="BB26" s="34">
        <f t="shared" si="4"/>
        <v>494686</v>
      </c>
      <c r="BC26" s="34">
        <f>C26</f>
        <v>46</v>
      </c>
      <c r="BD26" s="34">
        <f>D26</f>
        <v>481686</v>
      </c>
      <c r="BE26" s="244">
        <f t="shared" si="5"/>
        <v>10471.4347826087</v>
      </c>
      <c r="BF26" s="245">
        <f t="shared" si="6"/>
        <v>0.973720703638267</v>
      </c>
      <c r="BG26" s="34">
        <f>COUNTIFS(总表!D:D,A26,总表!L:L,"&lt;&gt;",总表!E:E,$BA$3,总表!E:E,$BA$4)-BC26</f>
        <v>0</v>
      </c>
      <c r="BH26" s="34">
        <f t="shared" si="7"/>
        <v>13000</v>
      </c>
    </row>
    <row r="27" ht="14" customHeight="1" spans="1:60">
      <c r="A27" s="14" t="s">
        <v>110</v>
      </c>
      <c r="B27" s="13" t="str">
        <f>VLOOKUP(A27,设计师对应店铺!A:B,COLUMN(设计师对应店铺!B:B)-COLUMN(设计师对应店铺!A:B)+1,0)</f>
        <v>喜盈门</v>
      </c>
      <c r="C27" s="237">
        <f>COUNTIFS(总表!B:B,$C$1,总表!D:D,A27,总表!L:L,"&lt;&gt;",总表!E:E,$BA$3,总表!E:E,$BA$4)</f>
        <v>0</v>
      </c>
      <c r="D27" s="238">
        <f>SUMIFS(总表!N:N,总表!B:B,$C$1,总表!D:D,A27,总表!E:E,$BA$3,总表!E:E,$BA$4)</f>
        <v>15482</v>
      </c>
      <c r="E27" s="237">
        <f>COUNTIFS(总表!B:B,$E$1,总表!D:D,A27,总表!L:L,"&lt;&gt;",总表!E:E,$BA$3,总表!E:E,$BA$4)</f>
        <v>0</v>
      </c>
      <c r="F27" s="238">
        <f>SUMIFS(总表!N:N,总表!B:B,$E$1,总表!D:D,A27,总表!E:E,$BA$3,总表!E:E,$BA$4)</f>
        <v>0</v>
      </c>
      <c r="G27" s="237">
        <f>COUNTIFS(总表!B:B,$G$1,总表!D:D,A27,总表!L:L,"&lt;&gt;",总表!E:E,$BA$3,总表!E:E,$BA$4)</f>
        <v>0</v>
      </c>
      <c r="H27" s="238">
        <f>SUMIFS(总表!N:N,总表!B:B,$G$1,总表!D:D,A27,总表!E:E,$BA$3,总表!E:E,$BA$4)</f>
        <v>0</v>
      </c>
      <c r="I27" s="237">
        <f>COUNTIFS(总表!B:B,$I$1,总表!D:D,A27,总表!L:L,"&lt;&gt;",总表!E:E,$BA$3,总表!E:E,$BA$4)</f>
        <v>2</v>
      </c>
      <c r="J27" s="238">
        <f>SUMIFS(总表!N:N,总表!B:B,$I$1,总表!D:D,A27,总表!E:E,$BA$3,总表!E:E,$BA$4)</f>
        <v>20595</v>
      </c>
      <c r="K27" s="237">
        <f>COUNTIFS(总表!B:B,$K$1,总表!D:D,A27,总表!L:L,"&lt;&gt;",总表!E:E,$BA$3,总表!E:E,$BA$4)</f>
        <v>0</v>
      </c>
      <c r="L27" s="238">
        <f>SUMIFS(总表!N:N,总表!B:B,$K$1,总表!D:D,A27,总表!E:E,$BA$3,总表!E:E,$BA$4)</f>
        <v>0</v>
      </c>
      <c r="M27" s="237">
        <f>COUNTIFS(总表!B:B,$M$1,总表!D:D,A27,总表!L:L,"&lt;&gt;",总表!E:E,$BA$3,总表!E:E,$BA$4)</f>
        <v>0</v>
      </c>
      <c r="N27" s="238">
        <f>SUMIFS(总表!N:N,总表!B:B,$M$1,总表!D:D,A27,总表!E:E,$BA$3,总表!E:E,$BA$4)</f>
        <v>0</v>
      </c>
      <c r="O27" s="237">
        <f>COUNTIFS(总表!B:B,$O$1,总表!D:D,A27,总表!L:L,"&lt;&gt;",总表!E:E,$BA$3,总表!E:E,$BA$4)</f>
        <v>0</v>
      </c>
      <c r="P27" s="238">
        <f>SUMIFS(总表!N:N,总表!B:B,$O$1,总表!D:D,A27,总表!E:E,$BA$3,总表!E:E,$BA$4)</f>
        <v>0</v>
      </c>
      <c r="Q27" s="239">
        <f>COUNTIFS(总表!B:B,$Q$1,总表!D:D,A27,总表!L:L,"&lt;&gt;",总表!E:E,$BA$3,总表!E:E,$BA$4)</f>
        <v>32</v>
      </c>
      <c r="R27" s="239">
        <f>SUMIFS(总表!N:N,总表!B:B,$Q$1,总表!D:D,A27,总表!E:E,$BA$3,总表!E:E,$BA$4)</f>
        <v>436784</v>
      </c>
      <c r="S27" s="237">
        <f>COUNTIFS(总表!B:B,$S$1,总表!D:D,A27,总表!L:L,"&lt;&gt;",总表!E:E,$BA$3,总表!E:E,$BA$4)</f>
        <v>0</v>
      </c>
      <c r="T27" s="238">
        <f>SUMIFS(总表!N:N,总表!B:B,$S$1,总表!D:D,A27,总表!E:E,$BA$3,总表!E:E,$BA$4)</f>
        <v>0</v>
      </c>
      <c r="U27" s="237">
        <f>COUNTIFS(总表!B:B,$U$1,总表!D:D,A27,总表!L:L,"&lt;&gt;",总表!E:E,$BA$3,总表!E:E,$BA$4)</f>
        <v>0</v>
      </c>
      <c r="V27" s="238">
        <f>SUMIFS(总表!N:N,总表!B:B,$U$1,总表!D:D,A27,总表!E:E,$BA$3,总表!E:E,$BA$4)</f>
        <v>0</v>
      </c>
      <c r="W27" s="237">
        <f>COUNTIFS(总表!B:B,$W$1,总表!D:D,A27,总表!L:L,"&lt;&gt;",总表!E:E,$BA$3,总表!E:E,$BA$4)</f>
        <v>0</v>
      </c>
      <c r="X27" s="238">
        <f>SUMIFS(总表!N:N,总表!B:B,$W$1,总表!D:D,A27,总表!E:E,$BA$3,总表!E:E,$BA$4)</f>
        <v>0</v>
      </c>
      <c r="Y27" s="237">
        <f>COUNTIFS(总表!B:B,$Y$1,总表!D:D,A27,总表!L:L,"&lt;&gt;",总表!E:E,$BA$3,总表!E:E,$BA$4)</f>
        <v>0</v>
      </c>
      <c r="Z27" s="238">
        <f>SUMIFS(总表!N:N,总表!B:B,$Y$1,总表!D:D,A27,总表!E:E,$BA$3,总表!E:E,$BA$4)</f>
        <v>0</v>
      </c>
      <c r="AA27" s="237">
        <f>COUNTIFS(总表!B:B,$AA$1,总表!D:D,A27,总表!L:L,"&lt;&gt;",总表!E:E,$BA$3,总表!E:E,$BA$4)</f>
        <v>0</v>
      </c>
      <c r="AB27" s="238">
        <f>SUMIFS(总表!N:N,总表!B:B,$AA$1,总表!D:D,A27,总表!E:E,$BA$3,总表!E:E,$BA$4)</f>
        <v>0</v>
      </c>
      <c r="AC27" s="237">
        <f>COUNTIFS(总表!B:B,$AC$1,总表!D:D,A27,总表!L:L,"&lt;&gt;",总表!E:E,$BA$3,总表!E:E,$BA$4)</f>
        <v>0</v>
      </c>
      <c r="AD27" s="238">
        <f>SUMIFS(总表!N:N,总表!B:B,$AC$1,总表!D:D,A27,总表!E:E,$BA$3,总表!E:E,$BA$4)</f>
        <v>0</v>
      </c>
      <c r="AE27" s="237">
        <f>COUNTIFS(总表!B:B,$AE$1,总表!D:D,A27,总表!L:L,"&lt;&gt;",总表!E:E,$BA$3,总表!E:E,$BA$4)</f>
        <v>0</v>
      </c>
      <c r="AF27" s="238">
        <f>SUMIFS(总表!N:N,总表!B:B,$AE$1,总表!D:D,A27,总表!E:E,$BA$3,总表!E:E,$BA$4)</f>
        <v>0</v>
      </c>
      <c r="AG27" s="237">
        <f>COUNTIFS(总表!B:B,$AG$1,总表!D:D,A27,总表!L:L,"&lt;&gt;",总表!E:E,$BA$3,总表!E:E,$BA$4)</f>
        <v>0</v>
      </c>
      <c r="AH27" s="238">
        <f>SUMIFS(总表!N:N,总表!B:B,$AG$1,总表!D:D,A27,总表!E:E,$BA$3,总表!E:E,$BA$4)</f>
        <v>0</v>
      </c>
      <c r="AI27" s="237">
        <f>COUNTIFS(总表!B:B,$AI$1,总表!D:D,A27,总表!L:L,"&lt;&gt;",总表!E:E,$BA$3,总表!E:E,$BA$4)</f>
        <v>0</v>
      </c>
      <c r="AJ27" s="238">
        <f>SUMIFS(总表!N:N,总表!B:B,AI$1,总表!D:D,A27,总表!E:E,$BA$3,总表!E:E,$BA$4)</f>
        <v>0</v>
      </c>
      <c r="AK27" s="237">
        <f>COUNTIFS(总表!B:B,$AK$1,总表!D:D,A27,总表!L:L,"&lt;&gt;",总表!E:E,$BA$3,总表!E:E,$BA$4)</f>
        <v>0</v>
      </c>
      <c r="AL27" s="238">
        <f>SUMIFS(总表!N:N,总表!B:B,$AK$1,总表!D:D,A27,总表!E:E,$BA$3,总表!E:E,$BA$4)</f>
        <v>0</v>
      </c>
      <c r="AM27" s="237">
        <f>COUNTIFS(总表!B:B,$AM$1,总表!D:D,A27,总表!L:L,"&lt;&gt;",总表!E:E,$BA$3,总表!E:E,$BA$4)</f>
        <v>0</v>
      </c>
      <c r="AN27" s="238">
        <f>SUMIFS(总表!N:N,总表!B:B,$AM$1,总表!D:D,A27,总表!E:E,$BA$3,总表!E:E,$BA$4)</f>
        <v>0</v>
      </c>
      <c r="AO27" s="237">
        <f>COUNTIFS(总表!B:B,$AO$1,总表!D:D,A27,总表!L:L,"&lt;&gt;",总表!E:E,$BA$3,总表!E:E,$BA$4)</f>
        <v>0</v>
      </c>
      <c r="AP27" s="238">
        <f>SUMIFS(总表!N:N,总表!B:B,$AO$1,总表!D:D,A27,总表!E:E,$BA$3,总表!E:E,$BA$4)</f>
        <v>0</v>
      </c>
      <c r="AQ27" s="237">
        <f>COUNTIFS(总表!B:B,$AQ$1,总表!D:D,A27,总表!L:L,"&lt;&gt;",总表!E:E,$BA$3,总表!E:E,$BA$4)</f>
        <v>0</v>
      </c>
      <c r="AR27" s="238">
        <f>SUMIFS(总表!N:N,总表!B:B,$AQ$1,总表!D:D,A27,总表!E:E,$BA$3,总表!E:E,$BA$4)</f>
        <v>0</v>
      </c>
      <c r="AS27" s="237">
        <f>COUNTIFS(总表!B:B,$AS$1,总表!D:D,A27,总表!L:L,"&lt;&gt;",总表!E:E,$BA$3,总表!E:E,$BA$4)</f>
        <v>0</v>
      </c>
      <c r="AT27" s="238">
        <f>SUMIFS(总表!N:N,总表!B:B,$AS$1,总表!D:D,A27,总表!E:E,$BA$3,总表!E:E,$BA$4)</f>
        <v>0</v>
      </c>
      <c r="AU27" s="237">
        <f>COUNTIFS(总表!B:B,$AU$1,总表!D:D,A27,总表!L:L,"&lt;&gt;",总表!E:E,$BA$3,总表!E:E,$BA$4)</f>
        <v>0</v>
      </c>
      <c r="AV27" s="238">
        <f>SUMIFS(总表!N:N,总表!B:B,$AU$1,总表!D:D,A27,总表!E:E,$BA$3,总表!E:E,$BA$4)</f>
        <v>0</v>
      </c>
      <c r="AW27" s="242">
        <f>COUNTIFS(总表!B:B,$AW$1,总表!D:D,A27,总表!L:L,"&lt;&gt;",总表!E:E,$BA$3,总表!E:E,$BA$4)</f>
        <v>0</v>
      </c>
      <c r="AX27" s="242">
        <f>SUMIFS(总表!N:N,总表!B:B,$AW$1,总表!D:D,A27,总表!E:E,$BA$3,总表!E:E,$BA$4)</f>
        <v>0</v>
      </c>
      <c r="AY27" s="242">
        <f>COUNTIFS(总表!B:B,$AY$1,总表!D:D,A27,总表!L:L,"&lt;&gt;",总表!E:E,$BA$3,总表!E:E,$BA$4)</f>
        <v>0</v>
      </c>
      <c r="AZ27" s="242">
        <f>SUMIFS(总表!N:N,总表!B:B,$AY$1,总表!D:D,A27,总表!E:E,$BA$3,总表!E:E,$BA$4)</f>
        <v>0</v>
      </c>
      <c r="BB27" s="34">
        <f t="shared" si="4"/>
        <v>472861</v>
      </c>
      <c r="BC27" s="34">
        <f>Q27</f>
        <v>32</v>
      </c>
      <c r="BD27" s="34">
        <f>R27</f>
        <v>436784</v>
      </c>
      <c r="BE27" s="244">
        <f t="shared" si="5"/>
        <v>13649.5</v>
      </c>
      <c r="BF27" s="245">
        <f t="shared" si="6"/>
        <v>0.92370485195438</v>
      </c>
      <c r="BG27" s="34">
        <f>COUNTIFS(总表!D:D,A27,总表!L:L,"&lt;&gt;",总表!E:E,$BA$3,总表!E:E,$BA$4)-BC27</f>
        <v>2</v>
      </c>
      <c r="BH27" s="34">
        <f t="shared" si="7"/>
        <v>36077</v>
      </c>
    </row>
    <row r="28" ht="16" customHeight="1" spans="1:60">
      <c r="A28" s="14" t="s">
        <v>155</v>
      </c>
      <c r="B28" s="13" t="str">
        <f>VLOOKUP(A28,设计师对应店铺!A:B,COLUMN(设计师对应店铺!B:B)-COLUMN(设计师对应店铺!A:B)+1,0)</f>
        <v>好饰家</v>
      </c>
      <c r="C28" s="237">
        <f>COUNTIFS(总表!B:B,$C$1,总表!D:D,A28,总表!L:L,"&lt;&gt;",总表!E:E,$BA$3,总表!E:E,$BA$4)</f>
        <v>0</v>
      </c>
      <c r="D28" s="238">
        <f>SUMIFS(总表!N:N,总表!B:B,$C$1,总表!D:D,A28,总表!E:E,$BA$3,总表!E:E,$BA$4)</f>
        <v>0</v>
      </c>
      <c r="E28" s="237">
        <f>COUNTIFS(总表!B:B,$E$1,总表!D:D,A28,总表!L:L,"&lt;&gt;",总表!E:E,$BA$3,总表!E:E,$BA$4)</f>
        <v>0</v>
      </c>
      <c r="F28" s="238">
        <f>SUMIFS(总表!N:N,总表!B:B,$E$1,总表!D:D,A28,总表!E:E,$BA$3,总表!E:E,$BA$4)</f>
        <v>0</v>
      </c>
      <c r="G28" s="237">
        <f>COUNTIFS(总表!B:B,$G$1,总表!D:D,A28,总表!L:L,"&lt;&gt;",总表!E:E,$BA$3,总表!E:E,$BA$4)</f>
        <v>0</v>
      </c>
      <c r="H28" s="238">
        <f>SUMIFS(总表!N:N,总表!B:B,$G$1,总表!D:D,A28,总表!E:E,$BA$3,总表!E:E,$BA$4)</f>
        <v>0</v>
      </c>
      <c r="I28" s="237">
        <f>COUNTIFS(总表!B:B,$I$1,总表!D:D,A28,总表!L:L,"&lt;&gt;",总表!E:E,$BA$3,总表!E:E,$BA$4)</f>
        <v>0</v>
      </c>
      <c r="J28" s="238">
        <f>SUMIFS(总表!N:N,总表!B:B,$I$1,总表!D:D,A28,总表!E:E,$BA$3,总表!E:E,$BA$4)</f>
        <v>0</v>
      </c>
      <c r="K28" s="237">
        <f>COUNTIFS(总表!B:B,$K$1,总表!D:D,A28,总表!L:L,"&lt;&gt;",总表!E:E,$BA$3,总表!E:E,$BA$4)</f>
        <v>0</v>
      </c>
      <c r="L28" s="238">
        <f>SUMIFS(总表!N:N,总表!B:B,$K$1,总表!D:D,A28,总表!E:E,$BA$3,总表!E:E,$BA$4)</f>
        <v>0</v>
      </c>
      <c r="M28" s="237">
        <f>COUNTIFS(总表!B:B,$M$1,总表!D:D,A28,总表!L:L,"&lt;&gt;",总表!E:E,$BA$3,总表!E:E,$BA$4)</f>
        <v>0</v>
      </c>
      <c r="N28" s="238">
        <f>SUMIFS(总表!N:N,总表!B:B,$M$1,总表!D:D,A28,总表!E:E,$BA$3,总表!E:E,$BA$4)</f>
        <v>0</v>
      </c>
      <c r="O28" s="237">
        <f>COUNTIFS(总表!B:B,$O$1,总表!D:D,A28,总表!L:L,"&lt;&gt;",总表!E:E,$BA$3,总表!E:E,$BA$4)</f>
        <v>0</v>
      </c>
      <c r="P28" s="238">
        <f>SUMIFS(总表!N:N,总表!B:B,$O$1,总表!D:D,A28,总表!E:E,$BA$3,总表!E:E,$BA$4)</f>
        <v>0</v>
      </c>
      <c r="Q28" s="237">
        <f>COUNTIFS(总表!B:B,$Q$1,总表!D:D,A28,总表!L:L,"&lt;&gt;",总表!E:E,$BA$3,总表!E:E,$BA$4)</f>
        <v>0</v>
      </c>
      <c r="R28" s="238">
        <f>SUMIFS(总表!N:N,总表!B:B,$Q$1,总表!D:D,A28,总表!E:E,$BA$3,总表!E:E,$BA$4)</f>
        <v>0</v>
      </c>
      <c r="S28" s="237">
        <f>COUNTIFS(总表!B:B,$S$1,总表!D:D,A28,总表!L:L,"&lt;&gt;",总表!E:E,$BA$3,总表!E:E,$BA$4)</f>
        <v>0</v>
      </c>
      <c r="T28" s="238">
        <f>SUMIFS(总表!N:N,总表!B:B,$S$1,总表!D:D,A28,总表!E:E,$BA$3,总表!E:E,$BA$4)</f>
        <v>0</v>
      </c>
      <c r="U28" s="239">
        <f>COUNTIFS(总表!B:B,$U$1,总表!D:D,A28,总表!L:L,"&lt;&gt;",总表!E:E,$BA$3,总表!E:E,$BA$4)</f>
        <v>17</v>
      </c>
      <c r="V28" s="239">
        <f>SUMIFS(总表!N:N,总表!B:B,$U$1,总表!D:D,A28,总表!E:E,$BA$3,总表!E:E,$BA$4)</f>
        <v>314334</v>
      </c>
      <c r="W28" s="237">
        <f>COUNTIFS(总表!B:B,$W$1,总表!D:D,A28,总表!L:L,"&lt;&gt;",总表!E:E,$BA$3,总表!E:E,$BA$4)</f>
        <v>0</v>
      </c>
      <c r="X28" s="238">
        <f>SUMIFS(总表!N:N,总表!B:B,$W$1,总表!D:D,A28,总表!E:E,$BA$3,总表!E:E,$BA$4)</f>
        <v>0</v>
      </c>
      <c r="Y28" s="237">
        <f>COUNTIFS(总表!B:B,$Y$1,总表!D:D,A28,总表!L:L,"&lt;&gt;",总表!E:E,$BA$3,总表!E:E,$BA$4)</f>
        <v>0</v>
      </c>
      <c r="Z28" s="238">
        <f>SUMIFS(总表!N:N,总表!B:B,$Y$1,总表!D:D,A28,总表!E:E,$BA$3,总表!E:E,$BA$4)</f>
        <v>0</v>
      </c>
      <c r="AA28" s="237">
        <f>COUNTIFS(总表!B:B,$AA$1,总表!D:D,A28,总表!L:L,"&lt;&gt;",总表!E:E,$BA$3,总表!E:E,$BA$4)</f>
        <v>0</v>
      </c>
      <c r="AB28" s="238">
        <f>SUMIFS(总表!N:N,总表!B:B,$AA$1,总表!D:D,A28,总表!E:E,$BA$3,总表!E:E,$BA$4)</f>
        <v>0</v>
      </c>
      <c r="AC28" s="237">
        <f>COUNTIFS(总表!B:B,$AC$1,总表!D:D,A28,总表!L:L,"&lt;&gt;",总表!E:E,$BA$3,总表!E:E,$BA$4)</f>
        <v>0</v>
      </c>
      <c r="AD28" s="238">
        <f>SUMIFS(总表!N:N,总表!B:B,$AC$1,总表!D:D,A28,总表!E:E,$BA$3,总表!E:E,$BA$4)</f>
        <v>0</v>
      </c>
      <c r="AE28" s="237">
        <f>COUNTIFS(总表!B:B,$AE$1,总表!D:D,A28,总表!L:L,"&lt;&gt;",总表!E:E,$BA$3,总表!E:E,$BA$4)</f>
        <v>1</v>
      </c>
      <c r="AF28" s="238">
        <f>SUMIFS(总表!N:N,总表!B:B,$AE$1,总表!D:D,A28,总表!E:E,$BA$3,总表!E:E,$BA$4)</f>
        <v>4563</v>
      </c>
      <c r="AG28" s="237">
        <f>COUNTIFS(总表!B:B,$AG$1,总表!D:D,A28,总表!L:L,"&lt;&gt;",总表!E:E,$BA$3,总表!E:E,$BA$4)</f>
        <v>0</v>
      </c>
      <c r="AH28" s="238">
        <f>SUMIFS(总表!N:N,总表!B:B,$AG$1,总表!D:D,A28,总表!E:E,$BA$3,总表!E:E,$BA$4)</f>
        <v>0</v>
      </c>
      <c r="AI28" s="237">
        <f>COUNTIFS(总表!B:B,$AI$1,总表!D:D,A28,总表!L:L,"&lt;&gt;",总表!E:E,$BA$3,总表!E:E,$BA$4)</f>
        <v>0</v>
      </c>
      <c r="AJ28" s="238">
        <f>SUMIFS(总表!N:N,总表!B:B,AI$1,总表!D:D,A28,总表!E:E,$BA$3,总表!E:E,$BA$4)</f>
        <v>0</v>
      </c>
      <c r="AK28" s="237">
        <f>COUNTIFS(总表!B:B,$AK$1,总表!D:D,A28,总表!L:L,"&lt;&gt;",总表!E:E,$BA$3,总表!E:E,$BA$4)</f>
        <v>0</v>
      </c>
      <c r="AL28" s="238">
        <f>SUMIFS(总表!N:N,总表!B:B,$AK$1,总表!D:D,A28,总表!E:E,$BA$3,总表!E:E,$BA$4)</f>
        <v>0</v>
      </c>
      <c r="AM28" s="237">
        <f>COUNTIFS(总表!B:B,$AM$1,总表!D:D,A28,总表!L:L,"&lt;&gt;",总表!E:E,$BA$3,总表!E:E,$BA$4)</f>
        <v>0</v>
      </c>
      <c r="AN28" s="238">
        <f>SUMIFS(总表!N:N,总表!B:B,$AM$1,总表!D:D,A28,总表!E:E,$BA$3,总表!E:E,$BA$4)</f>
        <v>0</v>
      </c>
      <c r="AO28" s="237">
        <f>COUNTIFS(总表!B:B,$AO$1,总表!D:D,A28,总表!L:L,"&lt;&gt;",总表!E:E,$BA$3,总表!E:E,$BA$4)</f>
        <v>0</v>
      </c>
      <c r="AP28" s="238">
        <f>SUMIFS(总表!N:N,总表!B:B,$AO$1,总表!D:D,A28,总表!E:E,$BA$3,总表!E:E,$BA$4)</f>
        <v>0</v>
      </c>
      <c r="AQ28" s="237">
        <f>COUNTIFS(总表!B:B,$AQ$1,总表!D:D,A28,总表!L:L,"&lt;&gt;",总表!E:E,$BA$3,总表!E:E,$BA$4)</f>
        <v>0</v>
      </c>
      <c r="AR28" s="238">
        <f>SUMIFS(总表!N:N,总表!B:B,$AQ$1,总表!D:D,A28,总表!E:E,$BA$3,总表!E:E,$BA$4)</f>
        <v>0</v>
      </c>
      <c r="AS28" s="237">
        <f>COUNTIFS(总表!B:B,$AS$1,总表!D:D,A28,总表!L:L,"&lt;&gt;",总表!E:E,$BA$3,总表!E:E,$BA$4)</f>
        <v>0</v>
      </c>
      <c r="AT28" s="238">
        <f>SUMIFS(总表!N:N,总表!B:B,$AS$1,总表!D:D,A28,总表!E:E,$BA$3,总表!E:E,$BA$4)</f>
        <v>0</v>
      </c>
      <c r="AU28" s="237">
        <f>COUNTIFS(总表!B:B,$AU$1,总表!D:D,A28,总表!L:L,"&lt;&gt;",总表!E:E,$BA$3,总表!E:E,$BA$4)</f>
        <v>0</v>
      </c>
      <c r="AV28" s="238">
        <f>SUMIFS(总表!N:N,总表!B:B,$AU$1,总表!D:D,A28,总表!E:E,$BA$3,总表!E:E,$BA$4)</f>
        <v>0</v>
      </c>
      <c r="AW28" s="242">
        <f>COUNTIFS(总表!B:B,$AW$1,总表!D:D,A28,总表!L:L,"&lt;&gt;",总表!E:E,$BA$3,总表!E:E,$BA$4)</f>
        <v>0</v>
      </c>
      <c r="AX28" s="242">
        <f>SUMIFS(总表!N:N,总表!B:B,$AW$1,总表!D:D,A28,总表!E:E,$BA$3,总表!E:E,$BA$4)</f>
        <v>0</v>
      </c>
      <c r="AY28" s="242">
        <f>COUNTIFS(总表!B:B,$AY$1,总表!D:D,A28,总表!L:L,"&lt;&gt;",总表!E:E,$BA$3,总表!E:E,$BA$4)</f>
        <v>0</v>
      </c>
      <c r="AZ28" s="242">
        <f>SUMIFS(总表!N:N,总表!B:B,$AY$1,总表!D:D,A28,总表!E:E,$BA$3,总表!E:E,$BA$4)</f>
        <v>0</v>
      </c>
      <c r="BB28" s="34">
        <f t="shared" si="4"/>
        <v>318897</v>
      </c>
      <c r="BC28" s="34">
        <f>U28</f>
        <v>17</v>
      </c>
      <c r="BD28" s="34">
        <f>V28</f>
        <v>314334</v>
      </c>
      <c r="BE28" s="244">
        <f t="shared" si="5"/>
        <v>18490.2352941176</v>
      </c>
      <c r="BF28" s="245">
        <f t="shared" si="6"/>
        <v>0.985691304715943</v>
      </c>
      <c r="BG28" s="34">
        <f>COUNTIFS(总表!D:D,A28,总表!L:L,"&lt;&gt;",总表!E:E,$BA$3,总表!E:E,$BA$4)-BC28</f>
        <v>1</v>
      </c>
      <c r="BH28" s="34">
        <f t="shared" si="7"/>
        <v>4563</v>
      </c>
    </row>
    <row r="29" ht="16" customHeight="1" spans="1:60">
      <c r="A29" s="14" t="s">
        <v>1436</v>
      </c>
      <c r="B29" s="13" t="str">
        <f>VLOOKUP(A29,设计师对应店铺!A:B,COLUMN(设计师对应店铺!B:B)-COLUMN(设计师对应店铺!A:B)+1,0)</f>
        <v>沪南店</v>
      </c>
      <c r="C29" s="237">
        <f>COUNTIFS(总表!B:B,$C$1,总表!D:D,A29,总表!L:L,"&lt;&gt;",总表!E:E,$BA$3,总表!E:E,$BA$4)</f>
        <v>1</v>
      </c>
      <c r="D29" s="238">
        <f>SUMIFS(总表!N:N,总表!B:B,$C$1,总表!D:D,A29,总表!E:E,$BA$3,总表!E:E,$BA$4)</f>
        <v>12737</v>
      </c>
      <c r="E29" s="237">
        <f>COUNTIFS(总表!B:B,$E$1,总表!D:D,A29,总表!L:L,"&lt;&gt;",总表!E:E,$BA$3,总表!E:E,$BA$4)</f>
        <v>0</v>
      </c>
      <c r="F29" s="238">
        <f>SUMIFS(总表!N:N,总表!B:B,$E$1,总表!D:D,A29,总表!E:E,$BA$3,总表!E:E,$BA$4)</f>
        <v>0</v>
      </c>
      <c r="G29" s="237">
        <f>COUNTIFS(总表!B:B,$G$1,总表!D:D,A29,总表!L:L,"&lt;&gt;",总表!E:E,$BA$3,总表!E:E,$BA$4)</f>
        <v>0</v>
      </c>
      <c r="H29" s="238">
        <f>SUMIFS(总表!N:N,总表!B:B,$G$1,总表!D:D,A29,总表!E:E,$BA$3,总表!E:E,$BA$4)</f>
        <v>0</v>
      </c>
      <c r="I29" s="237">
        <f>COUNTIFS(总表!B:B,$I$1,总表!D:D,A29,总表!L:L,"&lt;&gt;",总表!E:E,$BA$3,总表!E:E,$BA$4)</f>
        <v>0</v>
      </c>
      <c r="J29" s="238">
        <f>SUMIFS(总表!N:N,总表!B:B,$I$1,总表!D:D,A29,总表!E:E,$BA$3,总表!E:E,$BA$4)</f>
        <v>0</v>
      </c>
      <c r="K29" s="237">
        <f>COUNTIFS(总表!B:B,$K$1,总表!D:D,A29,总表!L:L,"&lt;&gt;",总表!E:E,$BA$3,总表!E:E,$BA$4)</f>
        <v>0</v>
      </c>
      <c r="L29" s="238">
        <f>SUMIFS(总表!N:N,总表!B:B,$K$1,总表!D:D,A29,总表!E:E,$BA$3,总表!E:E,$BA$4)</f>
        <v>0</v>
      </c>
      <c r="M29" s="237">
        <f>COUNTIFS(总表!B:B,$M$1,总表!D:D,A29,总表!L:L,"&lt;&gt;",总表!E:E,$BA$3,总表!E:E,$BA$4)</f>
        <v>0</v>
      </c>
      <c r="N29" s="238">
        <f>SUMIFS(总表!N:N,总表!B:B,$M$1,总表!D:D,A29,总表!E:E,$BA$3,总表!E:E,$BA$4)</f>
        <v>0</v>
      </c>
      <c r="O29" s="237">
        <f>COUNTIFS(总表!B:B,$O$1,总表!D:D,A29,总表!L:L,"&lt;&gt;",总表!E:E,$BA$3,总表!E:E,$BA$4)</f>
        <v>0</v>
      </c>
      <c r="P29" s="238">
        <f>SUMIFS(总表!N:N,总表!B:B,$O$1,总表!D:D,A29,总表!E:E,$BA$3,总表!E:E,$BA$4)</f>
        <v>0</v>
      </c>
      <c r="Q29" s="237">
        <f>COUNTIFS(总表!B:B,$Q$1,总表!D:D,A29,总表!L:L,"&lt;&gt;",总表!E:E,$BA$3,总表!E:E,$BA$4)</f>
        <v>0</v>
      </c>
      <c r="R29" s="238">
        <f>SUMIFS(总表!N:N,总表!B:B,$Q$1,总表!D:D,A29,总表!E:E,$BA$3,总表!E:E,$BA$4)</f>
        <v>0</v>
      </c>
      <c r="S29" s="237">
        <f>COUNTIFS(总表!B:B,$S$1,总表!D:D,A29,总表!L:L,"&lt;&gt;",总表!E:E,$BA$3,总表!E:E,$BA$4)</f>
        <v>0</v>
      </c>
      <c r="T29" s="238">
        <f>SUMIFS(总表!N:N,总表!B:B,$S$1,总表!D:D,A29,总表!E:E,$BA$3,总表!E:E,$BA$4)</f>
        <v>0</v>
      </c>
      <c r="U29" s="237">
        <f>COUNTIFS(总表!B:B,$U$1,总表!D:D,A29,总表!L:L,"&lt;&gt;",总表!E:E,$BA$3,总表!E:E,$BA$4)</f>
        <v>0</v>
      </c>
      <c r="V29" s="238">
        <f>SUMIFS(总表!N:N,总表!B:B,$U$1,总表!D:D,A29,总表!E:E,$BA$3,总表!E:E,$BA$4)</f>
        <v>0</v>
      </c>
      <c r="W29" s="237">
        <f>COUNTIFS(总表!B:B,$W$1,总表!D:D,A29,总表!L:L,"&lt;&gt;",总表!E:E,$BA$3,总表!E:E,$BA$4)</f>
        <v>0</v>
      </c>
      <c r="X29" s="238">
        <f>SUMIFS(总表!N:N,总表!B:B,$W$1,总表!D:D,A29,总表!E:E,$BA$3,总表!E:E,$BA$4)</f>
        <v>0</v>
      </c>
      <c r="Y29" s="239">
        <f>COUNTIFS(总表!B:B,$Y$1,总表!D:D,A29,总表!L:L,"&lt;&gt;",总表!E:E,$BA$3,总表!E:E,$BA$4)</f>
        <v>17</v>
      </c>
      <c r="Z29" s="239">
        <f>SUMIFS(总表!N:N,总表!B:B,$Y$1,总表!D:D,A29,总表!E:E,$BA$3,总表!E:E,$BA$4)</f>
        <v>263065</v>
      </c>
      <c r="AA29" s="237">
        <f>COUNTIFS(总表!B:B,$AA$1,总表!D:D,A29,总表!L:L,"&lt;&gt;",总表!E:E,$BA$3,总表!E:E,$BA$4)</f>
        <v>0</v>
      </c>
      <c r="AB29" s="238">
        <f>SUMIFS(总表!N:N,总表!B:B,$AA$1,总表!D:D,A29,总表!E:E,$BA$3,总表!E:E,$BA$4)</f>
        <v>0</v>
      </c>
      <c r="AC29" s="237">
        <f>COUNTIFS(总表!B:B,$AC$1,总表!D:D,A29,总表!L:L,"&lt;&gt;",总表!E:E,$BA$3,总表!E:E,$BA$4)</f>
        <v>0</v>
      </c>
      <c r="AD29" s="238">
        <f>SUMIFS(总表!N:N,总表!B:B,$AC$1,总表!D:D,A29,总表!E:E,$BA$3,总表!E:E,$BA$4)</f>
        <v>0</v>
      </c>
      <c r="AE29" s="237">
        <f>COUNTIFS(总表!B:B,$AE$1,总表!D:D,A29,总表!L:L,"&lt;&gt;",总表!E:E,$BA$3,总表!E:E,$BA$4)</f>
        <v>0</v>
      </c>
      <c r="AF29" s="238">
        <f>SUMIFS(总表!N:N,总表!B:B,$AE$1,总表!D:D,A29,总表!E:E,$BA$3,总表!E:E,$BA$4)</f>
        <v>0</v>
      </c>
      <c r="AG29" s="237">
        <f>COUNTIFS(总表!B:B,$AG$1,总表!D:D,A29,总表!L:L,"&lt;&gt;",总表!E:E,$BA$3,总表!E:E,$BA$4)</f>
        <v>0</v>
      </c>
      <c r="AH29" s="238">
        <f>SUMIFS(总表!N:N,总表!B:B,$AG$1,总表!D:D,A29,总表!E:E,$BA$3,总表!E:E,$BA$4)</f>
        <v>0</v>
      </c>
      <c r="AI29" s="237">
        <f>COUNTIFS(总表!B:B,$AI$1,总表!D:D,A29,总表!L:L,"&lt;&gt;",总表!E:E,$BA$3,总表!E:E,$BA$4)</f>
        <v>0</v>
      </c>
      <c r="AJ29" s="238">
        <f>SUMIFS(总表!N:N,总表!B:B,AI$1,总表!D:D,A29,总表!E:E,$BA$3,总表!E:E,$BA$4)</f>
        <v>0</v>
      </c>
      <c r="AK29" s="237">
        <f>COUNTIFS(总表!B:B,$AK$1,总表!D:D,A29,总表!L:L,"&lt;&gt;",总表!E:E,$BA$3,总表!E:E,$BA$4)</f>
        <v>0</v>
      </c>
      <c r="AL29" s="238">
        <f>SUMIFS(总表!N:N,总表!B:B,$AK$1,总表!D:D,A29,总表!E:E,$BA$3,总表!E:E,$BA$4)</f>
        <v>0</v>
      </c>
      <c r="AM29" s="237">
        <f>COUNTIFS(总表!B:B,$AM$1,总表!D:D,A29,总表!L:L,"&lt;&gt;",总表!E:E,$BA$3,总表!E:E,$BA$4)</f>
        <v>0</v>
      </c>
      <c r="AN29" s="238">
        <f>SUMIFS(总表!N:N,总表!B:B,$AM$1,总表!D:D,A29,总表!E:E,$BA$3,总表!E:E,$BA$4)</f>
        <v>0</v>
      </c>
      <c r="AO29" s="237">
        <f>COUNTIFS(总表!B:B,$AO$1,总表!D:D,A29,总表!L:L,"&lt;&gt;",总表!E:E,$BA$3,总表!E:E,$BA$4)</f>
        <v>0</v>
      </c>
      <c r="AP29" s="238">
        <f>SUMIFS(总表!N:N,总表!B:B,$AO$1,总表!D:D,A29,总表!E:E,$BA$3,总表!E:E,$BA$4)</f>
        <v>0</v>
      </c>
      <c r="AQ29" s="237">
        <f>COUNTIFS(总表!B:B,$AQ$1,总表!D:D,A29,总表!L:L,"&lt;&gt;",总表!E:E,$BA$3,总表!E:E,$BA$4)</f>
        <v>0</v>
      </c>
      <c r="AR29" s="238">
        <f>SUMIFS(总表!N:N,总表!B:B,$AQ$1,总表!D:D,A29,总表!E:E,$BA$3,总表!E:E,$BA$4)</f>
        <v>0</v>
      </c>
      <c r="AS29" s="237">
        <f>COUNTIFS(总表!B:B,$AS$1,总表!D:D,A29,总表!L:L,"&lt;&gt;",总表!E:E,$BA$3,总表!E:E,$BA$4)</f>
        <v>0</v>
      </c>
      <c r="AT29" s="238">
        <f>SUMIFS(总表!N:N,总表!B:B,$AS$1,总表!D:D,A29,总表!E:E,$BA$3,总表!E:E,$BA$4)</f>
        <v>0</v>
      </c>
      <c r="AU29" s="237">
        <f>COUNTIFS(总表!B:B,$AU$1,总表!D:D,A29,总表!L:L,"&lt;&gt;",总表!E:E,$BA$3,总表!E:E,$BA$4)</f>
        <v>0</v>
      </c>
      <c r="AV29" s="238">
        <f>SUMIFS(总表!N:N,总表!B:B,$AU$1,总表!D:D,A29,总表!E:E,$BA$3,总表!E:E,$BA$4)</f>
        <v>0</v>
      </c>
      <c r="AW29" s="242">
        <f>COUNTIFS(总表!B:B,$AW$1,总表!D:D,A29,总表!L:L,"&lt;&gt;",总表!E:E,$BA$3,总表!E:E,$BA$4)</f>
        <v>0</v>
      </c>
      <c r="AX29" s="242">
        <f>SUMIFS(总表!N:N,总表!B:B,$AW$1,总表!D:D,A29,总表!E:E,$BA$3,总表!E:E,$BA$4)</f>
        <v>0</v>
      </c>
      <c r="AY29" s="242">
        <f>COUNTIFS(总表!B:B,$AY$1,总表!D:D,A29,总表!L:L,"&lt;&gt;",总表!E:E,$BA$3,总表!E:E,$BA$4)</f>
        <v>0</v>
      </c>
      <c r="AZ29" s="242">
        <f>SUMIFS(总表!N:N,总表!B:B,$AY$1,总表!D:D,A29,总表!E:E,$BA$3,总表!E:E,$BA$4)</f>
        <v>0</v>
      </c>
      <c r="BB29" s="34">
        <f t="shared" si="4"/>
        <v>275802</v>
      </c>
      <c r="BC29" s="34">
        <f>Y29</f>
        <v>17</v>
      </c>
      <c r="BD29" s="34">
        <f>Z29</f>
        <v>263065</v>
      </c>
      <c r="BE29" s="244">
        <f t="shared" ref="BE29:BE35" si="8">BD29/BC29</f>
        <v>15474.4117647059</v>
      </c>
      <c r="BF29" s="245">
        <f t="shared" si="6"/>
        <v>0.953818318938949</v>
      </c>
      <c r="BG29" s="34">
        <f>COUNTIFS(总表!D:D,A29,总表!L:L,"&lt;&gt;",总表!E:E,$BA$3,总表!E:E,$BA$4)-BC29</f>
        <v>1</v>
      </c>
      <c r="BH29" s="34">
        <f t="shared" ref="BH29:BH35" si="9">BB29-BD29</f>
        <v>12737</v>
      </c>
    </row>
    <row r="30" spans="1:60">
      <c r="A30" s="14" t="s">
        <v>2302</v>
      </c>
      <c r="B30" s="13" t="str">
        <f>VLOOKUP(A30,设计师对应店铺!A:B,COLUMN(设计师对应店铺!B:B)-COLUMN(设计师对应店铺!A:B)+1,0)</f>
        <v>沪南店</v>
      </c>
      <c r="C30" s="237">
        <f>COUNTIFS(总表!B:B,$C$1,总表!D:D,A30,总表!L:L,"&lt;&gt;",总表!E:E,$BA$3,总表!E:E,$BA$4)</f>
        <v>0</v>
      </c>
      <c r="D30" s="238">
        <f>SUMIFS(总表!N:N,总表!B:B,$C$1,总表!D:D,A30,总表!E:E,$BA$3,总表!E:E,$BA$4)</f>
        <v>0</v>
      </c>
      <c r="E30" s="237">
        <f>COUNTIFS(总表!B:B,$E$1,总表!D:D,A30,总表!L:L,"&lt;&gt;",总表!E:E,$BA$3,总表!E:E,$BA$4)</f>
        <v>0</v>
      </c>
      <c r="F30" s="238">
        <f>SUMIFS(总表!N:N,总表!B:B,$E$1,总表!D:D,A30,总表!E:E,$BA$3,总表!E:E,$BA$4)</f>
        <v>0</v>
      </c>
      <c r="G30" s="237">
        <f>COUNTIFS(总表!B:B,$G$1,总表!D:D,A30,总表!L:L,"&lt;&gt;",总表!E:E,$BA$3,总表!E:E,$BA$4)</f>
        <v>0</v>
      </c>
      <c r="H30" s="238">
        <f>SUMIFS(总表!N:N,总表!B:B,$G$1,总表!D:D,A30,总表!E:E,$BA$3,总表!E:E,$BA$4)</f>
        <v>0</v>
      </c>
      <c r="I30" s="237">
        <f>COUNTIFS(总表!B:B,$I$1,总表!D:D,A30,总表!L:L,"&lt;&gt;",总表!E:E,$BA$3,总表!E:E,$BA$4)</f>
        <v>0</v>
      </c>
      <c r="J30" s="238">
        <f>SUMIFS(总表!N:N,总表!B:B,$I$1,总表!D:D,A30,总表!E:E,$BA$3,总表!E:E,$BA$4)</f>
        <v>0</v>
      </c>
      <c r="K30" s="237">
        <f>COUNTIFS(总表!B:B,$K$1,总表!D:D,A30,总表!L:L,"&lt;&gt;",总表!E:E,$BA$3,总表!E:E,$BA$4)</f>
        <v>0</v>
      </c>
      <c r="L30" s="238">
        <f>SUMIFS(总表!N:N,总表!B:B,$K$1,总表!D:D,A30,总表!E:E,$BA$3,总表!E:E,$BA$4)</f>
        <v>0</v>
      </c>
      <c r="M30" s="237">
        <f>COUNTIFS(总表!B:B,$M$1,总表!D:D,A30,总表!L:L,"&lt;&gt;",总表!E:E,$BA$3,总表!E:E,$BA$4)</f>
        <v>0</v>
      </c>
      <c r="N30" s="238">
        <f>SUMIFS(总表!N:N,总表!B:B,$M$1,总表!D:D,A30,总表!E:E,$BA$3,总表!E:E,$BA$4)</f>
        <v>0</v>
      </c>
      <c r="O30" s="237">
        <f>COUNTIFS(总表!B:B,$O$1,总表!D:D,A30,总表!L:L,"&lt;&gt;",总表!E:E,$BA$3,总表!E:E,$BA$4)</f>
        <v>0</v>
      </c>
      <c r="P30" s="238">
        <f>SUMIFS(总表!N:N,总表!B:B,$O$1,总表!D:D,A30,总表!E:E,$BA$3,总表!E:E,$BA$4)</f>
        <v>0</v>
      </c>
      <c r="Q30" s="237">
        <f>COUNTIFS(总表!B:B,$Q$1,总表!D:D,A30,总表!L:L,"&lt;&gt;",总表!E:E,$BA$3,总表!E:E,$BA$4)</f>
        <v>0</v>
      </c>
      <c r="R30" s="238">
        <f>SUMIFS(总表!N:N,总表!B:B,$Q$1,总表!D:D,A30,总表!E:E,$BA$3,总表!E:E,$BA$4)</f>
        <v>0</v>
      </c>
      <c r="S30" s="237">
        <f>COUNTIFS(总表!B:B,$S$1,总表!D:D,A30,总表!L:L,"&lt;&gt;",总表!E:E,$BA$3,总表!E:E,$BA$4)</f>
        <v>0</v>
      </c>
      <c r="T30" s="238">
        <f>SUMIFS(总表!N:N,总表!B:B,$S$1,总表!D:D,A30,总表!E:E,$BA$3,总表!E:E,$BA$4)</f>
        <v>0</v>
      </c>
      <c r="U30" s="237">
        <f>COUNTIFS(总表!B:B,$U$1,总表!D:D,A30,总表!L:L,"&lt;&gt;",总表!E:E,$BA$3,总表!E:E,$BA$4)</f>
        <v>0</v>
      </c>
      <c r="V30" s="238">
        <f>SUMIFS(总表!N:N,总表!B:B,$U$1,总表!D:D,A30,总表!E:E,$BA$3,总表!E:E,$BA$4)</f>
        <v>0</v>
      </c>
      <c r="W30" s="237">
        <f>COUNTIFS(总表!B:B,$W$1,总表!D:D,A30,总表!L:L,"&lt;&gt;",总表!E:E,$BA$3,总表!E:E,$BA$4)</f>
        <v>0</v>
      </c>
      <c r="X30" s="238">
        <f>SUMIFS(总表!N:N,总表!B:B,$W$1,总表!D:D,A30,总表!E:E,$BA$3,总表!E:E,$BA$4)</f>
        <v>0</v>
      </c>
      <c r="Y30" s="239">
        <f>COUNTIFS(总表!B:B,$Y$1,总表!D:D,A30,总表!L:L,"&lt;&gt;",总表!E:E,$BA$3,总表!E:E,$BA$4)</f>
        <v>23</v>
      </c>
      <c r="Z30" s="239">
        <f>SUMIFS(总表!N:N,总表!B:B,$Y$1,总表!D:D,A30,总表!E:E,$BA$3,总表!E:E,$BA$4)</f>
        <v>319181</v>
      </c>
      <c r="AA30" s="237">
        <f>COUNTIFS(总表!B:B,$AA$1,总表!D:D,A30,总表!L:L,"&lt;&gt;",总表!E:E,$BA$3,总表!E:E,$BA$4)</f>
        <v>1</v>
      </c>
      <c r="AB30" s="238">
        <f>SUMIFS(总表!N:N,总表!B:B,$AA$1,总表!D:D,A30,总表!E:E,$BA$3,总表!E:E,$BA$4)</f>
        <v>27500</v>
      </c>
      <c r="AC30" s="237">
        <f>COUNTIFS(总表!B:B,$AC$1,总表!D:D,A30,总表!L:L,"&lt;&gt;",总表!E:E,$BA$3,总表!E:E,$BA$4)</f>
        <v>0</v>
      </c>
      <c r="AD30" s="238">
        <f>SUMIFS(总表!N:N,总表!B:B,$AC$1,总表!D:D,A30,总表!E:E,$BA$3,总表!E:E,$BA$4)</f>
        <v>0</v>
      </c>
      <c r="AE30" s="237">
        <f>COUNTIFS(总表!B:B,$AE$1,总表!D:D,A30,总表!L:L,"&lt;&gt;",总表!E:E,$BA$3,总表!E:E,$BA$4)</f>
        <v>0</v>
      </c>
      <c r="AF30" s="238">
        <f>SUMIFS(总表!N:N,总表!B:B,$AE$1,总表!D:D,A30,总表!E:E,$BA$3,总表!E:E,$BA$4)</f>
        <v>0</v>
      </c>
      <c r="AG30" s="237">
        <f>COUNTIFS(总表!B:B,$AG$1,总表!D:D,A30,总表!L:L,"&lt;&gt;",总表!E:E,$BA$3,总表!E:E,$BA$4)</f>
        <v>0</v>
      </c>
      <c r="AH30" s="238">
        <f>SUMIFS(总表!N:N,总表!B:B,$AG$1,总表!D:D,A30,总表!E:E,$BA$3,总表!E:E,$BA$4)</f>
        <v>0</v>
      </c>
      <c r="AI30" s="237">
        <f>COUNTIFS(总表!B:B,$AI$1,总表!D:D,A30,总表!L:L,"&lt;&gt;",总表!E:E,$BA$3,总表!E:E,$BA$4)</f>
        <v>0</v>
      </c>
      <c r="AJ30" s="238">
        <f>SUMIFS(总表!N:N,总表!B:B,AI$1,总表!D:D,A30,总表!E:E,$BA$3,总表!E:E,$BA$4)</f>
        <v>0</v>
      </c>
      <c r="AK30" s="237">
        <f>COUNTIFS(总表!B:B,$AK$1,总表!D:D,A30,总表!L:L,"&lt;&gt;",总表!E:E,$BA$3,总表!E:E,$BA$4)</f>
        <v>0</v>
      </c>
      <c r="AL30" s="238">
        <f>SUMIFS(总表!N:N,总表!B:B,$AK$1,总表!D:D,A30,总表!E:E,$BA$3,总表!E:E,$BA$4)</f>
        <v>0</v>
      </c>
      <c r="AM30" s="237">
        <f>COUNTIFS(总表!B:B,$AM$1,总表!D:D,A30,总表!L:L,"&lt;&gt;",总表!E:E,$BA$3,总表!E:E,$BA$4)</f>
        <v>0</v>
      </c>
      <c r="AN30" s="238">
        <f>SUMIFS(总表!N:N,总表!B:B,$AM$1,总表!D:D,A30,总表!E:E,$BA$3,总表!E:E,$BA$4)</f>
        <v>0</v>
      </c>
      <c r="AO30" s="237">
        <f>COUNTIFS(总表!B:B,$AO$1,总表!D:D,A30,总表!L:L,"&lt;&gt;",总表!E:E,$BA$3,总表!E:E,$BA$4)</f>
        <v>0</v>
      </c>
      <c r="AP30" s="238">
        <f>SUMIFS(总表!N:N,总表!B:B,$AO$1,总表!D:D,A30,总表!E:E,$BA$3,总表!E:E,$BA$4)</f>
        <v>0</v>
      </c>
      <c r="AQ30" s="237">
        <f>COUNTIFS(总表!B:B,$AQ$1,总表!D:D,A30,总表!L:L,"&lt;&gt;",总表!E:E,$BA$3,总表!E:E,$BA$4)</f>
        <v>0</v>
      </c>
      <c r="AR30" s="238">
        <f>SUMIFS(总表!N:N,总表!B:B,$AQ$1,总表!D:D,A30,总表!E:E,$BA$3,总表!E:E,$BA$4)</f>
        <v>0</v>
      </c>
      <c r="AS30" s="237">
        <f>COUNTIFS(总表!B:B,$AS$1,总表!D:D,A30,总表!L:L,"&lt;&gt;",总表!E:E,$BA$3,总表!E:E,$BA$4)</f>
        <v>0</v>
      </c>
      <c r="AT30" s="238">
        <f>SUMIFS(总表!N:N,总表!B:B,$AS$1,总表!D:D,A30,总表!E:E,$BA$3,总表!E:E,$BA$4)</f>
        <v>0</v>
      </c>
      <c r="AU30" s="237">
        <f>COUNTIFS(总表!B:B,$AU$1,总表!D:D,A30,总表!L:L,"&lt;&gt;",总表!E:E,$BA$3,总表!E:E,$BA$4)</f>
        <v>0</v>
      </c>
      <c r="AV30" s="238">
        <f>SUMIFS(总表!N:N,总表!B:B,$AU$1,总表!D:D,A30,总表!E:E,$BA$3,总表!E:E,$BA$4)</f>
        <v>0</v>
      </c>
      <c r="AW30" s="242">
        <f>COUNTIFS(总表!B:B,$AW$1,总表!D:D,A30,总表!L:L,"&lt;&gt;",总表!E:E,$BA$3,总表!E:E,$BA$4)</f>
        <v>0</v>
      </c>
      <c r="AX30" s="242">
        <f>SUMIFS(总表!N:N,总表!B:B,$AW$1,总表!D:D,A30,总表!E:E,$BA$3,总表!E:E,$BA$4)</f>
        <v>0</v>
      </c>
      <c r="AY30" s="242">
        <f>COUNTIFS(总表!B:B,$AY$1,总表!D:D,A30,总表!L:L,"&lt;&gt;",总表!E:E,$BA$3,总表!E:E,$BA$4)</f>
        <v>0</v>
      </c>
      <c r="AZ30" s="242">
        <f>SUMIFS(总表!N:N,总表!B:B,$AY$1,总表!D:D,A30,总表!E:E,$BA$3,总表!E:E,$BA$4)</f>
        <v>0</v>
      </c>
      <c r="BB30" s="34">
        <f t="shared" si="4"/>
        <v>346681</v>
      </c>
      <c r="BC30" s="34">
        <f>Y30</f>
        <v>23</v>
      </c>
      <c r="BD30" s="34">
        <f>Z30</f>
        <v>319181</v>
      </c>
      <c r="BE30" s="244">
        <f t="shared" si="8"/>
        <v>13877.4347826087</v>
      </c>
      <c r="BF30" s="245">
        <f t="shared" si="6"/>
        <v>0.920676356650639</v>
      </c>
      <c r="BG30" s="34">
        <f>COUNTIFS(总表!D:D,A30,总表!L:L,"&lt;&gt;",总表!E:E,$BA$3,总表!E:E,$BA$4)-BC30</f>
        <v>1</v>
      </c>
      <c r="BH30" s="34">
        <f t="shared" si="9"/>
        <v>27500</v>
      </c>
    </row>
    <row r="31" spans="1:60">
      <c r="A31" s="14" t="s">
        <v>149</v>
      </c>
      <c r="B31" s="13" t="str">
        <f>VLOOKUP(A31,设计师对应店铺!A:B,COLUMN(设计师对应店铺!B:B)-COLUMN(设计师对应店铺!A:B)+1,0)</f>
        <v>百安居</v>
      </c>
      <c r="C31" s="239">
        <f>COUNTIFS(总表!B:B,$C$1,总表!D:D,A31,总表!L:L,"&lt;&gt;",总表!E:E,$BA$3,总表!E:E,$BA$4)</f>
        <v>6</v>
      </c>
      <c r="D31" s="239">
        <f>SUMIFS(总表!N:N,总表!B:B,$C$1,总表!D:D,A31,总表!E:E,$BA$3,总表!E:E,$BA$4)</f>
        <v>67646.52</v>
      </c>
      <c r="E31" s="237">
        <f>COUNTIFS(总表!B:B,$E$1,总表!D:D,A31,总表!L:L,"&lt;&gt;",总表!E:E,$BA$3,总表!E:E,$BA$4)</f>
        <v>11</v>
      </c>
      <c r="F31" s="238">
        <f>SUMIFS(总表!N:N,总表!B:B,$E$1,总表!D:D,A31,总表!E:E,$BA$3,总表!E:E,$BA$4)</f>
        <v>85287</v>
      </c>
      <c r="G31" s="237">
        <f>COUNTIFS(总表!B:B,$G$1,总表!D:D,A31,总表!L:L,"&lt;&gt;",总表!E:E,$BA$3,总表!E:E,$BA$4)</f>
        <v>0</v>
      </c>
      <c r="H31" s="238">
        <f>SUMIFS(总表!N:N,总表!B:B,$G$1,总表!D:D,A31,总表!E:E,$BA$3,总表!E:E,$BA$4)</f>
        <v>0</v>
      </c>
      <c r="I31" s="237">
        <f>COUNTIFS(总表!B:B,$I$1,总表!D:D,A31,总表!L:L,"&lt;&gt;",总表!E:E,$BA$3,总表!E:E,$BA$4)</f>
        <v>0</v>
      </c>
      <c r="J31" s="238">
        <f>SUMIFS(总表!N:N,总表!B:B,$I$1,总表!D:D,A31,总表!E:E,$BA$3,总表!E:E,$BA$4)</f>
        <v>0</v>
      </c>
      <c r="K31" s="237">
        <f>COUNTIFS(总表!B:B,$K$1,总表!D:D,A31,总表!L:L,"&lt;&gt;",总表!E:E,$BA$3,总表!E:E,$BA$4)</f>
        <v>0</v>
      </c>
      <c r="L31" s="238">
        <f>SUMIFS(总表!N:N,总表!B:B,$K$1,总表!D:D,A31,总表!E:E,$BA$3,总表!E:E,$BA$4)</f>
        <v>0</v>
      </c>
      <c r="M31" s="237">
        <f>COUNTIFS(总表!B:B,$M$1,总表!D:D,A31,总表!L:L,"&lt;&gt;",总表!E:E,$BA$3,总表!E:E,$BA$4)</f>
        <v>0</v>
      </c>
      <c r="N31" s="238">
        <f>SUMIFS(总表!N:N,总表!B:B,$M$1,总表!D:D,A31,总表!E:E,$BA$3,总表!E:E,$BA$4)</f>
        <v>0</v>
      </c>
      <c r="O31" s="237">
        <f>COUNTIFS(总表!B:B,$O$1,总表!D:D,A31,总表!L:L,"&lt;&gt;",总表!E:E,$BA$3,总表!E:E,$BA$4)</f>
        <v>0</v>
      </c>
      <c r="P31" s="238">
        <f>SUMIFS(总表!N:N,总表!B:B,$O$1,总表!D:D,A31,总表!E:E,$BA$3,总表!E:E,$BA$4)</f>
        <v>0</v>
      </c>
      <c r="Q31" s="237">
        <f>COUNTIFS(总表!B:B,$Q$1,总表!D:D,A31,总表!L:L,"&lt;&gt;",总表!E:E,$BA$3,总表!E:E,$BA$4)</f>
        <v>0</v>
      </c>
      <c r="R31" s="238">
        <f>SUMIFS(总表!N:N,总表!B:B,$Q$1,总表!D:D,A31,总表!E:E,$BA$3,总表!E:E,$BA$4)</f>
        <v>0</v>
      </c>
      <c r="S31" s="237">
        <f>COUNTIFS(总表!B:B,$S$1,总表!D:D,A31,总表!L:L,"&lt;&gt;",总表!E:E,$BA$3,总表!E:E,$BA$4)</f>
        <v>0</v>
      </c>
      <c r="T31" s="238">
        <f>SUMIFS(总表!N:N,总表!B:B,$S$1,总表!D:D,A31,总表!E:E,$BA$3,总表!E:E,$BA$4)</f>
        <v>0</v>
      </c>
      <c r="U31" s="237">
        <f>COUNTIFS(总表!B:B,$U$1,总表!D:D,A31,总表!L:L,"&lt;&gt;",总表!E:E,$BA$3,总表!E:E,$BA$4)</f>
        <v>0</v>
      </c>
      <c r="V31" s="238">
        <f>SUMIFS(总表!N:N,总表!B:B,$U$1,总表!D:D,A31,总表!E:E,$BA$3,总表!E:E,$BA$4)</f>
        <v>0</v>
      </c>
      <c r="W31" s="237">
        <f>COUNTIFS(总表!B:B,$W$1,总表!D:D,A31,总表!L:L,"&lt;&gt;",总表!E:E,$BA$3,总表!E:E,$BA$4)</f>
        <v>0</v>
      </c>
      <c r="X31" s="238">
        <f>SUMIFS(总表!N:N,总表!B:B,$W$1,总表!D:D,A31,总表!E:E,$BA$3,总表!E:E,$BA$4)</f>
        <v>0</v>
      </c>
      <c r="Y31" s="237">
        <f>COUNTIFS(总表!B:B,$Y$1,总表!D:D,A31,总表!L:L,"&lt;&gt;",总表!E:E,$BA$3,总表!E:E,$BA$4)</f>
        <v>0</v>
      </c>
      <c r="Z31" s="238">
        <f>SUMIFS(总表!N:N,总表!B:B,$Y$1,总表!D:D,A31,总表!E:E,$BA$3,总表!E:E,$BA$4)</f>
        <v>0</v>
      </c>
      <c r="AA31" s="237">
        <f>COUNTIFS(总表!B:B,$AA$1,总表!D:D,A31,总表!L:L,"&lt;&gt;",总表!E:E,$BA$3,总表!E:E,$BA$4)</f>
        <v>0</v>
      </c>
      <c r="AB31" s="238">
        <f>SUMIFS(总表!N:N,总表!B:B,$AA$1,总表!D:D,A31,总表!E:E,$BA$3,总表!E:E,$BA$4)</f>
        <v>0</v>
      </c>
      <c r="AC31" s="237">
        <f>COUNTIFS(总表!B:B,$AC$1,总表!D:D,A31,总表!L:L,"&lt;&gt;",总表!E:E,$BA$3,总表!E:E,$BA$4)</f>
        <v>0</v>
      </c>
      <c r="AD31" s="238">
        <f>SUMIFS(总表!N:N,总表!B:B,$AC$1,总表!D:D,A31,总表!E:E,$BA$3,总表!E:E,$BA$4)</f>
        <v>0</v>
      </c>
      <c r="AE31" s="237">
        <f>COUNTIFS(总表!B:B,$AE$1,总表!D:D,A31,总表!L:L,"&lt;&gt;",总表!E:E,$BA$3,总表!E:E,$BA$4)</f>
        <v>0</v>
      </c>
      <c r="AF31" s="238">
        <f>SUMIFS(总表!N:N,总表!B:B,$AE$1,总表!D:D,A31,总表!E:E,$BA$3,总表!E:E,$BA$4)</f>
        <v>0</v>
      </c>
      <c r="AG31" s="237">
        <f>COUNTIFS(总表!B:B,$AG$1,总表!D:D,A31,总表!L:L,"&lt;&gt;",总表!E:E,$BA$3,总表!E:E,$BA$4)</f>
        <v>0</v>
      </c>
      <c r="AH31" s="238">
        <f>SUMIFS(总表!N:N,总表!B:B,$AG$1,总表!D:D,A31,总表!E:E,$BA$3,总表!E:E,$BA$4)</f>
        <v>0</v>
      </c>
      <c r="AI31" s="237">
        <f>COUNTIFS(总表!B:B,$AI$1,总表!D:D,A31,总表!L:L,"&lt;&gt;",总表!E:E,$BA$3,总表!E:E,$BA$4)</f>
        <v>0</v>
      </c>
      <c r="AJ31" s="238">
        <f>SUMIFS(总表!N:N,总表!B:B,AI$1,总表!D:D,A31,总表!E:E,$BA$3,总表!E:E,$BA$4)</f>
        <v>0</v>
      </c>
      <c r="AK31" s="237">
        <f>COUNTIFS(总表!B:B,$AK$1,总表!D:D,A31,总表!L:L,"&lt;&gt;",总表!E:E,$BA$3,总表!E:E,$BA$4)</f>
        <v>0</v>
      </c>
      <c r="AL31" s="238">
        <f>SUMIFS(总表!N:N,总表!B:B,$AK$1,总表!D:D,A31,总表!E:E,$BA$3,总表!E:E,$BA$4)</f>
        <v>0</v>
      </c>
      <c r="AM31" s="237">
        <f>COUNTIFS(总表!B:B,$AM$1,总表!D:D,A31,总表!L:L,"&lt;&gt;",总表!E:E,$BA$3,总表!E:E,$BA$4)</f>
        <v>0</v>
      </c>
      <c r="AN31" s="238">
        <f>SUMIFS(总表!N:N,总表!B:B,$AM$1,总表!D:D,A31,总表!E:E,$BA$3,总表!E:E,$BA$4)</f>
        <v>0</v>
      </c>
      <c r="AO31" s="237">
        <f>COUNTIFS(总表!B:B,$AO$1,总表!D:D,A31,总表!L:L,"&lt;&gt;",总表!E:E,$BA$3,总表!E:E,$BA$4)</f>
        <v>0</v>
      </c>
      <c r="AP31" s="238">
        <f>SUMIFS(总表!N:N,总表!B:B,$AO$1,总表!D:D,A31,总表!E:E,$BA$3,总表!E:E,$BA$4)</f>
        <v>0</v>
      </c>
      <c r="AQ31" s="237">
        <f>COUNTIFS(总表!B:B,$AQ$1,总表!D:D,A31,总表!L:L,"&lt;&gt;",总表!E:E,$BA$3,总表!E:E,$BA$4)</f>
        <v>0</v>
      </c>
      <c r="AR31" s="238">
        <f>SUMIFS(总表!N:N,总表!B:B,$AQ$1,总表!D:D,A31,总表!E:E,$BA$3,总表!E:E,$BA$4)</f>
        <v>0</v>
      </c>
      <c r="AS31" s="237">
        <f>COUNTIFS(总表!B:B,$AS$1,总表!D:D,A31,总表!L:L,"&lt;&gt;",总表!E:E,$BA$3,总表!E:E,$BA$4)</f>
        <v>0</v>
      </c>
      <c r="AT31" s="238">
        <f>SUMIFS(总表!N:N,总表!B:B,$AS$1,总表!D:D,A31,总表!E:E,$BA$3,总表!E:E,$BA$4)</f>
        <v>0</v>
      </c>
      <c r="AU31" s="237">
        <f>COUNTIFS(总表!B:B,$AU$1,总表!D:D,A31,总表!L:L,"&lt;&gt;",总表!E:E,$BA$3,总表!E:E,$BA$4)</f>
        <v>0</v>
      </c>
      <c r="AV31" s="238">
        <f>SUMIFS(总表!N:N,总表!B:B,$AU$1,总表!D:D,A31,总表!E:E,$BA$3,总表!E:E,$BA$4)</f>
        <v>0</v>
      </c>
      <c r="AW31" s="242">
        <f>COUNTIFS(总表!B:B,$AW$1,总表!D:D,A31,总表!L:L,"&lt;&gt;",总表!E:E,$BA$3,总表!E:E,$BA$4)</f>
        <v>0</v>
      </c>
      <c r="AX31" s="242">
        <f>SUMIFS(总表!N:N,总表!B:B,$AW$1,总表!D:D,A31,总表!E:E,$BA$3,总表!E:E,$BA$4)</f>
        <v>0</v>
      </c>
      <c r="AY31" s="242">
        <f>COUNTIFS(总表!B:B,$AY$1,总表!D:D,A31,总表!L:L,"&lt;&gt;",总表!E:E,$BA$3,总表!E:E,$BA$4)</f>
        <v>0</v>
      </c>
      <c r="AZ31" s="242">
        <f>SUMIFS(总表!N:N,总表!B:B,$AY$1,总表!D:D,A31,总表!E:E,$BA$3,总表!E:E,$BA$4)</f>
        <v>0</v>
      </c>
      <c r="BB31" s="34">
        <f t="shared" si="4"/>
        <v>152933.52</v>
      </c>
      <c r="BC31" s="34">
        <f>C31</f>
        <v>6</v>
      </c>
      <c r="BD31" s="34">
        <f>D31</f>
        <v>67646.52</v>
      </c>
      <c r="BE31" s="244">
        <f t="shared" si="8"/>
        <v>11274.42</v>
      </c>
      <c r="BF31" s="245">
        <f t="shared" si="6"/>
        <v>0.442326312766488</v>
      </c>
      <c r="BG31" s="34">
        <f>COUNTIFS(总表!D:D,A31,总表!L:L,"&lt;&gt;",总表!E:E,$BA$3,总表!E:E,$BA$4)-BC31</f>
        <v>11</v>
      </c>
      <c r="BH31" s="34">
        <f t="shared" si="9"/>
        <v>85287</v>
      </c>
    </row>
    <row r="32" spans="1:60">
      <c r="A32" s="14" t="s">
        <v>427</v>
      </c>
      <c r="B32" s="13" t="str">
        <f>VLOOKUP(A32,设计师对应店铺!A:B,COLUMN(设计师对应店铺!B:B)-COLUMN(设计师对应店铺!A:B)+1,0)</f>
        <v>百家宜</v>
      </c>
      <c r="C32" s="237">
        <f>COUNTIFS(总表!B:B,$C$1,总表!D:D,A32,总表!L:L,"&lt;&gt;",总表!E:E,$BA$3,总表!E:E,$BA$4)</f>
        <v>0</v>
      </c>
      <c r="D32" s="238">
        <f>SUMIFS(总表!N:N,总表!B:B,$C$1,总表!D:D,A32,总表!E:E,$BA$3,总表!E:E,$BA$4)</f>
        <v>0</v>
      </c>
      <c r="E32" s="237">
        <f>COUNTIFS(总表!B:B,$E$1,总表!D:D,A32,总表!L:L,"&lt;&gt;",总表!E:E,$BA$3,总表!E:E,$BA$4)</f>
        <v>0</v>
      </c>
      <c r="F32" s="238">
        <f>SUMIFS(总表!N:N,总表!B:B,$E$1,总表!D:D,A32,总表!E:E,$BA$3,总表!E:E,$BA$4)</f>
        <v>0</v>
      </c>
      <c r="G32" s="237">
        <f>COUNTIFS(总表!B:B,$G$1,总表!D:D,A32,总表!L:L,"&lt;&gt;",总表!E:E,$BA$3,总表!E:E,$BA$4)</f>
        <v>0</v>
      </c>
      <c r="H32" s="238">
        <f>SUMIFS(总表!N:N,总表!B:B,$G$1,总表!D:D,A32,总表!E:E,$BA$3,总表!E:E,$BA$4)</f>
        <v>0</v>
      </c>
      <c r="I32" s="237">
        <f>COUNTIFS(总表!B:B,$I$1,总表!D:D,A32,总表!L:L,"&lt;&gt;",总表!E:E,$BA$3,总表!E:E,$BA$4)</f>
        <v>0</v>
      </c>
      <c r="J32" s="238">
        <f>SUMIFS(总表!N:N,总表!B:B,$I$1,总表!D:D,A32,总表!E:E,$BA$3,总表!E:E,$BA$4)</f>
        <v>0</v>
      </c>
      <c r="K32" s="237">
        <f>COUNTIFS(总表!B:B,$K$1,总表!D:D,A32,总表!L:L,"&lt;&gt;",总表!E:E,$BA$3,总表!E:E,$BA$4)</f>
        <v>0</v>
      </c>
      <c r="L32" s="238">
        <f>SUMIFS(总表!N:N,总表!B:B,$K$1,总表!D:D,A32,总表!E:E,$BA$3,总表!E:E,$BA$4)</f>
        <v>0</v>
      </c>
      <c r="M32" s="237">
        <f>COUNTIFS(总表!B:B,$M$1,总表!D:D,A32,总表!L:L,"&lt;&gt;",总表!E:E,$BA$3,总表!E:E,$BA$4)</f>
        <v>0</v>
      </c>
      <c r="N32" s="238">
        <f>SUMIFS(总表!N:N,总表!B:B,$M$1,总表!D:D,A32,总表!E:E,$BA$3,总表!E:E,$BA$4)</f>
        <v>0</v>
      </c>
      <c r="O32" s="239">
        <f>COUNTIFS(总表!B:B,$O$1,总表!D:D,A32,总表!L:L,"&lt;&gt;",总表!E:E,$BA$3,总表!E:E,$BA$4)</f>
        <v>6</v>
      </c>
      <c r="P32" s="239">
        <f>SUMIFS(总表!N:N,总表!B:B,$O$1,总表!D:D,A32,总表!E:E,$BA$3,总表!E:E,$BA$4)</f>
        <v>80429</v>
      </c>
      <c r="Q32" s="237">
        <f>COUNTIFS(总表!B:B,$Q$1,总表!D:D,A32,总表!L:L,"&lt;&gt;",总表!E:E,$BA$3,总表!E:E,$BA$4)</f>
        <v>0</v>
      </c>
      <c r="R32" s="238">
        <f>SUMIFS(总表!N:N,总表!B:B,$Q$1,总表!D:D,A32,总表!E:E,$BA$3,总表!E:E,$BA$4)</f>
        <v>0</v>
      </c>
      <c r="S32" s="237">
        <f>COUNTIFS(总表!B:B,$S$1,总表!D:D,A32,总表!L:L,"&lt;&gt;",总表!E:E,$BA$3,总表!E:E,$BA$4)</f>
        <v>0</v>
      </c>
      <c r="T32" s="238">
        <f>SUMIFS(总表!N:N,总表!B:B,$S$1,总表!D:D,A32,总表!E:E,$BA$3,总表!E:E,$BA$4)</f>
        <v>0</v>
      </c>
      <c r="U32" s="237">
        <f>COUNTIFS(总表!B:B,$U$1,总表!D:D,A32,总表!L:L,"&lt;&gt;",总表!E:E,$BA$3,总表!E:E,$BA$4)</f>
        <v>0</v>
      </c>
      <c r="V32" s="238">
        <f>SUMIFS(总表!N:N,总表!B:B,$U$1,总表!D:D,A32,总表!E:E,$BA$3,总表!E:E,$BA$4)</f>
        <v>0</v>
      </c>
      <c r="W32" s="237">
        <f>COUNTIFS(总表!B:B,$W$1,总表!D:D,A32,总表!L:L,"&lt;&gt;",总表!E:E,$BA$3,总表!E:E,$BA$4)</f>
        <v>0</v>
      </c>
      <c r="X32" s="238">
        <f>SUMIFS(总表!N:N,总表!B:B,$W$1,总表!D:D,A32,总表!E:E,$BA$3,总表!E:E,$BA$4)</f>
        <v>1300</v>
      </c>
      <c r="Y32" s="237">
        <f>COUNTIFS(总表!B:B,$Y$1,总表!D:D,A32,总表!L:L,"&lt;&gt;",总表!E:E,$BA$3,总表!E:E,$BA$4)</f>
        <v>0</v>
      </c>
      <c r="Z32" s="238">
        <f>SUMIFS(总表!N:N,总表!B:B,$Y$1,总表!D:D,A32,总表!E:E,$BA$3,总表!E:E,$BA$4)</f>
        <v>0</v>
      </c>
      <c r="AA32" s="237">
        <f>COUNTIFS(总表!B:B,$AA$1,总表!D:D,A32,总表!L:L,"&lt;&gt;",总表!E:E,$BA$3,总表!E:E,$BA$4)</f>
        <v>0</v>
      </c>
      <c r="AB32" s="238">
        <f>SUMIFS(总表!N:N,总表!B:B,$AA$1,总表!D:D,A32,总表!E:E,$BA$3,总表!E:E,$BA$4)</f>
        <v>0</v>
      </c>
      <c r="AC32" s="237">
        <f>COUNTIFS(总表!B:B,$AC$1,总表!D:D,A32,总表!L:L,"&lt;&gt;",总表!E:E,$BA$3,总表!E:E,$BA$4)</f>
        <v>0</v>
      </c>
      <c r="AD32" s="238">
        <f>SUMIFS(总表!N:N,总表!B:B,$AC$1,总表!D:D,A32,总表!E:E,$BA$3,总表!E:E,$BA$4)</f>
        <v>0</v>
      </c>
      <c r="AE32" s="237">
        <f>COUNTIFS(总表!B:B,$AE$1,总表!D:D,A32,总表!L:L,"&lt;&gt;",总表!E:E,$BA$3,总表!E:E,$BA$4)</f>
        <v>0</v>
      </c>
      <c r="AF32" s="238">
        <f>SUMIFS(总表!N:N,总表!B:B,$AE$1,总表!D:D,A32,总表!E:E,$BA$3,总表!E:E,$BA$4)</f>
        <v>0</v>
      </c>
      <c r="AG32" s="237">
        <f>COUNTIFS(总表!B:B,$AG$1,总表!D:D,A32,总表!L:L,"&lt;&gt;",总表!E:E,$BA$3,总表!E:E,$BA$4)</f>
        <v>2</v>
      </c>
      <c r="AH32" s="238">
        <f>SUMIFS(总表!N:N,总表!B:B,$AG$1,总表!D:D,A32,总表!E:E,$BA$3,总表!E:E,$BA$4)</f>
        <v>63564</v>
      </c>
      <c r="AI32" s="237">
        <f>COUNTIFS(总表!B:B,$AI$1,总表!D:D,A32,总表!L:L,"&lt;&gt;",总表!E:E,$BA$3,总表!E:E,$BA$4)</f>
        <v>0</v>
      </c>
      <c r="AJ32" s="238">
        <f>SUMIFS(总表!N:N,总表!B:B,AI$1,总表!D:D,A32,总表!E:E,$BA$3,总表!E:E,$BA$4)</f>
        <v>0</v>
      </c>
      <c r="AK32" s="237">
        <f>COUNTIFS(总表!B:B,$AK$1,总表!D:D,A32,总表!L:L,"&lt;&gt;",总表!E:E,$BA$3,总表!E:E,$BA$4)</f>
        <v>0</v>
      </c>
      <c r="AL32" s="238">
        <f>SUMIFS(总表!N:N,总表!B:B,$AK$1,总表!D:D,A32,总表!E:E,$BA$3,总表!E:E,$BA$4)</f>
        <v>0</v>
      </c>
      <c r="AM32" s="237">
        <f>COUNTIFS(总表!B:B,$AM$1,总表!D:D,A32,总表!L:L,"&lt;&gt;",总表!E:E,$BA$3,总表!E:E,$BA$4)</f>
        <v>0</v>
      </c>
      <c r="AN32" s="238">
        <f>SUMIFS(总表!N:N,总表!B:B,$AM$1,总表!D:D,A32,总表!E:E,$BA$3,总表!E:E,$BA$4)</f>
        <v>0</v>
      </c>
      <c r="AO32" s="237">
        <f>COUNTIFS(总表!B:B,$AO$1,总表!D:D,A32,总表!L:L,"&lt;&gt;",总表!E:E,$BA$3,总表!E:E,$BA$4)</f>
        <v>0</v>
      </c>
      <c r="AP32" s="238">
        <f>SUMIFS(总表!N:N,总表!B:B,$AO$1,总表!D:D,A32,总表!E:E,$BA$3,总表!E:E,$BA$4)</f>
        <v>0</v>
      </c>
      <c r="AQ32" s="237">
        <f>COUNTIFS(总表!B:B,$AQ$1,总表!D:D,A32,总表!L:L,"&lt;&gt;",总表!E:E,$BA$3,总表!E:E,$BA$4)</f>
        <v>0</v>
      </c>
      <c r="AR32" s="238">
        <f>SUMIFS(总表!N:N,总表!B:B,$AQ$1,总表!D:D,A32,总表!E:E,$BA$3,总表!E:E,$BA$4)</f>
        <v>0</v>
      </c>
      <c r="AS32" s="237">
        <f>COUNTIFS(总表!B:B,$AS$1,总表!D:D,A32,总表!L:L,"&lt;&gt;",总表!E:E,$BA$3,总表!E:E,$BA$4)</f>
        <v>0</v>
      </c>
      <c r="AT32" s="238">
        <f>SUMIFS(总表!N:N,总表!B:B,$AS$1,总表!D:D,A32,总表!E:E,$BA$3,总表!E:E,$BA$4)</f>
        <v>0</v>
      </c>
      <c r="AU32" s="237">
        <f>COUNTIFS(总表!B:B,$AU$1,总表!D:D,A32,总表!L:L,"&lt;&gt;",总表!E:E,$BA$3,总表!E:E,$BA$4)</f>
        <v>0</v>
      </c>
      <c r="AV32" s="238">
        <f>SUMIFS(总表!N:N,总表!B:B,$AU$1,总表!D:D,A32,总表!E:E,$BA$3,总表!E:E,$BA$4)</f>
        <v>0</v>
      </c>
      <c r="AW32" s="242">
        <f>COUNTIFS(总表!B:B,$AW$1,总表!D:D,A32,总表!L:L,"&lt;&gt;",总表!E:E,$BA$3,总表!E:E,$BA$4)</f>
        <v>0</v>
      </c>
      <c r="AX32" s="242">
        <f>SUMIFS(总表!N:N,总表!B:B,$AW$1,总表!D:D,A32,总表!E:E,$BA$3,总表!E:E,$BA$4)</f>
        <v>0</v>
      </c>
      <c r="AY32" s="242">
        <f>COUNTIFS(总表!B:B,$AY$1,总表!D:D,A32,总表!L:L,"&lt;&gt;",总表!E:E,$BA$3,总表!E:E,$BA$4)</f>
        <v>0</v>
      </c>
      <c r="AZ32" s="242">
        <f>SUMIFS(总表!N:N,总表!B:B,$AY$1,总表!D:D,A32,总表!E:E,$BA$3,总表!E:E,$BA$4)</f>
        <v>0</v>
      </c>
      <c r="BB32" s="34">
        <f t="shared" si="4"/>
        <v>145293</v>
      </c>
      <c r="BC32" s="34">
        <f>O32</f>
        <v>6</v>
      </c>
      <c r="BD32" s="34">
        <f>P32</f>
        <v>80429</v>
      </c>
      <c r="BE32" s="244">
        <f t="shared" si="8"/>
        <v>13404.8333333333</v>
      </c>
      <c r="BF32" s="245">
        <f t="shared" si="6"/>
        <v>0.553564177214319</v>
      </c>
      <c r="BG32" s="34">
        <f>COUNTIFS(总表!D:D,A32,总表!L:L,"&lt;&gt;",总表!E:E,$BA$3,总表!E:E,$BA$4)-BC32</f>
        <v>2</v>
      </c>
      <c r="BH32" s="34">
        <f t="shared" si="9"/>
        <v>64864</v>
      </c>
    </row>
    <row r="33" spans="1:60">
      <c r="A33" s="14" t="s">
        <v>407</v>
      </c>
      <c r="B33" s="13" t="str">
        <f>VLOOKUP(A33,设计师对应店铺!A:B,COLUMN(设计师对应店铺!B:B)-COLUMN(设计师对应店铺!A:B)+1,0)</f>
        <v>嘉定店</v>
      </c>
      <c r="C33" s="237">
        <f>COUNTIFS(总表!B:B,$C$1,总表!D:D,A33,总表!L:L,"&lt;&gt;",总表!E:E,$BA$3,总表!E:E,$BA$4)</f>
        <v>0</v>
      </c>
      <c r="D33" s="238">
        <f>SUMIFS(总表!N:N,总表!B:B,$C$1,总表!D:D,A33,总表!E:E,$BA$3,总表!E:E,$BA$4)</f>
        <v>0</v>
      </c>
      <c r="E33" s="237">
        <f>COUNTIFS(总表!B:B,$E$1,总表!D:D,A33,总表!L:L,"&lt;&gt;",总表!E:E,$BA$3,总表!E:E,$BA$4)</f>
        <v>0</v>
      </c>
      <c r="F33" s="238">
        <f>SUMIFS(总表!N:N,总表!B:B,$E$1,总表!D:D,A33,总表!E:E,$BA$3,总表!E:E,$BA$4)</f>
        <v>0</v>
      </c>
      <c r="G33" s="237">
        <f>COUNTIFS(总表!B:B,$G$1,总表!D:D,A33,总表!L:L,"&lt;&gt;",总表!E:E,$BA$3,总表!E:E,$BA$4)</f>
        <v>0</v>
      </c>
      <c r="H33" s="238">
        <f>SUMIFS(总表!N:N,总表!B:B,$G$1,总表!D:D,A33,总表!E:E,$BA$3,总表!E:E,$BA$4)</f>
        <v>0</v>
      </c>
      <c r="I33" s="237">
        <f>COUNTIFS(总表!B:B,$I$1,总表!D:D,A33,总表!L:L,"&lt;&gt;",总表!E:E,$BA$3,总表!E:E,$BA$4)</f>
        <v>0</v>
      </c>
      <c r="J33" s="238">
        <f>SUMIFS(总表!N:N,总表!B:B,$I$1,总表!D:D,A33,总表!E:E,$BA$3,总表!E:E,$BA$4)</f>
        <v>0</v>
      </c>
      <c r="K33" s="239">
        <f>COUNTIFS(总表!B:B,$K$1,总表!D:D,A33,总表!L:L,"&lt;&gt;",总表!E:E,$BA$3,总表!E:E,$BA$4)</f>
        <v>10</v>
      </c>
      <c r="L33" s="239">
        <f>SUMIFS(总表!N:N,总表!B:B,$K$1,总表!D:D,A33,总表!E:E,$BA$3,总表!E:E,$BA$4)</f>
        <v>390027</v>
      </c>
      <c r="M33" s="237">
        <f>COUNTIFS(总表!B:B,$M$1,总表!D:D,A33,总表!L:L,"&lt;&gt;",总表!E:E,$BA$3,总表!E:E,$BA$4)</f>
        <v>0</v>
      </c>
      <c r="N33" s="238">
        <f>SUMIFS(总表!N:N,总表!B:B,$M$1,总表!D:D,A33,总表!E:E,$BA$3,总表!E:E,$BA$4)</f>
        <v>0</v>
      </c>
      <c r="O33" s="237">
        <f>COUNTIFS(总表!B:B,$O$1,总表!D:D,A33,总表!L:L,"&lt;&gt;",总表!E:E,$BA$3,总表!E:E,$BA$4)</f>
        <v>0</v>
      </c>
      <c r="P33" s="238">
        <f>SUMIFS(总表!N:N,总表!B:B,$O$1,总表!D:D,A33,总表!E:E,$BA$3,总表!E:E,$BA$4)</f>
        <v>0</v>
      </c>
      <c r="Q33" s="237">
        <f>COUNTIFS(总表!B:B,$Q$1,总表!D:D,A33,总表!L:L,"&lt;&gt;",总表!E:E,$BA$3,总表!E:E,$BA$4)</f>
        <v>0</v>
      </c>
      <c r="R33" s="238">
        <f>SUMIFS(总表!N:N,总表!B:B,$Q$1,总表!D:D,A33,总表!E:E,$BA$3,总表!E:E,$BA$4)</f>
        <v>0</v>
      </c>
      <c r="S33" s="237">
        <f>COUNTIFS(总表!B:B,$S$1,总表!D:D,A33,总表!L:L,"&lt;&gt;",总表!E:E,$BA$3,总表!E:E,$BA$4)</f>
        <v>0</v>
      </c>
      <c r="T33" s="238">
        <f>SUMIFS(总表!N:N,总表!B:B,$S$1,总表!D:D,A33,总表!E:E,$BA$3,总表!E:E,$BA$4)</f>
        <v>0</v>
      </c>
      <c r="U33" s="237">
        <f>COUNTIFS(总表!B:B,$U$1,总表!D:D,A33,总表!L:L,"&lt;&gt;",总表!E:E,$BA$3,总表!E:E,$BA$4)</f>
        <v>0</v>
      </c>
      <c r="V33" s="238">
        <f>SUMIFS(总表!N:N,总表!B:B,$U$1,总表!D:D,A33,总表!E:E,$BA$3,总表!E:E,$BA$4)</f>
        <v>0</v>
      </c>
      <c r="W33" s="237">
        <f>COUNTIFS(总表!B:B,$W$1,总表!D:D,A33,总表!L:L,"&lt;&gt;",总表!E:E,$BA$3,总表!E:E,$BA$4)</f>
        <v>0</v>
      </c>
      <c r="X33" s="238">
        <f>SUMIFS(总表!N:N,总表!B:B,$W$1,总表!D:D,A33,总表!E:E,$BA$3,总表!E:E,$BA$4)</f>
        <v>0</v>
      </c>
      <c r="Y33" s="237">
        <f>COUNTIFS(总表!B:B,$Y$1,总表!D:D,A33,总表!L:L,"&lt;&gt;",总表!E:E,$BA$3,总表!E:E,$BA$4)</f>
        <v>0</v>
      </c>
      <c r="Z33" s="238">
        <f>SUMIFS(总表!N:N,总表!B:B,$Y$1,总表!D:D,A33,总表!E:E,$BA$3,总表!E:E,$BA$4)</f>
        <v>0</v>
      </c>
      <c r="AA33" s="237">
        <f>COUNTIFS(总表!B:B,$AA$1,总表!D:D,A33,总表!L:L,"&lt;&gt;",总表!E:E,$BA$3,总表!E:E,$BA$4)</f>
        <v>0</v>
      </c>
      <c r="AB33" s="238">
        <f>SUMIFS(总表!N:N,总表!B:B,$AA$1,总表!D:D,A33,总表!E:E,$BA$3,总表!E:E,$BA$4)</f>
        <v>0</v>
      </c>
      <c r="AC33" s="237">
        <f>COUNTIFS(总表!B:B,$AC$1,总表!D:D,A33,总表!L:L,"&lt;&gt;",总表!E:E,$BA$3,总表!E:E,$BA$4)</f>
        <v>0</v>
      </c>
      <c r="AD33" s="238">
        <f>SUMIFS(总表!N:N,总表!B:B,$AC$1,总表!D:D,A33,总表!E:E,$BA$3,总表!E:E,$BA$4)</f>
        <v>0</v>
      </c>
      <c r="AE33" s="237">
        <f>COUNTIFS(总表!B:B,$AE$1,总表!D:D,A33,总表!L:L,"&lt;&gt;",总表!E:E,$BA$3,总表!E:E,$BA$4)</f>
        <v>0</v>
      </c>
      <c r="AF33" s="238">
        <f>SUMIFS(总表!N:N,总表!B:B,$AE$1,总表!D:D,A33,总表!E:E,$BA$3,总表!E:E,$BA$4)</f>
        <v>0</v>
      </c>
      <c r="AG33" s="237">
        <f>COUNTIFS(总表!B:B,$AG$1,总表!D:D,A33,总表!L:L,"&lt;&gt;",总表!E:E,$BA$3,总表!E:E,$BA$4)</f>
        <v>0</v>
      </c>
      <c r="AH33" s="238">
        <f>SUMIFS(总表!N:N,总表!B:B,$AG$1,总表!D:D,A33,总表!E:E,$BA$3,总表!E:E,$BA$4)</f>
        <v>0</v>
      </c>
      <c r="AI33" s="237">
        <f>COUNTIFS(总表!B:B,$AI$1,总表!D:D,A33,总表!L:L,"&lt;&gt;",总表!E:E,$BA$3,总表!E:E,$BA$4)</f>
        <v>1</v>
      </c>
      <c r="AJ33" s="238">
        <f>SUMIFS(总表!N:N,总表!B:B,AI$1,总表!D:D,A33,总表!E:E,$BA$3,总表!E:E,$BA$4)</f>
        <v>8856</v>
      </c>
      <c r="AK33" s="237">
        <f>COUNTIFS(总表!B:B,$AK$1,总表!D:D,A33,总表!L:L,"&lt;&gt;",总表!E:E,$BA$3,总表!E:E,$BA$4)</f>
        <v>0</v>
      </c>
      <c r="AL33" s="238">
        <f>SUMIFS(总表!N:N,总表!B:B,$AK$1,总表!D:D,A33,总表!E:E,$BA$3,总表!E:E,$BA$4)</f>
        <v>0</v>
      </c>
      <c r="AM33" s="237">
        <f>COUNTIFS(总表!B:B,$AM$1,总表!D:D,A33,总表!L:L,"&lt;&gt;",总表!E:E,$BA$3,总表!E:E,$BA$4)</f>
        <v>3</v>
      </c>
      <c r="AN33" s="238">
        <f>SUMIFS(总表!N:N,总表!B:B,$AM$1,总表!D:D,A33,总表!E:E,$BA$3,总表!E:E,$BA$4)</f>
        <v>131089</v>
      </c>
      <c r="AO33" s="237">
        <f>COUNTIFS(总表!B:B,$AO$1,总表!D:D,A33,总表!L:L,"&lt;&gt;",总表!E:E,$BA$3,总表!E:E,$BA$4)</f>
        <v>0</v>
      </c>
      <c r="AP33" s="238">
        <f>SUMIFS(总表!N:N,总表!B:B,$AO$1,总表!D:D,A33,总表!E:E,$BA$3,总表!E:E,$BA$4)</f>
        <v>0</v>
      </c>
      <c r="AQ33" s="237">
        <f>COUNTIFS(总表!B:B,$AQ$1,总表!D:D,A33,总表!L:L,"&lt;&gt;",总表!E:E,$BA$3,总表!E:E,$BA$4)</f>
        <v>0</v>
      </c>
      <c r="AR33" s="238">
        <f>SUMIFS(总表!N:N,总表!B:B,$AQ$1,总表!D:D,A33,总表!E:E,$BA$3,总表!E:E,$BA$4)</f>
        <v>0</v>
      </c>
      <c r="AS33" s="237">
        <f>COUNTIFS(总表!B:B,$AS$1,总表!D:D,A33,总表!L:L,"&lt;&gt;",总表!E:E,$BA$3,总表!E:E,$BA$4)</f>
        <v>0</v>
      </c>
      <c r="AT33" s="238">
        <f>SUMIFS(总表!N:N,总表!B:B,$AS$1,总表!D:D,A33,总表!E:E,$BA$3,总表!E:E,$BA$4)</f>
        <v>0</v>
      </c>
      <c r="AU33" s="237">
        <f>COUNTIFS(总表!B:B,$AU$1,总表!D:D,A33,总表!L:L,"&lt;&gt;",总表!E:E,$BA$3,总表!E:E,$BA$4)</f>
        <v>0</v>
      </c>
      <c r="AV33" s="238">
        <f>SUMIFS(总表!N:N,总表!B:B,$AU$1,总表!D:D,A33,总表!E:E,$BA$3,总表!E:E,$BA$4)</f>
        <v>0</v>
      </c>
      <c r="AW33" s="242">
        <f>COUNTIFS(总表!B:B,$AW$1,总表!D:D,A33,总表!L:L,"&lt;&gt;",总表!E:E,$BA$3,总表!E:E,$BA$4)</f>
        <v>0</v>
      </c>
      <c r="AX33" s="242">
        <f>SUMIFS(总表!N:N,总表!B:B,$AW$1,总表!D:D,A33,总表!E:E,$BA$3,总表!E:E,$BA$4)</f>
        <v>0</v>
      </c>
      <c r="AY33" s="242">
        <f>COUNTIFS(总表!B:B,$AY$1,总表!D:D,A33,总表!L:L,"&lt;&gt;",总表!E:E,$BA$3,总表!E:E,$BA$4)</f>
        <v>0</v>
      </c>
      <c r="AZ33" s="242">
        <f>SUMIFS(总表!N:N,总表!B:B,$AY$1,总表!D:D,A33,总表!E:E,$BA$3,总表!E:E,$BA$4)</f>
        <v>0</v>
      </c>
      <c r="BB33" s="34">
        <f t="shared" si="4"/>
        <v>529972</v>
      </c>
      <c r="BC33" s="34">
        <f>K33</f>
        <v>10</v>
      </c>
      <c r="BD33" s="34">
        <f>L33</f>
        <v>390027</v>
      </c>
      <c r="BE33" s="244">
        <f t="shared" si="8"/>
        <v>39002.7</v>
      </c>
      <c r="BF33" s="245">
        <f t="shared" si="6"/>
        <v>0.735938879789876</v>
      </c>
      <c r="BG33" s="34">
        <f>COUNTIFS(总表!D:D,A33,总表!L:L,"&lt;&gt;",总表!E:E,$BA$3,总表!E:E,$BA$4)-BC33</f>
        <v>4</v>
      </c>
      <c r="BH33" s="34">
        <f t="shared" si="9"/>
        <v>139945</v>
      </c>
    </row>
    <row r="34" spans="1:60">
      <c r="A34" s="14" t="s">
        <v>162</v>
      </c>
      <c r="B34" s="13" t="str">
        <f>VLOOKUP(A34,设计师对应店铺!A:B,COLUMN(设计师对应店铺!B:B)-COLUMN(设计师对应店铺!A:B)+1,0)</f>
        <v>真北店</v>
      </c>
      <c r="C34" s="237">
        <f>COUNTIFS(总表!B:B,$C$1,总表!D:D,A34,总表!L:L,"&lt;&gt;",总表!E:E,$BA$3,总表!E:E,$BA$4)</f>
        <v>5</v>
      </c>
      <c r="D34" s="238">
        <f>SUMIFS(总表!N:N,总表!B:B,$C$1,总表!D:D,A34,总表!E:E,$BA$3,总表!E:E,$BA$4)</f>
        <v>60116</v>
      </c>
      <c r="E34" s="239">
        <f>COUNTIFS(总表!B:B,$E$1,总表!D:D,A34,总表!L:L,"&lt;&gt;",总表!E:E,$BA$3,总表!E:E,$BA$4)</f>
        <v>9</v>
      </c>
      <c r="F34" s="239">
        <f>SUMIFS(总表!N:N,总表!B:B,$E$1,总表!D:D,A34,总表!E:E,$BA$3,总表!E:E,$BA$4)</f>
        <v>130200</v>
      </c>
      <c r="G34" s="237">
        <f>COUNTIFS(总表!B:B,$G$1,总表!D:D,A34,总表!L:L,"&lt;&gt;",总表!E:E,$BA$3,总表!E:E,$BA$4)</f>
        <v>0</v>
      </c>
      <c r="H34" s="238">
        <f>SUMIFS(总表!N:N,总表!B:B,$G$1,总表!D:D,A34,总表!E:E,$BA$3,总表!E:E,$BA$4)</f>
        <v>0</v>
      </c>
      <c r="I34" s="237">
        <f>COUNTIFS(总表!B:B,$I$1,总表!D:D,A34,总表!L:L,"&lt;&gt;",总表!E:E,$BA$3,总表!E:E,$BA$4)</f>
        <v>0</v>
      </c>
      <c r="J34" s="238">
        <f>SUMIFS(总表!N:N,总表!B:B,$I$1,总表!D:D,A34,总表!E:E,$BA$3,总表!E:E,$BA$4)</f>
        <v>0</v>
      </c>
      <c r="K34" s="237">
        <f>COUNTIFS(总表!B:B,$K$1,总表!D:D,A34,总表!L:L,"&lt;&gt;",总表!E:E,$BA$3,总表!E:E,$BA$4)</f>
        <v>0</v>
      </c>
      <c r="L34" s="238">
        <f>SUMIFS(总表!N:N,总表!B:B,$K$1,总表!D:D,A34,总表!E:E,$BA$3,总表!E:E,$BA$4)</f>
        <v>0</v>
      </c>
      <c r="M34" s="237">
        <f>COUNTIFS(总表!B:B,$M$1,总表!D:D,A34,总表!L:L,"&lt;&gt;",总表!E:E,$BA$3,总表!E:E,$BA$4)</f>
        <v>0</v>
      </c>
      <c r="N34" s="238">
        <f>SUMIFS(总表!N:N,总表!B:B,$M$1,总表!D:D,A34,总表!E:E,$BA$3,总表!E:E,$BA$4)</f>
        <v>0</v>
      </c>
      <c r="O34" s="237">
        <f>COUNTIFS(总表!B:B,$O$1,总表!D:D,A34,总表!L:L,"&lt;&gt;",总表!E:E,$BA$3,总表!E:E,$BA$4)</f>
        <v>0</v>
      </c>
      <c r="P34" s="238">
        <f>SUMIFS(总表!N:N,总表!B:B,$O$1,总表!D:D,A34,总表!E:E,$BA$3,总表!E:E,$BA$4)</f>
        <v>0</v>
      </c>
      <c r="Q34" s="237">
        <f>COUNTIFS(总表!B:B,$Q$1,总表!D:D,A34,总表!L:L,"&lt;&gt;",总表!E:E,$BA$3,总表!E:E,$BA$4)</f>
        <v>0</v>
      </c>
      <c r="R34" s="238">
        <f>SUMIFS(总表!N:N,总表!B:B,$Q$1,总表!D:D,A34,总表!E:E,$BA$3,总表!E:E,$BA$4)</f>
        <v>0</v>
      </c>
      <c r="S34" s="237">
        <f>COUNTIFS(总表!B:B,$S$1,总表!D:D,A34,总表!L:L,"&lt;&gt;",总表!E:E,$BA$3,总表!E:E,$BA$4)</f>
        <v>0</v>
      </c>
      <c r="T34" s="238">
        <f>SUMIFS(总表!N:N,总表!B:B,$S$1,总表!D:D,A34,总表!E:E,$BA$3,总表!E:E,$BA$4)</f>
        <v>0</v>
      </c>
      <c r="U34" s="237">
        <f>COUNTIFS(总表!B:B,$U$1,总表!D:D,A34,总表!L:L,"&lt;&gt;",总表!E:E,$BA$3,总表!E:E,$BA$4)</f>
        <v>0</v>
      </c>
      <c r="V34" s="238">
        <f>SUMIFS(总表!N:N,总表!B:B,$U$1,总表!D:D,A34,总表!E:E,$BA$3,总表!E:E,$BA$4)</f>
        <v>0</v>
      </c>
      <c r="W34" s="237">
        <f>COUNTIFS(总表!B:B,$W$1,总表!D:D,A34,总表!L:L,"&lt;&gt;",总表!E:E,$BA$3,总表!E:E,$BA$4)</f>
        <v>0</v>
      </c>
      <c r="X34" s="238">
        <f>SUMIFS(总表!N:N,总表!B:B,$W$1,总表!D:D,A34,总表!E:E,$BA$3,总表!E:E,$BA$4)</f>
        <v>0</v>
      </c>
      <c r="Y34" s="237">
        <f>COUNTIFS(总表!B:B,$Y$1,总表!D:D,A34,总表!L:L,"&lt;&gt;",总表!E:E,$BA$3,总表!E:E,$BA$4)</f>
        <v>0</v>
      </c>
      <c r="Z34" s="238">
        <f>SUMIFS(总表!N:N,总表!B:B,$Y$1,总表!D:D,A34,总表!E:E,$BA$3,总表!E:E,$BA$4)</f>
        <v>0</v>
      </c>
      <c r="AA34" s="237">
        <f>COUNTIFS(总表!B:B,$AA$1,总表!D:D,A34,总表!L:L,"&lt;&gt;",总表!E:E,$BA$3,总表!E:E,$BA$4)</f>
        <v>0</v>
      </c>
      <c r="AB34" s="238">
        <f>SUMIFS(总表!N:N,总表!B:B,$AA$1,总表!D:D,A34,总表!E:E,$BA$3,总表!E:E,$BA$4)</f>
        <v>0</v>
      </c>
      <c r="AC34" s="237">
        <f>COUNTIFS(总表!B:B,$AC$1,总表!D:D,A34,总表!L:L,"&lt;&gt;",总表!E:E,$BA$3,总表!E:E,$BA$4)</f>
        <v>0</v>
      </c>
      <c r="AD34" s="238">
        <f>SUMIFS(总表!N:N,总表!B:B,$AC$1,总表!D:D,A34,总表!E:E,$BA$3,总表!E:E,$BA$4)</f>
        <v>0</v>
      </c>
      <c r="AE34" s="237">
        <f>COUNTIFS(总表!B:B,$AE$1,总表!D:D,A34,总表!L:L,"&lt;&gt;",总表!E:E,$BA$3,总表!E:E,$BA$4)</f>
        <v>0</v>
      </c>
      <c r="AF34" s="238">
        <f>SUMIFS(总表!N:N,总表!B:B,$AE$1,总表!D:D,A34,总表!E:E,$BA$3,总表!E:E,$BA$4)</f>
        <v>0</v>
      </c>
      <c r="AG34" s="237">
        <f>COUNTIFS(总表!B:B,$AG$1,总表!D:D,A34,总表!L:L,"&lt;&gt;",总表!E:E,$BA$3,总表!E:E,$BA$4)</f>
        <v>0</v>
      </c>
      <c r="AH34" s="238">
        <f>SUMIFS(总表!N:N,总表!B:B,$AG$1,总表!D:D,A34,总表!E:E,$BA$3,总表!E:E,$BA$4)</f>
        <v>0</v>
      </c>
      <c r="AI34" s="237">
        <f>COUNTIFS(总表!B:B,$AI$1,总表!D:D,A34,总表!L:L,"&lt;&gt;",总表!E:E,$BA$3,总表!E:E,$BA$4)</f>
        <v>0</v>
      </c>
      <c r="AJ34" s="238">
        <f>SUMIFS(总表!N:N,总表!B:B,AI$1,总表!D:D,A34,总表!E:E,$BA$3,总表!E:E,$BA$4)</f>
        <v>0</v>
      </c>
      <c r="AK34" s="237">
        <f>COUNTIFS(总表!B:B,$AK$1,总表!D:D,A34,总表!L:L,"&lt;&gt;",总表!E:E,$BA$3,总表!E:E,$BA$4)</f>
        <v>0</v>
      </c>
      <c r="AL34" s="238">
        <f>SUMIFS(总表!N:N,总表!B:B,$AK$1,总表!D:D,A34,总表!E:E,$BA$3,总表!E:E,$BA$4)</f>
        <v>0</v>
      </c>
      <c r="AM34" s="237">
        <f>COUNTIFS(总表!B:B,$AM$1,总表!D:D,A34,总表!L:L,"&lt;&gt;",总表!E:E,$BA$3,总表!E:E,$BA$4)</f>
        <v>0</v>
      </c>
      <c r="AN34" s="238">
        <f>SUMIFS(总表!N:N,总表!B:B,$AM$1,总表!D:D,A34,总表!E:E,$BA$3,总表!E:E,$BA$4)</f>
        <v>0</v>
      </c>
      <c r="AO34" s="237">
        <f>COUNTIFS(总表!B:B,$AO$1,总表!D:D,A34,总表!L:L,"&lt;&gt;",总表!E:E,$BA$3,总表!E:E,$BA$4)</f>
        <v>0</v>
      </c>
      <c r="AP34" s="238">
        <f>SUMIFS(总表!N:N,总表!B:B,$AO$1,总表!D:D,A34,总表!E:E,$BA$3,总表!E:E,$BA$4)</f>
        <v>0</v>
      </c>
      <c r="AQ34" s="237">
        <f>COUNTIFS(总表!B:B,$AQ$1,总表!D:D,A34,总表!L:L,"&lt;&gt;",总表!E:E,$BA$3,总表!E:E,$BA$4)</f>
        <v>0</v>
      </c>
      <c r="AR34" s="238">
        <f>SUMIFS(总表!N:N,总表!B:B,$AQ$1,总表!D:D,A34,总表!E:E,$BA$3,总表!E:E,$BA$4)</f>
        <v>0</v>
      </c>
      <c r="AS34" s="237">
        <f>COUNTIFS(总表!B:B,$AS$1,总表!D:D,A34,总表!L:L,"&lt;&gt;",总表!E:E,$BA$3,总表!E:E,$BA$4)</f>
        <v>0</v>
      </c>
      <c r="AT34" s="238">
        <f>SUMIFS(总表!N:N,总表!B:B,$AS$1,总表!D:D,A34,总表!E:E,$BA$3,总表!E:E,$BA$4)</f>
        <v>0</v>
      </c>
      <c r="AU34" s="237">
        <f>COUNTIFS(总表!B:B,$AU$1,总表!D:D,A34,总表!L:L,"&lt;&gt;",总表!E:E,$BA$3,总表!E:E,$BA$4)</f>
        <v>0</v>
      </c>
      <c r="AV34" s="238">
        <f>SUMIFS(总表!N:N,总表!B:B,$AU$1,总表!D:D,A34,总表!E:E,$BA$3,总表!E:E,$BA$4)</f>
        <v>0</v>
      </c>
      <c r="AW34" s="242">
        <f>COUNTIFS(总表!B:B,$AW$1,总表!D:D,A34,总表!L:L,"&lt;&gt;",总表!E:E,$BA$3,总表!E:E,$BA$4)</f>
        <v>0</v>
      </c>
      <c r="AX34" s="242">
        <f>SUMIFS(总表!N:N,总表!B:B,$AW$1,总表!D:D,A34,总表!E:E,$BA$3,总表!E:E,$BA$4)</f>
        <v>0</v>
      </c>
      <c r="AY34" s="242">
        <f>COUNTIFS(总表!B:B,$AY$1,总表!D:D,A34,总表!L:L,"&lt;&gt;",总表!E:E,$BA$3,总表!E:E,$BA$4)</f>
        <v>0</v>
      </c>
      <c r="AZ34" s="242">
        <f>SUMIFS(总表!N:N,总表!B:B,$AY$1,总表!D:D,A34,总表!E:E,$BA$3,总表!E:E,$BA$4)</f>
        <v>0</v>
      </c>
      <c r="BB34" s="34">
        <f t="shared" si="4"/>
        <v>190316</v>
      </c>
      <c r="BC34" s="34">
        <f>E34</f>
        <v>9</v>
      </c>
      <c r="BD34" s="34">
        <f>F34</f>
        <v>130200</v>
      </c>
      <c r="BE34" s="244">
        <f t="shared" si="8"/>
        <v>14466.6666666667</v>
      </c>
      <c r="BF34" s="245">
        <f t="shared" si="6"/>
        <v>0.684125349418861</v>
      </c>
      <c r="BG34" s="34">
        <f>COUNTIFS(总表!D:D,A34,总表!L:L,"&lt;&gt;",总表!E:E,$BA$3,总表!E:E,$BA$4)-BC34</f>
        <v>5</v>
      </c>
      <c r="BH34" s="34">
        <f t="shared" si="9"/>
        <v>60116</v>
      </c>
    </row>
    <row r="35" spans="1:60">
      <c r="A35" s="34" t="s">
        <v>44</v>
      </c>
      <c r="B35" s="13" t="str">
        <f>VLOOKUP(A35,设计师对应店铺!A:B,COLUMN(设计师对应店铺!B:B)-COLUMN(设计师对应店铺!A:B)+1,0)</f>
        <v>金桥店、百安居</v>
      </c>
      <c r="C35" s="239">
        <f>COUNTIFS(总表!B:B,$C$1,总表!D:D,A35,总表!L:L,"&lt;&gt;",总表!E:E,$BA$3,总表!E:E,$BA$4)</f>
        <v>1</v>
      </c>
      <c r="D35" s="239">
        <f>SUMIFS(总表!N:N,总表!B:B,$C$1,总表!D:D,A35,总表!E:E,$BA$3,总表!E:E,$BA$4)</f>
        <v>15591</v>
      </c>
      <c r="E35" s="237">
        <f>COUNTIFS(总表!B:B,$E$1,总表!D:D,A35,总表!L:L,"&lt;&gt;",总表!E:E,$BA$3,总表!E:E,$BA$4)</f>
        <v>0</v>
      </c>
      <c r="F35" s="238">
        <f>SUMIFS(总表!N:N,总表!B:B,$E$1,总表!D:D,A35,总表!E:E,$BA$3,总表!E:E,$BA$4)</f>
        <v>0</v>
      </c>
      <c r="G35" s="237">
        <f>COUNTIFS(总表!B:B,$G$1,总表!D:D,A35,总表!L:L,"&lt;&gt;",总表!E:E,$BA$3,总表!E:E,$BA$4)</f>
        <v>0</v>
      </c>
      <c r="H35" s="238">
        <f>SUMIFS(总表!N:N,总表!B:B,$G$1,总表!D:D,A35,总表!E:E,$BA$3,总表!E:E,$BA$4)</f>
        <v>0</v>
      </c>
      <c r="I35" s="237">
        <f>COUNTIFS(总表!B:B,$I$1,总表!D:D,A35,总表!L:L,"&lt;&gt;",总表!E:E,$BA$3,总表!E:E,$BA$4)</f>
        <v>1</v>
      </c>
      <c r="J35" s="238">
        <f>SUMIFS(总表!N:N,总表!B:B,$I$1,总表!D:D,A35,总表!E:E,$BA$3,总表!E:E,$BA$4)</f>
        <v>13428</v>
      </c>
      <c r="K35" s="237">
        <f>COUNTIFS(总表!B:B,$K$1,总表!D:D,A35,总表!L:L,"&lt;&gt;",总表!E:E,$BA$3,总表!E:E,$BA$4)</f>
        <v>0</v>
      </c>
      <c r="L35" s="238">
        <f>SUMIFS(总表!N:N,总表!B:B,$K$1,总表!D:D,A35,总表!E:E,$BA$3,总表!E:E,$BA$4)</f>
        <v>0</v>
      </c>
      <c r="M35" s="237">
        <f>COUNTIFS(总表!B:B,$M$1,总表!D:D,A35,总表!L:L,"&lt;&gt;",总表!E:E,$BA$3,总表!E:E,$BA$4)</f>
        <v>0</v>
      </c>
      <c r="N35" s="238">
        <f>SUMIFS(总表!N:N,总表!B:B,$M$1,总表!D:D,A35,总表!E:E,$BA$3,总表!E:E,$BA$4)</f>
        <v>0</v>
      </c>
      <c r="O35" s="237">
        <f>COUNTIFS(总表!B:B,$O$1,总表!D:D,A35,总表!L:L,"&lt;&gt;",总表!E:E,$BA$3,总表!E:E,$BA$4)</f>
        <v>0</v>
      </c>
      <c r="P35" s="238">
        <f>SUMIFS(总表!N:N,总表!B:B,$O$1,总表!D:D,A35,总表!E:E,$BA$3,总表!E:E,$BA$4)</f>
        <v>0</v>
      </c>
      <c r="Q35" s="237">
        <f>COUNTIFS(总表!B:B,$Q$1,总表!D:D,A35,总表!L:L,"&lt;&gt;",总表!E:E,$BA$3,总表!E:E,$BA$4)</f>
        <v>0</v>
      </c>
      <c r="R35" s="238">
        <f>SUMIFS(总表!N:N,总表!B:B,$Q$1,总表!D:D,A35,总表!E:E,$BA$3,总表!E:E,$BA$4)</f>
        <v>2916</v>
      </c>
      <c r="S35" s="237">
        <f>COUNTIFS(总表!B:B,$S$1,总表!D:D,A35,总表!L:L,"&lt;&gt;",总表!E:E,$BA$3,总表!E:E,$BA$4)</f>
        <v>0</v>
      </c>
      <c r="T35" s="238">
        <f>SUMIFS(总表!N:N,总表!B:B,$S$1,总表!D:D,A35,总表!E:E,$BA$3,总表!E:E,$BA$4)</f>
        <v>0</v>
      </c>
      <c r="U35" s="237">
        <f>COUNTIFS(总表!B:B,$U$1,总表!D:D,A35,总表!L:L,"&lt;&gt;",总表!E:E,$BA$3,总表!E:E,$BA$4)</f>
        <v>0</v>
      </c>
      <c r="V35" s="238">
        <f>SUMIFS(总表!N:N,总表!B:B,$U$1,总表!D:D,A35,总表!E:E,$BA$3,总表!E:E,$BA$4)</f>
        <v>0</v>
      </c>
      <c r="W35" s="237">
        <f>COUNTIFS(总表!B:B,$W$1,总表!D:D,A35,总表!L:L,"&lt;&gt;",总表!E:E,$BA$3,总表!E:E,$BA$4)</f>
        <v>0</v>
      </c>
      <c r="X35" s="238">
        <f>SUMIFS(总表!N:N,总表!B:B,$W$1,总表!D:D,A35,总表!E:E,$BA$3,总表!E:E,$BA$4)</f>
        <v>0</v>
      </c>
      <c r="Y35" s="237">
        <f>COUNTIFS(总表!B:B,$Y$1,总表!D:D,A35,总表!L:L,"&lt;&gt;",总表!E:E,$BA$3,总表!E:E,$BA$4)</f>
        <v>0</v>
      </c>
      <c r="Z35" s="238">
        <f>SUMIFS(总表!N:N,总表!B:B,$Y$1,总表!D:D,A35,总表!E:E,$BA$3,总表!E:E,$BA$4)</f>
        <v>0</v>
      </c>
      <c r="AA35" s="239">
        <f>COUNTIFS(总表!B:B,$AA$1,总表!D:D,A35,总表!L:L,"&lt;&gt;",总表!E:E,$BA$3,总表!E:E,$BA$4)</f>
        <v>16</v>
      </c>
      <c r="AB35" s="239">
        <f>SUMIFS(总表!N:N,总表!B:B,$AA$1,总表!D:D,A35,总表!E:E,$BA$3,总表!E:E,$BA$4)</f>
        <v>263295</v>
      </c>
      <c r="AC35" s="237">
        <f>COUNTIFS(总表!B:B,$AC$1,总表!D:D,A35,总表!L:L,"&lt;&gt;",总表!E:E,$BA$3,总表!E:E,$BA$4)</f>
        <v>0</v>
      </c>
      <c r="AD35" s="238">
        <f>SUMIFS(总表!N:N,总表!B:B,$AC$1,总表!D:D,A35,总表!E:E,$BA$3,总表!E:E,$BA$4)</f>
        <v>0</v>
      </c>
      <c r="AE35" s="237">
        <f>COUNTIFS(总表!B:B,$AE$1,总表!D:D,A35,总表!L:L,"&lt;&gt;",总表!E:E,$BA$3,总表!E:E,$BA$4)</f>
        <v>2</v>
      </c>
      <c r="AF35" s="238">
        <f>SUMIFS(总表!N:N,总表!B:B,$AE$1,总表!D:D,A35,总表!E:E,$BA$3,总表!E:E,$BA$4)</f>
        <v>9372</v>
      </c>
      <c r="AG35" s="237">
        <f>COUNTIFS(总表!B:B,$AG$1,总表!D:D,A35,总表!L:L,"&lt;&gt;",总表!E:E,$BA$3,总表!E:E,$BA$4)</f>
        <v>8</v>
      </c>
      <c r="AH35" s="238">
        <f>SUMIFS(总表!N:N,总表!B:B,$AG$1,总表!D:D,A35,总表!E:E,$BA$3,总表!E:E,$BA$4)</f>
        <v>149514</v>
      </c>
      <c r="AI35" s="237">
        <f>COUNTIFS(总表!B:B,$AI$1,总表!D:D,A35,总表!L:L,"&lt;&gt;",总表!E:E,$BA$3,总表!E:E,$BA$4)</f>
        <v>0</v>
      </c>
      <c r="AJ35" s="238">
        <f>SUMIFS(总表!N:N,总表!B:B,AI$1,总表!D:D,A35,总表!E:E,$BA$3,总表!E:E,$BA$4)</f>
        <v>0</v>
      </c>
      <c r="AK35" s="237">
        <f>COUNTIFS(总表!B:B,$AK$1,总表!D:D,A35,总表!L:L,"&lt;&gt;",总表!E:E,$BA$3,总表!E:E,$BA$4)</f>
        <v>0</v>
      </c>
      <c r="AL35" s="238">
        <f>SUMIFS(总表!N:N,总表!B:B,$AK$1,总表!D:D,A35,总表!E:E,$BA$3,总表!E:E,$BA$4)</f>
        <v>0</v>
      </c>
      <c r="AM35" s="237">
        <f>COUNTIFS(总表!B:B,$AM$1,总表!D:D,A35,总表!L:L,"&lt;&gt;",总表!E:E,$BA$3,总表!E:E,$BA$4)</f>
        <v>1</v>
      </c>
      <c r="AN35" s="238">
        <f>SUMIFS(总表!N:N,总表!B:B,$AM$1,总表!D:D,A35,总表!E:E,$BA$3,总表!E:E,$BA$4)</f>
        <v>25794</v>
      </c>
      <c r="AO35" s="237">
        <f>COUNTIFS(总表!B:B,$AO$1,总表!D:D,A35,总表!L:L,"&lt;&gt;",总表!E:E,$BA$3,总表!E:E,$BA$4)</f>
        <v>0</v>
      </c>
      <c r="AP35" s="238">
        <f>SUMIFS(总表!N:N,总表!B:B,$AO$1,总表!D:D,A35,总表!E:E,$BA$3,总表!E:E,$BA$4)</f>
        <v>0</v>
      </c>
      <c r="AQ35" s="237">
        <f>COUNTIFS(总表!B:B,$AQ$1,总表!D:D,A35,总表!L:L,"&lt;&gt;",总表!E:E,$BA$3,总表!E:E,$BA$4)</f>
        <v>0</v>
      </c>
      <c r="AR35" s="238">
        <f>SUMIFS(总表!N:N,总表!B:B,$AQ$1,总表!D:D,A35,总表!E:E,$BA$3,总表!E:E,$BA$4)</f>
        <v>0</v>
      </c>
      <c r="AS35" s="237">
        <f>COUNTIFS(总表!B:B,$AS$1,总表!D:D,A35,总表!L:L,"&lt;&gt;",总表!E:E,$BA$3,总表!E:E,$BA$4)</f>
        <v>1</v>
      </c>
      <c r="AT35" s="238">
        <f>SUMIFS(总表!N:N,总表!B:B,$AS$1,总表!D:D,A35,总表!E:E,$BA$3,总表!E:E,$BA$4)</f>
        <v>24741</v>
      </c>
      <c r="AU35" s="237">
        <f>COUNTIFS(总表!B:B,$AU$1,总表!D:D,A35,总表!L:L,"&lt;&gt;",总表!E:E,$BA$3,总表!E:E,$BA$4)</f>
        <v>0</v>
      </c>
      <c r="AV35" s="238">
        <f>SUMIFS(总表!N:N,总表!B:B,$AU$1,总表!D:D,A35,总表!E:E,$BA$3,总表!E:E,$BA$4)</f>
        <v>0</v>
      </c>
      <c r="AW35" s="242">
        <f>COUNTIFS(总表!B:B,$AW$1,总表!D:D,A35,总表!L:L,"&lt;&gt;",总表!E:E,$BA$3,总表!E:E,$BA$4)</f>
        <v>0</v>
      </c>
      <c r="AX35" s="242">
        <f>SUMIFS(总表!N:N,总表!B:B,$AW$1,总表!D:D,A35,总表!E:E,$BA$3,总表!E:E,$BA$4)</f>
        <v>0</v>
      </c>
      <c r="AY35" s="242">
        <f>COUNTIFS(总表!B:B,$AY$1,总表!D:D,A35,总表!L:L,"&lt;&gt;",总表!E:E,$BA$3,总表!E:E,$BA$4)</f>
        <v>0</v>
      </c>
      <c r="AZ35" s="242">
        <f>SUMIFS(总表!N:N,总表!B:B,$AY$1,总表!D:D,A35,总表!E:E,$BA$3,总表!E:E,$BA$4)</f>
        <v>0</v>
      </c>
      <c r="BB35" s="34">
        <f t="shared" si="4"/>
        <v>504651</v>
      </c>
      <c r="BC35" s="34">
        <f>C35+AA35</f>
        <v>17</v>
      </c>
      <c r="BD35" s="34">
        <f>D35+AB35</f>
        <v>278886</v>
      </c>
      <c r="BE35" s="244">
        <f t="shared" si="8"/>
        <v>16405.0588235294</v>
      </c>
      <c r="BF35" s="245">
        <f t="shared" si="6"/>
        <v>0.552631422507832</v>
      </c>
      <c r="BG35" s="34">
        <f>COUNTIFS(总表!D:D,A35,总表!L:L,"&lt;&gt;",总表!E:E,$BA$3,总表!E:E,$BA$4)-BC35</f>
        <v>13</v>
      </c>
      <c r="BH35" s="34">
        <f t="shared" si="9"/>
        <v>225765</v>
      </c>
    </row>
    <row r="36" spans="50:50">
      <c r="AX36" s="242"/>
    </row>
  </sheetData>
  <autoFilter ref="A2:BA35">
    <extLst/>
  </autoFilter>
  <mergeCells count="27">
    <mergeCell ref="C1:D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A1:A2"/>
    <mergeCell ref="B1:B2"/>
  </mergeCell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8"/>
  <sheetViews>
    <sheetView workbookViewId="0">
      <selection activeCell="L16" sqref="L16"/>
    </sheetView>
  </sheetViews>
  <sheetFormatPr defaultColWidth="9" defaultRowHeight="16.5"/>
  <cols>
    <col min="1" max="1" width="9" style="84"/>
    <col min="2" max="2" width="11.375" style="84" customWidth="1"/>
    <col min="3" max="3" width="14" style="84" customWidth="1"/>
    <col min="4" max="4" width="9" style="84"/>
    <col min="5" max="5" width="14.375" style="84" customWidth="1"/>
    <col min="6" max="6" width="22.125" style="84" customWidth="1"/>
    <col min="7" max="16384" width="9" style="84"/>
  </cols>
  <sheetData>
    <row r="1" spans="1:6">
      <c r="A1" s="85" t="s">
        <v>21285</v>
      </c>
      <c r="B1" s="85"/>
      <c r="C1" s="85"/>
      <c r="D1" s="85"/>
      <c r="E1" s="85"/>
      <c r="F1" s="85"/>
    </row>
    <row r="2" ht="17.25" spans="1:6">
      <c r="A2" s="86" t="s">
        <v>21286</v>
      </c>
      <c r="B2" s="86" t="s">
        <v>1</v>
      </c>
      <c r="C2" s="86" t="s">
        <v>21275</v>
      </c>
      <c r="D2" s="86" t="s">
        <v>30</v>
      </c>
      <c r="E2" s="86" t="s">
        <v>21275</v>
      </c>
      <c r="F2" s="86" t="s">
        <v>21287</v>
      </c>
    </row>
    <row r="3" spans="1:6">
      <c r="A3" s="87" t="s">
        <v>18420</v>
      </c>
      <c r="B3" s="88" t="s">
        <v>43</v>
      </c>
      <c r="C3" s="88">
        <f>COUNTIFS(总表!B:B,"*百安居*",总表!C:C,B3,总表!L:L,"&lt;&gt;",总表!G:G,"&gt;=2019/7/1",总表!G:G,"&lt;=2019/7/31")</f>
        <v>15</v>
      </c>
      <c r="D3" s="89" t="s">
        <v>149</v>
      </c>
      <c r="E3" s="89">
        <f>COUNTIFS(总表!B:B,"*百安居*",总表!D:D,D3,总表!L:L,"&lt;&gt;",总表!G:G,"&gt;=2019/7/1",总表!G:G,"&lt;=2019/7/31")</f>
        <v>7</v>
      </c>
      <c r="F3" s="90">
        <f>COUNTIFS(总表!B:B,"*百安居*",总表!L:L,"&lt;&gt;",总表!G:G,"&gt;=2019/7/1",总表!G:G,"&lt;=2019/7/31")</f>
        <v>120</v>
      </c>
    </row>
    <row r="4" spans="1:6">
      <c r="A4" s="91"/>
      <c r="B4" s="92" t="s">
        <v>2043</v>
      </c>
      <c r="C4" s="92">
        <f>COUNTIFS(总表!B:B,"*百安居*",总表!C:C,B4,总表!L:L,"&lt;&gt;",总表!G:G,"&gt;=2019/7/1",总表!G:G,"&lt;=2019/7/31")</f>
        <v>0</v>
      </c>
      <c r="D4" s="92" t="s">
        <v>407</v>
      </c>
      <c r="E4" s="92">
        <f>COUNTIFS(总表!B:B,"*百安居*",总表!D:D,D4,总表!L:L,"&lt;&gt;",总表!G:G,"&gt;=2019/7/1",总表!G:G,"&lt;=2019/7/31")</f>
        <v>6</v>
      </c>
      <c r="F4" s="93"/>
    </row>
    <row r="5" spans="1:6">
      <c r="A5" s="91"/>
      <c r="B5" s="92" t="s">
        <v>148</v>
      </c>
      <c r="C5" s="92">
        <f>COUNTIFS(总表!B:B,"*百安居*",总表!C:C,B5,总表!L:L,"&lt;&gt;",总表!G:G,"&gt;=2019/7/1",总表!G:G,"&lt;=2019/7/31")</f>
        <v>19</v>
      </c>
      <c r="D5" s="92" t="s">
        <v>182</v>
      </c>
      <c r="E5" s="92">
        <f>COUNTIFS(总表!B:B,"*百安居*",总表!D:D,D5,总表!L:L,"&lt;&gt;",总表!G:G,"&gt;=2019/7/1",总表!G:G,"&lt;=2019/7/31")</f>
        <v>0</v>
      </c>
      <c r="F5" s="93"/>
    </row>
    <row r="6" spans="1:6">
      <c r="A6" s="91"/>
      <c r="B6" s="92" t="s">
        <v>758</v>
      </c>
      <c r="C6" s="92">
        <f>COUNTIFS(总表!B:B,"*百安居*",总表!C:C,B6,总表!L:L,"&lt;&gt;",总表!G:G,"&gt;=2019/7/1",总表!G:G,"&lt;=2019/7/31")</f>
        <v>0</v>
      </c>
      <c r="D6" s="94" t="s">
        <v>143</v>
      </c>
      <c r="E6" s="94">
        <f>COUNTIFS(总表!B:B,"*百安居*",总表!D:D,D6,总表!L:L,"&lt;&gt;",总表!G:G,"&gt;=2019/7/1",总表!G:G,"&lt;=2019/7/31")</f>
        <v>1</v>
      </c>
      <c r="F6" s="93"/>
    </row>
    <row r="7" spans="1:6">
      <c r="A7" s="91"/>
      <c r="B7" s="92" t="s">
        <v>115</v>
      </c>
      <c r="C7" s="92">
        <f>COUNTIFS(总表!B:B,"*百安居*",总表!C:C,B7,总表!L:L,"&lt;&gt;",总表!G:G,"&gt;=2019/7/1",总表!G:G,"&lt;=2019/7/31")</f>
        <v>0</v>
      </c>
      <c r="D7" s="92" t="s">
        <v>139</v>
      </c>
      <c r="E7" s="92">
        <f>COUNTIFS(总表!B:B,"*百安居*",总表!D:D,D7,总表!L:L,"&lt;&gt;",总表!G:G,"&gt;=2019/7/1",总表!G:G,"&lt;=2019/7/31")</f>
        <v>1</v>
      </c>
      <c r="F7" s="93"/>
    </row>
    <row r="8" spans="1:6">
      <c r="A8" s="91"/>
      <c r="B8" s="92" t="s">
        <v>195</v>
      </c>
      <c r="C8" s="92">
        <f>COUNTIFS(总表!B:B,"*百安居*",总表!C:C,B8,总表!L:L,"&lt;&gt;",总表!G:G,"&gt;=2019/7/1",总表!G:G,"&lt;=2019/7/31")</f>
        <v>9</v>
      </c>
      <c r="D8" s="92" t="s">
        <v>361</v>
      </c>
      <c r="E8" s="92">
        <f>COUNTIFS(总表!B:B,"*百安居*",总表!D:D,D8,总表!L:L,"&lt;&gt;",总表!G:G,"&gt;=2019/7/1",总表!G:G,"&lt;=2019/7/31")</f>
        <v>2</v>
      </c>
      <c r="F8" s="93"/>
    </row>
    <row r="9" spans="1:6">
      <c r="A9" s="91"/>
      <c r="B9" s="92" t="s">
        <v>355</v>
      </c>
      <c r="C9" s="92">
        <f>COUNTIFS(总表!B:B,"*百安居*",总表!C:C,B9,总表!L:L,"&lt;&gt;",总表!G:G,"&gt;=2019/7/1",总表!G:G,"&lt;=2019/7/31")</f>
        <v>19</v>
      </c>
      <c r="D9" s="94" t="s">
        <v>356</v>
      </c>
      <c r="E9" s="94">
        <f>COUNTIFS(总表!B:B,"*百安居*",总表!D:D,D9,总表!L:L,"&lt;&gt;",总表!G:G,"&gt;=2019/7/1",总表!G:G,"&lt;=2019/7/31")</f>
        <v>21</v>
      </c>
      <c r="F9" s="93"/>
    </row>
    <row r="10" spans="1:12">
      <c r="A10" s="91"/>
      <c r="B10" s="92" t="s">
        <v>599</v>
      </c>
      <c r="C10" s="92">
        <f>COUNTIFS(总表!B:B,"*百安居*",总表!C:C,B10,总表!L:L,"&lt;&gt;",总表!G:G,"&gt;=2019/7/1",总表!G:G,"&lt;=2019/7/31")</f>
        <v>1</v>
      </c>
      <c r="D10" s="92" t="s">
        <v>132</v>
      </c>
      <c r="E10" s="92">
        <f>COUNTIFS(总表!B:B,"*百安居*",总表!D:D,D10,总表!L:L,"&lt;&gt;",总表!G:G,"&gt;=2019/7/1",总表!G:G,"&lt;=2019/7/31")</f>
        <v>3</v>
      </c>
      <c r="F10" s="93"/>
      <c r="L10" s="146"/>
    </row>
    <row r="11" spans="1:6">
      <c r="A11" s="91"/>
      <c r="B11" s="92" t="s">
        <v>727</v>
      </c>
      <c r="C11" s="92">
        <f>COUNTIFS(总表!B:B,"*百安居*",总表!C:C,B11,总表!L:L,"&lt;&gt;",总表!G:G,"&gt;=2019/7/1",总表!G:G,"&lt;=2019/7/31")</f>
        <v>17</v>
      </c>
      <c r="D11" s="92" t="s">
        <v>33</v>
      </c>
      <c r="E11" s="92">
        <f>COUNTIFS(总表!B:B,"*百安居*",总表!D:D,D11,总表!L:L,"&lt;&gt;",总表!G:G,"&gt;=2019/7/1",总表!G:G,"&lt;=2019/7/31")</f>
        <v>2</v>
      </c>
      <c r="F11" s="93"/>
    </row>
    <row r="12" spans="1:6">
      <c r="A12" s="91"/>
      <c r="B12" s="92" t="s">
        <v>1467</v>
      </c>
      <c r="C12" s="92">
        <f>COUNTIFS(总表!B:B,"*百安居*",总表!C:C,B12,总表!L:L,"&lt;&gt;",总表!G:G,"&gt;=2019/7/1",总表!G:G,"&lt;=2019/7/31")</f>
        <v>16</v>
      </c>
      <c r="D12" s="92" t="s">
        <v>125</v>
      </c>
      <c r="E12" s="92">
        <f>COUNTIFS(总表!B:B,"*百安居*",总表!D:D,D12,总表!L:L,"&lt;&gt;",总表!G:G,"&gt;=2019/7/1",总表!G:G,"&lt;=2019/7/31")</f>
        <v>12</v>
      </c>
      <c r="F12" s="93"/>
    </row>
    <row r="13" spans="1:6">
      <c r="A13" s="91"/>
      <c r="B13" s="92" t="s">
        <v>6401</v>
      </c>
      <c r="C13" s="92">
        <f>COUNTIFS(总表!B:B,"*百安居*",总表!C:C,B13,总表!L:L,"&lt;&gt;",总表!G:G,"&gt;=2019/7/1",总表!G:G,"&lt;=2019/7/31")</f>
        <v>1</v>
      </c>
      <c r="D13" s="94" t="s">
        <v>1170</v>
      </c>
      <c r="E13" s="94">
        <f>COUNTIFS(总表!B:B,"*百安居*",总表!D:D,D13,总表!L:L,"&lt;&gt;",总表!G:G,"&gt;=2019/7/1",总表!G:G,"&lt;=2019/7/31")</f>
        <v>3</v>
      </c>
      <c r="F13" s="93"/>
    </row>
    <row r="14" spans="1:6">
      <c r="A14" s="91"/>
      <c r="B14" s="92" t="s">
        <v>4010</v>
      </c>
      <c r="C14" s="92">
        <f>COUNTIFS(总表!B:B,"*百安居*",总表!C:C,B14,总表!L:L,"&lt;&gt;",总表!G:G,"&gt;=2019/7/1",总表!G:G,"&lt;=2019/7/31")</f>
        <v>0</v>
      </c>
      <c r="D14" s="92" t="s">
        <v>115</v>
      </c>
      <c r="E14" s="92">
        <f>COUNTIFS(总表!B:B,"*百安居*",总表!D:D,D14,总表!L:L,"&lt;&gt;",总表!G:G,"&gt;=2019/7/1",总表!G:G,"&lt;=2019/7/31")</f>
        <v>0</v>
      </c>
      <c r="F14" s="93"/>
    </row>
    <row r="15" spans="1:6">
      <c r="A15" s="91"/>
      <c r="B15" s="92" t="s">
        <v>703</v>
      </c>
      <c r="C15" s="92">
        <f>COUNTIFS(总表!B:B,"*百安居*",总表!C:C,B15,总表!L:L,"&lt;&gt;",总表!G:G,"&gt;=2019/7/1",总表!G:G,"&lt;=2019/7/31")</f>
        <v>19</v>
      </c>
      <c r="D15" s="92" t="s">
        <v>271</v>
      </c>
      <c r="E15" s="92">
        <f>COUNTIFS(总表!B:B,"*百安居*",总表!D:D,D15,总表!L:L,"&lt;&gt;",总表!G:G,"&gt;=2019/7/1",总表!G:G,"&lt;=2019/7/31")</f>
        <v>6</v>
      </c>
      <c r="F15" s="93"/>
    </row>
    <row r="16" spans="1:6">
      <c r="A16" s="91"/>
      <c r="B16" s="92" t="s">
        <v>1728</v>
      </c>
      <c r="C16" s="92">
        <f>COUNTIFS(总表!B:B,"*百安居*",总表!C:C,B16,总表!L:L,"&lt;&gt;",总表!G:G,"&gt;=2019/7/1",总表!G:G,"&lt;=2019/7/31")</f>
        <v>4</v>
      </c>
      <c r="D16" s="92" t="s">
        <v>717</v>
      </c>
      <c r="E16" s="92">
        <f>COUNTIFS(总表!B:B,"*百安居*",总表!D:D,D16,总表!L:L,"&lt;&gt;",总表!G:G,"&gt;=2019/7/1",总表!G:G,"&lt;=2019/7/31")</f>
        <v>2</v>
      </c>
      <c r="F16" s="93"/>
    </row>
    <row r="17" spans="1:6">
      <c r="A17" s="91"/>
      <c r="B17" s="92" t="s">
        <v>36</v>
      </c>
      <c r="C17" s="92">
        <f>COUNTIFS(总表!B:B,"*百安居*",总表!C:C,B17,总表!L:L,"&lt;&gt;",总表!G:G,"&gt;=2019/7/1",总表!G:G,"&lt;=2019/7/31")</f>
        <v>0</v>
      </c>
      <c r="D17" s="92" t="s">
        <v>343</v>
      </c>
      <c r="E17" s="92">
        <f>COUNTIFS(总表!B:B,"*百安居*",总表!D:D,D17,总表!L:L,"&lt;&gt;",总表!G:G,"&gt;=2019/7/1",总表!G:G,"&lt;=2019/7/31")</f>
        <v>9</v>
      </c>
      <c r="F17" s="93"/>
    </row>
    <row r="18" spans="1:6">
      <c r="A18" s="91"/>
      <c r="B18" s="92" t="s">
        <v>206</v>
      </c>
      <c r="C18" s="92">
        <f>COUNTIFS(总表!B:B,"*百安居*",总表!C:C,B18,总表!L:L,"&lt;&gt;",总表!G:G,"&gt;=2019/7/1",总表!G:G,"&lt;=2019/7/31")</f>
        <v>0</v>
      </c>
      <c r="D18" s="92" t="s">
        <v>221</v>
      </c>
      <c r="E18" s="92">
        <f>COUNTIFS(总表!B:B,"*百安居*",总表!D:D,D18,总表!L:L,"&lt;&gt;",总表!G:G,"&gt;=2019/7/1",总表!G:G,"&lt;=2019/7/31")</f>
        <v>0</v>
      </c>
      <c r="F18" s="93"/>
    </row>
    <row r="19" spans="1:6">
      <c r="A19" s="91"/>
      <c r="B19" s="92"/>
      <c r="C19" s="92"/>
      <c r="D19" s="92" t="s">
        <v>60</v>
      </c>
      <c r="E19" s="92">
        <f>COUNTIFS(总表!B:B,"*百安居*",总表!D:D,D19,总表!L:L,"&lt;&gt;",总表!G:G,"&gt;=2019/7/1",总表!G:G,"&lt;=2019/7/31")</f>
        <v>2</v>
      </c>
      <c r="F19" s="93"/>
    </row>
    <row r="20" spans="1:6">
      <c r="A20" s="91"/>
      <c r="B20" s="92"/>
      <c r="C20" s="92"/>
      <c r="D20" s="92" t="s">
        <v>68</v>
      </c>
      <c r="E20" s="92">
        <f>COUNTIFS(总表!B:B,"*百安居*",总表!D:D,D20,总表!L:L,"&lt;&gt;",总表!G:G,"&gt;=2019/7/1",总表!G:G,"&lt;=2019/7/31")</f>
        <v>2</v>
      </c>
      <c r="F20" s="93"/>
    </row>
    <row r="21" spans="1:6">
      <c r="A21" s="91"/>
      <c r="B21" s="92"/>
      <c r="C21" s="92"/>
      <c r="D21" s="92" t="s">
        <v>337</v>
      </c>
      <c r="E21" s="92">
        <f>COUNTIFS(总表!B:B,"*百安居*",总表!D:D,D21,总表!L:L,"&lt;&gt;",总表!G:G,"&gt;=2019/7/1",总表!G:G,"&lt;=2019/7/31")</f>
        <v>0</v>
      </c>
      <c r="F21" s="93"/>
    </row>
    <row r="22" spans="1:6">
      <c r="A22" s="91"/>
      <c r="B22" s="92"/>
      <c r="C22" s="92"/>
      <c r="D22" s="92" t="s">
        <v>75</v>
      </c>
      <c r="E22" s="92">
        <f>COUNTIFS(总表!B:B,"*百安居*",总表!D:D,D22,总表!L:L,"&lt;&gt;",总表!G:G,"&gt;=2019/7/1",总表!G:G,"&lt;=2019/7/31")</f>
        <v>2</v>
      </c>
      <c r="F22" s="93"/>
    </row>
    <row r="23" spans="1:6">
      <c r="A23" s="91"/>
      <c r="B23" s="92"/>
      <c r="C23" s="92"/>
      <c r="D23" s="92" t="s">
        <v>162</v>
      </c>
      <c r="E23" s="92">
        <f>COUNTIFS(总表!B:B,"*百安居*",总表!D:D,D23,总表!L:L,"&lt;&gt;",总表!G:G,"&gt;=2019/7/1",总表!G:G,"&lt;=2019/7/31")</f>
        <v>2</v>
      </c>
      <c r="F23" s="93"/>
    </row>
    <row r="24" spans="1:6">
      <c r="A24" s="91"/>
      <c r="B24" s="92"/>
      <c r="C24" s="92"/>
      <c r="D24" s="92" t="s">
        <v>187</v>
      </c>
      <c r="E24" s="92">
        <f>COUNTIFS(总表!B:B,"*百安居*",总表!D:D,D24,总表!L:L,"&lt;&gt;",总表!G:G,"&gt;=2019/7/1",总表!G:G,"&lt;=2019/7/31")</f>
        <v>6</v>
      </c>
      <c r="F24" s="93"/>
    </row>
    <row r="25" spans="1:6">
      <c r="A25" s="91"/>
      <c r="B25" s="92"/>
      <c r="C25" s="92"/>
      <c r="D25" s="92" t="s">
        <v>635</v>
      </c>
      <c r="E25" s="92">
        <f>COUNTIFS(总表!B:B,"*百安居*",总表!D:D,D25,总表!L:L,"&lt;&gt;",总表!G:G,"&gt;=2019/7/1",总表!G:G,"&lt;=2019/7/31")</f>
        <v>2</v>
      </c>
      <c r="F25" s="93"/>
    </row>
    <row r="26" spans="1:6">
      <c r="A26" s="91"/>
      <c r="B26" s="92"/>
      <c r="C26" s="92"/>
      <c r="D26" s="92" t="s">
        <v>44</v>
      </c>
      <c r="E26" s="92">
        <f>COUNTIFS(总表!B:B,"*百安居*",总表!D:D,D26,总表!L:L,"&lt;&gt;",总表!G:G,"&gt;=2019/7/1",总表!G:G,"&lt;=2019/7/31")</f>
        <v>1</v>
      </c>
      <c r="F26" s="93"/>
    </row>
    <row r="27" spans="1:6">
      <c r="A27" s="91"/>
      <c r="B27" s="92"/>
      <c r="C27" s="92"/>
      <c r="D27" s="92" t="s">
        <v>171</v>
      </c>
      <c r="E27" s="92">
        <f>COUNTIFS(总表!B:B,"*百安居*",总表!D:D,D27,总表!L:L,"&lt;&gt;",总表!G:G,"&gt;=2019/7/1",总表!G:G,"&lt;=2019/7/31")</f>
        <v>0</v>
      </c>
      <c r="F27" s="93"/>
    </row>
    <row r="28" spans="1:6">
      <c r="A28" s="91"/>
      <c r="B28" s="92"/>
      <c r="C28" s="92"/>
      <c r="D28" s="92" t="s">
        <v>89</v>
      </c>
      <c r="E28" s="92">
        <f>COUNTIFS(总表!B:B,"*百安居*",总表!D:D,D28,总表!L:L,"&lt;&gt;",总表!G:G,"&gt;=2019/7/1",总表!G:G,"&lt;=2019/7/31")</f>
        <v>11</v>
      </c>
      <c r="F28" s="93"/>
    </row>
    <row r="29" ht="17.25" spans="1:6">
      <c r="A29" s="95"/>
      <c r="B29" s="96"/>
      <c r="C29" s="96"/>
      <c r="D29" s="96" t="s">
        <v>37</v>
      </c>
      <c r="E29" s="96">
        <f>COUNTIFS(总表!B:B,"*百安居*",总表!D:D,D29,总表!L:L,"&lt;&gt;",总表!G:G,"&gt;=2019/7/1",总表!G:G,"&lt;=2019/7/31")</f>
        <v>17</v>
      </c>
      <c r="F29" s="97"/>
    </row>
    <row r="30" spans="1:6">
      <c r="A30" s="98" t="s">
        <v>73</v>
      </c>
      <c r="B30" s="99" t="s">
        <v>498</v>
      </c>
      <c r="C30" s="99">
        <f>COUNTIFS(总表!B:B,A30,总表!C:C,B30,总表!L:L,"&lt;&gt;",总表!G:G,"&gt;=2019/7/1",总表!G:G,"&lt;=2019/7/31")</f>
        <v>0</v>
      </c>
      <c r="D30" s="89" t="s">
        <v>143</v>
      </c>
      <c r="E30" s="89">
        <f>COUNTIFS(总表!B:B,A30,总表!D:D,D30,总表!L:L,"&lt;&gt;",总表!G:G,"&gt;=2019/7/1",总表!G:G,"&lt;=2019/7/31")</f>
        <v>8</v>
      </c>
      <c r="F30" s="100">
        <f>COUNTIFS(总表!B:B,A30,总表!L:L,"&lt;&gt;",总表!G:G,"&gt;=2019/7/1",总表!G:G,"&lt;=2019/7/31")</f>
        <v>52</v>
      </c>
    </row>
    <row r="31" spans="1:6">
      <c r="A31" s="101"/>
      <c r="B31" s="102" t="s">
        <v>178</v>
      </c>
      <c r="C31" s="102">
        <f>COUNTIFS(总表!B:B,A30,总表!C:C,B31,总表!L:L,"&lt;&gt;",总表!G:G,"&gt;=2019/7/1",总表!G:G,"&lt;=2019/7/31")</f>
        <v>13</v>
      </c>
      <c r="D31" s="102" t="s">
        <v>139</v>
      </c>
      <c r="E31" s="102">
        <f>COUNTIFS(总表!B:B,A30,总表!D:D,D31,总表!L:L,"&lt;&gt;",总表!G:G,"&gt;=2019/7/1",总表!G:G,"&lt;=2019/7/31")</f>
        <v>3</v>
      </c>
      <c r="F31" s="103"/>
    </row>
    <row r="32" spans="1:6">
      <c r="A32" s="101"/>
      <c r="B32" s="102" t="s">
        <v>1130</v>
      </c>
      <c r="C32" s="102">
        <f>COUNTIFS(总表!B:B,A30,总表!C:C,B32,总表!L:L,"&lt;&gt;",总表!G:G,"&gt;=2019/7/1",总表!G:G,"&lt;=2019/7/31")</f>
        <v>7</v>
      </c>
      <c r="D32" s="102" t="s">
        <v>356</v>
      </c>
      <c r="E32" s="102">
        <f>COUNTIFS(总表!B:B,A30,总表!D:D,D32,总表!L:L,"&lt;&gt;",总表!G:G,"&gt;=2019/7/1",总表!G:G,"&lt;=2019/7/31")</f>
        <v>0</v>
      </c>
      <c r="F32" s="103"/>
    </row>
    <row r="33" spans="1:6">
      <c r="A33" s="101"/>
      <c r="B33" s="102" t="s">
        <v>21288</v>
      </c>
      <c r="C33" s="102">
        <f>COUNTIFS(总表!B:B,A30,总表!C:C,B33,总表!L:L,"&lt;&gt;",总表!G:G,"&gt;=2019/7/1",总表!G:G,"&lt;=2019/7/31")</f>
        <v>0</v>
      </c>
      <c r="D33" s="102" t="s">
        <v>132</v>
      </c>
      <c r="E33" s="102">
        <f>COUNTIFS(总表!B:B,A30,总表!D:D,D33,总表!L:L,"&lt;&gt;",总表!G:G,"&gt;=2019/7/1",总表!G:G,"&lt;=2019/7/31")</f>
        <v>20</v>
      </c>
      <c r="F33" s="103"/>
    </row>
    <row r="34" spans="1:6">
      <c r="A34" s="101"/>
      <c r="B34" s="102" t="s">
        <v>74</v>
      </c>
      <c r="C34" s="102">
        <f>COUNTIFS(总表!B:B,A30,总表!C:C,B34,总表!L:L,"&lt;&gt;",总表!G:G,"&gt;=2019/7/1",总表!G:G,"&lt;=2019/7/31")</f>
        <v>31</v>
      </c>
      <c r="D34" s="94" t="s">
        <v>717</v>
      </c>
      <c r="E34" s="94">
        <f>COUNTIFS(总表!B:B,A30,总表!D:D,D34,总表!L:L,"&lt;&gt;",总表!G:G,"&gt;=2019/7/1",总表!G:G,"&lt;=2019/7/31")</f>
        <v>14</v>
      </c>
      <c r="F34" s="103"/>
    </row>
    <row r="35" spans="1:6">
      <c r="A35" s="101"/>
      <c r="B35" s="102" t="s">
        <v>5558</v>
      </c>
      <c r="C35" s="102">
        <f>COUNTIFS(总表!B:B,A30,总表!C:C,B35,总表!L:L,"&lt;&gt;",总表!G:G,"&gt;=2019/7/1",总表!G:G,"&lt;=2019/7/31")</f>
        <v>0</v>
      </c>
      <c r="D35" s="102" t="s">
        <v>60</v>
      </c>
      <c r="E35" s="102">
        <f>COUNTIFS(总表!B:B,A30,总表!D:D,D35,总表!L:L,"&lt;&gt;",总表!G:G,"&gt;=2019/7/1",总表!G:G,"&lt;=2019/7/31")</f>
        <v>0</v>
      </c>
      <c r="F35" s="103"/>
    </row>
    <row r="36" spans="1:6">
      <c r="A36" s="101"/>
      <c r="B36" s="102" t="s">
        <v>4565</v>
      </c>
      <c r="C36" s="102">
        <f>COUNTIFS(总表!B:B,A30,总表!C:C,B36,总表!L:L,"&lt;&gt;",总表!G:G,"&gt;=2019/7/1",总表!G:G,"&lt;=2019/7/31")</f>
        <v>1</v>
      </c>
      <c r="D36" s="94" t="s">
        <v>75</v>
      </c>
      <c r="E36" s="94">
        <f>COUNTIFS(总表!B:B,A30,总表!D:D,D36,总表!L:L,"&lt;&gt;",总表!G:G,"&gt;=2019/7/1",总表!G:G,"&lt;=2019/7/31")</f>
        <v>0</v>
      </c>
      <c r="F36" s="103"/>
    </row>
    <row r="37" spans="1:6">
      <c r="A37" s="101"/>
      <c r="B37" s="102"/>
      <c r="C37" s="102"/>
      <c r="D37" s="102" t="s">
        <v>162</v>
      </c>
      <c r="E37" s="102">
        <f>COUNTIFS(总表!B:B,A30,总表!D:D,D37,总表!L:L,"&lt;&gt;",总表!G:G,"&gt;=2019/7/1",总表!G:G,"&lt;=2019/7/31")</f>
        <v>1</v>
      </c>
      <c r="F37" s="103"/>
    </row>
    <row r="38" spans="1:6">
      <c r="A38" s="101"/>
      <c r="B38" s="102"/>
      <c r="C38" s="102"/>
      <c r="D38" s="102" t="s">
        <v>187</v>
      </c>
      <c r="E38" s="102">
        <f>COUNTIFS(总表!B:B,A30,总表!D:D,D38,总表!L:L,"&lt;&gt;",总表!G:G,"&gt;=2019/7/1",总表!G:G,"&lt;=2019/7/31")</f>
        <v>2</v>
      </c>
      <c r="F38" s="103"/>
    </row>
    <row r="39" spans="1:6">
      <c r="A39" s="101"/>
      <c r="B39" s="102"/>
      <c r="C39" s="102"/>
      <c r="D39" s="102" t="s">
        <v>44</v>
      </c>
      <c r="E39" s="102">
        <f>COUNTIFS(总表!B:B,A30,总表!D:D,D39,总表!L:L,"&lt;&gt;",总表!G:G,"&gt;=2019/7/1",总表!G:G,"&lt;=2019/7/31")</f>
        <v>4</v>
      </c>
      <c r="F39" s="103"/>
    </row>
    <row r="40" spans="1:6">
      <c r="A40" s="101"/>
      <c r="B40" s="102"/>
      <c r="C40" s="102"/>
      <c r="D40" s="102" t="s">
        <v>89</v>
      </c>
      <c r="E40" s="102">
        <f>COUNTIFS(总表!B:B,A40,总表!D:D,D40,总表!L:L,"&lt;&gt;",总表!G:G,"&gt;=2019/7/1",总表!G:G,"&lt;=2019/7/31")</f>
        <v>0</v>
      </c>
      <c r="F40" s="103"/>
    </row>
    <row r="41" ht="17.25" spans="1:6">
      <c r="A41" s="104"/>
      <c r="B41" s="105"/>
      <c r="C41" s="105"/>
      <c r="D41" s="105" t="s">
        <v>49</v>
      </c>
      <c r="E41" s="105">
        <f>COUNTIFS(总表!B:B,A40,总表!D:D,D41,总表!L:L,"&lt;&gt;",总表!G:G,"&gt;=2019/7/1",总表!G:G,"&lt;=2019/7/31")</f>
        <v>0</v>
      </c>
      <c r="F41" s="106"/>
    </row>
    <row r="42" spans="1:6">
      <c r="A42" s="107" t="s">
        <v>2625</v>
      </c>
      <c r="B42" s="108" t="s">
        <v>2626</v>
      </c>
      <c r="C42" s="108">
        <f>COUNTIFS(总表!B:B,A42,总表!C:C,B42,总表!L:L,"&lt;&gt;",总表!G:G,"&gt;=2019/7/1",总表!G:G,"&lt;=2019/7/31")</f>
        <v>8</v>
      </c>
      <c r="D42" s="108" t="s">
        <v>717</v>
      </c>
      <c r="E42" s="108">
        <f>COUNTIFS(总表!B:B,A42,总表!D:D,D42,总表!L:L,"&lt;&gt;",总表!G:G,"&gt;=2019/7/1",总表!G:G,"&lt;=2019/7/31")</f>
        <v>1</v>
      </c>
      <c r="F42" s="109">
        <f>COUNTIFS(总表!B:B,A42,总表!L:L,"&lt;&gt;",总表!G:G,"&gt;=2019/7/1",总表!G:G,"&lt;=2019/7/31")</f>
        <v>8</v>
      </c>
    </row>
    <row r="43" spans="1:6">
      <c r="A43" s="110"/>
      <c r="B43" s="111"/>
      <c r="C43" s="111"/>
      <c r="D43" s="111" t="s">
        <v>337</v>
      </c>
      <c r="E43" s="111">
        <f>COUNTIFS(总表!B:B,A42,总表!D:D,D43,总表!L:L,"&lt;&gt;",总表!G:G,"&gt;=2019/7/1",总表!G:G,"&lt;=2019/7/31")</f>
        <v>2</v>
      </c>
      <c r="F43" s="112"/>
    </row>
    <row r="44" spans="1:6">
      <c r="A44" s="110"/>
      <c r="B44" s="111"/>
      <c r="C44" s="111"/>
      <c r="D44" s="111" t="s">
        <v>635</v>
      </c>
      <c r="E44" s="111">
        <f>COUNTIFS(总表!B:B,A42,总表!D:D,D44,总表!L:L,"&lt;&gt;",总表!G:G,"&gt;=2019/7/1",总表!G:G,"&lt;=2019/7/31")</f>
        <v>2</v>
      </c>
      <c r="F44" s="112"/>
    </row>
    <row r="45" spans="1:6">
      <c r="A45" s="110"/>
      <c r="B45" s="111"/>
      <c r="C45" s="111"/>
      <c r="D45" s="111" t="s">
        <v>44</v>
      </c>
      <c r="E45" s="111">
        <f>COUNTIFS(总表!B:B,A42,总表!D:D,D45,总表!L:L,"&lt;&gt;",总表!G:G,"&gt;=2019/7/1",总表!G:G,"&lt;=2019/7/31")</f>
        <v>1</v>
      </c>
      <c r="F45" s="112"/>
    </row>
    <row r="46" ht="17.25" spans="1:6">
      <c r="A46" s="113"/>
      <c r="B46" s="114"/>
      <c r="C46" s="114"/>
      <c r="D46" s="115" t="s">
        <v>89</v>
      </c>
      <c r="E46" s="115">
        <f>COUNTIFS(总表!B:B,A42,总表!D:D,D46,总表!L:L,"&lt;&gt;",总表!G:G,"&gt;=2019/7/1",总表!G:G,"&lt;=2019/7/31")</f>
        <v>2</v>
      </c>
      <c r="F46" s="116"/>
    </row>
    <row r="47" spans="1:6">
      <c r="A47" s="117" t="s">
        <v>281</v>
      </c>
      <c r="B47" s="118" t="s">
        <v>498</v>
      </c>
      <c r="C47" s="119">
        <f>COUNTIFS(总表!B:B,A47,总表!C:C,B47,总表!L:L,"&lt;&gt;",总表!G:G,"&gt;=2019/7/1",总表!G:G,"&lt;=2019/7/31")</f>
        <v>0</v>
      </c>
      <c r="D47" s="118" t="s">
        <v>143</v>
      </c>
      <c r="E47" s="119">
        <f>COUNTIFS(总表!B:B,A47,总表!D:D,D47,总表!L:L,"&lt;&gt;",总表!G:G,"&gt;=2019/7/1",总表!G:G,"&lt;=2019/7/31")</f>
        <v>1</v>
      </c>
      <c r="F47" s="120">
        <f>COUNTIFS(总表!B:B,A47,总表!L:L,"&lt;&gt;",总表!G:G,"&gt;=2019/7/1",总表!G:G,"&lt;=2019/7/31")</f>
        <v>19</v>
      </c>
    </row>
    <row r="48" spans="1:6">
      <c r="A48" s="121"/>
      <c r="B48" s="122" t="s">
        <v>587</v>
      </c>
      <c r="C48" s="123">
        <f>COUNTIFS(总表!B:B,A47,总表!C:C,B48,总表!L:L,"&lt;&gt;",总表!G:G,"&gt;=2019/7/1",总表!G:G,"&lt;=2019/7/31")</f>
        <v>4</v>
      </c>
      <c r="D48" s="124" t="s">
        <v>518</v>
      </c>
      <c r="E48" s="94">
        <f>COUNTIFS(总表!B:B,A47,总表!D:D,D48,总表!L:L,"&lt;&gt;",总表!G:G,"&gt;=2019/7/1",总表!G:G,"&lt;=2019/7/31")</f>
        <v>18</v>
      </c>
      <c r="F48" s="125"/>
    </row>
    <row r="49" spans="1:6">
      <c r="A49" s="121"/>
      <c r="B49" s="122" t="s">
        <v>1831</v>
      </c>
      <c r="C49" s="123">
        <f>COUNTIFS(总表!B:B,A47,总表!C:C,B49,总表!L:L,"&lt;&gt;",总表!G:G,"&gt;=2019/7/1",总表!G:G,"&lt;=2019/7/31")</f>
        <v>1</v>
      </c>
      <c r="D49" s="124" t="s">
        <v>49</v>
      </c>
      <c r="E49" s="94">
        <f>COUNTIFS(总表!B:B,A47,总表!D:D,D49,总表!L:L,"&lt;&gt;",总表!G:G,"&gt;=2019/7/1",总表!G:G,"&lt;=2019/7/31")</f>
        <v>0</v>
      </c>
      <c r="F49" s="125"/>
    </row>
    <row r="50" spans="1:6">
      <c r="A50" s="121"/>
      <c r="B50" s="122" t="s">
        <v>517</v>
      </c>
      <c r="C50" s="123">
        <f>COUNTIFS(总表!B:B,A47,总表!C:C,B50,总表!L:L,"&lt;&gt;",总表!G:G,"&gt;=2019/7/1",总表!G:G,"&lt;=2019/7/31")</f>
        <v>8</v>
      </c>
      <c r="D50" s="123"/>
      <c r="E50" s="123"/>
      <c r="F50" s="125"/>
    </row>
    <row r="51" spans="1:6">
      <c r="A51" s="121"/>
      <c r="B51" s="122" t="s">
        <v>21289</v>
      </c>
      <c r="C51" s="123">
        <f>COUNTIFS(总表!B:B,A47,总表!C:C,B51,总表!L:L,"&lt;&gt;",总表!G:G,"&gt;=2019/7/1",总表!G:G,"&lt;=2019/7/31")</f>
        <v>0</v>
      </c>
      <c r="D51" s="123"/>
      <c r="E51" s="123"/>
      <c r="F51" s="125"/>
    </row>
    <row r="52" ht="17.25" spans="1:6">
      <c r="A52" s="126"/>
      <c r="B52" s="127" t="s">
        <v>491</v>
      </c>
      <c r="C52" s="128">
        <f>COUNTIFS(总表!B:B,A47,总表!C:C,B52,总表!L:L,"&lt;&gt;",总表!G:G,"&gt;=2019/7/1",总表!G:G,"&lt;=2019/7/31")</f>
        <v>5</v>
      </c>
      <c r="D52" s="128"/>
      <c r="E52" s="128"/>
      <c r="F52" s="129"/>
    </row>
    <row r="53" spans="1:6">
      <c r="A53" s="130" t="s">
        <v>153</v>
      </c>
      <c r="B53" s="131" t="s">
        <v>154</v>
      </c>
      <c r="C53" s="131">
        <f>COUNTIFS(总表!B:B,A53,总表!C:C,B53,总表!L:L,"&lt;&gt;",总表!G:G,"&gt;=2019/7/1",总表!G:G,"&lt;=2019/7/31")</f>
        <v>15</v>
      </c>
      <c r="D53" s="132" t="s">
        <v>155</v>
      </c>
      <c r="E53" s="89">
        <f>COUNTIFS(总表!B:B,A53,总表!D:D,D53,总表!L:L,"&lt;&gt;",总表!G:G,"&gt;=2019/7/1",总表!G:G,"&lt;=2019/7/31")</f>
        <v>25</v>
      </c>
      <c r="F53" s="133">
        <f>COUNTIFS(总表!B:B,A53,总表!L:L,"&lt;&gt;",总表!G:G,"&gt;=2019/7/1",总表!G:G,"&lt;=2019/7/31")</f>
        <v>26</v>
      </c>
    </row>
    <row r="54" ht="17.25" spans="1:6">
      <c r="A54" s="134"/>
      <c r="B54" s="135" t="s">
        <v>302</v>
      </c>
      <c r="C54" s="135">
        <f>COUNTIFS(总表!B:B,A53,总表!C:C,B54,总表!L:L,"&lt;&gt;",总表!G:G,"&gt;=2019/7/1",总表!G:G,"&lt;=2019/7/31")</f>
        <v>11</v>
      </c>
      <c r="D54" s="135" t="s">
        <v>139</v>
      </c>
      <c r="E54" s="136">
        <f>COUNTIFS(总表!B:B,A53,总表!D:D,D54,总表!L:L,"&lt;&gt;",总表!G:G,"&gt;=2019/7/1",总表!G:G,"&lt;=2019/7/31")</f>
        <v>1</v>
      </c>
      <c r="F54" s="137"/>
    </row>
    <row r="55" spans="1:6">
      <c r="A55" s="138" t="s">
        <v>66</v>
      </c>
      <c r="B55" s="139" t="s">
        <v>2389</v>
      </c>
      <c r="C55" s="140">
        <f>COUNTIFS(总表!B:B,A55,总表!C:C,B55,总表!L:L,"&lt;&gt;",总表!G:G,"&gt;=2019/7/1",总表!G:G,"&lt;=2019/7/31")</f>
        <v>1</v>
      </c>
      <c r="D55" s="139" t="s">
        <v>182</v>
      </c>
      <c r="E55" s="140">
        <f>COUNTIFS(总表!B:B,A55,总表!D:D,D55,总表!L:L,"&lt;&gt;",总表!G:G,"&gt;=2019/7/1",总表!G:G,"&lt;=2019/7/31")</f>
        <v>1</v>
      </c>
      <c r="F55" s="141">
        <f>COUNTIFS(总表!B:B,A55,总表!L:L,"&lt;&gt;",总表!G:G,"&gt;=2019/7/1",总表!G:G,"&lt;=2019/7/31")</f>
        <v>64</v>
      </c>
    </row>
    <row r="56" spans="1:6">
      <c r="A56" s="142"/>
      <c r="B56" s="143" t="s">
        <v>3954</v>
      </c>
      <c r="C56" s="144">
        <f>COUNTIFS(总表!B:B,A55,总表!C:C,B56,总表!L:L,"&lt;&gt;",总表!G:G,"&gt;=2019/7/1",总表!G:G,"&lt;=2019/7/31")</f>
        <v>3</v>
      </c>
      <c r="D56" s="143" t="s">
        <v>143</v>
      </c>
      <c r="E56" s="144">
        <f>COUNTIFS(总表!B:B,A55,总表!D:D,D56,总表!L:L,"&lt;&gt;",总表!G:G,"&gt;=2019/7/1",总表!G:G,"&lt;=2019/7/31")</f>
        <v>7</v>
      </c>
      <c r="F56" s="145"/>
    </row>
    <row r="57" spans="1:6">
      <c r="A57" s="142"/>
      <c r="B57" s="143" t="s">
        <v>119</v>
      </c>
      <c r="C57" s="144">
        <f>COUNTIFS(总表!B:B,A55,总表!C:C,B57,总表!L:L,"&lt;&gt;",总表!G:G,"&gt;=2019/7/1",总表!G:G,"&lt;=2019/7/31")</f>
        <v>11</v>
      </c>
      <c r="D57" s="143" t="s">
        <v>356</v>
      </c>
      <c r="E57" s="144">
        <f>COUNTIFS(总表!B:B,A55,总表!D:D,D57,总表!L:L,"&lt;&gt;",总表!G:G,"&gt;=2019/7/1",总表!G:G,"&lt;=2019/7/31")</f>
        <v>1</v>
      </c>
      <c r="F57" s="145"/>
    </row>
    <row r="58" spans="1:6">
      <c r="A58" s="142"/>
      <c r="B58" s="143" t="s">
        <v>505</v>
      </c>
      <c r="C58" s="144">
        <f>COUNTIFS(总表!B:B,A55,总表!C:C,B58,总表!L:L,"&lt;&gt;",总表!G:G,"&gt;=2019/7/1",总表!G:G,"&lt;=2019/7/31")</f>
        <v>14</v>
      </c>
      <c r="D58" s="143" t="s">
        <v>427</v>
      </c>
      <c r="E58" s="144">
        <f>COUNTIFS(总表!B:B,A55,总表!D:D,D58,总表!L:L,"&lt;&gt;",总表!G:G,"&gt;=2019/7/1",总表!G:G,"&lt;=2019/7/31")</f>
        <v>0</v>
      </c>
      <c r="F58" s="145"/>
    </row>
    <row r="59" spans="1:6">
      <c r="A59" s="142"/>
      <c r="B59" s="143" t="s">
        <v>115</v>
      </c>
      <c r="C59" s="144">
        <f>COUNTIFS(总表!B:B,A55,总表!C:C,B59,总表!L:L,"&lt;&gt;",总表!G:G,"&gt;=2019/7/1",总表!G:G,"&lt;=2019/7/31")</f>
        <v>1</v>
      </c>
      <c r="D59" s="143" t="s">
        <v>125</v>
      </c>
      <c r="E59" s="144">
        <f>COUNTIFS(总表!B:B,A55,总表!D:D,D59,总表!L:L,"&lt;&gt;",总表!G:G,"&gt;=2019/7/1",总表!G:G,"&lt;=2019/7/31")</f>
        <v>0</v>
      </c>
      <c r="F59" s="145"/>
    </row>
    <row r="60" spans="1:6">
      <c r="A60" s="142"/>
      <c r="B60" s="143" t="s">
        <v>1749</v>
      </c>
      <c r="C60" s="144">
        <f>COUNTIFS(总表!B:B,A55,总表!C:C,B60,总表!L:L,"&lt;&gt;",总表!G:G,"&gt;=2019/7/1",总表!G:G,"&lt;=2019/7/31")</f>
        <v>12</v>
      </c>
      <c r="D60" s="143" t="s">
        <v>115</v>
      </c>
      <c r="E60" s="144">
        <f>COUNTIFS(总表!B:B,A55,总表!D:D,D60,总表!L:L,"&lt;&gt;",总表!G:G,"&gt;=2019/7/1",总表!G:G,"&lt;=2019/7/31")</f>
        <v>3</v>
      </c>
      <c r="F60" s="145"/>
    </row>
    <row r="61" spans="1:6">
      <c r="A61" s="142"/>
      <c r="B61" s="143" t="s">
        <v>67</v>
      </c>
      <c r="C61" s="144">
        <f>COUNTIFS(总表!B:B,A55,总表!C:C,B61,总表!L:L,"&lt;&gt;",总表!G:G,"&gt;=2019/7/1",总表!G:G,"&lt;=2019/7/31")</f>
        <v>12</v>
      </c>
      <c r="D61" s="124" t="s">
        <v>68</v>
      </c>
      <c r="E61" s="94">
        <f>COUNTIFS(总表!B:B,A55,总表!D:D,D61,总表!L:L,"&lt;&gt;",总表!G:G,"&gt;=2019/7/1",总表!G:G,"&lt;=2019/7/31")</f>
        <v>49</v>
      </c>
      <c r="F61" s="145"/>
    </row>
    <row r="62" spans="1:6">
      <c r="A62" s="142"/>
      <c r="B62" s="143" t="s">
        <v>951</v>
      </c>
      <c r="C62" s="144">
        <f>COUNTIFS(总表!B:B,A55,总表!C:C,B62,总表!L:L,"&lt;&gt;",总表!G:G,"&gt;=2019/7/1",总表!G:G,"&lt;=2019/7/31")</f>
        <v>10</v>
      </c>
      <c r="D62" s="143" t="s">
        <v>75</v>
      </c>
      <c r="E62" s="144">
        <f>COUNTIFS(总表!B:B,A55,总表!D:D,D62,总表!L:L,"&lt;&gt;",总表!G:G,"&gt;=2019/7/1",总表!G:G,"&lt;=2019/7/31")</f>
        <v>0</v>
      </c>
      <c r="F62" s="145"/>
    </row>
    <row r="63" spans="1:6">
      <c r="A63" s="142"/>
      <c r="B63" s="143"/>
      <c r="C63" s="144"/>
      <c r="D63" s="143" t="s">
        <v>44</v>
      </c>
      <c r="E63" s="144">
        <f>COUNTIFS(总表!B:B,A55,总表!D:D,D63,总表!L:L,"&lt;&gt;",总表!G:G,"&gt;=2019/7/1",总表!G:G,"&lt;=2019/7/31")</f>
        <v>1</v>
      </c>
      <c r="F63" s="145"/>
    </row>
    <row r="64" spans="1:6">
      <c r="A64" s="142"/>
      <c r="B64" s="143"/>
      <c r="C64" s="144"/>
      <c r="D64" s="143" t="s">
        <v>89</v>
      </c>
      <c r="E64" s="144">
        <f>COUNTIFS(总表!B:B,A55,总表!D:D,D64,总表!L:L,"&lt;&gt;",总表!G:G,"&gt;=2019/7/1",总表!G:G,"&lt;=2019/7/31")</f>
        <v>1</v>
      </c>
      <c r="F64" s="145"/>
    </row>
    <row r="65" ht="17.25" spans="1:6">
      <c r="A65" s="147"/>
      <c r="B65" s="148"/>
      <c r="C65" s="148"/>
      <c r="D65" s="149" t="s">
        <v>37</v>
      </c>
      <c r="E65" s="148">
        <f>COUNTIFS(总表!B:B,A55,总表!D:D,D65,总表!L:L,"&lt;&gt;",总表!G:G,"&gt;=2019/7/1",总表!G:G,"&lt;=2019/7/31")</f>
        <v>1</v>
      </c>
      <c r="F65" s="150"/>
    </row>
    <row r="66" spans="1:6">
      <c r="A66" s="151" t="s">
        <v>87</v>
      </c>
      <c r="B66" s="152" t="s">
        <v>1757</v>
      </c>
      <c r="C66" s="152">
        <f>COUNTIFS(总表!B:B,A66,总表!C:C,B66,总表!L:L,"&lt;&gt;",总表!G:G,"&gt;=2019/7/1",总表!G:G,"&lt;=2019/7/31")</f>
        <v>7</v>
      </c>
      <c r="D66" s="153" t="s">
        <v>143</v>
      </c>
      <c r="E66" s="152">
        <f>COUNTIFS(总表!B:B,A66,总表!D:D,D66,总表!L:L,"&lt;&gt;",总表!G:G,"&gt;=2019/7/1",总表!G:G,"&lt;=2019/7/31")</f>
        <v>0</v>
      </c>
      <c r="F66" s="154">
        <f>COUNTIFS(总表!B:B,A66,总表!L:L,"&lt;&gt;",总表!G:G,"&gt;=2019/7/1",总表!G:G,"&lt;=2019/7/31")</f>
        <v>26</v>
      </c>
    </row>
    <row r="67" spans="1:6">
      <c r="A67" s="155"/>
      <c r="B67" s="156" t="s">
        <v>88</v>
      </c>
      <c r="C67" s="156">
        <f>COUNTIFS(总表!B:B,A66,总表!C:C,B67,总表!L:L,"&lt;&gt;",总表!G:G,"&gt;=2019/7/1",总表!G:G,"&lt;=2019/7/31")</f>
        <v>0</v>
      </c>
      <c r="D67" s="157" t="s">
        <v>1170</v>
      </c>
      <c r="E67" s="156">
        <f>COUNTIFS(总表!B:B,A66,总表!D:D,D67,总表!L:L,"&lt;&gt;",总表!G:G,"&gt;=2019/7/1",总表!G:G,"&lt;=2019/7/31")</f>
        <v>3</v>
      </c>
      <c r="F67" s="158"/>
    </row>
    <row r="68" spans="1:6">
      <c r="A68" s="155"/>
      <c r="B68" s="156" t="s">
        <v>466</v>
      </c>
      <c r="C68" s="156">
        <f>COUNTIFS(总表!B:B,A66,总表!C:C,B68,总表!L:L,"&lt;&gt;",总表!G:G,"&gt;=2019/7/1",总表!G:G,"&lt;=2019/7/31")</f>
        <v>12</v>
      </c>
      <c r="D68" s="157" t="s">
        <v>717</v>
      </c>
      <c r="E68" s="156">
        <f>COUNTIFS(总表!B:B,A66,总表!D:D,D68,总表!L:L,"&lt;&gt;",总表!G:G,"&gt;=2019/7/1",总表!G:G,"&lt;=2019/7/31")</f>
        <v>1</v>
      </c>
      <c r="F68" s="158"/>
    </row>
    <row r="69" spans="1:6">
      <c r="A69" s="155"/>
      <c r="B69" s="156" t="s">
        <v>199</v>
      </c>
      <c r="C69" s="156">
        <f>COUNTIFS(总表!B:B,A66,总表!C:C,B69,总表!L:L,"&lt;&gt;",总表!G:G,"&gt;=2019/7/1",总表!G:G,"&lt;=2019/7/31")</f>
        <v>7</v>
      </c>
      <c r="D69" s="157" t="s">
        <v>60</v>
      </c>
      <c r="E69" s="156">
        <f>COUNTIFS(总表!B:B,A66,总表!D:D,D69,总表!L:L,"&lt;&gt;",总表!G:G,"&gt;=2019/7/1",总表!G:G,"&lt;=2019/7/31")</f>
        <v>1</v>
      </c>
      <c r="F69" s="158"/>
    </row>
    <row r="70" spans="1:6">
      <c r="A70" s="155"/>
      <c r="B70" s="156"/>
      <c r="C70" s="156"/>
      <c r="D70" s="157" t="s">
        <v>75</v>
      </c>
      <c r="E70" s="156">
        <f>COUNTIFS(总表!B:B,A66,总表!D:D,D70,总表!L:L,"&lt;&gt;",总表!G:G,"&gt;=2019/7/1",总表!G:G,"&lt;=2019/7/31")</f>
        <v>1</v>
      </c>
      <c r="F70" s="158"/>
    </row>
    <row r="71" spans="1:6">
      <c r="A71" s="155"/>
      <c r="B71" s="156"/>
      <c r="C71" s="156"/>
      <c r="D71" s="157" t="s">
        <v>171</v>
      </c>
      <c r="E71" s="156">
        <f>COUNTIFS(总表!B:B,A66,总表!D:D,D71,总表!L:L,"&lt;&gt;",总表!G:G,"&gt;=2019/7/1",总表!G:G,"&lt;=2019/7/31")</f>
        <v>3</v>
      </c>
      <c r="F71" s="158"/>
    </row>
    <row r="72" spans="1:6">
      <c r="A72" s="155"/>
      <c r="B72" s="156"/>
      <c r="C72" s="156"/>
      <c r="D72" s="124" t="s">
        <v>89</v>
      </c>
      <c r="E72" s="94">
        <f>COUNTIFS(总表!B:B,A66,总表!D:D,D72,总表!L:L,"&lt;&gt;",总表!G:G,"&gt;=2019/7/1",总表!G:G,"&lt;=2019/7/31")</f>
        <v>16</v>
      </c>
      <c r="F72" s="158"/>
    </row>
    <row r="73" ht="17.25" spans="1:6">
      <c r="A73" s="159"/>
      <c r="B73" s="160"/>
      <c r="C73" s="160"/>
      <c r="D73" s="161" t="s">
        <v>37</v>
      </c>
      <c r="E73" s="160">
        <f>COUNTIFS(总表!B:B,A66,总表!D:D,D73,总表!L:L,"&lt;&gt;",总表!G:G,"&gt;=2019/7/1",总表!G:G,"&lt;=2019/7/31")</f>
        <v>1</v>
      </c>
      <c r="F73" s="162"/>
    </row>
    <row r="74" spans="1:6">
      <c r="A74" s="163" t="s">
        <v>137</v>
      </c>
      <c r="B74" s="164" t="s">
        <v>191</v>
      </c>
      <c r="C74" s="165">
        <f>COUNTIFS(总表!B:B,A74,总表!C:C,B74,总表!L:L,"&lt;&gt;",总表!G:G,"&gt;=2019/7/1",总表!G:G,"&lt;=2019/7/31")</f>
        <v>0</v>
      </c>
      <c r="D74" s="132" t="s">
        <v>191</v>
      </c>
      <c r="E74" s="89">
        <f>COUNTIFS(总表!B:B,A74,总表!D:D,D74,总表!L:L,"&lt;&gt;",总表!G:G,"&gt;=2019/7/1",总表!G:G,"&lt;=2019/7/31")</f>
        <v>1</v>
      </c>
      <c r="F74" s="166">
        <f>COUNTIFS(总表!B:B,A74,总表!L:L,"&lt;&gt;",总表!G:G,"&gt;=2019/7/1",总表!G:G,"&lt;=2019/7/31")</f>
        <v>114</v>
      </c>
    </row>
    <row r="75" spans="1:6">
      <c r="A75" s="167"/>
      <c r="B75" s="168" t="s">
        <v>426</v>
      </c>
      <c r="C75" s="169">
        <f>COUNTIFS(总表!B:B,A74,总表!C:C,B75,总表!L:L,"&lt;&gt;",总表!G:G,"&gt;=2019/7/1",总表!G:G,"&lt;=2019/7/31")</f>
        <v>1</v>
      </c>
      <c r="D75" s="124" t="s">
        <v>139</v>
      </c>
      <c r="E75" s="94">
        <f>COUNTIFS(总表!B:B,A74,总表!D:D,D75,总表!L:L,"&lt;&gt;",总表!G:G,"&gt;=2019/7/1",总表!G:G,"&lt;=2019/7/31")</f>
        <v>63</v>
      </c>
      <c r="F75" s="170"/>
    </row>
    <row r="76" spans="1:6">
      <c r="A76" s="167"/>
      <c r="B76" s="168" t="s">
        <v>406</v>
      </c>
      <c r="C76" s="169">
        <f>COUNTIFS(总表!B:B,A74,总表!C:C,B76,总表!L:L,"&lt;&gt;",总表!G:G,"&gt;=2019/7/1",总表!G:G,"&lt;=2019/7/31")</f>
        <v>15</v>
      </c>
      <c r="D76" s="124" t="s">
        <v>427</v>
      </c>
      <c r="E76" s="94">
        <f>COUNTIFS(总表!B:B,A74,总表!D:D,D76,总表!L:L,"&lt;&gt;",总表!G:G,"&gt;=2019/7/1",总表!G:G,"&lt;=2019/7/31")</f>
        <v>25</v>
      </c>
      <c r="F76" s="170"/>
    </row>
    <row r="77" spans="1:6">
      <c r="A77" s="167"/>
      <c r="B77" s="168" t="s">
        <v>480</v>
      </c>
      <c r="C77" s="169">
        <f>COUNTIFS(总表!B:B,A74,总表!C:C,B77,总表!L:L,"&lt;&gt;",总表!G:G,"&gt;=2019/7/1",总表!G:G,"&lt;=2019/7/31")</f>
        <v>32</v>
      </c>
      <c r="D77" s="168" t="s">
        <v>717</v>
      </c>
      <c r="E77" s="169">
        <f>COUNTIFS(总表!B:B,A74,总表!D:D,D77,总表!L:L,"&lt;&gt;",总表!G:G,"&gt;=2019/7/1",总表!G:G,"&lt;=2019/7/31")</f>
        <v>1</v>
      </c>
      <c r="F77" s="170"/>
    </row>
    <row r="78" spans="1:6">
      <c r="A78" s="167"/>
      <c r="B78" s="168" t="s">
        <v>1108</v>
      </c>
      <c r="C78" s="169">
        <f>COUNTIFS(总表!B:B,A74,总表!C:C,B78,总表!L:L,"&lt;&gt;",总表!G:G,"&gt;=2019/7/1",总表!G:G,"&lt;=2019/7/31")</f>
        <v>1</v>
      </c>
      <c r="D78" s="124" t="s">
        <v>60</v>
      </c>
      <c r="E78" s="94">
        <f>COUNTIFS(总表!B:B,A74,总表!D:D,D78,总表!L:L,"&lt;&gt;",总表!G:G,"&gt;=2019/7/1",总表!G:G,"&lt;=2019/7/31")</f>
        <v>12</v>
      </c>
      <c r="F78" s="170"/>
    </row>
    <row r="79" spans="1:6">
      <c r="A79" s="167"/>
      <c r="B79" s="168" t="s">
        <v>411</v>
      </c>
      <c r="C79" s="169">
        <f>COUNTIFS(总表!B:B,A74,总表!C:C,B79,总表!L:L,"&lt;&gt;",总表!G:G,"&gt;=2019/7/1",总表!G:G,"&lt;=2019/7/31")</f>
        <v>26</v>
      </c>
      <c r="D79" s="168" t="s">
        <v>68</v>
      </c>
      <c r="E79" s="169">
        <f>COUNTIFS(总表!B:B,A74,总表!D:D,D79,总表!L:L,"&lt;&gt;",总表!G:G,"&gt;=2019/7/1",总表!G:G,"&lt;=2019/7/31")</f>
        <v>4</v>
      </c>
      <c r="F79" s="170"/>
    </row>
    <row r="80" spans="1:6">
      <c r="A80" s="167"/>
      <c r="B80" s="168" t="s">
        <v>2705</v>
      </c>
      <c r="C80" s="169">
        <f>COUNTIFS(总表!B:B,A74,总表!C:C,B80,总表!L:L,"&lt;&gt;",总表!G:G,"&gt;=2019/7/1",总表!G:G,"&lt;=2019/7/31")</f>
        <v>10</v>
      </c>
      <c r="D80" s="168" t="s">
        <v>75</v>
      </c>
      <c r="E80" s="169">
        <f>COUNTIFS(总表!B:B,A74,总表!D:D,D80,总表!L:L,"&lt;&gt;",总表!G:G,"&gt;=2019/7/1",总表!G:G,"&lt;=2019/7/31")</f>
        <v>2</v>
      </c>
      <c r="F80" s="170"/>
    </row>
    <row r="81" spans="1:6">
      <c r="A81" s="167"/>
      <c r="B81" s="168" t="s">
        <v>861</v>
      </c>
      <c r="C81" s="169">
        <f>COUNTIFS(总表!B:B,A74,总表!C:C,B81,总表!L:L,"&lt;&gt;",总表!G:G,"&gt;=2019/7/1",总表!G:G,"&lt;=2019/7/31")</f>
        <v>12</v>
      </c>
      <c r="D81" s="168" t="s">
        <v>635</v>
      </c>
      <c r="E81" s="169">
        <f>COUNTIFS(总表!B:B,A74,总表!D:D,D81,总表!L:L,"&lt;&gt;",总表!G:G,"&gt;=2019/7/1",总表!G:G,"&lt;=2019/7/31")</f>
        <v>1</v>
      </c>
      <c r="F81" s="170"/>
    </row>
    <row r="82" spans="1:6">
      <c r="A82" s="167"/>
      <c r="B82" s="168" t="s">
        <v>138</v>
      </c>
      <c r="C82" s="169">
        <f>COUNTIFS(总表!B:B,A74,总表!C:C,B82,总表!L:L,"&lt;&gt;",总表!G:G,"&gt;=2019/7/1",总表!G:G,"&lt;=2019/7/31")</f>
        <v>16</v>
      </c>
      <c r="D82" s="168" t="s">
        <v>44</v>
      </c>
      <c r="E82" s="169">
        <f>COUNTIFS(总表!B:B,A74,总表!D:D,D82,总表!L:L,"&lt;&gt;",总表!G:G,"&gt;=2019/7/1",总表!G:G,"&lt;=2019/7/31")</f>
        <v>0</v>
      </c>
      <c r="F82" s="170"/>
    </row>
    <row r="83" spans="1:6">
      <c r="A83" s="167"/>
      <c r="B83" s="168" t="s">
        <v>1041</v>
      </c>
      <c r="C83" s="169">
        <f>COUNTIFS(总表!B:B,A74,总表!C:C,B83,总表!L:L,"&lt;&gt;",总表!G:G,"&gt;=2019/7/1",总表!G:G,"&lt;=2019/7/31")</f>
        <v>1</v>
      </c>
      <c r="D83" s="168" t="s">
        <v>171</v>
      </c>
      <c r="E83" s="169">
        <f>COUNTIFS(总表!B:B,A74,总表!D:D,D83,总表!L:L,"&lt;&gt;",总表!G:G,"&gt;=2019/7/1",总表!G:G,"&lt;=2019/7/31")</f>
        <v>4</v>
      </c>
      <c r="F83" s="170"/>
    </row>
    <row r="84" spans="1:6">
      <c r="A84" s="167"/>
      <c r="B84" s="169"/>
      <c r="C84" s="169"/>
      <c r="D84" s="168" t="s">
        <v>110</v>
      </c>
      <c r="E84" s="169">
        <f>COUNTIFS(总表!B:B,A74,总表!D:D,D84,总表!L:L,"&lt;&gt;",总表!G:G,"&gt;=2019/7/1",总表!G:G,"&lt;=2019/7/31")</f>
        <v>1</v>
      </c>
      <c r="F84" s="170"/>
    </row>
    <row r="85" ht="17.25" spans="1:6">
      <c r="A85" s="171"/>
      <c r="B85" s="172"/>
      <c r="C85" s="172"/>
      <c r="D85" s="173" t="s">
        <v>89</v>
      </c>
      <c r="E85" s="172">
        <f>COUNTIFS(总表!B:B,A74,总表!D:D,D85,总表!L:L,"&lt;&gt;",总表!G:G,"&gt;=2019/7/1",总表!G:G,"&lt;=2019/7/31")</f>
        <v>0</v>
      </c>
      <c r="F85" s="174"/>
    </row>
    <row r="86" spans="1:6">
      <c r="A86" s="98" t="s">
        <v>169</v>
      </c>
      <c r="B86" s="99" t="s">
        <v>170</v>
      </c>
      <c r="C86" s="99">
        <f>COUNTIFS(总表!B:B,A86,总表!C:C,B86,总表!L:L,"&lt;&gt;",总表!G:G,"&gt;=2019/7/1",总表!G:G,"&lt;=2019/7/31")</f>
        <v>0</v>
      </c>
      <c r="D86" s="175" t="s">
        <v>139</v>
      </c>
      <c r="E86" s="99">
        <f>COUNTIFS(总表!B:B,A86,总表!D:D,D86,总表!L:L,"&lt;&gt;",总表!G:G,"&gt;=2019/7/1",总表!G:G,"&lt;=2019/7/31")</f>
        <v>1</v>
      </c>
      <c r="F86" s="100">
        <f>COUNTIFS(总表!B:B,A86,总表!L:L,"&lt;&gt;",总表!G:G,"&gt;=2019/7/1",总表!G:G,"&lt;=2019/7/31")</f>
        <v>19</v>
      </c>
    </row>
    <row r="87" spans="1:6">
      <c r="A87" s="101"/>
      <c r="B87" s="102" t="s">
        <v>634</v>
      </c>
      <c r="C87" s="102">
        <f>COUNTIFS(总表!B:B,A86,总表!C:C,B87,总表!L:L,"&lt;&gt;",总表!G:G,"&gt;=2019/7/1",总表!G:G,"&lt;=2019/7/31")</f>
        <v>15</v>
      </c>
      <c r="D87" s="176" t="s">
        <v>75</v>
      </c>
      <c r="E87" s="102">
        <f>COUNTIFS(总表!B:B,A86,总表!D:D,D87,总表!L:L,"&lt;&gt;",总表!G:G,"&gt;=2019/7/1",总表!G:G,"&lt;=2019/7/31")</f>
        <v>0</v>
      </c>
      <c r="F87" s="103"/>
    </row>
    <row r="88" spans="1:6">
      <c r="A88" s="101"/>
      <c r="B88" s="102" t="s">
        <v>542</v>
      </c>
      <c r="C88" s="102">
        <f>COUNTIFS(总表!B:B,A86,总表!C:C,B88,总表!L:L,"&lt;&gt;",总表!G:G,"&gt;=2019/7/1",总表!G:G,"&lt;=2019/7/31")</f>
        <v>4</v>
      </c>
      <c r="D88" s="124" t="s">
        <v>635</v>
      </c>
      <c r="E88" s="94">
        <f>COUNTIFS(总表!B:B,A86,总表!D:D,D88,总表!L:L,"&lt;&gt;",总表!G:G,"&gt;=2019/7/1",总表!G:G,"&lt;=2019/7/31")</f>
        <v>12</v>
      </c>
      <c r="F88" s="103"/>
    </row>
    <row r="89" spans="1:6">
      <c r="A89" s="101"/>
      <c r="B89" s="102" t="s">
        <v>1265</v>
      </c>
      <c r="C89" s="102">
        <f>COUNTIFS(总表!B:B,A86,总表!C:C,B89,总表!L:L,"&lt;&gt;",总表!G:G,"&gt;=2019/7/1",总表!G:G,"&lt;=2019/7/31")</f>
        <v>0</v>
      </c>
      <c r="D89" s="124" t="s">
        <v>171</v>
      </c>
      <c r="E89" s="94">
        <f>COUNTIFS(总表!B:B,A86,总表!D:D,D89,总表!L:L,"&lt;&gt;",总表!G:G,"&gt;=2019/7/1",总表!G:G,"&lt;=2019/7/31")</f>
        <v>5</v>
      </c>
      <c r="F89" s="103"/>
    </row>
    <row r="90" spans="1:6">
      <c r="A90" s="101"/>
      <c r="B90" s="102"/>
      <c r="C90" s="102"/>
      <c r="D90" s="176" t="s">
        <v>443</v>
      </c>
      <c r="E90" s="102">
        <f>COUNTIFS(总表!B:B,A86,总表!D:D,D90,总表!L:L,"&lt;&gt;",总表!G:G,"&gt;=2019/7/1",总表!G:G,"&lt;=2019/7/31")</f>
        <v>1</v>
      </c>
      <c r="F90" s="103"/>
    </row>
    <row r="91" ht="17.25" spans="1:6">
      <c r="A91" s="104"/>
      <c r="B91" s="105"/>
      <c r="C91" s="105"/>
      <c r="D91" s="177" t="s">
        <v>89</v>
      </c>
      <c r="E91" s="105">
        <f>COUNTIFS(总表!B:B,A86,总表!D:D,D91,总表!L:L,"&lt;&gt;",总表!G:G,"&gt;=2019/7/1",总表!G:G,"&lt;=2019/7/31")</f>
        <v>0</v>
      </c>
      <c r="F91" s="106"/>
    </row>
    <row r="92" spans="1:6">
      <c r="A92" s="130" t="s">
        <v>405</v>
      </c>
      <c r="B92" s="131" t="s">
        <v>43</v>
      </c>
      <c r="C92" s="178">
        <f>COUNTIFS(总表!B:B,A92,总表!C:C,B92,总表!L:L,"&lt;&gt;",总表!G:G,"&gt;=2019/7/1",总表!G:G,"&lt;=2019/7/31")</f>
        <v>0</v>
      </c>
      <c r="D92" s="132" t="s">
        <v>407</v>
      </c>
      <c r="E92" s="89">
        <f>COUNTIFS(总表!B:B,A92,总表!D:D,D92,总表!L:L,"&lt;&gt;",总表!G:G,"&gt;=2019/7/1",总表!G:G,"&lt;=2019/7/31")</f>
        <v>18</v>
      </c>
      <c r="F92" s="133">
        <f>COUNTIFS(总表!B:B,A92,总表!L:L,"&lt;&gt;",总表!G:G,"&gt;=2019/7/1",总表!G:G,"&lt;=2019/7/31")</f>
        <v>18</v>
      </c>
    </row>
    <row r="93" spans="1:6">
      <c r="A93" s="179"/>
      <c r="B93" s="180" t="s">
        <v>823</v>
      </c>
      <c r="C93" s="181">
        <f>COUNTIFS(总表!B:B,A92,总表!C:C,B93,总表!L:L,"&lt;&gt;",总表!G:G,"&gt;=2019/7/1",总表!G:G,"&lt;=2019/7/31")</f>
        <v>6</v>
      </c>
      <c r="D93" s="180" t="s">
        <v>343</v>
      </c>
      <c r="E93" s="181">
        <f>COUNTIFS(总表!B:B,A92,总表!D:D,D93,总表!L:L,"&lt;&gt;",总表!G:G,"&gt;=2019/7/1",总表!G:G,"&lt;=2019/7/31")</f>
        <v>0</v>
      </c>
      <c r="F93" s="182"/>
    </row>
    <row r="94" spans="1:6">
      <c r="A94" s="179"/>
      <c r="B94" s="180" t="s">
        <v>1234</v>
      </c>
      <c r="C94" s="181">
        <f>COUNTIFS(总表!B:B,A92,总表!C:C,B94,总表!L:L,"&lt;&gt;",总表!G:G,"&gt;=2019/7/1",总表!G:G,"&lt;=2019/7/31")</f>
        <v>11</v>
      </c>
      <c r="D94" s="181"/>
      <c r="E94" s="181"/>
      <c r="F94" s="182"/>
    </row>
    <row r="95" ht="17.25" spans="1:6">
      <c r="A95" s="134"/>
      <c r="B95" s="135" t="s">
        <v>206</v>
      </c>
      <c r="C95" s="136">
        <f>COUNTIFS(总表!B:B,A92,总表!C:C,B95,总表!L:L,"&lt;&gt;",总表!G:G,"&gt;=2019/7/1",总表!G:G,"&lt;=2019/7/31")</f>
        <v>1</v>
      </c>
      <c r="D95" s="136"/>
      <c r="E95" s="136"/>
      <c r="F95" s="137"/>
    </row>
    <row r="96" spans="1:6">
      <c r="A96" s="183" t="s">
        <v>335</v>
      </c>
      <c r="B96" s="118" t="s">
        <v>1360</v>
      </c>
      <c r="C96" s="118">
        <f>COUNTIFS(总表!B:B,A96,总表!C:C,B96,总表!L:L,"&lt;&gt;",总表!G:G,"&gt;=2019/7/1",总表!G:G,"&lt;=2019/7/31")</f>
        <v>1</v>
      </c>
      <c r="D96" s="118" t="s">
        <v>139</v>
      </c>
      <c r="E96" s="119">
        <f>COUNTIFS(总表!B:B,A96,总表!D:D,D96,总表!L:L,"&lt;&gt;",总表!G:G,"&gt;=2019/7/1",总表!G:G,"&lt;=2019/7/31")</f>
        <v>1</v>
      </c>
      <c r="F96" s="120">
        <f>COUNTIFS(总表!B:B,A96,总表!L:L,"&lt;&gt;",总表!G:G,"&gt;=2019/7/1",总表!G:G,"&lt;=2019/7/31")</f>
        <v>21</v>
      </c>
    </row>
    <row r="97" spans="1:6">
      <c r="A97" s="184"/>
      <c r="B97" s="122" t="s">
        <v>399</v>
      </c>
      <c r="C97" s="122">
        <f>COUNTIFS(总表!B:B,A96,总表!C:C,B97,总表!L:L,"&lt;&gt;",总表!G:G,"&gt;=2019/7/1",总表!G:G,"&lt;=2019/7/31")</f>
        <v>8</v>
      </c>
      <c r="D97" s="122" t="s">
        <v>717</v>
      </c>
      <c r="E97" s="123">
        <f>COUNTIFS(总表!B:B,A96,总表!D:D,D97,总表!L:L,"&lt;&gt;",总表!G:G,"&gt;=2019/7/1",总表!G:G,"&lt;=2019/7/31")</f>
        <v>2</v>
      </c>
      <c r="F97" s="125"/>
    </row>
    <row r="98" spans="1:6">
      <c r="A98" s="184"/>
      <c r="B98" s="122" t="s">
        <v>615</v>
      </c>
      <c r="C98" s="122">
        <f>COUNTIFS(总表!B:B,A96,总表!C:C,B98,总表!L:L,"&lt;&gt;",总表!G:G,"&gt;=2019/7/1",总表!G:G,"&lt;=2019/7/31")</f>
        <v>9</v>
      </c>
      <c r="D98" s="124" t="s">
        <v>337</v>
      </c>
      <c r="E98" s="94">
        <f>COUNTIFS(总表!B:B,A96,总表!D:D,D98,总表!L:L,"&lt;&gt;",总表!G:G,"&gt;=2019/7/1",总表!G:G,"&lt;=2019/7/31")</f>
        <v>15</v>
      </c>
      <c r="F98" s="125"/>
    </row>
    <row r="99" ht="17.25" spans="1:6">
      <c r="A99" s="185"/>
      <c r="B99" s="127" t="s">
        <v>336</v>
      </c>
      <c r="C99" s="127">
        <f>COUNTIFS(总表!B:B,A96,总表!C:C,B99,总表!L:L,"&lt;&gt;",总表!G:G,"&gt;=2019/7/1",总表!G:G,"&lt;=2019/7/31")</f>
        <v>3</v>
      </c>
      <c r="D99" s="127" t="s">
        <v>635</v>
      </c>
      <c r="E99" s="128">
        <f>COUNTIFS(总表!B:B,A96,总表!D:D,D99,总表!L:L,"&lt;&gt;",总表!G:G,"&gt;=2019/7/1",总表!G:G,"&lt;=2019/7/31")</f>
        <v>3</v>
      </c>
      <c r="F99" s="129"/>
    </row>
    <row r="100" spans="1:6">
      <c r="A100" s="186" t="s">
        <v>185</v>
      </c>
      <c r="B100" s="187" t="s">
        <v>186</v>
      </c>
      <c r="C100" s="187">
        <f>COUNTIFS(总表!B:B,A100,总表!C:C,B100,总表!L:L,"&lt;&gt;",总表!G:G,"&gt;=2019/7/1",总表!G:G,"&lt;=2019/7/31")</f>
        <v>9</v>
      </c>
      <c r="D100" s="187" t="s">
        <v>717</v>
      </c>
      <c r="E100" s="188">
        <f>COUNTIFS(总表!B:B,A100,总表!D:D,D100,总表!L:L,"&lt;&gt;",总表!G:G,"&gt;=2019/7/1",总表!G:G,"&lt;=2019/7/31")</f>
        <v>1</v>
      </c>
      <c r="F100" s="189">
        <f>COUNTIFS(总表!B:B,A100,总表!L:L,"&lt;&gt;",总表!G:G,"&gt;=2019/7/1",总表!G:G,"&lt;=2019/7/31")</f>
        <v>47</v>
      </c>
    </row>
    <row r="101" spans="1:6">
      <c r="A101" s="190"/>
      <c r="B101" s="191" t="s">
        <v>1530</v>
      </c>
      <c r="C101" s="191">
        <f>COUNTIFS(总表!B:B,A100,总表!C:C,B101,总表!L:L,"&lt;&gt;",总表!G:G,"&gt;=2019/7/1",总表!G:G,"&lt;=2019/7/31")</f>
        <v>0</v>
      </c>
      <c r="D101" s="124" t="s">
        <v>187</v>
      </c>
      <c r="E101" s="94">
        <f>COUNTIFS(总表!B:B,A100,总表!D:D,D101,总表!L:L,"&lt;&gt;",总表!G:G,"&gt;=2019/7/1",总表!G:G,"&lt;=2019/7/31")</f>
        <v>21</v>
      </c>
      <c r="F101" s="192"/>
    </row>
    <row r="102" spans="1:6">
      <c r="A102" s="190"/>
      <c r="B102" s="191" t="s">
        <v>1133</v>
      </c>
      <c r="C102" s="191">
        <f>COUNTIFS(总表!B:B,A100,总表!C:C,B102,总表!L:L,"&lt;&gt;",总表!G:G,"&gt;=2019/7/1",总表!G:G,"&lt;=2019/7/31")</f>
        <v>7</v>
      </c>
      <c r="D102" s="124" t="s">
        <v>44</v>
      </c>
      <c r="E102" s="94">
        <f>COUNTIFS(总表!B:B,A100,总表!D:D,D102,总表!L:L,"&lt;&gt;",总表!G:G,"&gt;=2019/7/1",总表!G:G,"&lt;=2019/7/31")</f>
        <v>22</v>
      </c>
      <c r="F102" s="192"/>
    </row>
    <row r="103" spans="1:6">
      <c r="A103" s="190"/>
      <c r="B103" s="191" t="s">
        <v>1620</v>
      </c>
      <c r="C103" s="191">
        <f>COUNTIFS(总表!B:B,A100,总表!C:C,B103,总表!L:L,"&lt;&gt;",总表!G:G,"&gt;=2019/7/1",总表!G:G,"&lt;=2019/7/31")</f>
        <v>8</v>
      </c>
      <c r="D103" s="191" t="s">
        <v>89</v>
      </c>
      <c r="E103" s="193">
        <f>COUNTIFS(总表!B:B,A100,总表!D:D,D103,总表!L:L,"&lt;&gt;",总表!G:G,"&gt;=2019/7/1",总表!G:G,"&lt;=2019/7/31")</f>
        <v>2</v>
      </c>
      <c r="F103" s="192"/>
    </row>
    <row r="104" spans="1:6">
      <c r="A104" s="190"/>
      <c r="B104" s="191" t="s">
        <v>4146</v>
      </c>
      <c r="C104" s="191">
        <f>COUNTIFS(总表!B:B,A100,总表!C:C,B104,总表!L:L,"&lt;&gt;",总表!G:G,"&gt;=2019/7/1",总表!G:G,"&lt;=2019/7/31")</f>
        <v>3</v>
      </c>
      <c r="D104" s="191" t="s">
        <v>37</v>
      </c>
      <c r="E104" s="193">
        <f>COUNTIFS(总表!B:B,A100,总表!D:D,D104,总表!L:L,"&lt;&gt;",总表!G:G,"&gt;=2019/7/1",总表!G:G,"&lt;=2019/7/31")</f>
        <v>1</v>
      </c>
      <c r="F104" s="192"/>
    </row>
    <row r="105" spans="1:6">
      <c r="A105" s="190"/>
      <c r="B105" s="191" t="s">
        <v>1204</v>
      </c>
      <c r="C105" s="191">
        <f>COUNTIFS(总表!B:B,A100,总表!C:C,B105,总表!L:L,"&lt;&gt;",总表!G:G,"&gt;=2019/7/1",总表!G:G,"&lt;=2019/7/31")</f>
        <v>3</v>
      </c>
      <c r="D105" s="193"/>
      <c r="E105" s="193"/>
      <c r="F105" s="192"/>
    </row>
    <row r="106" spans="1:6">
      <c r="A106" s="190"/>
      <c r="B106" s="191" t="s">
        <v>886</v>
      </c>
      <c r="C106" s="191">
        <f>COUNTIFS(总表!B:B,A100,总表!C:C,B106,总表!L:L,"&lt;&gt;",总表!G:G,"&gt;=2019/7/1",总表!G:G,"&lt;=2019/7/31")</f>
        <v>17</v>
      </c>
      <c r="D106" s="193"/>
      <c r="E106" s="193"/>
      <c r="F106" s="192"/>
    </row>
    <row r="107" ht="17.25" spans="1:6">
      <c r="A107" s="194"/>
      <c r="B107" s="195" t="s">
        <v>319</v>
      </c>
      <c r="C107" s="195">
        <f>COUNTIFS(总表!B:B,A100,总表!C:C,B107,总表!L:L,"&lt;&gt;",总表!G:G,"&gt;=2019/7/1",总表!G:G,"&lt;=2019/7/31")</f>
        <v>0</v>
      </c>
      <c r="D107" s="196"/>
      <c r="E107" s="196"/>
      <c r="F107" s="197"/>
    </row>
    <row r="108" spans="1:6">
      <c r="A108" s="183" t="s">
        <v>243</v>
      </c>
      <c r="B108" s="118" t="s">
        <v>304</v>
      </c>
      <c r="C108" s="118">
        <f>COUNTIFS(总表!B:B,A108,总表!C:C,B108,总表!L:L,"&lt;&gt;",总表!G:G,"&gt;=2019/7/1",总表!G:G,"&lt;=2019/7/31")</f>
        <v>1</v>
      </c>
      <c r="D108" s="118" t="s">
        <v>21268</v>
      </c>
      <c r="E108" s="119">
        <f>COUNTIFS(总表!B:B,A108,总表!D:D,D108,总表!L:L,"&lt;&gt;",总表!G:G,"&gt;=2019/7/1",总表!G:G,"&lt;=2019/7/31")</f>
        <v>0</v>
      </c>
      <c r="F108" s="120">
        <f>COUNTIFS(总表!B:B,A108,总表!L:L,"&lt;&gt;",总表!G:G,"&gt;=2019/7/1",总表!G:G,"&lt;=2019/7/31")</f>
        <v>7</v>
      </c>
    </row>
    <row r="109" spans="1:6">
      <c r="A109" s="184"/>
      <c r="B109" s="122" t="s">
        <v>309</v>
      </c>
      <c r="C109" s="122">
        <f>COUNTIFS(总表!B:B,A108,总表!C:C,B109,总表!L:L,"&lt;&gt;",总表!G:G,"&gt;=2019/7/1",总表!G:G,"&lt;=2019/7/31")</f>
        <v>1</v>
      </c>
      <c r="D109" s="124" t="s">
        <v>49</v>
      </c>
      <c r="E109" s="94">
        <f>COUNTIFS(总表!B:B,A108,总表!D:D,D109,总表!L:L,"&lt;&gt;",总表!G:G,"&gt;=2019/7/1",总表!G:G,"&lt;=2019/7/31")</f>
        <v>5</v>
      </c>
      <c r="F109" s="125"/>
    </row>
    <row r="110" ht="17.25" spans="1:6">
      <c r="A110" s="185"/>
      <c r="B110" s="127" t="s">
        <v>244</v>
      </c>
      <c r="C110" s="127">
        <f>COUNTIFS(总表!B:B,A108,总表!C:C,B110,总表!L:L,"&lt;&gt;",总表!G:G,"&gt;=2019/7/1",总表!G:G,"&lt;=2019/7/31")</f>
        <v>5</v>
      </c>
      <c r="D110" s="128"/>
      <c r="E110" s="128"/>
      <c r="F110" s="129"/>
    </row>
    <row r="111" spans="1:6">
      <c r="A111" s="130" t="s">
        <v>359</v>
      </c>
      <c r="B111" s="131" t="s">
        <v>3018</v>
      </c>
      <c r="C111" s="131">
        <f>COUNTIFS(总表!B:B,A111,总表!C:C,B111,总表!L:L,"&lt;&gt;",总表!G:G,"&gt;=2019/7/1",总表!G:G,"&lt;=2019/7/31")</f>
        <v>1</v>
      </c>
      <c r="D111" s="89" t="s">
        <v>361</v>
      </c>
      <c r="E111" s="89">
        <f>COUNTIFS(总表!B:B,A111,总表!D:D,D111,总表!L:L,"&lt;&gt;",总表!G:G,"&gt;=2019/7/1",总表!G:G,"&lt;=2019/7/31")</f>
        <v>3</v>
      </c>
      <c r="F111" s="133">
        <f>COUNTIFS(总表!B:B,A111,总表!L:L,"&lt;&gt;",总表!G:G,"&gt;=2019/7/1",总表!G:G,"&lt;=2019/7/31")</f>
        <v>3</v>
      </c>
    </row>
    <row r="112" ht="17.25" spans="1:6">
      <c r="A112" s="134"/>
      <c r="B112" s="135" t="s">
        <v>5184</v>
      </c>
      <c r="C112" s="135">
        <f>COUNTIFS(总表!B:B,A111,总表!C:C,B112,总表!L:L,"&lt;&gt;",总表!G:G,"&gt;=2019/7/1",总表!G:G,"&lt;=2019/7/31")</f>
        <v>2</v>
      </c>
      <c r="D112" s="136"/>
      <c r="E112" s="136"/>
      <c r="F112" s="137"/>
    </row>
    <row r="113" spans="1:6">
      <c r="A113" s="151" t="s">
        <v>94</v>
      </c>
      <c r="B113" s="153" t="s">
        <v>101</v>
      </c>
      <c r="C113" s="153">
        <f>COUNTIFS(总表!B:B,A113,总表!C:C,B113,总表!L:L,"&lt;&gt;",总表!G:G,"&gt;=2019/7/1",总表!G:G,"&lt;=2019/7/31")</f>
        <v>17</v>
      </c>
      <c r="D113" s="153" t="s">
        <v>125</v>
      </c>
      <c r="E113" s="152">
        <f>COUNTIFS(总表!B:B,A113,总表!D:D,D113,总表!L:L,"&lt;&gt;",总表!G:G,"&gt;=2019/7/1",总表!G:G,"&lt;=2019/7/31")</f>
        <v>1</v>
      </c>
      <c r="F113" s="154">
        <f>COUNTIFS(总表!B:B,A113,总表!L:L,"&lt;&gt;",总表!G:G,"&gt;=2019/7/1",总表!G:G,"&lt;=2019/7/31")</f>
        <v>25</v>
      </c>
    </row>
    <row r="114" spans="1:6">
      <c r="A114" s="155"/>
      <c r="B114" s="157" t="s">
        <v>3196</v>
      </c>
      <c r="C114" s="157">
        <f>COUNTIFS(总表!B:B,A113,总表!C:C,B114,总表!L:L,"&lt;&gt;",总表!G:G,"&gt;=2019/7/1",总表!G:G,"&lt;=2019/7/31")</f>
        <v>2</v>
      </c>
      <c r="D114" s="157" t="s">
        <v>44</v>
      </c>
      <c r="E114" s="156">
        <f>COUNTIFS(总表!B:B,A113,总表!D:D,D114,总表!L:L,"&lt;&gt;",总表!G:G,"&gt;=2019/7/1",总表!G:G,"&lt;=2019/7/31")</f>
        <v>1</v>
      </c>
      <c r="F114" s="158"/>
    </row>
    <row r="115" ht="17.25" spans="1:6">
      <c r="A115" s="159"/>
      <c r="B115" s="161" t="s">
        <v>95</v>
      </c>
      <c r="C115" s="161">
        <f>COUNTIFS(总表!B:B,A113,总表!C:C,B115,总表!L:L,"&lt;&gt;",总表!G:G,"&gt;=2019/7/1",总表!G:G,"&lt;=2019/7/31")</f>
        <v>6</v>
      </c>
      <c r="D115" s="198" t="s">
        <v>49</v>
      </c>
      <c r="E115" s="115">
        <f>COUNTIFS(总表!B:B,A113,总表!D:D,D115,总表!L:L,"&lt;&gt;",总表!G:G,"&gt;=2019/7/1",总表!G:G,"&lt;=2019/7/31")</f>
        <v>23</v>
      </c>
      <c r="F115" s="162"/>
    </row>
    <row r="116" spans="1:6">
      <c r="A116" s="98" t="s">
        <v>35</v>
      </c>
      <c r="B116" s="175" t="s">
        <v>328</v>
      </c>
      <c r="C116" s="99">
        <f>COUNTIFS(总表!B:B,A116,总表!C:C,B116,总表!L:L,"&lt;&gt;",总表!G:G,"&gt;=2019/7/1",总表!G:G,"&lt;=2019/7/31")</f>
        <v>10</v>
      </c>
      <c r="D116" s="175" t="s">
        <v>356</v>
      </c>
      <c r="E116" s="175">
        <f>COUNTIFS(总表!B:B,A116,总表!D:D,D116,总表!L:L,"&lt;&gt;",总表!G:G,"&gt;=2019/7/1",总表!G:G,"&lt;=2019/7/31")</f>
        <v>1</v>
      </c>
      <c r="F116" s="100">
        <f>COUNTIFS(总表!B:B,A116,总表!L:L,"&lt;&gt;",总表!G:G,"&gt;=2019/7/1",总表!G:G,"&lt;=2019/7/31")</f>
        <v>43</v>
      </c>
    </row>
    <row r="117" spans="1:6">
      <c r="A117" s="101"/>
      <c r="B117" s="176" t="s">
        <v>392</v>
      </c>
      <c r="C117" s="102">
        <f>COUNTIFS(总表!B:B,A116,总表!C:C,B117,总表!L:L,"&lt;&gt;",总表!G:G,"&gt;=2019/7/1",总表!G:G,"&lt;=2019/7/31")</f>
        <v>18</v>
      </c>
      <c r="D117" s="176" t="s">
        <v>132</v>
      </c>
      <c r="E117" s="176">
        <f>COUNTIFS(总表!B:B,A116,总表!D:D,D117,总表!L:L,"&lt;&gt;",总表!G:G,"&gt;=2019/7/1",总表!G:G,"&lt;=2019/7/31")</f>
        <v>1</v>
      </c>
      <c r="F117" s="103"/>
    </row>
    <row r="118" spans="1:6">
      <c r="A118" s="101"/>
      <c r="B118" s="176" t="s">
        <v>36</v>
      </c>
      <c r="C118" s="102">
        <f>COUNTIFS(总表!B:B,A116,总表!C:C,B118,总表!L:L,"&lt;&gt;",总表!G:G,"&gt;=2019/7/1",总表!G:G,"&lt;=2019/7/31")</f>
        <v>15</v>
      </c>
      <c r="D118" s="176" t="s">
        <v>115</v>
      </c>
      <c r="E118" s="176">
        <f>COUNTIFS(总表!B:B,A116,总表!D:D,D118,总表!L:L,"&lt;&gt;",总表!G:G,"&gt;=2019/7/1",总表!G:G,"&lt;=2019/7/31")</f>
        <v>1</v>
      </c>
      <c r="F118" s="103"/>
    </row>
    <row r="119" spans="1:6">
      <c r="A119" s="101"/>
      <c r="B119" s="102"/>
      <c r="C119" s="102"/>
      <c r="D119" s="176" t="s">
        <v>68</v>
      </c>
      <c r="E119" s="176">
        <f>COUNTIFS(总表!B:B,A116,总表!D:D,D119,总表!L:L,"&lt;&gt;",总表!G:G,"&gt;=2019/7/1",总表!G:G,"&lt;=2019/7/31")</f>
        <v>2</v>
      </c>
      <c r="F119" s="103"/>
    </row>
    <row r="120" spans="1:6">
      <c r="A120" s="101"/>
      <c r="B120" s="102"/>
      <c r="C120" s="102"/>
      <c r="D120" s="176" t="s">
        <v>187</v>
      </c>
      <c r="E120" s="176">
        <f>COUNTIFS(总表!B:B,A116,总表!D:D,D120,总表!L:L,"&lt;&gt;",总表!G:G,"&gt;=2019/7/1",总表!G:G,"&lt;=2019/7/31")</f>
        <v>4</v>
      </c>
      <c r="F120" s="103"/>
    </row>
    <row r="121" ht="17.25" spans="1:6">
      <c r="A121" s="104"/>
      <c r="B121" s="105"/>
      <c r="C121" s="105"/>
      <c r="D121" s="198" t="s">
        <v>37</v>
      </c>
      <c r="E121" s="115">
        <f>COUNTIFS(总表!B:B,A116,总表!D:D,D121,总表!L:L,"&lt;&gt;",总表!G:G,"&gt;=2019/7/1",总表!G:G,"&lt;=2019/7/31")</f>
        <v>34</v>
      </c>
      <c r="F121" s="106"/>
    </row>
    <row r="122" spans="1:6">
      <c r="A122" s="199" t="s">
        <v>47</v>
      </c>
      <c r="B122" s="200" t="s">
        <v>2399</v>
      </c>
      <c r="C122" s="108">
        <f>COUNTIFS(总表!B:B,A122,总表!C:C,B122,总表!L:L,"&lt;&gt;",总表!G:G,"&gt;=2019/7/1",总表!G:G,"&lt;=2019/7/31")</f>
        <v>2</v>
      </c>
      <c r="D122" s="200" t="s">
        <v>3965</v>
      </c>
      <c r="E122" s="108">
        <f>COUNTIFS(总表!B:B,A122,总表!D:D,D122,总表!L:L,"&lt;&gt;",总表!G:G,"&gt;=2019/7/1",总表!G:G,"&lt;=2019/7/31")</f>
        <v>2</v>
      </c>
      <c r="F122" s="201">
        <f>COUNTIFS(总表!B:B,A122,总表!L:L,"&lt;&gt;",总表!G:G,"&gt;=2019/7/1",总表!G:G,"&lt;=2019/7/31")</f>
        <v>11</v>
      </c>
    </row>
    <row r="123" spans="1:6">
      <c r="A123" s="202"/>
      <c r="B123" s="203" t="s">
        <v>80</v>
      </c>
      <c r="C123" s="111">
        <f>COUNTIFS(总表!B:B,A122,总表!C:C,B123,总表!L:L,"&lt;&gt;",总表!G:G,"&gt;=2019/7/1",总表!G:G,"&lt;=2019/7/31")</f>
        <v>5</v>
      </c>
      <c r="D123" s="124" t="s">
        <v>49</v>
      </c>
      <c r="E123" s="94">
        <f>COUNTIFS(总表!B:B,A122,总表!D:D,D123,总表!L:L,"&lt;&gt;",总表!G:G,"&gt;=2019/7/1",总表!G:G,"&lt;=2019/7/31")</f>
        <v>9</v>
      </c>
      <c r="F123" s="204"/>
    </row>
    <row r="124" ht="17.25" spans="1:6">
      <c r="A124" s="205"/>
      <c r="B124" s="206" t="s">
        <v>53</v>
      </c>
      <c r="C124" s="114">
        <f>COUNTIFS(总表!B:B,A122,总表!C:C,B124,总表!L:L,"&lt;&gt;",总表!G:G,"&gt;=2019/7/1",总表!G:G,"&lt;=2019/7/31")</f>
        <v>4</v>
      </c>
      <c r="D124" s="114"/>
      <c r="E124" s="114"/>
      <c r="F124" s="207"/>
    </row>
    <row r="125" spans="1:6">
      <c r="A125" s="183" t="s">
        <v>123</v>
      </c>
      <c r="B125" s="118" t="s">
        <v>902</v>
      </c>
      <c r="C125" s="118">
        <f>COUNTIFS(总表!B:B,A125,总表!C:C,B125,总表!L:L,"&lt;&gt;",总表!G:G,"&gt;=2019/7/1",总表!G:G,"&lt;=2019/7/31")</f>
        <v>9</v>
      </c>
      <c r="D125" s="118" t="s">
        <v>143</v>
      </c>
      <c r="E125" s="119">
        <f>COUNTIFS(总表!B:B,A125,总表!D:D,D125,总表!L:L,"&lt;&gt;",总表!G:G,"&gt;=2019/7/1",总表!G:G,"&lt;=2019/7/31")</f>
        <v>1</v>
      </c>
      <c r="F125" s="120">
        <f>COUNTIFS(总表!B:B,A125,总表!L:L,"&lt;&gt;",总表!G:G,"&gt;=2019/7/1",总表!G:G,"&lt;=2019/7/31")</f>
        <v>27</v>
      </c>
    </row>
    <row r="126" spans="1:6">
      <c r="A126" s="184"/>
      <c r="B126" s="122" t="s">
        <v>124</v>
      </c>
      <c r="C126" s="122">
        <f>COUNTIFS(总表!B:B,A125,总表!C:C,B126,总表!L:L,"&lt;&gt;",总表!G:G,"&gt;=2019/7/1",总表!G:G,"&lt;=2019/7/31")</f>
        <v>11</v>
      </c>
      <c r="D126" s="124" t="s">
        <v>125</v>
      </c>
      <c r="E126" s="94">
        <f>COUNTIFS(总表!B:B,A125,总表!D:D,D126,总表!L:L,"&lt;&gt;",总表!G:G,"&gt;=2019/7/1",总表!G:G,"&lt;=2019/7/31")</f>
        <v>21</v>
      </c>
      <c r="F126" s="125"/>
    </row>
    <row r="127" spans="1:6">
      <c r="A127" s="184"/>
      <c r="B127" s="122" t="s">
        <v>2301</v>
      </c>
      <c r="C127" s="122">
        <f>COUNTIFS(总表!B:B,A125,总表!C:C,B127,总表!L:L,"&lt;&gt;",总表!G:G,"&gt;=2019/7/1",总表!G:G,"&lt;=2019/7/31")</f>
        <v>7</v>
      </c>
      <c r="D127" s="122" t="s">
        <v>89</v>
      </c>
      <c r="E127" s="123">
        <f>COUNTIFS(总表!B:B,A125,总表!D:D,D127,总表!L:L,"&lt;&gt;",总表!G:G,"&gt;=2019/7/1",总表!G:G,"&lt;=2019/7/31")</f>
        <v>1</v>
      </c>
      <c r="F127" s="125"/>
    </row>
    <row r="128" ht="17.25" spans="1:6">
      <c r="A128" s="185"/>
      <c r="B128" s="127" t="s">
        <v>115</v>
      </c>
      <c r="C128" s="127">
        <f>COUNTIFS(总表!B:B,A125,总表!C:C,B128,总表!L:L,"&lt;&gt;",总表!G:G,"&gt;=2019/7/1",总表!G:G,"&lt;=2019/7/31")</f>
        <v>0</v>
      </c>
      <c r="D128" s="127" t="s">
        <v>37</v>
      </c>
      <c r="E128" s="128">
        <f>COUNTIFS(总表!B:B,A125,总表!D:D,D128,总表!L:L,"&lt;&gt;",总表!G:G,"&gt;=2019/7/1",总表!G:G,"&lt;=2019/7/31")</f>
        <v>4</v>
      </c>
      <c r="F128" s="129"/>
    </row>
    <row r="129" spans="1:6">
      <c r="A129" s="208" t="s">
        <v>31</v>
      </c>
      <c r="B129" s="209" t="s">
        <v>251</v>
      </c>
      <c r="C129" s="210">
        <f>COUNTIFS(总表!B:B,A129,总表!C:C,B129,总表!L:L,"&lt;&gt;",总表!G:G,"&gt;=2019/7/1",总表!G:G,"&lt;=2019/7/31")</f>
        <v>11</v>
      </c>
      <c r="D129" s="209" t="s">
        <v>407</v>
      </c>
      <c r="E129" s="210">
        <f>COUNTIFS(总表!B:B,A129,总表!D:D,D129,总表!L:L,"&lt;&gt;",总表!G:G,"&gt;=2019/7/1",总表!G:G,"&lt;=2019/7/31")</f>
        <v>2</v>
      </c>
      <c r="F129" s="211">
        <f>COUNTIFS(总表!B:B,A129,总表!L:L,"&lt;&gt;",总表!G:G,"&gt;=2019/7/1",总表!G:G,"&lt;=2019/7/31")</f>
        <v>72</v>
      </c>
    </row>
    <row r="130" spans="1:6">
      <c r="A130" s="212"/>
      <c r="B130" s="213" t="s">
        <v>3186</v>
      </c>
      <c r="C130" s="214">
        <f>COUNTIFS(总表!B:B,A129,总表!C:C,B130,总表!L:L,"&lt;&gt;",总表!G:G,"&gt;=2019/7/1",总表!G:G,"&lt;=2019/7/31")</f>
        <v>4</v>
      </c>
      <c r="D130" s="213" t="s">
        <v>182</v>
      </c>
      <c r="E130" s="214">
        <f>COUNTIFS(总表!B:B,A129,总表!D:D,D130,总表!L:L,"&lt;&gt;",总表!G:G,"&gt;=2019/7/1",总表!G:G,"&lt;=2019/7/31")</f>
        <v>0</v>
      </c>
      <c r="F130" s="215"/>
    </row>
    <row r="131" spans="1:6">
      <c r="A131" s="212"/>
      <c r="B131" s="213" t="s">
        <v>220</v>
      </c>
      <c r="C131" s="214">
        <f>COUNTIFS(总表!B:B,A129,总表!C:C,B131,总表!L:L,"&lt;&gt;",总表!G:G,"&gt;=2019/7/1",总表!G:G,"&lt;=2019/7/31")</f>
        <v>16</v>
      </c>
      <c r="D131" s="213" t="s">
        <v>143</v>
      </c>
      <c r="E131" s="214">
        <f>COUNTIFS(总表!B:B,A129,总表!D:D,D131,总表!L:L,"&lt;&gt;",总表!G:G,"&gt;=2019/7/1",总表!G:G,"&lt;=2019/7/31")</f>
        <v>0</v>
      </c>
      <c r="F131" s="215"/>
    </row>
    <row r="132" spans="1:6">
      <c r="A132" s="212"/>
      <c r="B132" s="213" t="s">
        <v>2716</v>
      </c>
      <c r="C132" s="214">
        <f>COUNTIFS(总表!B:B,A129,总表!C:C,B132,总表!L:L,"&lt;&gt;",总表!G:G,"&gt;=2019/7/1",总表!G:G,"&lt;=2019/7/31")</f>
        <v>3</v>
      </c>
      <c r="D132" s="216" t="s">
        <v>33</v>
      </c>
      <c r="E132" s="217">
        <f>COUNTIFS(总表!B:B,A129,总表!D:D,D132,总表!L:L,"&lt;&gt;",总表!G:G,"&gt;=2019/7/1",总表!G:G,"&lt;=2019/7/31")</f>
        <v>33</v>
      </c>
      <c r="F132" s="215"/>
    </row>
    <row r="133" spans="1:6">
      <c r="A133" s="212"/>
      <c r="B133" s="213" t="s">
        <v>419</v>
      </c>
      <c r="C133" s="214">
        <f>COUNTIFS(总表!B:B,A129,总表!C:C,B133,总表!L:L,"&lt;&gt;",总表!G:G,"&gt;=2019/7/1",总表!G:G,"&lt;=2019/7/31")</f>
        <v>20</v>
      </c>
      <c r="D133" s="213" t="s">
        <v>427</v>
      </c>
      <c r="E133" s="214">
        <f>COUNTIFS(总表!B:B,A129,总表!D:D,D133,总表!L:L,"&lt;&gt;",总表!G:G,"&gt;=2019/7/1",总表!G:G,"&lt;=2019/7/31")</f>
        <v>1</v>
      </c>
      <c r="F133" s="215"/>
    </row>
    <row r="134" spans="1:6">
      <c r="A134" s="212"/>
      <c r="B134" s="213" t="s">
        <v>115</v>
      </c>
      <c r="C134" s="214">
        <f>COUNTIFS(总表!B:B,A129,总表!C:C,B134,总表!L:L,"&lt;&gt;",总表!G:G,"&gt;=2019/7/1",总表!G:G,"&lt;=2019/7/31")</f>
        <v>3</v>
      </c>
      <c r="D134" s="213" t="s">
        <v>1170</v>
      </c>
      <c r="E134" s="214">
        <f>COUNTIFS(总表!B:B,A129,总表!D:D,D134,总表!L:L,"&lt;&gt;",总表!G:G,"&gt;=2019/7/1",总表!G:G,"&lt;=2019/7/31")</f>
        <v>1</v>
      </c>
      <c r="F134" s="215"/>
    </row>
    <row r="135" spans="1:6">
      <c r="A135" s="212"/>
      <c r="B135" s="213" t="s">
        <v>377</v>
      </c>
      <c r="C135" s="214">
        <f>COUNTIFS(总表!B:B,A129,总表!C:C,B135,总表!L:L,"&lt;&gt;",总表!G:G,"&gt;=2019/7/1",总表!G:G,"&lt;=2019/7/31")</f>
        <v>8</v>
      </c>
      <c r="D135" s="216" t="s">
        <v>221</v>
      </c>
      <c r="E135" s="217">
        <f>COUNTIFS(总表!B:B,A129,总表!D:D,D135,总表!L:L,"&lt;&gt;",总表!G:G,"&gt;=2019/7/1",总表!G:G,"&lt;=2019/7/31")</f>
        <v>20</v>
      </c>
      <c r="F135" s="215"/>
    </row>
    <row r="136" spans="1:6">
      <c r="A136" s="212"/>
      <c r="B136" s="213" t="s">
        <v>32</v>
      </c>
      <c r="C136" s="214">
        <f>COUNTIFS(总表!B:B,A129,总表!C:C,B136,总表!L:L,"&lt;&gt;",总表!G:G,"&gt;=2019/7/1",总表!G:G,"&lt;=2019/7/31")</f>
        <v>7</v>
      </c>
      <c r="D136" s="213" t="s">
        <v>162</v>
      </c>
      <c r="E136" s="214">
        <f>COUNTIFS(总表!B:B,A129,总表!D:D,D136,总表!L:L,"&lt;&gt;",总表!G:G,"&gt;=2019/7/1",总表!G:G,"&lt;=2019/7/31")</f>
        <v>7</v>
      </c>
      <c r="F136" s="215"/>
    </row>
    <row r="137" spans="1:6">
      <c r="A137" s="212"/>
      <c r="B137" s="213"/>
      <c r="C137" s="214"/>
      <c r="D137" s="213" t="s">
        <v>187</v>
      </c>
      <c r="E137" s="214">
        <f>COUNTIFS(总表!B:B,A129,总表!D:D,D137,总表!L:L,"&lt;&gt;",总表!G:G,"&gt;=2019/7/1",总表!G:G,"&lt;=2019/7/31")</f>
        <v>1</v>
      </c>
      <c r="F137" s="215"/>
    </row>
    <row r="138" spans="1:6">
      <c r="A138" s="212"/>
      <c r="B138" s="213"/>
      <c r="C138" s="214"/>
      <c r="D138" s="213" t="s">
        <v>5695</v>
      </c>
      <c r="E138" s="214">
        <f>COUNTIFS(总表!B:B,A129,总表!D:D,D138,总表!L:L,"&lt;&gt;",总表!G:G,"&gt;=2019/7/1",总表!G:G,"&lt;=2019/7/31")</f>
        <v>0</v>
      </c>
      <c r="F138" s="215"/>
    </row>
    <row r="139" spans="1:6">
      <c r="A139" s="212"/>
      <c r="B139" s="214"/>
      <c r="C139" s="214"/>
      <c r="D139" s="213" t="s">
        <v>171</v>
      </c>
      <c r="E139" s="214">
        <f>COUNTIFS(总表!B:B,A129,总表!D:D,D139,总表!L:L,"&lt;&gt;",总表!G:G,"&gt;=2019/7/1",总表!G:G,"&lt;=2019/7/31")</f>
        <v>1</v>
      </c>
      <c r="F139" s="215"/>
    </row>
    <row r="140" ht="17.25" spans="1:6">
      <c r="A140" s="218"/>
      <c r="B140" s="219"/>
      <c r="C140" s="219"/>
      <c r="D140" s="220" t="s">
        <v>89</v>
      </c>
      <c r="E140" s="219">
        <f>COUNTIFS(总表!B:B,A129,总表!D:D,D140,总表!L:L,"&lt;&gt;",总表!G:G,"&gt;=2019/7/1",总表!G:G,"&lt;=2019/7/31")</f>
        <v>6</v>
      </c>
      <c r="F140" s="221"/>
    </row>
    <row r="141" spans="1:6">
      <c r="A141" s="98" t="s">
        <v>58</v>
      </c>
      <c r="B141" s="175" t="s">
        <v>59</v>
      </c>
      <c r="C141" s="99">
        <f>COUNTIFS(总表!B:B,A141,总表!C:C,B141,总表!L:L,"&lt;&gt;",总表!G:G,"&gt;=2019/7/1",总表!G:G,"&lt;=2019/7/31")</f>
        <v>15</v>
      </c>
      <c r="D141" s="132" t="s">
        <v>271</v>
      </c>
      <c r="E141" s="89">
        <f>COUNTIFS(总表!B:B,A141,总表!D:D,D141,总表!L:L,"&lt;&gt;",总表!G:G,"&gt;=2019/7/1",总表!G:G,"&lt;=2019/7/31")</f>
        <v>17</v>
      </c>
      <c r="F141" s="100">
        <f>COUNTIFS(总表!B:B,A141,总表!L:L,"&lt;&gt;",总表!G:G,"&gt;=2019/7/1",总表!G:G,"&lt;=2019/7/31")</f>
        <v>81</v>
      </c>
    </row>
    <row r="142" spans="1:6">
      <c r="A142" s="101"/>
      <c r="B142" s="176" t="s">
        <v>15608</v>
      </c>
      <c r="C142" s="102">
        <f>COUNTIFS(总表!B:B,A141,总表!C:C,B142,总表!L:L,"&lt;&gt;",总表!G:G,"&gt;=2019/7/1",总表!G:G,"&lt;=2019/7/31")</f>
        <v>0</v>
      </c>
      <c r="D142" s="176" t="s">
        <v>717</v>
      </c>
      <c r="E142" s="102">
        <f>COUNTIFS(总表!B:B,A141,总表!D:D,D142,总表!L:L,"&lt;&gt;",总表!G:G,"&gt;=2019/7/1",总表!G:G,"&lt;=2019/7/31")</f>
        <v>1</v>
      </c>
      <c r="F142" s="103"/>
    </row>
    <row r="143" spans="1:6">
      <c r="A143" s="101"/>
      <c r="B143" s="176" t="s">
        <v>271</v>
      </c>
      <c r="C143" s="102">
        <f>COUNTIFS(总表!B:B,A141,总表!C:C,B143,总表!L:L,"&lt;&gt;",总表!G:G,"&gt;=2019/7/1",总表!G:G,"&lt;=2019/7/31")</f>
        <v>2</v>
      </c>
      <c r="D143" s="124" t="s">
        <v>343</v>
      </c>
      <c r="E143" s="94">
        <f>COUNTIFS(总表!B:B,A141,总表!D:D,D143,总表!L:L,"&lt;&gt;",总表!G:G,"&gt;=2019/7/1",总表!G:G,"&lt;=2019/7/31")</f>
        <v>24</v>
      </c>
      <c r="F143" s="103"/>
    </row>
    <row r="144" spans="1:6">
      <c r="A144" s="101"/>
      <c r="B144" s="176" t="s">
        <v>342</v>
      </c>
      <c r="C144" s="102">
        <f>COUNTIFS(总表!B:B,A141,总表!C:C,B144,总表!L:L,"&lt;&gt;",总表!G:G,"&gt;=2019/7/1",总表!G:G,"&lt;=2019/7/31")</f>
        <v>12</v>
      </c>
      <c r="D144" s="176" t="s">
        <v>75</v>
      </c>
      <c r="E144" s="102">
        <f>COUNTIFS(总表!B:B,A141,总表!D:D,D144,总表!L:L,"&lt;&gt;",总表!G:G,"&gt;=2019/7/1",总表!G:G,"&lt;=2019/7/31")</f>
        <v>3</v>
      </c>
      <c r="F144" s="103"/>
    </row>
    <row r="145" spans="1:6">
      <c r="A145" s="101"/>
      <c r="B145" s="176" t="s">
        <v>109</v>
      </c>
      <c r="C145" s="102">
        <f>COUNTIFS(总表!B:B,A141,总表!C:C,B145,总表!L:L,"&lt;&gt;",总表!G:G,"&gt;=2019/7/1",总表!G:G,"&lt;=2019/7/31")</f>
        <v>15</v>
      </c>
      <c r="D145" s="176" t="s">
        <v>635</v>
      </c>
      <c r="E145" s="102">
        <f>COUNTIFS(总表!B:B,A141,总表!D:D,D145,总表!L:L,"&lt;&gt;",总表!G:G,"&gt;=2019/7/1",总表!G:G,"&lt;=2019/7/31")</f>
        <v>0</v>
      </c>
      <c r="F145" s="103"/>
    </row>
    <row r="146" spans="1:6">
      <c r="A146" s="101"/>
      <c r="B146" s="176" t="s">
        <v>347</v>
      </c>
      <c r="C146" s="102">
        <f>COUNTIFS(总表!B:B,A141,总表!C:C,B146,总表!L:L,"&lt;&gt;",总表!G:G,"&gt;=2019/7/1",总表!G:G,"&lt;=2019/7/31")</f>
        <v>18</v>
      </c>
      <c r="D146" s="176" t="s">
        <v>5695</v>
      </c>
      <c r="E146" s="102">
        <f>COUNTIFS(总表!B:B,A141,总表!D:D,D146,总表!L:L,"&lt;&gt;",总表!G:G,"&gt;=2019/7/1",总表!G:G,"&lt;=2019/7/31")</f>
        <v>0</v>
      </c>
      <c r="F146" s="103"/>
    </row>
    <row r="147" spans="1:6">
      <c r="A147" s="101"/>
      <c r="B147" s="176" t="s">
        <v>451</v>
      </c>
      <c r="C147" s="102">
        <f>COUNTIFS(总表!B:B,A141,总表!C:C,B147,总表!L:L,"&lt;&gt;",总表!G:G,"&gt;=2019/7/1",总表!G:G,"&lt;=2019/7/31")</f>
        <v>3</v>
      </c>
      <c r="D147" s="124" t="s">
        <v>110</v>
      </c>
      <c r="E147" s="94">
        <f>COUNTIFS(总表!B:B,A141,总表!D:D,D147,总表!L:L,"&lt;&gt;",总表!G:G,"&gt;=2019/7/1",总表!G:G,"&lt;=2019/7/31")</f>
        <v>36</v>
      </c>
      <c r="F147" s="103"/>
    </row>
    <row r="148" ht="17.25" spans="1:6">
      <c r="A148" s="104"/>
      <c r="B148" s="177" t="s">
        <v>794</v>
      </c>
      <c r="C148" s="105">
        <f>COUNTIFS(总表!B:B,A141,总表!C:C,B148,总表!L:L,"&lt;&gt;",总表!G:G,"&gt;=2019/7/1",总表!G:G,"&lt;=2019/7/31")</f>
        <v>15</v>
      </c>
      <c r="D148" s="105"/>
      <c r="E148" s="105"/>
      <c r="F148" s="106"/>
    </row>
    <row r="149" spans="1:6">
      <c r="A149" s="138" t="s">
        <v>805</v>
      </c>
      <c r="B149" s="139" t="s">
        <v>991</v>
      </c>
      <c r="C149" s="140">
        <f>COUNTIFS(总表!B:B,A149,总表!C:C,B149,总表!L:L,"&lt;&gt;",总表!G:G,"&gt;=2019/7/1",总表!G:G,"&lt;=2019/7/31")</f>
        <v>1</v>
      </c>
      <c r="D149" s="139" t="s">
        <v>139</v>
      </c>
      <c r="E149" s="140">
        <f>COUNTIFS(总表!B:B,A149,总表!D:D,D149,总表!L:L,"&lt;&gt;",总表!G:G,"&gt;=2019/7/1",总表!G:G,"&lt;=2019/7/31")</f>
        <v>0</v>
      </c>
      <c r="F149" s="141">
        <f>COUNTIFS(总表!B:B,A149,总表!L:L,"&lt;&gt;",总表!G:G,"&gt;=2019/7/1",总表!G:G,"&lt;=2019/7/31")</f>
        <v>13</v>
      </c>
    </row>
    <row r="150" spans="1:6">
      <c r="A150" s="142"/>
      <c r="B150" s="143" t="s">
        <v>1458</v>
      </c>
      <c r="C150" s="144">
        <f>COUNTIFS(总表!B:B,A149,总表!C:C,B150,总表!L:L,"&lt;&gt;",总表!G:G,"&gt;=2019/7/1",总表!G:G,"&lt;=2019/7/31")</f>
        <v>1</v>
      </c>
      <c r="D150" s="143" t="s">
        <v>427</v>
      </c>
      <c r="E150" s="144">
        <f>COUNTIFS(总表!B:B,A149,总表!D:D,D150,总表!L:L,"&lt;&gt;",总表!G:G,"&gt;=2019/7/1",总表!G:G,"&lt;=2019/7/31")</f>
        <v>2</v>
      </c>
      <c r="F150" s="145"/>
    </row>
    <row r="151" spans="1:6">
      <c r="A151" s="142"/>
      <c r="B151" s="143" t="s">
        <v>4935</v>
      </c>
      <c r="C151" s="144">
        <f>COUNTIFS(总表!B:B,A149,总表!C:C,B151,总表!L:L,"&lt;&gt;",总表!G:G,"&gt;=2019/7/1",总表!G:G,"&lt;=2019/7/31")</f>
        <v>1</v>
      </c>
      <c r="D151" s="143" t="s">
        <v>60</v>
      </c>
      <c r="E151" s="144">
        <f>COUNTIFS(总表!B:B,A149,总表!D:D,D151,总表!L:L,"&lt;&gt;",总表!G:G,"&gt;=2019/7/1",总表!G:G,"&lt;=2019/7/31")</f>
        <v>3</v>
      </c>
      <c r="F151" s="145"/>
    </row>
    <row r="152" spans="1:6">
      <c r="A152" s="142"/>
      <c r="B152" s="143" t="s">
        <v>806</v>
      </c>
      <c r="C152" s="144">
        <f>COUNTIFS(总表!B:B,A149,总表!C:C,B152,总表!L:L,"&lt;&gt;",总表!G:G,"&gt;=2019/7/1",总表!G:G,"&lt;=2019/7/31")</f>
        <v>10</v>
      </c>
      <c r="D152" s="143" t="s">
        <v>75</v>
      </c>
      <c r="E152" s="144">
        <f>COUNTIFS(总表!B:B,A149,总表!D:D,D152,总表!L:L,"&lt;&gt;",总表!G:G,"&gt;=2019/7/1",总表!G:G,"&lt;=2019/7/31")</f>
        <v>1</v>
      </c>
      <c r="F152" s="145"/>
    </row>
    <row r="153" spans="1:6">
      <c r="A153" s="142"/>
      <c r="B153" s="144"/>
      <c r="C153" s="144"/>
      <c r="D153" s="124" t="s">
        <v>635</v>
      </c>
      <c r="E153" s="94">
        <f>COUNTIFS(总表!B:B,A149,总表!D:D,D153,总表!L:L,"&lt;&gt;",总表!G:G,"&gt;=2019/7/1",总表!G:G,"&lt;=2019/7/31")</f>
        <v>1</v>
      </c>
      <c r="F153" s="145"/>
    </row>
    <row r="154" ht="17.25" spans="1:6">
      <c r="A154" s="147"/>
      <c r="B154" s="148"/>
      <c r="C154" s="148"/>
      <c r="D154" s="198" t="s">
        <v>171</v>
      </c>
      <c r="E154" s="115">
        <f>COUNTIFS(总表!B:B,A149,总表!D:D,D154,总表!L:L,"&lt;&gt;",总表!G:G,"&gt;=2019/7/1",总表!G:G,"&lt;=2019/7/31")</f>
        <v>6</v>
      </c>
      <c r="F154" s="150"/>
    </row>
    <row r="155" spans="1:6">
      <c r="A155" s="151" t="s">
        <v>21233</v>
      </c>
      <c r="B155" s="153" t="s">
        <v>181</v>
      </c>
      <c r="C155" s="152">
        <f>COUNTIFS(总表!B:B,A155,总表!C:C,B155,总表!L:L,"&lt;&gt;",总表!G:G,"&gt;=2019/7/1",总表!G:G,"&lt;=2019/7/31")</f>
        <v>13</v>
      </c>
      <c r="D155" s="153" t="s">
        <v>149</v>
      </c>
      <c r="E155" s="153">
        <f>COUNTIFS(总表!B:B,A155,总表!D:D,D155,总表!L:L,"&lt;&gt;",总表!G:G,"&gt;=2019/7/1",总表!G:G,"&lt;=2019/7/31")</f>
        <v>2</v>
      </c>
      <c r="F155" s="154">
        <f>COUNTIFS(总表!B:B,A155,总表!L:L,"&lt;&gt;",总表!G:G,"&gt;=2019/7/1",总表!G:G,"&lt;=2019/7/31")</f>
        <v>52</v>
      </c>
    </row>
    <row r="156" spans="1:6">
      <c r="A156" s="155"/>
      <c r="B156" s="157" t="s">
        <v>1431</v>
      </c>
      <c r="C156" s="156">
        <f>COUNTIFS(总表!B:B,A155,总表!C:C,B156,总表!L:L,"&lt;&gt;",总表!G:G,"&gt;=2019/7/1",总表!G:G,"&lt;=2019/7/31")</f>
        <v>1</v>
      </c>
      <c r="D156" s="124" t="s">
        <v>182</v>
      </c>
      <c r="E156" s="124">
        <f>COUNTIFS(总表!B:B,A155,总表!D:D,D156,总表!L:L,"&lt;&gt;",总表!G:G,"&gt;=2019/7/1",总表!G:G,"&lt;=2019/7/31")</f>
        <v>13</v>
      </c>
      <c r="F156" s="158"/>
    </row>
    <row r="157" spans="1:6">
      <c r="A157" s="155"/>
      <c r="B157" s="157" t="s">
        <v>258</v>
      </c>
      <c r="C157" s="156">
        <f>COUNTIFS(总表!B:B,A155,总表!C:C,B157,总表!L:L,"&lt;&gt;",总表!G:G,"&gt;=2019/7/1",总表!G:G,"&lt;=2019/7/31")</f>
        <v>3</v>
      </c>
      <c r="D157" s="157" t="s">
        <v>155</v>
      </c>
      <c r="E157" s="157">
        <f>COUNTIFS(总表!B:B,A155,总表!D:D,D157,总表!L:L,"&lt;&gt;",总表!G:G,"&gt;=2019/7/1",总表!G:G,"&lt;=2019/7/31")</f>
        <v>1</v>
      </c>
      <c r="F157" s="158"/>
    </row>
    <row r="158" spans="1:6">
      <c r="A158" s="155"/>
      <c r="B158" s="157" t="s">
        <v>131</v>
      </c>
      <c r="C158" s="156">
        <f>COUNTIFS(总表!B:B,A155,总表!C:C,B158,总表!L:L,"&lt;&gt;",总表!G:G,"&gt;=2019/7/1",总表!G:G,"&lt;=2019/7/31")</f>
        <v>1</v>
      </c>
      <c r="D158" s="157" t="s">
        <v>139</v>
      </c>
      <c r="E158" s="157">
        <f>COUNTIFS(总表!B:B,A155,总表!D:D,D158,总表!L:L,"&lt;&gt;",总表!G:G,"&gt;=2019/7/1",总表!G:G,"&lt;=2019/7/31")</f>
        <v>1</v>
      </c>
      <c r="F158" s="158"/>
    </row>
    <row r="159" spans="1:6">
      <c r="A159" s="155"/>
      <c r="B159" s="157" t="s">
        <v>722</v>
      </c>
      <c r="C159" s="156">
        <f>COUNTIFS(总表!B:B,A155,总表!C:C,B159,总表!L:L,"&lt;&gt;",总表!G:G,"&gt;=2019/7/1",总表!G:G,"&lt;=2019/7/31")</f>
        <v>5</v>
      </c>
      <c r="D159" s="124" t="s">
        <v>132</v>
      </c>
      <c r="E159" s="124">
        <f>COUNTIFS(总表!B:B,A155,总表!D:D,D159,总表!L:L,"&lt;&gt;",总表!G:G,"&gt;=2019/7/1",总表!G:G,"&lt;=2019/7/31")</f>
        <v>7</v>
      </c>
      <c r="F159" s="158"/>
    </row>
    <row r="160" spans="1:6">
      <c r="A160" s="155"/>
      <c r="B160" s="157" t="s">
        <v>275</v>
      </c>
      <c r="C160" s="156">
        <f>COUNTIFS(总表!B:B,A155,总表!C:C,B160,总表!L:L,"&lt;&gt;",总表!G:G,"&gt;=2019/7/1",总表!G:G,"&lt;=2019/7/31")</f>
        <v>5</v>
      </c>
      <c r="D160" s="157" t="s">
        <v>33</v>
      </c>
      <c r="E160" s="157">
        <f>COUNTIFS(总表!B:B,A155,总表!D:D,D160,总表!L:L,"&lt;&gt;",总表!G:G,"&gt;=2019/7/1",总表!G:G,"&lt;=2019/7/31")</f>
        <v>0</v>
      </c>
      <c r="F160" s="158"/>
    </row>
    <row r="161" spans="1:6">
      <c r="A161" s="155"/>
      <c r="B161" s="157" t="s">
        <v>230</v>
      </c>
      <c r="C161" s="156">
        <f>COUNTIFS(总表!B:B,A155,总表!C:C,B161,总表!L:L,"&lt;&gt;",总表!G:G,"&gt;=2019/7/1",总表!G:G,"&lt;=2019/7/31")</f>
        <v>5</v>
      </c>
      <c r="D161" s="157" t="s">
        <v>717</v>
      </c>
      <c r="E161" s="157">
        <f>COUNTIFS(总表!B:B,A155,总表!D:D,D161,总表!L:L,"&lt;&gt;",总表!G:G,"&gt;=2019/7/1",总表!G:G,"&lt;=2019/7/31")</f>
        <v>2</v>
      </c>
      <c r="F161" s="158"/>
    </row>
    <row r="162" spans="1:6">
      <c r="A162" s="155"/>
      <c r="B162" s="157" t="s">
        <v>366</v>
      </c>
      <c r="C162" s="156">
        <f>COUNTIFS(总表!B:B,A155,总表!C:C,B162,总表!L:L,"&lt;&gt;",总表!G:G,"&gt;=2019/7/1",总表!G:G,"&lt;=2019/7/31")</f>
        <v>1</v>
      </c>
      <c r="D162" s="157" t="s">
        <v>60</v>
      </c>
      <c r="E162" s="157">
        <f>COUNTIFS(总表!B:B,A155,总表!D:D,D162,总表!L:L,"&lt;&gt;",总表!G:G,"&gt;=2019/7/1",总表!G:G,"&lt;=2019/7/31")</f>
        <v>1</v>
      </c>
      <c r="F162" s="158"/>
    </row>
    <row r="163" spans="1:6">
      <c r="A163" s="155"/>
      <c r="B163" s="157" t="s">
        <v>395</v>
      </c>
      <c r="C163" s="156">
        <f>COUNTIFS(总表!B:B,A155,总表!C:C,B163,总表!L:L,"&lt;&gt;",总表!G:G,"&gt;=2019/7/1",总表!G:G,"&lt;=2019/7/31")</f>
        <v>2</v>
      </c>
      <c r="D163" s="124" t="s">
        <v>162</v>
      </c>
      <c r="E163" s="124">
        <f>COUNTIFS(总表!B:B,A155,总表!D:D,D163,总表!L:L,"&lt;&gt;",总表!G:G,"&gt;=2019/7/1",总表!G:G,"&lt;=2019/7/31")</f>
        <v>20</v>
      </c>
      <c r="F163" s="158"/>
    </row>
    <row r="164" spans="1:6">
      <c r="A164" s="155"/>
      <c r="B164" s="157" t="s">
        <v>161</v>
      </c>
      <c r="C164" s="156">
        <f>COUNTIFS(总表!B:B,A155,总表!C:C,B164,总表!L:L,"&lt;&gt;",总表!G:G,"&gt;=2019/7/1",总表!G:G,"&lt;=2019/7/31")</f>
        <v>16</v>
      </c>
      <c r="D164" s="157" t="s">
        <v>5695</v>
      </c>
      <c r="E164" s="157">
        <f>COUNTIFS(总表!B:B,A155,总表!D:D,D164,总表!L:L,"&lt;&gt;",总表!G:G,"&gt;=2019/7/1",总表!G:G,"&lt;=2019/7/31")</f>
        <v>0</v>
      </c>
      <c r="F164" s="158"/>
    </row>
    <row r="165" ht="17.25" spans="1:6">
      <c r="A165" s="222"/>
      <c r="B165" s="223"/>
      <c r="C165" s="223"/>
      <c r="D165" s="223" t="s">
        <v>89</v>
      </c>
      <c r="E165" s="224">
        <f>COUNTIFS(总表!B:B,A155,总表!D:D,D165,总表!L:L,"&lt;&gt;",总表!G:G,"&gt;=2019/7/1",总表!G:G,"&lt;=2019/7/31")</f>
        <v>5</v>
      </c>
      <c r="F165" s="225"/>
    </row>
    <row r="166" ht="17.25" spans="1:6">
      <c r="A166" s="226" t="s">
        <v>6313</v>
      </c>
      <c r="B166" s="227" t="s">
        <v>6314</v>
      </c>
      <c r="C166" s="228">
        <v>1</v>
      </c>
      <c r="D166" s="227" t="s">
        <v>132</v>
      </c>
      <c r="E166" s="228">
        <v>1</v>
      </c>
      <c r="F166" s="229">
        <v>1</v>
      </c>
    </row>
    <row r="167" ht="17.25" spans="1:6">
      <c r="A167" s="226" t="s">
        <v>5336</v>
      </c>
      <c r="B167" s="227" t="s">
        <v>498</v>
      </c>
      <c r="C167" s="228">
        <v>3</v>
      </c>
      <c r="D167" s="227" t="s">
        <v>5337</v>
      </c>
      <c r="E167" s="228">
        <v>1</v>
      </c>
      <c r="F167" s="229">
        <v>3</v>
      </c>
    </row>
    <row r="168" ht="17.25" spans="1:6">
      <c r="A168" s="230"/>
      <c r="B168" s="231"/>
      <c r="C168" s="231"/>
      <c r="D168" s="232" t="s">
        <v>5336</v>
      </c>
      <c r="E168" s="231">
        <v>2</v>
      </c>
      <c r="F168" s="233"/>
    </row>
  </sheetData>
  <mergeCells count="47">
    <mergeCell ref="A1:F1"/>
    <mergeCell ref="A3:A29"/>
    <mergeCell ref="A30:A41"/>
    <mergeCell ref="A42:A46"/>
    <mergeCell ref="A47:A52"/>
    <mergeCell ref="A53:A54"/>
    <mergeCell ref="A55:A65"/>
    <mergeCell ref="A66:A73"/>
    <mergeCell ref="A74:A85"/>
    <mergeCell ref="A86:A91"/>
    <mergeCell ref="A92:A95"/>
    <mergeCell ref="A96:A99"/>
    <mergeCell ref="A100:A107"/>
    <mergeCell ref="A108:A110"/>
    <mergeCell ref="A111:A112"/>
    <mergeCell ref="A113:A115"/>
    <mergeCell ref="A116:A121"/>
    <mergeCell ref="A122:A124"/>
    <mergeCell ref="A125:A128"/>
    <mergeCell ref="A129:A140"/>
    <mergeCell ref="A141:A148"/>
    <mergeCell ref="A149:A154"/>
    <mergeCell ref="A155:A165"/>
    <mergeCell ref="A167:A168"/>
    <mergeCell ref="F3:F29"/>
    <mergeCell ref="F30:F41"/>
    <mergeCell ref="F42:F46"/>
    <mergeCell ref="F47:F52"/>
    <mergeCell ref="F53:F54"/>
    <mergeCell ref="F55:F65"/>
    <mergeCell ref="F66:F73"/>
    <mergeCell ref="F74:F85"/>
    <mergeCell ref="F86:F91"/>
    <mergeCell ref="F92:F95"/>
    <mergeCell ref="F96:F99"/>
    <mergeCell ref="F100:F107"/>
    <mergeCell ref="F108:F110"/>
    <mergeCell ref="F111:F112"/>
    <mergeCell ref="F113:F115"/>
    <mergeCell ref="F116:F121"/>
    <mergeCell ref="F122:F124"/>
    <mergeCell ref="F125:F128"/>
    <mergeCell ref="F129:F140"/>
    <mergeCell ref="F141:F148"/>
    <mergeCell ref="F149:F154"/>
    <mergeCell ref="F155:F165"/>
    <mergeCell ref="F167:F16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总表</vt:lpstr>
      <vt:lpstr>店铺订单装修进程统计</vt:lpstr>
      <vt:lpstr>分公司设计师买单统计</vt:lpstr>
      <vt:lpstr>设计师累计买单</vt:lpstr>
      <vt:lpstr>设计师每周买单情况累计</vt:lpstr>
      <vt:lpstr>8月份设计师每周买单情况累计</vt:lpstr>
      <vt:lpstr>8月份设计师累计买单</vt:lpstr>
      <vt:lpstr>设计师对应买单统计</vt:lpstr>
      <vt:lpstr>7月份设计师买单对应店铺</vt:lpstr>
      <vt:lpstr>7月份设计师每周买单情况</vt:lpstr>
      <vt:lpstr>7月份设计师买单情况累计</vt:lpstr>
      <vt:lpstr>设计师、导购存单统计</vt:lpstr>
      <vt:lpstr>设计师对应店铺</vt:lpstr>
      <vt:lpstr>店面人员</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梦若雾散风吹</cp:lastModifiedBy>
  <dcterms:created xsi:type="dcterms:W3CDTF">2019-07-05T02:16:00Z</dcterms:created>
  <dcterms:modified xsi:type="dcterms:W3CDTF">2020-01-10T04:32:00Z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y fmtid="{D5CDD505-2E9C-101B-9397-08002B2CF9AE}" pid="3" name="KSOReadingLayout">
    <vt:bool>true</vt:bool>
  </property>
</Properties>
</file>